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jpeg" ContentType="image/jpeg"/>
  <Default Extension="rels" ContentType="application/vnd.openxmlformats-package.relationships+xml"/>
  <Default Extension="xml" ContentType="application/xml"/>
  <Default Extension="data" ContentType="application/vnd.openxmlformats-officedocument.model+data"/>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slicerCaches/slicerCache26.xml" ContentType="application/vnd.ms-excel.slicerCache+xml"/>
  <Override PartName="/xl/slicerCaches/slicerCache27.xml" ContentType="application/vnd.ms-excel.slicerCache+xml"/>
  <Override PartName="/xl/slicerCaches/slicerCache28.xml" ContentType="application/vnd.ms-excel.slicerCache+xml"/>
  <Override PartName="/xl/slicerCaches/slicerCache29.xml" ContentType="application/vnd.ms-excel.slicerCache+xml"/>
  <Override PartName="/xl/slicerCaches/slicerCache30.xml" ContentType="application/vnd.ms-excel.slicerCache+xml"/>
  <Override PartName="/xl/slicerCaches/slicerCache31.xml" ContentType="application/vnd.ms-excel.slicerCache+xml"/>
  <Override PartName="/xl/slicerCaches/slicerCache32.xml" ContentType="application/vnd.ms-excel.slicerCache+xml"/>
  <Override PartName="/xl/slicerCaches/slicerCache33.xml" ContentType="application/vnd.ms-excel.slicerCache+xml"/>
  <Override PartName="/xl/slicerCaches/slicerCache34.xml" ContentType="application/vnd.ms-excel.slicerCache+xml"/>
  <Override PartName="/xl/slicerCaches/slicerCache35.xml" ContentType="application/vnd.ms-excel.slicerCache+xml"/>
  <Override PartName="/xl/slicerCaches/slicerCache36.xml" ContentType="application/vnd.ms-excel.slicerCache+xml"/>
  <Override PartName="/xl/slicerCaches/slicerCache37.xml" ContentType="application/vnd.ms-excel.slicerCache+xml"/>
  <Override PartName="/xl/slicerCaches/slicerCache38.xml" ContentType="application/vnd.ms-excel.slicerCache+xml"/>
  <Override PartName="/xl/slicerCaches/slicerCache39.xml" ContentType="application/vnd.ms-excel.slicerCache+xml"/>
  <Override PartName="/xl/slicerCaches/slicerCache40.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tables/table2.xml" ContentType="application/vnd.openxmlformats-officedocument.spreadsheetml.table+xml"/>
  <Override PartName="/xl/slicers/slicer2.xml" ContentType="application/vnd.ms-excel.slicer+xml"/>
  <Override PartName="/xl/drawings/drawing3.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4.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5.xml" ContentType="application/vnd.openxmlformats-officedocument.drawing+xml"/>
  <Override PartName="/xl/tables/table11.xml" ContentType="application/vnd.openxmlformats-officedocument.spreadsheetml.table+xml"/>
  <Override PartName="/xl/slicers/slicer3.xml" ContentType="application/vnd.ms-excel.slicer+xml"/>
  <Override PartName="/xl/drawings/drawing6.xml" ContentType="application/vnd.openxmlformats-officedocument.drawing+xml"/>
  <Override PartName="/xl/tables/table12.xml" ContentType="application/vnd.openxmlformats-officedocument.spreadsheetml.table+xml"/>
  <Override PartName="/xl/tables/table13.xml" ContentType="application/vnd.openxmlformats-officedocument.spreadsheetml.table+xml"/>
  <Override PartName="/xl/slicers/slicer4.xml" ContentType="application/vnd.ms-excel.slicer+xml"/>
  <Override PartName="/xl/drawings/drawing7.xml" ContentType="application/vnd.openxmlformats-officedocument.drawing+xml"/>
  <Override PartName="/xl/tables/table14.xml" ContentType="application/vnd.openxmlformats-officedocument.spreadsheetml.table+xml"/>
  <Override PartName="/xl/tables/table15.xml" ContentType="application/vnd.openxmlformats-officedocument.spreadsheetml.table+xml"/>
  <Override PartName="/xl/slicers/slicer5.xml" ContentType="application/vnd.ms-excel.slicer+xml"/>
  <Override PartName="/xl/drawings/drawing8.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slicers/slicer6.xml" ContentType="application/vnd.ms-excel.slicer+xml"/>
  <Override PartName="/xl/drawings/drawing9.xml" ContentType="application/vnd.openxmlformats-officedocument.drawing+xml"/>
  <Override PartName="/xl/tables/table18.xml" ContentType="application/vnd.openxmlformats-officedocument.spreadsheetml.table+xml"/>
  <Override PartName="/xl/tables/table19.xml" ContentType="application/vnd.openxmlformats-officedocument.spreadsheetml.table+xml"/>
  <Override PartName="/xl/slicers/slicer7.xml" ContentType="application/vnd.ms-excel.slicer+xml"/>
  <Override PartName="/xl/drawings/drawing10.xml" ContentType="application/vnd.openxmlformats-officedocument.drawing+xml"/>
  <Override PartName="/xl/tables/table20.xml" ContentType="application/vnd.openxmlformats-officedocument.spreadsheetml.table+xml"/>
  <Override PartName="/xl/tables/table21.xml" ContentType="application/vnd.openxmlformats-officedocument.spreadsheetml.table+xml"/>
  <Override PartName="/xl/slicers/slicer8.xml" ContentType="application/vnd.ms-excel.slicer+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8730" codeName="{91B80F79-697F-C00D-A1F8-6C9A07846A5C}"/>
  <workbookPr showInkAnnotation="0" codeName="ThisWorkbook"/>
  <mc:AlternateContent xmlns:mc="http://schemas.openxmlformats.org/markup-compatibility/2006">
    <mc:Choice Requires="x15">
      <x15ac:absPath xmlns:x15ac="http://schemas.microsoft.com/office/spreadsheetml/2010/11/ac" url="C:\Users\Blake\Desktop\ScratchWork\Reminder Walker\BACKUP\"/>
    </mc:Choice>
  </mc:AlternateContent>
  <bookViews>
    <workbookView xWindow="0" yWindow="33255" windowWidth="25200" windowHeight="11490" tabRatio="915" firstSheet="1" activeTab="1" xr2:uid="{00000000-000D-0000-FFFF-FFFF00000000}"/>
  </bookViews>
  <sheets>
    <sheet name="SparkFun Order" sheetId="58" r:id="rId1"/>
    <sheet name="Order Form" sheetId="56" r:id="rId2"/>
    <sheet name="OrganizedList" sheetId="23" r:id="rId3"/>
    <sheet name="Category Lookup" sheetId="2" r:id="rId4"/>
    <sheet name="FilterSpecs" sheetId="24" r:id="rId5"/>
    <sheet name="RawList" sheetId="6" r:id="rId6"/>
    <sheet name="Mouser" sheetId="55" r:id="rId7"/>
    <sheet name="Initial Order" sheetId="57" r:id="rId8"/>
    <sheet name="Initial Order (2)" sheetId="62" r:id="rId9"/>
    <sheet name="Sheet1" sheetId="61" r:id="rId10"/>
    <sheet name="SparkFun" sheetId="59" r:id="rId11"/>
    <sheet name="Adafruit" sheetId="60" r:id="rId12"/>
    <sheet name="ItemQty" sheetId="39" r:id="rId13"/>
    <sheet name="Connectors" sheetId="51" r:id="rId14"/>
    <sheet name="DesignSpecs" sheetId="4" r:id="rId15"/>
    <sheet name="SlicerInfo" sheetId="42" r:id="rId16"/>
  </sheets>
  <externalReferences>
    <externalReference r:id="rId17"/>
  </externalReferences>
  <definedNames>
    <definedName name="_xlcn.LinkedTable_EquipmentTable" hidden="1">EquipmentTable[]</definedName>
    <definedName name="ColumnTitle1" localSheetId="11">#REF!</definedName>
    <definedName name="ColumnTitle1" localSheetId="7">#REF!</definedName>
    <definedName name="ColumnTitle1" localSheetId="8">#REF!</definedName>
    <definedName name="ColumnTitle1" localSheetId="6">#REF!</definedName>
    <definedName name="ColumnTitle1" localSheetId="1">#REF!</definedName>
    <definedName name="ColumnTitle1" localSheetId="10">#REF!</definedName>
    <definedName name="ColumnTitle1" localSheetId="0">#REF!</definedName>
    <definedName name="ColumnTitle1">#REF!</definedName>
    <definedName name="ColumnTitle2" localSheetId="11">CategoryLookup[[#Headers],[Category]]</definedName>
    <definedName name="ColumnTitle2" localSheetId="7">CategoryLookup[[#Headers],[Category]]</definedName>
    <definedName name="ColumnTitle2" localSheetId="8">CategoryLookup[[#Headers],[Category]]</definedName>
    <definedName name="ColumnTitle2" localSheetId="6">CategoryLookup[[#Headers],[Category]]</definedName>
    <definedName name="ColumnTitle2" localSheetId="1">CategoryLookup[[#Headers],[Category]]</definedName>
    <definedName name="ColumnTitle2" localSheetId="10">CategoryLookup[[#Headers],[Category]]</definedName>
    <definedName name="ColumnTitle2" localSheetId="0">CategoryLookup[[#Headers],[Category]]</definedName>
    <definedName name="ColumnTitle2">CategoryLookup[[#Headers],[Category]]</definedName>
    <definedName name="EquipmentList" localSheetId="11">EquipmentTable[]</definedName>
    <definedName name="EquipmentList" localSheetId="7">EquipmentTable[]</definedName>
    <definedName name="EquipmentList" localSheetId="8">EquipmentTable[]</definedName>
    <definedName name="EquipmentList" localSheetId="6">EquipmentTable[]</definedName>
    <definedName name="EquipmentList" localSheetId="1">EquipmentTable[]</definedName>
    <definedName name="EquipmentList" localSheetId="10">EquipmentTable[]</definedName>
    <definedName name="EquipmentList" localSheetId="0">EquipmentTable[]</definedName>
    <definedName name="EquipmentList">EquipmentTable[]</definedName>
    <definedName name="EquipmentLookupDescriptions" localSheetId="11">CategoryTypeDescriptions[Group]</definedName>
    <definedName name="EquipmentLookupDescriptions" localSheetId="7">CategoryTypeDescriptions[Group]</definedName>
    <definedName name="EquipmentLookupDescriptions" localSheetId="8">CategoryTypeDescriptions[Group]</definedName>
    <definedName name="EquipmentLookupDescriptions" localSheetId="6">CategoryTypeDescriptions[Group]</definedName>
    <definedName name="EquipmentLookupDescriptions" localSheetId="1">CategoryTypeDescriptions[Group]</definedName>
    <definedName name="EquipmentLookupDescriptions" localSheetId="10">CategoryTypeDescriptions[Group]</definedName>
    <definedName name="EquipmentLookupDescriptions" localSheetId="0">CategoryTypeDescriptions[Group]</definedName>
    <definedName name="EquipmentLookupDescriptions">CategoryTypeDescriptions[Group]</definedName>
    <definedName name="_xlnm.Print_Titles" localSheetId="3">'Category Lookup'!$3:$3</definedName>
    <definedName name="RoomList" localSheetId="11">CategoryLookup[]</definedName>
    <definedName name="RoomList" localSheetId="7">CategoryLookup[]</definedName>
    <definedName name="RoomList" localSheetId="8">CategoryLookup[]</definedName>
    <definedName name="RoomList" localSheetId="6">CategoryLookup[]</definedName>
    <definedName name="RoomList" localSheetId="1">CategoryLookup[]</definedName>
    <definedName name="RoomList" localSheetId="10">CategoryLookup[]</definedName>
    <definedName name="RoomList" localSheetId="0">CategoryLookup[]</definedName>
    <definedName name="RoomList">CategoryLookup[]</definedName>
    <definedName name="RowTitleRegion1..E2" localSheetId="8">#REF!</definedName>
    <definedName name="RowTitleRegion1..E2">#REF!</definedName>
    <definedName name="Separating" localSheetId="11">#REF!</definedName>
    <definedName name="Separating" localSheetId="7">#REF!</definedName>
    <definedName name="Separating" localSheetId="8">#REF!</definedName>
    <definedName name="Separating" localSheetId="6">#REF!</definedName>
    <definedName name="Separating" localSheetId="1">#REF!</definedName>
    <definedName name="Separating" localSheetId="10">#REF!</definedName>
    <definedName name="Separating" localSheetId="0">#REF!</definedName>
    <definedName name="Separating">#REF!</definedName>
    <definedName name="Slicer_____0_?_T_F">#N/A</definedName>
    <definedName name="Slicer_Category1">#N/A</definedName>
    <definedName name="Slicer_Category2">#N/A</definedName>
    <definedName name="Slicer_Category21">#N/A</definedName>
    <definedName name="Slicer_Category211">#N/A</definedName>
    <definedName name="Slicer_Category212">#N/A</definedName>
    <definedName name="Slicer_Category213">#N/A</definedName>
    <definedName name="Slicer_Equipment_Category">#N/A</definedName>
    <definedName name="Slicer_Equipment_Type">#N/A</definedName>
    <definedName name="Slicer_Initial1">#N/A</definedName>
    <definedName name="Slicer_Initial11">#N/A</definedName>
    <definedName name="Slicer_Initial12">#N/A</definedName>
    <definedName name="Slicer_Initial121">#N/A</definedName>
    <definedName name="Slicer_Initial122">#N/A</definedName>
    <definedName name="Slicer_Initial123">#N/A</definedName>
    <definedName name="Slicer_Quantity1">#N/A</definedName>
    <definedName name="Slicer_Quantity2">#N/A</definedName>
    <definedName name="Slicer_Quantity21">#N/A</definedName>
    <definedName name="Slicer_Quantity211">#N/A</definedName>
    <definedName name="Slicer_Quantity212">#N/A</definedName>
    <definedName name="Slicer_Quantity213">#N/A</definedName>
    <definedName name="Slicer_Tag1">#N/A</definedName>
    <definedName name="Slicer_Tag2">#N/A</definedName>
    <definedName name="Slicer_Tag21">#N/A</definedName>
    <definedName name="Slicer_Tag211">#N/A</definedName>
    <definedName name="Slicer_Tag212">#N/A</definedName>
    <definedName name="Slicer_Tag213">#N/A</definedName>
    <definedName name="Slicer_Type11">#N/A</definedName>
    <definedName name="Slicer_Type111">#N/A</definedName>
    <definedName name="Slicer_Type1111">#N/A</definedName>
    <definedName name="Slicer_Type1112">#N/A</definedName>
    <definedName name="Slicer_Type1113">#N/A</definedName>
    <definedName name="Slicer_Type2">#N/A</definedName>
    <definedName name="Slicer_Vendor">#N/A</definedName>
    <definedName name="Slicer_Vendor11">#N/A</definedName>
    <definedName name="Slicer_Vendor111">#N/A</definedName>
    <definedName name="Slicer_Vendor1111">#N/A</definedName>
    <definedName name="Slicer_Vendor1112">#N/A</definedName>
    <definedName name="Slicer_Vendor1113">#N/A</definedName>
    <definedName name="Slicer_Vendor2">#N/A</definedName>
  </definedNames>
  <calcPr calcId="171027"/>
  <fileRecoveryPr autoRecover="0"/>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8"/>
        <x14:slicerCache r:id="rId19"/>
        <x14:slicerCache r:id="rId20"/>
        <x14:slicerCache r:id="rId21"/>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 r:id="rId50"/>
        <x14:slicerCache r:id="rId51"/>
        <x14:slicerCache r:id="rId52"/>
        <x14:slicerCache r:id="rId53"/>
        <x14:slicerCache r:id="rId54"/>
        <x14:slicerCache r:id="rId55"/>
        <x14:slicerCache r:id="rId56"/>
        <x14:slicerCache r:id="rId57"/>
      </x15:slicerCaches>
    </ext>
    <ext xmlns:x15="http://schemas.microsoft.com/office/spreadsheetml/2010/11/main" uri="{FCE2AD5D-F65C-4FA6-A056-5C36A1767C68}">
      <x15:dataModel>
        <x15:modelTables>
          <x15:modelTable id="EquipmentTable" name="EquipmentTable" connection="LinkedTable_EquipmentTable"/>
        </x15:modelTables>
      </x15:dataModel>
    </ext>
  </extLst>
</workbook>
</file>

<file path=xl/calcChain.xml><?xml version="1.0" encoding="utf-8"?>
<calcChain xmlns="http://schemas.openxmlformats.org/spreadsheetml/2006/main">
  <c r="A657" i="62" l="1"/>
  <c r="A656" i="62"/>
  <c r="A655" i="62"/>
  <c r="A654" i="62"/>
  <c r="A653" i="62"/>
  <c r="A652" i="62"/>
  <c r="A651" i="62"/>
  <c r="A650" i="62"/>
  <c r="O648" i="62"/>
  <c r="M648" i="62"/>
  <c r="K648" i="62"/>
  <c r="B648" i="62"/>
  <c r="X647" i="62"/>
  <c r="W647" i="62"/>
  <c r="R647" i="62"/>
  <c r="F647" i="62"/>
  <c r="X646" i="62"/>
  <c r="W646" i="62"/>
  <c r="R646" i="62"/>
  <c r="F646" i="62"/>
  <c r="X645" i="62"/>
  <c r="W645" i="62"/>
  <c r="R645" i="62"/>
  <c r="F645" i="62"/>
  <c r="X644" i="62"/>
  <c r="W644" i="62"/>
  <c r="R644" i="62"/>
  <c r="F644" i="62"/>
  <c r="X643" i="62"/>
  <c r="W643" i="62"/>
  <c r="R643" i="62"/>
  <c r="F643" i="62"/>
  <c r="X642" i="62"/>
  <c r="W642" i="62"/>
  <c r="R642" i="62"/>
  <c r="F642" i="62"/>
  <c r="X641" i="62"/>
  <c r="W641" i="62"/>
  <c r="R641" i="62"/>
  <c r="F641" i="62"/>
  <c r="X640" i="62"/>
  <c r="W640" i="62"/>
  <c r="R640" i="62"/>
  <c r="F640" i="62"/>
  <c r="X639" i="62"/>
  <c r="W639" i="62"/>
  <c r="R639" i="62"/>
  <c r="F639" i="62"/>
  <c r="X638" i="62"/>
  <c r="W638" i="62"/>
  <c r="R638" i="62"/>
  <c r="F638" i="62"/>
  <c r="X637" i="62"/>
  <c r="W637" i="62"/>
  <c r="R637" i="62"/>
  <c r="F637" i="62"/>
  <c r="X636" i="62"/>
  <c r="W636" i="62"/>
  <c r="R636" i="62"/>
  <c r="F636" i="62"/>
  <c r="X635" i="62"/>
  <c r="W635" i="62"/>
  <c r="R635" i="62"/>
  <c r="F635" i="62"/>
  <c r="X634" i="62"/>
  <c r="W634" i="62"/>
  <c r="R634" i="62"/>
  <c r="F634" i="62"/>
  <c r="X633" i="62"/>
  <c r="W633" i="62"/>
  <c r="R633" i="62"/>
  <c r="F633" i="62"/>
  <c r="X632" i="62"/>
  <c r="W632" i="62"/>
  <c r="R632" i="62"/>
  <c r="F632" i="62"/>
  <c r="X631" i="62"/>
  <c r="W631" i="62"/>
  <c r="R631" i="62"/>
  <c r="F631" i="62"/>
  <c r="X630" i="62"/>
  <c r="W630" i="62"/>
  <c r="R630" i="62"/>
  <c r="F630" i="62"/>
  <c r="X629" i="62"/>
  <c r="W629" i="62"/>
  <c r="R629" i="62"/>
  <c r="F629" i="62"/>
  <c r="X628" i="62"/>
  <c r="W628" i="62"/>
  <c r="R628" i="62"/>
  <c r="F628" i="62"/>
  <c r="X627" i="62"/>
  <c r="W627" i="62"/>
  <c r="R627" i="62"/>
  <c r="F627" i="62"/>
  <c r="X626" i="62"/>
  <c r="W626" i="62"/>
  <c r="R626" i="62"/>
  <c r="F626" i="62"/>
  <c r="X625" i="62"/>
  <c r="W625" i="62"/>
  <c r="R625" i="62"/>
  <c r="F625" i="62"/>
  <c r="X624" i="62"/>
  <c r="W624" i="62"/>
  <c r="R624" i="62"/>
  <c r="F624" i="62"/>
  <c r="X623" i="62"/>
  <c r="W623" i="62"/>
  <c r="R623" i="62"/>
  <c r="F623" i="62"/>
  <c r="X622" i="62"/>
  <c r="W622" i="62"/>
  <c r="R622" i="62"/>
  <c r="F622" i="62"/>
  <c r="X621" i="62"/>
  <c r="W621" i="62"/>
  <c r="R621" i="62"/>
  <c r="F621" i="62"/>
  <c r="X620" i="62"/>
  <c r="W620" i="62"/>
  <c r="R620" i="62"/>
  <c r="F620" i="62"/>
  <c r="X619" i="62"/>
  <c r="W619" i="62"/>
  <c r="R619" i="62"/>
  <c r="F619" i="62"/>
  <c r="X618" i="62"/>
  <c r="W618" i="62"/>
  <c r="R618" i="62"/>
  <c r="F618" i="62"/>
  <c r="X617" i="62"/>
  <c r="W617" i="62"/>
  <c r="R617" i="62"/>
  <c r="F617" i="62"/>
  <c r="X616" i="62"/>
  <c r="W616" i="62"/>
  <c r="R616" i="62"/>
  <c r="F616" i="62"/>
  <c r="X615" i="62"/>
  <c r="W615" i="62"/>
  <c r="R615" i="62"/>
  <c r="F615" i="62"/>
  <c r="X614" i="62"/>
  <c r="W614" i="62"/>
  <c r="R614" i="62"/>
  <c r="F614" i="62"/>
  <c r="X613" i="62"/>
  <c r="W613" i="62"/>
  <c r="R613" i="62"/>
  <c r="F613" i="62"/>
  <c r="X612" i="62"/>
  <c r="W612" i="62"/>
  <c r="R612" i="62"/>
  <c r="F612" i="62"/>
  <c r="X611" i="62"/>
  <c r="W611" i="62"/>
  <c r="R611" i="62"/>
  <c r="F611" i="62"/>
  <c r="X610" i="62"/>
  <c r="W610" i="62"/>
  <c r="R610" i="62"/>
  <c r="F610" i="62"/>
  <c r="X609" i="62"/>
  <c r="W609" i="62"/>
  <c r="R609" i="62"/>
  <c r="F609" i="62"/>
  <c r="X608" i="62"/>
  <c r="W608" i="62"/>
  <c r="R608" i="62"/>
  <c r="F608" i="62"/>
  <c r="X607" i="62"/>
  <c r="W607" i="62"/>
  <c r="R607" i="62"/>
  <c r="F607" i="62"/>
  <c r="X606" i="62"/>
  <c r="W606" i="62"/>
  <c r="R606" i="62"/>
  <c r="F606" i="62"/>
  <c r="X605" i="62"/>
  <c r="W605" i="62"/>
  <c r="R605" i="62"/>
  <c r="F605" i="62"/>
  <c r="X604" i="62"/>
  <c r="W604" i="62"/>
  <c r="R604" i="62"/>
  <c r="F604" i="62"/>
  <c r="X603" i="62"/>
  <c r="W603" i="62"/>
  <c r="R603" i="62"/>
  <c r="F603" i="62"/>
  <c r="X602" i="62"/>
  <c r="W602" i="62"/>
  <c r="R602" i="62"/>
  <c r="F602" i="62"/>
  <c r="X601" i="62"/>
  <c r="W601" i="62"/>
  <c r="R601" i="62"/>
  <c r="F601" i="62"/>
  <c r="X600" i="62"/>
  <c r="W600" i="62"/>
  <c r="R600" i="62"/>
  <c r="F600" i="62"/>
  <c r="X599" i="62"/>
  <c r="W599" i="62"/>
  <c r="R599" i="62"/>
  <c r="F599" i="62"/>
  <c r="X598" i="62"/>
  <c r="W598" i="62"/>
  <c r="R598" i="62"/>
  <c r="F598" i="62"/>
  <c r="X597" i="62"/>
  <c r="W597" i="62"/>
  <c r="R597" i="62"/>
  <c r="F597" i="62"/>
  <c r="X596" i="62"/>
  <c r="W596" i="62"/>
  <c r="R596" i="62"/>
  <c r="F596" i="62"/>
  <c r="X595" i="62"/>
  <c r="W595" i="62"/>
  <c r="R595" i="62"/>
  <c r="F595" i="62"/>
  <c r="X594" i="62"/>
  <c r="W594" i="62"/>
  <c r="R594" i="62"/>
  <c r="F594" i="62"/>
  <c r="X593" i="62"/>
  <c r="W593" i="62"/>
  <c r="R593" i="62"/>
  <c r="F593" i="62"/>
  <c r="X592" i="62"/>
  <c r="W592" i="62"/>
  <c r="R592" i="62"/>
  <c r="F592" i="62"/>
  <c r="X591" i="62"/>
  <c r="W591" i="62"/>
  <c r="R591" i="62"/>
  <c r="F591" i="62"/>
  <c r="X590" i="62"/>
  <c r="W590" i="62"/>
  <c r="R590" i="62"/>
  <c r="F590" i="62"/>
  <c r="X589" i="62"/>
  <c r="W589" i="62"/>
  <c r="R589" i="62"/>
  <c r="F589" i="62"/>
  <c r="X588" i="62"/>
  <c r="W588" i="62"/>
  <c r="R588" i="62"/>
  <c r="F588" i="62"/>
  <c r="X587" i="62"/>
  <c r="W587" i="62"/>
  <c r="R587" i="62"/>
  <c r="F587" i="62"/>
  <c r="X586" i="62"/>
  <c r="W586" i="62"/>
  <c r="R586" i="62"/>
  <c r="F586" i="62"/>
  <c r="X585" i="62"/>
  <c r="W585" i="62"/>
  <c r="R585" i="62"/>
  <c r="F585" i="62"/>
  <c r="X584" i="62"/>
  <c r="W584" i="62"/>
  <c r="R584" i="62"/>
  <c r="F584" i="62"/>
  <c r="X583" i="62"/>
  <c r="W583" i="62"/>
  <c r="R583" i="62"/>
  <c r="F583" i="62"/>
  <c r="X582" i="62"/>
  <c r="W582" i="62"/>
  <c r="R582" i="62"/>
  <c r="F582" i="62"/>
  <c r="X581" i="62"/>
  <c r="W581" i="62"/>
  <c r="R581" i="62"/>
  <c r="F581" i="62"/>
  <c r="X580" i="62"/>
  <c r="W580" i="62"/>
  <c r="R580" i="62"/>
  <c r="F580" i="62"/>
  <c r="X579" i="62"/>
  <c r="W579" i="62"/>
  <c r="R579" i="62"/>
  <c r="F579" i="62"/>
  <c r="X578" i="62"/>
  <c r="W578" i="62"/>
  <c r="R578" i="62"/>
  <c r="F578" i="62"/>
  <c r="X577" i="62"/>
  <c r="W577" i="62"/>
  <c r="R577" i="62"/>
  <c r="F577" i="62"/>
  <c r="X576" i="62"/>
  <c r="W576" i="62"/>
  <c r="R576" i="62"/>
  <c r="F576" i="62"/>
  <c r="X575" i="62"/>
  <c r="W575" i="62"/>
  <c r="R575" i="62"/>
  <c r="F575" i="62"/>
  <c r="X574" i="62"/>
  <c r="W574" i="62"/>
  <c r="R574" i="62"/>
  <c r="F574" i="62"/>
  <c r="X573" i="62"/>
  <c r="W573" i="62"/>
  <c r="R573" i="62"/>
  <c r="F573" i="62"/>
  <c r="X572" i="62"/>
  <c r="W572" i="62"/>
  <c r="R572" i="62"/>
  <c r="F572" i="62"/>
  <c r="X571" i="62"/>
  <c r="W571" i="62"/>
  <c r="R571" i="62"/>
  <c r="F571" i="62"/>
  <c r="X570" i="62"/>
  <c r="W570" i="62"/>
  <c r="R570" i="62"/>
  <c r="F570" i="62"/>
  <c r="X569" i="62"/>
  <c r="W569" i="62"/>
  <c r="R569" i="62"/>
  <c r="F569" i="62"/>
  <c r="X568" i="62"/>
  <c r="W568" i="62"/>
  <c r="R568" i="62"/>
  <c r="F568" i="62"/>
  <c r="X567" i="62"/>
  <c r="W567" i="62"/>
  <c r="R567" i="62"/>
  <c r="F567" i="62"/>
  <c r="X566" i="62"/>
  <c r="W566" i="62"/>
  <c r="R566" i="62"/>
  <c r="F566" i="62"/>
  <c r="X565" i="62"/>
  <c r="W565" i="62"/>
  <c r="R565" i="62"/>
  <c r="F565" i="62"/>
  <c r="X564" i="62"/>
  <c r="W564" i="62"/>
  <c r="R564" i="62"/>
  <c r="F564" i="62"/>
  <c r="X563" i="62"/>
  <c r="W563" i="62"/>
  <c r="R563" i="62"/>
  <c r="F563" i="62"/>
  <c r="X562" i="62"/>
  <c r="W562" i="62"/>
  <c r="R562" i="62"/>
  <c r="F562" i="62"/>
  <c r="X561" i="62"/>
  <c r="W561" i="62"/>
  <c r="R561" i="62"/>
  <c r="F561" i="62"/>
  <c r="X560" i="62"/>
  <c r="W560" i="62"/>
  <c r="R560" i="62"/>
  <c r="F560" i="62"/>
  <c r="X559" i="62"/>
  <c r="W559" i="62"/>
  <c r="R559" i="62"/>
  <c r="F559" i="62"/>
  <c r="X558" i="62"/>
  <c r="W558" i="62"/>
  <c r="R558" i="62"/>
  <c r="F558" i="62"/>
  <c r="X557" i="62"/>
  <c r="W557" i="62"/>
  <c r="R557" i="62"/>
  <c r="F557" i="62"/>
  <c r="X556" i="62"/>
  <c r="W556" i="62"/>
  <c r="R556" i="62"/>
  <c r="F556" i="62"/>
  <c r="X555" i="62"/>
  <c r="W555" i="62"/>
  <c r="R555" i="62"/>
  <c r="F555" i="62"/>
  <c r="X554" i="62"/>
  <c r="W554" i="62"/>
  <c r="R554" i="62"/>
  <c r="F554" i="62"/>
  <c r="X553" i="62"/>
  <c r="W553" i="62"/>
  <c r="R553" i="62"/>
  <c r="F553" i="62"/>
  <c r="X552" i="62"/>
  <c r="W552" i="62"/>
  <c r="R552" i="62"/>
  <c r="F552" i="62"/>
  <c r="X551" i="62"/>
  <c r="W551" i="62"/>
  <c r="R551" i="62"/>
  <c r="F551" i="62"/>
  <c r="X550" i="62"/>
  <c r="W550" i="62"/>
  <c r="R550" i="62"/>
  <c r="F550" i="62"/>
  <c r="X549" i="62"/>
  <c r="W549" i="62"/>
  <c r="R549" i="62"/>
  <c r="F549" i="62"/>
  <c r="X548" i="62"/>
  <c r="W548" i="62"/>
  <c r="R548" i="62"/>
  <c r="F548" i="62"/>
  <c r="X547" i="62"/>
  <c r="W547" i="62"/>
  <c r="R547" i="62"/>
  <c r="F547" i="62"/>
  <c r="X546" i="62"/>
  <c r="W546" i="62"/>
  <c r="R546" i="62"/>
  <c r="F546" i="62"/>
  <c r="X545" i="62"/>
  <c r="W545" i="62"/>
  <c r="R545" i="62"/>
  <c r="F545" i="62"/>
  <c r="X544" i="62"/>
  <c r="W544" i="62"/>
  <c r="R544" i="62"/>
  <c r="F544" i="62"/>
  <c r="X543" i="62"/>
  <c r="W543" i="62"/>
  <c r="R543" i="62"/>
  <c r="F543" i="62"/>
  <c r="X542" i="62"/>
  <c r="W542" i="62"/>
  <c r="R542" i="62"/>
  <c r="F542" i="62"/>
  <c r="X541" i="62"/>
  <c r="W541" i="62"/>
  <c r="R541" i="62"/>
  <c r="F541" i="62"/>
  <c r="X540" i="62"/>
  <c r="W540" i="62"/>
  <c r="R540" i="62"/>
  <c r="F540" i="62"/>
  <c r="X539" i="62"/>
  <c r="W539" i="62"/>
  <c r="R539" i="62"/>
  <c r="F539" i="62"/>
  <c r="X538" i="62"/>
  <c r="W538" i="62"/>
  <c r="R538" i="62"/>
  <c r="F538" i="62"/>
  <c r="X537" i="62"/>
  <c r="W537" i="62"/>
  <c r="R537" i="62"/>
  <c r="F537" i="62"/>
  <c r="X536" i="62"/>
  <c r="W536" i="62"/>
  <c r="R536" i="62"/>
  <c r="F536" i="62"/>
  <c r="X535" i="62"/>
  <c r="W535" i="62"/>
  <c r="R535" i="62"/>
  <c r="F535" i="62"/>
  <c r="X534" i="62"/>
  <c r="W534" i="62"/>
  <c r="R534" i="62"/>
  <c r="F534" i="62"/>
  <c r="X533" i="62"/>
  <c r="W533" i="62"/>
  <c r="R533" i="62"/>
  <c r="F533" i="62"/>
  <c r="X532" i="62"/>
  <c r="W532" i="62"/>
  <c r="R532" i="62"/>
  <c r="F532" i="62"/>
  <c r="X531" i="62"/>
  <c r="W531" i="62"/>
  <c r="R531" i="62"/>
  <c r="F531" i="62"/>
  <c r="X530" i="62"/>
  <c r="W530" i="62"/>
  <c r="R530" i="62"/>
  <c r="F530" i="62"/>
  <c r="X529" i="62"/>
  <c r="W529" i="62"/>
  <c r="R529" i="62"/>
  <c r="F529" i="62"/>
  <c r="X528" i="62"/>
  <c r="W528" i="62"/>
  <c r="R528" i="62"/>
  <c r="F528" i="62"/>
  <c r="X527" i="62"/>
  <c r="W527" i="62"/>
  <c r="R527" i="62"/>
  <c r="F527" i="62"/>
  <c r="X526" i="62"/>
  <c r="W526" i="62"/>
  <c r="R526" i="62"/>
  <c r="F526" i="62"/>
  <c r="X525" i="62"/>
  <c r="W525" i="62"/>
  <c r="R525" i="62"/>
  <c r="F525" i="62"/>
  <c r="X524" i="62"/>
  <c r="W524" i="62"/>
  <c r="R524" i="62"/>
  <c r="F524" i="62"/>
  <c r="X523" i="62"/>
  <c r="W523" i="62"/>
  <c r="R523" i="62"/>
  <c r="F523" i="62"/>
  <c r="X522" i="62"/>
  <c r="W522" i="62"/>
  <c r="R522" i="62"/>
  <c r="F522" i="62"/>
  <c r="X521" i="62"/>
  <c r="W521" i="62"/>
  <c r="R521" i="62"/>
  <c r="F521" i="62"/>
  <c r="X520" i="62"/>
  <c r="W520" i="62"/>
  <c r="R520" i="62"/>
  <c r="F520" i="62"/>
  <c r="X519" i="62"/>
  <c r="W519" i="62"/>
  <c r="R519" i="62"/>
  <c r="F519" i="62"/>
  <c r="X518" i="62"/>
  <c r="W518" i="62"/>
  <c r="R518" i="62"/>
  <c r="F518" i="62"/>
  <c r="X517" i="62"/>
  <c r="W517" i="62"/>
  <c r="R517" i="62"/>
  <c r="F517" i="62"/>
  <c r="X516" i="62"/>
  <c r="W516" i="62"/>
  <c r="R516" i="62"/>
  <c r="F516" i="62"/>
  <c r="X515" i="62"/>
  <c r="W515" i="62"/>
  <c r="R515" i="62"/>
  <c r="F515" i="62"/>
  <c r="X514" i="62"/>
  <c r="W514" i="62"/>
  <c r="R514" i="62"/>
  <c r="F514" i="62"/>
  <c r="X513" i="62"/>
  <c r="W513" i="62"/>
  <c r="R513" i="62"/>
  <c r="F513" i="62"/>
  <c r="X512" i="62"/>
  <c r="W512" i="62"/>
  <c r="R512" i="62"/>
  <c r="F512" i="62"/>
  <c r="X511" i="62"/>
  <c r="W511" i="62"/>
  <c r="R511" i="62"/>
  <c r="F511" i="62"/>
  <c r="X510" i="62"/>
  <c r="W510" i="62"/>
  <c r="R510" i="62"/>
  <c r="F510" i="62"/>
  <c r="X509" i="62"/>
  <c r="W509" i="62"/>
  <c r="R509" i="62"/>
  <c r="F509" i="62"/>
  <c r="X508" i="62"/>
  <c r="W508" i="62"/>
  <c r="R508" i="62"/>
  <c r="F508" i="62"/>
  <c r="X507" i="62"/>
  <c r="W507" i="62"/>
  <c r="R507" i="62"/>
  <c r="F507" i="62"/>
  <c r="X506" i="62"/>
  <c r="W506" i="62"/>
  <c r="R506" i="62"/>
  <c r="F506" i="62"/>
  <c r="X505" i="62"/>
  <c r="W505" i="62"/>
  <c r="R505" i="62"/>
  <c r="F505" i="62"/>
  <c r="X504" i="62"/>
  <c r="W504" i="62"/>
  <c r="R504" i="62"/>
  <c r="F504" i="62"/>
  <c r="X503" i="62"/>
  <c r="W503" i="62"/>
  <c r="R503" i="62"/>
  <c r="F503" i="62"/>
  <c r="X502" i="62"/>
  <c r="W502" i="62"/>
  <c r="R502" i="62"/>
  <c r="F502" i="62"/>
  <c r="X501" i="62"/>
  <c r="W501" i="62"/>
  <c r="R501" i="62"/>
  <c r="F501" i="62"/>
  <c r="X500" i="62"/>
  <c r="W500" i="62"/>
  <c r="R500" i="62"/>
  <c r="F500" i="62"/>
  <c r="X499" i="62"/>
  <c r="W499" i="62"/>
  <c r="R499" i="62"/>
  <c r="F499" i="62"/>
  <c r="X498" i="62"/>
  <c r="W498" i="62"/>
  <c r="R498" i="62"/>
  <c r="F498" i="62"/>
  <c r="X497" i="62"/>
  <c r="W497" i="62"/>
  <c r="R497" i="62"/>
  <c r="F497" i="62"/>
  <c r="X496" i="62"/>
  <c r="W496" i="62"/>
  <c r="R496" i="62"/>
  <c r="F496" i="62"/>
  <c r="X495" i="62"/>
  <c r="W495" i="62"/>
  <c r="R495" i="62"/>
  <c r="F495" i="62"/>
  <c r="X494" i="62"/>
  <c r="W494" i="62"/>
  <c r="R494" i="62"/>
  <c r="F494" i="62"/>
  <c r="X493" i="62"/>
  <c r="W493" i="62"/>
  <c r="R493" i="62"/>
  <c r="F493" i="62"/>
  <c r="X492" i="62"/>
  <c r="W492" i="62"/>
  <c r="R492" i="62"/>
  <c r="F492" i="62"/>
  <c r="X491" i="62"/>
  <c r="W491" i="62"/>
  <c r="R491" i="62"/>
  <c r="F491" i="62"/>
  <c r="X490" i="62"/>
  <c r="W490" i="62"/>
  <c r="R490" i="62"/>
  <c r="F490" i="62"/>
  <c r="X489" i="62"/>
  <c r="W489" i="62"/>
  <c r="R489" i="62"/>
  <c r="F489" i="62"/>
  <c r="X488" i="62"/>
  <c r="W488" i="62"/>
  <c r="R488" i="62"/>
  <c r="F488" i="62"/>
  <c r="X487" i="62"/>
  <c r="W487" i="62"/>
  <c r="R487" i="62"/>
  <c r="F487" i="62"/>
  <c r="X486" i="62"/>
  <c r="W486" i="62"/>
  <c r="R486" i="62"/>
  <c r="F486" i="62"/>
  <c r="X485" i="62"/>
  <c r="W485" i="62"/>
  <c r="R485" i="62"/>
  <c r="F485" i="62"/>
  <c r="X484" i="62"/>
  <c r="W484" i="62"/>
  <c r="R484" i="62"/>
  <c r="F484" i="62"/>
  <c r="X483" i="62"/>
  <c r="W483" i="62"/>
  <c r="R483" i="62"/>
  <c r="F483" i="62"/>
  <c r="X482" i="62"/>
  <c r="W482" i="62"/>
  <c r="R482" i="62"/>
  <c r="F482" i="62"/>
  <c r="X481" i="62"/>
  <c r="W481" i="62"/>
  <c r="R481" i="62"/>
  <c r="F481" i="62"/>
  <c r="X480" i="62"/>
  <c r="W480" i="62"/>
  <c r="R480" i="62"/>
  <c r="F480" i="62"/>
  <c r="X479" i="62"/>
  <c r="W479" i="62"/>
  <c r="R479" i="62"/>
  <c r="F479" i="62"/>
  <c r="X478" i="62"/>
  <c r="W478" i="62"/>
  <c r="R478" i="62"/>
  <c r="F478" i="62"/>
  <c r="X477" i="62"/>
  <c r="W477" i="62"/>
  <c r="R477" i="62"/>
  <c r="F477" i="62"/>
  <c r="X476" i="62"/>
  <c r="W476" i="62"/>
  <c r="R476" i="62"/>
  <c r="F476" i="62"/>
  <c r="X475" i="62"/>
  <c r="W475" i="62"/>
  <c r="R475" i="62"/>
  <c r="F475" i="62"/>
  <c r="X474" i="62"/>
  <c r="W474" i="62"/>
  <c r="R474" i="62"/>
  <c r="F474" i="62"/>
  <c r="X473" i="62"/>
  <c r="W473" i="62"/>
  <c r="R473" i="62"/>
  <c r="F473" i="62"/>
  <c r="X472" i="62"/>
  <c r="W472" i="62"/>
  <c r="R472" i="62"/>
  <c r="F472" i="62"/>
  <c r="X471" i="62"/>
  <c r="W471" i="62"/>
  <c r="R471" i="62"/>
  <c r="F471" i="62"/>
  <c r="X470" i="62"/>
  <c r="W470" i="62"/>
  <c r="R470" i="62"/>
  <c r="F470" i="62"/>
  <c r="X469" i="62"/>
  <c r="W469" i="62"/>
  <c r="R469" i="62"/>
  <c r="F469" i="62"/>
  <c r="X468" i="62"/>
  <c r="W468" i="62"/>
  <c r="R468" i="62"/>
  <c r="F468" i="62"/>
  <c r="X467" i="62"/>
  <c r="W467" i="62"/>
  <c r="R467" i="62"/>
  <c r="F467" i="62"/>
  <c r="X466" i="62"/>
  <c r="W466" i="62"/>
  <c r="R466" i="62"/>
  <c r="F466" i="62"/>
  <c r="X465" i="62"/>
  <c r="W465" i="62"/>
  <c r="R465" i="62"/>
  <c r="F465" i="62"/>
  <c r="X464" i="62"/>
  <c r="W464" i="62"/>
  <c r="R464" i="62"/>
  <c r="F464" i="62"/>
  <c r="X463" i="62"/>
  <c r="W463" i="62"/>
  <c r="R463" i="62"/>
  <c r="F463" i="62"/>
  <c r="X462" i="62"/>
  <c r="W462" i="62"/>
  <c r="R462" i="62"/>
  <c r="F462" i="62"/>
  <c r="X461" i="62"/>
  <c r="W461" i="62"/>
  <c r="R461" i="62"/>
  <c r="F461" i="62"/>
  <c r="X460" i="62"/>
  <c r="W460" i="62"/>
  <c r="R460" i="62"/>
  <c r="F460" i="62"/>
  <c r="X459" i="62"/>
  <c r="W459" i="62"/>
  <c r="R459" i="62"/>
  <c r="F459" i="62"/>
  <c r="X458" i="62"/>
  <c r="W458" i="62"/>
  <c r="R458" i="62"/>
  <c r="F458" i="62"/>
  <c r="X457" i="62"/>
  <c r="W457" i="62"/>
  <c r="R457" i="62"/>
  <c r="F457" i="62"/>
  <c r="X456" i="62"/>
  <c r="W456" i="62"/>
  <c r="R456" i="62"/>
  <c r="F456" i="62"/>
  <c r="X455" i="62"/>
  <c r="W455" i="62"/>
  <c r="R455" i="62"/>
  <c r="F455" i="62"/>
  <c r="X454" i="62"/>
  <c r="W454" i="62"/>
  <c r="R454" i="62"/>
  <c r="F454" i="62"/>
  <c r="X453" i="62"/>
  <c r="W453" i="62"/>
  <c r="R453" i="62"/>
  <c r="F453" i="62"/>
  <c r="X452" i="62"/>
  <c r="W452" i="62"/>
  <c r="R452" i="62"/>
  <c r="F452" i="62"/>
  <c r="X451" i="62"/>
  <c r="W451" i="62"/>
  <c r="R451" i="62"/>
  <c r="F451" i="62"/>
  <c r="X450" i="62"/>
  <c r="W450" i="62"/>
  <c r="R450" i="62"/>
  <c r="F450" i="62"/>
  <c r="X449" i="62"/>
  <c r="W449" i="62"/>
  <c r="R449" i="62"/>
  <c r="F449" i="62"/>
  <c r="X448" i="62"/>
  <c r="W448" i="62"/>
  <c r="R448" i="62"/>
  <c r="F448" i="62"/>
  <c r="X447" i="62"/>
  <c r="W447" i="62"/>
  <c r="R447" i="62"/>
  <c r="F447" i="62"/>
  <c r="X446" i="62"/>
  <c r="W446" i="62"/>
  <c r="R446" i="62"/>
  <c r="F446" i="62"/>
  <c r="X445" i="62"/>
  <c r="W445" i="62"/>
  <c r="R445" i="62"/>
  <c r="F445" i="62"/>
  <c r="X444" i="62"/>
  <c r="W444" i="62"/>
  <c r="R444" i="62"/>
  <c r="F444" i="62"/>
  <c r="X443" i="62"/>
  <c r="W443" i="62"/>
  <c r="R443" i="62"/>
  <c r="F443" i="62"/>
  <c r="X442" i="62"/>
  <c r="W442" i="62"/>
  <c r="R442" i="62"/>
  <c r="F442" i="62"/>
  <c r="X441" i="62"/>
  <c r="W441" i="62"/>
  <c r="R441" i="62"/>
  <c r="F441" i="62"/>
  <c r="X440" i="62"/>
  <c r="W440" i="62"/>
  <c r="R440" i="62"/>
  <c r="F440" i="62"/>
  <c r="X439" i="62"/>
  <c r="W439" i="62"/>
  <c r="R439" i="62"/>
  <c r="F439" i="62"/>
  <c r="X438" i="62"/>
  <c r="W438" i="62"/>
  <c r="R438" i="62"/>
  <c r="F438" i="62"/>
  <c r="X437" i="62"/>
  <c r="W437" i="62"/>
  <c r="R437" i="62"/>
  <c r="F437" i="62"/>
  <c r="X436" i="62"/>
  <c r="W436" i="62"/>
  <c r="R436" i="62"/>
  <c r="F436" i="62"/>
  <c r="X435" i="62"/>
  <c r="W435" i="62"/>
  <c r="R435" i="62"/>
  <c r="F435" i="62"/>
  <c r="T434" i="62"/>
  <c r="R434" i="62"/>
  <c r="X433" i="62"/>
  <c r="W433" i="62"/>
  <c r="R433" i="62"/>
  <c r="F433" i="62"/>
  <c r="X432" i="62"/>
  <c r="W432" i="62"/>
  <c r="R432" i="62"/>
  <c r="F432" i="62"/>
  <c r="X431" i="62"/>
  <c r="W431" i="62"/>
  <c r="R431" i="62"/>
  <c r="F431" i="62"/>
  <c r="X430" i="62"/>
  <c r="W430" i="62"/>
  <c r="R430" i="62"/>
  <c r="F430" i="62"/>
  <c r="X429" i="62"/>
  <c r="W429" i="62"/>
  <c r="R429" i="62"/>
  <c r="F429" i="62"/>
  <c r="X428" i="62"/>
  <c r="W428" i="62"/>
  <c r="R428" i="62"/>
  <c r="F428" i="62"/>
  <c r="X427" i="62"/>
  <c r="W427" i="62"/>
  <c r="R427" i="62"/>
  <c r="F427" i="62"/>
  <c r="X426" i="62"/>
  <c r="W426" i="62"/>
  <c r="R426" i="62"/>
  <c r="F426" i="62"/>
  <c r="X425" i="62"/>
  <c r="W425" i="62"/>
  <c r="R425" i="62"/>
  <c r="F425" i="62"/>
  <c r="X424" i="62"/>
  <c r="W424" i="62"/>
  <c r="R424" i="62"/>
  <c r="F424" i="62"/>
  <c r="X423" i="62"/>
  <c r="W423" i="62"/>
  <c r="R423" i="62"/>
  <c r="F423" i="62"/>
  <c r="X422" i="62"/>
  <c r="W422" i="62"/>
  <c r="R422" i="62"/>
  <c r="F422" i="62"/>
  <c r="X421" i="62"/>
  <c r="W421" i="62"/>
  <c r="R421" i="62"/>
  <c r="F421" i="62"/>
  <c r="X420" i="62"/>
  <c r="W420" i="62"/>
  <c r="R420" i="62"/>
  <c r="F420" i="62"/>
  <c r="X419" i="62"/>
  <c r="W419" i="62"/>
  <c r="R419" i="62"/>
  <c r="F419" i="62"/>
  <c r="V418" i="62"/>
  <c r="U418" i="62"/>
  <c r="T418" i="62"/>
  <c r="R418" i="62"/>
  <c r="V417" i="62"/>
  <c r="U417" i="62"/>
  <c r="T417" i="62"/>
  <c r="R417" i="62"/>
  <c r="X416" i="62"/>
  <c r="W416" i="62"/>
  <c r="R416" i="62"/>
  <c r="F416" i="62"/>
  <c r="X415" i="62"/>
  <c r="W415" i="62"/>
  <c r="R415" i="62"/>
  <c r="F415" i="62"/>
  <c r="X414" i="62"/>
  <c r="W414" i="62"/>
  <c r="R414" i="62"/>
  <c r="F414" i="62"/>
  <c r="X413" i="62"/>
  <c r="W413" i="62"/>
  <c r="R413" i="62"/>
  <c r="F413" i="62"/>
  <c r="X412" i="62"/>
  <c r="W412" i="62"/>
  <c r="R412" i="62"/>
  <c r="F412" i="62"/>
  <c r="X411" i="62"/>
  <c r="W411" i="62"/>
  <c r="R411" i="62"/>
  <c r="F411" i="62"/>
  <c r="X410" i="62"/>
  <c r="W410" i="62"/>
  <c r="R410" i="62"/>
  <c r="F410" i="62"/>
  <c r="X409" i="62"/>
  <c r="W409" i="62"/>
  <c r="R409" i="62"/>
  <c r="F409" i="62"/>
  <c r="X408" i="62"/>
  <c r="W408" i="62"/>
  <c r="R408" i="62"/>
  <c r="F408" i="62"/>
  <c r="X407" i="62"/>
  <c r="W407" i="62"/>
  <c r="R407" i="62"/>
  <c r="F407" i="62"/>
  <c r="X406" i="62"/>
  <c r="W406" i="62"/>
  <c r="R406" i="62"/>
  <c r="F406" i="62"/>
  <c r="X405" i="62"/>
  <c r="W405" i="62"/>
  <c r="R405" i="62"/>
  <c r="F405" i="62"/>
  <c r="X404" i="62"/>
  <c r="W404" i="62"/>
  <c r="R404" i="62"/>
  <c r="F404" i="62"/>
  <c r="X403" i="62"/>
  <c r="W403" i="62"/>
  <c r="R403" i="62"/>
  <c r="F403" i="62"/>
  <c r="X402" i="62"/>
  <c r="W402" i="62"/>
  <c r="R402" i="62"/>
  <c r="F402" i="62"/>
  <c r="X401" i="62"/>
  <c r="W401" i="62"/>
  <c r="R401" i="62"/>
  <c r="F401" i="62"/>
  <c r="X400" i="62"/>
  <c r="W400" i="62"/>
  <c r="R400" i="62"/>
  <c r="F400" i="62"/>
  <c r="X399" i="62"/>
  <c r="W399" i="62"/>
  <c r="R399" i="62"/>
  <c r="F399" i="62"/>
  <c r="X398" i="62"/>
  <c r="W398" i="62"/>
  <c r="R398" i="62"/>
  <c r="F398" i="62"/>
  <c r="X397" i="62"/>
  <c r="W397" i="62"/>
  <c r="R397" i="62"/>
  <c r="F397" i="62"/>
  <c r="X396" i="62"/>
  <c r="W396" i="62"/>
  <c r="R396" i="62"/>
  <c r="F396" i="62"/>
  <c r="X395" i="62"/>
  <c r="W395" i="62"/>
  <c r="R395" i="62"/>
  <c r="F395" i="62"/>
  <c r="X394" i="62"/>
  <c r="W394" i="62"/>
  <c r="R394" i="62"/>
  <c r="F394" i="62"/>
  <c r="X393" i="62"/>
  <c r="W393" i="62"/>
  <c r="R393" i="62"/>
  <c r="F393" i="62"/>
  <c r="X392" i="62"/>
  <c r="W392" i="62"/>
  <c r="R392" i="62"/>
  <c r="F392" i="62"/>
  <c r="X391" i="62"/>
  <c r="W391" i="62"/>
  <c r="R391" i="62"/>
  <c r="F391" i="62"/>
  <c r="X390" i="62"/>
  <c r="W390" i="62"/>
  <c r="R390" i="62"/>
  <c r="F390" i="62"/>
  <c r="X389" i="62"/>
  <c r="W389" i="62"/>
  <c r="R389" i="62"/>
  <c r="F389" i="62"/>
  <c r="X388" i="62"/>
  <c r="W388" i="62"/>
  <c r="R388" i="62"/>
  <c r="F388" i="62"/>
  <c r="X387" i="62"/>
  <c r="W387" i="62"/>
  <c r="R387" i="62"/>
  <c r="F387" i="62"/>
  <c r="X386" i="62"/>
  <c r="W386" i="62"/>
  <c r="R386" i="62"/>
  <c r="F386" i="62"/>
  <c r="X385" i="62"/>
  <c r="W385" i="62"/>
  <c r="R385" i="62"/>
  <c r="F385" i="62"/>
  <c r="X384" i="62"/>
  <c r="W384" i="62"/>
  <c r="R384" i="62"/>
  <c r="F384" i="62"/>
  <c r="X383" i="62"/>
  <c r="W383" i="62"/>
  <c r="R383" i="62"/>
  <c r="F383" i="62"/>
  <c r="X382" i="62"/>
  <c r="W382" i="62"/>
  <c r="R382" i="62"/>
  <c r="F382" i="62"/>
  <c r="X381" i="62"/>
  <c r="W381" i="62"/>
  <c r="R381" i="62"/>
  <c r="F381" i="62"/>
  <c r="V380" i="62"/>
  <c r="U380" i="62"/>
  <c r="T380" i="62"/>
  <c r="R380" i="62"/>
  <c r="X379" i="62"/>
  <c r="W379" i="62"/>
  <c r="R379" i="62"/>
  <c r="F379" i="62"/>
  <c r="X378" i="62"/>
  <c r="W378" i="62"/>
  <c r="R378" i="62"/>
  <c r="F378" i="62"/>
  <c r="X377" i="62"/>
  <c r="W377" i="62"/>
  <c r="R377" i="62"/>
  <c r="F377" i="62"/>
  <c r="X376" i="62"/>
  <c r="W376" i="62"/>
  <c r="R376" i="62"/>
  <c r="F376" i="62"/>
  <c r="X375" i="62"/>
  <c r="W375" i="62"/>
  <c r="R375" i="62"/>
  <c r="F375" i="62"/>
  <c r="X374" i="62"/>
  <c r="W374" i="62"/>
  <c r="R374" i="62"/>
  <c r="F374" i="62"/>
  <c r="X373" i="62"/>
  <c r="W373" i="62"/>
  <c r="R373" i="62"/>
  <c r="F373" i="62"/>
  <c r="X372" i="62"/>
  <c r="W372" i="62"/>
  <c r="R372" i="62"/>
  <c r="F372" i="62"/>
  <c r="X371" i="62"/>
  <c r="W371" i="62"/>
  <c r="R371" i="62"/>
  <c r="F371" i="62"/>
  <c r="X370" i="62"/>
  <c r="W370" i="62"/>
  <c r="R370" i="62"/>
  <c r="F370" i="62"/>
  <c r="X369" i="62"/>
  <c r="W369" i="62"/>
  <c r="R369" i="62"/>
  <c r="F369" i="62"/>
  <c r="X368" i="62"/>
  <c r="W368" i="62"/>
  <c r="R368" i="62"/>
  <c r="F368" i="62"/>
  <c r="X367" i="62"/>
  <c r="W367" i="62"/>
  <c r="R367" i="62"/>
  <c r="F367" i="62"/>
  <c r="X366" i="62"/>
  <c r="W366" i="62"/>
  <c r="R366" i="62"/>
  <c r="F366" i="62"/>
  <c r="X365" i="62"/>
  <c r="W365" i="62"/>
  <c r="R365" i="62"/>
  <c r="F365" i="62"/>
  <c r="X364" i="62"/>
  <c r="W364" i="62"/>
  <c r="R364" i="62"/>
  <c r="F364" i="62"/>
  <c r="X363" i="62"/>
  <c r="W363" i="62"/>
  <c r="R363" i="62"/>
  <c r="F363" i="62"/>
  <c r="X362" i="62"/>
  <c r="W362" i="62"/>
  <c r="R362" i="62"/>
  <c r="F362" i="62"/>
  <c r="X361" i="62"/>
  <c r="W361" i="62"/>
  <c r="R361" i="62"/>
  <c r="F361" i="62"/>
  <c r="X360" i="62"/>
  <c r="W360" i="62"/>
  <c r="R360" i="62"/>
  <c r="F360" i="62"/>
  <c r="X359" i="62"/>
  <c r="W359" i="62"/>
  <c r="R359" i="62"/>
  <c r="F359" i="62"/>
  <c r="X358" i="62"/>
  <c r="W358" i="62"/>
  <c r="R358" i="62"/>
  <c r="F358" i="62"/>
  <c r="X357" i="62"/>
  <c r="W357" i="62"/>
  <c r="R357" i="62"/>
  <c r="F357" i="62"/>
  <c r="X356" i="62"/>
  <c r="W356" i="62"/>
  <c r="R356" i="62"/>
  <c r="F356" i="62"/>
  <c r="X355" i="62"/>
  <c r="W355" i="62"/>
  <c r="R355" i="62"/>
  <c r="F355" i="62"/>
  <c r="X354" i="62"/>
  <c r="W354" i="62"/>
  <c r="R354" i="62"/>
  <c r="F354" i="62"/>
  <c r="X353" i="62"/>
  <c r="W353" i="62"/>
  <c r="R353" i="62"/>
  <c r="F353" i="62"/>
  <c r="X352" i="62"/>
  <c r="W352" i="62"/>
  <c r="R352" i="62"/>
  <c r="F352" i="62"/>
  <c r="X351" i="62"/>
  <c r="W351" i="62"/>
  <c r="R351" i="62"/>
  <c r="F351" i="62"/>
  <c r="X350" i="62"/>
  <c r="W350" i="62"/>
  <c r="R350" i="62"/>
  <c r="F350" i="62"/>
  <c r="X349" i="62"/>
  <c r="W349" i="62"/>
  <c r="R349" i="62"/>
  <c r="F349" i="62"/>
  <c r="X348" i="62"/>
  <c r="W348" i="62"/>
  <c r="R348" i="62"/>
  <c r="F348" i="62"/>
  <c r="X347" i="62"/>
  <c r="W347" i="62"/>
  <c r="R347" i="62"/>
  <c r="F347" i="62"/>
  <c r="X346" i="62"/>
  <c r="W346" i="62"/>
  <c r="R346" i="62"/>
  <c r="F346" i="62"/>
  <c r="X345" i="62"/>
  <c r="W345" i="62"/>
  <c r="R345" i="62"/>
  <c r="F345" i="62"/>
  <c r="X344" i="62"/>
  <c r="W344" i="62"/>
  <c r="R344" i="62"/>
  <c r="F344" i="62"/>
  <c r="X343" i="62"/>
  <c r="W343" i="62"/>
  <c r="R343" i="62"/>
  <c r="F343" i="62"/>
  <c r="D343" i="62"/>
  <c r="X342" i="62"/>
  <c r="W342" i="62"/>
  <c r="R342" i="62"/>
  <c r="F342" i="62"/>
  <c r="X341" i="62"/>
  <c r="W341" i="62"/>
  <c r="R341" i="62"/>
  <c r="F341" i="62"/>
  <c r="X340" i="62"/>
  <c r="W340" i="62"/>
  <c r="R340" i="62"/>
  <c r="F340" i="62"/>
  <c r="X339" i="62"/>
  <c r="W339" i="62"/>
  <c r="R339" i="62"/>
  <c r="F339" i="62"/>
  <c r="X338" i="62"/>
  <c r="W338" i="62"/>
  <c r="R338" i="62"/>
  <c r="F338" i="62"/>
  <c r="X337" i="62"/>
  <c r="W337" i="62"/>
  <c r="R337" i="62"/>
  <c r="F337" i="62"/>
  <c r="X336" i="62"/>
  <c r="W336" i="62"/>
  <c r="R336" i="62"/>
  <c r="F336" i="62"/>
  <c r="X335" i="62"/>
  <c r="W335" i="62"/>
  <c r="R335" i="62"/>
  <c r="F335" i="62"/>
  <c r="X334" i="62"/>
  <c r="W334" i="62"/>
  <c r="R334" i="62"/>
  <c r="F334" i="62"/>
  <c r="X333" i="62"/>
  <c r="W333" i="62"/>
  <c r="R333" i="62"/>
  <c r="F333" i="62"/>
  <c r="X332" i="62"/>
  <c r="W332" i="62"/>
  <c r="R332" i="62"/>
  <c r="F332" i="62"/>
  <c r="X331" i="62"/>
  <c r="W331" i="62"/>
  <c r="R331" i="62"/>
  <c r="F331" i="62"/>
  <c r="X330" i="62"/>
  <c r="W330" i="62"/>
  <c r="R330" i="62"/>
  <c r="F330" i="62"/>
  <c r="X329" i="62"/>
  <c r="W329" i="62"/>
  <c r="R329" i="62"/>
  <c r="F329" i="62"/>
  <c r="X328" i="62"/>
  <c r="W328" i="62"/>
  <c r="R328" i="62"/>
  <c r="F328" i="62"/>
  <c r="X327" i="62"/>
  <c r="W327" i="62"/>
  <c r="R327" i="62"/>
  <c r="F327" i="62"/>
  <c r="X326" i="62"/>
  <c r="W326" i="62"/>
  <c r="R326" i="62"/>
  <c r="F326" i="62"/>
  <c r="X325" i="62"/>
  <c r="W325" i="62"/>
  <c r="R325" i="62"/>
  <c r="F325" i="62"/>
  <c r="X324" i="62"/>
  <c r="W324" i="62"/>
  <c r="R324" i="62"/>
  <c r="F324" i="62"/>
  <c r="X323" i="62"/>
  <c r="W323" i="62"/>
  <c r="R323" i="62"/>
  <c r="F323" i="62"/>
  <c r="X322" i="62"/>
  <c r="W322" i="62"/>
  <c r="R322" i="62"/>
  <c r="F322" i="62"/>
  <c r="X321" i="62"/>
  <c r="W321" i="62"/>
  <c r="R321" i="62"/>
  <c r="F321" i="62"/>
  <c r="X320" i="62"/>
  <c r="W320" i="62"/>
  <c r="R320" i="62"/>
  <c r="F320" i="62"/>
  <c r="X319" i="62"/>
  <c r="W319" i="62"/>
  <c r="R319" i="62"/>
  <c r="F319" i="62"/>
  <c r="X318" i="62"/>
  <c r="W318" i="62"/>
  <c r="R318" i="62"/>
  <c r="F318" i="62"/>
  <c r="X317" i="62"/>
  <c r="W317" i="62"/>
  <c r="R317" i="62"/>
  <c r="F317" i="62"/>
  <c r="X316" i="62"/>
  <c r="W316" i="62"/>
  <c r="R316" i="62"/>
  <c r="F316" i="62"/>
  <c r="X315" i="62"/>
  <c r="W315" i="62"/>
  <c r="R315" i="62"/>
  <c r="F315" i="62"/>
  <c r="X314" i="62"/>
  <c r="W314" i="62"/>
  <c r="R314" i="62"/>
  <c r="F314" i="62"/>
  <c r="X313" i="62"/>
  <c r="W313" i="62"/>
  <c r="R313" i="62"/>
  <c r="F313" i="62"/>
  <c r="X312" i="62"/>
  <c r="W312" i="62"/>
  <c r="R312" i="62"/>
  <c r="F312" i="62"/>
  <c r="X311" i="62"/>
  <c r="W311" i="62"/>
  <c r="R311" i="62"/>
  <c r="F311" i="62"/>
  <c r="X310" i="62"/>
  <c r="W310" i="62"/>
  <c r="R310" i="62"/>
  <c r="F310" i="62"/>
  <c r="X309" i="62"/>
  <c r="W309" i="62"/>
  <c r="R309" i="62"/>
  <c r="F309" i="62"/>
  <c r="X308" i="62"/>
  <c r="W308" i="62"/>
  <c r="R308" i="62"/>
  <c r="F308" i="62"/>
  <c r="X307" i="62"/>
  <c r="W307" i="62"/>
  <c r="R307" i="62"/>
  <c r="F307" i="62"/>
  <c r="X306" i="62"/>
  <c r="W306" i="62"/>
  <c r="R306" i="62"/>
  <c r="F306" i="62"/>
  <c r="X305" i="62"/>
  <c r="W305" i="62"/>
  <c r="R305" i="62"/>
  <c r="F305" i="62"/>
  <c r="X304" i="62"/>
  <c r="W304" i="62"/>
  <c r="R304" i="62"/>
  <c r="F304" i="62"/>
  <c r="X303" i="62"/>
  <c r="W303" i="62"/>
  <c r="R303" i="62"/>
  <c r="F303" i="62"/>
  <c r="X302" i="62"/>
  <c r="W302" i="62"/>
  <c r="R302" i="62"/>
  <c r="F302" i="62"/>
  <c r="X301" i="62"/>
  <c r="W301" i="62"/>
  <c r="R301" i="62"/>
  <c r="F301" i="62"/>
  <c r="X300" i="62"/>
  <c r="W300" i="62"/>
  <c r="R300" i="62"/>
  <c r="F300" i="62"/>
  <c r="X299" i="62"/>
  <c r="W299" i="62"/>
  <c r="R299" i="62"/>
  <c r="F299" i="62"/>
  <c r="X298" i="62"/>
  <c r="W298" i="62"/>
  <c r="R298" i="62"/>
  <c r="F298" i="62"/>
  <c r="X297" i="62"/>
  <c r="W297" i="62"/>
  <c r="R297" i="62"/>
  <c r="F297" i="62"/>
  <c r="X296" i="62"/>
  <c r="W296" i="62"/>
  <c r="R296" i="62"/>
  <c r="F296" i="62"/>
  <c r="X295" i="62"/>
  <c r="W295" i="62"/>
  <c r="R295" i="62"/>
  <c r="F295" i="62"/>
  <c r="X294" i="62"/>
  <c r="W294" i="62"/>
  <c r="R294" i="62"/>
  <c r="F294" i="62"/>
  <c r="X293" i="62"/>
  <c r="W293" i="62"/>
  <c r="R293" i="62"/>
  <c r="F293" i="62"/>
  <c r="X292" i="62"/>
  <c r="W292" i="62"/>
  <c r="R292" i="62"/>
  <c r="F292" i="62"/>
  <c r="X291" i="62"/>
  <c r="W291" i="62"/>
  <c r="R291" i="62"/>
  <c r="F291" i="62"/>
  <c r="X290" i="62"/>
  <c r="W290" i="62"/>
  <c r="R290" i="62"/>
  <c r="F290" i="62"/>
  <c r="X289" i="62"/>
  <c r="W289" i="62"/>
  <c r="R289" i="62"/>
  <c r="F289" i="62"/>
  <c r="X288" i="62"/>
  <c r="W288" i="62"/>
  <c r="R288" i="62"/>
  <c r="F288" i="62"/>
  <c r="X287" i="62"/>
  <c r="W287" i="62"/>
  <c r="R287" i="62"/>
  <c r="F287" i="62"/>
  <c r="X286" i="62"/>
  <c r="W286" i="62"/>
  <c r="R286" i="62"/>
  <c r="F286" i="62"/>
  <c r="X285" i="62"/>
  <c r="W285" i="62"/>
  <c r="R285" i="62"/>
  <c r="F285" i="62"/>
  <c r="X284" i="62"/>
  <c r="W284" i="62"/>
  <c r="R284" i="62"/>
  <c r="F284" i="62"/>
  <c r="X283" i="62"/>
  <c r="W283" i="62"/>
  <c r="R283" i="62"/>
  <c r="F283" i="62"/>
  <c r="X282" i="62"/>
  <c r="W282" i="62"/>
  <c r="R282" i="62"/>
  <c r="F282" i="62"/>
  <c r="X281" i="62"/>
  <c r="W281" i="62"/>
  <c r="R281" i="62"/>
  <c r="F281" i="62"/>
  <c r="X280" i="62"/>
  <c r="W280" i="62"/>
  <c r="R280" i="62"/>
  <c r="F280" i="62"/>
  <c r="X279" i="62"/>
  <c r="W279" i="62"/>
  <c r="R279" i="62"/>
  <c r="F279" i="62"/>
  <c r="X278" i="62"/>
  <c r="W278" i="62"/>
  <c r="R278" i="62"/>
  <c r="F278" i="62"/>
  <c r="X277" i="62"/>
  <c r="W277" i="62"/>
  <c r="R277" i="62"/>
  <c r="F277" i="62"/>
  <c r="X276" i="62"/>
  <c r="W276" i="62"/>
  <c r="R276" i="62"/>
  <c r="F276" i="62"/>
  <c r="X275" i="62"/>
  <c r="W275" i="62"/>
  <c r="R275" i="62"/>
  <c r="F275" i="62"/>
  <c r="X274" i="62"/>
  <c r="W274" i="62"/>
  <c r="R274" i="62"/>
  <c r="F274" i="62"/>
  <c r="X273" i="62"/>
  <c r="W273" i="62"/>
  <c r="R273" i="62"/>
  <c r="F273" i="62"/>
  <c r="X272" i="62"/>
  <c r="W272" i="62"/>
  <c r="R272" i="62"/>
  <c r="F272" i="62"/>
  <c r="X271" i="62"/>
  <c r="W271" i="62"/>
  <c r="R271" i="62"/>
  <c r="F271" i="62"/>
  <c r="X270" i="62"/>
  <c r="W270" i="62"/>
  <c r="R270" i="62"/>
  <c r="F270" i="62"/>
  <c r="X269" i="62"/>
  <c r="W269" i="62"/>
  <c r="R269" i="62"/>
  <c r="F269" i="62"/>
  <c r="X268" i="62"/>
  <c r="W268" i="62"/>
  <c r="R268" i="62"/>
  <c r="F268" i="62"/>
  <c r="X267" i="62"/>
  <c r="W267" i="62"/>
  <c r="R267" i="62"/>
  <c r="F267" i="62"/>
  <c r="X266" i="62"/>
  <c r="W266" i="62"/>
  <c r="R266" i="62"/>
  <c r="F266" i="62"/>
  <c r="X265" i="62"/>
  <c r="W265" i="62"/>
  <c r="R265" i="62"/>
  <c r="F265" i="62"/>
  <c r="X264" i="62"/>
  <c r="W264" i="62"/>
  <c r="R264" i="62"/>
  <c r="F264" i="62"/>
  <c r="X263" i="62"/>
  <c r="W263" i="62"/>
  <c r="R263" i="62"/>
  <c r="F263" i="62"/>
  <c r="X262" i="62"/>
  <c r="W262" i="62"/>
  <c r="R262" i="62"/>
  <c r="F262" i="62"/>
  <c r="X261" i="62"/>
  <c r="W261" i="62"/>
  <c r="R261" i="62"/>
  <c r="F261" i="62"/>
  <c r="X260" i="62"/>
  <c r="W260" i="62"/>
  <c r="R260" i="62"/>
  <c r="F260" i="62"/>
  <c r="X259" i="62"/>
  <c r="W259" i="62"/>
  <c r="R259" i="62"/>
  <c r="F259" i="62"/>
  <c r="X258" i="62"/>
  <c r="W258" i="62"/>
  <c r="R258" i="62"/>
  <c r="F258" i="62"/>
  <c r="X257" i="62"/>
  <c r="W257" i="62"/>
  <c r="R257" i="62"/>
  <c r="F257" i="62"/>
  <c r="X256" i="62"/>
  <c r="W256" i="62"/>
  <c r="R256" i="62"/>
  <c r="F256" i="62"/>
  <c r="X255" i="62"/>
  <c r="W255" i="62"/>
  <c r="R255" i="62"/>
  <c r="F255" i="62"/>
  <c r="X254" i="62"/>
  <c r="W254" i="62"/>
  <c r="R254" i="62"/>
  <c r="F254" i="62"/>
  <c r="X253" i="62"/>
  <c r="W253" i="62"/>
  <c r="R253" i="62"/>
  <c r="F253" i="62"/>
  <c r="X252" i="62"/>
  <c r="W252" i="62"/>
  <c r="R252" i="62"/>
  <c r="F252" i="62"/>
  <c r="X251" i="62"/>
  <c r="W251" i="62"/>
  <c r="R251" i="62"/>
  <c r="F251" i="62"/>
  <c r="X250" i="62"/>
  <c r="W250" i="62"/>
  <c r="R250" i="62"/>
  <c r="F250" i="62"/>
  <c r="X249" i="62"/>
  <c r="W249" i="62"/>
  <c r="R249" i="62"/>
  <c r="F249" i="62"/>
  <c r="X248" i="62"/>
  <c r="W248" i="62"/>
  <c r="R248" i="62"/>
  <c r="F248" i="62"/>
  <c r="X247" i="62"/>
  <c r="W247" i="62"/>
  <c r="R247" i="62"/>
  <c r="F247" i="62"/>
  <c r="X246" i="62"/>
  <c r="W246" i="62"/>
  <c r="R246" i="62"/>
  <c r="F246" i="62"/>
  <c r="X245" i="62"/>
  <c r="W245" i="62"/>
  <c r="R245" i="62"/>
  <c r="F245" i="62"/>
  <c r="X244" i="62"/>
  <c r="W244" i="62"/>
  <c r="R244" i="62"/>
  <c r="F244" i="62"/>
  <c r="X243" i="62"/>
  <c r="W243" i="62"/>
  <c r="R243" i="62"/>
  <c r="F243" i="62"/>
  <c r="X242" i="62"/>
  <c r="W242" i="62"/>
  <c r="R242" i="62"/>
  <c r="F242" i="62"/>
  <c r="X241" i="62"/>
  <c r="W241" i="62"/>
  <c r="R241" i="62"/>
  <c r="F241" i="62"/>
  <c r="X240" i="62"/>
  <c r="W240" i="62"/>
  <c r="R240" i="62"/>
  <c r="F240" i="62"/>
  <c r="X239" i="62"/>
  <c r="W239" i="62"/>
  <c r="R239" i="62"/>
  <c r="F239" i="62"/>
  <c r="X238" i="62"/>
  <c r="W238" i="62"/>
  <c r="R238" i="62"/>
  <c r="F238" i="62"/>
  <c r="X237" i="62"/>
  <c r="W237" i="62"/>
  <c r="R237" i="62"/>
  <c r="F237" i="62"/>
  <c r="X236" i="62"/>
  <c r="W236" i="62"/>
  <c r="R236" i="62"/>
  <c r="F236" i="62"/>
  <c r="X235" i="62"/>
  <c r="W235" i="62"/>
  <c r="R235" i="62"/>
  <c r="F235" i="62"/>
  <c r="X234" i="62"/>
  <c r="W234" i="62"/>
  <c r="R234" i="62"/>
  <c r="F234" i="62"/>
  <c r="X233" i="62"/>
  <c r="W233" i="62"/>
  <c r="R233" i="62"/>
  <c r="F233" i="62"/>
  <c r="X232" i="62"/>
  <c r="W232" i="62"/>
  <c r="R232" i="62"/>
  <c r="F232" i="62"/>
  <c r="X231" i="62"/>
  <c r="W231" i="62"/>
  <c r="R231" i="62"/>
  <c r="F231" i="62"/>
  <c r="X230" i="62"/>
  <c r="W230" i="62"/>
  <c r="R230" i="62"/>
  <c r="F230" i="62"/>
  <c r="X229" i="62"/>
  <c r="W229" i="62"/>
  <c r="R229" i="62"/>
  <c r="F229" i="62"/>
  <c r="X228" i="62"/>
  <c r="W228" i="62"/>
  <c r="R228" i="62"/>
  <c r="F228" i="62"/>
  <c r="X227" i="62"/>
  <c r="W227" i="62"/>
  <c r="R227" i="62"/>
  <c r="F227" i="62"/>
  <c r="X226" i="62"/>
  <c r="W226" i="62"/>
  <c r="R226" i="62"/>
  <c r="F226" i="62"/>
  <c r="X225" i="62"/>
  <c r="W225" i="62"/>
  <c r="R225" i="62"/>
  <c r="F225" i="62"/>
  <c r="X224" i="62"/>
  <c r="W224" i="62"/>
  <c r="R224" i="62"/>
  <c r="F224" i="62"/>
  <c r="X223" i="62"/>
  <c r="W223" i="62"/>
  <c r="R223" i="62"/>
  <c r="F223" i="62"/>
  <c r="X222" i="62"/>
  <c r="W222" i="62"/>
  <c r="R222" i="62"/>
  <c r="F222" i="62"/>
  <c r="X221" i="62"/>
  <c r="W221" i="62"/>
  <c r="R221" i="62"/>
  <c r="F221" i="62"/>
  <c r="X220" i="62"/>
  <c r="W220" i="62"/>
  <c r="R220" i="62"/>
  <c r="F220" i="62"/>
  <c r="X219" i="62"/>
  <c r="W219" i="62"/>
  <c r="R219" i="62"/>
  <c r="F219" i="62"/>
  <c r="X218" i="62"/>
  <c r="W218" i="62"/>
  <c r="R218" i="62"/>
  <c r="F218" i="62"/>
  <c r="X217" i="62"/>
  <c r="W217" i="62"/>
  <c r="R217" i="62"/>
  <c r="F217" i="62"/>
  <c r="X216" i="62"/>
  <c r="W216" i="62"/>
  <c r="R216" i="62"/>
  <c r="F216" i="62"/>
  <c r="X215" i="62"/>
  <c r="W215" i="62"/>
  <c r="R215" i="62"/>
  <c r="F215" i="62"/>
  <c r="X214" i="62"/>
  <c r="W214" i="62"/>
  <c r="R214" i="62"/>
  <c r="F214" i="62"/>
  <c r="X213" i="62"/>
  <c r="W213" i="62"/>
  <c r="R213" i="62"/>
  <c r="F213" i="62"/>
  <c r="X212" i="62"/>
  <c r="W212" i="62"/>
  <c r="R212" i="62"/>
  <c r="F212" i="62"/>
  <c r="X211" i="62"/>
  <c r="W211" i="62"/>
  <c r="R211" i="62"/>
  <c r="F211" i="62"/>
  <c r="X210" i="62"/>
  <c r="W210" i="62"/>
  <c r="R210" i="62"/>
  <c r="F210" i="62"/>
  <c r="X209" i="62"/>
  <c r="W209" i="62"/>
  <c r="R209" i="62"/>
  <c r="F209" i="62"/>
  <c r="X208" i="62"/>
  <c r="W208" i="62"/>
  <c r="R208" i="62"/>
  <c r="F208" i="62"/>
  <c r="X207" i="62"/>
  <c r="W207" i="62"/>
  <c r="R207" i="62"/>
  <c r="F207" i="62"/>
  <c r="X206" i="62"/>
  <c r="W206" i="62"/>
  <c r="R206" i="62"/>
  <c r="F206" i="62"/>
  <c r="X205" i="62"/>
  <c r="W205" i="62"/>
  <c r="R205" i="62"/>
  <c r="F205" i="62"/>
  <c r="X204" i="62"/>
  <c r="W204" i="62"/>
  <c r="R204" i="62"/>
  <c r="F204" i="62"/>
  <c r="X203" i="62"/>
  <c r="W203" i="62"/>
  <c r="R203" i="62"/>
  <c r="F203" i="62"/>
  <c r="X202" i="62"/>
  <c r="W202" i="62"/>
  <c r="R202" i="62"/>
  <c r="F202" i="62"/>
  <c r="X201" i="62"/>
  <c r="W201" i="62"/>
  <c r="R201" i="62"/>
  <c r="F201" i="62"/>
  <c r="X200" i="62"/>
  <c r="W200" i="62"/>
  <c r="R200" i="62"/>
  <c r="F200" i="62"/>
  <c r="X199" i="62"/>
  <c r="W199" i="62"/>
  <c r="R199" i="62"/>
  <c r="F199" i="62"/>
  <c r="AB199" i="62" s="1"/>
  <c r="X198" i="62"/>
  <c r="W198" i="62"/>
  <c r="R198" i="62"/>
  <c r="F198" i="62"/>
  <c r="AB198" i="62" s="1"/>
  <c r="X197" i="62"/>
  <c r="W197" i="62"/>
  <c r="R197" i="62"/>
  <c r="F197" i="62"/>
  <c r="AB197" i="62" s="1"/>
  <c r="X196" i="62"/>
  <c r="W196" i="62"/>
  <c r="R196" i="62"/>
  <c r="F196" i="62"/>
  <c r="AB196" i="62" s="1"/>
  <c r="X195" i="62"/>
  <c r="W195" i="62"/>
  <c r="R195" i="62"/>
  <c r="F195" i="62"/>
  <c r="AB195" i="62" s="1"/>
  <c r="X194" i="62"/>
  <c r="W194" i="62"/>
  <c r="R194" i="62"/>
  <c r="F194" i="62"/>
  <c r="AB194" i="62" s="1"/>
  <c r="X193" i="62"/>
  <c r="W193" i="62"/>
  <c r="R193" i="62"/>
  <c r="F193" i="62"/>
  <c r="AB193" i="62" s="1"/>
  <c r="X192" i="62"/>
  <c r="W192" i="62"/>
  <c r="R192" i="62"/>
  <c r="F192" i="62"/>
  <c r="AB192" i="62" s="1"/>
  <c r="X191" i="62"/>
  <c r="W191" i="62"/>
  <c r="R191" i="62"/>
  <c r="F191" i="62"/>
  <c r="AB191" i="62" s="1"/>
  <c r="X190" i="62"/>
  <c r="W190" i="62"/>
  <c r="R190" i="62"/>
  <c r="F190" i="62"/>
  <c r="X189" i="62"/>
  <c r="W189" i="62"/>
  <c r="R189" i="62"/>
  <c r="F189" i="62"/>
  <c r="AB189" i="62" s="1"/>
  <c r="X188" i="62"/>
  <c r="W188" i="62"/>
  <c r="R188" i="62"/>
  <c r="F188" i="62"/>
  <c r="AB188" i="62" s="1"/>
  <c r="X187" i="62"/>
  <c r="W187" i="62"/>
  <c r="R187" i="62"/>
  <c r="F187" i="62"/>
  <c r="AB187" i="62" s="1"/>
  <c r="X186" i="62"/>
  <c r="W186" i="62"/>
  <c r="R186" i="62"/>
  <c r="F186" i="62"/>
  <c r="AB186" i="62" s="1"/>
  <c r="X185" i="62"/>
  <c r="W185" i="62"/>
  <c r="R185" i="62"/>
  <c r="F185" i="62"/>
  <c r="AB185" i="62" s="1"/>
  <c r="X184" i="62"/>
  <c r="W184" i="62"/>
  <c r="R184" i="62"/>
  <c r="F184" i="62"/>
  <c r="AB184" i="62" s="1"/>
  <c r="X183" i="62"/>
  <c r="W183" i="62"/>
  <c r="R183" i="62"/>
  <c r="F183" i="62"/>
  <c r="AB183" i="62" s="1"/>
  <c r="X182" i="62"/>
  <c r="W182" i="62"/>
  <c r="R182" i="62"/>
  <c r="F182" i="62"/>
  <c r="AB182" i="62" s="1"/>
  <c r="X181" i="62"/>
  <c r="W181" i="62"/>
  <c r="R181" i="62"/>
  <c r="F181" i="62"/>
  <c r="AB181" i="62" s="1"/>
  <c r="X180" i="62"/>
  <c r="W180" i="62"/>
  <c r="R180" i="62"/>
  <c r="F180" i="62"/>
  <c r="AB180" i="62" s="1"/>
  <c r="X179" i="62"/>
  <c r="W179" i="62"/>
  <c r="R179" i="62"/>
  <c r="F179" i="62"/>
  <c r="X178" i="62"/>
  <c r="W178" i="62"/>
  <c r="R178" i="62"/>
  <c r="F178" i="62"/>
  <c r="X177" i="62"/>
  <c r="W177" i="62"/>
  <c r="R177" i="62"/>
  <c r="F177" i="62"/>
  <c r="X176" i="62"/>
  <c r="W176" i="62"/>
  <c r="R176" i="62"/>
  <c r="F176" i="62"/>
  <c r="X175" i="62"/>
  <c r="W175" i="62"/>
  <c r="R175" i="62"/>
  <c r="F175" i="62"/>
  <c r="X174" i="62"/>
  <c r="W174" i="62"/>
  <c r="R174" i="62"/>
  <c r="F174" i="62"/>
  <c r="X173" i="62"/>
  <c r="W173" i="62"/>
  <c r="R173" i="62"/>
  <c r="F173" i="62"/>
  <c r="X172" i="62"/>
  <c r="W172" i="62"/>
  <c r="R172" i="62"/>
  <c r="F172" i="62"/>
  <c r="X171" i="62"/>
  <c r="W171" i="62"/>
  <c r="R171" i="62"/>
  <c r="F171" i="62"/>
  <c r="X170" i="62"/>
  <c r="W170" i="62"/>
  <c r="R170" i="62"/>
  <c r="F170" i="62"/>
  <c r="X169" i="62"/>
  <c r="W169" i="62"/>
  <c r="R169" i="62"/>
  <c r="F169" i="62"/>
  <c r="X168" i="62"/>
  <c r="W168" i="62"/>
  <c r="R168" i="62"/>
  <c r="F168" i="62"/>
  <c r="X167" i="62"/>
  <c r="W167" i="62"/>
  <c r="R167" i="62"/>
  <c r="F167" i="62"/>
  <c r="R166" i="62"/>
  <c r="F166" i="62"/>
  <c r="R165" i="62"/>
  <c r="F165" i="62"/>
  <c r="R164" i="62"/>
  <c r="F164" i="62"/>
  <c r="X163" i="62"/>
  <c r="W163" i="62"/>
  <c r="R163" i="62"/>
  <c r="F163" i="62"/>
  <c r="X162" i="62"/>
  <c r="W162" i="62"/>
  <c r="R162" i="62"/>
  <c r="F162" i="62"/>
  <c r="X161" i="62"/>
  <c r="W161" i="62"/>
  <c r="R161" i="62"/>
  <c r="F161" i="62"/>
  <c r="X160" i="62"/>
  <c r="W160" i="62"/>
  <c r="R160" i="62"/>
  <c r="F160" i="62"/>
  <c r="X159" i="62"/>
  <c r="W159" i="62"/>
  <c r="R159" i="62"/>
  <c r="F159" i="62"/>
  <c r="X158" i="62"/>
  <c r="W158" i="62"/>
  <c r="R158" i="62"/>
  <c r="F158" i="62"/>
  <c r="X157" i="62"/>
  <c r="W157" i="62"/>
  <c r="R157" i="62"/>
  <c r="F157" i="62"/>
  <c r="X156" i="62"/>
  <c r="W156" i="62"/>
  <c r="R156" i="62"/>
  <c r="F156" i="62"/>
  <c r="X155" i="62"/>
  <c r="W155" i="62"/>
  <c r="R155" i="62"/>
  <c r="F155" i="62"/>
  <c r="X154" i="62"/>
  <c r="W154" i="62"/>
  <c r="R154" i="62"/>
  <c r="F154" i="62"/>
  <c r="X153" i="62"/>
  <c r="W153" i="62"/>
  <c r="R153" i="62"/>
  <c r="F153" i="62"/>
  <c r="X152" i="62"/>
  <c r="W152" i="62"/>
  <c r="R152" i="62"/>
  <c r="F152" i="62"/>
  <c r="X151" i="62"/>
  <c r="W151" i="62"/>
  <c r="R151" i="62"/>
  <c r="F151" i="62"/>
  <c r="X150" i="62"/>
  <c r="W150" i="62"/>
  <c r="R150" i="62"/>
  <c r="F150" i="62"/>
  <c r="X149" i="62"/>
  <c r="W149" i="62"/>
  <c r="R149" i="62"/>
  <c r="F149" i="62"/>
  <c r="X148" i="62"/>
  <c r="W148" i="62"/>
  <c r="R148" i="62"/>
  <c r="F148" i="62"/>
  <c r="X147" i="62"/>
  <c r="W147" i="62"/>
  <c r="R147" i="62"/>
  <c r="F147" i="62"/>
  <c r="X146" i="62"/>
  <c r="W146" i="62"/>
  <c r="R146" i="62"/>
  <c r="F146" i="62"/>
  <c r="X145" i="62"/>
  <c r="W145" i="62"/>
  <c r="R145" i="62"/>
  <c r="F145" i="62"/>
  <c r="X144" i="62"/>
  <c r="W144" i="62"/>
  <c r="R144" i="62"/>
  <c r="F144" i="62"/>
  <c r="X143" i="62"/>
  <c r="W143" i="62"/>
  <c r="R143" i="62"/>
  <c r="F143" i="62"/>
  <c r="X142" i="62"/>
  <c r="W142" i="62"/>
  <c r="R142" i="62"/>
  <c r="F142" i="62"/>
  <c r="X141" i="62"/>
  <c r="W141" i="62"/>
  <c r="R141" i="62"/>
  <c r="F141" i="62"/>
  <c r="X140" i="62"/>
  <c r="W140" i="62"/>
  <c r="R140" i="62"/>
  <c r="F140" i="62"/>
  <c r="X139" i="62"/>
  <c r="W139" i="62"/>
  <c r="R139" i="62"/>
  <c r="F139" i="62"/>
  <c r="X138" i="62"/>
  <c r="W138" i="62"/>
  <c r="R138" i="62"/>
  <c r="F138" i="62"/>
  <c r="X137" i="62"/>
  <c r="W137" i="62"/>
  <c r="R137" i="62"/>
  <c r="F137" i="62"/>
  <c r="X136" i="62"/>
  <c r="W136" i="62"/>
  <c r="R136" i="62"/>
  <c r="F136" i="62"/>
  <c r="X135" i="62"/>
  <c r="W135" i="62"/>
  <c r="R135" i="62"/>
  <c r="F135" i="62"/>
  <c r="X134" i="62"/>
  <c r="W134" i="62"/>
  <c r="R134" i="62"/>
  <c r="F134" i="62"/>
  <c r="X133" i="62"/>
  <c r="W133" i="62"/>
  <c r="R133" i="62"/>
  <c r="F133" i="62"/>
  <c r="X132" i="62"/>
  <c r="W132" i="62"/>
  <c r="R132" i="62"/>
  <c r="F132" i="62"/>
  <c r="X131" i="62"/>
  <c r="W131" i="62"/>
  <c r="R131" i="62"/>
  <c r="F131" i="62"/>
  <c r="X130" i="62"/>
  <c r="W130" i="62"/>
  <c r="R130" i="62"/>
  <c r="F130" i="62"/>
  <c r="X129" i="62"/>
  <c r="W129" i="62"/>
  <c r="R129" i="62"/>
  <c r="F129" i="62"/>
  <c r="X128" i="62"/>
  <c r="W128" i="62"/>
  <c r="R128" i="62"/>
  <c r="F128" i="62"/>
  <c r="X127" i="62"/>
  <c r="W127" i="62"/>
  <c r="R127" i="62"/>
  <c r="F127" i="62"/>
  <c r="X126" i="62"/>
  <c r="W126" i="62"/>
  <c r="R126" i="62"/>
  <c r="F126" i="62"/>
  <c r="X125" i="62"/>
  <c r="W125" i="62"/>
  <c r="R125" i="62"/>
  <c r="F125" i="62"/>
  <c r="X124" i="62"/>
  <c r="W124" i="62"/>
  <c r="R124" i="62"/>
  <c r="F124" i="62"/>
  <c r="X123" i="62"/>
  <c r="W123" i="62"/>
  <c r="R123" i="62"/>
  <c r="F123" i="62"/>
  <c r="X122" i="62"/>
  <c r="W122" i="62"/>
  <c r="R122" i="62"/>
  <c r="F122" i="62"/>
  <c r="X121" i="62"/>
  <c r="W121" i="62"/>
  <c r="R121" i="62"/>
  <c r="F121" i="62"/>
  <c r="X120" i="62"/>
  <c r="W120" i="62"/>
  <c r="R120" i="62"/>
  <c r="F120" i="62"/>
  <c r="X119" i="62"/>
  <c r="W119" i="62"/>
  <c r="R119" i="62"/>
  <c r="F119" i="62"/>
  <c r="X118" i="62"/>
  <c r="W118" i="62"/>
  <c r="R118" i="62"/>
  <c r="F118" i="62"/>
  <c r="X117" i="62"/>
  <c r="W117" i="62"/>
  <c r="R117" i="62"/>
  <c r="F117" i="62"/>
  <c r="X116" i="62"/>
  <c r="W116" i="62"/>
  <c r="R116" i="62"/>
  <c r="F116" i="62"/>
  <c r="X115" i="62"/>
  <c r="W115" i="62"/>
  <c r="R115" i="62"/>
  <c r="F115" i="62"/>
  <c r="X114" i="62"/>
  <c r="W114" i="62"/>
  <c r="R114" i="62"/>
  <c r="F114" i="62"/>
  <c r="X113" i="62"/>
  <c r="W113" i="62"/>
  <c r="R113" i="62"/>
  <c r="F113" i="62"/>
  <c r="X112" i="62"/>
  <c r="W112" i="62"/>
  <c r="R112" i="62"/>
  <c r="F112" i="62"/>
  <c r="X111" i="62"/>
  <c r="W111" i="62"/>
  <c r="R111" i="62"/>
  <c r="F111" i="62"/>
  <c r="X110" i="62"/>
  <c r="W110" i="62"/>
  <c r="R110" i="62"/>
  <c r="F110" i="62"/>
  <c r="X109" i="62"/>
  <c r="W109" i="62"/>
  <c r="R109" i="62"/>
  <c r="F109" i="62"/>
  <c r="X108" i="62"/>
  <c r="W108" i="62"/>
  <c r="R108" i="62"/>
  <c r="F108" i="62"/>
  <c r="X107" i="62"/>
  <c r="W107" i="62"/>
  <c r="R107" i="62"/>
  <c r="F107" i="62"/>
  <c r="X106" i="62"/>
  <c r="W106" i="62"/>
  <c r="R106" i="62"/>
  <c r="F106" i="62"/>
  <c r="X105" i="62"/>
  <c r="W105" i="62"/>
  <c r="R105" i="62"/>
  <c r="F105" i="62"/>
  <c r="X104" i="62"/>
  <c r="W104" i="62"/>
  <c r="R104" i="62"/>
  <c r="F104" i="62"/>
  <c r="X103" i="62"/>
  <c r="W103" i="62"/>
  <c r="R103" i="62"/>
  <c r="F103" i="62"/>
  <c r="X102" i="62"/>
  <c r="W102" i="62"/>
  <c r="R102" i="62"/>
  <c r="F102" i="62"/>
  <c r="X101" i="62"/>
  <c r="W101" i="62"/>
  <c r="R101" i="62"/>
  <c r="F101" i="62"/>
  <c r="X100" i="62"/>
  <c r="W100" i="62"/>
  <c r="R100" i="62"/>
  <c r="F100" i="62"/>
  <c r="X99" i="62"/>
  <c r="W99" i="62"/>
  <c r="R99" i="62"/>
  <c r="F99" i="62"/>
  <c r="X98" i="62"/>
  <c r="W98" i="62"/>
  <c r="R98" i="62"/>
  <c r="F98" i="62"/>
  <c r="X97" i="62"/>
  <c r="W97" i="62"/>
  <c r="R97" i="62"/>
  <c r="F97" i="62"/>
  <c r="X96" i="62"/>
  <c r="W96" i="62"/>
  <c r="R96" i="62"/>
  <c r="F96" i="62"/>
  <c r="X95" i="62"/>
  <c r="W95" i="62"/>
  <c r="R95" i="62"/>
  <c r="F95" i="62"/>
  <c r="X94" i="62"/>
  <c r="W94" i="62"/>
  <c r="R94" i="62"/>
  <c r="F94" i="62"/>
  <c r="X93" i="62"/>
  <c r="W93" i="62"/>
  <c r="R93" i="62"/>
  <c r="F93" i="62"/>
  <c r="X92" i="62"/>
  <c r="W92" i="62"/>
  <c r="R92" i="62"/>
  <c r="F92" i="62"/>
  <c r="X91" i="62"/>
  <c r="W91" i="62"/>
  <c r="R91" i="62"/>
  <c r="F91" i="62"/>
  <c r="X90" i="62"/>
  <c r="W90" i="62"/>
  <c r="R90" i="62"/>
  <c r="F90" i="62"/>
  <c r="X89" i="62"/>
  <c r="W89" i="62"/>
  <c r="R89" i="62"/>
  <c r="F89" i="62"/>
  <c r="X88" i="62"/>
  <c r="W88" i="62"/>
  <c r="R88" i="62"/>
  <c r="F88" i="62"/>
  <c r="X87" i="62"/>
  <c r="W87" i="62"/>
  <c r="R87" i="62"/>
  <c r="F87" i="62"/>
  <c r="X86" i="62"/>
  <c r="W86" i="62"/>
  <c r="R86" i="62"/>
  <c r="F86" i="62"/>
  <c r="X85" i="62"/>
  <c r="W85" i="62"/>
  <c r="R85" i="62"/>
  <c r="F85" i="62"/>
  <c r="X84" i="62"/>
  <c r="W84" i="62"/>
  <c r="R84" i="62"/>
  <c r="F84" i="62"/>
  <c r="X83" i="62"/>
  <c r="W83" i="62"/>
  <c r="R83" i="62"/>
  <c r="F83" i="62"/>
  <c r="X82" i="62"/>
  <c r="W82" i="62"/>
  <c r="R82" i="62"/>
  <c r="F82" i="62"/>
  <c r="X81" i="62"/>
  <c r="W81" i="62"/>
  <c r="R81" i="62"/>
  <c r="F81" i="62"/>
  <c r="X80" i="62"/>
  <c r="W80" i="62"/>
  <c r="R80" i="62"/>
  <c r="F80" i="62"/>
  <c r="X79" i="62"/>
  <c r="W79" i="62"/>
  <c r="R79" i="62"/>
  <c r="F79" i="62"/>
  <c r="X78" i="62"/>
  <c r="W78" i="62"/>
  <c r="R78" i="62"/>
  <c r="F78" i="62"/>
  <c r="X77" i="62"/>
  <c r="W77" i="62"/>
  <c r="R77" i="62"/>
  <c r="F77" i="62"/>
  <c r="X76" i="62"/>
  <c r="W76" i="62"/>
  <c r="R76" i="62"/>
  <c r="F76" i="62"/>
  <c r="X75" i="62"/>
  <c r="W75" i="62"/>
  <c r="R75" i="62"/>
  <c r="F75" i="62"/>
  <c r="X74" i="62"/>
  <c r="W74" i="62"/>
  <c r="R74" i="62"/>
  <c r="F74" i="62"/>
  <c r="X73" i="62"/>
  <c r="W73" i="62"/>
  <c r="R73" i="62"/>
  <c r="F73" i="62"/>
  <c r="X72" i="62"/>
  <c r="W72" i="62"/>
  <c r="R72" i="62"/>
  <c r="F72" i="62"/>
  <c r="X71" i="62"/>
  <c r="W71" i="62"/>
  <c r="R71" i="62"/>
  <c r="F71" i="62"/>
  <c r="X70" i="62"/>
  <c r="W70" i="62"/>
  <c r="R70" i="62"/>
  <c r="F70" i="62"/>
  <c r="X69" i="62"/>
  <c r="W69" i="62"/>
  <c r="R69" i="62"/>
  <c r="F69" i="62"/>
  <c r="X68" i="62"/>
  <c r="W68" i="62"/>
  <c r="R68" i="62"/>
  <c r="F68" i="62"/>
  <c r="X67" i="62"/>
  <c r="W67" i="62"/>
  <c r="R67" i="62"/>
  <c r="F67" i="62"/>
  <c r="X66" i="62"/>
  <c r="W66" i="62"/>
  <c r="R66" i="62"/>
  <c r="F66" i="62"/>
  <c r="X65" i="62"/>
  <c r="W65" i="62"/>
  <c r="R65" i="62"/>
  <c r="F65" i="62"/>
  <c r="X64" i="62"/>
  <c r="W64" i="62"/>
  <c r="R64" i="62"/>
  <c r="F64" i="62"/>
  <c r="X63" i="62"/>
  <c r="W63" i="62"/>
  <c r="R63" i="62"/>
  <c r="F63" i="62"/>
  <c r="X62" i="62"/>
  <c r="W62" i="62"/>
  <c r="R62" i="62"/>
  <c r="F62" i="62"/>
  <c r="X61" i="62"/>
  <c r="W61" i="62"/>
  <c r="R61" i="62"/>
  <c r="F61" i="62"/>
  <c r="X60" i="62"/>
  <c r="W60" i="62"/>
  <c r="R60" i="62"/>
  <c r="F60" i="62"/>
  <c r="X59" i="62"/>
  <c r="W59" i="62"/>
  <c r="R59" i="62"/>
  <c r="F59" i="62"/>
  <c r="X58" i="62"/>
  <c r="W58" i="62"/>
  <c r="R58" i="62"/>
  <c r="F58" i="62"/>
  <c r="X57" i="62"/>
  <c r="W57" i="62"/>
  <c r="R57" i="62"/>
  <c r="F57" i="62"/>
  <c r="X56" i="62"/>
  <c r="W56" i="62"/>
  <c r="R56" i="62"/>
  <c r="F56" i="62"/>
  <c r="X55" i="62"/>
  <c r="W55" i="62"/>
  <c r="R55" i="62"/>
  <c r="F55" i="62"/>
  <c r="X54" i="62"/>
  <c r="W54" i="62"/>
  <c r="R54" i="62"/>
  <c r="F54" i="62"/>
  <c r="X53" i="62"/>
  <c r="W53" i="62"/>
  <c r="R53" i="62"/>
  <c r="F53" i="62"/>
  <c r="X52" i="62"/>
  <c r="W52" i="62"/>
  <c r="R52" i="62"/>
  <c r="F52" i="62"/>
  <c r="X51" i="62"/>
  <c r="W51" i="62"/>
  <c r="R51" i="62"/>
  <c r="F51" i="62"/>
  <c r="X50" i="62"/>
  <c r="W50" i="62"/>
  <c r="R50" i="62"/>
  <c r="F50" i="62"/>
  <c r="X49" i="62"/>
  <c r="W49" i="62"/>
  <c r="R49" i="62"/>
  <c r="F49" i="62"/>
  <c r="X48" i="62"/>
  <c r="W48" i="62"/>
  <c r="R48" i="62"/>
  <c r="F48" i="62"/>
  <c r="X47" i="62"/>
  <c r="W47" i="62"/>
  <c r="R47" i="62"/>
  <c r="F47" i="62"/>
  <c r="X46" i="62"/>
  <c r="W46" i="62"/>
  <c r="R46" i="62"/>
  <c r="F46" i="62"/>
  <c r="X45" i="62"/>
  <c r="W45" i="62"/>
  <c r="R45" i="62"/>
  <c r="F45" i="62"/>
  <c r="X44" i="62"/>
  <c r="W44" i="62"/>
  <c r="R44" i="62"/>
  <c r="F44" i="62"/>
  <c r="X43" i="62"/>
  <c r="W43" i="62"/>
  <c r="R43" i="62"/>
  <c r="F43" i="62"/>
  <c r="X42" i="62"/>
  <c r="W42" i="62"/>
  <c r="R42" i="62"/>
  <c r="F42" i="62"/>
  <c r="X41" i="62"/>
  <c r="W41" i="62"/>
  <c r="R41" i="62"/>
  <c r="F41" i="62"/>
  <c r="X40" i="62"/>
  <c r="W40" i="62"/>
  <c r="R40" i="62"/>
  <c r="F40" i="62"/>
  <c r="X39" i="62"/>
  <c r="W39" i="62"/>
  <c r="R39" i="62"/>
  <c r="F39" i="62"/>
  <c r="X38" i="62"/>
  <c r="W38" i="62"/>
  <c r="R38" i="62"/>
  <c r="F38" i="62"/>
  <c r="X37" i="62"/>
  <c r="W37" i="62"/>
  <c r="R37" i="62"/>
  <c r="F37" i="62"/>
  <c r="X36" i="62"/>
  <c r="W36" i="62"/>
  <c r="R36" i="62"/>
  <c r="F36" i="62"/>
  <c r="X35" i="62"/>
  <c r="W35" i="62"/>
  <c r="R35" i="62"/>
  <c r="F35" i="62"/>
  <c r="X34" i="62"/>
  <c r="W34" i="62"/>
  <c r="R34" i="62"/>
  <c r="F34" i="62"/>
  <c r="X33" i="62"/>
  <c r="W33" i="62"/>
  <c r="R33" i="62"/>
  <c r="F33" i="62"/>
  <c r="X32" i="62"/>
  <c r="W32" i="62"/>
  <c r="R32" i="62"/>
  <c r="F32" i="62"/>
  <c r="X31" i="62"/>
  <c r="W31" i="62"/>
  <c r="R31" i="62"/>
  <c r="F31" i="62"/>
  <c r="X30" i="62"/>
  <c r="W30" i="62"/>
  <c r="R30" i="62"/>
  <c r="F30" i="62"/>
  <c r="X29" i="62"/>
  <c r="W29" i="62"/>
  <c r="R29" i="62"/>
  <c r="F29" i="62"/>
  <c r="X28" i="62"/>
  <c r="W28" i="62"/>
  <c r="R28" i="62"/>
  <c r="F28" i="62"/>
  <c r="X27" i="62"/>
  <c r="W27" i="62"/>
  <c r="R27" i="62"/>
  <c r="F27" i="62"/>
  <c r="X26" i="62"/>
  <c r="W26" i="62"/>
  <c r="R26" i="62"/>
  <c r="F26" i="62"/>
  <c r="X25" i="62"/>
  <c r="W25" i="62"/>
  <c r="R25" i="62"/>
  <c r="F25" i="62"/>
  <c r="X24" i="62"/>
  <c r="W24" i="62"/>
  <c r="R24" i="62"/>
  <c r="F24" i="62"/>
  <c r="X23" i="62"/>
  <c r="W23" i="62"/>
  <c r="R23" i="62"/>
  <c r="F23" i="62"/>
  <c r="X22" i="62"/>
  <c r="W22" i="62"/>
  <c r="R22" i="62"/>
  <c r="F22" i="62"/>
  <c r="X21" i="62"/>
  <c r="W21" i="62"/>
  <c r="R21" i="62"/>
  <c r="F21" i="62"/>
  <c r="X20" i="62"/>
  <c r="W20" i="62"/>
  <c r="R20" i="62"/>
  <c r="F20" i="62"/>
  <c r="X19" i="62"/>
  <c r="W19" i="62"/>
  <c r="R19" i="62"/>
  <c r="F19" i="62"/>
  <c r="X18" i="62"/>
  <c r="W18" i="62"/>
  <c r="R18" i="62"/>
  <c r="F18" i="62"/>
  <c r="X17" i="62"/>
  <c r="W17" i="62"/>
  <c r="R17" i="62"/>
  <c r="F17" i="62"/>
  <c r="X16" i="62"/>
  <c r="W16" i="62"/>
  <c r="R16" i="62"/>
  <c r="P16" i="62"/>
  <c r="P17" i="62" s="1"/>
  <c r="P18" i="62" s="1"/>
  <c r="P19" i="62" s="1"/>
  <c r="P20" i="62" s="1"/>
  <c r="P21" i="62" s="1"/>
  <c r="P22" i="62" s="1"/>
  <c r="P23" i="62" s="1"/>
  <c r="P24" i="62" s="1"/>
  <c r="P25" i="62" s="1"/>
  <c r="P26" i="62" s="1"/>
  <c r="P27" i="62" s="1"/>
  <c r="P28" i="62" s="1"/>
  <c r="P29" i="62" s="1"/>
  <c r="P30" i="62" s="1"/>
  <c r="P31" i="62" s="1"/>
  <c r="P32" i="62" s="1"/>
  <c r="P33" i="62" s="1"/>
  <c r="P34" i="62" s="1"/>
  <c r="P35" i="62" s="1"/>
  <c r="P36" i="62" s="1"/>
  <c r="P37" i="62" s="1"/>
  <c r="P38" i="62" s="1"/>
  <c r="P39" i="62" s="1"/>
  <c r="P40" i="62" s="1"/>
  <c r="P41" i="62" s="1"/>
  <c r="P42" i="62" s="1"/>
  <c r="P43" i="62" s="1"/>
  <c r="P44" i="62" s="1"/>
  <c r="P45" i="62" s="1"/>
  <c r="P46" i="62" s="1"/>
  <c r="P47" i="62" s="1"/>
  <c r="P48" i="62" s="1"/>
  <c r="P49" i="62" s="1"/>
  <c r="P50" i="62" s="1"/>
  <c r="P51" i="62" s="1"/>
  <c r="P52" i="62" s="1"/>
  <c r="P53" i="62" s="1"/>
  <c r="P54" i="62" s="1"/>
  <c r="P55" i="62" s="1"/>
  <c r="P56" i="62" s="1"/>
  <c r="P57" i="62" s="1"/>
  <c r="P58" i="62" s="1"/>
  <c r="P59" i="62" s="1"/>
  <c r="P60" i="62" s="1"/>
  <c r="P61" i="62" s="1"/>
  <c r="P62" i="62" s="1"/>
  <c r="P63" i="62" s="1"/>
  <c r="P64" i="62" s="1"/>
  <c r="P65" i="62" s="1"/>
  <c r="P66" i="62" s="1"/>
  <c r="P67" i="62" s="1"/>
  <c r="P68" i="62" s="1"/>
  <c r="P69" i="62" s="1"/>
  <c r="P70" i="62" s="1"/>
  <c r="P71" i="62" s="1"/>
  <c r="P72" i="62" s="1"/>
  <c r="P73" i="62" s="1"/>
  <c r="P74" i="62" s="1"/>
  <c r="P75" i="62" s="1"/>
  <c r="P76" i="62" s="1"/>
  <c r="P77" i="62" s="1"/>
  <c r="P78" i="62" s="1"/>
  <c r="P79" i="62" s="1"/>
  <c r="P80" i="62" s="1"/>
  <c r="P81" i="62" s="1"/>
  <c r="P82" i="62" s="1"/>
  <c r="P83" i="62" s="1"/>
  <c r="P84" i="62" s="1"/>
  <c r="P85" i="62" s="1"/>
  <c r="P86" i="62" s="1"/>
  <c r="P87" i="62" s="1"/>
  <c r="P88" i="62" s="1"/>
  <c r="P89" i="62" s="1"/>
  <c r="P90" i="62" s="1"/>
  <c r="P91" i="62" s="1"/>
  <c r="P92" i="62" s="1"/>
  <c r="P93" i="62" s="1"/>
  <c r="P94" i="62" s="1"/>
  <c r="P95" i="62" s="1"/>
  <c r="P96" i="62" s="1"/>
  <c r="P97" i="62" s="1"/>
  <c r="P98" i="62" s="1"/>
  <c r="P99" i="62" s="1"/>
  <c r="P100" i="62" s="1"/>
  <c r="P101" i="62" s="1"/>
  <c r="P102" i="62" s="1"/>
  <c r="P103" i="62" s="1"/>
  <c r="P104" i="62" s="1"/>
  <c r="P105" i="62" s="1"/>
  <c r="P106" i="62" s="1"/>
  <c r="P107" i="62" s="1"/>
  <c r="P108" i="62" s="1"/>
  <c r="P109" i="62" s="1"/>
  <c r="P110" i="62" s="1"/>
  <c r="P111" i="62" s="1"/>
  <c r="P112" i="62" s="1"/>
  <c r="P113" i="62" s="1"/>
  <c r="P114" i="62" s="1"/>
  <c r="P115" i="62" s="1"/>
  <c r="P116" i="62" s="1"/>
  <c r="P117" i="62" s="1"/>
  <c r="P118" i="62" s="1"/>
  <c r="P119" i="62" s="1"/>
  <c r="P120" i="62" s="1"/>
  <c r="P121" i="62" s="1"/>
  <c r="P122" i="62" s="1"/>
  <c r="P123" i="62" s="1"/>
  <c r="P124" i="62" s="1"/>
  <c r="P125" i="62" s="1"/>
  <c r="P126" i="62" s="1"/>
  <c r="P127" i="62" s="1"/>
  <c r="P128" i="62" s="1"/>
  <c r="P129" i="62" s="1"/>
  <c r="P130" i="62" s="1"/>
  <c r="P131" i="62" s="1"/>
  <c r="P132" i="62" s="1"/>
  <c r="P133" i="62" s="1"/>
  <c r="P134" i="62" s="1"/>
  <c r="P135" i="62" s="1"/>
  <c r="P136" i="62" s="1"/>
  <c r="P137" i="62" s="1"/>
  <c r="P138" i="62" s="1"/>
  <c r="P139" i="62" s="1"/>
  <c r="P140" i="62" s="1"/>
  <c r="P141" i="62" s="1"/>
  <c r="P142" i="62" s="1"/>
  <c r="P143" i="62" s="1"/>
  <c r="P144" i="62" s="1"/>
  <c r="P145" i="62" s="1"/>
  <c r="P146" i="62" s="1"/>
  <c r="P147" i="62" s="1"/>
  <c r="P148" i="62" s="1"/>
  <c r="P149" i="62" s="1"/>
  <c r="P150" i="62" s="1"/>
  <c r="P151" i="62" s="1"/>
  <c r="P152" i="62" s="1"/>
  <c r="P153" i="62" s="1"/>
  <c r="P154" i="62" s="1"/>
  <c r="P155" i="62" s="1"/>
  <c r="P156" i="62" s="1"/>
  <c r="P157" i="62" s="1"/>
  <c r="P158" i="62" s="1"/>
  <c r="P159" i="62" s="1"/>
  <c r="P160" i="62" s="1"/>
  <c r="P161" i="62" s="1"/>
  <c r="P162" i="62" s="1"/>
  <c r="P163" i="62" s="1"/>
  <c r="P164" i="62" s="1"/>
  <c r="P165" i="62" s="1"/>
  <c r="P166" i="62" s="1"/>
  <c r="P167" i="62" s="1"/>
  <c r="P168" i="62" s="1"/>
  <c r="P169" i="62" s="1"/>
  <c r="P170" i="62" s="1"/>
  <c r="P171" i="62" s="1"/>
  <c r="P172" i="62" s="1"/>
  <c r="P173" i="62" s="1"/>
  <c r="P174" i="62" s="1"/>
  <c r="P175" i="62" s="1"/>
  <c r="P176" i="62" s="1"/>
  <c r="P177" i="62" s="1"/>
  <c r="P178" i="62" s="1"/>
  <c r="P179" i="62" s="1"/>
  <c r="P180" i="62" s="1"/>
  <c r="P181" i="62" s="1"/>
  <c r="P182" i="62" s="1"/>
  <c r="P183" i="62" s="1"/>
  <c r="P184" i="62" s="1"/>
  <c r="P185" i="62" s="1"/>
  <c r="P186" i="62" s="1"/>
  <c r="P187" i="62" s="1"/>
  <c r="P188" i="62" s="1"/>
  <c r="P189" i="62" s="1"/>
  <c r="P190" i="62" s="1"/>
  <c r="P191" i="62" s="1"/>
  <c r="P192" i="62" s="1"/>
  <c r="P193" i="62" s="1"/>
  <c r="P194" i="62" s="1"/>
  <c r="P195" i="62" s="1"/>
  <c r="P196" i="62" s="1"/>
  <c r="P197" i="62" s="1"/>
  <c r="P198" i="62" s="1"/>
  <c r="P199" i="62" s="1"/>
  <c r="P200" i="62" s="1"/>
  <c r="P201" i="62" s="1"/>
  <c r="P202" i="62" s="1"/>
  <c r="P203" i="62" s="1"/>
  <c r="P204" i="62" s="1"/>
  <c r="P205" i="62" s="1"/>
  <c r="P206" i="62" s="1"/>
  <c r="P207" i="62" s="1"/>
  <c r="P208" i="62" s="1"/>
  <c r="P209" i="62" s="1"/>
  <c r="P210" i="62" s="1"/>
  <c r="P211" i="62" s="1"/>
  <c r="P212" i="62" s="1"/>
  <c r="P213" i="62" s="1"/>
  <c r="P214" i="62" s="1"/>
  <c r="P215" i="62" s="1"/>
  <c r="P216" i="62" s="1"/>
  <c r="P217" i="62" s="1"/>
  <c r="P218" i="62" s="1"/>
  <c r="P219" i="62" s="1"/>
  <c r="P220" i="62" s="1"/>
  <c r="P221" i="62" s="1"/>
  <c r="P222" i="62" s="1"/>
  <c r="P223" i="62" s="1"/>
  <c r="P224" i="62" s="1"/>
  <c r="P225" i="62" s="1"/>
  <c r="P226" i="62" s="1"/>
  <c r="P227" i="62" s="1"/>
  <c r="P228" i="62" s="1"/>
  <c r="P229" i="62" s="1"/>
  <c r="P230" i="62" s="1"/>
  <c r="P231" i="62" s="1"/>
  <c r="P232" i="62" s="1"/>
  <c r="P233" i="62" s="1"/>
  <c r="P234" i="62" s="1"/>
  <c r="P235" i="62" s="1"/>
  <c r="P236" i="62" s="1"/>
  <c r="P237" i="62" s="1"/>
  <c r="P238" i="62" s="1"/>
  <c r="P239" i="62" s="1"/>
  <c r="P240" i="62" s="1"/>
  <c r="P241" i="62" s="1"/>
  <c r="P242" i="62" s="1"/>
  <c r="P243" i="62" s="1"/>
  <c r="P244" i="62" s="1"/>
  <c r="P245" i="62" s="1"/>
  <c r="P246" i="62" s="1"/>
  <c r="P247" i="62" s="1"/>
  <c r="P248" i="62" s="1"/>
  <c r="P249" i="62" s="1"/>
  <c r="P250" i="62" s="1"/>
  <c r="P251" i="62" s="1"/>
  <c r="P252" i="62" s="1"/>
  <c r="P253" i="62" s="1"/>
  <c r="P254" i="62" s="1"/>
  <c r="P255" i="62" s="1"/>
  <c r="P256" i="62" s="1"/>
  <c r="P257" i="62" s="1"/>
  <c r="P258" i="62" s="1"/>
  <c r="P259" i="62" s="1"/>
  <c r="P260" i="62" s="1"/>
  <c r="P261" i="62" s="1"/>
  <c r="P262" i="62" s="1"/>
  <c r="P263" i="62" s="1"/>
  <c r="P264" i="62" s="1"/>
  <c r="P265" i="62" s="1"/>
  <c r="P266" i="62" s="1"/>
  <c r="P267" i="62" s="1"/>
  <c r="P268" i="62" s="1"/>
  <c r="P269" i="62" s="1"/>
  <c r="P270" i="62" s="1"/>
  <c r="P271" i="62" s="1"/>
  <c r="P272" i="62" s="1"/>
  <c r="P273" i="62" s="1"/>
  <c r="P274" i="62" s="1"/>
  <c r="P275" i="62" s="1"/>
  <c r="P276" i="62" s="1"/>
  <c r="P277" i="62" s="1"/>
  <c r="P278" i="62" s="1"/>
  <c r="P279" i="62" s="1"/>
  <c r="P280" i="62" s="1"/>
  <c r="P281" i="62" s="1"/>
  <c r="P282" i="62" s="1"/>
  <c r="P283" i="62" s="1"/>
  <c r="P284" i="62" s="1"/>
  <c r="P285" i="62" s="1"/>
  <c r="P286" i="62" s="1"/>
  <c r="P287" i="62" s="1"/>
  <c r="P288" i="62" s="1"/>
  <c r="P289" i="62" s="1"/>
  <c r="P290" i="62" s="1"/>
  <c r="P291" i="62" s="1"/>
  <c r="P292" i="62" s="1"/>
  <c r="P293" i="62" s="1"/>
  <c r="P294" i="62" s="1"/>
  <c r="P295" i="62" s="1"/>
  <c r="P296" i="62" s="1"/>
  <c r="P297" i="62" s="1"/>
  <c r="P298" i="62" s="1"/>
  <c r="P299" i="62" s="1"/>
  <c r="P300" i="62" s="1"/>
  <c r="P301" i="62" s="1"/>
  <c r="P302" i="62" s="1"/>
  <c r="P303" i="62" s="1"/>
  <c r="P304" i="62" s="1"/>
  <c r="P305" i="62" s="1"/>
  <c r="P306" i="62" s="1"/>
  <c r="P307" i="62" s="1"/>
  <c r="P308" i="62" s="1"/>
  <c r="P309" i="62" s="1"/>
  <c r="P310" i="62" s="1"/>
  <c r="P311" i="62" s="1"/>
  <c r="P312" i="62" s="1"/>
  <c r="P313" i="62" s="1"/>
  <c r="P314" i="62" s="1"/>
  <c r="P315" i="62" s="1"/>
  <c r="P316" i="62" s="1"/>
  <c r="P317" i="62" s="1"/>
  <c r="P318" i="62" s="1"/>
  <c r="P319" i="62" s="1"/>
  <c r="P320" i="62" s="1"/>
  <c r="P321" i="62" s="1"/>
  <c r="P322" i="62" s="1"/>
  <c r="P323" i="62" s="1"/>
  <c r="P324" i="62" s="1"/>
  <c r="P325" i="62" s="1"/>
  <c r="P326" i="62" s="1"/>
  <c r="P327" i="62" s="1"/>
  <c r="P328" i="62" s="1"/>
  <c r="P329" i="62" s="1"/>
  <c r="P330" i="62" s="1"/>
  <c r="P331" i="62" s="1"/>
  <c r="P332" i="62" s="1"/>
  <c r="P333" i="62" s="1"/>
  <c r="P334" i="62" s="1"/>
  <c r="P335" i="62" s="1"/>
  <c r="P336" i="62" s="1"/>
  <c r="P337" i="62" s="1"/>
  <c r="P338" i="62" s="1"/>
  <c r="P339" i="62" s="1"/>
  <c r="P340" i="62" s="1"/>
  <c r="P341" i="62" s="1"/>
  <c r="P342" i="62" s="1"/>
  <c r="P343" i="62" s="1"/>
  <c r="P344" i="62" s="1"/>
  <c r="P345" i="62" s="1"/>
  <c r="P346" i="62" s="1"/>
  <c r="P347" i="62" s="1"/>
  <c r="P348" i="62" s="1"/>
  <c r="P349" i="62" s="1"/>
  <c r="P350" i="62" s="1"/>
  <c r="P351" i="62" s="1"/>
  <c r="P352" i="62" s="1"/>
  <c r="P353" i="62" s="1"/>
  <c r="P354" i="62" s="1"/>
  <c r="P355" i="62" s="1"/>
  <c r="P356" i="62" s="1"/>
  <c r="P357" i="62" s="1"/>
  <c r="P358" i="62" s="1"/>
  <c r="P359" i="62" s="1"/>
  <c r="P360" i="62" s="1"/>
  <c r="P361" i="62" s="1"/>
  <c r="P362" i="62" s="1"/>
  <c r="P363" i="62" s="1"/>
  <c r="P364" i="62" s="1"/>
  <c r="P365" i="62" s="1"/>
  <c r="P366" i="62" s="1"/>
  <c r="P367" i="62" s="1"/>
  <c r="P368" i="62" s="1"/>
  <c r="P369" i="62" s="1"/>
  <c r="P370" i="62" s="1"/>
  <c r="P371" i="62" s="1"/>
  <c r="P372" i="62" s="1"/>
  <c r="P373" i="62" s="1"/>
  <c r="P374" i="62" s="1"/>
  <c r="P375" i="62" s="1"/>
  <c r="P376" i="62" s="1"/>
  <c r="P377" i="62" s="1"/>
  <c r="P378" i="62" s="1"/>
  <c r="P379" i="62" s="1"/>
  <c r="P380" i="62" s="1"/>
  <c r="P381" i="62" s="1"/>
  <c r="P382" i="62" s="1"/>
  <c r="P383" i="62" s="1"/>
  <c r="P384" i="62" s="1"/>
  <c r="P385" i="62" s="1"/>
  <c r="P386" i="62" s="1"/>
  <c r="P387" i="62" s="1"/>
  <c r="P388" i="62" s="1"/>
  <c r="P389" i="62" s="1"/>
  <c r="P390" i="62" s="1"/>
  <c r="P391" i="62" s="1"/>
  <c r="P392" i="62" s="1"/>
  <c r="P393" i="62" s="1"/>
  <c r="P394" i="62" s="1"/>
  <c r="P395" i="62" s="1"/>
  <c r="P396" i="62" s="1"/>
  <c r="P397" i="62" s="1"/>
  <c r="P398" i="62" s="1"/>
  <c r="P399" i="62" s="1"/>
  <c r="P400" i="62" s="1"/>
  <c r="P401" i="62" s="1"/>
  <c r="P402" i="62" s="1"/>
  <c r="P403" i="62" s="1"/>
  <c r="P404" i="62" s="1"/>
  <c r="P405" i="62" s="1"/>
  <c r="P406" i="62" s="1"/>
  <c r="P407" i="62" s="1"/>
  <c r="P408" i="62" s="1"/>
  <c r="P409" i="62" s="1"/>
  <c r="P410" i="62" s="1"/>
  <c r="P411" i="62" s="1"/>
  <c r="P412" i="62" s="1"/>
  <c r="P413" i="62" s="1"/>
  <c r="P414" i="62" s="1"/>
  <c r="P415" i="62" s="1"/>
  <c r="P416" i="62" s="1"/>
  <c r="P417" i="62" s="1"/>
  <c r="P418" i="62" s="1"/>
  <c r="P419" i="62" s="1"/>
  <c r="P420" i="62" s="1"/>
  <c r="P421" i="62" s="1"/>
  <c r="P422" i="62" s="1"/>
  <c r="P423" i="62" s="1"/>
  <c r="P424" i="62" s="1"/>
  <c r="P425" i="62" s="1"/>
  <c r="P426" i="62" s="1"/>
  <c r="P427" i="62" s="1"/>
  <c r="P428" i="62" s="1"/>
  <c r="P429" i="62" s="1"/>
  <c r="P430" i="62" s="1"/>
  <c r="P431" i="62" s="1"/>
  <c r="P432" i="62" s="1"/>
  <c r="P433" i="62" s="1"/>
  <c r="P434" i="62" s="1"/>
  <c r="P435" i="62" s="1"/>
  <c r="P436" i="62" s="1"/>
  <c r="P437" i="62" s="1"/>
  <c r="P438" i="62" s="1"/>
  <c r="P439" i="62" s="1"/>
  <c r="P440" i="62" s="1"/>
  <c r="P441" i="62" s="1"/>
  <c r="P442" i="62" s="1"/>
  <c r="P443" i="62" s="1"/>
  <c r="P444" i="62" s="1"/>
  <c r="P445" i="62" s="1"/>
  <c r="P446" i="62" s="1"/>
  <c r="P447" i="62" s="1"/>
  <c r="P448" i="62" s="1"/>
  <c r="P449" i="62" s="1"/>
  <c r="P450" i="62" s="1"/>
  <c r="P451" i="62" s="1"/>
  <c r="P452" i="62" s="1"/>
  <c r="P453" i="62" s="1"/>
  <c r="P454" i="62" s="1"/>
  <c r="P455" i="62" s="1"/>
  <c r="P456" i="62" s="1"/>
  <c r="P457" i="62" s="1"/>
  <c r="P458" i="62" s="1"/>
  <c r="P459" i="62" s="1"/>
  <c r="P460" i="62" s="1"/>
  <c r="P461" i="62" s="1"/>
  <c r="P462" i="62" s="1"/>
  <c r="P463" i="62" s="1"/>
  <c r="P464" i="62" s="1"/>
  <c r="P465" i="62" s="1"/>
  <c r="P466" i="62" s="1"/>
  <c r="P467" i="62" s="1"/>
  <c r="P468" i="62" s="1"/>
  <c r="P469" i="62" s="1"/>
  <c r="P470" i="62" s="1"/>
  <c r="P471" i="62" s="1"/>
  <c r="P472" i="62" s="1"/>
  <c r="P473" i="62" s="1"/>
  <c r="P474" i="62" s="1"/>
  <c r="P475" i="62" s="1"/>
  <c r="P476" i="62" s="1"/>
  <c r="P477" i="62" s="1"/>
  <c r="P478" i="62" s="1"/>
  <c r="P479" i="62" s="1"/>
  <c r="P480" i="62" s="1"/>
  <c r="P481" i="62" s="1"/>
  <c r="P482" i="62" s="1"/>
  <c r="P483" i="62" s="1"/>
  <c r="P484" i="62" s="1"/>
  <c r="P485" i="62" s="1"/>
  <c r="P486" i="62" s="1"/>
  <c r="P487" i="62" s="1"/>
  <c r="P488" i="62" s="1"/>
  <c r="P489" i="62" s="1"/>
  <c r="P490" i="62" s="1"/>
  <c r="P491" i="62" s="1"/>
  <c r="P492" i="62" s="1"/>
  <c r="P493" i="62" s="1"/>
  <c r="P494" i="62" s="1"/>
  <c r="P495" i="62" s="1"/>
  <c r="P496" i="62" s="1"/>
  <c r="P497" i="62" s="1"/>
  <c r="P498" i="62" s="1"/>
  <c r="P499" i="62" s="1"/>
  <c r="P500" i="62" s="1"/>
  <c r="P501" i="62" s="1"/>
  <c r="P502" i="62" s="1"/>
  <c r="P503" i="62" s="1"/>
  <c r="P504" i="62" s="1"/>
  <c r="P505" i="62" s="1"/>
  <c r="P506" i="62" s="1"/>
  <c r="P507" i="62" s="1"/>
  <c r="P508" i="62" s="1"/>
  <c r="P509" i="62" s="1"/>
  <c r="P510" i="62" s="1"/>
  <c r="P511" i="62" s="1"/>
  <c r="P512" i="62" s="1"/>
  <c r="P513" i="62" s="1"/>
  <c r="P514" i="62" s="1"/>
  <c r="P515" i="62" s="1"/>
  <c r="P516" i="62" s="1"/>
  <c r="P517" i="62" s="1"/>
  <c r="P518" i="62" s="1"/>
  <c r="P519" i="62" s="1"/>
  <c r="P520" i="62" s="1"/>
  <c r="P521" i="62" s="1"/>
  <c r="P522" i="62" s="1"/>
  <c r="P523" i="62" s="1"/>
  <c r="P524" i="62" s="1"/>
  <c r="P525" i="62" s="1"/>
  <c r="P526" i="62" s="1"/>
  <c r="P527" i="62" s="1"/>
  <c r="P528" i="62" s="1"/>
  <c r="P529" i="62" s="1"/>
  <c r="P530" i="62" s="1"/>
  <c r="P531" i="62" s="1"/>
  <c r="P532" i="62" s="1"/>
  <c r="P533" i="62" s="1"/>
  <c r="P534" i="62" s="1"/>
  <c r="P535" i="62" s="1"/>
  <c r="P536" i="62" s="1"/>
  <c r="P537" i="62" s="1"/>
  <c r="P538" i="62" s="1"/>
  <c r="P539" i="62" s="1"/>
  <c r="P540" i="62" s="1"/>
  <c r="P541" i="62" s="1"/>
  <c r="P542" i="62" s="1"/>
  <c r="P543" i="62" s="1"/>
  <c r="P544" i="62" s="1"/>
  <c r="P545" i="62" s="1"/>
  <c r="P546" i="62" s="1"/>
  <c r="P547" i="62" s="1"/>
  <c r="P548" i="62" s="1"/>
  <c r="P549" i="62" s="1"/>
  <c r="P550" i="62" s="1"/>
  <c r="P551" i="62" s="1"/>
  <c r="P552" i="62" s="1"/>
  <c r="P553" i="62" s="1"/>
  <c r="P554" i="62" s="1"/>
  <c r="P555" i="62" s="1"/>
  <c r="P556" i="62" s="1"/>
  <c r="P557" i="62" s="1"/>
  <c r="P558" i="62" s="1"/>
  <c r="P559" i="62" s="1"/>
  <c r="P560" i="62" s="1"/>
  <c r="P561" i="62" s="1"/>
  <c r="P562" i="62" s="1"/>
  <c r="P563" i="62" s="1"/>
  <c r="P564" i="62" s="1"/>
  <c r="P565" i="62" s="1"/>
  <c r="P566" i="62" s="1"/>
  <c r="P567" i="62" s="1"/>
  <c r="P568" i="62" s="1"/>
  <c r="P569" i="62" s="1"/>
  <c r="P570" i="62" s="1"/>
  <c r="P571" i="62" s="1"/>
  <c r="P572" i="62" s="1"/>
  <c r="P573" i="62" s="1"/>
  <c r="P574" i="62" s="1"/>
  <c r="P575" i="62" s="1"/>
  <c r="P576" i="62" s="1"/>
  <c r="P577" i="62" s="1"/>
  <c r="P578" i="62" s="1"/>
  <c r="P579" i="62" s="1"/>
  <c r="P580" i="62" s="1"/>
  <c r="P581" i="62" s="1"/>
  <c r="P582" i="62" s="1"/>
  <c r="P583" i="62" s="1"/>
  <c r="P584" i="62" s="1"/>
  <c r="P585" i="62" s="1"/>
  <c r="P586" i="62" s="1"/>
  <c r="P587" i="62" s="1"/>
  <c r="P588" i="62" s="1"/>
  <c r="P589" i="62" s="1"/>
  <c r="P590" i="62" s="1"/>
  <c r="P591" i="62" s="1"/>
  <c r="P592" i="62" s="1"/>
  <c r="P593" i="62" s="1"/>
  <c r="P594" i="62" s="1"/>
  <c r="P595" i="62" s="1"/>
  <c r="P596" i="62" s="1"/>
  <c r="P597" i="62" s="1"/>
  <c r="P598" i="62" s="1"/>
  <c r="P599" i="62" s="1"/>
  <c r="P600" i="62" s="1"/>
  <c r="P601" i="62" s="1"/>
  <c r="P602" i="62" s="1"/>
  <c r="P603" i="62" s="1"/>
  <c r="P604" i="62" s="1"/>
  <c r="P605" i="62" s="1"/>
  <c r="P606" i="62" s="1"/>
  <c r="P607" i="62" s="1"/>
  <c r="P608" i="62" s="1"/>
  <c r="P609" i="62" s="1"/>
  <c r="P610" i="62" s="1"/>
  <c r="P611" i="62" s="1"/>
  <c r="P612" i="62" s="1"/>
  <c r="P613" i="62" s="1"/>
  <c r="P614" i="62" s="1"/>
  <c r="P615" i="62" s="1"/>
  <c r="P616" i="62" s="1"/>
  <c r="P617" i="62" s="1"/>
  <c r="P618" i="62" s="1"/>
  <c r="P619" i="62" s="1"/>
  <c r="P620" i="62" s="1"/>
  <c r="F16" i="62"/>
  <c r="X15" i="62"/>
  <c r="W15" i="62"/>
  <c r="R15" i="62"/>
  <c r="P15" i="62"/>
  <c r="F15" i="62"/>
  <c r="X14" i="62"/>
  <c r="W14" i="62"/>
  <c r="R14" i="62"/>
  <c r="P14" i="62"/>
  <c r="F14" i="62"/>
  <c r="AA15" i="62"/>
  <c r="AA17" i="62"/>
  <c r="AB18" i="62"/>
  <c r="AB23" i="62"/>
  <c r="AB21" i="62"/>
  <c r="AA18" i="62"/>
  <c r="AA23" i="62"/>
  <c r="AB14" i="62"/>
  <c r="AB20" i="62"/>
  <c r="AB24" i="62"/>
  <c r="AB16" i="62"/>
  <c r="AA20" i="62"/>
  <c r="AA26" i="62"/>
  <c r="AB26" i="62"/>
  <c r="AB15" i="62"/>
  <c r="AB27" i="62"/>
  <c r="AA21" i="62"/>
  <c r="AA19" i="62"/>
  <c r="AA24" i="62"/>
  <c r="AB19" i="62"/>
  <c r="AA22" i="62"/>
  <c r="AB17" i="62"/>
  <c r="AB22" i="62"/>
  <c r="AA25" i="62"/>
  <c r="AA14" i="62"/>
  <c r="AB25" i="62"/>
  <c r="AA27" i="62"/>
  <c r="AA16" i="62"/>
  <c r="A658" i="62" l="1"/>
  <c r="P622" i="62"/>
  <c r="P623" i="62" s="1"/>
  <c r="P624" i="62" s="1"/>
  <c r="P625" i="62" s="1"/>
  <c r="P626" i="62" s="1"/>
  <c r="P627" i="62" s="1"/>
  <c r="P628" i="62" s="1"/>
  <c r="P629" i="62" s="1"/>
  <c r="P630" i="62" s="1"/>
  <c r="P631" i="62" s="1"/>
  <c r="P632" i="62" s="1"/>
  <c r="P633" i="62" s="1"/>
  <c r="P634" i="62" s="1"/>
  <c r="P635" i="62" s="1"/>
  <c r="P636" i="62" s="1"/>
  <c r="P637" i="62" s="1"/>
  <c r="P638" i="62" s="1"/>
  <c r="P639" i="62" s="1"/>
  <c r="P640" i="62" s="1"/>
  <c r="P641" i="62" s="1"/>
  <c r="P642" i="62" s="1"/>
  <c r="P643" i="62" s="1"/>
  <c r="P644" i="62" s="1"/>
  <c r="P645" i="62" s="1"/>
  <c r="P646" i="62" s="1"/>
  <c r="P647" i="62" s="1"/>
  <c r="P621" i="62"/>
  <c r="X647" i="57"/>
  <c r="W647" i="57"/>
  <c r="R647" i="57"/>
  <c r="F647" i="57"/>
  <c r="X646" i="57"/>
  <c r="W646" i="57"/>
  <c r="R646" i="57"/>
  <c r="F646" i="57"/>
  <c r="X645" i="57"/>
  <c r="W645" i="57"/>
  <c r="R645" i="57"/>
  <c r="F645" i="57"/>
  <c r="X644" i="57"/>
  <c r="W644" i="57"/>
  <c r="R644" i="57"/>
  <c r="F644" i="57"/>
  <c r="X643" i="57"/>
  <c r="W643" i="57"/>
  <c r="R643" i="57"/>
  <c r="F643" i="57"/>
  <c r="X642" i="57"/>
  <c r="W642" i="57"/>
  <c r="R642" i="57"/>
  <c r="F642" i="57"/>
  <c r="X641" i="57"/>
  <c r="W641" i="57"/>
  <c r="R641" i="57"/>
  <c r="F641" i="57"/>
  <c r="X640" i="57"/>
  <c r="W640" i="57"/>
  <c r="R640" i="57"/>
  <c r="F640" i="57"/>
  <c r="X639" i="57"/>
  <c r="W639" i="57"/>
  <c r="R639" i="57"/>
  <c r="F639" i="57"/>
  <c r="X638" i="57"/>
  <c r="W638" i="57"/>
  <c r="R638" i="57"/>
  <c r="F638" i="57"/>
  <c r="X637" i="57"/>
  <c r="W637" i="57"/>
  <c r="R637" i="57"/>
  <c r="F637" i="57"/>
  <c r="X636" i="57"/>
  <c r="W636" i="57"/>
  <c r="R636" i="57"/>
  <c r="F636" i="57"/>
  <c r="X635" i="57"/>
  <c r="W635" i="57"/>
  <c r="R635" i="57"/>
  <c r="F635" i="57"/>
  <c r="X634" i="57"/>
  <c r="W634" i="57"/>
  <c r="R634" i="57"/>
  <c r="F634" i="57"/>
  <c r="X633" i="57"/>
  <c r="W633" i="57"/>
  <c r="R633" i="57"/>
  <c r="F633" i="57"/>
  <c r="X632" i="57"/>
  <c r="W632" i="57"/>
  <c r="R632" i="57"/>
  <c r="F632" i="57"/>
  <c r="X631" i="57"/>
  <c r="W631" i="57"/>
  <c r="R631" i="57"/>
  <c r="F631" i="57"/>
  <c r="X630" i="57"/>
  <c r="W630" i="57"/>
  <c r="R630" i="57"/>
  <c r="F630" i="57"/>
  <c r="X629" i="57"/>
  <c r="W629" i="57"/>
  <c r="R629" i="57"/>
  <c r="F629" i="57"/>
  <c r="X628" i="57"/>
  <c r="W628" i="57"/>
  <c r="R628" i="57"/>
  <c r="F628" i="57"/>
  <c r="X627" i="57"/>
  <c r="W627" i="57"/>
  <c r="R627" i="57"/>
  <c r="F627" i="57"/>
  <c r="X626" i="57"/>
  <c r="W626" i="57"/>
  <c r="R626" i="57"/>
  <c r="F626" i="57"/>
  <c r="X625" i="57"/>
  <c r="W625" i="57"/>
  <c r="R625" i="57"/>
  <c r="F625" i="57"/>
  <c r="X624" i="57"/>
  <c r="W624" i="57"/>
  <c r="R624" i="57"/>
  <c r="F624" i="57"/>
  <c r="X623" i="57"/>
  <c r="W623" i="57"/>
  <c r="R623" i="57"/>
  <c r="F623" i="57"/>
  <c r="X622" i="57"/>
  <c r="W622" i="57"/>
  <c r="R622" i="57"/>
  <c r="F622" i="57"/>
  <c r="X621" i="57"/>
  <c r="W621" i="57"/>
  <c r="R621" i="57"/>
  <c r="F621" i="57"/>
  <c r="X620" i="57"/>
  <c r="W620" i="57"/>
  <c r="R620" i="57"/>
  <c r="F620" i="57"/>
  <c r="X619" i="57"/>
  <c r="W619" i="57"/>
  <c r="R619" i="57"/>
  <c r="F619" i="57"/>
  <c r="X618" i="57"/>
  <c r="W618" i="57"/>
  <c r="R618" i="57"/>
  <c r="F618" i="57"/>
  <c r="X617" i="57"/>
  <c r="W617" i="57"/>
  <c r="R617" i="57"/>
  <c r="F617" i="57"/>
  <c r="X616" i="57"/>
  <c r="W616" i="57"/>
  <c r="R616" i="57"/>
  <c r="F616" i="57"/>
  <c r="X615" i="57"/>
  <c r="W615" i="57"/>
  <c r="R615" i="57"/>
  <c r="F615" i="57"/>
  <c r="X614" i="57"/>
  <c r="W614" i="57"/>
  <c r="R614" i="57"/>
  <c r="F614" i="57"/>
  <c r="X613" i="57"/>
  <c r="W613" i="57"/>
  <c r="R613" i="57"/>
  <c r="F613" i="57"/>
  <c r="X612" i="57"/>
  <c r="W612" i="57"/>
  <c r="R612" i="57"/>
  <c r="F612" i="57"/>
  <c r="X611" i="57"/>
  <c r="W611" i="57"/>
  <c r="R611" i="57"/>
  <c r="F611" i="57"/>
  <c r="X610" i="57"/>
  <c r="W610" i="57"/>
  <c r="R610" i="57"/>
  <c r="F610" i="57"/>
  <c r="X609" i="57"/>
  <c r="W609" i="57"/>
  <c r="R609" i="57"/>
  <c r="F609" i="57"/>
  <c r="X608" i="57"/>
  <c r="W608" i="57"/>
  <c r="R608" i="57"/>
  <c r="F608" i="57"/>
  <c r="X607" i="57"/>
  <c r="W607" i="57"/>
  <c r="R607" i="57"/>
  <c r="F607" i="57"/>
  <c r="X606" i="57"/>
  <c r="W606" i="57"/>
  <c r="R606" i="57"/>
  <c r="F606" i="57"/>
  <c r="X605" i="57"/>
  <c r="W605" i="57"/>
  <c r="R605" i="57"/>
  <c r="F605" i="57"/>
  <c r="X604" i="57"/>
  <c r="W604" i="57"/>
  <c r="R604" i="57"/>
  <c r="F604" i="57"/>
  <c r="X603" i="57"/>
  <c r="W603" i="57"/>
  <c r="R603" i="57"/>
  <c r="F603" i="57"/>
  <c r="X602" i="57"/>
  <c r="W602" i="57"/>
  <c r="R602" i="57"/>
  <c r="F602" i="57"/>
  <c r="X601" i="57"/>
  <c r="W601" i="57"/>
  <c r="R601" i="57"/>
  <c r="F601" i="57"/>
  <c r="X600" i="57"/>
  <c r="W600" i="57"/>
  <c r="R600" i="57"/>
  <c r="F600" i="57"/>
  <c r="X599" i="57"/>
  <c r="W599" i="57"/>
  <c r="R599" i="57"/>
  <c r="F599" i="57"/>
  <c r="X598" i="57"/>
  <c r="W598" i="57"/>
  <c r="R598" i="57"/>
  <c r="F598" i="57"/>
  <c r="X597" i="57"/>
  <c r="W597" i="57"/>
  <c r="R597" i="57"/>
  <c r="F597" i="57"/>
  <c r="X596" i="57"/>
  <c r="W596" i="57"/>
  <c r="R596" i="57"/>
  <c r="F596" i="57"/>
  <c r="X595" i="57"/>
  <c r="W595" i="57"/>
  <c r="R595" i="57"/>
  <c r="F595" i="57"/>
  <c r="X594" i="57"/>
  <c r="W594" i="57"/>
  <c r="R594" i="57"/>
  <c r="F594" i="57"/>
  <c r="X593" i="57"/>
  <c r="W593" i="57"/>
  <c r="R593" i="57"/>
  <c r="F593" i="57"/>
  <c r="X592" i="57"/>
  <c r="W592" i="57"/>
  <c r="R592" i="57"/>
  <c r="F592" i="57"/>
  <c r="X591" i="57"/>
  <c r="W591" i="57"/>
  <c r="R591" i="57"/>
  <c r="F591" i="57"/>
  <c r="X590" i="57"/>
  <c r="W590" i="57"/>
  <c r="R590" i="57"/>
  <c r="F590" i="57"/>
  <c r="X589" i="57"/>
  <c r="W589" i="57"/>
  <c r="R589" i="57"/>
  <c r="F589" i="57"/>
  <c r="X588" i="57"/>
  <c r="W588" i="57"/>
  <c r="R588" i="57"/>
  <c r="F588" i="57"/>
  <c r="X587" i="57"/>
  <c r="W587" i="57"/>
  <c r="R587" i="57"/>
  <c r="F587" i="57"/>
  <c r="X586" i="57"/>
  <c r="W586" i="57"/>
  <c r="R586" i="57"/>
  <c r="F586" i="57"/>
  <c r="X585" i="57"/>
  <c r="W585" i="57"/>
  <c r="R585" i="57"/>
  <c r="F585" i="57"/>
  <c r="X584" i="57"/>
  <c r="W584" i="57"/>
  <c r="R584" i="57"/>
  <c r="F584" i="57"/>
  <c r="X583" i="57"/>
  <c r="W583" i="57"/>
  <c r="R583" i="57"/>
  <c r="F583" i="57"/>
  <c r="X582" i="57"/>
  <c r="W582" i="57"/>
  <c r="R582" i="57"/>
  <c r="F582" i="57"/>
  <c r="X581" i="57"/>
  <c r="W581" i="57"/>
  <c r="R581" i="57"/>
  <c r="F581" i="57"/>
  <c r="X580" i="57"/>
  <c r="W580" i="57"/>
  <c r="R580" i="57"/>
  <c r="F580" i="57"/>
  <c r="X579" i="57"/>
  <c r="W579" i="57"/>
  <c r="R579" i="57"/>
  <c r="F579" i="57"/>
  <c r="X578" i="57"/>
  <c r="W578" i="57"/>
  <c r="R578" i="57"/>
  <c r="F578" i="57"/>
  <c r="X577" i="57"/>
  <c r="W577" i="57"/>
  <c r="R577" i="57"/>
  <c r="F577" i="57"/>
  <c r="X576" i="57"/>
  <c r="W576" i="57"/>
  <c r="R576" i="57"/>
  <c r="F576" i="57"/>
  <c r="X575" i="57"/>
  <c r="W575" i="57"/>
  <c r="R575" i="57"/>
  <c r="F575" i="57"/>
  <c r="X574" i="57"/>
  <c r="W574" i="57"/>
  <c r="R574" i="57"/>
  <c r="F574" i="57"/>
  <c r="X573" i="57"/>
  <c r="W573" i="57"/>
  <c r="R573" i="57"/>
  <c r="F573" i="57"/>
  <c r="X572" i="57"/>
  <c r="W572" i="57"/>
  <c r="R572" i="57"/>
  <c r="F572" i="57"/>
  <c r="X571" i="57"/>
  <c r="W571" i="57"/>
  <c r="R571" i="57"/>
  <c r="F571" i="57"/>
  <c r="X570" i="57"/>
  <c r="W570" i="57"/>
  <c r="R570" i="57"/>
  <c r="F570" i="57"/>
  <c r="X569" i="57"/>
  <c r="W569" i="57"/>
  <c r="R569" i="57"/>
  <c r="F569" i="57"/>
  <c r="X568" i="57"/>
  <c r="W568" i="57"/>
  <c r="R568" i="57"/>
  <c r="F568" i="57"/>
  <c r="X567" i="57"/>
  <c r="W567" i="57"/>
  <c r="R567" i="57"/>
  <c r="F567" i="57"/>
  <c r="X566" i="57"/>
  <c r="W566" i="57"/>
  <c r="R566" i="57"/>
  <c r="F566" i="57"/>
  <c r="X565" i="57"/>
  <c r="W565" i="57"/>
  <c r="R565" i="57"/>
  <c r="F565" i="57"/>
  <c r="X564" i="57"/>
  <c r="W564" i="57"/>
  <c r="R564" i="57"/>
  <c r="F564" i="57"/>
  <c r="X563" i="57"/>
  <c r="W563" i="57"/>
  <c r="R563" i="57"/>
  <c r="F563" i="57"/>
  <c r="X562" i="57"/>
  <c r="W562" i="57"/>
  <c r="R562" i="57"/>
  <c r="F562" i="57"/>
  <c r="X561" i="57"/>
  <c r="W561" i="57"/>
  <c r="R561" i="57"/>
  <c r="F561" i="57"/>
  <c r="X560" i="57"/>
  <c r="W560" i="57"/>
  <c r="R560" i="57"/>
  <c r="F560" i="57"/>
  <c r="X559" i="57"/>
  <c r="W559" i="57"/>
  <c r="R559" i="57"/>
  <c r="F559" i="57"/>
  <c r="X558" i="57"/>
  <c r="W558" i="57"/>
  <c r="R558" i="57"/>
  <c r="F558" i="57"/>
  <c r="X557" i="57"/>
  <c r="W557" i="57"/>
  <c r="R557" i="57"/>
  <c r="F557" i="57"/>
  <c r="X556" i="57"/>
  <c r="W556" i="57"/>
  <c r="R556" i="57"/>
  <c r="F556" i="57"/>
  <c r="X555" i="57"/>
  <c r="W555" i="57"/>
  <c r="R555" i="57"/>
  <c r="F555" i="57"/>
  <c r="X554" i="57"/>
  <c r="W554" i="57"/>
  <c r="R554" i="57"/>
  <c r="F554" i="57"/>
  <c r="X553" i="57"/>
  <c r="W553" i="57"/>
  <c r="R553" i="57"/>
  <c r="F553" i="57"/>
  <c r="X552" i="57"/>
  <c r="W552" i="57"/>
  <c r="R552" i="57"/>
  <c r="F552" i="57"/>
  <c r="X551" i="57"/>
  <c r="W551" i="57"/>
  <c r="R551" i="57"/>
  <c r="F551" i="57"/>
  <c r="X550" i="57"/>
  <c r="W550" i="57"/>
  <c r="R550" i="57"/>
  <c r="F550" i="57"/>
  <c r="X549" i="57"/>
  <c r="W549" i="57"/>
  <c r="R549" i="57"/>
  <c r="F549" i="57"/>
  <c r="X548" i="57"/>
  <c r="W548" i="57"/>
  <c r="R548" i="57"/>
  <c r="F548" i="57"/>
  <c r="X547" i="57"/>
  <c r="W547" i="57"/>
  <c r="R547" i="57"/>
  <c r="F547" i="57"/>
  <c r="X546" i="57"/>
  <c r="W546" i="57"/>
  <c r="R546" i="57"/>
  <c r="F546" i="57"/>
  <c r="X545" i="57"/>
  <c r="W545" i="57"/>
  <c r="R545" i="57"/>
  <c r="F545" i="57"/>
  <c r="X544" i="57"/>
  <c r="W544" i="57"/>
  <c r="R544" i="57"/>
  <c r="F544" i="57"/>
  <c r="X543" i="57"/>
  <c r="W543" i="57"/>
  <c r="R543" i="57"/>
  <c r="F543" i="57"/>
  <c r="X542" i="57"/>
  <c r="W542" i="57"/>
  <c r="R542" i="57"/>
  <c r="F542" i="57"/>
  <c r="X541" i="57"/>
  <c r="W541" i="57"/>
  <c r="R541" i="57"/>
  <c r="F541" i="57"/>
  <c r="X540" i="57"/>
  <c r="W540" i="57"/>
  <c r="R540" i="57"/>
  <c r="F540" i="57"/>
  <c r="X539" i="57"/>
  <c r="W539" i="57"/>
  <c r="R539" i="57"/>
  <c r="F539" i="57"/>
  <c r="X538" i="57"/>
  <c r="W538" i="57"/>
  <c r="R538" i="57"/>
  <c r="F538" i="57"/>
  <c r="X537" i="57"/>
  <c r="W537" i="57"/>
  <c r="R537" i="57"/>
  <c r="F537" i="57"/>
  <c r="X536" i="57"/>
  <c r="W536" i="57"/>
  <c r="R536" i="57"/>
  <c r="F536" i="57"/>
  <c r="X535" i="57"/>
  <c r="W535" i="57"/>
  <c r="R535" i="57"/>
  <c r="F535" i="57"/>
  <c r="X534" i="57"/>
  <c r="W534" i="57"/>
  <c r="R534" i="57"/>
  <c r="F534" i="57"/>
  <c r="X533" i="57"/>
  <c r="W533" i="57"/>
  <c r="R533" i="57"/>
  <c r="F533" i="57"/>
  <c r="X532" i="57"/>
  <c r="W532" i="57"/>
  <c r="R532" i="57"/>
  <c r="F532" i="57"/>
  <c r="X531" i="57"/>
  <c r="W531" i="57"/>
  <c r="R531" i="57"/>
  <c r="F531" i="57"/>
  <c r="X530" i="57"/>
  <c r="W530" i="57"/>
  <c r="R530" i="57"/>
  <c r="F530" i="57"/>
  <c r="X529" i="57"/>
  <c r="W529" i="57"/>
  <c r="R529" i="57"/>
  <c r="F529" i="57"/>
  <c r="X528" i="57"/>
  <c r="W528" i="57"/>
  <c r="R528" i="57"/>
  <c r="F528" i="57"/>
  <c r="X527" i="57"/>
  <c r="W527" i="57"/>
  <c r="R527" i="57"/>
  <c r="F527" i="57"/>
  <c r="X526" i="57"/>
  <c r="W526" i="57"/>
  <c r="R526" i="57"/>
  <c r="F526" i="57"/>
  <c r="X525" i="57"/>
  <c r="W525" i="57"/>
  <c r="R525" i="57"/>
  <c r="F525" i="57"/>
  <c r="X524" i="57"/>
  <c r="W524" i="57"/>
  <c r="R524" i="57"/>
  <c r="F524" i="57"/>
  <c r="X523" i="57"/>
  <c r="W523" i="57"/>
  <c r="R523" i="57"/>
  <c r="F523" i="57"/>
  <c r="X522" i="57"/>
  <c r="W522" i="57"/>
  <c r="R522" i="57"/>
  <c r="F522" i="57"/>
  <c r="X521" i="57"/>
  <c r="W521" i="57"/>
  <c r="R521" i="57"/>
  <c r="F521" i="57"/>
  <c r="X520" i="57"/>
  <c r="W520" i="57"/>
  <c r="R520" i="57"/>
  <c r="F520" i="57"/>
  <c r="X519" i="57"/>
  <c r="W519" i="57"/>
  <c r="R519" i="57"/>
  <c r="F519" i="57"/>
  <c r="X518" i="57"/>
  <c r="W518" i="57"/>
  <c r="R518" i="57"/>
  <c r="F518" i="57"/>
  <c r="X517" i="57"/>
  <c r="W517" i="57"/>
  <c r="R517" i="57"/>
  <c r="F517" i="57"/>
  <c r="X516" i="57"/>
  <c r="W516" i="57"/>
  <c r="R516" i="57"/>
  <c r="F516" i="57"/>
  <c r="X515" i="57"/>
  <c r="W515" i="57"/>
  <c r="R515" i="57"/>
  <c r="F515" i="57"/>
  <c r="X514" i="57"/>
  <c r="W514" i="57"/>
  <c r="R514" i="57"/>
  <c r="F514" i="57"/>
  <c r="X513" i="57"/>
  <c r="W513" i="57"/>
  <c r="R513" i="57"/>
  <c r="F513" i="57"/>
  <c r="X512" i="57"/>
  <c r="W512" i="57"/>
  <c r="R512" i="57"/>
  <c r="F512" i="57"/>
  <c r="X511" i="57"/>
  <c r="W511" i="57"/>
  <c r="R511" i="57"/>
  <c r="F511" i="57"/>
  <c r="X510" i="57"/>
  <c r="W510" i="57"/>
  <c r="R510" i="57"/>
  <c r="F510" i="57"/>
  <c r="X509" i="57"/>
  <c r="W509" i="57"/>
  <c r="R509" i="57"/>
  <c r="F509" i="57"/>
  <c r="X508" i="57"/>
  <c r="W508" i="57"/>
  <c r="R508" i="57"/>
  <c r="F508" i="57"/>
  <c r="X507" i="57"/>
  <c r="W507" i="57"/>
  <c r="R507" i="57"/>
  <c r="F507" i="57"/>
  <c r="X506" i="57"/>
  <c r="W506" i="57"/>
  <c r="R506" i="57"/>
  <c r="F506" i="57"/>
  <c r="X505" i="57"/>
  <c r="W505" i="57"/>
  <c r="R505" i="57"/>
  <c r="F505" i="57"/>
  <c r="X504" i="57"/>
  <c r="W504" i="57"/>
  <c r="R504" i="57"/>
  <c r="F504" i="57"/>
  <c r="X503" i="57"/>
  <c r="W503" i="57"/>
  <c r="R503" i="57"/>
  <c r="F503" i="57"/>
  <c r="X502" i="57"/>
  <c r="W502" i="57"/>
  <c r="R502" i="57"/>
  <c r="F502" i="57"/>
  <c r="X501" i="57"/>
  <c r="W501" i="57"/>
  <c r="R501" i="57"/>
  <c r="F501" i="57"/>
  <c r="X500" i="57"/>
  <c r="W500" i="57"/>
  <c r="R500" i="57"/>
  <c r="F500" i="57"/>
  <c r="X499" i="57"/>
  <c r="W499" i="57"/>
  <c r="R499" i="57"/>
  <c r="F499" i="57"/>
  <c r="X498" i="57"/>
  <c r="W498" i="57"/>
  <c r="R498" i="57"/>
  <c r="F498" i="57"/>
  <c r="X497" i="57"/>
  <c r="W497" i="57"/>
  <c r="R497" i="57"/>
  <c r="F497" i="57"/>
  <c r="X496" i="57"/>
  <c r="W496" i="57"/>
  <c r="R496" i="57"/>
  <c r="F496" i="57"/>
  <c r="X495" i="57"/>
  <c r="W495" i="57"/>
  <c r="R495" i="57"/>
  <c r="F495" i="57"/>
  <c r="X494" i="57"/>
  <c r="W494" i="57"/>
  <c r="R494" i="57"/>
  <c r="F494" i="57"/>
  <c r="X493" i="57"/>
  <c r="W493" i="57"/>
  <c r="R493" i="57"/>
  <c r="F493" i="57"/>
  <c r="X492" i="57"/>
  <c r="W492" i="57"/>
  <c r="R492" i="57"/>
  <c r="F492" i="57"/>
  <c r="X491" i="57"/>
  <c r="W491" i="57"/>
  <c r="R491" i="57"/>
  <c r="F491" i="57"/>
  <c r="X490" i="57"/>
  <c r="W490" i="57"/>
  <c r="R490" i="57"/>
  <c r="F490" i="57"/>
  <c r="X489" i="57"/>
  <c r="W489" i="57"/>
  <c r="R489" i="57"/>
  <c r="F489" i="57"/>
  <c r="X488" i="57"/>
  <c r="W488" i="57"/>
  <c r="R488" i="57"/>
  <c r="F488" i="57"/>
  <c r="X487" i="57"/>
  <c r="W487" i="57"/>
  <c r="R487" i="57"/>
  <c r="F487" i="57"/>
  <c r="X486" i="57"/>
  <c r="W486" i="57"/>
  <c r="R486" i="57"/>
  <c r="F486" i="57"/>
  <c r="X485" i="57"/>
  <c r="W485" i="57"/>
  <c r="R485" i="57"/>
  <c r="F485" i="57"/>
  <c r="X484" i="57"/>
  <c r="W484" i="57"/>
  <c r="R484" i="57"/>
  <c r="F484" i="57"/>
  <c r="X483" i="57"/>
  <c r="W483" i="57"/>
  <c r="R483" i="57"/>
  <c r="F483" i="57"/>
  <c r="X482" i="57"/>
  <c r="W482" i="57"/>
  <c r="R482" i="57"/>
  <c r="F482" i="57"/>
  <c r="X481" i="57"/>
  <c r="W481" i="57"/>
  <c r="R481" i="57"/>
  <c r="F481" i="57"/>
  <c r="X480" i="57"/>
  <c r="W480" i="57"/>
  <c r="R480" i="57"/>
  <c r="F480" i="57"/>
  <c r="X479" i="57"/>
  <c r="W479" i="57"/>
  <c r="R479" i="57"/>
  <c r="F479" i="57"/>
  <c r="X478" i="57"/>
  <c r="W478" i="57"/>
  <c r="R478" i="57"/>
  <c r="F478" i="57"/>
  <c r="X477" i="57"/>
  <c r="W477" i="57"/>
  <c r="R477" i="57"/>
  <c r="F477" i="57"/>
  <c r="X476" i="57"/>
  <c r="W476" i="57"/>
  <c r="R476" i="57"/>
  <c r="F476" i="57"/>
  <c r="X475" i="57"/>
  <c r="W475" i="57"/>
  <c r="R475" i="57"/>
  <c r="F475" i="57"/>
  <c r="X474" i="57"/>
  <c r="W474" i="57"/>
  <c r="R474" i="57"/>
  <c r="F474" i="57"/>
  <c r="X473" i="57"/>
  <c r="W473" i="57"/>
  <c r="R473" i="57"/>
  <c r="F473" i="57"/>
  <c r="X472" i="57"/>
  <c r="W472" i="57"/>
  <c r="R472" i="57"/>
  <c r="F472" i="57"/>
  <c r="X471" i="57"/>
  <c r="W471" i="57"/>
  <c r="R471" i="57"/>
  <c r="F471" i="57"/>
  <c r="X470" i="57"/>
  <c r="W470" i="57"/>
  <c r="R470" i="57"/>
  <c r="F470" i="57"/>
  <c r="X469" i="57"/>
  <c r="W469" i="57"/>
  <c r="R469" i="57"/>
  <c r="F469" i="57"/>
  <c r="X468" i="57"/>
  <c r="W468" i="57"/>
  <c r="R468" i="57"/>
  <c r="F468" i="57"/>
  <c r="X467" i="57"/>
  <c r="W467" i="57"/>
  <c r="R467" i="57"/>
  <c r="F467" i="57"/>
  <c r="X466" i="57"/>
  <c r="W466" i="57"/>
  <c r="R466" i="57"/>
  <c r="F466" i="57"/>
  <c r="X465" i="57"/>
  <c r="W465" i="57"/>
  <c r="R465" i="57"/>
  <c r="F465" i="57"/>
  <c r="X464" i="57"/>
  <c r="W464" i="57"/>
  <c r="R464" i="57"/>
  <c r="F464" i="57"/>
  <c r="X463" i="57"/>
  <c r="W463" i="57"/>
  <c r="R463" i="57"/>
  <c r="F463" i="57"/>
  <c r="X462" i="57"/>
  <c r="W462" i="57"/>
  <c r="R462" i="57"/>
  <c r="F462" i="57"/>
  <c r="X461" i="57"/>
  <c r="W461" i="57"/>
  <c r="R461" i="57"/>
  <c r="F461" i="57"/>
  <c r="X460" i="57"/>
  <c r="W460" i="57"/>
  <c r="R460" i="57"/>
  <c r="F460" i="57"/>
  <c r="X459" i="57"/>
  <c r="W459" i="57"/>
  <c r="R459" i="57"/>
  <c r="F459" i="57"/>
  <c r="X458" i="57"/>
  <c r="W458" i="57"/>
  <c r="R458" i="57"/>
  <c r="F458" i="57"/>
  <c r="X457" i="57"/>
  <c r="W457" i="57"/>
  <c r="R457" i="57"/>
  <c r="F457" i="57"/>
  <c r="X456" i="57"/>
  <c r="W456" i="57"/>
  <c r="R456" i="57"/>
  <c r="F456" i="57"/>
  <c r="X455" i="57"/>
  <c r="W455" i="57"/>
  <c r="R455" i="57"/>
  <c r="F455" i="57"/>
  <c r="X454" i="57"/>
  <c r="W454" i="57"/>
  <c r="R454" i="57"/>
  <c r="F454" i="57"/>
  <c r="X453" i="57"/>
  <c r="W453" i="57"/>
  <c r="R453" i="57"/>
  <c r="F453" i="57"/>
  <c r="X452" i="57"/>
  <c r="W452" i="57"/>
  <c r="R452" i="57"/>
  <c r="F452" i="57"/>
  <c r="X451" i="57"/>
  <c r="W451" i="57"/>
  <c r="R451" i="57"/>
  <c r="F451" i="57"/>
  <c r="X450" i="57"/>
  <c r="W450" i="57"/>
  <c r="R450" i="57"/>
  <c r="F450" i="57"/>
  <c r="X449" i="57"/>
  <c r="W449" i="57"/>
  <c r="R449" i="57"/>
  <c r="F449" i="57"/>
  <c r="X448" i="57"/>
  <c r="W448" i="57"/>
  <c r="R448" i="57"/>
  <c r="F448" i="57"/>
  <c r="X447" i="57"/>
  <c r="W447" i="57"/>
  <c r="R447" i="57"/>
  <c r="F447" i="57"/>
  <c r="X446" i="57"/>
  <c r="W446" i="57"/>
  <c r="R446" i="57"/>
  <c r="F446" i="57"/>
  <c r="X445" i="57"/>
  <c r="W445" i="57"/>
  <c r="R445" i="57"/>
  <c r="F445" i="57"/>
  <c r="X444" i="57"/>
  <c r="W444" i="57"/>
  <c r="R444" i="57"/>
  <c r="F444" i="57"/>
  <c r="X443" i="57"/>
  <c r="W443" i="57"/>
  <c r="R443" i="57"/>
  <c r="F443" i="57"/>
  <c r="X442" i="57"/>
  <c r="W442" i="57"/>
  <c r="R442" i="57"/>
  <c r="F442" i="57"/>
  <c r="X441" i="57"/>
  <c r="W441" i="57"/>
  <c r="R441" i="57"/>
  <c r="F441" i="57"/>
  <c r="X440" i="57"/>
  <c r="W440" i="57"/>
  <c r="R440" i="57"/>
  <c r="F440" i="57"/>
  <c r="X439" i="57"/>
  <c r="W439" i="57"/>
  <c r="R439" i="57"/>
  <c r="F439" i="57"/>
  <c r="X438" i="57"/>
  <c r="W438" i="57"/>
  <c r="R438" i="57"/>
  <c r="F438" i="57"/>
  <c r="X437" i="57"/>
  <c r="W437" i="57"/>
  <c r="R437" i="57"/>
  <c r="F437" i="57"/>
  <c r="X436" i="57"/>
  <c r="W436" i="57"/>
  <c r="R436" i="57"/>
  <c r="F436" i="57"/>
  <c r="X435" i="57"/>
  <c r="W435" i="57"/>
  <c r="R435" i="57"/>
  <c r="F435" i="57"/>
  <c r="T434" i="57"/>
  <c r="R434" i="57"/>
  <c r="X433" i="57"/>
  <c r="W433" i="57"/>
  <c r="R433" i="57"/>
  <c r="F433" i="57"/>
  <c r="X432" i="57"/>
  <c r="W432" i="57"/>
  <c r="R432" i="57"/>
  <c r="F432" i="57"/>
  <c r="X431" i="57"/>
  <c r="W431" i="57"/>
  <c r="R431" i="57"/>
  <c r="F431" i="57"/>
  <c r="X430" i="57"/>
  <c r="W430" i="57"/>
  <c r="R430" i="57"/>
  <c r="F430" i="57"/>
  <c r="X429" i="57"/>
  <c r="W429" i="57"/>
  <c r="R429" i="57"/>
  <c r="F429" i="57"/>
  <c r="X428" i="57"/>
  <c r="W428" i="57"/>
  <c r="R428" i="57"/>
  <c r="F428" i="57"/>
  <c r="X427" i="57"/>
  <c r="W427" i="57"/>
  <c r="R427" i="57"/>
  <c r="F427" i="57"/>
  <c r="X426" i="57"/>
  <c r="W426" i="57"/>
  <c r="R426" i="57"/>
  <c r="F426" i="57"/>
  <c r="X425" i="57"/>
  <c r="W425" i="57"/>
  <c r="R425" i="57"/>
  <c r="F425" i="57"/>
  <c r="X424" i="57"/>
  <c r="W424" i="57"/>
  <c r="R424" i="57"/>
  <c r="F424" i="57"/>
  <c r="X423" i="57"/>
  <c r="W423" i="57"/>
  <c r="R423" i="57"/>
  <c r="F423" i="57"/>
  <c r="X422" i="57"/>
  <c r="W422" i="57"/>
  <c r="R422" i="57"/>
  <c r="F422" i="57"/>
  <c r="X421" i="57"/>
  <c r="W421" i="57"/>
  <c r="R421" i="57"/>
  <c r="F421" i="57"/>
  <c r="X420" i="57"/>
  <c r="W420" i="57"/>
  <c r="R420" i="57"/>
  <c r="F420" i="57"/>
  <c r="X419" i="57"/>
  <c r="W419" i="57"/>
  <c r="R419" i="57"/>
  <c r="F419" i="57"/>
  <c r="V418" i="57"/>
  <c r="U418" i="57"/>
  <c r="T418" i="57"/>
  <c r="R418" i="57"/>
  <c r="V417" i="57"/>
  <c r="U417" i="57"/>
  <c r="T417" i="57"/>
  <c r="R417" i="57"/>
  <c r="X416" i="57"/>
  <c r="W416" i="57"/>
  <c r="R416" i="57"/>
  <c r="F416" i="57"/>
  <c r="X415" i="57"/>
  <c r="W415" i="57"/>
  <c r="R415" i="57"/>
  <c r="F415" i="57"/>
  <c r="X414" i="57"/>
  <c r="W414" i="57"/>
  <c r="R414" i="57"/>
  <c r="F414" i="57"/>
  <c r="X413" i="57"/>
  <c r="W413" i="57"/>
  <c r="R413" i="57"/>
  <c r="F413" i="57"/>
  <c r="X412" i="57"/>
  <c r="W412" i="57"/>
  <c r="R412" i="57"/>
  <c r="F412" i="57"/>
  <c r="X411" i="57"/>
  <c r="W411" i="57"/>
  <c r="R411" i="57"/>
  <c r="F411" i="57"/>
  <c r="X410" i="57"/>
  <c r="W410" i="57"/>
  <c r="R410" i="57"/>
  <c r="F410" i="57"/>
  <c r="X409" i="57"/>
  <c r="W409" i="57"/>
  <c r="R409" i="57"/>
  <c r="F409" i="57"/>
  <c r="X408" i="57"/>
  <c r="W408" i="57"/>
  <c r="R408" i="57"/>
  <c r="F408" i="57"/>
  <c r="X407" i="57"/>
  <c r="W407" i="57"/>
  <c r="R407" i="57"/>
  <c r="F407" i="57"/>
  <c r="X406" i="57"/>
  <c r="W406" i="57"/>
  <c r="R406" i="57"/>
  <c r="F406" i="57"/>
  <c r="X405" i="57"/>
  <c r="W405" i="57"/>
  <c r="R405" i="57"/>
  <c r="F405" i="57"/>
  <c r="X404" i="57"/>
  <c r="W404" i="57"/>
  <c r="R404" i="57"/>
  <c r="F404" i="57"/>
  <c r="X403" i="57"/>
  <c r="W403" i="57"/>
  <c r="R403" i="57"/>
  <c r="F403" i="57"/>
  <c r="X402" i="57"/>
  <c r="W402" i="57"/>
  <c r="R402" i="57"/>
  <c r="F402" i="57"/>
  <c r="X401" i="57"/>
  <c r="W401" i="57"/>
  <c r="R401" i="57"/>
  <c r="F401" i="57"/>
  <c r="X400" i="57"/>
  <c r="W400" i="57"/>
  <c r="R400" i="57"/>
  <c r="F400" i="57"/>
  <c r="X399" i="57"/>
  <c r="W399" i="57"/>
  <c r="R399" i="57"/>
  <c r="F399" i="57"/>
  <c r="X398" i="57"/>
  <c r="W398" i="57"/>
  <c r="R398" i="57"/>
  <c r="F398" i="57"/>
  <c r="X397" i="57"/>
  <c r="W397" i="57"/>
  <c r="R397" i="57"/>
  <c r="F397" i="57"/>
  <c r="X396" i="57"/>
  <c r="W396" i="57"/>
  <c r="R396" i="57"/>
  <c r="F396" i="57"/>
  <c r="X395" i="57"/>
  <c r="W395" i="57"/>
  <c r="R395" i="57"/>
  <c r="F395" i="57"/>
  <c r="X394" i="57"/>
  <c r="W394" i="57"/>
  <c r="R394" i="57"/>
  <c r="F394" i="57"/>
  <c r="X393" i="57"/>
  <c r="W393" i="57"/>
  <c r="R393" i="57"/>
  <c r="F393" i="57"/>
  <c r="X392" i="57"/>
  <c r="W392" i="57"/>
  <c r="R392" i="57"/>
  <c r="F392" i="57"/>
  <c r="X391" i="57"/>
  <c r="W391" i="57"/>
  <c r="R391" i="57"/>
  <c r="F391" i="57"/>
  <c r="X390" i="57"/>
  <c r="W390" i="57"/>
  <c r="R390" i="57"/>
  <c r="F390" i="57"/>
  <c r="X389" i="57"/>
  <c r="W389" i="57"/>
  <c r="R389" i="57"/>
  <c r="F389" i="57"/>
  <c r="X388" i="57"/>
  <c r="W388" i="57"/>
  <c r="R388" i="57"/>
  <c r="F388" i="57"/>
  <c r="X387" i="57"/>
  <c r="W387" i="57"/>
  <c r="R387" i="57"/>
  <c r="F387" i="57"/>
  <c r="X386" i="57"/>
  <c r="W386" i="57"/>
  <c r="R386" i="57"/>
  <c r="F386" i="57"/>
  <c r="X385" i="57"/>
  <c r="W385" i="57"/>
  <c r="R385" i="57"/>
  <c r="F385" i="57"/>
  <c r="X384" i="57"/>
  <c r="W384" i="57"/>
  <c r="R384" i="57"/>
  <c r="F384" i="57"/>
  <c r="X383" i="57"/>
  <c r="W383" i="57"/>
  <c r="R383" i="57"/>
  <c r="F383" i="57"/>
  <c r="X382" i="57"/>
  <c r="W382" i="57"/>
  <c r="R382" i="57"/>
  <c r="F382" i="57"/>
  <c r="X381" i="57"/>
  <c r="W381" i="57"/>
  <c r="R381" i="57"/>
  <c r="F381" i="57"/>
  <c r="V380" i="57"/>
  <c r="U380" i="57"/>
  <c r="T380" i="57"/>
  <c r="R380" i="57"/>
  <c r="X379" i="57"/>
  <c r="W379" i="57"/>
  <c r="R379" i="57"/>
  <c r="F379" i="57"/>
  <c r="X378" i="57"/>
  <c r="W378" i="57"/>
  <c r="R378" i="57"/>
  <c r="F378" i="57"/>
  <c r="X377" i="57"/>
  <c r="W377" i="57"/>
  <c r="R377" i="57"/>
  <c r="F377" i="57"/>
  <c r="X376" i="57"/>
  <c r="W376" i="57"/>
  <c r="R376" i="57"/>
  <c r="F376" i="57"/>
  <c r="X375" i="57"/>
  <c r="W375" i="57"/>
  <c r="R375" i="57"/>
  <c r="F375" i="57"/>
  <c r="X374" i="57"/>
  <c r="W374" i="57"/>
  <c r="R374" i="57"/>
  <c r="F374" i="57"/>
  <c r="X373" i="57"/>
  <c r="W373" i="57"/>
  <c r="R373" i="57"/>
  <c r="F373" i="57"/>
  <c r="X372" i="57"/>
  <c r="W372" i="57"/>
  <c r="R372" i="57"/>
  <c r="F372" i="57"/>
  <c r="X371" i="57"/>
  <c r="W371" i="57"/>
  <c r="R371" i="57"/>
  <c r="F371" i="57"/>
  <c r="X370" i="57"/>
  <c r="W370" i="57"/>
  <c r="R370" i="57"/>
  <c r="F370" i="57"/>
  <c r="X369" i="57"/>
  <c r="W369" i="57"/>
  <c r="R369" i="57"/>
  <c r="F369" i="57"/>
  <c r="X368" i="57"/>
  <c r="W368" i="57"/>
  <c r="R368" i="57"/>
  <c r="F368" i="57"/>
  <c r="X367" i="57"/>
  <c r="W367" i="57"/>
  <c r="R367" i="57"/>
  <c r="F367" i="57"/>
  <c r="X366" i="57"/>
  <c r="W366" i="57"/>
  <c r="R366" i="57"/>
  <c r="F366" i="57"/>
  <c r="X365" i="57"/>
  <c r="W365" i="57"/>
  <c r="R365" i="57"/>
  <c r="F365" i="57"/>
  <c r="X364" i="57"/>
  <c r="W364" i="57"/>
  <c r="R364" i="57"/>
  <c r="F364" i="57"/>
  <c r="X363" i="57"/>
  <c r="W363" i="57"/>
  <c r="R363" i="57"/>
  <c r="F363" i="57"/>
  <c r="X362" i="57"/>
  <c r="W362" i="57"/>
  <c r="R362" i="57"/>
  <c r="F362" i="57"/>
  <c r="X361" i="57"/>
  <c r="W361" i="57"/>
  <c r="R361" i="57"/>
  <c r="F361" i="57"/>
  <c r="X360" i="57"/>
  <c r="W360" i="57"/>
  <c r="R360" i="57"/>
  <c r="F360" i="57"/>
  <c r="X359" i="57"/>
  <c r="W359" i="57"/>
  <c r="R359" i="57"/>
  <c r="F359" i="57"/>
  <c r="X358" i="57"/>
  <c r="W358" i="57"/>
  <c r="R358" i="57"/>
  <c r="F358" i="57"/>
  <c r="X357" i="57"/>
  <c r="W357" i="57"/>
  <c r="R357" i="57"/>
  <c r="F357" i="57"/>
  <c r="X356" i="57"/>
  <c r="W356" i="57"/>
  <c r="R356" i="57"/>
  <c r="F356" i="57"/>
  <c r="X355" i="57"/>
  <c r="W355" i="57"/>
  <c r="R355" i="57"/>
  <c r="F355" i="57"/>
  <c r="X354" i="57"/>
  <c r="W354" i="57"/>
  <c r="R354" i="57"/>
  <c r="F354" i="57"/>
  <c r="X353" i="57"/>
  <c r="W353" i="57"/>
  <c r="R353" i="57"/>
  <c r="F353" i="57"/>
  <c r="X352" i="57"/>
  <c r="W352" i="57"/>
  <c r="R352" i="57"/>
  <c r="F352" i="57"/>
  <c r="X351" i="57"/>
  <c r="W351" i="57"/>
  <c r="R351" i="57"/>
  <c r="F351" i="57"/>
  <c r="X350" i="57"/>
  <c r="W350" i="57"/>
  <c r="R350" i="57"/>
  <c r="F350" i="57"/>
  <c r="X349" i="57"/>
  <c r="W349" i="57"/>
  <c r="R349" i="57"/>
  <c r="F349" i="57"/>
  <c r="X348" i="57"/>
  <c r="W348" i="57"/>
  <c r="R348" i="57"/>
  <c r="F348" i="57"/>
  <c r="X347" i="57"/>
  <c r="W347" i="57"/>
  <c r="R347" i="57"/>
  <c r="F347" i="57"/>
  <c r="X346" i="57"/>
  <c r="W346" i="57"/>
  <c r="R346" i="57"/>
  <c r="F346" i="57"/>
  <c r="X345" i="57"/>
  <c r="W345" i="57"/>
  <c r="R345" i="57"/>
  <c r="F345" i="57"/>
  <c r="X344" i="57"/>
  <c r="W344" i="57"/>
  <c r="R344" i="57"/>
  <c r="F344" i="57"/>
  <c r="X343" i="57"/>
  <c r="W343" i="57"/>
  <c r="R343" i="57"/>
  <c r="F343" i="57"/>
  <c r="D343" i="57"/>
  <c r="X342" i="57"/>
  <c r="W342" i="57"/>
  <c r="R342" i="57"/>
  <c r="F342" i="57"/>
  <c r="X341" i="57"/>
  <c r="W341" i="57"/>
  <c r="R341" i="57"/>
  <c r="F341" i="57"/>
  <c r="X340" i="57"/>
  <c r="W340" i="57"/>
  <c r="R340" i="57"/>
  <c r="F340" i="57"/>
  <c r="X339" i="57"/>
  <c r="W339" i="57"/>
  <c r="R339" i="57"/>
  <c r="F339" i="57"/>
  <c r="X338" i="57"/>
  <c r="W338" i="57"/>
  <c r="R338" i="57"/>
  <c r="F338" i="57"/>
  <c r="X337" i="57"/>
  <c r="W337" i="57"/>
  <c r="R337" i="57"/>
  <c r="F337" i="57"/>
  <c r="X336" i="57"/>
  <c r="W336" i="57"/>
  <c r="R336" i="57"/>
  <c r="F336" i="57"/>
  <c r="X335" i="57"/>
  <c r="W335" i="57"/>
  <c r="R335" i="57"/>
  <c r="F335" i="57"/>
  <c r="X334" i="57"/>
  <c r="W334" i="57"/>
  <c r="R334" i="57"/>
  <c r="F334" i="57"/>
  <c r="X333" i="57"/>
  <c r="W333" i="57"/>
  <c r="R333" i="57"/>
  <c r="F333" i="57"/>
  <c r="X332" i="57"/>
  <c r="W332" i="57"/>
  <c r="R332" i="57"/>
  <c r="F332" i="57"/>
  <c r="X331" i="57"/>
  <c r="W331" i="57"/>
  <c r="R331" i="57"/>
  <c r="F331" i="57"/>
  <c r="X330" i="57"/>
  <c r="W330" i="57"/>
  <c r="R330" i="57"/>
  <c r="F330" i="57"/>
  <c r="X329" i="57"/>
  <c r="W329" i="57"/>
  <c r="R329" i="57"/>
  <c r="F329" i="57"/>
  <c r="X328" i="57"/>
  <c r="W328" i="57"/>
  <c r="R328" i="57"/>
  <c r="F328" i="57"/>
  <c r="X327" i="57"/>
  <c r="W327" i="57"/>
  <c r="R327" i="57"/>
  <c r="F327" i="57"/>
  <c r="X326" i="57"/>
  <c r="W326" i="57"/>
  <c r="R326" i="57"/>
  <c r="F326" i="57"/>
  <c r="X325" i="57"/>
  <c r="W325" i="57"/>
  <c r="R325" i="57"/>
  <c r="F325" i="57"/>
  <c r="X324" i="57"/>
  <c r="W324" i="57"/>
  <c r="R324" i="57"/>
  <c r="F324" i="57"/>
  <c r="X323" i="57"/>
  <c r="W323" i="57"/>
  <c r="R323" i="57"/>
  <c r="F323" i="57"/>
  <c r="X322" i="57"/>
  <c r="W322" i="57"/>
  <c r="R322" i="57"/>
  <c r="F322" i="57"/>
  <c r="X321" i="57"/>
  <c r="W321" i="57"/>
  <c r="R321" i="57"/>
  <c r="F321" i="57"/>
  <c r="X320" i="57"/>
  <c r="W320" i="57"/>
  <c r="R320" i="57"/>
  <c r="F320" i="57"/>
  <c r="X319" i="57"/>
  <c r="W319" i="57"/>
  <c r="R319" i="57"/>
  <c r="F319" i="57"/>
  <c r="X318" i="57"/>
  <c r="W318" i="57"/>
  <c r="R318" i="57"/>
  <c r="F318" i="57"/>
  <c r="X317" i="57"/>
  <c r="W317" i="57"/>
  <c r="R317" i="57"/>
  <c r="F317" i="57"/>
  <c r="X316" i="57"/>
  <c r="W316" i="57"/>
  <c r="R316" i="57"/>
  <c r="F316" i="57"/>
  <c r="X315" i="57"/>
  <c r="W315" i="57"/>
  <c r="R315" i="57"/>
  <c r="F315" i="57"/>
  <c r="X314" i="57"/>
  <c r="W314" i="57"/>
  <c r="R314" i="57"/>
  <c r="F314" i="57"/>
  <c r="X313" i="57"/>
  <c r="W313" i="57"/>
  <c r="R313" i="57"/>
  <c r="F313" i="57"/>
  <c r="X312" i="57"/>
  <c r="W312" i="57"/>
  <c r="R312" i="57"/>
  <c r="F312" i="57"/>
  <c r="X311" i="57"/>
  <c r="W311" i="57"/>
  <c r="R311" i="57"/>
  <c r="F311" i="57"/>
  <c r="X310" i="57"/>
  <c r="W310" i="57"/>
  <c r="R310" i="57"/>
  <c r="F310" i="57"/>
  <c r="X309" i="57"/>
  <c r="W309" i="57"/>
  <c r="R309" i="57"/>
  <c r="F309" i="57"/>
  <c r="X308" i="57"/>
  <c r="W308" i="57"/>
  <c r="R308" i="57"/>
  <c r="F308" i="57"/>
  <c r="X307" i="57"/>
  <c r="W307" i="57"/>
  <c r="R307" i="57"/>
  <c r="F307" i="57"/>
  <c r="X306" i="57"/>
  <c r="W306" i="57"/>
  <c r="R306" i="57"/>
  <c r="F306" i="57"/>
  <c r="X305" i="57"/>
  <c r="W305" i="57"/>
  <c r="R305" i="57"/>
  <c r="F305" i="57"/>
  <c r="X304" i="57"/>
  <c r="W304" i="57"/>
  <c r="R304" i="57"/>
  <c r="F304" i="57"/>
  <c r="X303" i="57"/>
  <c r="W303" i="57"/>
  <c r="R303" i="57"/>
  <c r="F303" i="57"/>
  <c r="X302" i="57"/>
  <c r="W302" i="57"/>
  <c r="R302" i="57"/>
  <c r="F302" i="57"/>
  <c r="X301" i="57"/>
  <c r="W301" i="57"/>
  <c r="R301" i="57"/>
  <c r="F301" i="57"/>
  <c r="X300" i="57"/>
  <c r="W300" i="57"/>
  <c r="R300" i="57"/>
  <c r="F300" i="57"/>
  <c r="X299" i="57"/>
  <c r="W299" i="57"/>
  <c r="R299" i="57"/>
  <c r="F299" i="57"/>
  <c r="X298" i="57"/>
  <c r="W298" i="57"/>
  <c r="R298" i="57"/>
  <c r="F298" i="57"/>
  <c r="X297" i="57"/>
  <c r="W297" i="57"/>
  <c r="R297" i="57"/>
  <c r="F297" i="57"/>
  <c r="X296" i="57"/>
  <c r="W296" i="57"/>
  <c r="R296" i="57"/>
  <c r="F296" i="57"/>
  <c r="X295" i="57"/>
  <c r="W295" i="57"/>
  <c r="R295" i="57"/>
  <c r="F295" i="57"/>
  <c r="X294" i="57"/>
  <c r="W294" i="57"/>
  <c r="R294" i="57"/>
  <c r="F294" i="57"/>
  <c r="X293" i="57"/>
  <c r="W293" i="57"/>
  <c r="R293" i="57"/>
  <c r="F293" i="57"/>
  <c r="X292" i="57"/>
  <c r="W292" i="57"/>
  <c r="R292" i="57"/>
  <c r="F292" i="57"/>
  <c r="X291" i="57"/>
  <c r="W291" i="57"/>
  <c r="R291" i="57"/>
  <c r="F291" i="57"/>
  <c r="X290" i="57"/>
  <c r="W290" i="57"/>
  <c r="R290" i="57"/>
  <c r="F290" i="57"/>
  <c r="X289" i="57"/>
  <c r="W289" i="57"/>
  <c r="R289" i="57"/>
  <c r="F289" i="57"/>
  <c r="X288" i="57"/>
  <c r="W288" i="57"/>
  <c r="R288" i="57"/>
  <c r="F288" i="57"/>
  <c r="X287" i="57"/>
  <c r="W287" i="57"/>
  <c r="R287" i="57"/>
  <c r="F287" i="57"/>
  <c r="X286" i="57"/>
  <c r="W286" i="57"/>
  <c r="R286" i="57"/>
  <c r="F286" i="57"/>
  <c r="X285" i="57"/>
  <c r="W285" i="57"/>
  <c r="R285" i="57"/>
  <c r="F285" i="57"/>
  <c r="X284" i="57"/>
  <c r="W284" i="57"/>
  <c r="R284" i="57"/>
  <c r="F284" i="57"/>
  <c r="X283" i="57"/>
  <c r="W283" i="57"/>
  <c r="R283" i="57"/>
  <c r="F283" i="57"/>
  <c r="X282" i="57"/>
  <c r="W282" i="57"/>
  <c r="R282" i="57"/>
  <c r="F282" i="57"/>
  <c r="X281" i="57"/>
  <c r="W281" i="57"/>
  <c r="R281" i="57"/>
  <c r="F281" i="57"/>
  <c r="X280" i="57"/>
  <c r="W280" i="57"/>
  <c r="R280" i="57"/>
  <c r="F280" i="57"/>
  <c r="X279" i="57"/>
  <c r="W279" i="57"/>
  <c r="R279" i="57"/>
  <c r="F279" i="57"/>
  <c r="X278" i="57"/>
  <c r="W278" i="57"/>
  <c r="R278" i="57"/>
  <c r="F278" i="57"/>
  <c r="X277" i="57"/>
  <c r="W277" i="57"/>
  <c r="R277" i="57"/>
  <c r="F277" i="57"/>
  <c r="X276" i="57"/>
  <c r="W276" i="57"/>
  <c r="R276" i="57"/>
  <c r="F276" i="57"/>
  <c r="X275" i="57"/>
  <c r="W275" i="57"/>
  <c r="R275" i="57"/>
  <c r="F275" i="57"/>
  <c r="X274" i="57"/>
  <c r="W274" i="57"/>
  <c r="R274" i="57"/>
  <c r="F274" i="57"/>
  <c r="X273" i="57"/>
  <c r="W273" i="57"/>
  <c r="R273" i="57"/>
  <c r="F273" i="57"/>
  <c r="X272" i="57"/>
  <c r="W272" i="57"/>
  <c r="R272" i="57"/>
  <c r="F272" i="57"/>
  <c r="X271" i="57"/>
  <c r="W271" i="57"/>
  <c r="R271" i="57"/>
  <c r="F271" i="57"/>
  <c r="X270" i="57"/>
  <c r="W270" i="57"/>
  <c r="R270" i="57"/>
  <c r="F270" i="57"/>
  <c r="X269" i="57"/>
  <c r="W269" i="57"/>
  <c r="R269" i="57"/>
  <c r="F269" i="57"/>
  <c r="X268" i="57"/>
  <c r="W268" i="57"/>
  <c r="R268" i="57"/>
  <c r="F268" i="57"/>
  <c r="X267" i="57"/>
  <c r="W267" i="57"/>
  <c r="R267" i="57"/>
  <c r="F267" i="57"/>
  <c r="X266" i="57"/>
  <c r="W266" i="57"/>
  <c r="R266" i="57"/>
  <c r="F266" i="57"/>
  <c r="X265" i="57"/>
  <c r="W265" i="57"/>
  <c r="R265" i="57"/>
  <c r="F265" i="57"/>
  <c r="X264" i="57"/>
  <c r="W264" i="57"/>
  <c r="R264" i="57"/>
  <c r="F264" i="57"/>
  <c r="X263" i="57"/>
  <c r="W263" i="57"/>
  <c r="R263" i="57"/>
  <c r="F263" i="57"/>
  <c r="X262" i="57"/>
  <c r="W262" i="57"/>
  <c r="R262" i="57"/>
  <c r="F262" i="57"/>
  <c r="X261" i="57"/>
  <c r="W261" i="57"/>
  <c r="R261" i="57"/>
  <c r="F261" i="57"/>
  <c r="X260" i="57"/>
  <c r="W260" i="57"/>
  <c r="R260" i="57"/>
  <c r="F260" i="57"/>
  <c r="X259" i="57"/>
  <c r="W259" i="57"/>
  <c r="R259" i="57"/>
  <c r="F259" i="57"/>
  <c r="X258" i="57"/>
  <c r="W258" i="57"/>
  <c r="R258" i="57"/>
  <c r="F258" i="57"/>
  <c r="X257" i="57"/>
  <c r="W257" i="57"/>
  <c r="R257" i="57"/>
  <c r="F257" i="57"/>
  <c r="X256" i="57"/>
  <c r="W256" i="57"/>
  <c r="R256" i="57"/>
  <c r="F256" i="57"/>
  <c r="X255" i="57"/>
  <c r="W255" i="57"/>
  <c r="R255" i="57"/>
  <c r="F255" i="57"/>
  <c r="X254" i="57"/>
  <c r="W254" i="57"/>
  <c r="R254" i="57"/>
  <c r="F254" i="57"/>
  <c r="X253" i="57"/>
  <c r="W253" i="57"/>
  <c r="R253" i="57"/>
  <c r="F253" i="57"/>
  <c r="X252" i="57"/>
  <c r="W252" i="57"/>
  <c r="R252" i="57"/>
  <c r="F252" i="57"/>
  <c r="X251" i="57"/>
  <c r="W251" i="57"/>
  <c r="R251" i="57"/>
  <c r="F251" i="57"/>
  <c r="X250" i="57"/>
  <c r="W250" i="57"/>
  <c r="R250" i="57"/>
  <c r="F250" i="57"/>
  <c r="X249" i="57"/>
  <c r="W249" i="57"/>
  <c r="R249" i="57"/>
  <c r="F249" i="57"/>
  <c r="X248" i="57"/>
  <c r="W248" i="57"/>
  <c r="R248" i="57"/>
  <c r="F248" i="57"/>
  <c r="X247" i="57"/>
  <c r="W247" i="57"/>
  <c r="R247" i="57"/>
  <c r="F247" i="57"/>
  <c r="X246" i="57"/>
  <c r="W246" i="57"/>
  <c r="R246" i="57"/>
  <c r="F246" i="57"/>
  <c r="X245" i="57"/>
  <c r="W245" i="57"/>
  <c r="R245" i="57"/>
  <c r="F245" i="57"/>
  <c r="X244" i="57"/>
  <c r="W244" i="57"/>
  <c r="R244" i="57"/>
  <c r="F244" i="57"/>
  <c r="X243" i="57"/>
  <c r="W243" i="57"/>
  <c r="R243" i="57"/>
  <c r="F243" i="57"/>
  <c r="X242" i="57"/>
  <c r="W242" i="57"/>
  <c r="R242" i="57"/>
  <c r="F242" i="57"/>
  <c r="X241" i="57"/>
  <c r="W241" i="57"/>
  <c r="R241" i="57"/>
  <c r="F241" i="57"/>
  <c r="X240" i="57"/>
  <c r="W240" i="57"/>
  <c r="R240" i="57"/>
  <c r="F240" i="57"/>
  <c r="X239" i="57"/>
  <c r="W239" i="57"/>
  <c r="R239" i="57"/>
  <c r="F239" i="57"/>
  <c r="X238" i="57"/>
  <c r="W238" i="57"/>
  <c r="R238" i="57"/>
  <c r="F238" i="57"/>
  <c r="X237" i="57"/>
  <c r="W237" i="57"/>
  <c r="R237" i="57"/>
  <c r="F237" i="57"/>
  <c r="X236" i="57"/>
  <c r="W236" i="57"/>
  <c r="R236" i="57"/>
  <c r="F236" i="57"/>
  <c r="X235" i="57"/>
  <c r="W235" i="57"/>
  <c r="R235" i="57"/>
  <c r="F235" i="57"/>
  <c r="X234" i="57"/>
  <c r="W234" i="57"/>
  <c r="R234" i="57"/>
  <c r="F234" i="57"/>
  <c r="X233" i="57"/>
  <c r="W233" i="57"/>
  <c r="R233" i="57"/>
  <c r="F233" i="57"/>
  <c r="X232" i="57"/>
  <c r="W232" i="57"/>
  <c r="R232" i="57"/>
  <c r="F232" i="57"/>
  <c r="X231" i="57"/>
  <c r="W231" i="57"/>
  <c r="R231" i="57"/>
  <c r="F231" i="57"/>
  <c r="X230" i="57"/>
  <c r="W230" i="57"/>
  <c r="R230" i="57"/>
  <c r="F230" i="57"/>
  <c r="X229" i="57"/>
  <c r="W229" i="57"/>
  <c r="R229" i="57"/>
  <c r="F229" i="57"/>
  <c r="X228" i="57"/>
  <c r="W228" i="57"/>
  <c r="R228" i="57"/>
  <c r="F228" i="57"/>
  <c r="X227" i="57"/>
  <c r="W227" i="57"/>
  <c r="R227" i="57"/>
  <c r="F227" i="57"/>
  <c r="X226" i="57"/>
  <c r="W226" i="57"/>
  <c r="R226" i="57"/>
  <c r="F226" i="57"/>
  <c r="X225" i="57"/>
  <c r="W225" i="57"/>
  <c r="R225" i="57"/>
  <c r="F225" i="57"/>
  <c r="X224" i="57"/>
  <c r="W224" i="57"/>
  <c r="R224" i="57"/>
  <c r="F224" i="57"/>
  <c r="X223" i="57"/>
  <c r="W223" i="57"/>
  <c r="R223" i="57"/>
  <c r="F223" i="57"/>
  <c r="X222" i="57"/>
  <c r="W222" i="57"/>
  <c r="R222" i="57"/>
  <c r="F222" i="57"/>
  <c r="X221" i="57"/>
  <c r="W221" i="57"/>
  <c r="R221" i="57"/>
  <c r="F221" i="57"/>
  <c r="X220" i="57"/>
  <c r="W220" i="57"/>
  <c r="R220" i="57"/>
  <c r="F220" i="57"/>
  <c r="X219" i="57"/>
  <c r="W219" i="57"/>
  <c r="R219" i="57"/>
  <c r="F219" i="57"/>
  <c r="X218" i="57"/>
  <c r="W218" i="57"/>
  <c r="R218" i="57"/>
  <c r="F218" i="57"/>
  <c r="X217" i="57"/>
  <c r="W217" i="57"/>
  <c r="R217" i="57"/>
  <c r="F217" i="57"/>
  <c r="X216" i="57"/>
  <c r="W216" i="57"/>
  <c r="R216" i="57"/>
  <c r="F216" i="57"/>
  <c r="X215" i="57"/>
  <c r="W215" i="57"/>
  <c r="R215" i="57"/>
  <c r="F215" i="57"/>
  <c r="X214" i="57"/>
  <c r="W214" i="57"/>
  <c r="R214" i="57"/>
  <c r="F214" i="57"/>
  <c r="X213" i="57"/>
  <c r="W213" i="57"/>
  <c r="R213" i="57"/>
  <c r="F213" i="57"/>
  <c r="X212" i="57"/>
  <c r="W212" i="57"/>
  <c r="R212" i="57"/>
  <c r="F212" i="57"/>
  <c r="X211" i="57"/>
  <c r="W211" i="57"/>
  <c r="R211" i="57"/>
  <c r="F211" i="57"/>
  <c r="X210" i="57"/>
  <c r="W210" i="57"/>
  <c r="R210" i="57"/>
  <c r="F210" i="57"/>
  <c r="X209" i="57"/>
  <c r="W209" i="57"/>
  <c r="R209" i="57"/>
  <c r="F209" i="57"/>
  <c r="X208" i="57"/>
  <c r="W208" i="57"/>
  <c r="R208" i="57"/>
  <c r="F208" i="57"/>
  <c r="X207" i="57"/>
  <c r="W207" i="57"/>
  <c r="R207" i="57"/>
  <c r="F207" i="57"/>
  <c r="X206" i="57"/>
  <c r="W206" i="57"/>
  <c r="R206" i="57"/>
  <c r="F206" i="57"/>
  <c r="X205" i="57"/>
  <c r="W205" i="57"/>
  <c r="R205" i="57"/>
  <c r="F205" i="57"/>
  <c r="X204" i="57"/>
  <c r="W204" i="57"/>
  <c r="R204" i="57"/>
  <c r="F204" i="57"/>
  <c r="X203" i="57"/>
  <c r="W203" i="57"/>
  <c r="R203" i="57"/>
  <c r="F203" i="57"/>
  <c r="X202" i="57"/>
  <c r="W202" i="57"/>
  <c r="R202" i="57"/>
  <c r="F202" i="57"/>
  <c r="X201" i="57"/>
  <c r="W201" i="57"/>
  <c r="R201" i="57"/>
  <c r="F201" i="57"/>
  <c r="X200" i="57"/>
  <c r="W200" i="57"/>
  <c r="R200" i="57"/>
  <c r="F200" i="57"/>
  <c r="X199" i="57"/>
  <c r="W199" i="57"/>
  <c r="R199" i="57"/>
  <c r="F199" i="57"/>
  <c r="X198" i="57"/>
  <c r="W198" i="57"/>
  <c r="R198" i="57"/>
  <c r="F198" i="57"/>
  <c r="X197" i="57"/>
  <c r="W197" i="57"/>
  <c r="R197" i="57"/>
  <c r="F197" i="57"/>
  <c r="X196" i="57"/>
  <c r="W196" i="57"/>
  <c r="R196" i="57"/>
  <c r="F196" i="57"/>
  <c r="X195" i="57"/>
  <c r="W195" i="57"/>
  <c r="R195" i="57"/>
  <c r="F195" i="57"/>
  <c r="X194" i="57"/>
  <c r="W194" i="57"/>
  <c r="R194" i="57"/>
  <c r="F194" i="57"/>
  <c r="X193" i="57"/>
  <c r="W193" i="57"/>
  <c r="R193" i="57"/>
  <c r="F193" i="57"/>
  <c r="X192" i="57"/>
  <c r="W192" i="57"/>
  <c r="R192" i="57"/>
  <c r="F192" i="57"/>
  <c r="X191" i="57"/>
  <c r="W191" i="57"/>
  <c r="R191" i="57"/>
  <c r="F191" i="57"/>
  <c r="X190" i="57"/>
  <c r="W190" i="57"/>
  <c r="R190" i="57"/>
  <c r="F190" i="57"/>
  <c r="X189" i="57"/>
  <c r="W189" i="57"/>
  <c r="R189" i="57"/>
  <c r="F189" i="57"/>
  <c r="X188" i="57"/>
  <c r="W188" i="57"/>
  <c r="R188" i="57"/>
  <c r="F188" i="57"/>
  <c r="X187" i="57"/>
  <c r="W187" i="57"/>
  <c r="R187" i="57"/>
  <c r="F187" i="57"/>
  <c r="X186" i="57"/>
  <c r="W186" i="57"/>
  <c r="R186" i="57"/>
  <c r="F186" i="57"/>
  <c r="X185" i="57"/>
  <c r="W185" i="57"/>
  <c r="R185" i="57"/>
  <c r="F185" i="57"/>
  <c r="X184" i="57"/>
  <c r="W184" i="57"/>
  <c r="R184" i="57"/>
  <c r="F184" i="57"/>
  <c r="X183" i="57"/>
  <c r="W183" i="57"/>
  <c r="R183" i="57"/>
  <c r="F183" i="57"/>
  <c r="X182" i="57"/>
  <c r="W182" i="57"/>
  <c r="R182" i="57"/>
  <c r="F182" i="57"/>
  <c r="X181" i="57"/>
  <c r="W181" i="57"/>
  <c r="R181" i="57"/>
  <c r="F181" i="57"/>
  <c r="X180" i="57"/>
  <c r="W180" i="57"/>
  <c r="R180" i="57"/>
  <c r="F180" i="57"/>
  <c r="X179" i="57"/>
  <c r="W179" i="57"/>
  <c r="R179" i="57"/>
  <c r="F179" i="57"/>
  <c r="X178" i="57"/>
  <c r="W178" i="57"/>
  <c r="R178" i="57"/>
  <c r="F178" i="57"/>
  <c r="X177" i="57"/>
  <c r="W177" i="57"/>
  <c r="R177" i="57"/>
  <c r="F177" i="57"/>
  <c r="X176" i="57"/>
  <c r="W176" i="57"/>
  <c r="R176" i="57"/>
  <c r="F176" i="57"/>
  <c r="X175" i="57"/>
  <c r="W175" i="57"/>
  <c r="R175" i="57"/>
  <c r="F175" i="57"/>
  <c r="X174" i="57"/>
  <c r="W174" i="57"/>
  <c r="R174" i="57"/>
  <c r="F174" i="57"/>
  <c r="X173" i="57"/>
  <c r="W173" i="57"/>
  <c r="R173" i="57"/>
  <c r="F173" i="57"/>
  <c r="X172" i="57"/>
  <c r="W172" i="57"/>
  <c r="R172" i="57"/>
  <c r="F172" i="57"/>
  <c r="X171" i="57"/>
  <c r="W171" i="57"/>
  <c r="R171" i="57"/>
  <c r="F171" i="57"/>
  <c r="X170" i="57"/>
  <c r="W170" i="57"/>
  <c r="R170" i="57"/>
  <c r="F170" i="57"/>
  <c r="X169" i="57"/>
  <c r="W169" i="57"/>
  <c r="R169" i="57"/>
  <c r="F169" i="57"/>
  <c r="X168" i="57"/>
  <c r="W168" i="57"/>
  <c r="R168" i="57"/>
  <c r="F168" i="57"/>
  <c r="X167" i="57"/>
  <c r="W167" i="57"/>
  <c r="R167" i="57"/>
  <c r="F167" i="57"/>
  <c r="R166" i="57"/>
  <c r="F166" i="57"/>
  <c r="R165" i="57"/>
  <c r="F165" i="57"/>
  <c r="R164" i="57"/>
  <c r="F164" i="57"/>
  <c r="X163" i="57"/>
  <c r="W163" i="57"/>
  <c r="R163" i="57"/>
  <c r="F163" i="57"/>
  <c r="X162" i="57"/>
  <c r="W162" i="57"/>
  <c r="R162" i="57"/>
  <c r="F162" i="57"/>
  <c r="X161" i="57"/>
  <c r="W161" i="57"/>
  <c r="R161" i="57"/>
  <c r="F161" i="57"/>
  <c r="X160" i="57"/>
  <c r="W160" i="57"/>
  <c r="R160" i="57"/>
  <c r="F160" i="57"/>
  <c r="X159" i="57"/>
  <c r="W159" i="57"/>
  <c r="R159" i="57"/>
  <c r="F159" i="57"/>
  <c r="X158" i="57"/>
  <c r="W158" i="57"/>
  <c r="R158" i="57"/>
  <c r="F158" i="57"/>
  <c r="X157" i="57"/>
  <c r="W157" i="57"/>
  <c r="R157" i="57"/>
  <c r="F157" i="57"/>
  <c r="X156" i="57"/>
  <c r="W156" i="57"/>
  <c r="R156" i="57"/>
  <c r="F156" i="57"/>
  <c r="X155" i="57"/>
  <c r="W155" i="57"/>
  <c r="R155" i="57"/>
  <c r="F155" i="57"/>
  <c r="X154" i="57"/>
  <c r="W154" i="57"/>
  <c r="R154" i="57"/>
  <c r="F154" i="57"/>
  <c r="X153" i="57"/>
  <c r="W153" i="57"/>
  <c r="R153" i="57"/>
  <c r="F153" i="57"/>
  <c r="X152" i="57"/>
  <c r="W152" i="57"/>
  <c r="R152" i="57"/>
  <c r="F152" i="57"/>
  <c r="X151" i="57"/>
  <c r="W151" i="57"/>
  <c r="R151" i="57"/>
  <c r="F151" i="57"/>
  <c r="X150" i="57"/>
  <c r="W150" i="57"/>
  <c r="R150" i="57"/>
  <c r="F150" i="57"/>
  <c r="X149" i="57"/>
  <c r="W149" i="57"/>
  <c r="R149" i="57"/>
  <c r="F149" i="57"/>
  <c r="X148" i="57"/>
  <c r="W148" i="57"/>
  <c r="R148" i="57"/>
  <c r="F148" i="57"/>
  <c r="X147" i="57"/>
  <c r="W147" i="57"/>
  <c r="R147" i="57"/>
  <c r="F147" i="57"/>
  <c r="X146" i="57"/>
  <c r="W146" i="57"/>
  <c r="R146" i="57"/>
  <c r="F146" i="57"/>
  <c r="X145" i="57"/>
  <c r="W145" i="57"/>
  <c r="R145" i="57"/>
  <c r="F145" i="57"/>
  <c r="X144" i="57"/>
  <c r="W144" i="57"/>
  <c r="R144" i="57"/>
  <c r="F144" i="57"/>
  <c r="X143" i="57"/>
  <c r="W143" i="57"/>
  <c r="R143" i="57"/>
  <c r="F143" i="57"/>
  <c r="X142" i="57"/>
  <c r="W142" i="57"/>
  <c r="R142" i="57"/>
  <c r="F142" i="57"/>
  <c r="X141" i="57"/>
  <c r="W141" i="57"/>
  <c r="R141" i="57"/>
  <c r="F141" i="57"/>
  <c r="X140" i="57"/>
  <c r="W140" i="57"/>
  <c r="R140" i="57"/>
  <c r="F140" i="57"/>
  <c r="X139" i="57"/>
  <c r="W139" i="57"/>
  <c r="R139" i="57"/>
  <c r="F139" i="57"/>
  <c r="X138" i="57"/>
  <c r="W138" i="57"/>
  <c r="R138" i="57"/>
  <c r="F138" i="57"/>
  <c r="X137" i="57"/>
  <c r="W137" i="57"/>
  <c r="R137" i="57"/>
  <c r="F137" i="57"/>
  <c r="X136" i="57"/>
  <c r="W136" i="57"/>
  <c r="R136" i="57"/>
  <c r="F136" i="57"/>
  <c r="X135" i="57"/>
  <c r="W135" i="57"/>
  <c r="R135" i="57"/>
  <c r="F135" i="57"/>
  <c r="X134" i="57"/>
  <c r="W134" i="57"/>
  <c r="R134" i="57"/>
  <c r="F134" i="57"/>
  <c r="X133" i="57"/>
  <c r="W133" i="57"/>
  <c r="R133" i="57"/>
  <c r="F133" i="57"/>
  <c r="X132" i="57"/>
  <c r="W132" i="57"/>
  <c r="R132" i="57"/>
  <c r="F132" i="57"/>
  <c r="X131" i="57"/>
  <c r="W131" i="57"/>
  <c r="R131" i="57"/>
  <c r="F131" i="57"/>
  <c r="X130" i="57"/>
  <c r="W130" i="57"/>
  <c r="R130" i="57"/>
  <c r="F130" i="57"/>
  <c r="X129" i="57"/>
  <c r="W129" i="57"/>
  <c r="R129" i="57"/>
  <c r="F129" i="57"/>
  <c r="X128" i="57"/>
  <c r="W128" i="57"/>
  <c r="R128" i="57"/>
  <c r="F128" i="57"/>
  <c r="X127" i="57"/>
  <c r="W127" i="57"/>
  <c r="R127" i="57"/>
  <c r="F127" i="57"/>
  <c r="X126" i="57"/>
  <c r="W126" i="57"/>
  <c r="R126" i="57"/>
  <c r="F126" i="57"/>
  <c r="X125" i="57"/>
  <c r="W125" i="57"/>
  <c r="R125" i="57"/>
  <c r="F125" i="57"/>
  <c r="X124" i="57"/>
  <c r="W124" i="57"/>
  <c r="R124" i="57"/>
  <c r="F124" i="57"/>
  <c r="X123" i="57"/>
  <c r="W123" i="57"/>
  <c r="R123" i="57"/>
  <c r="F123" i="57"/>
  <c r="X122" i="57"/>
  <c r="W122" i="57"/>
  <c r="R122" i="57"/>
  <c r="F122" i="57"/>
  <c r="X121" i="57"/>
  <c r="W121" i="57"/>
  <c r="R121" i="57"/>
  <c r="F121" i="57"/>
  <c r="X120" i="57"/>
  <c r="W120" i="57"/>
  <c r="R120" i="57"/>
  <c r="F120" i="57"/>
  <c r="X119" i="57"/>
  <c r="W119" i="57"/>
  <c r="R119" i="57"/>
  <c r="F119" i="57"/>
  <c r="X118" i="57"/>
  <c r="W118" i="57"/>
  <c r="R118" i="57"/>
  <c r="F118" i="57"/>
  <c r="X117" i="57"/>
  <c r="W117" i="57"/>
  <c r="R117" i="57"/>
  <c r="F117" i="57"/>
  <c r="X116" i="57"/>
  <c r="W116" i="57"/>
  <c r="R116" i="57"/>
  <c r="F116" i="57"/>
  <c r="X115" i="57"/>
  <c r="W115" i="57"/>
  <c r="R115" i="57"/>
  <c r="F115" i="57"/>
  <c r="X114" i="57"/>
  <c r="W114" i="57"/>
  <c r="R114" i="57"/>
  <c r="F114" i="57"/>
  <c r="X113" i="57"/>
  <c r="W113" i="57"/>
  <c r="R113" i="57"/>
  <c r="F113" i="57"/>
  <c r="X112" i="57"/>
  <c r="W112" i="57"/>
  <c r="R112" i="57"/>
  <c r="F112" i="57"/>
  <c r="X111" i="57"/>
  <c r="W111" i="57"/>
  <c r="R111" i="57"/>
  <c r="F111" i="57"/>
  <c r="X110" i="57"/>
  <c r="W110" i="57"/>
  <c r="R110" i="57"/>
  <c r="F110" i="57"/>
  <c r="X109" i="57"/>
  <c r="W109" i="57"/>
  <c r="R109" i="57"/>
  <c r="F109" i="57"/>
  <c r="X108" i="57"/>
  <c r="W108" i="57"/>
  <c r="R108" i="57"/>
  <c r="F108" i="57"/>
  <c r="X107" i="57"/>
  <c r="W107" i="57"/>
  <c r="R107" i="57"/>
  <c r="F107" i="57"/>
  <c r="X106" i="57"/>
  <c r="W106" i="57"/>
  <c r="R106" i="57"/>
  <c r="F106" i="57"/>
  <c r="X105" i="57"/>
  <c r="W105" i="57"/>
  <c r="R105" i="57"/>
  <c r="F105" i="57"/>
  <c r="X104" i="57"/>
  <c r="W104" i="57"/>
  <c r="R104" i="57"/>
  <c r="F104" i="57"/>
  <c r="X103" i="57"/>
  <c r="W103" i="57"/>
  <c r="R103" i="57"/>
  <c r="F103" i="57"/>
  <c r="X102" i="57"/>
  <c r="W102" i="57"/>
  <c r="R102" i="57"/>
  <c r="F102" i="57"/>
  <c r="X101" i="57"/>
  <c r="W101" i="57"/>
  <c r="R101" i="57"/>
  <c r="F101" i="57"/>
  <c r="X100" i="57"/>
  <c r="W100" i="57"/>
  <c r="R100" i="57"/>
  <c r="F100" i="57"/>
  <c r="X99" i="57"/>
  <c r="W99" i="57"/>
  <c r="R99" i="57"/>
  <c r="F99" i="57"/>
  <c r="X98" i="57"/>
  <c r="W98" i="57"/>
  <c r="R98" i="57"/>
  <c r="F98" i="57"/>
  <c r="X97" i="57"/>
  <c r="W97" i="57"/>
  <c r="R97" i="57"/>
  <c r="F97" i="57"/>
  <c r="X96" i="57"/>
  <c r="W96" i="57"/>
  <c r="R96" i="57"/>
  <c r="F96" i="57"/>
  <c r="X95" i="57"/>
  <c r="W95" i="57"/>
  <c r="R95" i="57"/>
  <c r="F95" i="57"/>
  <c r="X94" i="57"/>
  <c r="W94" i="57"/>
  <c r="R94" i="57"/>
  <c r="F94" i="57"/>
  <c r="X93" i="57"/>
  <c r="W93" i="57"/>
  <c r="R93" i="57"/>
  <c r="F93" i="57"/>
  <c r="X92" i="57"/>
  <c r="W92" i="57"/>
  <c r="R92" i="57"/>
  <c r="F92" i="57"/>
  <c r="X91" i="57"/>
  <c r="W91" i="57"/>
  <c r="R91" i="57"/>
  <c r="F91" i="57"/>
  <c r="X90" i="57"/>
  <c r="W90" i="57"/>
  <c r="R90" i="57"/>
  <c r="F90" i="57"/>
  <c r="X89" i="57"/>
  <c r="W89" i="57"/>
  <c r="R89" i="57"/>
  <c r="F89" i="57"/>
  <c r="X88" i="57"/>
  <c r="W88" i="57"/>
  <c r="R88" i="57"/>
  <c r="F88" i="57"/>
  <c r="X87" i="57"/>
  <c r="W87" i="57"/>
  <c r="R87" i="57"/>
  <c r="F87" i="57"/>
  <c r="X86" i="57"/>
  <c r="W86" i="57"/>
  <c r="R86" i="57"/>
  <c r="F86" i="57"/>
  <c r="X85" i="57"/>
  <c r="W85" i="57"/>
  <c r="R85" i="57"/>
  <c r="F85" i="57"/>
  <c r="X84" i="57"/>
  <c r="W84" i="57"/>
  <c r="R84" i="57"/>
  <c r="F84" i="57"/>
  <c r="X83" i="57"/>
  <c r="W83" i="57"/>
  <c r="R83" i="57"/>
  <c r="F83" i="57"/>
  <c r="X82" i="57"/>
  <c r="W82" i="57"/>
  <c r="R82" i="57"/>
  <c r="F82" i="57"/>
  <c r="X81" i="57"/>
  <c r="W81" i="57"/>
  <c r="R81" i="57"/>
  <c r="F81" i="57"/>
  <c r="X80" i="57"/>
  <c r="W80" i="57"/>
  <c r="R80" i="57"/>
  <c r="F80" i="57"/>
  <c r="X79" i="57"/>
  <c r="W79" i="57"/>
  <c r="R79" i="57"/>
  <c r="F79" i="57"/>
  <c r="X78" i="57"/>
  <c r="W78" i="57"/>
  <c r="R78" i="57"/>
  <c r="F78" i="57"/>
  <c r="X77" i="57"/>
  <c r="W77" i="57"/>
  <c r="R77" i="57"/>
  <c r="F77" i="57"/>
  <c r="X76" i="57"/>
  <c r="W76" i="57"/>
  <c r="R76" i="57"/>
  <c r="F76" i="57"/>
  <c r="X75" i="57"/>
  <c r="W75" i="57"/>
  <c r="R75" i="57"/>
  <c r="F75" i="57"/>
  <c r="X74" i="57"/>
  <c r="W74" i="57"/>
  <c r="R74" i="57"/>
  <c r="F74" i="57"/>
  <c r="X73" i="57"/>
  <c r="W73" i="57"/>
  <c r="R73" i="57"/>
  <c r="F73" i="57"/>
  <c r="X72" i="57"/>
  <c r="W72" i="57"/>
  <c r="R72" i="57"/>
  <c r="F72" i="57"/>
  <c r="X71" i="57"/>
  <c r="W71" i="57"/>
  <c r="R71" i="57"/>
  <c r="F71" i="57"/>
  <c r="X70" i="57"/>
  <c r="W70" i="57"/>
  <c r="R70" i="57"/>
  <c r="F70" i="57"/>
  <c r="X69" i="57"/>
  <c r="W69" i="57"/>
  <c r="R69" i="57"/>
  <c r="F69" i="57"/>
  <c r="X68" i="57"/>
  <c r="W68" i="57"/>
  <c r="R68" i="57"/>
  <c r="F68" i="57"/>
  <c r="X67" i="57"/>
  <c r="W67" i="57"/>
  <c r="R67" i="57"/>
  <c r="F67" i="57"/>
  <c r="X66" i="57"/>
  <c r="W66" i="57"/>
  <c r="R66" i="57"/>
  <c r="F66" i="57"/>
  <c r="X65" i="57"/>
  <c r="W65" i="57"/>
  <c r="R65" i="57"/>
  <c r="F65" i="57"/>
  <c r="X64" i="57"/>
  <c r="W64" i="57"/>
  <c r="R64" i="57"/>
  <c r="F64" i="57"/>
  <c r="X63" i="57"/>
  <c r="W63" i="57"/>
  <c r="R63" i="57"/>
  <c r="F63" i="57"/>
  <c r="X62" i="57"/>
  <c r="W62" i="57"/>
  <c r="R62" i="57"/>
  <c r="F62" i="57"/>
  <c r="X61" i="57"/>
  <c r="W61" i="57"/>
  <c r="R61" i="57"/>
  <c r="F61" i="57"/>
  <c r="X60" i="57"/>
  <c r="W60" i="57"/>
  <c r="R60" i="57"/>
  <c r="F60" i="57"/>
  <c r="X59" i="57"/>
  <c r="W59" i="57"/>
  <c r="R59" i="57"/>
  <c r="F59" i="57"/>
  <c r="X58" i="57"/>
  <c r="W58" i="57"/>
  <c r="R58" i="57"/>
  <c r="F58" i="57"/>
  <c r="X57" i="57"/>
  <c r="W57" i="57"/>
  <c r="R57" i="57"/>
  <c r="F57" i="57"/>
  <c r="X56" i="57"/>
  <c r="W56" i="57"/>
  <c r="R56" i="57"/>
  <c r="F56" i="57"/>
  <c r="X55" i="57"/>
  <c r="W55" i="57"/>
  <c r="R55" i="57"/>
  <c r="F55" i="57"/>
  <c r="X54" i="57"/>
  <c r="W54" i="57"/>
  <c r="R54" i="57"/>
  <c r="F54" i="57"/>
  <c r="X53" i="57"/>
  <c r="W53" i="57"/>
  <c r="R53" i="57"/>
  <c r="F53" i="57"/>
  <c r="X52" i="57"/>
  <c r="W52" i="57"/>
  <c r="R52" i="57"/>
  <c r="F52" i="57"/>
  <c r="X51" i="57"/>
  <c r="W51" i="57"/>
  <c r="R51" i="57"/>
  <c r="F51" i="57"/>
  <c r="X50" i="57"/>
  <c r="W50" i="57"/>
  <c r="R50" i="57"/>
  <c r="F50" i="57"/>
  <c r="X49" i="57"/>
  <c r="W49" i="57"/>
  <c r="R49" i="57"/>
  <c r="F49" i="57"/>
  <c r="X48" i="57"/>
  <c r="W48" i="57"/>
  <c r="R48" i="57"/>
  <c r="F48" i="57"/>
  <c r="X47" i="57"/>
  <c r="W47" i="57"/>
  <c r="R47" i="57"/>
  <c r="F47" i="57"/>
  <c r="X46" i="57"/>
  <c r="W46" i="57"/>
  <c r="R46" i="57"/>
  <c r="F46" i="57"/>
  <c r="X45" i="57"/>
  <c r="W45" i="57"/>
  <c r="R45" i="57"/>
  <c r="F45" i="57"/>
  <c r="X44" i="57"/>
  <c r="W44" i="57"/>
  <c r="R44" i="57"/>
  <c r="F44" i="57"/>
  <c r="X43" i="57"/>
  <c r="W43" i="57"/>
  <c r="R43" i="57"/>
  <c r="F43" i="57"/>
  <c r="X42" i="57"/>
  <c r="W42" i="57"/>
  <c r="R42" i="57"/>
  <c r="F42" i="57"/>
  <c r="X41" i="57"/>
  <c r="W41" i="57"/>
  <c r="R41" i="57"/>
  <c r="F41" i="57"/>
  <c r="X40" i="57"/>
  <c r="W40" i="57"/>
  <c r="R40" i="57"/>
  <c r="F40" i="57"/>
  <c r="X39" i="57"/>
  <c r="W39" i="57"/>
  <c r="R39" i="57"/>
  <c r="F39" i="57"/>
  <c r="X38" i="57"/>
  <c r="W38" i="57"/>
  <c r="R38" i="57"/>
  <c r="F38" i="57"/>
  <c r="X37" i="57"/>
  <c r="W37" i="57"/>
  <c r="R37" i="57"/>
  <c r="F37" i="57"/>
  <c r="X36" i="57"/>
  <c r="W36" i="57"/>
  <c r="R36" i="57"/>
  <c r="F36" i="57"/>
  <c r="X35" i="57"/>
  <c r="W35" i="57"/>
  <c r="R35" i="57"/>
  <c r="F35" i="57"/>
  <c r="X34" i="57"/>
  <c r="W34" i="57"/>
  <c r="R34" i="57"/>
  <c r="F34" i="57"/>
  <c r="X33" i="57"/>
  <c r="W33" i="57"/>
  <c r="R33" i="57"/>
  <c r="F33" i="57"/>
  <c r="X32" i="57"/>
  <c r="W32" i="57"/>
  <c r="R32" i="57"/>
  <c r="F32" i="57"/>
  <c r="X31" i="57"/>
  <c r="W31" i="57"/>
  <c r="R31" i="57"/>
  <c r="F31" i="57"/>
  <c r="X30" i="57"/>
  <c r="W30" i="57"/>
  <c r="R30" i="57"/>
  <c r="F30" i="57"/>
  <c r="X29" i="57"/>
  <c r="W29" i="57"/>
  <c r="R29" i="57"/>
  <c r="F29" i="57"/>
  <c r="X28" i="57"/>
  <c r="W28" i="57"/>
  <c r="R28" i="57"/>
  <c r="F28" i="57"/>
  <c r="X27" i="57"/>
  <c r="W27" i="57"/>
  <c r="R27" i="57"/>
  <c r="F27" i="57"/>
  <c r="X26" i="57"/>
  <c r="W26" i="57"/>
  <c r="R26" i="57"/>
  <c r="F26" i="57"/>
  <c r="X25" i="57"/>
  <c r="W25" i="57"/>
  <c r="R25" i="57"/>
  <c r="F25" i="57"/>
  <c r="X24" i="57"/>
  <c r="W24" i="57"/>
  <c r="R24" i="57"/>
  <c r="F24" i="57"/>
  <c r="X23" i="57"/>
  <c r="W23" i="57"/>
  <c r="R23" i="57"/>
  <c r="F23" i="57"/>
  <c r="X22" i="57"/>
  <c r="W22" i="57"/>
  <c r="R22" i="57"/>
  <c r="F22" i="57"/>
  <c r="X21" i="57"/>
  <c r="W21" i="57"/>
  <c r="R21" i="57"/>
  <c r="F21" i="57"/>
  <c r="X20" i="57"/>
  <c r="W20" i="57"/>
  <c r="R20" i="57"/>
  <c r="F20" i="57"/>
  <c r="X19" i="57"/>
  <c r="W19" i="57"/>
  <c r="R19" i="57"/>
  <c r="F19" i="57"/>
  <c r="X18" i="57"/>
  <c r="W18" i="57"/>
  <c r="R18" i="57"/>
  <c r="F18" i="57"/>
  <c r="X17" i="57"/>
  <c r="W17" i="57"/>
  <c r="R17" i="57"/>
  <c r="F17" i="57"/>
  <c r="X16" i="57"/>
  <c r="W16" i="57"/>
  <c r="R16" i="57"/>
  <c r="F16" i="57"/>
  <c r="X15" i="57"/>
  <c r="W15" i="57"/>
  <c r="R15" i="57"/>
  <c r="F15" i="57"/>
  <c r="X14" i="57"/>
  <c r="W14" i="57"/>
  <c r="R14" i="57"/>
  <c r="P14" i="57"/>
  <c r="P15" i="57" s="1"/>
  <c r="P16" i="57" s="1"/>
  <c r="P17" i="57" s="1"/>
  <c r="P18" i="57" s="1"/>
  <c r="P19" i="57" s="1"/>
  <c r="P20" i="57" s="1"/>
  <c r="P21" i="57" s="1"/>
  <c r="P22" i="57" s="1"/>
  <c r="P23" i="57" s="1"/>
  <c r="P24" i="57" s="1"/>
  <c r="P25" i="57" s="1"/>
  <c r="P26" i="57" s="1"/>
  <c r="P27" i="57" s="1"/>
  <c r="P28" i="57" s="1"/>
  <c r="P29" i="57" s="1"/>
  <c r="P30" i="57" s="1"/>
  <c r="P31" i="57" s="1"/>
  <c r="P32" i="57" s="1"/>
  <c r="P33" i="57" s="1"/>
  <c r="P34" i="57" s="1"/>
  <c r="P35" i="57" s="1"/>
  <c r="P36" i="57" s="1"/>
  <c r="P37" i="57" s="1"/>
  <c r="P38" i="57" s="1"/>
  <c r="P39" i="57" s="1"/>
  <c r="P40" i="57" s="1"/>
  <c r="P41" i="57" s="1"/>
  <c r="P42" i="57" s="1"/>
  <c r="P43" i="57" s="1"/>
  <c r="P44" i="57" s="1"/>
  <c r="P45" i="57" s="1"/>
  <c r="P46" i="57" s="1"/>
  <c r="P47" i="57" s="1"/>
  <c r="P48" i="57" s="1"/>
  <c r="P49" i="57" s="1"/>
  <c r="P50" i="57" s="1"/>
  <c r="P51" i="57" s="1"/>
  <c r="P52" i="57" s="1"/>
  <c r="P53" i="57" s="1"/>
  <c r="P54" i="57" s="1"/>
  <c r="P55" i="57" s="1"/>
  <c r="P56" i="57" s="1"/>
  <c r="P57" i="57" s="1"/>
  <c r="P58" i="57" s="1"/>
  <c r="P59" i="57" s="1"/>
  <c r="P60" i="57" s="1"/>
  <c r="P61" i="57" s="1"/>
  <c r="P62" i="57" s="1"/>
  <c r="P63" i="57" s="1"/>
  <c r="P64" i="57" s="1"/>
  <c r="P65" i="57" s="1"/>
  <c r="P66" i="57" s="1"/>
  <c r="P67" i="57" s="1"/>
  <c r="P68" i="57" s="1"/>
  <c r="P69" i="57" s="1"/>
  <c r="P70" i="57" s="1"/>
  <c r="P71" i="57" s="1"/>
  <c r="P72" i="57" s="1"/>
  <c r="P73" i="57" s="1"/>
  <c r="P74" i="57" s="1"/>
  <c r="P75" i="57" s="1"/>
  <c r="P76" i="57" s="1"/>
  <c r="P77" i="57" s="1"/>
  <c r="P78" i="57" s="1"/>
  <c r="P79" i="57" s="1"/>
  <c r="P80" i="57" s="1"/>
  <c r="P81" i="57" s="1"/>
  <c r="P82" i="57" s="1"/>
  <c r="P83" i="57" s="1"/>
  <c r="P84" i="57" s="1"/>
  <c r="P85" i="57" s="1"/>
  <c r="P86" i="57" s="1"/>
  <c r="P87" i="57" s="1"/>
  <c r="P88" i="57" s="1"/>
  <c r="P89" i="57" s="1"/>
  <c r="P90" i="57" s="1"/>
  <c r="P91" i="57" s="1"/>
  <c r="P92" i="57" s="1"/>
  <c r="P93" i="57" s="1"/>
  <c r="P94" i="57" s="1"/>
  <c r="P95" i="57" s="1"/>
  <c r="P96" i="57" s="1"/>
  <c r="P97" i="57" s="1"/>
  <c r="P98" i="57" s="1"/>
  <c r="P99" i="57" s="1"/>
  <c r="P100" i="57" s="1"/>
  <c r="P101" i="57" s="1"/>
  <c r="P102" i="57" s="1"/>
  <c r="P103" i="57" s="1"/>
  <c r="P104" i="57" s="1"/>
  <c r="P105" i="57" s="1"/>
  <c r="P106" i="57" s="1"/>
  <c r="P107" i="57" s="1"/>
  <c r="P108" i="57" s="1"/>
  <c r="P109" i="57" s="1"/>
  <c r="P110" i="57" s="1"/>
  <c r="P111" i="57" s="1"/>
  <c r="P112" i="57" s="1"/>
  <c r="P113" i="57" s="1"/>
  <c r="P114" i="57" s="1"/>
  <c r="P115" i="57" s="1"/>
  <c r="P116" i="57" s="1"/>
  <c r="P117" i="57" s="1"/>
  <c r="P118" i="57" s="1"/>
  <c r="P119" i="57" s="1"/>
  <c r="P120" i="57" s="1"/>
  <c r="P121" i="57" s="1"/>
  <c r="P122" i="57" s="1"/>
  <c r="P123" i="57" s="1"/>
  <c r="P124" i="57" s="1"/>
  <c r="P125" i="57" s="1"/>
  <c r="P126" i="57" s="1"/>
  <c r="P127" i="57" s="1"/>
  <c r="P128" i="57" s="1"/>
  <c r="P129" i="57" s="1"/>
  <c r="P130" i="57" s="1"/>
  <c r="P131" i="57" s="1"/>
  <c r="P132" i="57" s="1"/>
  <c r="P133" i="57" s="1"/>
  <c r="P134" i="57" s="1"/>
  <c r="P135" i="57" s="1"/>
  <c r="P136" i="57" s="1"/>
  <c r="P137" i="57" s="1"/>
  <c r="P138" i="57" s="1"/>
  <c r="P139" i="57" s="1"/>
  <c r="P140" i="57" s="1"/>
  <c r="P141" i="57" s="1"/>
  <c r="P142" i="57" s="1"/>
  <c r="P143" i="57" s="1"/>
  <c r="P144" i="57" s="1"/>
  <c r="P145" i="57" s="1"/>
  <c r="P146" i="57" s="1"/>
  <c r="P147" i="57" s="1"/>
  <c r="P148" i="57" s="1"/>
  <c r="P149" i="57" s="1"/>
  <c r="P150" i="57" s="1"/>
  <c r="P151" i="57" s="1"/>
  <c r="P152" i="57" s="1"/>
  <c r="P153" i="57" s="1"/>
  <c r="P154" i="57" s="1"/>
  <c r="P155" i="57" s="1"/>
  <c r="P156" i="57" s="1"/>
  <c r="P157" i="57" s="1"/>
  <c r="P158" i="57" s="1"/>
  <c r="P159" i="57" s="1"/>
  <c r="P160" i="57" s="1"/>
  <c r="P161" i="57" s="1"/>
  <c r="P162" i="57" s="1"/>
  <c r="P163" i="57" s="1"/>
  <c r="P164" i="57" s="1"/>
  <c r="P165" i="57" s="1"/>
  <c r="P166" i="57" s="1"/>
  <c r="P167" i="57" s="1"/>
  <c r="P168" i="57" s="1"/>
  <c r="P169" i="57" s="1"/>
  <c r="P170" i="57" s="1"/>
  <c r="P171" i="57" s="1"/>
  <c r="P172" i="57" s="1"/>
  <c r="P173" i="57" s="1"/>
  <c r="P174" i="57" s="1"/>
  <c r="P175" i="57" s="1"/>
  <c r="P176" i="57" s="1"/>
  <c r="P177" i="57" s="1"/>
  <c r="P178" i="57" s="1"/>
  <c r="P179" i="57" s="1"/>
  <c r="P180" i="57" s="1"/>
  <c r="P181" i="57" s="1"/>
  <c r="P182" i="57" s="1"/>
  <c r="P183" i="57" s="1"/>
  <c r="P184" i="57" s="1"/>
  <c r="P185" i="57" s="1"/>
  <c r="P186" i="57" s="1"/>
  <c r="P187" i="57" s="1"/>
  <c r="P188" i="57" s="1"/>
  <c r="P189" i="57" s="1"/>
  <c r="P190" i="57" s="1"/>
  <c r="P191" i="57" s="1"/>
  <c r="P192" i="57" s="1"/>
  <c r="P193" i="57" s="1"/>
  <c r="P194" i="57" s="1"/>
  <c r="P195" i="57" s="1"/>
  <c r="P196" i="57" s="1"/>
  <c r="P197" i="57" s="1"/>
  <c r="P198" i="57" s="1"/>
  <c r="P199" i="57" s="1"/>
  <c r="P200" i="57" s="1"/>
  <c r="P201" i="57" s="1"/>
  <c r="P202" i="57" s="1"/>
  <c r="P203" i="57" s="1"/>
  <c r="P204" i="57" s="1"/>
  <c r="P205" i="57" s="1"/>
  <c r="P206" i="57" s="1"/>
  <c r="P207" i="57" s="1"/>
  <c r="P208" i="57" s="1"/>
  <c r="P209" i="57" s="1"/>
  <c r="P210" i="57" s="1"/>
  <c r="P211" i="57" s="1"/>
  <c r="P212" i="57" s="1"/>
  <c r="P213" i="57" s="1"/>
  <c r="P214" i="57" s="1"/>
  <c r="P215" i="57" s="1"/>
  <c r="P216" i="57" s="1"/>
  <c r="P217" i="57" s="1"/>
  <c r="P218" i="57" s="1"/>
  <c r="P219" i="57" s="1"/>
  <c r="P220" i="57" s="1"/>
  <c r="P221" i="57" s="1"/>
  <c r="P222" i="57" s="1"/>
  <c r="P223" i="57" s="1"/>
  <c r="P224" i="57" s="1"/>
  <c r="P225" i="57" s="1"/>
  <c r="P226" i="57" s="1"/>
  <c r="P227" i="57" s="1"/>
  <c r="P228" i="57" s="1"/>
  <c r="P229" i="57" s="1"/>
  <c r="P230" i="57" s="1"/>
  <c r="P231" i="57" s="1"/>
  <c r="P232" i="57" s="1"/>
  <c r="P233" i="57" s="1"/>
  <c r="P234" i="57" s="1"/>
  <c r="P235" i="57" s="1"/>
  <c r="P236" i="57" s="1"/>
  <c r="P237" i="57" s="1"/>
  <c r="P238" i="57" s="1"/>
  <c r="P239" i="57" s="1"/>
  <c r="P240" i="57" s="1"/>
  <c r="P241" i="57" s="1"/>
  <c r="P242" i="57" s="1"/>
  <c r="P243" i="57" s="1"/>
  <c r="P244" i="57" s="1"/>
  <c r="P245" i="57" s="1"/>
  <c r="P246" i="57" s="1"/>
  <c r="P247" i="57" s="1"/>
  <c r="P248" i="57" s="1"/>
  <c r="P249" i="57" s="1"/>
  <c r="P250" i="57" s="1"/>
  <c r="P251" i="57" s="1"/>
  <c r="P252" i="57" s="1"/>
  <c r="P253" i="57" s="1"/>
  <c r="P254" i="57" s="1"/>
  <c r="P255" i="57" s="1"/>
  <c r="P256" i="57" s="1"/>
  <c r="P257" i="57" s="1"/>
  <c r="P258" i="57" s="1"/>
  <c r="P259" i="57" s="1"/>
  <c r="P260" i="57" s="1"/>
  <c r="P261" i="57" s="1"/>
  <c r="P262" i="57" s="1"/>
  <c r="P263" i="57" s="1"/>
  <c r="P264" i="57" s="1"/>
  <c r="P265" i="57" s="1"/>
  <c r="P266" i="57" s="1"/>
  <c r="P267" i="57" s="1"/>
  <c r="P268" i="57" s="1"/>
  <c r="P269" i="57" s="1"/>
  <c r="P270" i="57" s="1"/>
  <c r="P271" i="57" s="1"/>
  <c r="P272" i="57" s="1"/>
  <c r="P273" i="57" s="1"/>
  <c r="P274" i="57" s="1"/>
  <c r="P275" i="57" s="1"/>
  <c r="P276" i="57" s="1"/>
  <c r="P277" i="57" s="1"/>
  <c r="P278" i="57" s="1"/>
  <c r="P279" i="57" s="1"/>
  <c r="P280" i="57" s="1"/>
  <c r="P281" i="57" s="1"/>
  <c r="P282" i="57" s="1"/>
  <c r="P283" i="57" s="1"/>
  <c r="P284" i="57" s="1"/>
  <c r="P285" i="57" s="1"/>
  <c r="P286" i="57" s="1"/>
  <c r="P287" i="57" s="1"/>
  <c r="P288" i="57" s="1"/>
  <c r="P289" i="57" s="1"/>
  <c r="P290" i="57" s="1"/>
  <c r="P291" i="57" s="1"/>
  <c r="P292" i="57" s="1"/>
  <c r="P293" i="57" s="1"/>
  <c r="P294" i="57" s="1"/>
  <c r="P295" i="57" s="1"/>
  <c r="P296" i="57" s="1"/>
  <c r="P297" i="57" s="1"/>
  <c r="P298" i="57" s="1"/>
  <c r="P299" i="57" s="1"/>
  <c r="P300" i="57" s="1"/>
  <c r="P301" i="57" s="1"/>
  <c r="P302" i="57" s="1"/>
  <c r="P303" i="57" s="1"/>
  <c r="P304" i="57" s="1"/>
  <c r="P305" i="57" s="1"/>
  <c r="P306" i="57" s="1"/>
  <c r="P307" i="57" s="1"/>
  <c r="P308" i="57" s="1"/>
  <c r="P309" i="57" s="1"/>
  <c r="P310" i="57" s="1"/>
  <c r="P311" i="57" s="1"/>
  <c r="P312" i="57" s="1"/>
  <c r="P313" i="57" s="1"/>
  <c r="P314" i="57" s="1"/>
  <c r="P315" i="57" s="1"/>
  <c r="P316" i="57" s="1"/>
  <c r="P317" i="57" s="1"/>
  <c r="P318" i="57" s="1"/>
  <c r="P319" i="57" s="1"/>
  <c r="P320" i="57" s="1"/>
  <c r="P321" i="57" s="1"/>
  <c r="P322" i="57" s="1"/>
  <c r="P323" i="57" s="1"/>
  <c r="P324" i="57" s="1"/>
  <c r="P325" i="57" s="1"/>
  <c r="P326" i="57" s="1"/>
  <c r="P327" i="57" s="1"/>
  <c r="P328" i="57" s="1"/>
  <c r="P329" i="57" s="1"/>
  <c r="P330" i="57" s="1"/>
  <c r="P331" i="57" s="1"/>
  <c r="P332" i="57" s="1"/>
  <c r="P333" i="57" s="1"/>
  <c r="P334" i="57" s="1"/>
  <c r="P335" i="57" s="1"/>
  <c r="P336" i="57" s="1"/>
  <c r="P337" i="57" s="1"/>
  <c r="P338" i="57" s="1"/>
  <c r="P339" i="57" s="1"/>
  <c r="P340" i="57" s="1"/>
  <c r="P341" i="57" s="1"/>
  <c r="P342" i="57" s="1"/>
  <c r="P343" i="57" s="1"/>
  <c r="P344" i="57" s="1"/>
  <c r="P345" i="57" s="1"/>
  <c r="P346" i="57" s="1"/>
  <c r="P347" i="57" s="1"/>
  <c r="P348" i="57" s="1"/>
  <c r="P349" i="57" s="1"/>
  <c r="P350" i="57" s="1"/>
  <c r="P351" i="57" s="1"/>
  <c r="P352" i="57" s="1"/>
  <c r="P353" i="57" s="1"/>
  <c r="P354" i="57" s="1"/>
  <c r="P355" i="57" s="1"/>
  <c r="P356" i="57" s="1"/>
  <c r="P357" i="57" s="1"/>
  <c r="P358" i="57" s="1"/>
  <c r="P359" i="57" s="1"/>
  <c r="P360" i="57" s="1"/>
  <c r="P361" i="57" s="1"/>
  <c r="P362" i="57" s="1"/>
  <c r="P363" i="57" s="1"/>
  <c r="P364" i="57" s="1"/>
  <c r="P365" i="57" s="1"/>
  <c r="P366" i="57" s="1"/>
  <c r="P367" i="57" s="1"/>
  <c r="P368" i="57" s="1"/>
  <c r="P369" i="57" s="1"/>
  <c r="P370" i="57" s="1"/>
  <c r="P371" i="57" s="1"/>
  <c r="P372" i="57" s="1"/>
  <c r="P373" i="57" s="1"/>
  <c r="P374" i="57" s="1"/>
  <c r="P375" i="57" s="1"/>
  <c r="P376" i="57" s="1"/>
  <c r="P377" i="57" s="1"/>
  <c r="P378" i="57" s="1"/>
  <c r="P379" i="57" s="1"/>
  <c r="P380" i="57" s="1"/>
  <c r="P381" i="57" s="1"/>
  <c r="P382" i="57" s="1"/>
  <c r="P383" i="57" s="1"/>
  <c r="P384" i="57" s="1"/>
  <c r="P385" i="57" s="1"/>
  <c r="P386" i="57" s="1"/>
  <c r="P387" i="57" s="1"/>
  <c r="P388" i="57" s="1"/>
  <c r="P389" i="57" s="1"/>
  <c r="P390" i="57" s="1"/>
  <c r="P391" i="57" s="1"/>
  <c r="P392" i="57" s="1"/>
  <c r="P393" i="57" s="1"/>
  <c r="P394" i="57" s="1"/>
  <c r="P395" i="57" s="1"/>
  <c r="P396" i="57" s="1"/>
  <c r="P397" i="57" s="1"/>
  <c r="P398" i="57" s="1"/>
  <c r="P399" i="57" s="1"/>
  <c r="P400" i="57" s="1"/>
  <c r="P401" i="57" s="1"/>
  <c r="P402" i="57" s="1"/>
  <c r="P403" i="57" s="1"/>
  <c r="P404" i="57" s="1"/>
  <c r="P405" i="57" s="1"/>
  <c r="P406" i="57" s="1"/>
  <c r="P407" i="57" s="1"/>
  <c r="P408" i="57" s="1"/>
  <c r="P409" i="57" s="1"/>
  <c r="P410" i="57" s="1"/>
  <c r="P411" i="57" s="1"/>
  <c r="P412" i="57" s="1"/>
  <c r="P413" i="57" s="1"/>
  <c r="P414" i="57" s="1"/>
  <c r="P415" i="57" s="1"/>
  <c r="P416" i="57" s="1"/>
  <c r="P417" i="57" s="1"/>
  <c r="P418" i="57" s="1"/>
  <c r="P419" i="57" s="1"/>
  <c r="P420" i="57" s="1"/>
  <c r="P421" i="57" s="1"/>
  <c r="P422" i="57" s="1"/>
  <c r="P423" i="57" s="1"/>
  <c r="P424" i="57" s="1"/>
  <c r="P425" i="57" s="1"/>
  <c r="P426" i="57" s="1"/>
  <c r="P427" i="57" s="1"/>
  <c r="P428" i="57" s="1"/>
  <c r="P429" i="57" s="1"/>
  <c r="P430" i="57" s="1"/>
  <c r="P431" i="57" s="1"/>
  <c r="P432" i="57" s="1"/>
  <c r="P433" i="57" s="1"/>
  <c r="P434" i="57" s="1"/>
  <c r="P435" i="57" s="1"/>
  <c r="P436" i="57" s="1"/>
  <c r="P437" i="57" s="1"/>
  <c r="P438" i="57" s="1"/>
  <c r="P439" i="57" s="1"/>
  <c r="P440" i="57" s="1"/>
  <c r="P441" i="57" s="1"/>
  <c r="P442" i="57" s="1"/>
  <c r="P443" i="57" s="1"/>
  <c r="P444" i="57" s="1"/>
  <c r="P445" i="57" s="1"/>
  <c r="P446" i="57" s="1"/>
  <c r="P447" i="57" s="1"/>
  <c r="P448" i="57" s="1"/>
  <c r="P449" i="57" s="1"/>
  <c r="P450" i="57" s="1"/>
  <c r="P451" i="57" s="1"/>
  <c r="P452" i="57" s="1"/>
  <c r="P453" i="57" s="1"/>
  <c r="P454" i="57" s="1"/>
  <c r="P455" i="57" s="1"/>
  <c r="P456" i="57" s="1"/>
  <c r="P457" i="57" s="1"/>
  <c r="P458" i="57" s="1"/>
  <c r="P459" i="57" s="1"/>
  <c r="P460" i="57" s="1"/>
  <c r="P461" i="57" s="1"/>
  <c r="P462" i="57" s="1"/>
  <c r="P463" i="57" s="1"/>
  <c r="P464" i="57" s="1"/>
  <c r="P465" i="57" s="1"/>
  <c r="P466" i="57" s="1"/>
  <c r="P467" i="57" s="1"/>
  <c r="P468" i="57" s="1"/>
  <c r="P469" i="57" s="1"/>
  <c r="P470" i="57" s="1"/>
  <c r="P471" i="57" s="1"/>
  <c r="P472" i="57" s="1"/>
  <c r="P473" i="57" s="1"/>
  <c r="P474" i="57" s="1"/>
  <c r="P475" i="57" s="1"/>
  <c r="P476" i="57" s="1"/>
  <c r="P477" i="57" s="1"/>
  <c r="P478" i="57" s="1"/>
  <c r="P479" i="57" s="1"/>
  <c r="P480" i="57" s="1"/>
  <c r="P481" i="57" s="1"/>
  <c r="P482" i="57" s="1"/>
  <c r="P483" i="57" s="1"/>
  <c r="P484" i="57" s="1"/>
  <c r="P485" i="57" s="1"/>
  <c r="P486" i="57" s="1"/>
  <c r="P487" i="57" s="1"/>
  <c r="P488" i="57" s="1"/>
  <c r="P489" i="57" s="1"/>
  <c r="P490" i="57" s="1"/>
  <c r="P491" i="57" s="1"/>
  <c r="P492" i="57" s="1"/>
  <c r="P493" i="57" s="1"/>
  <c r="P494" i="57" s="1"/>
  <c r="P495" i="57" s="1"/>
  <c r="P496" i="57" s="1"/>
  <c r="P497" i="57" s="1"/>
  <c r="P498" i="57" s="1"/>
  <c r="P499" i="57" s="1"/>
  <c r="P500" i="57" s="1"/>
  <c r="P501" i="57" s="1"/>
  <c r="P502" i="57" s="1"/>
  <c r="P503" i="57" s="1"/>
  <c r="P504" i="57" s="1"/>
  <c r="P505" i="57" s="1"/>
  <c r="P506" i="57" s="1"/>
  <c r="P507" i="57" s="1"/>
  <c r="P508" i="57" s="1"/>
  <c r="P509" i="57" s="1"/>
  <c r="P510" i="57" s="1"/>
  <c r="P511" i="57" s="1"/>
  <c r="P512" i="57" s="1"/>
  <c r="P513" i="57" s="1"/>
  <c r="P514" i="57" s="1"/>
  <c r="P515" i="57" s="1"/>
  <c r="P516" i="57" s="1"/>
  <c r="P517" i="57" s="1"/>
  <c r="P518" i="57" s="1"/>
  <c r="P519" i="57" s="1"/>
  <c r="P520" i="57" s="1"/>
  <c r="P521" i="57" s="1"/>
  <c r="P522" i="57" s="1"/>
  <c r="P523" i="57" s="1"/>
  <c r="P524" i="57" s="1"/>
  <c r="P525" i="57" s="1"/>
  <c r="P526" i="57" s="1"/>
  <c r="P527" i="57" s="1"/>
  <c r="P528" i="57" s="1"/>
  <c r="P529" i="57" s="1"/>
  <c r="P530" i="57" s="1"/>
  <c r="P531" i="57" s="1"/>
  <c r="P532" i="57" s="1"/>
  <c r="P533" i="57" s="1"/>
  <c r="P534" i="57" s="1"/>
  <c r="P535" i="57" s="1"/>
  <c r="P536" i="57" s="1"/>
  <c r="P537" i="57" s="1"/>
  <c r="P538" i="57" s="1"/>
  <c r="P539" i="57" s="1"/>
  <c r="P540" i="57" s="1"/>
  <c r="P541" i="57" s="1"/>
  <c r="P542" i="57" s="1"/>
  <c r="P543" i="57" s="1"/>
  <c r="P544" i="57" s="1"/>
  <c r="P545" i="57" s="1"/>
  <c r="P546" i="57" s="1"/>
  <c r="P547" i="57" s="1"/>
  <c r="P548" i="57" s="1"/>
  <c r="P549" i="57" s="1"/>
  <c r="P550" i="57" s="1"/>
  <c r="P551" i="57" s="1"/>
  <c r="P552" i="57" s="1"/>
  <c r="P553" i="57" s="1"/>
  <c r="P554" i="57" s="1"/>
  <c r="P555" i="57" s="1"/>
  <c r="P556" i="57" s="1"/>
  <c r="P557" i="57" s="1"/>
  <c r="P558" i="57" s="1"/>
  <c r="P559" i="57" s="1"/>
  <c r="P560" i="57" s="1"/>
  <c r="P561" i="57" s="1"/>
  <c r="P562" i="57" s="1"/>
  <c r="P563" i="57" s="1"/>
  <c r="P564" i="57" s="1"/>
  <c r="P565" i="57" s="1"/>
  <c r="P566" i="57" s="1"/>
  <c r="P567" i="57" s="1"/>
  <c r="P568" i="57" s="1"/>
  <c r="P569" i="57" s="1"/>
  <c r="P570" i="57" s="1"/>
  <c r="P571" i="57" s="1"/>
  <c r="P572" i="57" s="1"/>
  <c r="P573" i="57" s="1"/>
  <c r="P574" i="57" s="1"/>
  <c r="P575" i="57" s="1"/>
  <c r="P576" i="57" s="1"/>
  <c r="P577" i="57" s="1"/>
  <c r="P578" i="57" s="1"/>
  <c r="P579" i="57" s="1"/>
  <c r="P580" i="57" s="1"/>
  <c r="P581" i="57" s="1"/>
  <c r="P582" i="57" s="1"/>
  <c r="P583" i="57" s="1"/>
  <c r="P584" i="57" s="1"/>
  <c r="P585" i="57" s="1"/>
  <c r="P586" i="57" s="1"/>
  <c r="P587" i="57" s="1"/>
  <c r="P588" i="57" s="1"/>
  <c r="P589" i="57" s="1"/>
  <c r="P590" i="57" s="1"/>
  <c r="P591" i="57" s="1"/>
  <c r="P592" i="57" s="1"/>
  <c r="P593" i="57" s="1"/>
  <c r="P594" i="57" s="1"/>
  <c r="P595" i="57" s="1"/>
  <c r="P596" i="57" s="1"/>
  <c r="P597" i="57" s="1"/>
  <c r="P598" i="57" s="1"/>
  <c r="P599" i="57" s="1"/>
  <c r="P600" i="57" s="1"/>
  <c r="P601" i="57" s="1"/>
  <c r="P602" i="57" s="1"/>
  <c r="P603" i="57" s="1"/>
  <c r="P604" i="57" s="1"/>
  <c r="P605" i="57" s="1"/>
  <c r="P606" i="57" s="1"/>
  <c r="P607" i="57" s="1"/>
  <c r="P608" i="57" s="1"/>
  <c r="P609" i="57" s="1"/>
  <c r="P610" i="57" s="1"/>
  <c r="P611" i="57" s="1"/>
  <c r="P612" i="57" s="1"/>
  <c r="P613" i="57" s="1"/>
  <c r="P614" i="57" s="1"/>
  <c r="P615" i="57" s="1"/>
  <c r="P616" i="57" s="1"/>
  <c r="P617" i="57" s="1"/>
  <c r="P618" i="57" s="1"/>
  <c r="P619" i="57" s="1"/>
  <c r="P620" i="57" s="1"/>
  <c r="F14" i="57"/>
  <c r="I23" i="61"/>
  <c r="S23" i="61"/>
  <c r="E21" i="61"/>
  <c r="G15" i="61"/>
  <c r="AD19" i="61"/>
  <c r="AB26" i="57"/>
  <c r="AA15" i="57"/>
  <c r="AA18" i="57"/>
  <c r="J15" i="61"/>
  <c r="S27" i="61"/>
  <c r="A22" i="61"/>
  <c r="G19" i="61"/>
  <c r="AD22" i="61"/>
  <c r="R14" i="61"/>
  <c r="M24" i="61"/>
  <c r="O18" i="61"/>
  <c r="A16" i="61"/>
  <c r="T20" i="61"/>
  <c r="AB18" i="57"/>
  <c r="N22" i="61"/>
  <c r="A26" i="61"/>
  <c r="I14" i="61"/>
  <c r="F25" i="61"/>
  <c r="P25" i="61"/>
  <c r="D21" i="61"/>
  <c r="E14" i="61"/>
  <c r="D22" i="61"/>
  <c r="J20" i="61"/>
  <c r="N15" i="61"/>
  <c r="I19" i="61"/>
  <c r="T22" i="61"/>
  <c r="D25" i="61"/>
  <c r="F19" i="61"/>
  <c r="C14" i="61"/>
  <c r="A23" i="61"/>
  <c r="G20" i="61"/>
  <c r="P27" i="61"/>
  <c r="R22" i="61"/>
  <c r="F18" i="61"/>
  <c r="G25" i="61"/>
  <c r="M26" i="61"/>
  <c r="I24" i="61"/>
  <c r="K18" i="61"/>
  <c r="AB15" i="57"/>
  <c r="AA17" i="57"/>
  <c r="D26" i="61"/>
  <c r="K22" i="61"/>
  <c r="AD15" i="61"/>
  <c r="S21" i="61"/>
  <c r="K16" i="61"/>
  <c r="P17" i="61"/>
  <c r="L26" i="61"/>
  <c r="K20" i="61"/>
  <c r="E26" i="61"/>
  <c r="AD24" i="61"/>
  <c r="C27" i="61"/>
  <c r="AD16" i="61"/>
  <c r="AA22" i="57"/>
  <c r="N18" i="61"/>
  <c r="E25" i="61"/>
  <c r="Q15" i="61"/>
  <c r="Q27" i="61"/>
  <c r="E19" i="61"/>
  <c r="AD20" i="61"/>
  <c r="J18" i="61"/>
  <c r="AD17" i="61"/>
  <c r="F14" i="61"/>
  <c r="R17" i="61"/>
  <c r="H19" i="61"/>
  <c r="M27" i="61"/>
  <c r="O21" i="61"/>
  <c r="I17" i="61"/>
  <c r="J21" i="61"/>
  <c r="AA14" i="57"/>
  <c r="AB14" i="57"/>
  <c r="R21" i="61"/>
  <c r="D17" i="61"/>
  <c r="N17" i="61"/>
  <c r="O25" i="61"/>
  <c r="N16" i="61"/>
  <c r="D23" i="61"/>
  <c r="T18" i="61"/>
  <c r="C25" i="61"/>
  <c r="I22" i="61"/>
  <c r="O19" i="61"/>
  <c r="AD18" i="61"/>
  <c r="C19" i="61"/>
  <c r="R24" i="61"/>
  <c r="A19" i="61"/>
  <c r="S26" i="61"/>
  <c r="G14" i="61"/>
  <c r="D20" i="61"/>
  <c r="AD14" i="61"/>
  <c r="B22" i="61"/>
  <c r="E22" i="61"/>
  <c r="L18" i="61"/>
  <c r="Q25" i="61"/>
  <c r="S19" i="61"/>
  <c r="E17" i="61"/>
  <c r="N25" i="61"/>
  <c r="AB23" i="57"/>
  <c r="J17" i="61"/>
  <c r="O26" i="61"/>
  <c r="Q20" i="61"/>
  <c r="C18" i="61"/>
  <c r="P16" i="61"/>
  <c r="B21" i="61"/>
  <c r="H16" i="61"/>
  <c r="L22" i="61"/>
  <c r="S24" i="61"/>
  <c r="R27" i="61"/>
  <c r="K27" i="61"/>
  <c r="AA21" i="57"/>
  <c r="Q17" i="61"/>
  <c r="B25" i="61"/>
  <c r="H20" i="61"/>
  <c r="R20" i="61"/>
  <c r="L14" i="61"/>
  <c r="K19" i="61"/>
  <c r="O15" i="61"/>
  <c r="R15" i="61"/>
  <c r="L17" i="61"/>
  <c r="M25" i="61"/>
  <c r="S22" i="61"/>
  <c r="I15" i="61"/>
  <c r="K25" i="61"/>
  <c r="P23" i="61"/>
  <c r="R19" i="61"/>
  <c r="M14" i="61"/>
  <c r="M18" i="61"/>
  <c r="M19" i="61"/>
  <c r="I25" i="61"/>
  <c r="G17" i="61"/>
  <c r="F26" i="61"/>
  <c r="N14" i="61"/>
  <c r="H27" i="61"/>
  <c r="C23" i="61"/>
  <c r="O17" i="61"/>
  <c r="AB17" i="57"/>
  <c r="N20" i="61"/>
  <c r="A24" i="61"/>
  <c r="M21" i="61"/>
  <c r="A13" i="61"/>
  <c r="S14" i="61"/>
  <c r="AA16" i="57"/>
  <c r="P26" i="61"/>
  <c r="A15" i="61"/>
  <c r="F21" i="61"/>
  <c r="K26" i="61"/>
  <c r="R25" i="61"/>
  <c r="AB25" i="57"/>
  <c r="L15" i="61"/>
  <c r="B27" i="61"/>
  <c r="O27" i="61"/>
  <c r="J26" i="61"/>
  <c r="H15" i="61"/>
  <c r="O23" i="61"/>
  <c r="H14" i="61"/>
  <c r="E23" i="61"/>
  <c r="G24" i="61"/>
  <c r="B16" i="61"/>
  <c r="N19" i="61"/>
  <c r="AB27" i="57"/>
  <c r="M22" i="61"/>
  <c r="M17" i="61"/>
  <c r="I20" i="61"/>
  <c r="P15" i="61"/>
  <c r="G21" i="61"/>
  <c r="B20" i="61"/>
  <c r="L16" i="61"/>
  <c r="G18" i="61"/>
  <c r="Q16" i="61"/>
  <c r="T23" i="61"/>
  <c r="H24" i="61"/>
  <c r="N21" i="61"/>
  <c r="T19" i="61"/>
  <c r="C24" i="61"/>
  <c r="D19" i="61"/>
  <c r="A27" i="61"/>
  <c r="E20" i="61"/>
  <c r="AB21" i="57"/>
  <c r="AA20" i="57"/>
  <c r="AD21" i="61"/>
  <c r="H17" i="61"/>
  <c r="J14" i="61"/>
  <c r="L21" i="61"/>
  <c r="T21" i="61"/>
  <c r="L25" i="61"/>
  <c r="S18" i="61"/>
  <c r="T24" i="61"/>
  <c r="S17" i="61"/>
  <c r="F24" i="61"/>
  <c r="L19" i="61"/>
  <c r="R16" i="61"/>
  <c r="T26" i="61"/>
  <c r="H23" i="61"/>
  <c r="H26" i="61"/>
  <c r="AA19" i="57"/>
  <c r="A21" i="61"/>
  <c r="C15" i="61"/>
  <c r="L23" i="61"/>
  <c r="B24" i="61"/>
  <c r="O14" i="61"/>
  <c r="P24" i="61"/>
  <c r="AB16" i="57"/>
  <c r="B19" i="61"/>
  <c r="P20" i="61"/>
  <c r="B18" i="61"/>
  <c r="C26" i="61"/>
  <c r="Q21" i="61"/>
  <c r="T17" i="61"/>
  <c r="C20" i="61"/>
  <c r="L20" i="61"/>
  <c r="D24" i="61"/>
  <c r="J19" i="61"/>
  <c r="F15" i="61"/>
  <c r="L24" i="61"/>
  <c r="Q14" i="61"/>
  <c r="O22" i="61"/>
  <c r="M20" i="61"/>
  <c r="B17" i="61"/>
  <c r="G26" i="61"/>
  <c r="M23" i="61"/>
  <c r="S20" i="61"/>
  <c r="AB20" i="57"/>
  <c r="R23" i="61"/>
  <c r="T15" i="61"/>
  <c r="E27" i="61"/>
  <c r="K24" i="61"/>
  <c r="R26" i="61"/>
  <c r="J27" i="61"/>
  <c r="I18" i="61"/>
  <c r="E24" i="61"/>
  <c r="AB24" i="57"/>
  <c r="F22" i="61"/>
  <c r="A25" i="61"/>
  <c r="Q23" i="61"/>
  <c r="D15" i="61"/>
  <c r="Q26" i="61"/>
  <c r="P19" i="61"/>
  <c r="A18" i="61"/>
  <c r="C16" i="61"/>
  <c r="N27" i="61"/>
  <c r="G22" i="61"/>
  <c r="N26" i="61"/>
  <c r="C17" i="61"/>
  <c r="AB19" i="57"/>
  <c r="J22" i="61"/>
  <c r="P22" i="61"/>
  <c r="F27" i="61"/>
  <c r="B14" i="61"/>
  <c r="S25" i="61"/>
  <c r="B23" i="61"/>
  <c r="F20" i="61"/>
  <c r="AJ14" i="57"/>
  <c r="O20" i="61"/>
  <c r="AA23" i="57"/>
  <c r="Q18" i="61"/>
  <c r="K15" i="61"/>
  <c r="Q22" i="61"/>
  <c r="G23" i="61"/>
  <c r="E16" i="61"/>
  <c r="Q19" i="61"/>
  <c r="F17" i="61"/>
  <c r="I26" i="61"/>
  <c r="K23" i="61"/>
  <c r="A17" i="61"/>
  <c r="K17" i="61"/>
  <c r="T25" i="61"/>
  <c r="F23" i="61"/>
  <c r="P14" i="61"/>
  <c r="N23" i="61"/>
  <c r="D14" i="61"/>
  <c r="A14" i="61"/>
  <c r="I27" i="61"/>
  <c r="K21" i="61"/>
  <c r="M15" i="61"/>
  <c r="D18" i="61"/>
  <c r="AB22" i="57"/>
  <c r="R18" i="61"/>
  <c r="E18" i="61"/>
  <c r="J25" i="61"/>
  <c r="D27" i="61"/>
  <c r="J24" i="61"/>
  <c r="T14" i="61"/>
  <c r="P21" i="61"/>
  <c r="I16" i="61"/>
  <c r="T16" i="61"/>
  <c r="H18" i="61"/>
  <c r="N24" i="61"/>
  <c r="S15" i="61"/>
  <c r="S16" i="61"/>
  <c r="G16" i="61"/>
  <c r="B15" i="61"/>
  <c r="T27" i="61"/>
  <c r="Q24" i="61"/>
  <c r="J23" i="61"/>
  <c r="P18" i="61"/>
  <c r="D16" i="61"/>
  <c r="G27" i="61"/>
  <c r="M16" i="61"/>
  <c r="H25" i="61"/>
  <c r="H22" i="61"/>
  <c r="J16" i="61"/>
  <c r="K14" i="61"/>
  <c r="C21" i="61"/>
  <c r="C22" i="61"/>
  <c r="O24" i="61"/>
  <c r="I21" i="61"/>
  <c r="F16" i="61"/>
  <c r="E15" i="61"/>
  <c r="A20" i="61"/>
  <c r="H21" i="61"/>
  <c r="AD23" i="61"/>
  <c r="L27" i="61"/>
  <c r="O16" i="61"/>
  <c r="B26" i="61"/>
  <c r="P648" i="62" l="1"/>
  <c r="P621" i="57"/>
  <c r="P622" i="57"/>
  <c r="P623" i="57" s="1"/>
  <c r="P624" i="57" s="1"/>
  <c r="P625" i="57" s="1"/>
  <c r="P626" i="57" s="1"/>
  <c r="P627" i="57" s="1"/>
  <c r="P628" i="57" s="1"/>
  <c r="P629" i="57" s="1"/>
  <c r="P630" i="57" s="1"/>
  <c r="P631" i="57" s="1"/>
  <c r="P632" i="57" s="1"/>
  <c r="P633" i="57" s="1"/>
  <c r="P634" i="57" s="1"/>
  <c r="P635" i="57" s="1"/>
  <c r="P636" i="57" s="1"/>
  <c r="P637" i="57" s="1"/>
  <c r="P638" i="57" s="1"/>
  <c r="P639" i="57" s="1"/>
  <c r="P640" i="57" s="1"/>
  <c r="P641" i="57" s="1"/>
  <c r="P642" i="57" s="1"/>
  <c r="P643" i="57" s="1"/>
  <c r="P644" i="57" s="1"/>
  <c r="P645" i="57" s="1"/>
  <c r="P646" i="57" s="1"/>
  <c r="P647" i="57" s="1"/>
  <c r="AJ27" i="57"/>
  <c r="AK14" i="57"/>
  <c r="AJ25" i="57"/>
  <c r="AK16" i="57"/>
  <c r="AJ13" i="57"/>
  <c r="AJ24" i="57"/>
  <c r="AJ23" i="57"/>
  <c r="AJ26" i="57"/>
  <c r="AK13" i="57"/>
  <c r="A211" i="60" l="1"/>
  <c r="A210" i="60"/>
  <c r="A209" i="60"/>
  <c r="C208" i="60"/>
  <c r="B208" i="60"/>
  <c r="A208" i="60"/>
  <c r="C207" i="60"/>
  <c r="B207" i="60"/>
  <c r="A207" i="60"/>
  <c r="C206" i="60"/>
  <c r="B206" i="60"/>
  <c r="A206" i="60"/>
  <c r="A205" i="60"/>
  <c r="A204" i="60"/>
  <c r="AB200" i="60"/>
  <c r="AA200" i="60"/>
  <c r="O200" i="60"/>
  <c r="M200" i="60"/>
  <c r="K200" i="60"/>
  <c r="B200" i="60"/>
  <c r="X199" i="60"/>
  <c r="W199" i="60"/>
  <c r="R199" i="60"/>
  <c r="F199" i="60"/>
  <c r="AB199" i="60" s="1"/>
  <c r="D199" i="60"/>
  <c r="AA199" i="60" s="1"/>
  <c r="X198" i="60"/>
  <c r="W198" i="60"/>
  <c r="R198" i="60"/>
  <c r="F198" i="60"/>
  <c r="AB198" i="60" s="1"/>
  <c r="D198" i="60"/>
  <c r="AA198" i="60" s="1"/>
  <c r="X197" i="60"/>
  <c r="W197" i="60"/>
  <c r="R197" i="60"/>
  <c r="F197" i="60"/>
  <c r="AB197" i="60" s="1"/>
  <c r="D197" i="60"/>
  <c r="AA197" i="60" s="1"/>
  <c r="X196" i="60"/>
  <c r="W196" i="60"/>
  <c r="R196" i="60"/>
  <c r="F196" i="60"/>
  <c r="AB196" i="60" s="1"/>
  <c r="D196" i="60"/>
  <c r="AA196" i="60" s="1"/>
  <c r="X195" i="60"/>
  <c r="W195" i="60"/>
  <c r="R195" i="60"/>
  <c r="F195" i="60"/>
  <c r="AB195" i="60" s="1"/>
  <c r="D195" i="60"/>
  <c r="AA195" i="60" s="1"/>
  <c r="X194" i="60"/>
  <c r="W194" i="60"/>
  <c r="R194" i="60"/>
  <c r="F194" i="60"/>
  <c r="AB194" i="60" s="1"/>
  <c r="D194" i="60"/>
  <c r="AA194" i="60" s="1"/>
  <c r="X193" i="60"/>
  <c r="W193" i="60"/>
  <c r="R193" i="60"/>
  <c r="F193" i="60"/>
  <c r="AB193" i="60" s="1"/>
  <c r="D193" i="60"/>
  <c r="AA193" i="60" s="1"/>
  <c r="X192" i="60"/>
  <c r="W192" i="60"/>
  <c r="R192" i="60"/>
  <c r="F192" i="60"/>
  <c r="AB192" i="60" s="1"/>
  <c r="D192" i="60"/>
  <c r="AA192" i="60" s="1"/>
  <c r="X191" i="60"/>
  <c r="W191" i="60"/>
  <c r="R191" i="60"/>
  <c r="F191" i="60"/>
  <c r="AB191" i="60" s="1"/>
  <c r="D191" i="60"/>
  <c r="AA191" i="60" s="1"/>
  <c r="X190" i="60"/>
  <c r="W190" i="60"/>
  <c r="R190" i="60"/>
  <c r="F190" i="60"/>
  <c r="D190" i="60"/>
  <c r="X189" i="60"/>
  <c r="W189" i="60"/>
  <c r="R189" i="60"/>
  <c r="F189" i="60"/>
  <c r="AB189" i="60" s="1"/>
  <c r="D189" i="60"/>
  <c r="AA189" i="60" s="1"/>
  <c r="X188" i="60"/>
  <c r="W188" i="60"/>
  <c r="R188" i="60"/>
  <c r="F188" i="60"/>
  <c r="AB188" i="60" s="1"/>
  <c r="D188" i="60"/>
  <c r="AA188" i="60" s="1"/>
  <c r="X187" i="60"/>
  <c r="W187" i="60"/>
  <c r="R187" i="60"/>
  <c r="F187" i="60"/>
  <c r="AB187" i="60" s="1"/>
  <c r="D187" i="60"/>
  <c r="AA187" i="60" s="1"/>
  <c r="X186" i="60"/>
  <c r="W186" i="60"/>
  <c r="R186" i="60"/>
  <c r="F186" i="60"/>
  <c r="AB186" i="60" s="1"/>
  <c r="D186" i="60"/>
  <c r="AA186" i="60" s="1"/>
  <c r="X185" i="60"/>
  <c r="W185" i="60"/>
  <c r="R185" i="60"/>
  <c r="F185" i="60"/>
  <c r="AB185" i="60" s="1"/>
  <c r="D185" i="60"/>
  <c r="AA185" i="60" s="1"/>
  <c r="X184" i="60"/>
  <c r="W184" i="60"/>
  <c r="R184" i="60"/>
  <c r="F184" i="60"/>
  <c r="AB184" i="60" s="1"/>
  <c r="D184" i="60"/>
  <c r="AA184" i="60" s="1"/>
  <c r="X183" i="60"/>
  <c r="W183" i="60"/>
  <c r="R183" i="60"/>
  <c r="F183" i="60"/>
  <c r="AB183" i="60" s="1"/>
  <c r="D183" i="60"/>
  <c r="AA183" i="60" s="1"/>
  <c r="X182" i="60"/>
  <c r="W182" i="60"/>
  <c r="R182" i="60"/>
  <c r="F182" i="60"/>
  <c r="AB182" i="60" s="1"/>
  <c r="D182" i="60"/>
  <c r="AA182" i="60" s="1"/>
  <c r="X181" i="60"/>
  <c r="W181" i="60"/>
  <c r="R181" i="60"/>
  <c r="F181" i="60"/>
  <c r="AB181" i="60" s="1"/>
  <c r="D181" i="60"/>
  <c r="AA181" i="60" s="1"/>
  <c r="X180" i="60"/>
  <c r="W180" i="60"/>
  <c r="R180" i="60"/>
  <c r="F180" i="60"/>
  <c r="AB180" i="60" s="1"/>
  <c r="D180" i="60"/>
  <c r="AA180" i="60" s="1"/>
  <c r="X179" i="60"/>
  <c r="W179" i="60"/>
  <c r="R179" i="60"/>
  <c r="F179" i="60"/>
  <c r="AB179" i="60" s="1"/>
  <c r="D179" i="60"/>
  <c r="AA179" i="60" s="1"/>
  <c r="X178" i="60"/>
  <c r="W178" i="60"/>
  <c r="R178" i="60"/>
  <c r="F178" i="60"/>
  <c r="AB178" i="60" s="1"/>
  <c r="D178" i="60"/>
  <c r="AA178" i="60" s="1"/>
  <c r="X177" i="60"/>
  <c r="W177" i="60"/>
  <c r="R177" i="60"/>
  <c r="F177" i="60"/>
  <c r="AB177" i="60" s="1"/>
  <c r="D177" i="60"/>
  <c r="AA177" i="60" s="1"/>
  <c r="X176" i="60"/>
  <c r="W176" i="60"/>
  <c r="R176" i="60"/>
  <c r="F176" i="60"/>
  <c r="AB176" i="60" s="1"/>
  <c r="D176" i="60"/>
  <c r="AA176" i="60" s="1"/>
  <c r="X175" i="60"/>
  <c r="W175" i="60"/>
  <c r="R175" i="60"/>
  <c r="F175" i="60"/>
  <c r="AB175" i="60" s="1"/>
  <c r="D175" i="60"/>
  <c r="AA175" i="60" s="1"/>
  <c r="X174" i="60"/>
  <c r="W174" i="60"/>
  <c r="R174" i="60"/>
  <c r="F174" i="60"/>
  <c r="AB174" i="60" s="1"/>
  <c r="D174" i="60"/>
  <c r="AA174" i="60" s="1"/>
  <c r="X173" i="60"/>
  <c r="W173" i="60"/>
  <c r="R173" i="60"/>
  <c r="F173" i="60"/>
  <c r="AB173" i="60" s="1"/>
  <c r="D173" i="60"/>
  <c r="AA173" i="60" s="1"/>
  <c r="X172" i="60"/>
  <c r="W172" i="60"/>
  <c r="R172" i="60"/>
  <c r="F172" i="60"/>
  <c r="AB172" i="60" s="1"/>
  <c r="D172" i="60"/>
  <c r="AA172" i="60" s="1"/>
  <c r="X171" i="60"/>
  <c r="W171" i="60"/>
  <c r="R171" i="60"/>
  <c r="F171" i="60"/>
  <c r="AB171" i="60" s="1"/>
  <c r="D171" i="60"/>
  <c r="AA171" i="60" s="1"/>
  <c r="X170" i="60"/>
  <c r="W170" i="60"/>
  <c r="R170" i="60"/>
  <c r="F170" i="60"/>
  <c r="AB170" i="60" s="1"/>
  <c r="D170" i="60"/>
  <c r="AA170" i="60" s="1"/>
  <c r="X169" i="60"/>
  <c r="W169" i="60"/>
  <c r="R169" i="60"/>
  <c r="F169" i="60"/>
  <c r="AB169" i="60" s="1"/>
  <c r="D169" i="60"/>
  <c r="AA169" i="60" s="1"/>
  <c r="X168" i="60"/>
  <c r="W168" i="60"/>
  <c r="R168" i="60"/>
  <c r="F168" i="60"/>
  <c r="AB168" i="60" s="1"/>
  <c r="D168" i="60"/>
  <c r="AA168" i="60" s="1"/>
  <c r="X167" i="60"/>
  <c r="W167" i="60"/>
  <c r="R167" i="60"/>
  <c r="F167" i="60"/>
  <c r="AB167" i="60" s="1"/>
  <c r="D167" i="60"/>
  <c r="AA167" i="60" s="1"/>
  <c r="Y166" i="60"/>
  <c r="X166" i="60"/>
  <c r="W166" i="60"/>
  <c r="R166" i="60"/>
  <c r="F166" i="60"/>
  <c r="AB166" i="60" s="1"/>
  <c r="D166" i="60"/>
  <c r="AA166" i="60" s="1"/>
  <c r="Y165" i="60"/>
  <c r="X165" i="60"/>
  <c r="W165" i="60"/>
  <c r="R165" i="60"/>
  <c r="F165" i="60"/>
  <c r="AB165" i="60" s="1"/>
  <c r="D165" i="60"/>
  <c r="AA165" i="60" s="1"/>
  <c r="Y164" i="60"/>
  <c r="X164" i="60"/>
  <c r="W164" i="60"/>
  <c r="R164" i="60"/>
  <c r="F164" i="60"/>
  <c r="AB164" i="60" s="1"/>
  <c r="D164" i="60"/>
  <c r="AA164" i="60" s="1"/>
  <c r="X163" i="60"/>
  <c r="W163" i="60"/>
  <c r="R163" i="60"/>
  <c r="F163" i="60"/>
  <c r="AB163" i="60" s="1"/>
  <c r="D163" i="60"/>
  <c r="AA163" i="60" s="1"/>
  <c r="X162" i="60"/>
  <c r="W162" i="60"/>
  <c r="R162" i="60"/>
  <c r="F162" i="60"/>
  <c r="AB162" i="60" s="1"/>
  <c r="D162" i="60"/>
  <c r="AA162" i="60" s="1"/>
  <c r="X161" i="60"/>
  <c r="W161" i="60"/>
  <c r="R161" i="60"/>
  <c r="F161" i="60"/>
  <c r="AB161" i="60" s="1"/>
  <c r="D161" i="60"/>
  <c r="AA161" i="60" s="1"/>
  <c r="X160" i="60"/>
  <c r="W160" i="60"/>
  <c r="R160" i="60"/>
  <c r="F160" i="60"/>
  <c r="AB160" i="60" s="1"/>
  <c r="D160" i="60"/>
  <c r="AA160" i="60" s="1"/>
  <c r="X159" i="60"/>
  <c r="W159" i="60"/>
  <c r="R159" i="60"/>
  <c r="F159" i="60"/>
  <c r="AB159" i="60" s="1"/>
  <c r="D159" i="60"/>
  <c r="AA159" i="60" s="1"/>
  <c r="X158" i="60"/>
  <c r="W158" i="60"/>
  <c r="R158" i="60"/>
  <c r="F158" i="60"/>
  <c r="AB158" i="60" s="1"/>
  <c r="D158" i="60"/>
  <c r="AA158" i="60" s="1"/>
  <c r="X157" i="60"/>
  <c r="W157" i="60"/>
  <c r="R157" i="60"/>
  <c r="F157" i="60"/>
  <c r="AB157" i="60" s="1"/>
  <c r="D157" i="60"/>
  <c r="AA157" i="60" s="1"/>
  <c r="X156" i="60"/>
  <c r="W156" i="60"/>
  <c r="R156" i="60"/>
  <c r="F156" i="60"/>
  <c r="AB156" i="60" s="1"/>
  <c r="D156" i="60"/>
  <c r="AA156" i="60" s="1"/>
  <c r="X155" i="60"/>
  <c r="W155" i="60"/>
  <c r="R155" i="60"/>
  <c r="F155" i="60"/>
  <c r="AB155" i="60" s="1"/>
  <c r="D155" i="60"/>
  <c r="AA155" i="60" s="1"/>
  <c r="X154" i="60"/>
  <c r="W154" i="60"/>
  <c r="R154" i="60"/>
  <c r="F154" i="60"/>
  <c r="AB154" i="60" s="1"/>
  <c r="D154" i="60"/>
  <c r="AA154" i="60" s="1"/>
  <c r="X153" i="60"/>
  <c r="W153" i="60"/>
  <c r="R153" i="60"/>
  <c r="F153" i="60"/>
  <c r="AB153" i="60" s="1"/>
  <c r="D153" i="60"/>
  <c r="AA153" i="60" s="1"/>
  <c r="X152" i="60"/>
  <c r="W152" i="60"/>
  <c r="R152" i="60"/>
  <c r="F152" i="60"/>
  <c r="AB152" i="60" s="1"/>
  <c r="D152" i="60"/>
  <c r="AA152" i="60" s="1"/>
  <c r="X151" i="60"/>
  <c r="W151" i="60"/>
  <c r="R151" i="60"/>
  <c r="F151" i="60"/>
  <c r="AB151" i="60" s="1"/>
  <c r="D151" i="60"/>
  <c r="AA151" i="60" s="1"/>
  <c r="X150" i="60"/>
  <c r="W150" i="60"/>
  <c r="R150" i="60"/>
  <c r="F150" i="60"/>
  <c r="AB150" i="60" s="1"/>
  <c r="D150" i="60"/>
  <c r="AA150" i="60" s="1"/>
  <c r="X149" i="60"/>
  <c r="W149" i="60"/>
  <c r="R149" i="60"/>
  <c r="F149" i="60"/>
  <c r="AB149" i="60" s="1"/>
  <c r="D149" i="60"/>
  <c r="AA149" i="60" s="1"/>
  <c r="X148" i="60"/>
  <c r="W148" i="60"/>
  <c r="R148" i="60"/>
  <c r="F148" i="60"/>
  <c r="AB148" i="60" s="1"/>
  <c r="D148" i="60"/>
  <c r="AA148" i="60" s="1"/>
  <c r="X147" i="60"/>
  <c r="W147" i="60"/>
  <c r="R147" i="60"/>
  <c r="F147" i="60"/>
  <c r="AB147" i="60" s="1"/>
  <c r="D147" i="60"/>
  <c r="AA147" i="60" s="1"/>
  <c r="X146" i="60"/>
  <c r="W146" i="60"/>
  <c r="R146" i="60"/>
  <c r="F146" i="60"/>
  <c r="AB146" i="60" s="1"/>
  <c r="D146" i="60"/>
  <c r="AA146" i="60" s="1"/>
  <c r="X145" i="60"/>
  <c r="W145" i="60"/>
  <c r="R145" i="60"/>
  <c r="F145" i="60"/>
  <c r="AB145" i="60" s="1"/>
  <c r="D145" i="60"/>
  <c r="AA145" i="60" s="1"/>
  <c r="X144" i="60"/>
  <c r="W144" i="60"/>
  <c r="R144" i="60"/>
  <c r="F144" i="60"/>
  <c r="AB144" i="60" s="1"/>
  <c r="D144" i="60"/>
  <c r="AA144" i="60" s="1"/>
  <c r="X143" i="60"/>
  <c r="W143" i="60"/>
  <c r="R143" i="60"/>
  <c r="F143" i="60"/>
  <c r="AB143" i="60" s="1"/>
  <c r="D143" i="60"/>
  <c r="AA143" i="60" s="1"/>
  <c r="X142" i="60"/>
  <c r="W142" i="60"/>
  <c r="R142" i="60"/>
  <c r="F142" i="60"/>
  <c r="AB142" i="60" s="1"/>
  <c r="D142" i="60"/>
  <c r="AA142" i="60" s="1"/>
  <c r="AB141" i="60"/>
  <c r="X141" i="60"/>
  <c r="W141" i="60"/>
  <c r="R141" i="60"/>
  <c r="F141" i="60"/>
  <c r="D141" i="60"/>
  <c r="AA141" i="60" s="1"/>
  <c r="X140" i="60"/>
  <c r="W140" i="60"/>
  <c r="R140" i="60"/>
  <c r="F140" i="60"/>
  <c r="AB140" i="60" s="1"/>
  <c r="D140" i="60"/>
  <c r="AA140" i="60" s="1"/>
  <c r="AB139" i="60"/>
  <c r="X139" i="60"/>
  <c r="W139" i="60"/>
  <c r="R139" i="60"/>
  <c r="F139" i="60"/>
  <c r="D139" i="60"/>
  <c r="AA139" i="60" s="1"/>
  <c r="X138" i="60"/>
  <c r="W138" i="60"/>
  <c r="R138" i="60"/>
  <c r="F138" i="60"/>
  <c r="AB138" i="60" s="1"/>
  <c r="D138" i="60"/>
  <c r="AA138" i="60" s="1"/>
  <c r="X137" i="60"/>
  <c r="W137" i="60"/>
  <c r="R137" i="60"/>
  <c r="F137" i="60"/>
  <c r="AB137" i="60" s="1"/>
  <c r="D137" i="60"/>
  <c r="AA137" i="60" s="1"/>
  <c r="X136" i="60"/>
  <c r="W136" i="60"/>
  <c r="R136" i="60"/>
  <c r="F136" i="60"/>
  <c r="AB136" i="60" s="1"/>
  <c r="D136" i="60"/>
  <c r="AA136" i="60" s="1"/>
  <c r="AB135" i="60"/>
  <c r="X135" i="60"/>
  <c r="W135" i="60"/>
  <c r="R135" i="60"/>
  <c r="F135" i="60"/>
  <c r="D135" i="60"/>
  <c r="AA135" i="60" s="1"/>
  <c r="X134" i="60"/>
  <c r="W134" i="60"/>
  <c r="R134" i="60"/>
  <c r="F134" i="60"/>
  <c r="AB134" i="60" s="1"/>
  <c r="D134" i="60"/>
  <c r="AA134" i="60" s="1"/>
  <c r="AB133" i="60"/>
  <c r="X133" i="60"/>
  <c r="W133" i="60"/>
  <c r="R133" i="60"/>
  <c r="F133" i="60"/>
  <c r="D133" i="60"/>
  <c r="AA133" i="60" s="1"/>
  <c r="X132" i="60"/>
  <c r="W132" i="60"/>
  <c r="R132" i="60"/>
  <c r="F132" i="60"/>
  <c r="AB132" i="60" s="1"/>
  <c r="D132" i="60"/>
  <c r="AA132" i="60" s="1"/>
  <c r="X131" i="60"/>
  <c r="W131" i="60"/>
  <c r="R131" i="60"/>
  <c r="F131" i="60"/>
  <c r="AB131" i="60" s="1"/>
  <c r="D131" i="60"/>
  <c r="AA131" i="60" s="1"/>
  <c r="X130" i="60"/>
  <c r="W130" i="60"/>
  <c r="R130" i="60"/>
  <c r="F130" i="60"/>
  <c r="AB130" i="60" s="1"/>
  <c r="D130" i="60"/>
  <c r="AA130" i="60" s="1"/>
  <c r="X129" i="60"/>
  <c r="W129" i="60"/>
  <c r="R129" i="60"/>
  <c r="F129" i="60"/>
  <c r="AB129" i="60" s="1"/>
  <c r="D129" i="60"/>
  <c r="AA129" i="60" s="1"/>
  <c r="X128" i="60"/>
  <c r="W128" i="60"/>
  <c r="R128" i="60"/>
  <c r="F128" i="60"/>
  <c r="AB128" i="60" s="1"/>
  <c r="D128" i="60"/>
  <c r="AA128" i="60" s="1"/>
  <c r="X127" i="60"/>
  <c r="W127" i="60"/>
  <c r="R127" i="60"/>
  <c r="F127" i="60"/>
  <c r="AB127" i="60" s="1"/>
  <c r="D127" i="60"/>
  <c r="AA127" i="60" s="1"/>
  <c r="X126" i="60"/>
  <c r="W126" i="60"/>
  <c r="R126" i="60"/>
  <c r="F126" i="60"/>
  <c r="AB126" i="60" s="1"/>
  <c r="D126" i="60"/>
  <c r="AA126" i="60" s="1"/>
  <c r="X125" i="60"/>
  <c r="W125" i="60"/>
  <c r="T125" i="60"/>
  <c r="R125" i="60"/>
  <c r="F125" i="60"/>
  <c r="AB125" i="60" s="1"/>
  <c r="D125" i="60"/>
  <c r="AA125" i="60" s="1"/>
  <c r="X124" i="60"/>
  <c r="W124" i="60"/>
  <c r="R124" i="60"/>
  <c r="F124" i="60"/>
  <c r="AB124" i="60" s="1"/>
  <c r="D124" i="60"/>
  <c r="AA124" i="60" s="1"/>
  <c r="X123" i="60"/>
  <c r="W123" i="60"/>
  <c r="R123" i="60"/>
  <c r="F123" i="60"/>
  <c r="AB123" i="60" s="1"/>
  <c r="D123" i="60"/>
  <c r="AA123" i="60" s="1"/>
  <c r="X122" i="60"/>
  <c r="W122" i="60"/>
  <c r="R122" i="60"/>
  <c r="F122" i="60"/>
  <c r="AB122" i="60" s="1"/>
  <c r="D122" i="60"/>
  <c r="AA122" i="60" s="1"/>
  <c r="X121" i="60"/>
  <c r="W121" i="60"/>
  <c r="R121" i="60"/>
  <c r="F121" i="60"/>
  <c r="AB121" i="60" s="1"/>
  <c r="D121" i="60"/>
  <c r="AA121" i="60" s="1"/>
  <c r="X120" i="60"/>
  <c r="W120" i="60"/>
  <c r="R120" i="60"/>
  <c r="F120" i="60"/>
  <c r="AB120" i="60" s="1"/>
  <c r="D120" i="60"/>
  <c r="AA120" i="60" s="1"/>
  <c r="AB119" i="60"/>
  <c r="X119" i="60"/>
  <c r="W119" i="60"/>
  <c r="V119" i="60"/>
  <c r="U119" i="60"/>
  <c r="T119" i="60"/>
  <c r="R119" i="60"/>
  <c r="F119" i="60"/>
  <c r="D119" i="60"/>
  <c r="AA119" i="60" s="1"/>
  <c r="X118" i="60"/>
  <c r="W118" i="60"/>
  <c r="V118" i="60"/>
  <c r="U118" i="60"/>
  <c r="T118" i="60"/>
  <c r="R118" i="60"/>
  <c r="F118" i="60"/>
  <c r="AB118" i="60" s="1"/>
  <c r="D118" i="60"/>
  <c r="AA118" i="60" s="1"/>
  <c r="X117" i="60"/>
  <c r="W117" i="60"/>
  <c r="R117" i="60"/>
  <c r="F117" i="60"/>
  <c r="AB117" i="60" s="1"/>
  <c r="D117" i="60"/>
  <c r="AA117" i="60" s="1"/>
  <c r="X116" i="60"/>
  <c r="W116" i="60"/>
  <c r="R116" i="60"/>
  <c r="F116" i="60"/>
  <c r="AB116" i="60" s="1"/>
  <c r="D116" i="60"/>
  <c r="AA116" i="60" s="1"/>
  <c r="X115" i="60"/>
  <c r="W115" i="60"/>
  <c r="R115" i="60"/>
  <c r="F115" i="60"/>
  <c r="AB115" i="60" s="1"/>
  <c r="D115" i="60"/>
  <c r="AA115" i="60" s="1"/>
  <c r="X114" i="60"/>
  <c r="W114" i="60"/>
  <c r="R114" i="60"/>
  <c r="F114" i="60"/>
  <c r="AB114" i="60" s="1"/>
  <c r="D114" i="60"/>
  <c r="AA114" i="60" s="1"/>
  <c r="X113" i="60"/>
  <c r="W113" i="60"/>
  <c r="R113" i="60"/>
  <c r="F113" i="60"/>
  <c r="AB113" i="60" s="1"/>
  <c r="D113" i="60"/>
  <c r="AA113" i="60" s="1"/>
  <c r="X112" i="60"/>
  <c r="W112" i="60"/>
  <c r="R112" i="60"/>
  <c r="F112" i="60"/>
  <c r="AB112" i="60" s="1"/>
  <c r="D112" i="60"/>
  <c r="AA112" i="60" s="1"/>
  <c r="X111" i="60"/>
  <c r="W111" i="60"/>
  <c r="R111" i="60"/>
  <c r="F111" i="60"/>
  <c r="AB111" i="60" s="1"/>
  <c r="D111" i="60"/>
  <c r="AA111" i="60" s="1"/>
  <c r="X110" i="60"/>
  <c r="W110" i="60"/>
  <c r="R110" i="60"/>
  <c r="F110" i="60"/>
  <c r="AB110" i="60" s="1"/>
  <c r="D110" i="60"/>
  <c r="AA110" i="60" s="1"/>
  <c r="X109" i="60"/>
  <c r="W109" i="60"/>
  <c r="R109" i="60"/>
  <c r="F109" i="60"/>
  <c r="AB109" i="60" s="1"/>
  <c r="D109" i="60"/>
  <c r="AA109" i="60" s="1"/>
  <c r="X108" i="60"/>
  <c r="W108" i="60"/>
  <c r="R108" i="60"/>
  <c r="F108" i="60"/>
  <c r="AB108" i="60" s="1"/>
  <c r="D108" i="60"/>
  <c r="AA108" i="60" s="1"/>
  <c r="X107" i="60"/>
  <c r="W107" i="60"/>
  <c r="R107" i="60"/>
  <c r="F107" i="60"/>
  <c r="AB107" i="60" s="1"/>
  <c r="D107" i="60"/>
  <c r="AA107" i="60" s="1"/>
  <c r="X106" i="60"/>
  <c r="W106" i="60"/>
  <c r="R106" i="60"/>
  <c r="F106" i="60"/>
  <c r="AB106" i="60" s="1"/>
  <c r="D106" i="60"/>
  <c r="AA106" i="60" s="1"/>
  <c r="X105" i="60"/>
  <c r="W105" i="60"/>
  <c r="R105" i="60"/>
  <c r="F105" i="60"/>
  <c r="AB105" i="60" s="1"/>
  <c r="D105" i="60"/>
  <c r="AA105" i="60" s="1"/>
  <c r="X104" i="60"/>
  <c r="W104" i="60"/>
  <c r="V104" i="60"/>
  <c r="U104" i="60"/>
  <c r="T104" i="60"/>
  <c r="R104" i="60"/>
  <c r="F104" i="60"/>
  <c r="AB104" i="60" s="1"/>
  <c r="D104" i="60"/>
  <c r="AA104" i="60" s="1"/>
  <c r="X103" i="60"/>
  <c r="W103" i="60"/>
  <c r="R103" i="60"/>
  <c r="F103" i="60"/>
  <c r="AB103" i="60" s="1"/>
  <c r="D103" i="60"/>
  <c r="AA103" i="60" s="1"/>
  <c r="X102" i="60"/>
  <c r="W102" i="60"/>
  <c r="R102" i="60"/>
  <c r="F102" i="60"/>
  <c r="AB102" i="60" s="1"/>
  <c r="D102" i="60"/>
  <c r="AA102" i="60" s="1"/>
  <c r="X101" i="60"/>
  <c r="W101" i="60"/>
  <c r="R101" i="60"/>
  <c r="F101" i="60"/>
  <c r="AB101" i="60" s="1"/>
  <c r="D101" i="60"/>
  <c r="AA101" i="60" s="1"/>
  <c r="X100" i="60"/>
  <c r="W100" i="60"/>
  <c r="R100" i="60"/>
  <c r="F100" i="60"/>
  <c r="AB100" i="60" s="1"/>
  <c r="D100" i="60"/>
  <c r="AA100" i="60" s="1"/>
  <c r="X99" i="60"/>
  <c r="W99" i="60"/>
  <c r="R99" i="60"/>
  <c r="F99" i="60"/>
  <c r="AB99" i="60" s="1"/>
  <c r="D99" i="60"/>
  <c r="AA99" i="60" s="1"/>
  <c r="X98" i="60"/>
  <c r="W98" i="60"/>
  <c r="R98" i="60"/>
  <c r="F98" i="60"/>
  <c r="AB98" i="60" s="1"/>
  <c r="D98" i="60"/>
  <c r="AA98" i="60" s="1"/>
  <c r="X97" i="60"/>
  <c r="W97" i="60"/>
  <c r="R97" i="60"/>
  <c r="F97" i="60"/>
  <c r="AB97" i="60" s="1"/>
  <c r="D97" i="60"/>
  <c r="AA97" i="60" s="1"/>
  <c r="X96" i="60"/>
  <c r="W96" i="60"/>
  <c r="R96" i="60"/>
  <c r="F96" i="60"/>
  <c r="AB96" i="60" s="1"/>
  <c r="D96" i="60"/>
  <c r="AA96" i="60" s="1"/>
  <c r="X95" i="60"/>
  <c r="W95" i="60"/>
  <c r="R95" i="60"/>
  <c r="F95" i="60"/>
  <c r="AB95" i="60" s="1"/>
  <c r="D95" i="60"/>
  <c r="AA95" i="60" s="1"/>
  <c r="X94" i="60"/>
  <c r="W94" i="60"/>
  <c r="R94" i="60"/>
  <c r="F94" i="60"/>
  <c r="AB94" i="60" s="1"/>
  <c r="D94" i="60"/>
  <c r="AA94" i="60" s="1"/>
  <c r="X93" i="60"/>
  <c r="W93" i="60"/>
  <c r="R93" i="60"/>
  <c r="F93" i="60"/>
  <c r="AB93" i="60" s="1"/>
  <c r="D93" i="60"/>
  <c r="AA93" i="60" s="1"/>
  <c r="X92" i="60"/>
  <c r="W92" i="60"/>
  <c r="R92" i="60"/>
  <c r="F92" i="60"/>
  <c r="AB92" i="60" s="1"/>
  <c r="D92" i="60"/>
  <c r="AA92" i="60" s="1"/>
  <c r="X91" i="60"/>
  <c r="W91" i="60"/>
  <c r="R91" i="60"/>
  <c r="F91" i="60"/>
  <c r="AB91" i="60" s="1"/>
  <c r="D91" i="60"/>
  <c r="AA91" i="60" s="1"/>
  <c r="X90" i="60"/>
  <c r="W90" i="60"/>
  <c r="R90" i="60"/>
  <c r="F90" i="60"/>
  <c r="AB90" i="60" s="1"/>
  <c r="D90" i="60"/>
  <c r="AA90" i="60" s="1"/>
  <c r="X89" i="60"/>
  <c r="W89" i="60"/>
  <c r="R89" i="60"/>
  <c r="F89" i="60"/>
  <c r="AB89" i="60" s="1"/>
  <c r="D89" i="60"/>
  <c r="AA89" i="60" s="1"/>
  <c r="X88" i="60"/>
  <c r="W88" i="60"/>
  <c r="R88" i="60"/>
  <c r="F88" i="60"/>
  <c r="AB88" i="60" s="1"/>
  <c r="D88" i="60"/>
  <c r="AA88" i="60" s="1"/>
  <c r="X87" i="60"/>
  <c r="W87" i="60"/>
  <c r="R87" i="60"/>
  <c r="F87" i="60"/>
  <c r="AB87" i="60" s="1"/>
  <c r="D87" i="60"/>
  <c r="AA87" i="60" s="1"/>
  <c r="X86" i="60"/>
  <c r="W86" i="60"/>
  <c r="R86" i="60"/>
  <c r="F86" i="60"/>
  <c r="AB86" i="60" s="1"/>
  <c r="D86" i="60"/>
  <c r="AA86" i="60" s="1"/>
  <c r="X85" i="60"/>
  <c r="W85" i="60"/>
  <c r="R85" i="60"/>
  <c r="F85" i="60"/>
  <c r="AB85" i="60" s="1"/>
  <c r="D85" i="60"/>
  <c r="AA85" i="60" s="1"/>
  <c r="X84" i="60"/>
  <c r="W84" i="60"/>
  <c r="R84" i="60"/>
  <c r="F84" i="60"/>
  <c r="AB84" i="60" s="1"/>
  <c r="D84" i="60"/>
  <c r="AA84" i="60" s="1"/>
  <c r="X83" i="60"/>
  <c r="W83" i="60"/>
  <c r="R83" i="60"/>
  <c r="F83" i="60"/>
  <c r="AB83" i="60" s="1"/>
  <c r="D83" i="60"/>
  <c r="AA83" i="60" s="1"/>
  <c r="X82" i="60"/>
  <c r="W82" i="60"/>
  <c r="R82" i="60"/>
  <c r="F82" i="60"/>
  <c r="AB82" i="60" s="1"/>
  <c r="D82" i="60"/>
  <c r="AA82" i="60" s="1"/>
  <c r="X81" i="60"/>
  <c r="W81" i="60"/>
  <c r="R81" i="60"/>
  <c r="F81" i="60"/>
  <c r="AB81" i="60" s="1"/>
  <c r="D81" i="60"/>
  <c r="AA81" i="60" s="1"/>
  <c r="X80" i="60"/>
  <c r="W80" i="60"/>
  <c r="R80" i="60"/>
  <c r="F80" i="60"/>
  <c r="AB80" i="60" s="1"/>
  <c r="D80" i="60"/>
  <c r="AA80" i="60" s="1"/>
  <c r="X79" i="60"/>
  <c r="W79" i="60"/>
  <c r="R79" i="60"/>
  <c r="F79" i="60"/>
  <c r="AB79" i="60" s="1"/>
  <c r="D79" i="60"/>
  <c r="AA79" i="60" s="1"/>
  <c r="X78" i="60"/>
  <c r="W78" i="60"/>
  <c r="R78" i="60"/>
  <c r="F78" i="60"/>
  <c r="AB78" i="60" s="1"/>
  <c r="D78" i="60"/>
  <c r="AA78" i="60" s="1"/>
  <c r="X77" i="60"/>
  <c r="W77" i="60"/>
  <c r="R77" i="60"/>
  <c r="F77" i="60"/>
  <c r="AB77" i="60" s="1"/>
  <c r="D77" i="60"/>
  <c r="AA77" i="60" s="1"/>
  <c r="X76" i="60"/>
  <c r="W76" i="60"/>
  <c r="R76" i="60"/>
  <c r="F76" i="60"/>
  <c r="AB76" i="60" s="1"/>
  <c r="D76" i="60"/>
  <c r="AA76" i="60" s="1"/>
  <c r="X75" i="60"/>
  <c r="W75" i="60"/>
  <c r="R75" i="60"/>
  <c r="F75" i="60"/>
  <c r="AB75" i="60" s="1"/>
  <c r="D75" i="60"/>
  <c r="AA75" i="60" s="1"/>
  <c r="X74" i="60"/>
  <c r="W74" i="60"/>
  <c r="R74" i="60"/>
  <c r="F74" i="60"/>
  <c r="AB74" i="60" s="1"/>
  <c r="D74" i="60"/>
  <c r="AA74" i="60" s="1"/>
  <c r="X73" i="60"/>
  <c r="W73" i="60"/>
  <c r="R73" i="60"/>
  <c r="F73" i="60"/>
  <c r="AB73" i="60" s="1"/>
  <c r="D73" i="60"/>
  <c r="AA73" i="60" s="1"/>
  <c r="X72" i="60"/>
  <c r="W72" i="60"/>
  <c r="R72" i="60"/>
  <c r="F72" i="60"/>
  <c r="AB72" i="60" s="1"/>
  <c r="D72" i="60"/>
  <c r="AA72" i="60" s="1"/>
  <c r="X71" i="60"/>
  <c r="W71" i="60"/>
  <c r="R71" i="60"/>
  <c r="F71" i="60"/>
  <c r="AB71" i="60" s="1"/>
  <c r="D71" i="60"/>
  <c r="AA71" i="60" s="1"/>
  <c r="X70" i="60"/>
  <c r="W70" i="60"/>
  <c r="R70" i="60"/>
  <c r="F70" i="60"/>
  <c r="AB70" i="60" s="1"/>
  <c r="D70" i="60"/>
  <c r="AA70" i="60" s="1"/>
  <c r="X69" i="60"/>
  <c r="W69" i="60"/>
  <c r="R69" i="60"/>
  <c r="F69" i="60"/>
  <c r="AB69" i="60" s="1"/>
  <c r="D69" i="60"/>
  <c r="AA69" i="60" s="1"/>
  <c r="X68" i="60"/>
  <c r="W68" i="60"/>
  <c r="R68" i="60"/>
  <c r="F68" i="60"/>
  <c r="AB68" i="60" s="1"/>
  <c r="D68" i="60"/>
  <c r="AA68" i="60" s="1"/>
  <c r="X67" i="60"/>
  <c r="W67" i="60"/>
  <c r="R67" i="60"/>
  <c r="F67" i="60"/>
  <c r="AB67" i="60" s="1"/>
  <c r="D67" i="60"/>
  <c r="AA67" i="60" s="1"/>
  <c r="X66" i="60"/>
  <c r="W66" i="60"/>
  <c r="R66" i="60"/>
  <c r="F66" i="60"/>
  <c r="AB66" i="60" s="1"/>
  <c r="D66" i="60"/>
  <c r="AA66" i="60" s="1"/>
  <c r="X65" i="60"/>
  <c r="W65" i="60"/>
  <c r="R65" i="60"/>
  <c r="F65" i="60"/>
  <c r="AB65" i="60" s="1"/>
  <c r="D65" i="60"/>
  <c r="AA65" i="60" s="1"/>
  <c r="X64" i="60"/>
  <c r="W64" i="60"/>
  <c r="R64" i="60"/>
  <c r="F64" i="60"/>
  <c r="AB64" i="60" s="1"/>
  <c r="D64" i="60"/>
  <c r="AA64" i="60" s="1"/>
  <c r="X63" i="60"/>
  <c r="W63" i="60"/>
  <c r="R63" i="60"/>
  <c r="F63" i="60"/>
  <c r="AB63" i="60" s="1"/>
  <c r="D63" i="60"/>
  <c r="AA63" i="60" s="1"/>
  <c r="X62" i="60"/>
  <c r="W62" i="60"/>
  <c r="R62" i="60"/>
  <c r="F62" i="60"/>
  <c r="AB62" i="60" s="1"/>
  <c r="D62" i="60"/>
  <c r="AA62" i="60" s="1"/>
  <c r="X61" i="60"/>
  <c r="W61" i="60"/>
  <c r="R61" i="60"/>
  <c r="F61" i="60"/>
  <c r="AB61" i="60" s="1"/>
  <c r="D61" i="60"/>
  <c r="AA61" i="60" s="1"/>
  <c r="X60" i="60"/>
  <c r="W60" i="60"/>
  <c r="R60" i="60"/>
  <c r="F60" i="60"/>
  <c r="AB60" i="60" s="1"/>
  <c r="D60" i="60"/>
  <c r="AA60" i="60" s="1"/>
  <c r="X59" i="60"/>
  <c r="W59" i="60"/>
  <c r="R59" i="60"/>
  <c r="F59" i="60"/>
  <c r="AB59" i="60" s="1"/>
  <c r="D59" i="60"/>
  <c r="AA59" i="60" s="1"/>
  <c r="X58" i="60"/>
  <c r="W58" i="60"/>
  <c r="R58" i="60"/>
  <c r="F58" i="60"/>
  <c r="AB58" i="60" s="1"/>
  <c r="D58" i="60"/>
  <c r="AA58" i="60" s="1"/>
  <c r="X57" i="60"/>
  <c r="W57" i="60"/>
  <c r="R57" i="60"/>
  <c r="F57" i="60"/>
  <c r="AB57" i="60" s="1"/>
  <c r="D57" i="60"/>
  <c r="AA57" i="60" s="1"/>
  <c r="X56" i="60"/>
  <c r="W56" i="60"/>
  <c r="R56" i="60"/>
  <c r="F56" i="60"/>
  <c r="AB56" i="60" s="1"/>
  <c r="D56" i="60"/>
  <c r="AA56" i="60" s="1"/>
  <c r="X55" i="60"/>
  <c r="W55" i="60"/>
  <c r="R55" i="60"/>
  <c r="F55" i="60"/>
  <c r="AB55" i="60" s="1"/>
  <c r="D55" i="60"/>
  <c r="AA55" i="60" s="1"/>
  <c r="X54" i="60"/>
  <c r="W54" i="60"/>
  <c r="R54" i="60"/>
  <c r="F54" i="60"/>
  <c r="AB54" i="60" s="1"/>
  <c r="D54" i="60"/>
  <c r="AA54" i="60" s="1"/>
  <c r="X53" i="60"/>
  <c r="W53" i="60"/>
  <c r="R53" i="60"/>
  <c r="F53" i="60"/>
  <c r="AB53" i="60" s="1"/>
  <c r="D53" i="60"/>
  <c r="AA53" i="60" s="1"/>
  <c r="X52" i="60"/>
  <c r="W52" i="60"/>
  <c r="R52" i="60"/>
  <c r="F52" i="60"/>
  <c r="AB52" i="60" s="1"/>
  <c r="D52" i="60"/>
  <c r="AA52" i="60" s="1"/>
  <c r="X51" i="60"/>
  <c r="W51" i="60"/>
  <c r="R51" i="60"/>
  <c r="F51" i="60"/>
  <c r="AB51" i="60" s="1"/>
  <c r="D51" i="60"/>
  <c r="AA51" i="60" s="1"/>
  <c r="X50" i="60"/>
  <c r="W50" i="60"/>
  <c r="R50" i="60"/>
  <c r="F50" i="60"/>
  <c r="AB50" i="60" s="1"/>
  <c r="D50" i="60"/>
  <c r="AA50" i="60" s="1"/>
  <c r="X49" i="60"/>
  <c r="W49" i="60"/>
  <c r="R49" i="60"/>
  <c r="F49" i="60"/>
  <c r="AB49" i="60" s="1"/>
  <c r="D49" i="60"/>
  <c r="AA49" i="60" s="1"/>
  <c r="X48" i="60"/>
  <c r="W48" i="60"/>
  <c r="R48" i="60"/>
  <c r="F48" i="60"/>
  <c r="AB48" i="60" s="1"/>
  <c r="D48" i="60"/>
  <c r="AA48" i="60" s="1"/>
  <c r="X47" i="60"/>
  <c r="W47" i="60"/>
  <c r="R47" i="60"/>
  <c r="F47" i="60"/>
  <c r="AB47" i="60" s="1"/>
  <c r="D47" i="60"/>
  <c r="AA47" i="60" s="1"/>
  <c r="X46" i="60"/>
  <c r="W46" i="60"/>
  <c r="R46" i="60"/>
  <c r="F46" i="60"/>
  <c r="AB46" i="60" s="1"/>
  <c r="D46" i="60"/>
  <c r="AA46" i="60" s="1"/>
  <c r="X45" i="60"/>
  <c r="W45" i="60"/>
  <c r="R45" i="60"/>
  <c r="D45" i="60" s="1"/>
  <c r="AA45" i="60" s="1"/>
  <c r="F45" i="60"/>
  <c r="AB45" i="60" s="1"/>
  <c r="X44" i="60"/>
  <c r="W44" i="60"/>
  <c r="R44" i="60"/>
  <c r="F44" i="60"/>
  <c r="AB44" i="60" s="1"/>
  <c r="D44" i="60"/>
  <c r="AA44" i="60" s="1"/>
  <c r="X43" i="60"/>
  <c r="W43" i="60"/>
  <c r="R43" i="60"/>
  <c r="F43" i="60"/>
  <c r="AB43" i="60" s="1"/>
  <c r="D43" i="60"/>
  <c r="AA43" i="60" s="1"/>
  <c r="X42" i="60"/>
  <c r="W42" i="60"/>
  <c r="R42" i="60"/>
  <c r="F42" i="60"/>
  <c r="AB42" i="60" s="1"/>
  <c r="D42" i="60"/>
  <c r="AA42" i="60" s="1"/>
  <c r="X41" i="60"/>
  <c r="W41" i="60"/>
  <c r="R41" i="60"/>
  <c r="F41" i="60"/>
  <c r="AB41" i="60" s="1"/>
  <c r="D41" i="60"/>
  <c r="AA41" i="60" s="1"/>
  <c r="X40" i="60"/>
  <c r="W40" i="60"/>
  <c r="R40" i="60"/>
  <c r="F40" i="60"/>
  <c r="AB40" i="60" s="1"/>
  <c r="D40" i="60"/>
  <c r="AA40" i="60" s="1"/>
  <c r="X39" i="60"/>
  <c r="W39" i="60"/>
  <c r="R39" i="60"/>
  <c r="F39" i="60"/>
  <c r="AB39" i="60" s="1"/>
  <c r="D39" i="60"/>
  <c r="AA39" i="60" s="1"/>
  <c r="X38" i="60"/>
  <c r="W38" i="60"/>
  <c r="R38" i="60"/>
  <c r="F38" i="60"/>
  <c r="AB38" i="60" s="1"/>
  <c r="D38" i="60"/>
  <c r="AA38" i="60" s="1"/>
  <c r="X37" i="60"/>
  <c r="W37" i="60"/>
  <c r="R37" i="60"/>
  <c r="F37" i="60"/>
  <c r="AB37" i="60" s="1"/>
  <c r="D37" i="60"/>
  <c r="AA37" i="60" s="1"/>
  <c r="X36" i="60"/>
  <c r="W36" i="60"/>
  <c r="R36" i="60"/>
  <c r="F36" i="60"/>
  <c r="AB36" i="60" s="1"/>
  <c r="D36" i="60"/>
  <c r="AA36" i="60" s="1"/>
  <c r="X35" i="60"/>
  <c r="W35" i="60"/>
  <c r="R35" i="60"/>
  <c r="F35" i="60"/>
  <c r="AB35" i="60" s="1"/>
  <c r="D35" i="60"/>
  <c r="AA35" i="60" s="1"/>
  <c r="X34" i="60"/>
  <c r="W34" i="60"/>
  <c r="R34" i="60"/>
  <c r="F34" i="60"/>
  <c r="AB34" i="60" s="1"/>
  <c r="D34" i="60"/>
  <c r="AA34" i="60" s="1"/>
  <c r="X33" i="60"/>
  <c r="W33" i="60"/>
  <c r="R33" i="60"/>
  <c r="F33" i="60"/>
  <c r="AB33" i="60" s="1"/>
  <c r="D33" i="60"/>
  <c r="AA33" i="60" s="1"/>
  <c r="X32" i="60"/>
  <c r="W32" i="60"/>
  <c r="R32" i="60"/>
  <c r="F32" i="60"/>
  <c r="AB32" i="60" s="1"/>
  <c r="D32" i="60"/>
  <c r="AA32" i="60" s="1"/>
  <c r="X31" i="60"/>
  <c r="W31" i="60"/>
  <c r="R31" i="60"/>
  <c r="F31" i="60"/>
  <c r="AB31" i="60" s="1"/>
  <c r="D31" i="60"/>
  <c r="AA31" i="60" s="1"/>
  <c r="X30" i="60"/>
  <c r="W30" i="60"/>
  <c r="R30" i="60"/>
  <c r="F30" i="60"/>
  <c r="AB30" i="60" s="1"/>
  <c r="D30" i="60"/>
  <c r="AA30" i="60" s="1"/>
  <c r="X29" i="60"/>
  <c r="W29" i="60"/>
  <c r="R29" i="60"/>
  <c r="F29" i="60"/>
  <c r="AB29" i="60" s="1"/>
  <c r="D29" i="60"/>
  <c r="AA29" i="60" s="1"/>
  <c r="X28" i="60"/>
  <c r="W28" i="60"/>
  <c r="R28" i="60"/>
  <c r="F28" i="60"/>
  <c r="AB28" i="60" s="1"/>
  <c r="D28" i="60"/>
  <c r="AA28" i="60" s="1"/>
  <c r="X27" i="60"/>
  <c r="W27" i="60"/>
  <c r="R27" i="60"/>
  <c r="F27" i="60"/>
  <c r="AB27" i="60" s="1"/>
  <c r="D27" i="60"/>
  <c r="AA27" i="60" s="1"/>
  <c r="X26" i="60"/>
  <c r="W26" i="60"/>
  <c r="R26" i="60"/>
  <c r="F26" i="60"/>
  <c r="AB26" i="60" s="1"/>
  <c r="D26" i="60"/>
  <c r="AA26" i="60" s="1"/>
  <c r="X25" i="60"/>
  <c r="W25" i="60"/>
  <c r="R25" i="60"/>
  <c r="F25" i="60"/>
  <c r="AB25" i="60" s="1"/>
  <c r="D25" i="60"/>
  <c r="AA25" i="60" s="1"/>
  <c r="X24" i="60"/>
  <c r="W24" i="60"/>
  <c r="R24" i="60"/>
  <c r="F24" i="60"/>
  <c r="AB24" i="60" s="1"/>
  <c r="D24" i="60"/>
  <c r="AA24" i="60" s="1"/>
  <c r="X23" i="60"/>
  <c r="W23" i="60"/>
  <c r="R23" i="60"/>
  <c r="F23" i="60"/>
  <c r="AB23" i="60" s="1"/>
  <c r="D23" i="60"/>
  <c r="AA23" i="60" s="1"/>
  <c r="X22" i="60"/>
  <c r="W22" i="60"/>
  <c r="R22" i="60"/>
  <c r="F22" i="60"/>
  <c r="AB22" i="60" s="1"/>
  <c r="D22" i="60"/>
  <c r="AA22" i="60" s="1"/>
  <c r="X21" i="60"/>
  <c r="W21" i="60"/>
  <c r="R21" i="60"/>
  <c r="F21" i="60"/>
  <c r="AB21" i="60" s="1"/>
  <c r="D21" i="60"/>
  <c r="AA21" i="60" s="1"/>
  <c r="X20" i="60"/>
  <c r="W20" i="60"/>
  <c r="R20" i="60"/>
  <c r="F20" i="60"/>
  <c r="AB20" i="60" s="1"/>
  <c r="D20" i="60"/>
  <c r="AA20" i="60" s="1"/>
  <c r="X19" i="60"/>
  <c r="W19" i="60"/>
  <c r="R19" i="60"/>
  <c r="F19" i="60"/>
  <c r="AB19" i="60" s="1"/>
  <c r="D19" i="60"/>
  <c r="AA19" i="60" s="1"/>
  <c r="X18" i="60"/>
  <c r="W18" i="60"/>
  <c r="R18" i="60"/>
  <c r="F18" i="60"/>
  <c r="AB18" i="60" s="1"/>
  <c r="D18" i="60"/>
  <c r="AA18" i="60" s="1"/>
  <c r="X17" i="60"/>
  <c r="W17" i="60"/>
  <c r="R17" i="60"/>
  <c r="F17" i="60"/>
  <c r="AB17" i="60" s="1"/>
  <c r="D17" i="60"/>
  <c r="AA17" i="60" s="1"/>
  <c r="X16" i="60"/>
  <c r="W16" i="60"/>
  <c r="R16" i="60"/>
  <c r="F16" i="60"/>
  <c r="AB16" i="60" s="1"/>
  <c r="D16" i="60"/>
  <c r="AA16" i="60" s="1"/>
  <c r="X15" i="60"/>
  <c r="W15" i="60"/>
  <c r="R15" i="60"/>
  <c r="F15" i="60"/>
  <c r="AB15" i="60" s="1"/>
  <c r="D15" i="60"/>
  <c r="AA15" i="60" s="1"/>
  <c r="X14" i="60"/>
  <c r="W14" i="60"/>
  <c r="R14" i="60"/>
  <c r="P14" i="60"/>
  <c r="F14" i="60"/>
  <c r="AB14" i="60" s="1"/>
  <c r="D14" i="60"/>
  <c r="AA14" i="60" s="1"/>
  <c r="AB49" i="57"/>
  <c r="AB73" i="57"/>
  <c r="AB80" i="57"/>
  <c r="AB82" i="57"/>
  <c r="AB121" i="57"/>
  <c r="AB128" i="57"/>
  <c r="AB133" i="57"/>
  <c r="AB136" i="57"/>
  <c r="AB140" i="57"/>
  <c r="AB144" i="57"/>
  <c r="AB146" i="57"/>
  <c r="AB152" i="57"/>
  <c r="AB153" i="57"/>
  <c r="AB156" i="57"/>
  <c r="AB158" i="57"/>
  <c r="AB161" i="57"/>
  <c r="AB162" i="57"/>
  <c r="AB189" i="57"/>
  <c r="AB193" i="57"/>
  <c r="AB197" i="57"/>
  <c r="AB198" i="57"/>
  <c r="F621" i="55"/>
  <c r="R621" i="55"/>
  <c r="W621" i="55"/>
  <c r="X621" i="55"/>
  <c r="A157" i="59"/>
  <c r="A156" i="59"/>
  <c r="A155" i="59"/>
  <c r="C154" i="59"/>
  <c r="B154" i="59"/>
  <c r="A154" i="59"/>
  <c r="C153" i="59"/>
  <c r="B153" i="59"/>
  <c r="A153" i="59"/>
  <c r="C152" i="59"/>
  <c r="B152" i="59"/>
  <c r="A152" i="59"/>
  <c r="A151" i="59"/>
  <c r="A150" i="59"/>
  <c r="AB146" i="59"/>
  <c r="AA146" i="59"/>
  <c r="O146" i="59"/>
  <c r="M146" i="59"/>
  <c r="K146" i="59"/>
  <c r="B146" i="59"/>
  <c r="X145" i="59"/>
  <c r="W145" i="59"/>
  <c r="Y145" i="59" s="1"/>
  <c r="R145" i="59"/>
  <c r="S145" i="59" s="1"/>
  <c r="F145" i="59"/>
  <c r="D145" i="59"/>
  <c r="AA145" i="59" s="1"/>
  <c r="X144" i="59"/>
  <c r="W144" i="59"/>
  <c r="R144" i="59"/>
  <c r="S144" i="59" s="1"/>
  <c r="F144" i="59"/>
  <c r="AB144" i="59" s="1"/>
  <c r="D144" i="59"/>
  <c r="AA144" i="59" s="1"/>
  <c r="X143" i="59"/>
  <c r="W143" i="59"/>
  <c r="Y143" i="59" s="1"/>
  <c r="R143" i="59"/>
  <c r="S143" i="59" s="1"/>
  <c r="P143" i="59"/>
  <c r="P144" i="59" s="1"/>
  <c r="P145" i="59" s="1"/>
  <c r="F143" i="59"/>
  <c r="D143" i="59"/>
  <c r="AA143" i="59" s="1"/>
  <c r="X142" i="59"/>
  <c r="W142" i="59"/>
  <c r="R142" i="59"/>
  <c r="S142" i="59" s="1"/>
  <c r="F142" i="59"/>
  <c r="AB142" i="59" s="1"/>
  <c r="D142" i="59"/>
  <c r="AA142" i="59" s="1"/>
  <c r="P142" i="59"/>
  <c r="X141" i="59"/>
  <c r="W141" i="59"/>
  <c r="Y141" i="59" s="1"/>
  <c r="R141" i="59"/>
  <c r="S141" i="59" s="1"/>
  <c r="P141" i="59"/>
  <c r="F141" i="59"/>
  <c r="D141" i="59"/>
  <c r="AA141" i="59" s="1"/>
  <c r="X140" i="59"/>
  <c r="W140" i="59"/>
  <c r="R140" i="59"/>
  <c r="S140" i="59" s="1"/>
  <c r="P140" i="59"/>
  <c r="F140" i="59"/>
  <c r="AB140" i="59" s="1"/>
  <c r="D140" i="59"/>
  <c r="AA140" i="59" s="1"/>
  <c r="X139" i="59"/>
  <c r="W139" i="59"/>
  <c r="R139" i="59"/>
  <c r="S139" i="59" s="1"/>
  <c r="F139" i="59"/>
  <c r="AB139" i="59" s="1"/>
  <c r="D139" i="59"/>
  <c r="AA139" i="59" s="1"/>
  <c r="X138" i="59"/>
  <c r="W138" i="59"/>
  <c r="R138" i="59"/>
  <c r="S138" i="59" s="1"/>
  <c r="F138" i="59"/>
  <c r="AB138" i="59" s="1"/>
  <c r="D138" i="59"/>
  <c r="AA138" i="59" s="1"/>
  <c r="X137" i="59"/>
  <c r="W137" i="59"/>
  <c r="R137" i="59"/>
  <c r="S137" i="59" s="1"/>
  <c r="P137" i="59"/>
  <c r="P138" i="59" s="1"/>
  <c r="P139" i="59" s="1"/>
  <c r="F137" i="59"/>
  <c r="AB137" i="59" s="1"/>
  <c r="D137" i="59"/>
  <c r="AA137" i="59" s="1"/>
  <c r="X136" i="59"/>
  <c r="W136" i="59"/>
  <c r="R136" i="59"/>
  <c r="S136" i="59" s="1"/>
  <c r="P136" i="59"/>
  <c r="F136" i="59"/>
  <c r="AB136" i="59" s="1"/>
  <c r="D136" i="59"/>
  <c r="AA136" i="59" s="1"/>
  <c r="X135" i="59"/>
  <c r="W135" i="59"/>
  <c r="Y135" i="59" s="1"/>
  <c r="R135" i="59"/>
  <c r="S135" i="59" s="1"/>
  <c r="P135" i="59"/>
  <c r="F135" i="59"/>
  <c r="AB135" i="59" s="1"/>
  <c r="D135" i="59"/>
  <c r="AA135" i="59" s="1"/>
  <c r="X134" i="59"/>
  <c r="W134" i="59"/>
  <c r="R134" i="59"/>
  <c r="S134" i="59" s="1"/>
  <c r="F134" i="59"/>
  <c r="AB134" i="59" s="1"/>
  <c r="D134" i="59"/>
  <c r="AA134" i="59" s="1"/>
  <c r="P134" i="59"/>
  <c r="X133" i="59"/>
  <c r="W133" i="59"/>
  <c r="Y133" i="59" s="1"/>
  <c r="R133" i="59"/>
  <c r="S133" i="59" s="1"/>
  <c r="F133" i="59"/>
  <c r="N133" i="59" s="1"/>
  <c r="D133" i="59"/>
  <c r="AA133" i="59" s="1"/>
  <c r="X132" i="59"/>
  <c r="W132" i="59"/>
  <c r="R132" i="59"/>
  <c r="S132" i="59" s="1"/>
  <c r="F132" i="59"/>
  <c r="AB132" i="59" s="1"/>
  <c r="D132" i="59"/>
  <c r="AA132" i="59" s="1"/>
  <c r="X131" i="59"/>
  <c r="W131" i="59"/>
  <c r="Y131" i="59" s="1"/>
  <c r="R131" i="59"/>
  <c r="S131" i="59" s="1"/>
  <c r="F131" i="59"/>
  <c r="AB131" i="59" s="1"/>
  <c r="D131" i="59"/>
  <c r="AA131" i="59" s="1"/>
  <c r="X130" i="59"/>
  <c r="W130" i="59"/>
  <c r="Y130" i="59" s="1"/>
  <c r="R130" i="59"/>
  <c r="S130" i="59" s="1"/>
  <c r="P130" i="59"/>
  <c r="P131" i="59" s="1"/>
  <c r="P132" i="59" s="1"/>
  <c r="P133" i="59" s="1"/>
  <c r="F130" i="59"/>
  <c r="AB130" i="59" s="1"/>
  <c r="D130" i="59"/>
  <c r="AA130" i="59" s="1"/>
  <c r="X129" i="59"/>
  <c r="W129" i="59"/>
  <c r="Y129" i="59" s="1"/>
  <c r="R129" i="59"/>
  <c r="S129" i="59" s="1"/>
  <c r="F129" i="59"/>
  <c r="AB129" i="59" s="1"/>
  <c r="D129" i="59"/>
  <c r="AA129" i="59" s="1"/>
  <c r="X128" i="59"/>
  <c r="W128" i="59"/>
  <c r="R128" i="59"/>
  <c r="S128" i="59" s="1"/>
  <c r="F128" i="59"/>
  <c r="AB128" i="59" s="1"/>
  <c r="D128" i="59"/>
  <c r="AA128" i="59" s="1"/>
  <c r="X127" i="59"/>
  <c r="W127" i="59"/>
  <c r="R127" i="59"/>
  <c r="S127" i="59" s="1"/>
  <c r="F127" i="59"/>
  <c r="N127" i="59" s="1"/>
  <c r="D127" i="59"/>
  <c r="AA127" i="59" s="1"/>
  <c r="X126" i="59"/>
  <c r="W126" i="59"/>
  <c r="R126" i="59"/>
  <c r="S126" i="59" s="1"/>
  <c r="P126" i="59"/>
  <c r="P127" i="59" s="1"/>
  <c r="P128" i="59" s="1"/>
  <c r="P129" i="59" s="1"/>
  <c r="F126" i="59"/>
  <c r="AB126" i="59" s="1"/>
  <c r="D126" i="59"/>
  <c r="AA126" i="59" s="1"/>
  <c r="X125" i="59"/>
  <c r="W125" i="59"/>
  <c r="Y125" i="59" s="1"/>
  <c r="R125" i="59"/>
  <c r="S125" i="59" s="1"/>
  <c r="F125" i="59"/>
  <c r="AB125" i="59" s="1"/>
  <c r="D125" i="59"/>
  <c r="AA125" i="59" s="1"/>
  <c r="X124" i="59"/>
  <c r="W124" i="59"/>
  <c r="Y124" i="59" s="1"/>
  <c r="R124" i="59"/>
  <c r="S124" i="59" s="1"/>
  <c r="F124" i="59"/>
  <c r="AB124" i="59" s="1"/>
  <c r="D124" i="59"/>
  <c r="AA124" i="59" s="1"/>
  <c r="X123" i="59"/>
  <c r="W123" i="59"/>
  <c r="Y123" i="59" s="1"/>
  <c r="R123" i="59"/>
  <c r="S123" i="59" s="1"/>
  <c r="P123" i="59"/>
  <c r="P124" i="59" s="1"/>
  <c r="P125" i="59" s="1"/>
  <c r="F123" i="59"/>
  <c r="N123" i="59" s="1"/>
  <c r="D123" i="59"/>
  <c r="AA123" i="59" s="1"/>
  <c r="X122" i="59"/>
  <c r="W122" i="59"/>
  <c r="Y122" i="59" s="1"/>
  <c r="R122" i="59"/>
  <c r="S122" i="59" s="1"/>
  <c r="F122" i="59"/>
  <c r="AB122" i="59" s="1"/>
  <c r="D122" i="59"/>
  <c r="AA122" i="59" s="1"/>
  <c r="X121" i="59"/>
  <c r="W121" i="59"/>
  <c r="Y121" i="59" s="1"/>
  <c r="R121" i="59"/>
  <c r="S121" i="59" s="1"/>
  <c r="P121" i="59"/>
  <c r="P122" i="59" s="1"/>
  <c r="F121" i="59"/>
  <c r="AB121" i="59" s="1"/>
  <c r="D121" i="59"/>
  <c r="AA121" i="59" s="1"/>
  <c r="X120" i="59"/>
  <c r="W120" i="59"/>
  <c r="Y120" i="59" s="1"/>
  <c r="R120" i="59"/>
  <c r="S120" i="59" s="1"/>
  <c r="P120" i="59"/>
  <c r="F120" i="59"/>
  <c r="AB120" i="59" s="1"/>
  <c r="D120" i="59"/>
  <c r="AA120" i="59" s="1"/>
  <c r="X119" i="59"/>
  <c r="W119" i="59"/>
  <c r="Y119" i="59" s="1"/>
  <c r="R119" i="59"/>
  <c r="S119" i="59" s="1"/>
  <c r="P119" i="59"/>
  <c r="F119" i="59"/>
  <c r="D119" i="59"/>
  <c r="AA119" i="59" s="1"/>
  <c r="X118" i="59"/>
  <c r="W118" i="59"/>
  <c r="Y118" i="59" s="1"/>
  <c r="R118" i="59"/>
  <c r="S118" i="59" s="1"/>
  <c r="F118" i="59"/>
  <c r="AB118" i="59" s="1"/>
  <c r="D118" i="59"/>
  <c r="AA118" i="59" s="1"/>
  <c r="X117" i="59"/>
  <c r="W117" i="59"/>
  <c r="R117" i="59"/>
  <c r="S117" i="59" s="1"/>
  <c r="F117" i="59"/>
  <c r="AB117" i="59" s="1"/>
  <c r="D117" i="59"/>
  <c r="AA117" i="59" s="1"/>
  <c r="X116" i="59"/>
  <c r="W116" i="59"/>
  <c r="Y116" i="59" s="1"/>
  <c r="R116" i="59"/>
  <c r="S116" i="59" s="1"/>
  <c r="P116" i="59"/>
  <c r="P117" i="59" s="1"/>
  <c r="P118" i="59" s="1"/>
  <c r="F116" i="59"/>
  <c r="D116" i="59"/>
  <c r="AA116" i="59" s="1"/>
  <c r="X115" i="59"/>
  <c r="W115" i="59"/>
  <c r="R115" i="59"/>
  <c r="S115" i="59" s="1"/>
  <c r="P115" i="59"/>
  <c r="F115" i="59"/>
  <c r="D115" i="59"/>
  <c r="AA115" i="59" s="1"/>
  <c r="X114" i="59"/>
  <c r="W114" i="59"/>
  <c r="Y114" i="59" s="1"/>
  <c r="R114" i="59"/>
  <c r="S114" i="59" s="1"/>
  <c r="F114" i="59"/>
  <c r="AB114" i="59" s="1"/>
  <c r="D114" i="59"/>
  <c r="AA114" i="59" s="1"/>
  <c r="X113" i="59"/>
  <c r="W113" i="59"/>
  <c r="Y113" i="59" s="1"/>
  <c r="R113" i="59"/>
  <c r="S113" i="59" s="1"/>
  <c r="P113" i="59"/>
  <c r="P114" i="59" s="1"/>
  <c r="F113" i="59"/>
  <c r="D113" i="59"/>
  <c r="AA113" i="59" s="1"/>
  <c r="X112" i="59"/>
  <c r="W112" i="59"/>
  <c r="Y112" i="59" s="1"/>
  <c r="R112" i="59"/>
  <c r="S112" i="59" s="1"/>
  <c r="F112" i="59"/>
  <c r="D112" i="59"/>
  <c r="AA112" i="59" s="1"/>
  <c r="X111" i="59"/>
  <c r="W111" i="59"/>
  <c r="Y111" i="59" s="1"/>
  <c r="R111" i="59"/>
  <c r="S111" i="59" s="1"/>
  <c r="F111" i="59"/>
  <c r="AB111" i="59" s="1"/>
  <c r="D111" i="59"/>
  <c r="AA111" i="59" s="1"/>
  <c r="P111" i="59"/>
  <c r="P112" i="59" s="1"/>
  <c r="X110" i="59"/>
  <c r="W110" i="59"/>
  <c r="Y110" i="59" s="1"/>
  <c r="R110" i="59"/>
  <c r="S110" i="59" s="1"/>
  <c r="P110" i="59"/>
  <c r="F110" i="59"/>
  <c r="D110" i="59"/>
  <c r="AA110" i="59" s="1"/>
  <c r="X109" i="59"/>
  <c r="W109" i="59"/>
  <c r="Y109" i="59" s="1"/>
  <c r="R109" i="59"/>
  <c r="S109" i="59" s="1"/>
  <c r="F109" i="59"/>
  <c r="AB109" i="59" s="1"/>
  <c r="D109" i="59"/>
  <c r="AA109" i="59" s="1"/>
  <c r="X108" i="59"/>
  <c r="W108" i="59"/>
  <c r="R108" i="59"/>
  <c r="S108" i="59" s="1"/>
  <c r="F108" i="59"/>
  <c r="D108" i="59"/>
  <c r="AA108" i="59" s="1"/>
  <c r="X107" i="59"/>
  <c r="W107" i="59"/>
  <c r="Y107" i="59" s="1"/>
  <c r="R107" i="59"/>
  <c r="S107" i="59" s="1"/>
  <c r="F107" i="59"/>
  <c r="AB107" i="59" s="1"/>
  <c r="D107" i="59"/>
  <c r="AA107" i="59" s="1"/>
  <c r="X106" i="59"/>
  <c r="W106" i="59"/>
  <c r="R106" i="59"/>
  <c r="S106" i="59" s="1"/>
  <c r="P106" i="59"/>
  <c r="P107" i="59" s="1"/>
  <c r="P108" i="59" s="1"/>
  <c r="P109" i="59" s="1"/>
  <c r="F106" i="59"/>
  <c r="D106" i="59"/>
  <c r="AA106" i="59" s="1"/>
  <c r="T105" i="59"/>
  <c r="W105" i="59" s="1"/>
  <c r="Y105" i="59" s="1"/>
  <c r="R105" i="59"/>
  <c r="S105" i="59" s="1"/>
  <c r="P105" i="59"/>
  <c r="D105" i="59"/>
  <c r="AA105" i="59" s="1"/>
  <c r="X104" i="59"/>
  <c r="W104" i="59"/>
  <c r="R104" i="59"/>
  <c r="S104" i="59" s="1"/>
  <c r="F104" i="59"/>
  <c r="AB104" i="59" s="1"/>
  <c r="D104" i="59"/>
  <c r="AA104" i="59" s="1"/>
  <c r="X103" i="59"/>
  <c r="W103" i="59"/>
  <c r="Y103" i="59" s="1"/>
  <c r="R103" i="59"/>
  <c r="S103" i="59" s="1"/>
  <c r="F103" i="59"/>
  <c r="D103" i="59"/>
  <c r="AA103" i="59" s="1"/>
  <c r="X102" i="59"/>
  <c r="W102" i="59"/>
  <c r="Y102" i="59" s="1"/>
  <c r="R102" i="59"/>
  <c r="S102" i="59" s="1"/>
  <c r="P102" i="59"/>
  <c r="P103" i="59" s="1"/>
  <c r="P104" i="59" s="1"/>
  <c r="F102" i="59"/>
  <c r="D102" i="59"/>
  <c r="AA102" i="59" s="1"/>
  <c r="V101" i="59"/>
  <c r="U101" i="59"/>
  <c r="T101" i="59"/>
  <c r="X101" i="59" s="1"/>
  <c r="R101" i="59"/>
  <c r="S101" i="59" s="1"/>
  <c r="D101" i="59"/>
  <c r="AA101" i="59" s="1"/>
  <c r="V100" i="59"/>
  <c r="U100" i="59"/>
  <c r="T100" i="59"/>
  <c r="R100" i="59"/>
  <c r="S100" i="59" s="1"/>
  <c r="P100" i="59"/>
  <c r="P101" i="59" s="1"/>
  <c r="D100" i="59"/>
  <c r="AA100" i="59" s="1"/>
  <c r="X99" i="59"/>
  <c r="W99" i="59"/>
  <c r="Y99" i="59" s="1"/>
  <c r="R99" i="59"/>
  <c r="S99" i="59" s="1"/>
  <c r="P99" i="59"/>
  <c r="F99" i="59"/>
  <c r="D99" i="59"/>
  <c r="AA99" i="59" s="1"/>
  <c r="X98" i="59"/>
  <c r="W98" i="59"/>
  <c r="Y98" i="59" s="1"/>
  <c r="R98" i="59"/>
  <c r="S98" i="59" s="1"/>
  <c r="F98" i="59"/>
  <c r="N98" i="59" s="1"/>
  <c r="D98" i="59"/>
  <c r="AA98" i="59" s="1"/>
  <c r="X97" i="59"/>
  <c r="W97" i="59"/>
  <c r="Y97" i="59" s="1"/>
  <c r="R97" i="59"/>
  <c r="S97" i="59" s="1"/>
  <c r="P97" i="59"/>
  <c r="P98" i="59" s="1"/>
  <c r="F97" i="59"/>
  <c r="AB97" i="59" s="1"/>
  <c r="D97" i="59"/>
  <c r="AA97" i="59" s="1"/>
  <c r="X96" i="59"/>
  <c r="W96" i="59"/>
  <c r="Y96" i="59" s="1"/>
  <c r="R96" i="59"/>
  <c r="S96" i="59" s="1"/>
  <c r="F96" i="59"/>
  <c r="AB96" i="59" s="1"/>
  <c r="D96" i="59"/>
  <c r="AA96" i="59" s="1"/>
  <c r="X95" i="59"/>
  <c r="W95" i="59"/>
  <c r="R95" i="59"/>
  <c r="S95" i="59" s="1"/>
  <c r="F95" i="59"/>
  <c r="AB95" i="59" s="1"/>
  <c r="D95" i="59"/>
  <c r="AA95" i="59" s="1"/>
  <c r="X94" i="59"/>
  <c r="W94" i="59"/>
  <c r="R94" i="59"/>
  <c r="S94" i="59" s="1"/>
  <c r="F94" i="59"/>
  <c r="AB94" i="59" s="1"/>
  <c r="D94" i="59"/>
  <c r="AA94" i="59" s="1"/>
  <c r="X93" i="59"/>
  <c r="W93" i="59"/>
  <c r="R93" i="59"/>
  <c r="S93" i="59" s="1"/>
  <c r="F93" i="59"/>
  <c r="AB93" i="59" s="1"/>
  <c r="D93" i="59"/>
  <c r="AA93" i="59" s="1"/>
  <c r="X92" i="59"/>
  <c r="W92" i="59"/>
  <c r="Y92" i="59" s="1"/>
  <c r="R92" i="59"/>
  <c r="S92" i="59" s="1"/>
  <c r="F92" i="59"/>
  <c r="AB92" i="59" s="1"/>
  <c r="D92" i="59"/>
  <c r="AA92" i="59" s="1"/>
  <c r="X91" i="59"/>
  <c r="W91" i="59"/>
  <c r="Y91" i="59" s="1"/>
  <c r="R91" i="59"/>
  <c r="S91" i="59" s="1"/>
  <c r="F91" i="59"/>
  <c r="AB91" i="59" s="1"/>
  <c r="D91" i="59"/>
  <c r="AA91" i="59" s="1"/>
  <c r="X90" i="59"/>
  <c r="W90" i="59"/>
  <c r="Y90" i="59" s="1"/>
  <c r="R90" i="59"/>
  <c r="S90" i="59" s="1"/>
  <c r="P90" i="59"/>
  <c r="P91" i="59" s="1"/>
  <c r="P92" i="59" s="1"/>
  <c r="P93" i="59" s="1"/>
  <c r="P94" i="59" s="1"/>
  <c r="P95" i="59" s="1"/>
  <c r="P96" i="59" s="1"/>
  <c r="F90" i="59"/>
  <c r="AB90" i="59" s="1"/>
  <c r="D90" i="59"/>
  <c r="AA90" i="59" s="1"/>
  <c r="X89" i="59"/>
  <c r="W89" i="59"/>
  <c r="Y89" i="59" s="1"/>
  <c r="R89" i="59"/>
  <c r="S89" i="59" s="1"/>
  <c r="F89" i="59"/>
  <c r="N89" i="59" s="1"/>
  <c r="D89" i="59"/>
  <c r="AA89" i="59" s="1"/>
  <c r="X88" i="59"/>
  <c r="W88" i="59"/>
  <c r="Y88" i="59" s="1"/>
  <c r="R88" i="59"/>
  <c r="S88" i="59" s="1"/>
  <c r="F88" i="59"/>
  <c r="AB88" i="59" s="1"/>
  <c r="D88" i="59"/>
  <c r="AA88" i="59" s="1"/>
  <c r="P88" i="59"/>
  <c r="P89" i="59" s="1"/>
  <c r="X87" i="59"/>
  <c r="W87" i="59"/>
  <c r="R87" i="59"/>
  <c r="S87" i="59" s="1"/>
  <c r="F87" i="59"/>
  <c r="AB87" i="59" s="1"/>
  <c r="D87" i="59"/>
  <c r="AA87" i="59" s="1"/>
  <c r="X86" i="59"/>
  <c r="W86" i="59"/>
  <c r="R86" i="59"/>
  <c r="S86" i="59" s="1"/>
  <c r="F86" i="59"/>
  <c r="AB86" i="59" s="1"/>
  <c r="D86" i="59"/>
  <c r="AA86" i="59" s="1"/>
  <c r="X85" i="59"/>
  <c r="W85" i="59"/>
  <c r="Y85" i="59" s="1"/>
  <c r="R85" i="59"/>
  <c r="S85" i="59" s="1"/>
  <c r="P85" i="59"/>
  <c r="P86" i="59" s="1"/>
  <c r="P87" i="59" s="1"/>
  <c r="F85" i="59"/>
  <c r="AB85" i="59" s="1"/>
  <c r="D85" i="59"/>
  <c r="AA85" i="59" s="1"/>
  <c r="X84" i="59"/>
  <c r="W84" i="59"/>
  <c r="R84" i="59"/>
  <c r="S84" i="59" s="1"/>
  <c r="F84" i="59"/>
  <c r="AB84" i="59" s="1"/>
  <c r="D84" i="59"/>
  <c r="AA84" i="59" s="1"/>
  <c r="X83" i="59"/>
  <c r="W83" i="59"/>
  <c r="Y83" i="59" s="1"/>
  <c r="R83" i="59"/>
  <c r="S83" i="59" s="1"/>
  <c r="F83" i="59"/>
  <c r="AB83" i="59" s="1"/>
  <c r="D83" i="59"/>
  <c r="AA83" i="59" s="1"/>
  <c r="X82" i="59"/>
  <c r="W82" i="59"/>
  <c r="R82" i="59"/>
  <c r="S82" i="59" s="1"/>
  <c r="P82" i="59"/>
  <c r="P83" i="59" s="1"/>
  <c r="P84" i="59" s="1"/>
  <c r="F82" i="59"/>
  <c r="AB82" i="59" s="1"/>
  <c r="D82" i="59"/>
  <c r="AA82" i="59" s="1"/>
  <c r="X81" i="59"/>
  <c r="W81" i="59"/>
  <c r="Y81" i="59" s="1"/>
  <c r="R81" i="59"/>
  <c r="S81" i="59" s="1"/>
  <c r="F81" i="59"/>
  <c r="AB81" i="59" s="1"/>
  <c r="D81" i="59"/>
  <c r="AA81" i="59" s="1"/>
  <c r="X80" i="59"/>
  <c r="W80" i="59"/>
  <c r="R80" i="59"/>
  <c r="S80" i="59" s="1"/>
  <c r="F80" i="59"/>
  <c r="AB80" i="59" s="1"/>
  <c r="D80" i="59"/>
  <c r="AA80" i="59" s="1"/>
  <c r="X79" i="59"/>
  <c r="W79" i="59"/>
  <c r="Y79" i="59" s="1"/>
  <c r="R79" i="59"/>
  <c r="S79" i="59" s="1"/>
  <c r="F79" i="59"/>
  <c r="N79" i="59" s="1"/>
  <c r="D79" i="59"/>
  <c r="AA79" i="59" s="1"/>
  <c r="X78" i="59"/>
  <c r="W78" i="59"/>
  <c r="R78" i="59"/>
  <c r="S78" i="59" s="1"/>
  <c r="P78" i="59"/>
  <c r="P79" i="59" s="1"/>
  <c r="P80" i="59" s="1"/>
  <c r="P81" i="59" s="1"/>
  <c r="F78" i="59"/>
  <c r="AB78" i="59" s="1"/>
  <c r="D78" i="59"/>
  <c r="AA78" i="59" s="1"/>
  <c r="X77" i="59"/>
  <c r="W77" i="59"/>
  <c r="Y77" i="59" s="1"/>
  <c r="R77" i="59"/>
  <c r="S77" i="59" s="1"/>
  <c r="F77" i="59"/>
  <c r="N77" i="59" s="1"/>
  <c r="D77" i="59"/>
  <c r="AA77" i="59" s="1"/>
  <c r="X76" i="59"/>
  <c r="W76" i="59"/>
  <c r="R76" i="59"/>
  <c r="S76" i="59" s="1"/>
  <c r="F76" i="59"/>
  <c r="AB76" i="59" s="1"/>
  <c r="D76" i="59"/>
  <c r="AA76" i="59" s="1"/>
  <c r="X75" i="59"/>
  <c r="W75" i="59"/>
  <c r="Y75" i="59" s="1"/>
  <c r="R75" i="59"/>
  <c r="S75" i="59" s="1"/>
  <c r="F75" i="59"/>
  <c r="D75" i="59"/>
  <c r="AA75" i="59" s="1"/>
  <c r="X74" i="59"/>
  <c r="W74" i="59"/>
  <c r="R74" i="59"/>
  <c r="S74" i="59" s="1"/>
  <c r="F74" i="59"/>
  <c r="AB74" i="59" s="1"/>
  <c r="D74" i="59"/>
  <c r="AA74" i="59" s="1"/>
  <c r="X73" i="59"/>
  <c r="W73" i="59"/>
  <c r="Y73" i="59" s="1"/>
  <c r="R73" i="59"/>
  <c r="S73" i="59" s="1"/>
  <c r="F73" i="59"/>
  <c r="N73" i="59" s="1"/>
  <c r="D73" i="59"/>
  <c r="AA73" i="59" s="1"/>
  <c r="X72" i="59"/>
  <c r="W72" i="59"/>
  <c r="R72" i="59"/>
  <c r="S72" i="59" s="1"/>
  <c r="F72" i="59"/>
  <c r="AB72" i="59" s="1"/>
  <c r="D72" i="59"/>
  <c r="AA72" i="59" s="1"/>
  <c r="X71" i="59"/>
  <c r="W71" i="59"/>
  <c r="R71" i="59"/>
  <c r="S71" i="59" s="1"/>
  <c r="F71" i="59"/>
  <c r="AB71" i="59" s="1"/>
  <c r="D71" i="59"/>
  <c r="AA71" i="59" s="1"/>
  <c r="X70" i="59"/>
  <c r="W70" i="59"/>
  <c r="R70" i="59"/>
  <c r="S70" i="59" s="1"/>
  <c r="F70" i="59"/>
  <c r="AB70" i="59" s="1"/>
  <c r="D70" i="59"/>
  <c r="AA70" i="59" s="1"/>
  <c r="X69" i="59"/>
  <c r="W69" i="59"/>
  <c r="Y69" i="59" s="1"/>
  <c r="R69" i="59"/>
  <c r="S69" i="59" s="1"/>
  <c r="F69" i="59"/>
  <c r="N69" i="59" s="1"/>
  <c r="D69" i="59"/>
  <c r="AA69" i="59" s="1"/>
  <c r="X68" i="59"/>
  <c r="W68" i="59"/>
  <c r="R68" i="59"/>
  <c r="S68" i="59" s="1"/>
  <c r="P68" i="59"/>
  <c r="P69" i="59" s="1"/>
  <c r="P70" i="59" s="1"/>
  <c r="P71" i="59" s="1"/>
  <c r="P72" i="59" s="1"/>
  <c r="P73" i="59" s="1"/>
  <c r="P74" i="59" s="1"/>
  <c r="P75" i="59" s="1"/>
  <c r="P76" i="59" s="1"/>
  <c r="P77" i="59" s="1"/>
  <c r="F68" i="59"/>
  <c r="AB68" i="59" s="1"/>
  <c r="D68" i="59"/>
  <c r="AA68" i="59" s="1"/>
  <c r="X67" i="59"/>
  <c r="W67" i="59"/>
  <c r="R67" i="59"/>
  <c r="S67" i="59" s="1"/>
  <c r="F67" i="59"/>
  <c r="AB67" i="59" s="1"/>
  <c r="D67" i="59"/>
  <c r="AA67" i="59" s="1"/>
  <c r="X66" i="59"/>
  <c r="W66" i="59"/>
  <c r="Y66" i="59" s="1"/>
  <c r="R66" i="59"/>
  <c r="S66" i="59" s="1"/>
  <c r="F66" i="59"/>
  <c r="N66" i="59" s="1"/>
  <c r="D66" i="59"/>
  <c r="AA66" i="59" s="1"/>
  <c r="X65" i="59"/>
  <c r="W65" i="59"/>
  <c r="Y65" i="59" s="1"/>
  <c r="R65" i="59"/>
  <c r="S65" i="59" s="1"/>
  <c r="F65" i="59"/>
  <c r="AB65" i="59" s="1"/>
  <c r="D65" i="59"/>
  <c r="AA65" i="59" s="1"/>
  <c r="X64" i="59"/>
  <c r="W64" i="59"/>
  <c r="R64" i="59"/>
  <c r="S64" i="59" s="1"/>
  <c r="P64" i="59"/>
  <c r="P65" i="59" s="1"/>
  <c r="P66" i="59" s="1"/>
  <c r="P67" i="59" s="1"/>
  <c r="F64" i="59"/>
  <c r="AB64" i="59" s="1"/>
  <c r="D64" i="59"/>
  <c r="AA64" i="59" s="1"/>
  <c r="X63" i="59"/>
  <c r="W63" i="59"/>
  <c r="R63" i="59"/>
  <c r="S63" i="59" s="1"/>
  <c r="F63" i="59"/>
  <c r="AB63" i="59" s="1"/>
  <c r="D63" i="59"/>
  <c r="AA63" i="59" s="1"/>
  <c r="X62" i="59"/>
  <c r="W62" i="59"/>
  <c r="Y62" i="59" s="1"/>
  <c r="R62" i="59"/>
  <c r="S62" i="59" s="1"/>
  <c r="P62" i="59"/>
  <c r="P63" i="59" s="1"/>
  <c r="F62" i="59"/>
  <c r="N62" i="59" s="1"/>
  <c r="D62" i="59"/>
  <c r="AA62" i="59" s="1"/>
  <c r="X61" i="59"/>
  <c r="W61" i="59"/>
  <c r="R61" i="59"/>
  <c r="S61" i="59" s="1"/>
  <c r="F61" i="59"/>
  <c r="AB61" i="59" s="1"/>
  <c r="D61" i="59"/>
  <c r="AA61" i="59" s="1"/>
  <c r="X60" i="59"/>
  <c r="W60" i="59"/>
  <c r="Y60" i="59" s="1"/>
  <c r="R60" i="59"/>
  <c r="S60" i="59" s="1"/>
  <c r="P60" i="59"/>
  <c r="P61" i="59" s="1"/>
  <c r="F60" i="59"/>
  <c r="N60" i="59" s="1"/>
  <c r="D60" i="59"/>
  <c r="AA60" i="59" s="1"/>
  <c r="X59" i="59"/>
  <c r="W59" i="59"/>
  <c r="R59" i="59"/>
  <c r="S59" i="59" s="1"/>
  <c r="P59" i="59"/>
  <c r="F59" i="59"/>
  <c r="AB59" i="59" s="1"/>
  <c r="D59" i="59"/>
  <c r="AA59" i="59" s="1"/>
  <c r="X58" i="59"/>
  <c r="W58" i="59"/>
  <c r="Y58" i="59" s="1"/>
  <c r="R58" i="59"/>
  <c r="S58" i="59" s="1"/>
  <c r="P58" i="59"/>
  <c r="F58" i="59"/>
  <c r="N58" i="59" s="1"/>
  <c r="D58" i="59"/>
  <c r="AA58" i="59" s="1"/>
  <c r="X57" i="59"/>
  <c r="W57" i="59"/>
  <c r="Y57" i="59" s="1"/>
  <c r="R57" i="59"/>
  <c r="S57" i="59" s="1"/>
  <c r="P57" i="59"/>
  <c r="F57" i="59"/>
  <c r="AB57" i="59" s="1"/>
  <c r="D57" i="59"/>
  <c r="AA57" i="59" s="1"/>
  <c r="X56" i="59"/>
  <c r="W56" i="59"/>
  <c r="R56" i="59"/>
  <c r="S56" i="59" s="1"/>
  <c r="F56" i="59"/>
  <c r="AB56" i="59" s="1"/>
  <c r="D56" i="59"/>
  <c r="AA56" i="59" s="1"/>
  <c r="X55" i="59"/>
  <c r="W55" i="59"/>
  <c r="R55" i="59"/>
  <c r="S55" i="59" s="1"/>
  <c r="P55" i="59"/>
  <c r="P56" i="59" s="1"/>
  <c r="F55" i="59"/>
  <c r="D55" i="59"/>
  <c r="AA55" i="59" s="1"/>
  <c r="X54" i="59"/>
  <c r="W54" i="59"/>
  <c r="Y54" i="59" s="1"/>
  <c r="R54" i="59"/>
  <c r="S54" i="59" s="1"/>
  <c r="F54" i="59"/>
  <c r="AB54" i="59" s="1"/>
  <c r="D54" i="59"/>
  <c r="AA54" i="59" s="1"/>
  <c r="X53" i="59"/>
  <c r="W53" i="59"/>
  <c r="Y53" i="59" s="1"/>
  <c r="R53" i="59"/>
  <c r="S53" i="59" s="1"/>
  <c r="F53" i="59"/>
  <c r="D53" i="59"/>
  <c r="AA53" i="59" s="1"/>
  <c r="X52" i="59"/>
  <c r="W52" i="59"/>
  <c r="Y52" i="59" s="1"/>
  <c r="R52" i="59"/>
  <c r="S52" i="59" s="1"/>
  <c r="P52" i="59"/>
  <c r="P53" i="59" s="1"/>
  <c r="P54" i="59" s="1"/>
  <c r="F52" i="59"/>
  <c r="AB52" i="59" s="1"/>
  <c r="D52" i="59"/>
  <c r="AA52" i="59" s="1"/>
  <c r="X51" i="59"/>
  <c r="W51" i="59"/>
  <c r="Y51" i="59" s="1"/>
  <c r="R51" i="59"/>
  <c r="S51" i="59" s="1"/>
  <c r="P51" i="59"/>
  <c r="F51" i="59"/>
  <c r="D51" i="59"/>
  <c r="AA51" i="59" s="1"/>
  <c r="X50" i="59"/>
  <c r="W50" i="59"/>
  <c r="Y50" i="59" s="1"/>
  <c r="R50" i="59"/>
  <c r="S50" i="59" s="1"/>
  <c r="P50" i="59"/>
  <c r="F50" i="59"/>
  <c r="D50" i="59"/>
  <c r="AA50" i="59" s="1"/>
  <c r="X49" i="59"/>
  <c r="W49" i="59"/>
  <c r="Y49" i="59" s="1"/>
  <c r="R49" i="59"/>
  <c r="S49" i="59" s="1"/>
  <c r="F49" i="59"/>
  <c r="AB49" i="59" s="1"/>
  <c r="D49" i="59"/>
  <c r="AA49" i="59" s="1"/>
  <c r="X48" i="59"/>
  <c r="W48" i="59"/>
  <c r="Y48" i="59" s="1"/>
  <c r="R48" i="59"/>
  <c r="S48" i="59" s="1"/>
  <c r="F48" i="59"/>
  <c r="D48" i="59"/>
  <c r="AA48" i="59" s="1"/>
  <c r="X47" i="59"/>
  <c r="W47" i="59"/>
  <c r="Y47" i="59" s="1"/>
  <c r="R47" i="59"/>
  <c r="S47" i="59" s="1"/>
  <c r="F47" i="59"/>
  <c r="N47" i="59" s="1"/>
  <c r="D47" i="59"/>
  <c r="AA47" i="59" s="1"/>
  <c r="X46" i="59"/>
  <c r="W46" i="59"/>
  <c r="Y46" i="59" s="1"/>
  <c r="R46" i="59"/>
  <c r="S46" i="59" s="1"/>
  <c r="P46" i="59"/>
  <c r="P47" i="59" s="1"/>
  <c r="P48" i="59" s="1"/>
  <c r="P49" i="59" s="1"/>
  <c r="F46" i="59"/>
  <c r="D46" i="59"/>
  <c r="AA46" i="59" s="1"/>
  <c r="X45" i="59"/>
  <c r="W45" i="59"/>
  <c r="R45" i="59"/>
  <c r="S45" i="59" s="1"/>
  <c r="F45" i="59"/>
  <c r="AB45" i="59" s="1"/>
  <c r="D45" i="59"/>
  <c r="AA45" i="59" s="1"/>
  <c r="X44" i="59"/>
  <c r="W44" i="59"/>
  <c r="R44" i="59"/>
  <c r="S44" i="59" s="1"/>
  <c r="P44" i="59"/>
  <c r="P45" i="59" s="1"/>
  <c r="F44" i="59"/>
  <c r="AB44" i="59" s="1"/>
  <c r="D44" i="59"/>
  <c r="AA44" i="59" s="1"/>
  <c r="X43" i="59"/>
  <c r="W43" i="59"/>
  <c r="R43" i="59"/>
  <c r="S43" i="59" s="1"/>
  <c r="F43" i="59"/>
  <c r="AB43" i="59" s="1"/>
  <c r="D43" i="59"/>
  <c r="AA43" i="59" s="1"/>
  <c r="P43" i="59"/>
  <c r="X42" i="59"/>
  <c r="W42" i="59"/>
  <c r="R42" i="59"/>
  <c r="S42" i="59" s="1"/>
  <c r="P42" i="59"/>
  <c r="F42" i="59"/>
  <c r="AB42" i="59" s="1"/>
  <c r="D42" i="59"/>
  <c r="AA42" i="59" s="1"/>
  <c r="X41" i="59"/>
  <c r="W41" i="59"/>
  <c r="Y41" i="59" s="1"/>
  <c r="R41" i="59"/>
  <c r="S41" i="59" s="1"/>
  <c r="F41" i="59"/>
  <c r="AB41" i="59" s="1"/>
  <c r="D41" i="59"/>
  <c r="AA41" i="59" s="1"/>
  <c r="P41" i="59"/>
  <c r="X40" i="59"/>
  <c r="W40" i="59"/>
  <c r="Y40" i="59" s="1"/>
  <c r="R40" i="59"/>
  <c r="S40" i="59" s="1"/>
  <c r="F40" i="59"/>
  <c r="AB40" i="59" s="1"/>
  <c r="D40" i="59"/>
  <c r="AA40" i="59" s="1"/>
  <c r="X39" i="59"/>
  <c r="W39" i="59"/>
  <c r="R39" i="59"/>
  <c r="S39" i="59" s="1"/>
  <c r="F39" i="59"/>
  <c r="AB39" i="59" s="1"/>
  <c r="D39" i="59"/>
  <c r="AA39" i="59" s="1"/>
  <c r="X38" i="59"/>
  <c r="W38" i="59"/>
  <c r="Y38" i="59" s="1"/>
  <c r="R38" i="59"/>
  <c r="S38" i="59" s="1"/>
  <c r="P38" i="59"/>
  <c r="P39" i="59" s="1"/>
  <c r="P40" i="59" s="1"/>
  <c r="F38" i="59"/>
  <c r="AB38" i="59" s="1"/>
  <c r="D38" i="59"/>
  <c r="AA38" i="59" s="1"/>
  <c r="X37" i="59"/>
  <c r="W37" i="59"/>
  <c r="R37" i="59"/>
  <c r="S37" i="59" s="1"/>
  <c r="P37" i="59"/>
  <c r="F37" i="59"/>
  <c r="AB37" i="59" s="1"/>
  <c r="D37" i="59"/>
  <c r="AA37" i="59" s="1"/>
  <c r="X36" i="59"/>
  <c r="W36" i="59"/>
  <c r="Y36" i="59" s="1"/>
  <c r="R36" i="59"/>
  <c r="S36" i="59" s="1"/>
  <c r="P36" i="59"/>
  <c r="F36" i="59"/>
  <c r="AB36" i="59" s="1"/>
  <c r="D36" i="59"/>
  <c r="AA36" i="59" s="1"/>
  <c r="X35" i="59"/>
  <c r="W35" i="59"/>
  <c r="Y35" i="59" s="1"/>
  <c r="R35" i="59"/>
  <c r="S35" i="59" s="1"/>
  <c r="P35" i="59"/>
  <c r="F35" i="59"/>
  <c r="AB35" i="59" s="1"/>
  <c r="D35" i="59"/>
  <c r="AA35" i="59" s="1"/>
  <c r="X34" i="59"/>
  <c r="W34" i="59"/>
  <c r="R34" i="59"/>
  <c r="S34" i="59" s="1"/>
  <c r="P34" i="59"/>
  <c r="F34" i="59"/>
  <c r="AB34" i="59" s="1"/>
  <c r="D34" i="59"/>
  <c r="AA34" i="59" s="1"/>
  <c r="X33" i="59"/>
  <c r="W33" i="59"/>
  <c r="Y33" i="59" s="1"/>
  <c r="R33" i="59"/>
  <c r="S33" i="59" s="1"/>
  <c r="P33" i="59"/>
  <c r="F33" i="59"/>
  <c r="AB33" i="59" s="1"/>
  <c r="D33" i="59"/>
  <c r="AA33" i="59" s="1"/>
  <c r="X32" i="59"/>
  <c r="W32" i="59"/>
  <c r="R32" i="59"/>
  <c r="S32" i="59" s="1"/>
  <c r="F32" i="59"/>
  <c r="AB32" i="59" s="1"/>
  <c r="D32" i="59"/>
  <c r="AA32" i="59" s="1"/>
  <c r="X31" i="59"/>
  <c r="W31" i="59"/>
  <c r="R31" i="59"/>
  <c r="S31" i="59" s="1"/>
  <c r="F31" i="59"/>
  <c r="AB31" i="59" s="1"/>
  <c r="D31" i="59"/>
  <c r="AA31" i="59" s="1"/>
  <c r="P31" i="59"/>
  <c r="P32" i="59" s="1"/>
  <c r="X30" i="59"/>
  <c r="W30" i="59"/>
  <c r="Y30" i="59" s="1"/>
  <c r="R30" i="59"/>
  <c r="S30" i="59" s="1"/>
  <c r="P30" i="59"/>
  <c r="F30" i="59"/>
  <c r="AB30" i="59" s="1"/>
  <c r="D30" i="59"/>
  <c r="AA30" i="59" s="1"/>
  <c r="X29" i="59"/>
  <c r="W29" i="59"/>
  <c r="Y29" i="59" s="1"/>
  <c r="R29" i="59"/>
  <c r="S29" i="59" s="1"/>
  <c r="F29" i="59"/>
  <c r="AB29" i="59" s="1"/>
  <c r="D29" i="59"/>
  <c r="AA29" i="59" s="1"/>
  <c r="X28" i="59"/>
  <c r="W28" i="59"/>
  <c r="Y28" i="59" s="1"/>
  <c r="R28" i="59"/>
  <c r="S28" i="59" s="1"/>
  <c r="F28" i="59"/>
  <c r="AB28" i="59" s="1"/>
  <c r="D28" i="59"/>
  <c r="AA28" i="59" s="1"/>
  <c r="P28" i="59"/>
  <c r="P29" i="59" s="1"/>
  <c r="X27" i="59"/>
  <c r="W27" i="59"/>
  <c r="R27" i="59"/>
  <c r="S27" i="59" s="1"/>
  <c r="F27" i="59"/>
  <c r="AB27" i="59" s="1"/>
  <c r="D27" i="59"/>
  <c r="AA27" i="59" s="1"/>
  <c r="X26" i="59"/>
  <c r="W26" i="59"/>
  <c r="Y26" i="59" s="1"/>
  <c r="R26" i="59"/>
  <c r="S26" i="59" s="1"/>
  <c r="F26" i="59"/>
  <c r="AB26" i="59" s="1"/>
  <c r="D26" i="59"/>
  <c r="AA26" i="59" s="1"/>
  <c r="X25" i="59"/>
  <c r="W25" i="59"/>
  <c r="R25" i="59"/>
  <c r="S25" i="59" s="1"/>
  <c r="F25" i="59"/>
  <c r="AB25" i="59" s="1"/>
  <c r="D25" i="59"/>
  <c r="AA25" i="59" s="1"/>
  <c r="X24" i="59"/>
  <c r="W24" i="59"/>
  <c r="Y24" i="59" s="1"/>
  <c r="R24" i="59"/>
  <c r="S24" i="59" s="1"/>
  <c r="P24" i="59"/>
  <c r="P25" i="59" s="1"/>
  <c r="P26" i="59" s="1"/>
  <c r="P27" i="59" s="1"/>
  <c r="F24" i="59"/>
  <c r="AB24" i="59" s="1"/>
  <c r="D24" i="59"/>
  <c r="AA24" i="59" s="1"/>
  <c r="X23" i="59"/>
  <c r="W23" i="59"/>
  <c r="Y23" i="59" s="1"/>
  <c r="R23" i="59"/>
  <c r="S23" i="59" s="1"/>
  <c r="P23" i="59"/>
  <c r="F23" i="59"/>
  <c r="AB23" i="59" s="1"/>
  <c r="D23" i="59"/>
  <c r="AA23" i="59" s="1"/>
  <c r="X22" i="59"/>
  <c r="W22" i="59"/>
  <c r="Y22" i="59" s="1"/>
  <c r="R22" i="59"/>
  <c r="S22" i="59" s="1"/>
  <c r="P22" i="59"/>
  <c r="F22" i="59"/>
  <c r="AB22" i="59" s="1"/>
  <c r="D22" i="59"/>
  <c r="AA22" i="59" s="1"/>
  <c r="X21" i="59"/>
  <c r="W21" i="59"/>
  <c r="R21" i="59"/>
  <c r="S21" i="59" s="1"/>
  <c r="P21" i="59"/>
  <c r="F21" i="59"/>
  <c r="AB21" i="59" s="1"/>
  <c r="D21" i="59"/>
  <c r="AA21" i="59" s="1"/>
  <c r="X20" i="59"/>
  <c r="W20" i="59"/>
  <c r="Y20" i="59" s="1"/>
  <c r="R20" i="59"/>
  <c r="S20" i="59" s="1"/>
  <c r="F20" i="59"/>
  <c r="AB20" i="59" s="1"/>
  <c r="D20" i="59"/>
  <c r="AA20" i="59" s="1"/>
  <c r="X19" i="59"/>
  <c r="W19" i="59"/>
  <c r="R19" i="59"/>
  <c r="S19" i="59" s="1"/>
  <c r="P19" i="59"/>
  <c r="P20" i="59" s="1"/>
  <c r="F19" i="59"/>
  <c r="AB19" i="59" s="1"/>
  <c r="D19" i="59"/>
  <c r="AA19" i="59" s="1"/>
  <c r="X18" i="59"/>
  <c r="W18" i="59"/>
  <c r="Y18" i="59" s="1"/>
  <c r="R18" i="59"/>
  <c r="S18" i="59" s="1"/>
  <c r="F18" i="59"/>
  <c r="AB18" i="59" s="1"/>
  <c r="D18" i="59"/>
  <c r="AA18" i="59" s="1"/>
  <c r="X17" i="59"/>
  <c r="W17" i="59"/>
  <c r="Y17" i="59" s="1"/>
  <c r="R17" i="59"/>
  <c r="S17" i="59" s="1"/>
  <c r="P17" i="59"/>
  <c r="P18" i="59" s="1"/>
  <c r="F17" i="59"/>
  <c r="AB17" i="59" s="1"/>
  <c r="D17" i="59"/>
  <c r="AA17" i="59" s="1"/>
  <c r="X16" i="59"/>
  <c r="W16" i="59"/>
  <c r="R16" i="59"/>
  <c r="S16" i="59" s="1"/>
  <c r="P16" i="59"/>
  <c r="F16" i="59"/>
  <c r="AB16" i="59" s="1"/>
  <c r="D16" i="59"/>
  <c r="AA16" i="59" s="1"/>
  <c r="X15" i="59"/>
  <c r="W15" i="59"/>
  <c r="Y15" i="59" s="1"/>
  <c r="R15" i="59"/>
  <c r="S15" i="59" s="1"/>
  <c r="F15" i="59"/>
  <c r="AB15" i="59" s="1"/>
  <c r="D15" i="59"/>
  <c r="AA15" i="59" s="1"/>
  <c r="X14" i="59"/>
  <c r="W14" i="59"/>
  <c r="Y14" i="59" s="1"/>
  <c r="R14" i="59"/>
  <c r="S14" i="59" s="1"/>
  <c r="P14" i="59"/>
  <c r="P146" i="59" s="1"/>
  <c r="F14" i="59"/>
  <c r="AB14" i="59" s="1"/>
  <c r="D14" i="59"/>
  <c r="AA14" i="59" s="1"/>
  <c r="A657" i="57"/>
  <c r="A656" i="57"/>
  <c r="A655" i="57"/>
  <c r="A654" i="57"/>
  <c r="A653" i="57"/>
  <c r="A652" i="57"/>
  <c r="A651" i="57"/>
  <c r="A650" i="57"/>
  <c r="O648" i="57"/>
  <c r="M648" i="57"/>
  <c r="K648" i="57"/>
  <c r="B648" i="57"/>
  <c r="AB143" i="57"/>
  <c r="AB67" i="57"/>
  <c r="D644" i="56"/>
  <c r="E644" i="56"/>
  <c r="D645" i="56"/>
  <c r="E645" i="56"/>
  <c r="D646" i="56"/>
  <c r="E646" i="56"/>
  <c r="D636" i="56"/>
  <c r="E636" i="56"/>
  <c r="D637" i="56"/>
  <c r="E637" i="56"/>
  <c r="D638" i="56"/>
  <c r="E638" i="56"/>
  <c r="D639" i="56"/>
  <c r="E639" i="56"/>
  <c r="D640" i="56"/>
  <c r="E640" i="56"/>
  <c r="D641" i="56"/>
  <c r="E641" i="56"/>
  <c r="D642" i="56"/>
  <c r="E642" i="56"/>
  <c r="D643" i="56"/>
  <c r="E643" i="56"/>
  <c r="D624" i="56"/>
  <c r="E624" i="56"/>
  <c r="D625" i="56"/>
  <c r="E625" i="56"/>
  <c r="D626" i="56"/>
  <c r="E626" i="56"/>
  <c r="D627" i="56"/>
  <c r="E627" i="56"/>
  <c r="D628" i="56"/>
  <c r="E628" i="56"/>
  <c r="D629" i="56"/>
  <c r="E629" i="56"/>
  <c r="D630" i="56"/>
  <c r="E630" i="56"/>
  <c r="D631" i="56"/>
  <c r="E631" i="56"/>
  <c r="D632" i="56"/>
  <c r="E632" i="56"/>
  <c r="D633" i="56"/>
  <c r="E633" i="56"/>
  <c r="D634" i="56"/>
  <c r="E634" i="56"/>
  <c r="D635" i="56"/>
  <c r="E635" i="56"/>
  <c r="D610" i="56"/>
  <c r="E610" i="56"/>
  <c r="D611" i="56"/>
  <c r="E611" i="56"/>
  <c r="D612" i="56"/>
  <c r="E612" i="56"/>
  <c r="D613" i="56"/>
  <c r="E613" i="56"/>
  <c r="D614" i="56"/>
  <c r="E614" i="56"/>
  <c r="D615" i="56"/>
  <c r="E615" i="56"/>
  <c r="D616" i="56"/>
  <c r="E616" i="56"/>
  <c r="D617" i="56"/>
  <c r="E617" i="56"/>
  <c r="D618" i="56"/>
  <c r="E618" i="56"/>
  <c r="D619" i="56"/>
  <c r="E619" i="56"/>
  <c r="D620" i="56"/>
  <c r="E620" i="56"/>
  <c r="D621" i="56"/>
  <c r="E621" i="56"/>
  <c r="D622" i="56"/>
  <c r="E622" i="56"/>
  <c r="D623" i="56"/>
  <c r="E623" i="56"/>
  <c r="F619" i="55"/>
  <c r="N619" i="62" s="1"/>
  <c r="R619" i="55"/>
  <c r="W619" i="55"/>
  <c r="X619" i="55"/>
  <c r="F416" i="55"/>
  <c r="N416" i="62" s="1"/>
  <c r="F415" i="55"/>
  <c r="N415" i="62" s="1"/>
  <c r="F446" i="55"/>
  <c r="N446" i="62" s="1"/>
  <c r="F447" i="55"/>
  <c r="N447" i="62" s="1"/>
  <c r="F448" i="55"/>
  <c r="N448" i="62" s="1"/>
  <c r="F449" i="55"/>
  <c r="N449" i="62" s="1"/>
  <c r="F450" i="55"/>
  <c r="N450" i="62" s="1"/>
  <c r="F451" i="55"/>
  <c r="N451" i="62" s="1"/>
  <c r="R446" i="55"/>
  <c r="W446" i="55"/>
  <c r="X446" i="55"/>
  <c r="R447" i="55"/>
  <c r="W447" i="55"/>
  <c r="X447" i="55"/>
  <c r="R448" i="55"/>
  <c r="W448" i="55"/>
  <c r="X448" i="55"/>
  <c r="R449" i="55"/>
  <c r="W449" i="55"/>
  <c r="X449" i="55"/>
  <c r="R450" i="55"/>
  <c r="W450" i="55"/>
  <c r="X450" i="55"/>
  <c r="R451" i="55"/>
  <c r="W451" i="55"/>
  <c r="X451" i="55"/>
  <c r="R415" i="55"/>
  <c r="W415" i="55"/>
  <c r="X415" i="55"/>
  <c r="R416" i="55"/>
  <c r="W416" i="55"/>
  <c r="X416" i="55"/>
  <c r="W355" i="55"/>
  <c r="X355" i="55"/>
  <c r="W356" i="55"/>
  <c r="X356" i="55"/>
  <c r="W357" i="55"/>
  <c r="X357" i="55"/>
  <c r="W358" i="55"/>
  <c r="X358" i="55"/>
  <c r="F353" i="55"/>
  <c r="N353" i="62" s="1"/>
  <c r="F354" i="55"/>
  <c r="N354" i="62" s="1"/>
  <c r="F355" i="55"/>
  <c r="N355" i="62" s="1"/>
  <c r="F356" i="55"/>
  <c r="N356" i="62" s="1"/>
  <c r="F357" i="55"/>
  <c r="N357" i="62" s="1"/>
  <c r="F358" i="55"/>
  <c r="N358" i="62" s="1"/>
  <c r="R354" i="55"/>
  <c r="W354" i="55"/>
  <c r="X354" i="55"/>
  <c r="R355" i="55"/>
  <c r="R356" i="55"/>
  <c r="R357" i="55"/>
  <c r="R358" i="55"/>
  <c r="R201" i="55"/>
  <c r="W201" i="55"/>
  <c r="X201" i="55"/>
  <c r="R202" i="55"/>
  <c r="W202" i="55"/>
  <c r="X202" i="55"/>
  <c r="R203" i="55"/>
  <c r="W203" i="55"/>
  <c r="X203" i="55"/>
  <c r="R204" i="55"/>
  <c r="W204" i="55"/>
  <c r="X204" i="55"/>
  <c r="R205" i="55"/>
  <c r="W205" i="55"/>
  <c r="X205" i="55"/>
  <c r="R206" i="55"/>
  <c r="W206" i="55"/>
  <c r="X206" i="55"/>
  <c r="R207" i="55"/>
  <c r="W207" i="55"/>
  <c r="X207" i="55"/>
  <c r="R208" i="55"/>
  <c r="W208" i="55"/>
  <c r="X208" i="55"/>
  <c r="F201" i="55"/>
  <c r="N201" i="62" s="1"/>
  <c r="F202" i="55"/>
  <c r="N202" i="62" s="1"/>
  <c r="F203" i="55"/>
  <c r="N203" i="62" s="1"/>
  <c r="F204" i="55"/>
  <c r="F205" i="55"/>
  <c r="N205" i="62" s="1"/>
  <c r="F206" i="55"/>
  <c r="N206" i="62" s="1"/>
  <c r="F207" i="55"/>
  <c r="N207" i="62" s="1"/>
  <c r="F208" i="55"/>
  <c r="N208" i="62" s="1"/>
  <c r="F176" i="55"/>
  <c r="R176" i="55"/>
  <c r="W176" i="55"/>
  <c r="X176" i="55"/>
  <c r="F71" i="55"/>
  <c r="F72" i="55"/>
  <c r="N72" i="62" s="1"/>
  <c r="R71" i="55"/>
  <c r="W71" i="55"/>
  <c r="X71" i="55"/>
  <c r="R72" i="55"/>
  <c r="W72" i="55"/>
  <c r="X72" i="55"/>
  <c r="AK29" i="57"/>
  <c r="AK81" i="57"/>
  <c r="AK108" i="57"/>
  <c r="AH14" i="57"/>
  <c r="AH24" i="57"/>
  <c r="AA34" i="57"/>
  <c r="AK36" i="57"/>
  <c r="AK64" i="57"/>
  <c r="AK170" i="57"/>
  <c r="AK51" i="57"/>
  <c r="AI17" i="57"/>
  <c r="AK171" i="57"/>
  <c r="AK58" i="57"/>
  <c r="AA39" i="57"/>
  <c r="AK127" i="57"/>
  <c r="AI25" i="57"/>
  <c r="AK138" i="57"/>
  <c r="AK90" i="57"/>
  <c r="AH30" i="57"/>
  <c r="AJ21" i="57"/>
  <c r="AK63" i="57"/>
  <c r="AJ20" i="57"/>
  <c r="AK93" i="57"/>
  <c r="AK135" i="57"/>
  <c r="AA29" i="57"/>
  <c r="AK79" i="57"/>
  <c r="AK72" i="57"/>
  <c r="AK99" i="57"/>
  <c r="AK169" i="57"/>
  <c r="AK53" i="57"/>
  <c r="AK167" i="57"/>
  <c r="AK65" i="57"/>
  <c r="AI29" i="57"/>
  <c r="AK24" i="57"/>
  <c r="AA35" i="57"/>
  <c r="AK40" i="57"/>
  <c r="AA36" i="57"/>
  <c r="AK173" i="57"/>
  <c r="AK48" i="57"/>
  <c r="AK111" i="57"/>
  <c r="AK153" i="57"/>
  <c r="AK104" i="57"/>
  <c r="AK106" i="57"/>
  <c r="AK28" i="57"/>
  <c r="AK76" i="57"/>
  <c r="AK146" i="57"/>
  <c r="AK128" i="57"/>
  <c r="AK82" i="57"/>
  <c r="AI15" i="57"/>
  <c r="AK50" i="57"/>
  <c r="AK172" i="57"/>
  <c r="AH20" i="57"/>
  <c r="AI19" i="57"/>
  <c r="AK150" i="57"/>
  <c r="AI22" i="57"/>
  <c r="AK52" i="57"/>
  <c r="AI27" i="57"/>
  <c r="AK45" i="57"/>
  <c r="AA33" i="57"/>
  <c r="AA25" i="57"/>
  <c r="AA42" i="57"/>
  <c r="AJ15" i="57"/>
  <c r="AK73" i="57"/>
  <c r="AK124" i="57"/>
  <c r="AK143" i="57"/>
  <c r="AK98" i="57"/>
  <c r="AK133" i="57"/>
  <c r="AK38" i="57"/>
  <c r="AK147" i="57"/>
  <c r="AK166" i="57"/>
  <c r="AA40" i="57"/>
  <c r="AK59" i="57"/>
  <c r="AI23" i="57"/>
  <c r="AK89" i="57"/>
  <c r="AK114" i="57"/>
  <c r="AK31" i="57"/>
  <c r="AK69" i="57"/>
  <c r="AK25" i="57"/>
  <c r="AK162" i="57"/>
  <c r="AJ19" i="57"/>
  <c r="AI26" i="57"/>
  <c r="AK103" i="57"/>
  <c r="AK178" i="57"/>
  <c r="AK105" i="57"/>
  <c r="AI13" i="57"/>
  <c r="AK155" i="57"/>
  <c r="AK34" i="57"/>
  <c r="AK37" i="57"/>
  <c r="AK55" i="57"/>
  <c r="AK68" i="57"/>
  <c r="AK168" i="57"/>
  <c r="AK49" i="57"/>
  <c r="AK96" i="57"/>
  <c r="AK164" i="57"/>
  <c r="AJ16" i="57"/>
  <c r="AK42" i="57"/>
  <c r="AK94" i="57"/>
  <c r="AH25" i="57"/>
  <c r="AI18" i="57"/>
  <c r="AK91" i="57"/>
  <c r="AK67" i="57"/>
  <c r="AK141" i="57"/>
  <c r="AK80" i="57"/>
  <c r="AK118" i="57"/>
  <c r="AI16" i="57"/>
  <c r="AH28" i="57"/>
  <c r="AK78" i="57"/>
  <c r="AK107" i="57"/>
  <c r="AK159" i="57"/>
  <c r="AA24" i="57"/>
  <c r="AK86" i="57"/>
  <c r="AK163" i="57"/>
  <c r="AK116" i="57"/>
  <c r="AK85" i="57"/>
  <c r="AK77" i="57"/>
  <c r="AA32" i="57"/>
  <c r="AK129" i="57"/>
  <c r="AK148" i="57"/>
  <c r="AA43" i="57"/>
  <c r="AK22" i="57"/>
  <c r="AK177" i="57"/>
  <c r="AK92" i="57"/>
  <c r="AK44" i="57"/>
  <c r="AI20" i="57"/>
  <c r="AI31" i="57"/>
  <c r="AK175" i="57"/>
  <c r="AK15" i="57"/>
  <c r="AI30" i="57"/>
  <c r="AK74" i="57"/>
  <c r="AK88" i="57"/>
  <c r="AK117" i="57"/>
  <c r="AK112" i="57"/>
  <c r="AH27" i="57"/>
  <c r="AK43" i="57"/>
  <c r="AA41" i="57"/>
  <c r="AK144" i="57"/>
  <c r="AH19" i="57"/>
  <c r="AK156" i="57"/>
  <c r="AK126" i="57"/>
  <c r="AK33" i="57"/>
  <c r="AH23" i="57"/>
  <c r="AK160" i="57"/>
  <c r="AK39" i="57"/>
  <c r="AK179" i="57"/>
  <c r="AK20" i="57"/>
  <c r="AK71" i="57"/>
  <c r="AK35" i="57"/>
  <c r="AK95" i="57"/>
  <c r="AA28" i="57"/>
  <c r="AK115" i="57"/>
  <c r="AK121" i="57"/>
  <c r="AK134" i="57"/>
  <c r="AK97" i="57"/>
  <c r="AK87" i="57"/>
  <c r="AJ17" i="57"/>
  <c r="AH17" i="57"/>
  <c r="AI28" i="57"/>
  <c r="AH16" i="57"/>
  <c r="AJ18" i="57"/>
  <c r="AK19" i="57"/>
  <c r="AK136" i="57"/>
  <c r="AK57" i="57"/>
  <c r="AA31" i="57"/>
  <c r="AK140" i="57"/>
  <c r="AH13" i="57"/>
  <c r="AH31" i="57"/>
  <c r="AK26" i="57"/>
  <c r="AH22" i="57"/>
  <c r="AK154" i="57"/>
  <c r="AK145" i="57"/>
  <c r="AK158" i="57"/>
  <c r="AK174" i="57"/>
  <c r="AK102" i="57"/>
  <c r="AA27" i="57"/>
  <c r="AK113" i="57"/>
  <c r="AK70" i="57"/>
  <c r="AK149" i="57"/>
  <c r="AK83" i="57"/>
  <c r="AK30" i="57"/>
  <c r="AK122" i="57"/>
  <c r="AK60" i="57"/>
  <c r="AK21" i="57"/>
  <c r="AK32" i="57"/>
  <c r="AK54" i="57"/>
  <c r="AK139" i="57"/>
  <c r="AH29" i="57"/>
  <c r="AK61" i="57"/>
  <c r="AK161" i="57"/>
  <c r="AK101" i="57"/>
  <c r="AK157" i="57"/>
  <c r="AH18" i="57"/>
  <c r="AK66" i="57"/>
  <c r="AK17" i="57"/>
  <c r="AK27" i="57"/>
  <c r="AK41" i="57"/>
  <c r="AH26" i="57"/>
  <c r="AK100" i="57"/>
  <c r="AK119" i="57"/>
  <c r="AK142" i="57"/>
  <c r="AK46" i="57"/>
  <c r="AI24" i="57"/>
  <c r="AK56" i="57"/>
  <c r="AK130" i="57"/>
  <c r="AK84" i="57"/>
  <c r="AH15" i="57"/>
  <c r="AO13" i="57"/>
  <c r="AK151" i="57"/>
  <c r="AI14" i="57"/>
  <c r="AI21" i="57"/>
  <c r="AA30" i="57"/>
  <c r="AK152" i="57"/>
  <c r="AA37" i="57"/>
  <c r="AK132" i="57"/>
  <c r="AK23" i="57"/>
  <c r="AK62" i="57"/>
  <c r="AK125" i="57"/>
  <c r="AK120" i="57"/>
  <c r="AH21" i="57"/>
  <c r="AK18" i="57"/>
  <c r="AK75" i="57"/>
  <c r="AK47" i="57"/>
  <c r="AA38" i="57"/>
  <c r="AA26" i="57"/>
  <c r="AK176" i="57"/>
  <c r="AK110" i="57"/>
  <c r="AK131" i="57"/>
  <c r="AK137" i="57"/>
  <c r="AK123" i="57"/>
  <c r="AK109" i="57"/>
  <c r="AK165" i="57"/>
  <c r="D71" i="62" l="1"/>
  <c r="S71" i="62"/>
  <c r="E208" i="62"/>
  <c r="Y208" i="62"/>
  <c r="D203" i="62"/>
  <c r="S203" i="62"/>
  <c r="D357" i="62"/>
  <c r="S357" i="62"/>
  <c r="E415" i="62"/>
  <c r="Y415" i="62"/>
  <c r="D447" i="62"/>
  <c r="S447" i="62"/>
  <c r="N621" i="57"/>
  <c r="N621" i="62"/>
  <c r="S208" i="62"/>
  <c r="D208" i="62"/>
  <c r="S356" i="62"/>
  <c r="D356" i="62"/>
  <c r="E356" i="62"/>
  <c r="Y356" i="62"/>
  <c r="S415" i="62"/>
  <c r="D415" i="62"/>
  <c r="E449" i="62"/>
  <c r="Y449" i="62"/>
  <c r="Y205" i="62"/>
  <c r="E205" i="62"/>
  <c r="N71" i="57"/>
  <c r="N71" i="62"/>
  <c r="D205" i="62"/>
  <c r="S205" i="62"/>
  <c r="E202" i="62"/>
  <c r="Y202" i="62"/>
  <c r="S355" i="62"/>
  <c r="D355" i="62"/>
  <c r="S449" i="62"/>
  <c r="D449" i="62"/>
  <c r="E446" i="62"/>
  <c r="Y446" i="62"/>
  <c r="D72" i="62"/>
  <c r="S72" i="62"/>
  <c r="N204" i="57"/>
  <c r="N204" i="62"/>
  <c r="E207" i="62"/>
  <c r="Y207" i="62"/>
  <c r="E451" i="62"/>
  <c r="Y451" i="62"/>
  <c r="D446" i="62"/>
  <c r="S446" i="62"/>
  <c r="D202" i="62"/>
  <c r="S202" i="62"/>
  <c r="E355" i="62"/>
  <c r="Y355" i="62"/>
  <c r="E72" i="62"/>
  <c r="Y72" i="62"/>
  <c r="E176" i="62"/>
  <c r="Y176" i="62"/>
  <c r="S207" i="62"/>
  <c r="D207" i="62"/>
  <c r="E204" i="62"/>
  <c r="Y204" i="62"/>
  <c r="E354" i="62"/>
  <c r="Y354" i="62"/>
  <c r="D451" i="62"/>
  <c r="S451" i="62"/>
  <c r="E448" i="62"/>
  <c r="Y448" i="62"/>
  <c r="S176" i="62"/>
  <c r="D176" i="62"/>
  <c r="D204" i="62"/>
  <c r="S204" i="62"/>
  <c r="E201" i="62"/>
  <c r="Y201" i="62"/>
  <c r="S354" i="62"/>
  <c r="D354" i="62"/>
  <c r="E358" i="62"/>
  <c r="Y358" i="62"/>
  <c r="E416" i="62"/>
  <c r="Y416" i="62"/>
  <c r="S448" i="62"/>
  <c r="D448" i="62"/>
  <c r="E619" i="62"/>
  <c r="Y619" i="62"/>
  <c r="D201" i="62"/>
  <c r="S201" i="62"/>
  <c r="S416" i="62"/>
  <c r="D416" i="62"/>
  <c r="E450" i="62"/>
  <c r="Y450" i="62"/>
  <c r="Y621" i="62"/>
  <c r="E621" i="62"/>
  <c r="N176" i="57"/>
  <c r="N176" i="62"/>
  <c r="E206" i="62"/>
  <c r="Y206" i="62"/>
  <c r="D619" i="62"/>
  <c r="S619" i="62"/>
  <c r="E71" i="62"/>
  <c r="Y71" i="62"/>
  <c r="S206" i="62"/>
  <c r="D206" i="62"/>
  <c r="E203" i="62"/>
  <c r="Y203" i="62"/>
  <c r="S358" i="62"/>
  <c r="D358" i="62"/>
  <c r="Y357" i="62"/>
  <c r="E357" i="62"/>
  <c r="S450" i="62"/>
  <c r="D450" i="62"/>
  <c r="Y447" i="62"/>
  <c r="E447" i="62"/>
  <c r="D621" i="62"/>
  <c r="S621" i="62"/>
  <c r="D621" i="55"/>
  <c r="S621" i="57"/>
  <c r="D621" i="57"/>
  <c r="N357" i="55"/>
  <c r="N357" i="57"/>
  <c r="Y447" i="55"/>
  <c r="Y447" i="57"/>
  <c r="E447" i="57"/>
  <c r="N207" i="55"/>
  <c r="N207" i="57"/>
  <c r="Y415" i="55"/>
  <c r="E415" i="57"/>
  <c r="Y415" i="57"/>
  <c r="S206" i="55"/>
  <c r="D206" i="57"/>
  <c r="S206" i="57"/>
  <c r="N448" i="55"/>
  <c r="N448" i="57"/>
  <c r="S71" i="57"/>
  <c r="D71" i="57"/>
  <c r="N356" i="55"/>
  <c r="N356" i="57"/>
  <c r="S208" i="55"/>
  <c r="S208" i="57"/>
  <c r="D208" i="57"/>
  <c r="Y356" i="55"/>
  <c r="E356" i="57"/>
  <c r="Y356" i="57"/>
  <c r="Y449" i="55"/>
  <c r="E449" i="57"/>
  <c r="Y449" i="57"/>
  <c r="N205" i="55"/>
  <c r="N205" i="57"/>
  <c r="S205" i="55"/>
  <c r="D205" i="57"/>
  <c r="S205" i="57"/>
  <c r="Y202" i="55"/>
  <c r="E202" i="57"/>
  <c r="Y202" i="57"/>
  <c r="S355" i="55"/>
  <c r="D355" i="57"/>
  <c r="S355" i="57"/>
  <c r="N354" i="55"/>
  <c r="N354" i="57"/>
  <c r="S449" i="55"/>
  <c r="S449" i="57"/>
  <c r="D449" i="57"/>
  <c r="Y446" i="55"/>
  <c r="Y446" i="57"/>
  <c r="E446" i="57"/>
  <c r="N415" i="55"/>
  <c r="N415" i="57"/>
  <c r="S358" i="55"/>
  <c r="S358" i="57"/>
  <c r="D358" i="57"/>
  <c r="C619" i="56"/>
  <c r="N619" i="57"/>
  <c r="S203" i="55"/>
  <c r="D203" i="57"/>
  <c r="S203" i="57"/>
  <c r="N447" i="55"/>
  <c r="N447" i="57"/>
  <c r="N72" i="60"/>
  <c r="N72" i="57"/>
  <c r="N355" i="55"/>
  <c r="N355" i="57"/>
  <c r="N446" i="55"/>
  <c r="N446" i="57"/>
  <c r="Y207" i="55"/>
  <c r="Y207" i="57"/>
  <c r="E207" i="57"/>
  <c r="S446" i="55"/>
  <c r="D446" i="57"/>
  <c r="S446" i="57"/>
  <c r="S450" i="55"/>
  <c r="S450" i="57"/>
  <c r="D450" i="57"/>
  <c r="Y208" i="55"/>
  <c r="E208" i="57"/>
  <c r="Y208" i="57"/>
  <c r="D415" i="55"/>
  <c r="D415" i="57"/>
  <c r="S415" i="57"/>
  <c r="S202" i="55"/>
  <c r="D202" i="57"/>
  <c r="S202" i="57"/>
  <c r="N353" i="55"/>
  <c r="N353" i="57"/>
  <c r="Y355" i="57"/>
  <c r="E355" i="57"/>
  <c r="Y451" i="55"/>
  <c r="Y451" i="57"/>
  <c r="E451" i="57"/>
  <c r="N416" i="55"/>
  <c r="N416" i="57"/>
  <c r="E72" i="57"/>
  <c r="Y72" i="57"/>
  <c r="E176" i="57"/>
  <c r="Y176" i="57"/>
  <c r="N203" i="55"/>
  <c r="N203" i="57"/>
  <c r="D207" i="55"/>
  <c r="S207" i="57"/>
  <c r="D207" i="57"/>
  <c r="Y204" i="55"/>
  <c r="E204" i="57"/>
  <c r="Y204" i="57"/>
  <c r="Y354" i="55"/>
  <c r="E354" i="57"/>
  <c r="Y354" i="57"/>
  <c r="S451" i="55"/>
  <c r="S451" i="57"/>
  <c r="D451" i="57"/>
  <c r="Y448" i="55"/>
  <c r="E448" i="57"/>
  <c r="Y448" i="57"/>
  <c r="N451" i="55"/>
  <c r="N451" i="57"/>
  <c r="N208" i="55"/>
  <c r="N208" i="57"/>
  <c r="Y203" i="55"/>
  <c r="E203" i="57"/>
  <c r="Y203" i="57"/>
  <c r="S447" i="55"/>
  <c r="S447" i="57"/>
  <c r="D447" i="57"/>
  <c r="N206" i="55"/>
  <c r="N206" i="57"/>
  <c r="Y205" i="55"/>
  <c r="E205" i="57"/>
  <c r="Y205" i="57"/>
  <c r="S176" i="57"/>
  <c r="D176" i="57"/>
  <c r="AA176" i="57" s="1"/>
  <c r="D204" i="55"/>
  <c r="D204" i="57"/>
  <c r="S204" i="57"/>
  <c r="Y201" i="55"/>
  <c r="E201" i="57"/>
  <c r="Y201" i="57"/>
  <c r="D448" i="55"/>
  <c r="S448" i="57"/>
  <c r="D448" i="57"/>
  <c r="N450" i="55"/>
  <c r="N450" i="57"/>
  <c r="Y619" i="55"/>
  <c r="Y619" i="57"/>
  <c r="E619" i="57"/>
  <c r="Y71" i="57"/>
  <c r="E71" i="57"/>
  <c r="Y357" i="55"/>
  <c r="E357" i="57"/>
  <c r="Y357" i="57"/>
  <c r="S357" i="55"/>
  <c r="S357" i="57"/>
  <c r="D357" i="57"/>
  <c r="S356" i="55"/>
  <c r="S356" i="57"/>
  <c r="D356" i="57"/>
  <c r="S72" i="55"/>
  <c r="S72" i="57"/>
  <c r="D72" i="57"/>
  <c r="AA72" i="57" s="1"/>
  <c r="N202" i="55"/>
  <c r="N202" i="57"/>
  <c r="S354" i="55"/>
  <c r="D354" i="57"/>
  <c r="S354" i="57"/>
  <c r="Y358" i="55"/>
  <c r="E358" i="57"/>
  <c r="Y358" i="57"/>
  <c r="Y416" i="55"/>
  <c r="E416" i="57"/>
  <c r="Y416" i="57"/>
  <c r="N201" i="55"/>
  <c r="N201" i="57"/>
  <c r="Y206" i="55"/>
  <c r="Y206" i="57"/>
  <c r="E206" i="57"/>
  <c r="S201" i="55"/>
  <c r="S201" i="57"/>
  <c r="D201" i="57"/>
  <c r="N358" i="55"/>
  <c r="N358" i="57"/>
  <c r="S416" i="55"/>
  <c r="D416" i="57"/>
  <c r="S416" i="57"/>
  <c r="Y450" i="57"/>
  <c r="E450" i="57"/>
  <c r="N449" i="55"/>
  <c r="N449" i="57"/>
  <c r="S619" i="55"/>
  <c r="D619" i="57"/>
  <c r="S619" i="57"/>
  <c r="E621" i="57"/>
  <c r="Y621" i="57"/>
  <c r="A212" i="60"/>
  <c r="E621" i="55"/>
  <c r="N176" i="55"/>
  <c r="N176" i="60"/>
  <c r="Y72" i="55"/>
  <c r="E72" i="60"/>
  <c r="Y72" i="60"/>
  <c r="Y176" i="55"/>
  <c r="E176" i="60"/>
  <c r="Y176" i="60"/>
  <c r="S176" i="55"/>
  <c r="Y71" i="55"/>
  <c r="E71" i="60"/>
  <c r="Y71" i="60"/>
  <c r="N72" i="55"/>
  <c r="C621" i="56"/>
  <c r="N71" i="55"/>
  <c r="N71" i="60"/>
  <c r="S71" i="55"/>
  <c r="S71" i="60"/>
  <c r="S176" i="60"/>
  <c r="S72" i="60"/>
  <c r="P15" i="60"/>
  <c r="P16" i="60" s="1"/>
  <c r="P17" i="60" s="1"/>
  <c r="P18" i="60" s="1"/>
  <c r="P19" i="60" s="1"/>
  <c r="P20" i="60" s="1"/>
  <c r="P21" i="60" s="1"/>
  <c r="P22" i="60" s="1"/>
  <c r="P23" i="60" s="1"/>
  <c r="P24" i="60" s="1"/>
  <c r="P25" i="60" s="1"/>
  <c r="P26" i="60" s="1"/>
  <c r="P27" i="60" s="1"/>
  <c r="P28" i="60" s="1"/>
  <c r="P29" i="60" s="1"/>
  <c r="P30" i="60" s="1"/>
  <c r="P31" i="60" s="1"/>
  <c r="P32" i="60" s="1"/>
  <c r="P33" i="60" s="1"/>
  <c r="P34" i="60" s="1"/>
  <c r="P35" i="60" s="1"/>
  <c r="P36" i="60" s="1"/>
  <c r="P37" i="60" s="1"/>
  <c r="P38" i="60" s="1"/>
  <c r="P39" i="60" s="1"/>
  <c r="P40" i="60" s="1"/>
  <c r="P41" i="60" s="1"/>
  <c r="P42" i="60" s="1"/>
  <c r="P43" i="60" s="1"/>
  <c r="P44" i="60" s="1"/>
  <c r="P45" i="60" s="1"/>
  <c r="P46" i="60" s="1"/>
  <c r="P47" i="60" s="1"/>
  <c r="P48" i="60" s="1"/>
  <c r="P49" i="60" s="1"/>
  <c r="P50" i="60" s="1"/>
  <c r="P51" i="60" s="1"/>
  <c r="P52" i="60" s="1"/>
  <c r="P53" i="60" s="1"/>
  <c r="P54" i="60" s="1"/>
  <c r="P55" i="60" s="1"/>
  <c r="P56" i="60" s="1"/>
  <c r="P57" i="60" s="1"/>
  <c r="P58" i="60" s="1"/>
  <c r="P59" i="60" s="1"/>
  <c r="P60" i="60" s="1"/>
  <c r="P61" i="60" s="1"/>
  <c r="P62" i="60" s="1"/>
  <c r="P63" i="60" s="1"/>
  <c r="P64" i="60" s="1"/>
  <c r="P65" i="60" s="1"/>
  <c r="P66" i="60" s="1"/>
  <c r="P67" i="60" s="1"/>
  <c r="P68" i="60" s="1"/>
  <c r="P69" i="60" s="1"/>
  <c r="P70" i="60" s="1"/>
  <c r="P71" i="60" s="1"/>
  <c r="P72" i="60" s="1"/>
  <c r="P73" i="60" s="1"/>
  <c r="P74" i="60" s="1"/>
  <c r="P75" i="60" s="1"/>
  <c r="P76" i="60" s="1"/>
  <c r="P77" i="60" s="1"/>
  <c r="P78" i="60" s="1"/>
  <c r="P79" i="60" s="1"/>
  <c r="P80" i="60" s="1"/>
  <c r="P81" i="60" s="1"/>
  <c r="P82" i="60" s="1"/>
  <c r="P83" i="60" s="1"/>
  <c r="P84" i="60" s="1"/>
  <c r="P85" i="60" s="1"/>
  <c r="P86" i="60" s="1"/>
  <c r="P87" i="60" s="1"/>
  <c r="P88" i="60" s="1"/>
  <c r="P89" i="60" s="1"/>
  <c r="P90" i="60" s="1"/>
  <c r="P91" i="60" s="1"/>
  <c r="P92" i="60" s="1"/>
  <c r="P93" i="60" s="1"/>
  <c r="P94" i="60" s="1"/>
  <c r="P95" i="60" s="1"/>
  <c r="P96" i="60" s="1"/>
  <c r="P97" i="60" s="1"/>
  <c r="P98" i="60" s="1"/>
  <c r="P99" i="60" s="1"/>
  <c r="P100" i="60" s="1"/>
  <c r="P101" i="60" s="1"/>
  <c r="P102" i="60" s="1"/>
  <c r="P103" i="60" s="1"/>
  <c r="P104" i="60" s="1"/>
  <c r="P105" i="60" s="1"/>
  <c r="P106" i="60" s="1"/>
  <c r="P107" i="60" s="1"/>
  <c r="P108" i="60" s="1"/>
  <c r="P109" i="60" s="1"/>
  <c r="P110" i="60" s="1"/>
  <c r="P111" i="60" s="1"/>
  <c r="P112" i="60" s="1"/>
  <c r="P113" i="60" s="1"/>
  <c r="P114" i="60" s="1"/>
  <c r="P115" i="60" s="1"/>
  <c r="P116" i="60" s="1"/>
  <c r="P117" i="60" s="1"/>
  <c r="P118" i="60" s="1"/>
  <c r="P119" i="60" s="1"/>
  <c r="P120" i="60" s="1"/>
  <c r="P121" i="60" s="1"/>
  <c r="P122" i="60" s="1"/>
  <c r="P123" i="60" s="1"/>
  <c r="P124" i="60" s="1"/>
  <c r="P125" i="60" s="1"/>
  <c r="P126" i="60" s="1"/>
  <c r="P127" i="60" s="1"/>
  <c r="P128" i="60" s="1"/>
  <c r="P129" i="60" s="1"/>
  <c r="P130" i="60" s="1"/>
  <c r="P131" i="60" s="1"/>
  <c r="P132" i="60" s="1"/>
  <c r="P133" i="60" s="1"/>
  <c r="P134" i="60" s="1"/>
  <c r="P135" i="60" s="1"/>
  <c r="P136" i="60" s="1"/>
  <c r="P137" i="60" s="1"/>
  <c r="P138" i="60" s="1"/>
  <c r="P139" i="60" s="1"/>
  <c r="P140" i="60" s="1"/>
  <c r="P141" i="60" s="1"/>
  <c r="P142" i="60" s="1"/>
  <c r="P143" i="60" s="1"/>
  <c r="P144" i="60" s="1"/>
  <c r="P145" i="60" s="1"/>
  <c r="P146" i="60" s="1"/>
  <c r="P147" i="60" s="1"/>
  <c r="P148" i="60" s="1"/>
  <c r="P149" i="60" s="1"/>
  <c r="P150" i="60" s="1"/>
  <c r="P151" i="60" s="1"/>
  <c r="P152" i="60" s="1"/>
  <c r="P153" i="60" s="1"/>
  <c r="P154" i="60" s="1"/>
  <c r="P155" i="60" s="1"/>
  <c r="P156" i="60" s="1"/>
  <c r="P157" i="60" s="1"/>
  <c r="P158" i="60" s="1"/>
  <c r="P159" i="60" s="1"/>
  <c r="P160" i="60" s="1"/>
  <c r="P161" i="60" s="1"/>
  <c r="P162" i="60" s="1"/>
  <c r="P163" i="60" s="1"/>
  <c r="P164" i="60" s="1"/>
  <c r="P165" i="60" s="1"/>
  <c r="P166" i="60" s="1"/>
  <c r="P167" i="60" s="1"/>
  <c r="P168" i="60" s="1"/>
  <c r="P169" i="60" s="1"/>
  <c r="P170" i="60" s="1"/>
  <c r="P171" i="60" s="1"/>
  <c r="P172" i="60" s="1"/>
  <c r="P173" i="60" s="1"/>
  <c r="P174" i="60" s="1"/>
  <c r="P175" i="60" s="1"/>
  <c r="P176" i="60" s="1"/>
  <c r="P177" i="60" s="1"/>
  <c r="P178" i="60" s="1"/>
  <c r="P179" i="60" s="1"/>
  <c r="P180" i="60" s="1"/>
  <c r="P181" i="60" s="1"/>
  <c r="P182" i="60" s="1"/>
  <c r="P183" i="60" s="1"/>
  <c r="P184" i="60" s="1"/>
  <c r="P185" i="60" s="1"/>
  <c r="P186" i="60" s="1"/>
  <c r="P187" i="60" s="1"/>
  <c r="P188" i="60" s="1"/>
  <c r="P189" i="60" s="1"/>
  <c r="P190" i="60" s="1"/>
  <c r="P191" i="60" s="1"/>
  <c r="P192" i="60" s="1"/>
  <c r="P193" i="60" s="1"/>
  <c r="P194" i="60" s="1"/>
  <c r="P195" i="60" s="1"/>
  <c r="P196" i="60" s="1"/>
  <c r="P197" i="60" s="1"/>
  <c r="P198" i="60" s="1"/>
  <c r="P199" i="60" s="1"/>
  <c r="X200" i="60"/>
  <c r="B621" i="56"/>
  <c r="N621" i="55"/>
  <c r="F621" i="56" s="1"/>
  <c r="E450" i="55"/>
  <c r="S621" i="55"/>
  <c r="D619" i="55"/>
  <c r="B619" i="56" s="1"/>
  <c r="Y621" i="55"/>
  <c r="N619" i="55"/>
  <c r="F619" i="56" s="1"/>
  <c r="S415" i="55"/>
  <c r="E619" i="55"/>
  <c r="E204" i="55"/>
  <c r="N204" i="55"/>
  <c r="E108" i="59"/>
  <c r="E43" i="59"/>
  <c r="E115" i="59"/>
  <c r="E32" i="59"/>
  <c r="E25" i="59"/>
  <c r="E51" i="59"/>
  <c r="Y43" i="59"/>
  <c r="E95" i="59"/>
  <c r="E16" i="59"/>
  <c r="E143" i="59"/>
  <c r="E19" i="59"/>
  <c r="Y108" i="59"/>
  <c r="N95" i="59"/>
  <c r="E119" i="59"/>
  <c r="E27" i="59"/>
  <c r="E53" i="59"/>
  <c r="E126" i="59"/>
  <c r="Y16" i="59"/>
  <c r="E37" i="59"/>
  <c r="F105" i="59"/>
  <c r="AB105" i="59" s="1"/>
  <c r="E138" i="59"/>
  <c r="E64" i="59"/>
  <c r="E39" i="59"/>
  <c r="AB58" i="59"/>
  <c r="E75" i="59"/>
  <c r="N85" i="59"/>
  <c r="E93" i="59"/>
  <c r="E116" i="59"/>
  <c r="E128" i="59"/>
  <c r="E18" i="59"/>
  <c r="E26" i="59"/>
  <c r="Y27" i="59"/>
  <c r="Y32" i="59"/>
  <c r="Y37" i="59"/>
  <c r="E56" i="59"/>
  <c r="AB62" i="59"/>
  <c r="N64" i="59"/>
  <c r="AB73" i="59"/>
  <c r="N81" i="59"/>
  <c r="AB89" i="59"/>
  <c r="E102" i="59"/>
  <c r="E103" i="59"/>
  <c r="E127" i="59"/>
  <c r="E15" i="59"/>
  <c r="E42" i="59"/>
  <c r="E48" i="59"/>
  <c r="E58" i="59"/>
  <c r="E145" i="59"/>
  <c r="N129" i="59"/>
  <c r="Y25" i="59"/>
  <c r="E34" i="59"/>
  <c r="Y39" i="59"/>
  <c r="E44" i="59"/>
  <c r="E46" i="59"/>
  <c r="E63" i="59"/>
  <c r="N87" i="59"/>
  <c r="E94" i="59"/>
  <c r="N97" i="59"/>
  <c r="E28" i="59"/>
  <c r="E33" i="59"/>
  <c r="N93" i="59"/>
  <c r="E21" i="59"/>
  <c r="E62" i="59"/>
  <c r="E66" i="59"/>
  <c r="E87" i="59"/>
  <c r="E23" i="59"/>
  <c r="E29" i="59"/>
  <c r="E40" i="59"/>
  <c r="E45" i="59"/>
  <c r="AB60" i="59"/>
  <c r="E71" i="59"/>
  <c r="E99" i="59"/>
  <c r="E114" i="59"/>
  <c r="E131" i="59"/>
  <c r="N138" i="59"/>
  <c r="E36" i="59"/>
  <c r="AB51" i="59"/>
  <c r="E54" i="59"/>
  <c r="E109" i="59"/>
  <c r="E117" i="59"/>
  <c r="Y19" i="59"/>
  <c r="E31" i="59"/>
  <c r="Y44" i="59"/>
  <c r="Y56" i="59"/>
  <c r="Y127" i="59"/>
  <c r="Y128" i="59"/>
  <c r="N51" i="59"/>
  <c r="E55" i="59"/>
  <c r="E61" i="59"/>
  <c r="Y63" i="59"/>
  <c r="N83" i="59"/>
  <c r="E89" i="59"/>
  <c r="E91" i="59"/>
  <c r="Y94" i="59"/>
  <c r="N109" i="59"/>
  <c r="Y31" i="59"/>
  <c r="E60" i="59"/>
  <c r="AB66" i="59"/>
  <c r="Y93" i="59"/>
  <c r="E124" i="59"/>
  <c r="Y126" i="59"/>
  <c r="E59" i="59"/>
  <c r="N71" i="59"/>
  <c r="N131" i="59"/>
  <c r="E17" i="59"/>
  <c r="E30" i="59"/>
  <c r="E38" i="59"/>
  <c r="Y45" i="59"/>
  <c r="N56" i="59"/>
  <c r="E57" i="59"/>
  <c r="Y64" i="59"/>
  <c r="Y71" i="59"/>
  <c r="E73" i="59"/>
  <c r="N75" i="59"/>
  <c r="E92" i="59"/>
  <c r="Y95" i="59"/>
  <c r="W101" i="59"/>
  <c r="Y101" i="59" s="1"/>
  <c r="Y138" i="59"/>
  <c r="Y21" i="59"/>
  <c r="Y34" i="59"/>
  <c r="Y42" i="59"/>
  <c r="N54" i="59"/>
  <c r="Y87" i="59"/>
  <c r="N91" i="59"/>
  <c r="N114" i="59"/>
  <c r="Y115" i="59"/>
  <c r="Y117" i="59"/>
  <c r="N135" i="59"/>
  <c r="E85" i="59"/>
  <c r="E130" i="59"/>
  <c r="E20" i="59"/>
  <c r="E41" i="59"/>
  <c r="AB69" i="59"/>
  <c r="E81" i="59"/>
  <c r="E83" i="59"/>
  <c r="E96" i="59"/>
  <c r="E97" i="59"/>
  <c r="F101" i="59"/>
  <c r="N101" i="59" s="1"/>
  <c r="E122" i="59"/>
  <c r="E141" i="59"/>
  <c r="E22" i="59"/>
  <c r="E35" i="59"/>
  <c r="E47" i="59"/>
  <c r="E69" i="59"/>
  <c r="E77" i="59"/>
  <c r="AB77" i="59"/>
  <c r="E79" i="59"/>
  <c r="AB79" i="59"/>
  <c r="E88" i="59"/>
  <c r="E98" i="59"/>
  <c r="AB98" i="59"/>
  <c r="E107" i="59"/>
  <c r="AB47" i="59"/>
  <c r="AB75" i="59"/>
  <c r="E14" i="59"/>
  <c r="E24" i="59"/>
  <c r="E49" i="59"/>
  <c r="E52" i="59"/>
  <c r="Y59" i="59"/>
  <c r="E90" i="59"/>
  <c r="E120" i="59"/>
  <c r="N143" i="59"/>
  <c r="AB143" i="59"/>
  <c r="N15" i="59"/>
  <c r="N17" i="59"/>
  <c r="N19" i="59"/>
  <c r="N21" i="59"/>
  <c r="N22" i="59"/>
  <c r="N24" i="59"/>
  <c r="N26" i="59"/>
  <c r="N29" i="59"/>
  <c r="N32" i="59"/>
  <c r="N34" i="59"/>
  <c r="N36" i="59"/>
  <c r="N37" i="59"/>
  <c r="N39" i="59"/>
  <c r="N42" i="59"/>
  <c r="N43" i="59"/>
  <c r="N45" i="59"/>
  <c r="N52" i="59"/>
  <c r="AB55" i="59"/>
  <c r="N55" i="59"/>
  <c r="Y67" i="59"/>
  <c r="E67" i="59"/>
  <c r="Y68" i="59"/>
  <c r="E68" i="59"/>
  <c r="Y70" i="59"/>
  <c r="E70" i="59"/>
  <c r="Y72" i="59"/>
  <c r="E72" i="59"/>
  <c r="Y74" i="59"/>
  <c r="E74" i="59"/>
  <c r="Y76" i="59"/>
  <c r="E76" i="59"/>
  <c r="AB103" i="59"/>
  <c r="N103" i="59"/>
  <c r="AB112" i="59"/>
  <c r="N112" i="59"/>
  <c r="E112" i="59"/>
  <c r="AB133" i="59"/>
  <c r="E133" i="59"/>
  <c r="Y80" i="59"/>
  <c r="E80" i="59"/>
  <c r="AB116" i="59"/>
  <c r="E50" i="59"/>
  <c r="P15" i="59"/>
  <c r="AB48" i="59"/>
  <c r="N48" i="59"/>
  <c r="Y78" i="59"/>
  <c r="E78" i="59"/>
  <c r="AB99" i="59"/>
  <c r="AB53" i="59"/>
  <c r="N53" i="59"/>
  <c r="AB110" i="59"/>
  <c r="N110" i="59"/>
  <c r="E110" i="59"/>
  <c r="N14" i="59"/>
  <c r="N16" i="59"/>
  <c r="N18" i="59"/>
  <c r="N20" i="59"/>
  <c r="N23" i="59"/>
  <c r="N25" i="59"/>
  <c r="N27" i="59"/>
  <c r="N28" i="59"/>
  <c r="N30" i="59"/>
  <c r="N31" i="59"/>
  <c r="N33" i="59"/>
  <c r="N35" i="59"/>
  <c r="N38" i="59"/>
  <c r="N40" i="59"/>
  <c r="N41" i="59"/>
  <c r="N44" i="59"/>
  <c r="N49" i="59"/>
  <c r="Y61" i="59"/>
  <c r="E65" i="59"/>
  <c r="Y84" i="59"/>
  <c r="E84" i="59"/>
  <c r="E104" i="59"/>
  <c r="Y104" i="59"/>
  <c r="N119" i="59"/>
  <c r="AB145" i="59"/>
  <c r="E106" i="59"/>
  <c r="Y106" i="59"/>
  <c r="AB46" i="59"/>
  <c r="N46" i="59"/>
  <c r="Y82" i="59"/>
  <c r="E82" i="59"/>
  <c r="N99" i="59"/>
  <c r="N116" i="59"/>
  <c r="AB119" i="59"/>
  <c r="Y55" i="59"/>
  <c r="Y86" i="59"/>
  <c r="E86" i="59"/>
  <c r="E123" i="59"/>
  <c r="AB123" i="59"/>
  <c r="AB127" i="59"/>
  <c r="Y140" i="59"/>
  <c r="E140" i="59"/>
  <c r="N145" i="59"/>
  <c r="AB50" i="59"/>
  <c r="N50" i="59"/>
  <c r="AB113" i="59"/>
  <c r="N113" i="59"/>
  <c r="E113" i="59"/>
  <c r="Y142" i="59"/>
  <c r="E142" i="59"/>
  <c r="N102" i="59"/>
  <c r="AB102" i="59"/>
  <c r="N104" i="59"/>
  <c r="X105" i="59"/>
  <c r="N111" i="59"/>
  <c r="N118" i="59"/>
  <c r="N121" i="59"/>
  <c r="N125" i="59"/>
  <c r="Y139" i="59"/>
  <c r="E139" i="59"/>
  <c r="N88" i="59"/>
  <c r="N90" i="59"/>
  <c r="N92" i="59"/>
  <c r="N94" i="59"/>
  <c r="N96" i="59"/>
  <c r="W100" i="59"/>
  <c r="F100" i="59"/>
  <c r="N107" i="59"/>
  <c r="Y134" i="59"/>
  <c r="E134" i="59"/>
  <c r="N141" i="59"/>
  <c r="AB141" i="59"/>
  <c r="X100" i="59"/>
  <c r="AB108" i="59"/>
  <c r="N108" i="59"/>
  <c r="AB115" i="59"/>
  <c r="N115" i="59"/>
  <c r="Y136" i="59"/>
  <c r="E136" i="59"/>
  <c r="E129" i="59"/>
  <c r="Y132" i="59"/>
  <c r="E132" i="59"/>
  <c r="E135" i="59"/>
  <c r="Y144" i="59"/>
  <c r="E144" i="59"/>
  <c r="N57" i="59"/>
  <c r="N59" i="59"/>
  <c r="N61" i="59"/>
  <c r="N63" i="59"/>
  <c r="N65" i="59"/>
  <c r="N67" i="59"/>
  <c r="N68" i="59"/>
  <c r="N70" i="59"/>
  <c r="N72" i="59"/>
  <c r="N74" i="59"/>
  <c r="N76" i="59"/>
  <c r="N78" i="59"/>
  <c r="N80" i="59"/>
  <c r="N82" i="59"/>
  <c r="N84" i="59"/>
  <c r="N86" i="59"/>
  <c r="AB106" i="59"/>
  <c r="N106" i="59"/>
  <c r="E111" i="59"/>
  <c r="E118" i="59"/>
  <c r="E121" i="59"/>
  <c r="E125" i="59"/>
  <c r="Y137" i="59"/>
  <c r="E137" i="59"/>
  <c r="A158" i="59"/>
  <c r="N117" i="59"/>
  <c r="N120" i="59"/>
  <c r="N122" i="59"/>
  <c r="N124" i="59"/>
  <c r="N126" i="59"/>
  <c r="N128" i="59"/>
  <c r="N130" i="59"/>
  <c r="N132" i="59"/>
  <c r="N134" i="59"/>
  <c r="N136" i="59"/>
  <c r="N137" i="59"/>
  <c r="N139" i="59"/>
  <c r="N140" i="59"/>
  <c r="N142" i="59"/>
  <c r="N144" i="59"/>
  <c r="AB68" i="57"/>
  <c r="AB106" i="57"/>
  <c r="AB108" i="57"/>
  <c r="AB129" i="57"/>
  <c r="AB151" i="57"/>
  <c r="AB159" i="57"/>
  <c r="AB166" i="57"/>
  <c r="AB172" i="57"/>
  <c r="AB178" i="57"/>
  <c r="AB45" i="57"/>
  <c r="AB72" i="57"/>
  <c r="AB89" i="57"/>
  <c r="AB91" i="57"/>
  <c r="AB127" i="57"/>
  <c r="AB141" i="57"/>
  <c r="AB34" i="57"/>
  <c r="AB44" i="57"/>
  <c r="AB46" i="57"/>
  <c r="AB51" i="57"/>
  <c r="AB55" i="57"/>
  <c r="AB56" i="57"/>
  <c r="AB59" i="57"/>
  <c r="AB66" i="57"/>
  <c r="AB74" i="57"/>
  <c r="AB95" i="57"/>
  <c r="AB113" i="57"/>
  <c r="AB123" i="57"/>
  <c r="AB147" i="57"/>
  <c r="AB164" i="57"/>
  <c r="AB170" i="57"/>
  <c r="AB174" i="57"/>
  <c r="AB181" i="57"/>
  <c r="AB184" i="57"/>
  <c r="AB71" i="57"/>
  <c r="AB78" i="57"/>
  <c r="AB86" i="57"/>
  <c r="AB97" i="57"/>
  <c r="AB139" i="57"/>
  <c r="AB148" i="57"/>
  <c r="AB180" i="57"/>
  <c r="AB182" i="57"/>
  <c r="AB84" i="57"/>
  <c r="AB99" i="57"/>
  <c r="AB61" i="57"/>
  <c r="AB62" i="57"/>
  <c r="AB63" i="57"/>
  <c r="AB75" i="57"/>
  <c r="AB88" i="57"/>
  <c r="AB102" i="57"/>
  <c r="AB112" i="57"/>
  <c r="AB120" i="57"/>
  <c r="AB126" i="57"/>
  <c r="AB155" i="57"/>
  <c r="AB177" i="57"/>
  <c r="AB183" i="57"/>
  <c r="AB187" i="57"/>
  <c r="AB192" i="57"/>
  <c r="AB47" i="57"/>
  <c r="AB70" i="57"/>
  <c r="AB110" i="57"/>
  <c r="AB38" i="57"/>
  <c r="AB40" i="57"/>
  <c r="AB43" i="57"/>
  <c r="AB69" i="57"/>
  <c r="AB90" i="57"/>
  <c r="AB94" i="57"/>
  <c r="AB105" i="57"/>
  <c r="AB116" i="57"/>
  <c r="AB132" i="57"/>
  <c r="AB135" i="57"/>
  <c r="AB137" i="57"/>
  <c r="AB142" i="57"/>
  <c r="AB150" i="57"/>
  <c r="AB163" i="57"/>
  <c r="AB165" i="57"/>
  <c r="AB169" i="57"/>
  <c r="AB173" i="57"/>
  <c r="AB186" i="57"/>
  <c r="AB196" i="57"/>
  <c r="A658" i="57"/>
  <c r="AB54" i="57"/>
  <c r="AB39" i="57"/>
  <c r="AB50" i="57"/>
  <c r="AB52" i="57"/>
  <c r="AB53" i="57"/>
  <c r="AB57" i="57"/>
  <c r="AB58" i="57"/>
  <c r="AB65" i="57"/>
  <c r="AB92" i="57"/>
  <c r="AB98" i="57"/>
  <c r="AB101" i="57"/>
  <c r="AB107" i="57"/>
  <c r="AB122" i="57"/>
  <c r="AB160" i="57"/>
  <c r="AB167" i="57"/>
  <c r="AB179" i="57"/>
  <c r="AB35" i="57"/>
  <c r="AB36" i="57"/>
  <c r="AB37" i="57"/>
  <c r="AB48" i="57"/>
  <c r="AB60" i="57"/>
  <c r="AB77" i="57"/>
  <c r="AB79" i="57"/>
  <c r="AB85" i="57"/>
  <c r="AB87" i="57"/>
  <c r="AB96" i="57"/>
  <c r="AB100" i="57"/>
  <c r="AB109" i="57"/>
  <c r="AB114" i="57"/>
  <c r="AB117" i="57"/>
  <c r="AB130" i="57"/>
  <c r="AB138" i="57"/>
  <c r="AB149" i="57"/>
  <c r="AB157" i="57"/>
  <c r="AB171" i="57"/>
  <c r="AB175" i="57"/>
  <c r="AB176" i="57"/>
  <c r="AB185" i="57"/>
  <c r="AB188" i="57"/>
  <c r="AB191" i="57"/>
  <c r="AB199" i="57"/>
  <c r="AB194" i="57"/>
  <c r="AB93" i="57"/>
  <c r="AB41" i="57"/>
  <c r="AB42" i="57"/>
  <c r="AB64" i="57"/>
  <c r="AB76" i="57"/>
  <c r="AB81" i="57"/>
  <c r="AB83" i="57"/>
  <c r="AB103" i="57"/>
  <c r="AB111" i="57"/>
  <c r="AB115" i="57"/>
  <c r="AB124" i="57"/>
  <c r="AB131" i="57"/>
  <c r="AB134" i="57"/>
  <c r="AB145" i="57"/>
  <c r="AB154" i="57"/>
  <c r="AB168" i="57"/>
  <c r="AB195" i="57"/>
  <c r="AA71" i="57"/>
  <c r="P648" i="57"/>
  <c r="E449" i="55"/>
  <c r="E415" i="55"/>
  <c r="E201" i="55"/>
  <c r="Y450" i="55"/>
  <c r="E416" i="55"/>
  <c r="S448" i="55"/>
  <c r="D416" i="55"/>
  <c r="E451" i="55"/>
  <c r="D451" i="55"/>
  <c r="D449" i="55"/>
  <c r="D447" i="55"/>
  <c r="E446" i="55"/>
  <c r="D450" i="55"/>
  <c r="D446" i="55"/>
  <c r="E448" i="55"/>
  <c r="E447" i="55"/>
  <c r="E357" i="55"/>
  <c r="D355" i="55"/>
  <c r="D358" i="55"/>
  <c r="D354" i="55"/>
  <c r="D357" i="55"/>
  <c r="D356" i="55"/>
  <c r="E355" i="55"/>
  <c r="E206" i="55"/>
  <c r="E356" i="55"/>
  <c r="Y355" i="55"/>
  <c r="E358" i="55"/>
  <c r="E72" i="55"/>
  <c r="E203" i="55"/>
  <c r="E354" i="55"/>
  <c r="E176" i="55"/>
  <c r="D203" i="55"/>
  <c r="D202" i="55"/>
  <c r="D206" i="55"/>
  <c r="S207" i="55"/>
  <c r="D205" i="55"/>
  <c r="D208" i="55"/>
  <c r="D201" i="55"/>
  <c r="E207" i="55"/>
  <c r="S204" i="55"/>
  <c r="E202" i="55"/>
  <c r="E205" i="55"/>
  <c r="E208" i="55"/>
  <c r="D176" i="55"/>
  <c r="E71" i="55"/>
  <c r="D72" i="55"/>
  <c r="D71" i="55"/>
  <c r="F56" i="55"/>
  <c r="W52" i="55"/>
  <c r="X52" i="55"/>
  <c r="W53" i="55"/>
  <c r="X53" i="55"/>
  <c r="W54" i="55"/>
  <c r="X54" i="55"/>
  <c r="W55" i="55"/>
  <c r="X55" i="55"/>
  <c r="R51" i="55"/>
  <c r="W51" i="55"/>
  <c r="X51" i="55"/>
  <c r="R52" i="55"/>
  <c r="R53" i="55"/>
  <c r="R54" i="55"/>
  <c r="R55" i="55"/>
  <c r="R56" i="55"/>
  <c r="W56" i="55"/>
  <c r="X56" i="55"/>
  <c r="R57" i="55"/>
  <c r="W57" i="55"/>
  <c r="X57" i="55"/>
  <c r="R58" i="55"/>
  <c r="W58" i="55"/>
  <c r="X58" i="55"/>
  <c r="F57" i="55"/>
  <c r="F49" i="55"/>
  <c r="F50" i="55"/>
  <c r="F51" i="55"/>
  <c r="F52" i="55"/>
  <c r="F53" i="55"/>
  <c r="F54" i="55"/>
  <c r="F55" i="55"/>
  <c r="F58" i="55"/>
  <c r="F25" i="55"/>
  <c r="F26" i="55"/>
  <c r="R25" i="55"/>
  <c r="W25" i="55"/>
  <c r="X25" i="55"/>
  <c r="R26" i="55"/>
  <c r="W26" i="55"/>
  <c r="X26" i="55"/>
  <c r="F113" i="55"/>
  <c r="R113" i="55"/>
  <c r="W113" i="55"/>
  <c r="X113" i="55"/>
  <c r="F164" i="55"/>
  <c r="F165" i="55"/>
  <c r="F166" i="55"/>
  <c r="R164" i="55"/>
  <c r="R165" i="55"/>
  <c r="R166" i="55"/>
  <c r="AM19" i="57"/>
  <c r="AM23" i="57"/>
  <c r="AM25" i="57"/>
  <c r="AM24" i="57"/>
  <c r="AM15" i="57"/>
  <c r="AM16" i="57"/>
  <c r="AM17" i="57"/>
  <c r="AM20" i="57"/>
  <c r="AM18" i="57"/>
  <c r="AM21" i="57"/>
  <c r="AM13" i="57"/>
  <c r="AM14" i="57"/>
  <c r="AM22" i="57"/>
  <c r="S166" i="62" l="1"/>
  <c r="D166" i="62"/>
  <c r="N49" i="57"/>
  <c r="N49" i="62"/>
  <c r="S164" i="62"/>
  <c r="D164" i="62"/>
  <c r="E56" i="62"/>
  <c r="Y56" i="62"/>
  <c r="N26" i="57"/>
  <c r="N26" i="62"/>
  <c r="E51" i="62"/>
  <c r="Y51" i="62"/>
  <c r="D56" i="62"/>
  <c r="S56" i="62"/>
  <c r="N165" i="62"/>
  <c r="E165" i="62"/>
  <c r="S26" i="62"/>
  <c r="D26" i="62"/>
  <c r="N54" i="57"/>
  <c r="N54" i="62"/>
  <c r="E58" i="62"/>
  <c r="Y58" i="62"/>
  <c r="D55" i="62"/>
  <c r="S55" i="62"/>
  <c r="E55" i="62"/>
  <c r="Y55" i="62"/>
  <c r="S165" i="62"/>
  <c r="D165" i="62"/>
  <c r="N57" i="57"/>
  <c r="N57" i="62"/>
  <c r="E166" i="62"/>
  <c r="N166" i="62"/>
  <c r="N56" i="57"/>
  <c r="N56" i="62"/>
  <c r="E164" i="62"/>
  <c r="N164" i="62"/>
  <c r="N53" i="57"/>
  <c r="N53" i="62"/>
  <c r="S58" i="62"/>
  <c r="D58" i="62"/>
  <c r="D54" i="62"/>
  <c r="S54" i="62"/>
  <c r="D113" i="62"/>
  <c r="S113" i="62"/>
  <c r="N25" i="57"/>
  <c r="N25" i="62"/>
  <c r="N58" i="57"/>
  <c r="N58" i="62"/>
  <c r="E52" i="62"/>
  <c r="Y52" i="62"/>
  <c r="N55" i="57"/>
  <c r="N55" i="62"/>
  <c r="Y25" i="62"/>
  <c r="E25" i="62"/>
  <c r="N52" i="57"/>
  <c r="N52" i="62"/>
  <c r="D53" i="62"/>
  <c r="S53" i="62"/>
  <c r="E54" i="62"/>
  <c r="Y54" i="62"/>
  <c r="N50" i="57"/>
  <c r="N50" i="62"/>
  <c r="S51" i="62"/>
  <c r="D51" i="62"/>
  <c r="E26" i="62"/>
  <c r="Y26" i="62"/>
  <c r="Y113" i="62"/>
  <c r="E113" i="62"/>
  <c r="D25" i="62"/>
  <c r="S25" i="62"/>
  <c r="N51" i="57"/>
  <c r="N51" i="62"/>
  <c r="Y57" i="62"/>
  <c r="E57" i="62"/>
  <c r="S52" i="62"/>
  <c r="D52" i="62"/>
  <c r="D57" i="62"/>
  <c r="S57" i="62"/>
  <c r="E53" i="62"/>
  <c r="Y53" i="62"/>
  <c r="N113" i="57"/>
  <c r="N113" i="62"/>
  <c r="E166" i="57"/>
  <c r="N166" i="57"/>
  <c r="S165" i="57"/>
  <c r="D165" i="57"/>
  <c r="AA165" i="57" s="1"/>
  <c r="S164" i="57"/>
  <c r="D164" i="57"/>
  <c r="AA164" i="57" s="1"/>
  <c r="E56" i="57"/>
  <c r="Y56" i="57"/>
  <c r="D51" i="57"/>
  <c r="AA51" i="57" s="1"/>
  <c r="S51" i="57"/>
  <c r="E52" i="57"/>
  <c r="Y52" i="57"/>
  <c r="S56" i="57"/>
  <c r="D56" i="57"/>
  <c r="AA56" i="57" s="1"/>
  <c r="N165" i="57"/>
  <c r="E165" i="57"/>
  <c r="D26" i="57"/>
  <c r="S26" i="57"/>
  <c r="E58" i="57"/>
  <c r="Y58" i="57"/>
  <c r="S55" i="57"/>
  <c r="D55" i="57"/>
  <c r="AA55" i="57" s="1"/>
  <c r="E55" i="57"/>
  <c r="Y55" i="57"/>
  <c r="E164" i="57"/>
  <c r="N164" i="57"/>
  <c r="D58" i="57"/>
  <c r="AA58" i="57" s="1"/>
  <c r="S58" i="57"/>
  <c r="S54" i="57"/>
  <c r="D54" i="57"/>
  <c r="AA54" i="57" s="1"/>
  <c r="E25" i="57"/>
  <c r="Y25" i="57"/>
  <c r="E54" i="57"/>
  <c r="Y54" i="57"/>
  <c r="E113" i="57"/>
  <c r="Y113" i="57"/>
  <c r="D25" i="57"/>
  <c r="S25" i="57"/>
  <c r="Y57" i="57"/>
  <c r="E57" i="57"/>
  <c r="D52" i="57"/>
  <c r="AA52" i="57" s="1"/>
  <c r="S52" i="57"/>
  <c r="E26" i="57"/>
  <c r="Y26" i="57"/>
  <c r="D53" i="57"/>
  <c r="AA53" i="57" s="1"/>
  <c r="S53" i="57"/>
  <c r="S166" i="57"/>
  <c r="D166" i="57"/>
  <c r="AA166" i="57" s="1"/>
  <c r="D113" i="57"/>
  <c r="AA113" i="57" s="1"/>
  <c r="S113" i="57"/>
  <c r="D57" i="57"/>
  <c r="AA57" i="57" s="1"/>
  <c r="S57" i="57"/>
  <c r="Y53" i="57"/>
  <c r="E53" i="57"/>
  <c r="E51" i="57"/>
  <c r="Y51" i="57"/>
  <c r="Y113" i="55"/>
  <c r="E113" i="60"/>
  <c r="Y113" i="60"/>
  <c r="N51" i="55"/>
  <c r="N51" i="60"/>
  <c r="Y57" i="55"/>
  <c r="Y57" i="60"/>
  <c r="E57" i="60"/>
  <c r="Y25" i="55"/>
  <c r="Y25" i="60"/>
  <c r="E25" i="60"/>
  <c r="N26" i="55"/>
  <c r="N26" i="60"/>
  <c r="N50" i="55"/>
  <c r="N50" i="60"/>
  <c r="Y53" i="55"/>
  <c r="E53" i="60"/>
  <c r="Y53" i="60"/>
  <c r="N113" i="55"/>
  <c r="N113" i="60"/>
  <c r="N25" i="55"/>
  <c r="N25" i="60"/>
  <c r="N49" i="55"/>
  <c r="N49" i="60"/>
  <c r="Y51" i="55"/>
  <c r="E51" i="60"/>
  <c r="Y51" i="60"/>
  <c r="N52" i="55"/>
  <c r="N52" i="60"/>
  <c r="N58" i="55"/>
  <c r="N58" i="60"/>
  <c r="N57" i="55"/>
  <c r="N57" i="60"/>
  <c r="Y56" i="55"/>
  <c r="E56" i="60"/>
  <c r="Y56" i="60"/>
  <c r="Y52" i="55"/>
  <c r="E52" i="60"/>
  <c r="Y52" i="60"/>
  <c r="Y54" i="55"/>
  <c r="E54" i="60"/>
  <c r="Y54" i="60"/>
  <c r="N166" i="55"/>
  <c r="N166" i="60"/>
  <c r="E166" i="60"/>
  <c r="Y26" i="55"/>
  <c r="Y26" i="60"/>
  <c r="E26" i="60"/>
  <c r="N55" i="55"/>
  <c r="N55" i="60"/>
  <c r="N56" i="55"/>
  <c r="N56" i="60"/>
  <c r="N54" i="55"/>
  <c r="N54" i="60"/>
  <c r="Y58" i="55"/>
  <c r="Y58" i="60"/>
  <c r="E58" i="60"/>
  <c r="Y55" i="55"/>
  <c r="E55" i="60"/>
  <c r="Y55" i="60"/>
  <c r="N165" i="60"/>
  <c r="E165" i="60"/>
  <c r="N164" i="60"/>
  <c r="E164" i="60"/>
  <c r="N53" i="55"/>
  <c r="N53" i="60"/>
  <c r="S26" i="55"/>
  <c r="S26" i="60"/>
  <c r="S54" i="55"/>
  <c r="S54" i="60"/>
  <c r="S55" i="55"/>
  <c r="S55" i="60"/>
  <c r="D58" i="55"/>
  <c r="S58" i="60"/>
  <c r="S53" i="55"/>
  <c r="S53" i="60"/>
  <c r="S113" i="55"/>
  <c r="S113" i="60"/>
  <c r="D57" i="55"/>
  <c r="S57" i="60"/>
  <c r="D56" i="55"/>
  <c r="S56" i="60"/>
  <c r="S52" i="55"/>
  <c r="S52" i="60"/>
  <c r="S166" i="55"/>
  <c r="S166" i="60"/>
  <c r="S165" i="55"/>
  <c r="S165" i="60"/>
  <c r="S25" i="55"/>
  <c r="S25" i="60"/>
  <c r="S164" i="55"/>
  <c r="S164" i="60"/>
  <c r="S51" i="55"/>
  <c r="S51" i="60"/>
  <c r="P200" i="60"/>
  <c r="E165" i="55"/>
  <c r="N165" i="55"/>
  <c r="E164" i="55"/>
  <c r="N164" i="55"/>
  <c r="N105" i="59"/>
  <c r="E105" i="59"/>
  <c r="C157" i="59"/>
  <c r="C150" i="59"/>
  <c r="C151" i="59"/>
  <c r="AB101" i="59"/>
  <c r="C155" i="59"/>
  <c r="E101" i="59"/>
  <c r="X146" i="59"/>
  <c r="B151" i="59"/>
  <c r="B157" i="59"/>
  <c r="B150" i="59"/>
  <c r="AB100" i="59"/>
  <c r="N100" i="59"/>
  <c r="Y100" i="59"/>
  <c r="C156" i="59" s="1"/>
  <c r="E100" i="59"/>
  <c r="B155" i="59"/>
  <c r="AB104" i="57"/>
  <c r="AB125" i="57"/>
  <c r="AB119" i="57"/>
  <c r="AB118" i="57"/>
  <c r="S56" i="55"/>
  <c r="E56" i="55"/>
  <c r="E25" i="55"/>
  <c r="E58" i="55"/>
  <c r="E53" i="55"/>
  <c r="E52" i="55"/>
  <c r="D54" i="55"/>
  <c r="D53" i="55"/>
  <c r="D51" i="55"/>
  <c r="D52" i="55"/>
  <c r="D55" i="55"/>
  <c r="S57" i="55"/>
  <c r="S58" i="55"/>
  <c r="E57" i="55"/>
  <c r="E55" i="55"/>
  <c r="E54" i="55"/>
  <c r="E51" i="55"/>
  <c r="E26" i="55"/>
  <c r="D26" i="55"/>
  <c r="D25" i="55"/>
  <c r="D113" i="55"/>
  <c r="E113" i="55"/>
  <c r="D166" i="55"/>
  <c r="D165" i="55"/>
  <c r="D164" i="55"/>
  <c r="E166" i="55"/>
  <c r="D609" i="56"/>
  <c r="E609" i="56"/>
  <c r="X495" i="55"/>
  <c r="W495" i="55"/>
  <c r="R495" i="55"/>
  <c r="F495" i="55"/>
  <c r="N495" i="62" s="1"/>
  <c r="AC14" i="62"/>
  <c r="D495" i="62" l="1"/>
  <c r="S495" i="62"/>
  <c r="E495" i="62"/>
  <c r="Y495" i="62"/>
  <c r="N495" i="55"/>
  <c r="N495" i="57"/>
  <c r="Y495" i="55"/>
  <c r="Y495" i="57"/>
  <c r="E495" i="57"/>
  <c r="D495" i="55"/>
  <c r="D495" i="57"/>
  <c r="S495" i="57"/>
  <c r="C158" i="59"/>
  <c r="B156" i="59"/>
  <c r="B158" i="59" s="1"/>
  <c r="E146" i="59"/>
  <c r="Y146" i="59"/>
  <c r="N146" i="59"/>
  <c r="E495" i="55"/>
  <c r="S495" i="55"/>
  <c r="D608" i="56" l="1"/>
  <c r="E608" i="56"/>
  <c r="R136" i="55" l="1"/>
  <c r="W136" i="55"/>
  <c r="E113" i="6"/>
  <c r="M113" i="6" s="1"/>
  <c r="K113" i="6"/>
  <c r="D67" i="56"/>
  <c r="E67" i="56"/>
  <c r="D607" i="56"/>
  <c r="E607" i="56"/>
  <c r="Y136" i="62" l="1"/>
  <c r="S136" i="62"/>
  <c r="D136" i="62"/>
  <c r="Y136" i="57"/>
  <c r="S136" i="57"/>
  <c r="D136" i="57"/>
  <c r="AA136" i="57" s="1"/>
  <c r="Y136" i="60"/>
  <c r="S136" i="55"/>
  <c r="S136" i="60"/>
  <c r="D136" i="55"/>
  <c r="F136" i="55"/>
  <c r="X136" i="55"/>
  <c r="Y136" i="55"/>
  <c r="T434" i="55"/>
  <c r="F14" i="55"/>
  <c r="F15" i="55"/>
  <c r="F16" i="55"/>
  <c r="F17" i="55"/>
  <c r="F18" i="55"/>
  <c r="F19" i="55"/>
  <c r="F20" i="55"/>
  <c r="F21" i="55"/>
  <c r="F22" i="55"/>
  <c r="F23" i="55"/>
  <c r="F24" i="55"/>
  <c r="F27" i="55"/>
  <c r="F28" i="55"/>
  <c r="F29" i="55"/>
  <c r="F30" i="55"/>
  <c r="F31" i="55"/>
  <c r="F32" i="55"/>
  <c r="F33" i="55"/>
  <c r="F34" i="55"/>
  <c r="F35" i="55"/>
  <c r="F36" i="55"/>
  <c r="F37" i="55"/>
  <c r="F38" i="55"/>
  <c r="F39" i="55"/>
  <c r="F40" i="55"/>
  <c r="F42" i="55"/>
  <c r="F43" i="55"/>
  <c r="F44" i="55"/>
  <c r="F45" i="55"/>
  <c r="F46" i="55"/>
  <c r="F47" i="55"/>
  <c r="F48" i="55"/>
  <c r="F41" i="55"/>
  <c r="F59" i="55"/>
  <c r="F60" i="55"/>
  <c r="F61" i="55"/>
  <c r="F62" i="55"/>
  <c r="F63" i="55"/>
  <c r="F64" i="55"/>
  <c r="F65" i="55"/>
  <c r="F66" i="55"/>
  <c r="F67" i="55"/>
  <c r="F68" i="55"/>
  <c r="F69" i="55"/>
  <c r="F70" i="55"/>
  <c r="F73" i="55"/>
  <c r="F74" i="55"/>
  <c r="F75" i="55"/>
  <c r="F76" i="55"/>
  <c r="F77" i="55"/>
  <c r="F78" i="55"/>
  <c r="F79" i="55"/>
  <c r="F80" i="55"/>
  <c r="F81" i="55"/>
  <c r="F82" i="55"/>
  <c r="F83" i="55"/>
  <c r="F84" i="55"/>
  <c r="F85" i="55"/>
  <c r="F86" i="55"/>
  <c r="F87" i="55"/>
  <c r="F88" i="55"/>
  <c r="F89" i="55"/>
  <c r="F90" i="55"/>
  <c r="F91" i="55"/>
  <c r="F92" i="55"/>
  <c r="F93" i="55"/>
  <c r="F94" i="55"/>
  <c r="F95" i="55"/>
  <c r="F96" i="55"/>
  <c r="F97" i="55"/>
  <c r="F98" i="55"/>
  <c r="F99" i="55"/>
  <c r="F100" i="55"/>
  <c r="F101" i="55"/>
  <c r="F102" i="55"/>
  <c r="F103" i="55"/>
  <c r="F104" i="55"/>
  <c r="F105" i="55"/>
  <c r="F106" i="55"/>
  <c r="F107" i="55"/>
  <c r="F108" i="55"/>
  <c r="F109" i="55"/>
  <c r="F110" i="55"/>
  <c r="F111" i="55"/>
  <c r="F112" i="55"/>
  <c r="F114" i="55"/>
  <c r="F115" i="55"/>
  <c r="F116" i="55"/>
  <c r="F117" i="55"/>
  <c r="F118" i="55"/>
  <c r="F119" i="55"/>
  <c r="F120" i="55"/>
  <c r="F121" i="55"/>
  <c r="F122" i="55"/>
  <c r="F123" i="55"/>
  <c r="F124" i="55"/>
  <c r="F125" i="55"/>
  <c r="F126" i="55"/>
  <c r="F127" i="55"/>
  <c r="F128" i="55"/>
  <c r="F129" i="55"/>
  <c r="F130" i="55"/>
  <c r="F131" i="55"/>
  <c r="F132" i="55"/>
  <c r="F133" i="55"/>
  <c r="F134" i="55"/>
  <c r="F135" i="55"/>
  <c r="F137" i="55"/>
  <c r="F138" i="55"/>
  <c r="F139" i="55"/>
  <c r="F140" i="55"/>
  <c r="F141" i="55"/>
  <c r="F142" i="55"/>
  <c r="F143" i="55"/>
  <c r="F144" i="55"/>
  <c r="F145" i="55"/>
  <c r="F146" i="55"/>
  <c r="F147" i="55"/>
  <c r="F148" i="55"/>
  <c r="F149" i="55"/>
  <c r="F150" i="55"/>
  <c r="F151" i="55"/>
  <c r="F152" i="55"/>
  <c r="F153" i="55"/>
  <c r="F154" i="55"/>
  <c r="F155" i="55"/>
  <c r="F156" i="55"/>
  <c r="F157" i="55"/>
  <c r="F158" i="55"/>
  <c r="F159" i="55"/>
  <c r="F160" i="55"/>
  <c r="F161" i="55"/>
  <c r="F162" i="55"/>
  <c r="F163" i="55"/>
  <c r="F167" i="55"/>
  <c r="F168" i="55"/>
  <c r="F170" i="55"/>
  <c r="F171" i="55"/>
  <c r="F172" i="55"/>
  <c r="F173" i="55"/>
  <c r="F174" i="55"/>
  <c r="F175" i="55"/>
  <c r="F177" i="55"/>
  <c r="F178" i="55"/>
  <c r="F179" i="55"/>
  <c r="F180" i="55"/>
  <c r="F181" i="55"/>
  <c r="F182" i="55"/>
  <c r="F183" i="55"/>
  <c r="F184" i="55"/>
  <c r="F185" i="55"/>
  <c r="F186" i="55"/>
  <c r="F187" i="55"/>
  <c r="F188" i="55"/>
  <c r="F189" i="55"/>
  <c r="F190" i="55"/>
  <c r="F191" i="55"/>
  <c r="F192" i="55"/>
  <c r="F193" i="55"/>
  <c r="F194" i="55"/>
  <c r="F195" i="55"/>
  <c r="F196" i="55"/>
  <c r="F197" i="55"/>
  <c r="F198" i="55"/>
  <c r="F199" i="55"/>
  <c r="F200" i="55"/>
  <c r="N200" i="62" s="1"/>
  <c r="F209" i="55"/>
  <c r="N209" i="62" s="1"/>
  <c r="F210" i="55"/>
  <c r="N210" i="62" s="1"/>
  <c r="F211" i="55"/>
  <c r="N211" i="62" s="1"/>
  <c r="F212" i="55"/>
  <c r="N212" i="62" s="1"/>
  <c r="F213" i="55"/>
  <c r="N213" i="62" s="1"/>
  <c r="F214" i="55"/>
  <c r="N214" i="62" s="1"/>
  <c r="F215" i="55"/>
  <c r="N215" i="62" s="1"/>
  <c r="F216" i="55"/>
  <c r="N216" i="62" s="1"/>
  <c r="F217" i="55"/>
  <c r="N217" i="62" s="1"/>
  <c r="F218" i="55"/>
  <c r="N218" i="62" s="1"/>
  <c r="F219" i="55"/>
  <c r="N219" i="62" s="1"/>
  <c r="F220" i="55"/>
  <c r="N220" i="62" s="1"/>
  <c r="F221" i="55"/>
  <c r="N221" i="62" s="1"/>
  <c r="F222" i="55"/>
  <c r="N222" i="62" s="1"/>
  <c r="F223" i="55"/>
  <c r="N223" i="62" s="1"/>
  <c r="F224" i="55"/>
  <c r="N224" i="62" s="1"/>
  <c r="F225" i="55"/>
  <c r="N225" i="62" s="1"/>
  <c r="F226" i="55"/>
  <c r="N226" i="62" s="1"/>
  <c r="F227" i="55"/>
  <c r="N227" i="62" s="1"/>
  <c r="F228" i="55"/>
  <c r="N228" i="62" s="1"/>
  <c r="F229" i="55"/>
  <c r="N229" i="62" s="1"/>
  <c r="F230" i="55"/>
  <c r="N230" i="62" s="1"/>
  <c r="F231" i="55"/>
  <c r="N231" i="62" s="1"/>
  <c r="F232" i="55"/>
  <c r="N232" i="62" s="1"/>
  <c r="F233" i="55"/>
  <c r="N233" i="62" s="1"/>
  <c r="F234" i="55"/>
  <c r="N234" i="62" s="1"/>
  <c r="F235" i="55"/>
  <c r="N235" i="62" s="1"/>
  <c r="F236" i="55"/>
  <c r="N236" i="62" s="1"/>
  <c r="F237" i="55"/>
  <c r="N237" i="62" s="1"/>
  <c r="F238" i="55"/>
  <c r="N238" i="62" s="1"/>
  <c r="F239" i="55"/>
  <c r="N239" i="62" s="1"/>
  <c r="F240" i="55"/>
  <c r="N240" i="62" s="1"/>
  <c r="F241" i="55"/>
  <c r="N241" i="62" s="1"/>
  <c r="F242" i="55"/>
  <c r="N242" i="62" s="1"/>
  <c r="F243" i="55"/>
  <c r="N243" i="62" s="1"/>
  <c r="F244" i="55"/>
  <c r="N244" i="62" s="1"/>
  <c r="F245" i="55"/>
  <c r="N245" i="62" s="1"/>
  <c r="F246" i="55"/>
  <c r="N246" i="62" s="1"/>
  <c r="F247" i="55"/>
  <c r="N247" i="62" s="1"/>
  <c r="F248" i="55"/>
  <c r="N248" i="62" s="1"/>
  <c r="F249" i="55"/>
  <c r="N249" i="62" s="1"/>
  <c r="F250" i="55"/>
  <c r="N250" i="62" s="1"/>
  <c r="F251" i="55"/>
  <c r="N251" i="62" s="1"/>
  <c r="F252" i="55"/>
  <c r="N252" i="62" s="1"/>
  <c r="F253" i="55"/>
  <c r="N253" i="62" s="1"/>
  <c r="F254" i="55"/>
  <c r="N254" i="62" s="1"/>
  <c r="F255" i="55"/>
  <c r="N255" i="62" s="1"/>
  <c r="F256" i="55"/>
  <c r="N256" i="62" s="1"/>
  <c r="F257" i="55"/>
  <c r="N257" i="62" s="1"/>
  <c r="F258" i="55"/>
  <c r="N258" i="62" s="1"/>
  <c r="F259" i="55"/>
  <c r="N259" i="62" s="1"/>
  <c r="F260" i="55"/>
  <c r="N260" i="62" s="1"/>
  <c r="F261" i="55"/>
  <c r="N261" i="62" s="1"/>
  <c r="F262" i="55"/>
  <c r="N262" i="62" s="1"/>
  <c r="F263" i="55"/>
  <c r="N263" i="62" s="1"/>
  <c r="F264" i="55"/>
  <c r="N264" i="62" s="1"/>
  <c r="F265" i="55"/>
  <c r="N265" i="62" s="1"/>
  <c r="F266" i="55"/>
  <c r="N266" i="62" s="1"/>
  <c r="F267" i="55"/>
  <c r="N267" i="62" s="1"/>
  <c r="F268" i="55"/>
  <c r="N268" i="62" s="1"/>
  <c r="F269" i="55"/>
  <c r="N269" i="62" s="1"/>
  <c r="F270" i="55"/>
  <c r="N270" i="62" s="1"/>
  <c r="F271" i="55"/>
  <c r="N271" i="62" s="1"/>
  <c r="F272" i="55"/>
  <c r="N272" i="62" s="1"/>
  <c r="F273" i="55"/>
  <c r="N273" i="62" s="1"/>
  <c r="F274" i="55"/>
  <c r="N274" i="62" s="1"/>
  <c r="F275" i="55"/>
  <c r="N275" i="62" s="1"/>
  <c r="F276" i="55"/>
  <c r="N276" i="62" s="1"/>
  <c r="F277" i="55"/>
  <c r="N277" i="62" s="1"/>
  <c r="F278" i="55"/>
  <c r="N278" i="62" s="1"/>
  <c r="F279" i="55"/>
  <c r="N279" i="62" s="1"/>
  <c r="F280" i="55"/>
  <c r="N280" i="62" s="1"/>
  <c r="F281" i="55"/>
  <c r="N281" i="62" s="1"/>
  <c r="F282" i="55"/>
  <c r="N282" i="62" s="1"/>
  <c r="F283" i="55"/>
  <c r="N283" i="62" s="1"/>
  <c r="F284" i="55"/>
  <c r="N284" i="62" s="1"/>
  <c r="F285" i="55"/>
  <c r="N285" i="62" s="1"/>
  <c r="F286" i="55"/>
  <c r="N286" i="62" s="1"/>
  <c r="F287" i="55"/>
  <c r="N287" i="62" s="1"/>
  <c r="F288" i="55"/>
  <c r="N288" i="62" s="1"/>
  <c r="F289" i="55"/>
  <c r="N289" i="62" s="1"/>
  <c r="F290" i="55"/>
  <c r="N290" i="62" s="1"/>
  <c r="F291" i="55"/>
  <c r="N291" i="62" s="1"/>
  <c r="F292" i="55"/>
  <c r="N292" i="62" s="1"/>
  <c r="F293" i="55"/>
  <c r="N293" i="62" s="1"/>
  <c r="F294" i="55"/>
  <c r="N294" i="62" s="1"/>
  <c r="F295" i="55"/>
  <c r="N295" i="62" s="1"/>
  <c r="F296" i="55"/>
  <c r="N296" i="62" s="1"/>
  <c r="F297" i="55"/>
  <c r="N297" i="62" s="1"/>
  <c r="F298" i="55"/>
  <c r="N298" i="62" s="1"/>
  <c r="F299" i="55"/>
  <c r="N299" i="62" s="1"/>
  <c r="F300" i="55"/>
  <c r="N300" i="62" s="1"/>
  <c r="F301" i="55"/>
  <c r="N301" i="62" s="1"/>
  <c r="F302" i="55"/>
  <c r="N302" i="62" s="1"/>
  <c r="F303" i="55"/>
  <c r="N303" i="62" s="1"/>
  <c r="F304" i="55"/>
  <c r="N304" i="62" s="1"/>
  <c r="F305" i="55"/>
  <c r="N305" i="62" s="1"/>
  <c r="F306" i="55"/>
  <c r="N306" i="62" s="1"/>
  <c r="F307" i="55"/>
  <c r="N307" i="62" s="1"/>
  <c r="F308" i="55"/>
  <c r="N308" i="62" s="1"/>
  <c r="F309" i="55"/>
  <c r="N309" i="62" s="1"/>
  <c r="F310" i="55"/>
  <c r="N310" i="62" s="1"/>
  <c r="F311" i="55"/>
  <c r="N311" i="62" s="1"/>
  <c r="F312" i="55"/>
  <c r="N312" i="62" s="1"/>
  <c r="F313" i="55"/>
  <c r="N313" i="62" s="1"/>
  <c r="F314" i="55"/>
  <c r="N314" i="62" s="1"/>
  <c r="F315" i="55"/>
  <c r="N315" i="62" s="1"/>
  <c r="F316" i="55"/>
  <c r="N316" i="62" s="1"/>
  <c r="F317" i="55"/>
  <c r="N317" i="62" s="1"/>
  <c r="F318" i="55"/>
  <c r="N318" i="62" s="1"/>
  <c r="F319" i="55"/>
  <c r="N319" i="62" s="1"/>
  <c r="F320" i="55"/>
  <c r="N320" i="62" s="1"/>
  <c r="F321" i="55"/>
  <c r="N321" i="62" s="1"/>
  <c r="F322" i="55"/>
  <c r="N322" i="62" s="1"/>
  <c r="F323" i="55"/>
  <c r="N323" i="62" s="1"/>
  <c r="F324" i="55"/>
  <c r="N324" i="62" s="1"/>
  <c r="F325" i="55"/>
  <c r="N325" i="62" s="1"/>
  <c r="F326" i="55"/>
  <c r="N326" i="62" s="1"/>
  <c r="F327" i="55"/>
  <c r="N327" i="62" s="1"/>
  <c r="F328" i="55"/>
  <c r="N328" i="62" s="1"/>
  <c r="F329" i="55"/>
  <c r="N329" i="62" s="1"/>
  <c r="F330" i="55"/>
  <c r="N330" i="62" s="1"/>
  <c r="F331" i="55"/>
  <c r="N331" i="62" s="1"/>
  <c r="F332" i="55"/>
  <c r="N332" i="62" s="1"/>
  <c r="F333" i="55"/>
  <c r="N333" i="62" s="1"/>
  <c r="F334" i="55"/>
  <c r="N334" i="62" s="1"/>
  <c r="F335" i="55"/>
  <c r="N335" i="62" s="1"/>
  <c r="F336" i="55"/>
  <c r="N336" i="62" s="1"/>
  <c r="F337" i="55"/>
  <c r="N337" i="62" s="1"/>
  <c r="F338" i="55"/>
  <c r="N338" i="62" s="1"/>
  <c r="F339" i="55"/>
  <c r="N339" i="62" s="1"/>
  <c r="F340" i="55"/>
  <c r="N340" i="62" s="1"/>
  <c r="F341" i="55"/>
  <c r="N341" i="62" s="1"/>
  <c r="F342" i="55"/>
  <c r="N342" i="62" s="1"/>
  <c r="F343" i="55"/>
  <c r="N343" i="62" s="1"/>
  <c r="F344" i="55"/>
  <c r="N344" i="62" s="1"/>
  <c r="F345" i="55"/>
  <c r="N345" i="62" s="1"/>
  <c r="F346" i="55"/>
  <c r="N346" i="62" s="1"/>
  <c r="F347" i="55"/>
  <c r="N347" i="62" s="1"/>
  <c r="F348" i="55"/>
  <c r="N348" i="62" s="1"/>
  <c r="F349" i="55"/>
  <c r="N349" i="62" s="1"/>
  <c r="F350" i="55"/>
  <c r="N350" i="62" s="1"/>
  <c r="F351" i="55"/>
  <c r="N351" i="62" s="1"/>
  <c r="F352" i="55"/>
  <c r="N352" i="62" s="1"/>
  <c r="F359" i="55"/>
  <c r="N359" i="62" s="1"/>
  <c r="F360" i="55"/>
  <c r="N360" i="62" s="1"/>
  <c r="F361" i="55"/>
  <c r="N361" i="62" s="1"/>
  <c r="F362" i="55"/>
  <c r="N362" i="62" s="1"/>
  <c r="F363" i="55"/>
  <c r="N363" i="62" s="1"/>
  <c r="F364" i="55"/>
  <c r="N364" i="62" s="1"/>
  <c r="F365" i="55"/>
  <c r="N365" i="62" s="1"/>
  <c r="F366" i="55"/>
  <c r="N366" i="62" s="1"/>
  <c r="F367" i="55"/>
  <c r="N367" i="62" s="1"/>
  <c r="F368" i="55"/>
  <c r="N368" i="62" s="1"/>
  <c r="F369" i="55"/>
  <c r="N369" i="62" s="1"/>
  <c r="F370" i="55"/>
  <c r="N370" i="62" s="1"/>
  <c r="F371" i="55"/>
  <c r="N371" i="62" s="1"/>
  <c r="F372" i="55"/>
  <c r="N372" i="62" s="1"/>
  <c r="F373" i="55"/>
  <c r="N373" i="62" s="1"/>
  <c r="F374" i="55"/>
  <c r="N374" i="62" s="1"/>
  <c r="F375" i="55"/>
  <c r="N375" i="62" s="1"/>
  <c r="F376" i="55"/>
  <c r="N376" i="62" s="1"/>
  <c r="F377" i="55"/>
  <c r="N377" i="62" s="1"/>
  <c r="F378" i="55"/>
  <c r="N378" i="62" s="1"/>
  <c r="F379" i="55"/>
  <c r="N379" i="62" s="1"/>
  <c r="F381" i="55"/>
  <c r="N381" i="62" s="1"/>
  <c r="F382" i="55"/>
  <c r="N382" i="62" s="1"/>
  <c r="F383" i="55"/>
  <c r="N383" i="62" s="1"/>
  <c r="F384" i="55"/>
  <c r="N384" i="62" s="1"/>
  <c r="F385" i="55"/>
  <c r="N385" i="62" s="1"/>
  <c r="F386" i="55"/>
  <c r="N386" i="62" s="1"/>
  <c r="F387" i="55"/>
  <c r="N387" i="62" s="1"/>
  <c r="F388" i="55"/>
  <c r="N388" i="62" s="1"/>
  <c r="F389" i="55"/>
  <c r="N389" i="62" s="1"/>
  <c r="F390" i="55"/>
  <c r="N390" i="62" s="1"/>
  <c r="F391" i="55"/>
  <c r="N391" i="62" s="1"/>
  <c r="F392" i="55"/>
  <c r="N392" i="62" s="1"/>
  <c r="F393" i="55"/>
  <c r="N393" i="62" s="1"/>
  <c r="F394" i="55"/>
  <c r="N394" i="62" s="1"/>
  <c r="F395" i="55"/>
  <c r="N395" i="62" s="1"/>
  <c r="F396" i="55"/>
  <c r="N396" i="62" s="1"/>
  <c r="F397" i="55"/>
  <c r="N397" i="62" s="1"/>
  <c r="F398" i="55"/>
  <c r="N398" i="62" s="1"/>
  <c r="F399" i="55"/>
  <c r="N399" i="62" s="1"/>
  <c r="F400" i="55"/>
  <c r="N400" i="62" s="1"/>
  <c r="F401" i="55"/>
  <c r="N401" i="62" s="1"/>
  <c r="F402" i="55"/>
  <c r="N402" i="62" s="1"/>
  <c r="F403" i="55"/>
  <c r="N403" i="62" s="1"/>
  <c r="F404" i="55"/>
  <c r="N404" i="62" s="1"/>
  <c r="F405" i="55"/>
  <c r="N405" i="62" s="1"/>
  <c r="F406" i="55"/>
  <c r="N406" i="62" s="1"/>
  <c r="F407" i="55"/>
  <c r="N407" i="62" s="1"/>
  <c r="F408" i="55"/>
  <c r="N408" i="62" s="1"/>
  <c r="F409" i="55"/>
  <c r="N409" i="62" s="1"/>
  <c r="F410" i="55"/>
  <c r="N410" i="62" s="1"/>
  <c r="F411" i="55"/>
  <c r="N411" i="62" s="1"/>
  <c r="F412" i="55"/>
  <c r="N412" i="62" s="1"/>
  <c r="F413" i="55"/>
  <c r="N413" i="62" s="1"/>
  <c r="F414" i="55"/>
  <c r="N414" i="62" s="1"/>
  <c r="F419" i="55"/>
  <c r="N419" i="62" s="1"/>
  <c r="F420" i="55"/>
  <c r="N420" i="62" s="1"/>
  <c r="F421" i="55"/>
  <c r="N421" i="62" s="1"/>
  <c r="F422" i="55"/>
  <c r="N422" i="62" s="1"/>
  <c r="F423" i="55"/>
  <c r="N423" i="62" s="1"/>
  <c r="F424" i="55"/>
  <c r="N424" i="62" s="1"/>
  <c r="F425" i="55"/>
  <c r="N425" i="62" s="1"/>
  <c r="F426" i="55"/>
  <c r="N426" i="62" s="1"/>
  <c r="F427" i="55"/>
  <c r="N427" i="62" s="1"/>
  <c r="F428" i="55"/>
  <c r="N428" i="62" s="1"/>
  <c r="F429" i="55"/>
  <c r="N429" i="62" s="1"/>
  <c r="F430" i="55"/>
  <c r="N430" i="62" s="1"/>
  <c r="F431" i="55"/>
  <c r="N431" i="62" s="1"/>
  <c r="F432" i="55"/>
  <c r="N432" i="62" s="1"/>
  <c r="F433" i="55"/>
  <c r="N433" i="62" s="1"/>
  <c r="F434" i="55"/>
  <c r="N434" i="62" s="1"/>
  <c r="F435" i="55"/>
  <c r="N435" i="62" s="1"/>
  <c r="F436" i="55"/>
  <c r="N436" i="62" s="1"/>
  <c r="F437" i="55"/>
  <c r="N437" i="62" s="1"/>
  <c r="F438" i="55"/>
  <c r="N438" i="62" s="1"/>
  <c r="F439" i="55"/>
  <c r="N439" i="62" s="1"/>
  <c r="F440" i="55"/>
  <c r="N440" i="62" s="1"/>
  <c r="F441" i="55"/>
  <c r="N441" i="62" s="1"/>
  <c r="F442" i="55"/>
  <c r="N442" i="62" s="1"/>
  <c r="F443" i="55"/>
  <c r="N443" i="62" s="1"/>
  <c r="F444" i="55"/>
  <c r="N444" i="62" s="1"/>
  <c r="F445" i="55"/>
  <c r="N445" i="62" s="1"/>
  <c r="F452" i="55"/>
  <c r="N452" i="62" s="1"/>
  <c r="F453" i="55"/>
  <c r="N453" i="62" s="1"/>
  <c r="F454" i="55"/>
  <c r="N454" i="62" s="1"/>
  <c r="F455" i="55"/>
  <c r="N455" i="62" s="1"/>
  <c r="F456" i="55"/>
  <c r="N456" i="62" s="1"/>
  <c r="F457" i="55"/>
  <c r="N457" i="62" s="1"/>
  <c r="F458" i="55"/>
  <c r="N458" i="62" s="1"/>
  <c r="F459" i="55"/>
  <c r="N459" i="62" s="1"/>
  <c r="F460" i="55"/>
  <c r="N460" i="62" s="1"/>
  <c r="F461" i="55"/>
  <c r="N461" i="62" s="1"/>
  <c r="F462" i="55"/>
  <c r="N462" i="62" s="1"/>
  <c r="F463" i="55"/>
  <c r="N463" i="62" s="1"/>
  <c r="F464" i="55"/>
  <c r="N464" i="62" s="1"/>
  <c r="F465" i="55"/>
  <c r="N465" i="62" s="1"/>
  <c r="F466" i="55"/>
  <c r="N466" i="62" s="1"/>
  <c r="F467" i="55"/>
  <c r="N467" i="62" s="1"/>
  <c r="F468" i="55"/>
  <c r="N468" i="62" s="1"/>
  <c r="F469" i="55"/>
  <c r="N469" i="62" s="1"/>
  <c r="F470" i="55"/>
  <c r="N470" i="62" s="1"/>
  <c r="F471" i="55"/>
  <c r="N471" i="62" s="1"/>
  <c r="F472" i="55"/>
  <c r="N472" i="62" s="1"/>
  <c r="F473" i="55"/>
  <c r="N473" i="62" s="1"/>
  <c r="F474" i="55"/>
  <c r="N474" i="62" s="1"/>
  <c r="F475" i="55"/>
  <c r="N475" i="62" s="1"/>
  <c r="F476" i="55"/>
  <c r="N476" i="62" s="1"/>
  <c r="F477" i="55"/>
  <c r="N477" i="62" s="1"/>
  <c r="F478" i="55"/>
  <c r="N478" i="62" s="1"/>
  <c r="F479" i="55"/>
  <c r="N479" i="62" s="1"/>
  <c r="F480" i="55"/>
  <c r="N480" i="62" s="1"/>
  <c r="F481" i="55"/>
  <c r="N481" i="62" s="1"/>
  <c r="F482" i="55"/>
  <c r="N482" i="62" s="1"/>
  <c r="F483" i="55"/>
  <c r="N483" i="62" s="1"/>
  <c r="F484" i="55"/>
  <c r="N484" i="62" s="1"/>
  <c r="F485" i="55"/>
  <c r="N485" i="62" s="1"/>
  <c r="F486" i="55"/>
  <c r="N486" i="62" s="1"/>
  <c r="F487" i="55"/>
  <c r="N487" i="62" s="1"/>
  <c r="F488" i="55"/>
  <c r="N488" i="62" s="1"/>
  <c r="F489" i="55"/>
  <c r="N489" i="62" s="1"/>
  <c r="F490" i="55"/>
  <c r="N490" i="62" s="1"/>
  <c r="F491" i="55"/>
  <c r="N491" i="62" s="1"/>
  <c r="F492" i="55"/>
  <c r="N492" i="62" s="1"/>
  <c r="F493" i="55"/>
  <c r="N493" i="62" s="1"/>
  <c r="F494" i="55"/>
  <c r="N494" i="62" s="1"/>
  <c r="F496" i="55"/>
  <c r="N496" i="62" s="1"/>
  <c r="F497" i="55"/>
  <c r="N497" i="62" s="1"/>
  <c r="F498" i="55"/>
  <c r="N498" i="62" s="1"/>
  <c r="F499" i="55"/>
  <c r="N499" i="62" s="1"/>
  <c r="F500" i="55"/>
  <c r="N500" i="62" s="1"/>
  <c r="F501" i="55"/>
  <c r="N501" i="62" s="1"/>
  <c r="F502" i="55"/>
  <c r="N502" i="62" s="1"/>
  <c r="F503" i="55"/>
  <c r="N503" i="62" s="1"/>
  <c r="F504" i="55"/>
  <c r="N504" i="62" s="1"/>
  <c r="F505" i="55"/>
  <c r="N505" i="62" s="1"/>
  <c r="F506" i="55"/>
  <c r="N506" i="62" s="1"/>
  <c r="F507" i="55"/>
  <c r="N507" i="62" s="1"/>
  <c r="F508" i="55"/>
  <c r="N508" i="62" s="1"/>
  <c r="F509" i="55"/>
  <c r="N509" i="62" s="1"/>
  <c r="F510" i="55"/>
  <c r="N510" i="62" s="1"/>
  <c r="F511" i="55"/>
  <c r="N511" i="62" s="1"/>
  <c r="F512" i="55"/>
  <c r="N512" i="62" s="1"/>
  <c r="F513" i="55"/>
  <c r="N513" i="62" s="1"/>
  <c r="F514" i="55"/>
  <c r="N514" i="62" s="1"/>
  <c r="F515" i="55"/>
  <c r="N515" i="62" s="1"/>
  <c r="F516" i="55"/>
  <c r="N516" i="62" s="1"/>
  <c r="F517" i="55"/>
  <c r="N517" i="62" s="1"/>
  <c r="F518" i="55"/>
  <c r="N518" i="62" s="1"/>
  <c r="F519" i="55"/>
  <c r="N519" i="62" s="1"/>
  <c r="F520" i="55"/>
  <c r="N520" i="62" s="1"/>
  <c r="F521" i="55"/>
  <c r="N521" i="62" s="1"/>
  <c r="F522" i="55"/>
  <c r="N522" i="62" s="1"/>
  <c r="F523" i="55"/>
  <c r="N523" i="62" s="1"/>
  <c r="F524" i="55"/>
  <c r="N524" i="62" s="1"/>
  <c r="F525" i="55"/>
  <c r="N525" i="62" s="1"/>
  <c r="F526" i="55"/>
  <c r="N526" i="62" s="1"/>
  <c r="F527" i="55"/>
  <c r="N527" i="62" s="1"/>
  <c r="F528" i="55"/>
  <c r="N528" i="62" s="1"/>
  <c r="F529" i="55"/>
  <c r="N529" i="62" s="1"/>
  <c r="F530" i="55"/>
  <c r="N530" i="62" s="1"/>
  <c r="F531" i="55"/>
  <c r="N531" i="62" s="1"/>
  <c r="F532" i="55"/>
  <c r="N532" i="62" s="1"/>
  <c r="F533" i="55"/>
  <c r="N533" i="62" s="1"/>
  <c r="F534" i="55"/>
  <c r="N534" i="62" s="1"/>
  <c r="F535" i="55"/>
  <c r="N535" i="62" s="1"/>
  <c r="F536" i="55"/>
  <c r="N536" i="62" s="1"/>
  <c r="F537" i="55"/>
  <c r="N537" i="62" s="1"/>
  <c r="F538" i="55"/>
  <c r="N538" i="62" s="1"/>
  <c r="F539" i="55"/>
  <c r="N539" i="62" s="1"/>
  <c r="F540" i="55"/>
  <c r="N540" i="62" s="1"/>
  <c r="F541" i="55"/>
  <c r="N541" i="62" s="1"/>
  <c r="F542" i="55"/>
  <c r="N542" i="62" s="1"/>
  <c r="F543" i="55"/>
  <c r="N543" i="62" s="1"/>
  <c r="F544" i="55"/>
  <c r="N544" i="62" s="1"/>
  <c r="F545" i="55"/>
  <c r="N545" i="62" s="1"/>
  <c r="F546" i="55"/>
  <c r="N546" i="62" s="1"/>
  <c r="F547" i="55"/>
  <c r="N547" i="62" s="1"/>
  <c r="F548" i="55"/>
  <c r="N548" i="62" s="1"/>
  <c r="F549" i="55"/>
  <c r="N549" i="62" s="1"/>
  <c r="F550" i="55"/>
  <c r="N550" i="62" s="1"/>
  <c r="F551" i="55"/>
  <c r="N551" i="62" s="1"/>
  <c r="F552" i="55"/>
  <c r="N552" i="62" s="1"/>
  <c r="F553" i="55"/>
  <c r="N553" i="62" s="1"/>
  <c r="F554" i="55"/>
  <c r="N554" i="62" s="1"/>
  <c r="F555" i="55"/>
  <c r="N555" i="62" s="1"/>
  <c r="F556" i="55"/>
  <c r="N556" i="62" s="1"/>
  <c r="F557" i="55"/>
  <c r="N557" i="62" s="1"/>
  <c r="F558" i="55"/>
  <c r="N558" i="62" s="1"/>
  <c r="F559" i="55"/>
  <c r="N559" i="62" s="1"/>
  <c r="F560" i="55"/>
  <c r="N560" i="62" s="1"/>
  <c r="F561" i="55"/>
  <c r="N561" i="62" s="1"/>
  <c r="F562" i="55"/>
  <c r="N562" i="62" s="1"/>
  <c r="F563" i="55"/>
  <c r="N563" i="62" s="1"/>
  <c r="F564" i="55"/>
  <c r="N564" i="62" s="1"/>
  <c r="F565" i="55"/>
  <c r="N565" i="62" s="1"/>
  <c r="F566" i="55"/>
  <c r="N566" i="62" s="1"/>
  <c r="F567" i="55"/>
  <c r="N567" i="62" s="1"/>
  <c r="F568" i="55"/>
  <c r="N568" i="62" s="1"/>
  <c r="F569" i="55"/>
  <c r="N569" i="62" s="1"/>
  <c r="F570" i="55"/>
  <c r="N570" i="62" s="1"/>
  <c r="F571" i="55"/>
  <c r="N571" i="62" s="1"/>
  <c r="F572" i="55"/>
  <c r="N572" i="62" s="1"/>
  <c r="F573" i="55"/>
  <c r="N573" i="62" s="1"/>
  <c r="F574" i="55"/>
  <c r="N574" i="62" s="1"/>
  <c r="F575" i="55"/>
  <c r="N575" i="62" s="1"/>
  <c r="F576" i="55"/>
  <c r="N576" i="62" s="1"/>
  <c r="F577" i="55"/>
  <c r="N577" i="62" s="1"/>
  <c r="F578" i="55"/>
  <c r="N578" i="62" s="1"/>
  <c r="F579" i="55"/>
  <c r="N579" i="62" s="1"/>
  <c r="F580" i="55"/>
  <c r="N580" i="62" s="1"/>
  <c r="F581" i="55"/>
  <c r="N581" i="62" s="1"/>
  <c r="F582" i="55"/>
  <c r="N582" i="62" s="1"/>
  <c r="F583" i="55"/>
  <c r="N583" i="62" s="1"/>
  <c r="F584" i="55"/>
  <c r="N584" i="62" s="1"/>
  <c r="F585" i="55"/>
  <c r="N585" i="62" s="1"/>
  <c r="F586" i="55"/>
  <c r="N586" i="62" s="1"/>
  <c r="F587" i="55"/>
  <c r="N587" i="62" s="1"/>
  <c r="F588" i="55"/>
  <c r="N588" i="62" s="1"/>
  <c r="F589" i="55"/>
  <c r="N589" i="62" s="1"/>
  <c r="F590" i="55"/>
  <c r="N590" i="62" s="1"/>
  <c r="F591" i="55"/>
  <c r="N591" i="62" s="1"/>
  <c r="F592" i="55"/>
  <c r="N592" i="62" s="1"/>
  <c r="F593" i="55"/>
  <c r="N593" i="62" s="1"/>
  <c r="F594" i="55"/>
  <c r="N594" i="62" s="1"/>
  <c r="F595" i="55"/>
  <c r="N595" i="62" s="1"/>
  <c r="F596" i="55"/>
  <c r="N596" i="62" s="1"/>
  <c r="F597" i="55"/>
  <c r="N597" i="62" s="1"/>
  <c r="F598" i="55"/>
  <c r="N598" i="62" s="1"/>
  <c r="F599" i="55"/>
  <c r="N599" i="62" s="1"/>
  <c r="F600" i="55"/>
  <c r="N600" i="62" s="1"/>
  <c r="F601" i="55"/>
  <c r="N601" i="62" s="1"/>
  <c r="F602" i="55"/>
  <c r="N602" i="62" s="1"/>
  <c r="F603" i="55"/>
  <c r="N603" i="62" s="1"/>
  <c r="F604" i="55"/>
  <c r="N604" i="62" s="1"/>
  <c r="F605" i="55"/>
  <c r="N605" i="62" s="1"/>
  <c r="F606" i="55"/>
  <c r="N606" i="62" s="1"/>
  <c r="F607" i="55"/>
  <c r="N607" i="62" s="1"/>
  <c r="F608" i="55"/>
  <c r="N608" i="62" s="1"/>
  <c r="F609" i="55"/>
  <c r="N609" i="62" s="1"/>
  <c r="F610" i="55"/>
  <c r="F611" i="55"/>
  <c r="F612" i="55"/>
  <c r="F613" i="55"/>
  <c r="F614" i="55"/>
  <c r="F615" i="55"/>
  <c r="F616" i="55"/>
  <c r="F617" i="55"/>
  <c r="F618" i="55"/>
  <c r="F620" i="55"/>
  <c r="F622" i="55"/>
  <c r="F623" i="55"/>
  <c r="F624" i="55"/>
  <c r="F625" i="55"/>
  <c r="F626" i="55"/>
  <c r="F627" i="55"/>
  <c r="F628" i="55"/>
  <c r="F629" i="55"/>
  <c r="F630" i="55"/>
  <c r="F631" i="55"/>
  <c r="F632" i="55"/>
  <c r="F633" i="55"/>
  <c r="F634" i="55"/>
  <c r="F635" i="55"/>
  <c r="F636" i="55"/>
  <c r="F637" i="55"/>
  <c r="F638" i="55"/>
  <c r="F639" i="55"/>
  <c r="F640" i="55"/>
  <c r="F641" i="55"/>
  <c r="F642" i="55"/>
  <c r="F643" i="55"/>
  <c r="F644" i="55"/>
  <c r="F645" i="55"/>
  <c r="F646" i="55"/>
  <c r="F647" i="55"/>
  <c r="N647" i="62" s="1"/>
  <c r="D14" i="56"/>
  <c r="X15" i="55"/>
  <c r="X16" i="55"/>
  <c r="X17" i="55"/>
  <c r="X18" i="55"/>
  <c r="X19" i="55"/>
  <c r="X20" i="55"/>
  <c r="X21" i="55"/>
  <c r="X22" i="55"/>
  <c r="X23" i="55"/>
  <c r="X24" i="55"/>
  <c r="X27" i="55"/>
  <c r="X28" i="55"/>
  <c r="X29" i="55"/>
  <c r="X30" i="55"/>
  <c r="X31" i="55"/>
  <c r="X32" i="55"/>
  <c r="X33" i="55"/>
  <c r="X34" i="55"/>
  <c r="X35" i="55"/>
  <c r="X36" i="55"/>
  <c r="X37" i="55"/>
  <c r="X38" i="55"/>
  <c r="X39" i="55"/>
  <c r="X40" i="55"/>
  <c r="X42" i="55"/>
  <c r="X43" i="55"/>
  <c r="X44" i="55"/>
  <c r="X45" i="55"/>
  <c r="X46" i="55"/>
  <c r="X47" i="55"/>
  <c r="X48" i="55"/>
  <c r="X41" i="55"/>
  <c r="X59" i="55"/>
  <c r="X60" i="55"/>
  <c r="X61" i="55"/>
  <c r="X62" i="55"/>
  <c r="X63" i="55"/>
  <c r="X64" i="55"/>
  <c r="X65" i="55"/>
  <c r="X66" i="55"/>
  <c r="X67" i="55"/>
  <c r="X68" i="55"/>
  <c r="X69" i="55"/>
  <c r="X70" i="55"/>
  <c r="X73" i="55"/>
  <c r="X74" i="55"/>
  <c r="X75" i="55"/>
  <c r="X76" i="55"/>
  <c r="X77" i="55"/>
  <c r="X78" i="55"/>
  <c r="X79" i="55"/>
  <c r="X80" i="55"/>
  <c r="X81" i="55"/>
  <c r="X82" i="55"/>
  <c r="X83" i="55"/>
  <c r="X84" i="55"/>
  <c r="X85" i="55"/>
  <c r="X86" i="55"/>
  <c r="X87" i="55"/>
  <c r="X88" i="55"/>
  <c r="X89" i="55"/>
  <c r="X90" i="55"/>
  <c r="X91" i="55"/>
  <c r="X92" i="55"/>
  <c r="X93" i="55"/>
  <c r="X94" i="55"/>
  <c r="X95" i="55"/>
  <c r="X96" i="55"/>
  <c r="X97" i="55"/>
  <c r="X98" i="55"/>
  <c r="X99" i="55"/>
  <c r="X100" i="55"/>
  <c r="X101" i="55"/>
  <c r="X102" i="55"/>
  <c r="X103" i="55"/>
  <c r="X104" i="55"/>
  <c r="X105" i="55"/>
  <c r="X106" i="55"/>
  <c r="X107" i="55"/>
  <c r="X108" i="55"/>
  <c r="X109" i="55"/>
  <c r="X110" i="55"/>
  <c r="X111" i="55"/>
  <c r="X112" i="55"/>
  <c r="X114" i="55"/>
  <c r="X115" i="55"/>
  <c r="X116" i="55"/>
  <c r="X117" i="55"/>
  <c r="X118" i="55"/>
  <c r="X119" i="55"/>
  <c r="X120" i="55"/>
  <c r="X121" i="55"/>
  <c r="X122" i="55"/>
  <c r="X123" i="55"/>
  <c r="X124" i="55"/>
  <c r="X125" i="55"/>
  <c r="X126" i="55"/>
  <c r="X127" i="55"/>
  <c r="X128" i="55"/>
  <c r="X129" i="55"/>
  <c r="X130" i="55"/>
  <c r="X131" i="55"/>
  <c r="X132" i="55"/>
  <c r="X133" i="55"/>
  <c r="X134" i="55"/>
  <c r="X135" i="55"/>
  <c r="X137" i="55"/>
  <c r="X138" i="55"/>
  <c r="X139" i="55"/>
  <c r="X140" i="55"/>
  <c r="X141" i="55"/>
  <c r="X142" i="55"/>
  <c r="X143" i="55"/>
  <c r="X144" i="55"/>
  <c r="X145" i="55"/>
  <c r="X146" i="55"/>
  <c r="X147" i="55"/>
  <c r="X148" i="55"/>
  <c r="X149" i="55"/>
  <c r="X150" i="55"/>
  <c r="X151" i="55"/>
  <c r="X152" i="55"/>
  <c r="X153" i="55"/>
  <c r="X154" i="55"/>
  <c r="X155" i="55"/>
  <c r="X156" i="55"/>
  <c r="X157" i="55"/>
  <c r="X158" i="55"/>
  <c r="X159" i="55"/>
  <c r="X160" i="55"/>
  <c r="X161" i="55"/>
  <c r="X162" i="55"/>
  <c r="X163" i="55"/>
  <c r="X167" i="55"/>
  <c r="X168" i="55"/>
  <c r="X170" i="55"/>
  <c r="X171" i="55"/>
  <c r="X172" i="55"/>
  <c r="X173" i="55"/>
  <c r="X174" i="55"/>
  <c r="X175" i="55"/>
  <c r="X177" i="55"/>
  <c r="X178" i="55"/>
  <c r="X179" i="55"/>
  <c r="X180" i="55"/>
  <c r="X181" i="55"/>
  <c r="X182" i="55"/>
  <c r="X183" i="55"/>
  <c r="X184" i="55"/>
  <c r="X185" i="55"/>
  <c r="X186" i="55"/>
  <c r="X187" i="55"/>
  <c r="X188" i="55"/>
  <c r="X189" i="55"/>
  <c r="X190" i="55"/>
  <c r="X191" i="55"/>
  <c r="X192" i="55"/>
  <c r="X193" i="55"/>
  <c r="X194" i="55"/>
  <c r="X195" i="55"/>
  <c r="X196" i="55"/>
  <c r="X197" i="55"/>
  <c r="X198" i="55"/>
  <c r="X199" i="55"/>
  <c r="X200" i="55"/>
  <c r="X209" i="55"/>
  <c r="X210" i="55"/>
  <c r="X211" i="55"/>
  <c r="X212" i="55"/>
  <c r="X213" i="55"/>
  <c r="X214" i="55"/>
  <c r="X215" i="55"/>
  <c r="X216" i="55"/>
  <c r="X217" i="55"/>
  <c r="X218" i="55"/>
  <c r="X219" i="55"/>
  <c r="X220" i="55"/>
  <c r="X221" i="55"/>
  <c r="X222" i="55"/>
  <c r="X223" i="55"/>
  <c r="X224" i="55"/>
  <c r="X225" i="55"/>
  <c r="X226" i="55"/>
  <c r="X227" i="55"/>
  <c r="X228" i="55"/>
  <c r="X229" i="55"/>
  <c r="X230" i="55"/>
  <c r="X231" i="55"/>
  <c r="X232" i="55"/>
  <c r="X233" i="55"/>
  <c r="X234" i="55"/>
  <c r="X235" i="55"/>
  <c r="X236" i="55"/>
  <c r="X237" i="55"/>
  <c r="X238" i="55"/>
  <c r="X239" i="55"/>
  <c r="X240" i="55"/>
  <c r="X241" i="55"/>
  <c r="X242" i="55"/>
  <c r="X243" i="55"/>
  <c r="X244" i="55"/>
  <c r="X245" i="55"/>
  <c r="X246" i="55"/>
  <c r="X247" i="55"/>
  <c r="X248" i="55"/>
  <c r="X249" i="55"/>
  <c r="X250" i="55"/>
  <c r="X251" i="55"/>
  <c r="X252" i="55"/>
  <c r="X253" i="55"/>
  <c r="X254" i="55"/>
  <c r="X255" i="55"/>
  <c r="X256" i="55"/>
  <c r="X257" i="55"/>
  <c r="X258" i="55"/>
  <c r="X259" i="55"/>
  <c r="X260" i="55"/>
  <c r="X261" i="55"/>
  <c r="X262" i="55"/>
  <c r="X263" i="55"/>
  <c r="X264" i="55"/>
  <c r="X265" i="55"/>
  <c r="X266" i="55"/>
  <c r="X267" i="55"/>
  <c r="X268" i="55"/>
  <c r="X269" i="55"/>
  <c r="X270" i="55"/>
  <c r="X271" i="55"/>
  <c r="X272" i="55"/>
  <c r="X273" i="55"/>
  <c r="X274" i="55"/>
  <c r="X275" i="55"/>
  <c r="X276" i="55"/>
  <c r="X277" i="55"/>
  <c r="X278" i="55"/>
  <c r="X279" i="55"/>
  <c r="X280" i="55"/>
  <c r="X281" i="55"/>
  <c r="X282" i="55"/>
  <c r="X283" i="55"/>
  <c r="X284" i="55"/>
  <c r="X285" i="55"/>
  <c r="X286" i="55"/>
  <c r="X287" i="55"/>
  <c r="X288" i="55"/>
  <c r="X289" i="55"/>
  <c r="X290" i="55"/>
  <c r="X291" i="55"/>
  <c r="X292" i="55"/>
  <c r="X293" i="55"/>
  <c r="X294" i="55"/>
  <c r="X295" i="55"/>
  <c r="X296" i="55"/>
  <c r="X297" i="55"/>
  <c r="X298" i="55"/>
  <c r="X299" i="55"/>
  <c r="X300" i="55"/>
  <c r="X301" i="55"/>
  <c r="X302" i="55"/>
  <c r="X303" i="55"/>
  <c r="X304" i="55"/>
  <c r="X305" i="55"/>
  <c r="X306" i="55"/>
  <c r="X307" i="55"/>
  <c r="X308" i="55"/>
  <c r="X309" i="55"/>
  <c r="X310" i="55"/>
  <c r="X311" i="55"/>
  <c r="X312" i="55"/>
  <c r="X313" i="55"/>
  <c r="X314" i="55"/>
  <c r="X315" i="55"/>
  <c r="X316" i="55"/>
  <c r="X317" i="55"/>
  <c r="X318" i="55"/>
  <c r="X319" i="55"/>
  <c r="X320" i="55"/>
  <c r="X321" i="55"/>
  <c r="X322" i="55"/>
  <c r="X323" i="55"/>
  <c r="X324" i="55"/>
  <c r="X325" i="55"/>
  <c r="X326" i="55"/>
  <c r="X327" i="55"/>
  <c r="X328" i="55"/>
  <c r="X329" i="55"/>
  <c r="X330" i="55"/>
  <c r="X331" i="55"/>
  <c r="X332" i="55"/>
  <c r="X333" i="55"/>
  <c r="X334" i="55"/>
  <c r="X335" i="55"/>
  <c r="X336" i="55"/>
  <c r="X337" i="55"/>
  <c r="X338" i="55"/>
  <c r="X339" i="55"/>
  <c r="X340" i="55"/>
  <c r="X341" i="55"/>
  <c r="X342" i="55"/>
  <c r="X343" i="55"/>
  <c r="X344" i="55"/>
  <c r="X345" i="55"/>
  <c r="X346" i="55"/>
  <c r="X347" i="55"/>
  <c r="X348" i="55"/>
  <c r="X349" i="55"/>
  <c r="X350" i="55"/>
  <c r="X351" i="55"/>
  <c r="X352" i="55"/>
  <c r="X353" i="55"/>
  <c r="X359" i="55"/>
  <c r="X360" i="55"/>
  <c r="X361" i="55"/>
  <c r="X362" i="55"/>
  <c r="X363" i="55"/>
  <c r="X364" i="55"/>
  <c r="X365" i="55"/>
  <c r="X366" i="55"/>
  <c r="X367" i="55"/>
  <c r="X368" i="55"/>
  <c r="X369" i="55"/>
  <c r="X370" i="55"/>
  <c r="X371" i="55"/>
  <c r="X372" i="55"/>
  <c r="X373" i="55"/>
  <c r="X374" i="55"/>
  <c r="X375" i="55"/>
  <c r="X376" i="55"/>
  <c r="X377" i="55"/>
  <c r="X378" i="55"/>
  <c r="X379" i="55"/>
  <c r="X381" i="55"/>
  <c r="X382" i="55"/>
  <c r="X383" i="55"/>
  <c r="X384" i="55"/>
  <c r="X385" i="55"/>
  <c r="X386" i="55"/>
  <c r="X387" i="55"/>
  <c r="X388" i="55"/>
  <c r="X389" i="55"/>
  <c r="X390" i="55"/>
  <c r="X391" i="55"/>
  <c r="X392" i="55"/>
  <c r="X393" i="55"/>
  <c r="X394" i="55"/>
  <c r="X395" i="55"/>
  <c r="X396" i="55"/>
  <c r="X397" i="55"/>
  <c r="X398" i="55"/>
  <c r="X399" i="55"/>
  <c r="X400" i="55"/>
  <c r="X401" i="55"/>
  <c r="X402" i="55"/>
  <c r="X403" i="55"/>
  <c r="X404" i="55"/>
  <c r="X405" i="55"/>
  <c r="X406" i="55"/>
  <c r="X407" i="55"/>
  <c r="X408" i="55"/>
  <c r="X409" i="55"/>
  <c r="X410" i="55"/>
  <c r="X411" i="55"/>
  <c r="X412" i="55"/>
  <c r="X413" i="55"/>
  <c r="X414" i="55"/>
  <c r="X419" i="55"/>
  <c r="X420" i="55"/>
  <c r="X421" i="55"/>
  <c r="X422" i="55"/>
  <c r="X423" i="55"/>
  <c r="X424" i="55"/>
  <c r="X425" i="55"/>
  <c r="X426" i="55"/>
  <c r="X427" i="55"/>
  <c r="X428" i="55"/>
  <c r="X429" i="55"/>
  <c r="X430" i="55"/>
  <c r="X431" i="55"/>
  <c r="X432" i="55"/>
  <c r="X433" i="55"/>
  <c r="X435" i="55"/>
  <c r="X436" i="55"/>
  <c r="X437" i="55"/>
  <c r="X438" i="55"/>
  <c r="X439" i="55"/>
  <c r="X440" i="55"/>
  <c r="X441" i="55"/>
  <c r="X442" i="55"/>
  <c r="X443" i="55"/>
  <c r="X444" i="55"/>
  <c r="X445" i="55"/>
  <c r="X452" i="55"/>
  <c r="X453" i="55"/>
  <c r="X454" i="55"/>
  <c r="X455" i="55"/>
  <c r="X456" i="55"/>
  <c r="X457" i="55"/>
  <c r="X458" i="55"/>
  <c r="X459" i="55"/>
  <c r="X460" i="55"/>
  <c r="X461" i="55"/>
  <c r="X462" i="55"/>
  <c r="X463" i="55"/>
  <c r="X464" i="55"/>
  <c r="X465" i="55"/>
  <c r="X466" i="55"/>
  <c r="X467" i="55"/>
  <c r="X468" i="55"/>
  <c r="X469" i="55"/>
  <c r="X470" i="55"/>
  <c r="X471" i="55"/>
  <c r="X472" i="55"/>
  <c r="X473" i="55"/>
  <c r="X474" i="55"/>
  <c r="X475" i="55"/>
  <c r="X476" i="55"/>
  <c r="X477" i="55"/>
  <c r="X478" i="55"/>
  <c r="X479" i="55"/>
  <c r="X480" i="55"/>
  <c r="X481" i="55"/>
  <c r="X482" i="55"/>
  <c r="X483" i="55"/>
  <c r="X484" i="55"/>
  <c r="X485" i="55"/>
  <c r="X486" i="55"/>
  <c r="X487" i="55"/>
  <c r="X488" i="55"/>
  <c r="X489" i="55"/>
  <c r="X490" i="55"/>
  <c r="X491" i="55"/>
  <c r="X492" i="55"/>
  <c r="X493" i="55"/>
  <c r="X494" i="55"/>
  <c r="X496" i="55"/>
  <c r="X497" i="55"/>
  <c r="X498" i="55"/>
  <c r="X499" i="55"/>
  <c r="X500" i="55"/>
  <c r="X501" i="55"/>
  <c r="X502" i="55"/>
  <c r="X503" i="55"/>
  <c r="X504" i="55"/>
  <c r="X505" i="55"/>
  <c r="X506" i="55"/>
  <c r="X507" i="55"/>
  <c r="X508" i="55"/>
  <c r="X509" i="55"/>
  <c r="X510" i="55"/>
  <c r="X511" i="55"/>
  <c r="X512" i="55"/>
  <c r="X513" i="55"/>
  <c r="X514" i="55"/>
  <c r="X515" i="55"/>
  <c r="X516" i="55"/>
  <c r="X517" i="55"/>
  <c r="X518" i="55"/>
  <c r="X519" i="55"/>
  <c r="X520" i="55"/>
  <c r="X521" i="55"/>
  <c r="X522" i="55"/>
  <c r="X523" i="55"/>
  <c r="X524" i="55"/>
  <c r="X525" i="55"/>
  <c r="X526" i="55"/>
  <c r="X527" i="55"/>
  <c r="X528" i="55"/>
  <c r="X529" i="55"/>
  <c r="X530" i="55"/>
  <c r="X531" i="55"/>
  <c r="X532" i="55"/>
  <c r="X533" i="55"/>
  <c r="X534" i="55"/>
  <c r="X535" i="55"/>
  <c r="X536" i="55"/>
  <c r="X537" i="55"/>
  <c r="X538" i="55"/>
  <c r="X539" i="55"/>
  <c r="X540" i="55"/>
  <c r="X541" i="55"/>
  <c r="X542" i="55"/>
  <c r="X543" i="55"/>
  <c r="X544" i="55"/>
  <c r="X545" i="55"/>
  <c r="X546" i="55"/>
  <c r="X547" i="55"/>
  <c r="X548" i="55"/>
  <c r="X549" i="55"/>
  <c r="X550" i="55"/>
  <c r="X551" i="55"/>
  <c r="X552" i="55"/>
  <c r="X553" i="55"/>
  <c r="X554" i="55"/>
  <c r="X555" i="55"/>
  <c r="X556" i="55"/>
  <c r="X557" i="55"/>
  <c r="X558" i="55"/>
  <c r="X559" i="55"/>
  <c r="X560" i="55"/>
  <c r="X561" i="55"/>
  <c r="X562" i="55"/>
  <c r="X563" i="55"/>
  <c r="X564" i="55"/>
  <c r="X565" i="55"/>
  <c r="X566" i="55"/>
  <c r="X567" i="55"/>
  <c r="X568" i="55"/>
  <c r="X569" i="55"/>
  <c r="X570" i="55"/>
  <c r="X571" i="55"/>
  <c r="X572" i="55"/>
  <c r="X573" i="55"/>
  <c r="X574" i="55"/>
  <c r="X575" i="55"/>
  <c r="X576" i="55"/>
  <c r="X577" i="55"/>
  <c r="X578" i="55"/>
  <c r="X579" i="55"/>
  <c r="X580" i="55"/>
  <c r="X581" i="55"/>
  <c r="X582" i="55"/>
  <c r="X583" i="55"/>
  <c r="X584" i="55"/>
  <c r="X585" i="55"/>
  <c r="X586" i="55"/>
  <c r="X587" i="55"/>
  <c r="X588" i="55"/>
  <c r="X589" i="55"/>
  <c r="X590" i="55"/>
  <c r="X591" i="55"/>
  <c r="X592" i="55"/>
  <c r="X593" i="55"/>
  <c r="X594" i="55"/>
  <c r="X595" i="55"/>
  <c r="X596" i="55"/>
  <c r="X597" i="55"/>
  <c r="X598" i="55"/>
  <c r="X599" i="55"/>
  <c r="X600" i="55"/>
  <c r="X601" i="55"/>
  <c r="X602" i="55"/>
  <c r="X603" i="55"/>
  <c r="X604" i="55"/>
  <c r="X605" i="55"/>
  <c r="X606" i="55"/>
  <c r="X607" i="55"/>
  <c r="X608" i="55"/>
  <c r="X609" i="55"/>
  <c r="X610" i="55"/>
  <c r="X611" i="55"/>
  <c r="X612" i="55"/>
  <c r="X613" i="55"/>
  <c r="X614" i="55"/>
  <c r="X615" i="55"/>
  <c r="X616" i="55"/>
  <c r="X617" i="55"/>
  <c r="X618" i="55"/>
  <c r="X620" i="55"/>
  <c r="X622" i="55"/>
  <c r="X623" i="55"/>
  <c r="X624" i="55"/>
  <c r="X625" i="55"/>
  <c r="X626" i="55"/>
  <c r="X627" i="55"/>
  <c r="X49" i="55"/>
  <c r="X50" i="55"/>
  <c r="X628" i="55"/>
  <c r="X629" i="55"/>
  <c r="X630" i="55"/>
  <c r="X631" i="55"/>
  <c r="X632" i="55"/>
  <c r="X633" i="55"/>
  <c r="X634" i="55"/>
  <c r="X635" i="55"/>
  <c r="X636" i="55"/>
  <c r="X637" i="55"/>
  <c r="X638" i="55"/>
  <c r="X639" i="55"/>
  <c r="X640" i="55"/>
  <c r="X641" i="55"/>
  <c r="X642" i="55"/>
  <c r="X643" i="55"/>
  <c r="X644" i="55"/>
  <c r="X645" i="55"/>
  <c r="X646" i="55"/>
  <c r="X647" i="55"/>
  <c r="X14" i="55"/>
  <c r="E122" i="6"/>
  <c r="E606" i="56"/>
  <c r="E605" i="56"/>
  <c r="E604" i="56"/>
  <c r="E603" i="56"/>
  <c r="E602" i="56"/>
  <c r="E601" i="56"/>
  <c r="E600" i="56"/>
  <c r="E599" i="56"/>
  <c r="E598" i="56"/>
  <c r="E597" i="56"/>
  <c r="E596" i="56"/>
  <c r="E595" i="56"/>
  <c r="E594" i="56"/>
  <c r="E593" i="56"/>
  <c r="E592" i="56"/>
  <c r="E591" i="56"/>
  <c r="E590" i="56"/>
  <c r="E589" i="56"/>
  <c r="E588" i="56"/>
  <c r="E587" i="56"/>
  <c r="E586" i="56"/>
  <c r="E585" i="56"/>
  <c r="E584" i="56"/>
  <c r="E583" i="56"/>
  <c r="E582" i="56"/>
  <c r="E581" i="56"/>
  <c r="E580" i="56"/>
  <c r="E579" i="56"/>
  <c r="E578" i="56"/>
  <c r="E577" i="56"/>
  <c r="E576" i="56"/>
  <c r="E575" i="56"/>
  <c r="E574" i="56"/>
  <c r="E573" i="56"/>
  <c r="E572" i="56"/>
  <c r="E571" i="56"/>
  <c r="E570" i="56"/>
  <c r="E569" i="56"/>
  <c r="E568" i="56"/>
  <c r="E567" i="56"/>
  <c r="E566" i="56"/>
  <c r="E565" i="56"/>
  <c r="E564" i="56"/>
  <c r="E563" i="56"/>
  <c r="E562" i="56"/>
  <c r="E561" i="56"/>
  <c r="E560" i="56"/>
  <c r="E559" i="56"/>
  <c r="E558" i="56"/>
  <c r="E557" i="56"/>
  <c r="E556" i="56"/>
  <c r="E555" i="56"/>
  <c r="E554" i="56"/>
  <c r="E553" i="56"/>
  <c r="E552" i="56"/>
  <c r="E551" i="56"/>
  <c r="E550" i="56"/>
  <c r="E549" i="56"/>
  <c r="E548" i="56"/>
  <c r="E547" i="56"/>
  <c r="E546" i="56"/>
  <c r="E545" i="56"/>
  <c r="E544" i="56"/>
  <c r="E543" i="56"/>
  <c r="E542" i="56"/>
  <c r="E541" i="56"/>
  <c r="E540" i="56"/>
  <c r="E539" i="56"/>
  <c r="E538" i="56"/>
  <c r="E537" i="56"/>
  <c r="E536" i="56"/>
  <c r="E535" i="56"/>
  <c r="E534" i="56"/>
  <c r="E533" i="56"/>
  <c r="E532" i="56"/>
  <c r="E531" i="56"/>
  <c r="E530" i="56"/>
  <c r="E529" i="56"/>
  <c r="E528" i="56"/>
  <c r="E527" i="56"/>
  <c r="E526" i="56"/>
  <c r="E525" i="56"/>
  <c r="E524" i="56"/>
  <c r="E523" i="56"/>
  <c r="E522" i="56"/>
  <c r="E521" i="56"/>
  <c r="E520" i="56"/>
  <c r="E519" i="56"/>
  <c r="E518" i="56"/>
  <c r="E517" i="56"/>
  <c r="E516" i="56"/>
  <c r="E515" i="56"/>
  <c r="E514" i="56"/>
  <c r="E513" i="56"/>
  <c r="E512" i="56"/>
  <c r="E511" i="56"/>
  <c r="E510" i="56"/>
  <c r="E509" i="56"/>
  <c r="E508" i="56"/>
  <c r="E507" i="56"/>
  <c r="E506" i="56"/>
  <c r="E505" i="56"/>
  <c r="E504" i="56"/>
  <c r="E503" i="56"/>
  <c r="E502" i="56"/>
  <c r="E501" i="56"/>
  <c r="E500" i="56"/>
  <c r="E499" i="56"/>
  <c r="E498" i="56"/>
  <c r="E497" i="56"/>
  <c r="E496" i="56"/>
  <c r="E495" i="56"/>
  <c r="E494" i="56"/>
  <c r="E493" i="56"/>
  <c r="E492" i="56"/>
  <c r="E491" i="56"/>
  <c r="E490" i="56"/>
  <c r="E489" i="56"/>
  <c r="E488" i="56"/>
  <c r="E487" i="56"/>
  <c r="E486" i="56"/>
  <c r="E485" i="56"/>
  <c r="E484" i="56"/>
  <c r="E483" i="56"/>
  <c r="E482" i="56"/>
  <c r="E481" i="56"/>
  <c r="E480" i="56"/>
  <c r="E479" i="56"/>
  <c r="E478" i="56"/>
  <c r="E477" i="56"/>
  <c r="E476" i="56"/>
  <c r="E475" i="56"/>
  <c r="E474" i="56"/>
  <c r="E473" i="56"/>
  <c r="E472" i="56"/>
  <c r="E471" i="56"/>
  <c r="E470" i="56"/>
  <c r="E469" i="56"/>
  <c r="E468" i="56"/>
  <c r="E467" i="56"/>
  <c r="E466" i="56"/>
  <c r="E465" i="56"/>
  <c r="E464" i="56"/>
  <c r="E463" i="56"/>
  <c r="E462" i="56"/>
  <c r="E461" i="56"/>
  <c r="E460" i="56"/>
  <c r="E459" i="56"/>
  <c r="E458" i="56"/>
  <c r="E457" i="56"/>
  <c r="E456" i="56"/>
  <c r="E455" i="56"/>
  <c r="E454" i="56"/>
  <c r="E453" i="56"/>
  <c r="E452" i="56"/>
  <c r="E451" i="56"/>
  <c r="E450" i="56"/>
  <c r="E449" i="56"/>
  <c r="E448" i="56"/>
  <c r="E447" i="56"/>
  <c r="E446" i="56"/>
  <c r="E445" i="56"/>
  <c r="E444" i="56"/>
  <c r="E443" i="56"/>
  <c r="E442" i="56"/>
  <c r="E441" i="56"/>
  <c r="E440" i="56"/>
  <c r="E439" i="56"/>
  <c r="E438" i="56"/>
  <c r="E437" i="56"/>
  <c r="E436" i="56"/>
  <c r="E435" i="56"/>
  <c r="E434" i="56"/>
  <c r="E433" i="56"/>
  <c r="E432" i="56"/>
  <c r="E431" i="56"/>
  <c r="E430" i="56"/>
  <c r="E429" i="56"/>
  <c r="E428" i="56"/>
  <c r="E427" i="56"/>
  <c r="E426" i="56"/>
  <c r="E425" i="56"/>
  <c r="E424" i="56"/>
  <c r="E423" i="56"/>
  <c r="E422" i="56"/>
  <c r="E421" i="56"/>
  <c r="E420" i="56"/>
  <c r="E419" i="56"/>
  <c r="E418" i="56"/>
  <c r="E417" i="56"/>
  <c r="E416" i="56"/>
  <c r="E415" i="56"/>
  <c r="E414" i="56"/>
  <c r="E413" i="56"/>
  <c r="E412" i="56"/>
  <c r="E411" i="56"/>
  <c r="E410" i="56"/>
  <c r="E409" i="56"/>
  <c r="E408" i="56"/>
  <c r="E407" i="56"/>
  <c r="E406" i="56"/>
  <c r="E405" i="56"/>
  <c r="E404" i="56"/>
  <c r="E403" i="56"/>
  <c r="E402" i="56"/>
  <c r="E401" i="56"/>
  <c r="E400" i="56"/>
  <c r="E399" i="56"/>
  <c r="E398" i="56"/>
  <c r="E397" i="56"/>
  <c r="E396" i="56"/>
  <c r="E395" i="56"/>
  <c r="E394" i="56"/>
  <c r="E393" i="56"/>
  <c r="E392" i="56"/>
  <c r="E391" i="56"/>
  <c r="E390" i="56"/>
  <c r="E389" i="56"/>
  <c r="E388" i="56"/>
  <c r="E387" i="56"/>
  <c r="E386" i="56"/>
  <c r="E385" i="56"/>
  <c r="E384" i="56"/>
  <c r="E383" i="56"/>
  <c r="E382" i="56"/>
  <c r="E381" i="56"/>
  <c r="E380" i="56"/>
  <c r="E379" i="56"/>
  <c r="E378" i="56"/>
  <c r="E377" i="56"/>
  <c r="E376" i="56"/>
  <c r="E375" i="56"/>
  <c r="E374" i="56"/>
  <c r="E373" i="56"/>
  <c r="E372" i="56"/>
  <c r="E371" i="56"/>
  <c r="E370" i="56"/>
  <c r="E369" i="56"/>
  <c r="E368" i="56"/>
  <c r="E367" i="56"/>
  <c r="E366" i="56"/>
  <c r="E365" i="56"/>
  <c r="E364" i="56"/>
  <c r="E363" i="56"/>
  <c r="E362" i="56"/>
  <c r="E361" i="56"/>
  <c r="E360" i="56"/>
  <c r="E359" i="56"/>
  <c r="E358" i="56"/>
  <c r="E357" i="56"/>
  <c r="E356" i="56"/>
  <c r="E355" i="56"/>
  <c r="E354" i="56"/>
  <c r="E353" i="56"/>
  <c r="E352" i="56"/>
  <c r="E351" i="56"/>
  <c r="E350" i="56"/>
  <c r="E349" i="56"/>
  <c r="E348" i="56"/>
  <c r="E347" i="56"/>
  <c r="E346" i="56"/>
  <c r="E345" i="56"/>
  <c r="E344" i="56"/>
  <c r="E343" i="56"/>
  <c r="E342" i="56"/>
  <c r="E341" i="56"/>
  <c r="E340" i="56"/>
  <c r="E339" i="56"/>
  <c r="E338" i="56"/>
  <c r="E337" i="56"/>
  <c r="E336" i="56"/>
  <c r="E335" i="56"/>
  <c r="E334" i="56"/>
  <c r="E333" i="56"/>
  <c r="E332" i="56"/>
  <c r="E331" i="56"/>
  <c r="E330" i="56"/>
  <c r="E329" i="56"/>
  <c r="E328" i="56"/>
  <c r="E327" i="56"/>
  <c r="E326" i="56"/>
  <c r="E325" i="56"/>
  <c r="E324" i="56"/>
  <c r="E323" i="56"/>
  <c r="E322" i="56"/>
  <c r="E321" i="56"/>
  <c r="E320" i="56"/>
  <c r="E319" i="56"/>
  <c r="E318" i="56"/>
  <c r="E317" i="56"/>
  <c r="E316" i="56"/>
  <c r="E315" i="56"/>
  <c r="E314" i="56"/>
  <c r="E313" i="56"/>
  <c r="E312" i="56"/>
  <c r="E311" i="56"/>
  <c r="E310" i="56"/>
  <c r="E309" i="56"/>
  <c r="E308" i="56"/>
  <c r="E307" i="56"/>
  <c r="E306" i="56"/>
  <c r="E305" i="56"/>
  <c r="E304" i="56"/>
  <c r="E303" i="56"/>
  <c r="E302" i="56"/>
  <c r="E301" i="56"/>
  <c r="E300" i="56"/>
  <c r="E299" i="56"/>
  <c r="E298" i="56"/>
  <c r="E297" i="56"/>
  <c r="E296" i="56"/>
  <c r="E295" i="56"/>
  <c r="E294" i="56"/>
  <c r="E293" i="56"/>
  <c r="E292" i="56"/>
  <c r="E291" i="56"/>
  <c r="E290" i="56"/>
  <c r="E289" i="56"/>
  <c r="E288" i="56"/>
  <c r="E287" i="56"/>
  <c r="E286" i="56"/>
  <c r="E285" i="56"/>
  <c r="E284" i="56"/>
  <c r="E283" i="56"/>
  <c r="E214" i="56"/>
  <c r="E213" i="56"/>
  <c r="E212" i="56"/>
  <c r="E211" i="56"/>
  <c r="E210" i="56"/>
  <c r="E209" i="56"/>
  <c r="E208" i="56"/>
  <c r="E207" i="56"/>
  <c r="E206" i="56"/>
  <c r="E205" i="56"/>
  <c r="E204" i="56"/>
  <c r="E203" i="56"/>
  <c r="E202" i="56"/>
  <c r="E201" i="56"/>
  <c r="E200" i="56"/>
  <c r="E199" i="56"/>
  <c r="E198" i="56"/>
  <c r="E197" i="56"/>
  <c r="E196" i="56"/>
  <c r="E195" i="56"/>
  <c r="E194" i="56"/>
  <c r="E193" i="56"/>
  <c r="E192" i="56"/>
  <c r="E191" i="56"/>
  <c r="E190" i="56"/>
  <c r="E189" i="56"/>
  <c r="E188" i="56"/>
  <c r="E187" i="56"/>
  <c r="E186" i="56"/>
  <c r="E185" i="56"/>
  <c r="E184" i="56"/>
  <c r="E183" i="56"/>
  <c r="E182" i="56"/>
  <c r="E181" i="56"/>
  <c r="E180" i="56"/>
  <c r="E179" i="56"/>
  <c r="E178" i="56"/>
  <c r="E177" i="56"/>
  <c r="E176" i="56"/>
  <c r="E175" i="56"/>
  <c r="E174" i="56"/>
  <c r="E173" i="56"/>
  <c r="E172" i="56"/>
  <c r="E171" i="56"/>
  <c r="E170" i="56"/>
  <c r="E169" i="56"/>
  <c r="E168" i="56"/>
  <c r="E167" i="56"/>
  <c r="E166" i="56"/>
  <c r="E165" i="56"/>
  <c r="E164" i="56"/>
  <c r="E163" i="56"/>
  <c r="E162" i="56"/>
  <c r="E161" i="56"/>
  <c r="E160" i="56"/>
  <c r="E159" i="56"/>
  <c r="E158" i="56"/>
  <c r="E157" i="56"/>
  <c r="E156" i="56"/>
  <c r="E155" i="56"/>
  <c r="E154" i="56"/>
  <c r="E153" i="56"/>
  <c r="E152" i="56"/>
  <c r="E151" i="56"/>
  <c r="E150" i="56"/>
  <c r="E149" i="56"/>
  <c r="E148" i="56"/>
  <c r="E147" i="56"/>
  <c r="E146" i="56"/>
  <c r="E145" i="56"/>
  <c r="E144" i="56"/>
  <c r="E143" i="56"/>
  <c r="E142" i="56"/>
  <c r="E141" i="56"/>
  <c r="E140" i="56"/>
  <c r="E139" i="56"/>
  <c r="E138" i="56"/>
  <c r="E137" i="56"/>
  <c r="E136" i="56"/>
  <c r="E135" i="56"/>
  <c r="E134" i="56"/>
  <c r="E133" i="56"/>
  <c r="E132" i="56"/>
  <c r="E131" i="56"/>
  <c r="E130" i="56"/>
  <c r="E129" i="56"/>
  <c r="E128" i="56"/>
  <c r="E127" i="56"/>
  <c r="E126" i="56"/>
  <c r="E125" i="56"/>
  <c r="E124" i="56"/>
  <c r="E123" i="56"/>
  <c r="E122" i="56"/>
  <c r="E121" i="56"/>
  <c r="E120" i="56"/>
  <c r="E119" i="56"/>
  <c r="E118" i="56"/>
  <c r="E117" i="56"/>
  <c r="E116" i="56"/>
  <c r="E115" i="56"/>
  <c r="E114" i="56"/>
  <c r="E113" i="56"/>
  <c r="E112" i="56"/>
  <c r="E111" i="56"/>
  <c r="E110" i="56"/>
  <c r="E109" i="56"/>
  <c r="E108" i="56"/>
  <c r="E107" i="56"/>
  <c r="E106" i="56"/>
  <c r="E105" i="56"/>
  <c r="E104" i="56"/>
  <c r="E103" i="56"/>
  <c r="E102" i="56"/>
  <c r="E101" i="56"/>
  <c r="E100" i="56"/>
  <c r="E99" i="56"/>
  <c r="E98" i="56"/>
  <c r="E97" i="56"/>
  <c r="E96" i="56"/>
  <c r="E95" i="56"/>
  <c r="E94" i="56"/>
  <c r="E93" i="56"/>
  <c r="E92" i="56"/>
  <c r="E91" i="56"/>
  <c r="E90" i="56"/>
  <c r="E89" i="56"/>
  <c r="E88" i="56"/>
  <c r="E87" i="56"/>
  <c r="E86" i="56"/>
  <c r="E85" i="56"/>
  <c r="E84" i="56"/>
  <c r="E83" i="56"/>
  <c r="E82" i="56"/>
  <c r="E81" i="56"/>
  <c r="E80" i="56"/>
  <c r="E79" i="56"/>
  <c r="E78" i="56"/>
  <c r="E77" i="56"/>
  <c r="E76" i="56"/>
  <c r="E75" i="56"/>
  <c r="E74" i="56"/>
  <c r="E73" i="56"/>
  <c r="E72" i="56"/>
  <c r="E71" i="56"/>
  <c r="E70" i="56"/>
  <c r="E69" i="56"/>
  <c r="E68" i="56"/>
  <c r="E66" i="56"/>
  <c r="E65" i="56"/>
  <c r="E64" i="56"/>
  <c r="E63" i="56"/>
  <c r="E62" i="56"/>
  <c r="E61" i="56"/>
  <c r="E60" i="56"/>
  <c r="E59" i="56"/>
  <c r="E58" i="56"/>
  <c r="E57" i="56"/>
  <c r="E56" i="56"/>
  <c r="E55" i="56"/>
  <c r="E54" i="56"/>
  <c r="E53" i="56"/>
  <c r="E52" i="56"/>
  <c r="E51" i="56"/>
  <c r="E50" i="56"/>
  <c r="E49" i="56"/>
  <c r="E48" i="56"/>
  <c r="E47" i="56"/>
  <c r="E46" i="56"/>
  <c r="E45" i="56"/>
  <c r="E44" i="56"/>
  <c r="E43" i="56"/>
  <c r="E42" i="56"/>
  <c r="E41" i="56"/>
  <c r="E40" i="56"/>
  <c r="E39" i="56"/>
  <c r="E38" i="56"/>
  <c r="E37" i="56"/>
  <c r="E36" i="56"/>
  <c r="E35" i="56"/>
  <c r="E34" i="56"/>
  <c r="E33" i="56"/>
  <c r="E32" i="56"/>
  <c r="E31" i="56"/>
  <c r="E30" i="56"/>
  <c r="E29" i="56"/>
  <c r="E28" i="56"/>
  <c r="E27" i="56"/>
  <c r="E26" i="56"/>
  <c r="E25" i="56"/>
  <c r="E24" i="56"/>
  <c r="E23" i="56"/>
  <c r="E22" i="56"/>
  <c r="E21" i="56"/>
  <c r="E20" i="56"/>
  <c r="E19" i="56"/>
  <c r="E18" i="56"/>
  <c r="E17" i="56"/>
  <c r="E16" i="56"/>
  <c r="E15" i="56"/>
  <c r="D606" i="56"/>
  <c r="D605" i="56"/>
  <c r="D604" i="56"/>
  <c r="D603" i="56"/>
  <c r="D602" i="56"/>
  <c r="D601" i="56"/>
  <c r="D600" i="56"/>
  <c r="D599" i="56"/>
  <c r="D598" i="56"/>
  <c r="D597" i="56"/>
  <c r="D596" i="56"/>
  <c r="D595" i="56"/>
  <c r="D594" i="56"/>
  <c r="D593" i="56"/>
  <c r="D592" i="56"/>
  <c r="D591" i="56"/>
  <c r="D590" i="56"/>
  <c r="D589" i="56"/>
  <c r="D588" i="56"/>
  <c r="D587" i="56"/>
  <c r="D586" i="56"/>
  <c r="D585" i="56"/>
  <c r="D584" i="56"/>
  <c r="D583" i="56"/>
  <c r="D582" i="56"/>
  <c r="D581" i="56"/>
  <c r="D580" i="56"/>
  <c r="D579" i="56"/>
  <c r="D578" i="56"/>
  <c r="D577" i="56"/>
  <c r="D576" i="56"/>
  <c r="D575" i="56"/>
  <c r="D574" i="56"/>
  <c r="D573" i="56"/>
  <c r="D572" i="56"/>
  <c r="D571" i="56"/>
  <c r="D570" i="56"/>
  <c r="D569" i="56"/>
  <c r="D568" i="56"/>
  <c r="D567" i="56"/>
  <c r="D566" i="56"/>
  <c r="D565" i="56"/>
  <c r="D564" i="56"/>
  <c r="D563" i="56"/>
  <c r="D562" i="56"/>
  <c r="D561" i="56"/>
  <c r="D560" i="56"/>
  <c r="D559" i="56"/>
  <c r="D558" i="56"/>
  <c r="D557" i="56"/>
  <c r="D556" i="56"/>
  <c r="D555" i="56"/>
  <c r="D554" i="56"/>
  <c r="D553" i="56"/>
  <c r="D552" i="56"/>
  <c r="D551" i="56"/>
  <c r="D550" i="56"/>
  <c r="D549" i="56"/>
  <c r="D548" i="56"/>
  <c r="D547" i="56"/>
  <c r="D546" i="56"/>
  <c r="D545" i="56"/>
  <c r="D544" i="56"/>
  <c r="D543" i="56"/>
  <c r="D542" i="56"/>
  <c r="D541" i="56"/>
  <c r="D540" i="56"/>
  <c r="D539" i="56"/>
  <c r="D538" i="56"/>
  <c r="D537" i="56"/>
  <c r="D536" i="56"/>
  <c r="D535" i="56"/>
  <c r="D534" i="56"/>
  <c r="D533" i="56"/>
  <c r="D532" i="56"/>
  <c r="D531" i="56"/>
  <c r="D530" i="56"/>
  <c r="D529" i="56"/>
  <c r="D528" i="56"/>
  <c r="D527" i="56"/>
  <c r="D526" i="56"/>
  <c r="D525" i="56"/>
  <c r="D524" i="56"/>
  <c r="D523" i="56"/>
  <c r="D522" i="56"/>
  <c r="D521" i="56"/>
  <c r="D520" i="56"/>
  <c r="D519" i="56"/>
  <c r="D518" i="56"/>
  <c r="D517" i="56"/>
  <c r="D516" i="56"/>
  <c r="D515" i="56"/>
  <c r="D514" i="56"/>
  <c r="D513" i="56"/>
  <c r="D512" i="56"/>
  <c r="D511" i="56"/>
  <c r="D510" i="56"/>
  <c r="D509" i="56"/>
  <c r="D508" i="56"/>
  <c r="D507" i="56"/>
  <c r="D506" i="56"/>
  <c r="D505" i="56"/>
  <c r="D504" i="56"/>
  <c r="D503" i="56"/>
  <c r="D502" i="56"/>
  <c r="D501" i="56"/>
  <c r="D500" i="56"/>
  <c r="D499" i="56"/>
  <c r="D498" i="56"/>
  <c r="D497" i="56"/>
  <c r="D496" i="56"/>
  <c r="D495" i="56"/>
  <c r="D494" i="56"/>
  <c r="D493" i="56"/>
  <c r="D492" i="56"/>
  <c r="D491" i="56"/>
  <c r="D490" i="56"/>
  <c r="D489" i="56"/>
  <c r="D488" i="56"/>
  <c r="D487" i="56"/>
  <c r="D486" i="56"/>
  <c r="D485" i="56"/>
  <c r="D484" i="56"/>
  <c r="D483" i="56"/>
  <c r="D482" i="56"/>
  <c r="D481" i="56"/>
  <c r="D480" i="56"/>
  <c r="D479" i="56"/>
  <c r="D478" i="56"/>
  <c r="D477" i="56"/>
  <c r="D476" i="56"/>
  <c r="D475" i="56"/>
  <c r="D474" i="56"/>
  <c r="D473" i="56"/>
  <c r="D472" i="56"/>
  <c r="D471" i="56"/>
  <c r="D470" i="56"/>
  <c r="D469" i="56"/>
  <c r="D468" i="56"/>
  <c r="D467" i="56"/>
  <c r="D466" i="56"/>
  <c r="D465" i="56"/>
  <c r="D464" i="56"/>
  <c r="D463" i="56"/>
  <c r="D462" i="56"/>
  <c r="D461" i="56"/>
  <c r="D460" i="56"/>
  <c r="D459" i="56"/>
  <c r="D458" i="56"/>
  <c r="D457" i="56"/>
  <c r="D456" i="56"/>
  <c r="D455" i="56"/>
  <c r="D454" i="56"/>
  <c r="D453" i="56"/>
  <c r="D452" i="56"/>
  <c r="D451" i="56"/>
  <c r="D450" i="56"/>
  <c r="D449" i="56"/>
  <c r="D448" i="56"/>
  <c r="D447" i="56"/>
  <c r="D446" i="56"/>
  <c r="D445" i="56"/>
  <c r="D444" i="56"/>
  <c r="D443" i="56"/>
  <c r="D442" i="56"/>
  <c r="D441" i="56"/>
  <c r="D440" i="56"/>
  <c r="D439" i="56"/>
  <c r="D438" i="56"/>
  <c r="D437" i="56"/>
  <c r="D436" i="56"/>
  <c r="D435" i="56"/>
  <c r="D434" i="56"/>
  <c r="D433" i="56"/>
  <c r="D432" i="56"/>
  <c r="D431" i="56"/>
  <c r="D430" i="56"/>
  <c r="D429" i="56"/>
  <c r="D428" i="56"/>
  <c r="D427" i="56"/>
  <c r="D426" i="56"/>
  <c r="D425" i="56"/>
  <c r="D424" i="56"/>
  <c r="D423" i="56"/>
  <c r="D422" i="56"/>
  <c r="D421" i="56"/>
  <c r="D420" i="56"/>
  <c r="D419" i="56"/>
  <c r="D418" i="56"/>
  <c r="D417" i="56"/>
  <c r="D416" i="56"/>
  <c r="D415" i="56"/>
  <c r="D414" i="56"/>
  <c r="D413" i="56"/>
  <c r="D412" i="56"/>
  <c r="D411" i="56"/>
  <c r="D410" i="56"/>
  <c r="D409" i="56"/>
  <c r="D408" i="56"/>
  <c r="D407" i="56"/>
  <c r="D406" i="56"/>
  <c r="D405" i="56"/>
  <c r="D404" i="56"/>
  <c r="D403" i="56"/>
  <c r="D402" i="56"/>
  <c r="D401" i="56"/>
  <c r="D400" i="56"/>
  <c r="D399" i="56"/>
  <c r="D398" i="56"/>
  <c r="D397" i="56"/>
  <c r="D396" i="56"/>
  <c r="D395" i="56"/>
  <c r="D394" i="56"/>
  <c r="D393" i="56"/>
  <c r="D392" i="56"/>
  <c r="D391" i="56"/>
  <c r="D390" i="56"/>
  <c r="D389" i="56"/>
  <c r="D388" i="56"/>
  <c r="D387" i="56"/>
  <c r="D386" i="56"/>
  <c r="D385" i="56"/>
  <c r="D384" i="56"/>
  <c r="D383" i="56"/>
  <c r="D382" i="56"/>
  <c r="D381" i="56"/>
  <c r="D380" i="56"/>
  <c r="D379" i="56"/>
  <c r="D378" i="56"/>
  <c r="D377" i="56"/>
  <c r="D376" i="56"/>
  <c r="D375" i="56"/>
  <c r="D374" i="56"/>
  <c r="D373" i="56"/>
  <c r="D372" i="56"/>
  <c r="D371" i="56"/>
  <c r="D370" i="56"/>
  <c r="D369" i="56"/>
  <c r="D368" i="56"/>
  <c r="D367" i="56"/>
  <c r="D366" i="56"/>
  <c r="D365" i="56"/>
  <c r="D364" i="56"/>
  <c r="D363" i="56"/>
  <c r="D362" i="56"/>
  <c r="D361" i="56"/>
  <c r="D360" i="56"/>
  <c r="D359" i="56"/>
  <c r="D358" i="56"/>
  <c r="D357" i="56"/>
  <c r="D356" i="56"/>
  <c r="D355" i="56"/>
  <c r="D354" i="56"/>
  <c r="D353" i="56"/>
  <c r="D352" i="56"/>
  <c r="D351" i="56"/>
  <c r="D350" i="56"/>
  <c r="D349" i="56"/>
  <c r="D348" i="56"/>
  <c r="D347" i="56"/>
  <c r="D346" i="56"/>
  <c r="D345" i="56"/>
  <c r="D344" i="56"/>
  <c r="D343" i="56"/>
  <c r="D342" i="56"/>
  <c r="D341" i="56"/>
  <c r="D340" i="56"/>
  <c r="D339" i="56"/>
  <c r="D338" i="56"/>
  <c r="D337" i="56"/>
  <c r="D336" i="56"/>
  <c r="D335" i="56"/>
  <c r="D334" i="56"/>
  <c r="D333" i="56"/>
  <c r="D332" i="56"/>
  <c r="D331" i="56"/>
  <c r="D330" i="56"/>
  <c r="D329" i="56"/>
  <c r="D328" i="56"/>
  <c r="D327" i="56"/>
  <c r="D326" i="56"/>
  <c r="D325" i="56"/>
  <c r="D324" i="56"/>
  <c r="D323" i="56"/>
  <c r="D322" i="56"/>
  <c r="D321" i="56"/>
  <c r="D320" i="56"/>
  <c r="D319" i="56"/>
  <c r="D318" i="56"/>
  <c r="D317" i="56"/>
  <c r="D316" i="56"/>
  <c r="D315" i="56"/>
  <c r="D314" i="56"/>
  <c r="D313" i="56"/>
  <c r="D312" i="56"/>
  <c r="D311" i="56"/>
  <c r="D310" i="56"/>
  <c r="D309" i="56"/>
  <c r="D308" i="56"/>
  <c r="D307" i="56"/>
  <c r="D306" i="56"/>
  <c r="D305" i="56"/>
  <c r="D304" i="56"/>
  <c r="D303" i="56"/>
  <c r="D302" i="56"/>
  <c r="D301" i="56"/>
  <c r="D300" i="56"/>
  <c r="D299" i="56"/>
  <c r="D298" i="56"/>
  <c r="D297" i="56"/>
  <c r="D296" i="56"/>
  <c r="D295" i="56"/>
  <c r="D294" i="56"/>
  <c r="D293" i="56"/>
  <c r="D292" i="56"/>
  <c r="D291" i="56"/>
  <c r="D290" i="56"/>
  <c r="D289" i="56"/>
  <c r="D288" i="56"/>
  <c r="D287" i="56"/>
  <c r="D286" i="56"/>
  <c r="D285" i="56"/>
  <c r="D284" i="56"/>
  <c r="D283" i="56"/>
  <c r="D214" i="56"/>
  <c r="D213" i="56"/>
  <c r="D212" i="56"/>
  <c r="D211" i="56"/>
  <c r="D210" i="56"/>
  <c r="D209" i="56"/>
  <c r="D208" i="56"/>
  <c r="D207" i="56"/>
  <c r="D206" i="56"/>
  <c r="D205" i="56"/>
  <c r="D204" i="56"/>
  <c r="D203" i="56"/>
  <c r="D202" i="56"/>
  <c r="D201" i="56"/>
  <c r="D200" i="56"/>
  <c r="D199" i="56"/>
  <c r="D198" i="56"/>
  <c r="D197" i="56"/>
  <c r="D196" i="56"/>
  <c r="D195" i="56"/>
  <c r="D194" i="56"/>
  <c r="D193" i="56"/>
  <c r="D192" i="56"/>
  <c r="D191" i="56"/>
  <c r="D190" i="56"/>
  <c r="D189" i="56"/>
  <c r="D188" i="56"/>
  <c r="D187" i="56"/>
  <c r="D186" i="56"/>
  <c r="D185" i="56"/>
  <c r="D184" i="56"/>
  <c r="D183" i="56"/>
  <c r="D182" i="56"/>
  <c r="D181" i="56"/>
  <c r="D180" i="56"/>
  <c r="D179" i="56"/>
  <c r="D178" i="56"/>
  <c r="D177" i="56"/>
  <c r="D176" i="56"/>
  <c r="D175" i="56"/>
  <c r="D174" i="56"/>
  <c r="D173" i="56"/>
  <c r="D172" i="56"/>
  <c r="D171" i="56"/>
  <c r="D170" i="56"/>
  <c r="D169" i="56"/>
  <c r="D168" i="56"/>
  <c r="D167" i="56"/>
  <c r="D166" i="56"/>
  <c r="D165" i="56"/>
  <c r="D164" i="56"/>
  <c r="D163" i="56"/>
  <c r="D162" i="56"/>
  <c r="D161" i="56"/>
  <c r="D160" i="56"/>
  <c r="D159" i="56"/>
  <c r="D158" i="56"/>
  <c r="D157" i="56"/>
  <c r="D156" i="56"/>
  <c r="D155" i="56"/>
  <c r="D154" i="56"/>
  <c r="D153" i="56"/>
  <c r="D152" i="56"/>
  <c r="D151" i="56"/>
  <c r="D150" i="56"/>
  <c r="D149" i="56"/>
  <c r="D148" i="56"/>
  <c r="D147" i="56"/>
  <c r="D146" i="56"/>
  <c r="D145" i="56"/>
  <c r="D144" i="56"/>
  <c r="D143" i="56"/>
  <c r="D142" i="56"/>
  <c r="D141" i="56"/>
  <c r="D140" i="56"/>
  <c r="D139" i="56"/>
  <c r="D138" i="56"/>
  <c r="D137" i="56"/>
  <c r="D136" i="56"/>
  <c r="D135" i="56"/>
  <c r="D134" i="56"/>
  <c r="D133" i="56"/>
  <c r="D132" i="56"/>
  <c r="D131" i="56"/>
  <c r="D130" i="56"/>
  <c r="D129" i="56"/>
  <c r="D128" i="56"/>
  <c r="D127" i="56"/>
  <c r="D126" i="56"/>
  <c r="D125" i="56"/>
  <c r="D124" i="56"/>
  <c r="D123" i="56"/>
  <c r="D122" i="56"/>
  <c r="D121" i="56"/>
  <c r="D120" i="56"/>
  <c r="D119" i="56"/>
  <c r="D118" i="56"/>
  <c r="D117" i="56"/>
  <c r="D116" i="56"/>
  <c r="D115" i="56"/>
  <c r="D114" i="56"/>
  <c r="D113" i="56"/>
  <c r="D112" i="56"/>
  <c r="D111" i="56"/>
  <c r="D110" i="56"/>
  <c r="D109" i="56"/>
  <c r="D108" i="56"/>
  <c r="D107" i="56"/>
  <c r="D106" i="56"/>
  <c r="D105" i="56"/>
  <c r="D104" i="56"/>
  <c r="D103" i="56"/>
  <c r="D102" i="56"/>
  <c r="D101" i="56"/>
  <c r="D100" i="56"/>
  <c r="D99" i="56"/>
  <c r="D98" i="56"/>
  <c r="D97" i="56"/>
  <c r="D96" i="56"/>
  <c r="D95" i="56"/>
  <c r="D94" i="56"/>
  <c r="D93" i="56"/>
  <c r="D92" i="56"/>
  <c r="D91" i="56"/>
  <c r="D90" i="56"/>
  <c r="D89" i="56"/>
  <c r="D88" i="56"/>
  <c r="D87" i="56"/>
  <c r="D86" i="56"/>
  <c r="D85" i="56"/>
  <c r="D84" i="56"/>
  <c r="D83" i="56"/>
  <c r="D82" i="56"/>
  <c r="D81" i="56"/>
  <c r="D80" i="56"/>
  <c r="D79" i="56"/>
  <c r="D78" i="56"/>
  <c r="D77" i="56"/>
  <c r="D76" i="56"/>
  <c r="D75" i="56"/>
  <c r="D74" i="56"/>
  <c r="D73" i="56"/>
  <c r="D72" i="56"/>
  <c r="D71" i="56"/>
  <c r="D70" i="56"/>
  <c r="D69" i="56"/>
  <c r="D68" i="56"/>
  <c r="D66" i="56"/>
  <c r="D65" i="56"/>
  <c r="D64" i="56"/>
  <c r="D63" i="56"/>
  <c r="D62" i="56"/>
  <c r="D61" i="56"/>
  <c r="D60" i="56"/>
  <c r="D59" i="56"/>
  <c r="D58" i="56"/>
  <c r="D57" i="56"/>
  <c r="D56" i="56"/>
  <c r="D55" i="56"/>
  <c r="D54" i="56"/>
  <c r="D53" i="56"/>
  <c r="D52" i="56"/>
  <c r="D51" i="56"/>
  <c r="D50" i="56"/>
  <c r="D49" i="56"/>
  <c r="D48" i="56"/>
  <c r="D47" i="56"/>
  <c r="D46" i="56"/>
  <c r="D45" i="56"/>
  <c r="D44" i="56"/>
  <c r="D43" i="56"/>
  <c r="D42" i="56"/>
  <c r="D41" i="56"/>
  <c r="D40" i="56"/>
  <c r="D39" i="56"/>
  <c r="D38" i="56"/>
  <c r="D37" i="56"/>
  <c r="D36" i="56"/>
  <c r="D35" i="56"/>
  <c r="D34" i="56"/>
  <c r="D33" i="56"/>
  <c r="D32" i="56"/>
  <c r="D31" i="56"/>
  <c r="D30" i="56"/>
  <c r="D29" i="56"/>
  <c r="D28" i="56"/>
  <c r="D27" i="56"/>
  <c r="D26" i="56"/>
  <c r="D25" i="56"/>
  <c r="D24" i="56"/>
  <c r="D23" i="56"/>
  <c r="D22" i="56"/>
  <c r="D21" i="56"/>
  <c r="D20" i="56"/>
  <c r="D19" i="56"/>
  <c r="D18" i="56"/>
  <c r="D17" i="56"/>
  <c r="D16" i="56"/>
  <c r="D15" i="56"/>
  <c r="E14" i="56"/>
  <c r="N639" i="57" l="1"/>
  <c r="N639" i="62"/>
  <c r="N631" i="57"/>
  <c r="N631" i="62"/>
  <c r="N623" i="57"/>
  <c r="N623" i="62"/>
  <c r="N613" i="57"/>
  <c r="N613" i="62"/>
  <c r="B654" i="62"/>
  <c r="B653" i="62"/>
  <c r="N195" i="57"/>
  <c r="N195" i="62"/>
  <c r="N187" i="57"/>
  <c r="N187" i="62"/>
  <c r="N179" i="57"/>
  <c r="N179" i="62"/>
  <c r="N170" i="57"/>
  <c r="N170" i="62"/>
  <c r="N158" i="57"/>
  <c r="N158" i="62"/>
  <c r="N150" i="57"/>
  <c r="N150" i="62"/>
  <c r="N142" i="57"/>
  <c r="N142" i="62"/>
  <c r="N133" i="57"/>
  <c r="N133" i="62"/>
  <c r="N125" i="57"/>
  <c r="N125" i="62"/>
  <c r="N117" i="57"/>
  <c r="N117" i="62"/>
  <c r="N108" i="57"/>
  <c r="N108" i="62"/>
  <c r="N100" i="57"/>
  <c r="N100" i="62"/>
  <c r="N92" i="57"/>
  <c r="N92" i="62"/>
  <c r="N84" i="57"/>
  <c r="N84" i="62"/>
  <c r="N76" i="57"/>
  <c r="N76" i="62"/>
  <c r="N66" i="57"/>
  <c r="N66" i="62"/>
  <c r="N41" i="57"/>
  <c r="N41" i="62"/>
  <c r="N40" i="57"/>
  <c r="N40" i="62"/>
  <c r="N32" i="57"/>
  <c r="N32" i="62"/>
  <c r="N22" i="57"/>
  <c r="N22" i="62"/>
  <c r="N14" i="57"/>
  <c r="N14" i="62"/>
  <c r="N646" i="57"/>
  <c r="N646" i="62"/>
  <c r="N638" i="57"/>
  <c r="N638" i="62"/>
  <c r="N630" i="57"/>
  <c r="N630" i="62"/>
  <c r="N622" i="57"/>
  <c r="N622" i="62"/>
  <c r="N612" i="57"/>
  <c r="N612" i="62"/>
  <c r="N194" i="57"/>
  <c r="N194" i="62"/>
  <c r="N186" i="57"/>
  <c r="N186" i="62"/>
  <c r="N178" i="57"/>
  <c r="N178" i="62"/>
  <c r="N168" i="57"/>
  <c r="N168" i="62"/>
  <c r="N157" i="57"/>
  <c r="N157" i="62"/>
  <c r="N149" i="57"/>
  <c r="N149" i="62"/>
  <c r="N141" i="57"/>
  <c r="N141" i="62"/>
  <c r="N132" i="57"/>
  <c r="N132" i="62"/>
  <c r="N124" i="57"/>
  <c r="N124" i="62"/>
  <c r="N116" i="57"/>
  <c r="N116" i="62"/>
  <c r="N107" i="57"/>
  <c r="N107" i="62"/>
  <c r="N99" i="57"/>
  <c r="N99" i="62"/>
  <c r="N91" i="57"/>
  <c r="N91" i="62"/>
  <c r="N83" i="57"/>
  <c r="N83" i="62"/>
  <c r="N75" i="57"/>
  <c r="N75" i="62"/>
  <c r="N65" i="57"/>
  <c r="N65" i="62"/>
  <c r="N48" i="57"/>
  <c r="N48" i="62"/>
  <c r="N39" i="57"/>
  <c r="N39" i="62"/>
  <c r="N31" i="57"/>
  <c r="N31" i="62"/>
  <c r="N21" i="57"/>
  <c r="N21" i="62"/>
  <c r="F434" i="62"/>
  <c r="X434" i="62"/>
  <c r="W434" i="62"/>
  <c r="N645" i="57"/>
  <c r="N645" i="62"/>
  <c r="N637" i="57"/>
  <c r="N637" i="62"/>
  <c r="N629" i="57"/>
  <c r="N629" i="62"/>
  <c r="N620" i="57"/>
  <c r="N620" i="62"/>
  <c r="N611" i="57"/>
  <c r="N611" i="62"/>
  <c r="N193" i="57"/>
  <c r="N193" i="62"/>
  <c r="N185" i="57"/>
  <c r="N185" i="62"/>
  <c r="N177" i="57"/>
  <c r="N177" i="62"/>
  <c r="N167" i="57"/>
  <c r="N167" i="62"/>
  <c r="N156" i="57"/>
  <c r="N156" i="62"/>
  <c r="N148" i="57"/>
  <c r="N148" i="62"/>
  <c r="N140" i="57"/>
  <c r="N140" i="62"/>
  <c r="N131" i="57"/>
  <c r="N131" i="62"/>
  <c r="N123" i="57"/>
  <c r="N123" i="62"/>
  <c r="N115" i="57"/>
  <c r="N115" i="62"/>
  <c r="N106" i="57"/>
  <c r="N106" i="62"/>
  <c r="N98" i="57"/>
  <c r="N98" i="62"/>
  <c r="N90" i="57"/>
  <c r="N90" i="62"/>
  <c r="N82" i="57"/>
  <c r="N82" i="62"/>
  <c r="N74" i="57"/>
  <c r="N74" i="62"/>
  <c r="N64" i="57"/>
  <c r="N64" i="62"/>
  <c r="N47" i="57"/>
  <c r="N47" i="62"/>
  <c r="N38" i="57"/>
  <c r="N38" i="62"/>
  <c r="N30" i="57"/>
  <c r="N30" i="62"/>
  <c r="N20" i="57"/>
  <c r="N20" i="62"/>
  <c r="N644" i="57"/>
  <c r="N644" i="62"/>
  <c r="N636" i="57"/>
  <c r="N636" i="62"/>
  <c r="N628" i="57"/>
  <c r="N628" i="62"/>
  <c r="N618" i="57"/>
  <c r="N618" i="62"/>
  <c r="N610" i="57"/>
  <c r="N610" i="62"/>
  <c r="B652" i="62"/>
  <c r="N192" i="57"/>
  <c r="N192" i="62"/>
  <c r="N184" i="57"/>
  <c r="N184" i="62"/>
  <c r="N175" i="57"/>
  <c r="N175" i="62"/>
  <c r="N163" i="57"/>
  <c r="N163" i="62"/>
  <c r="N155" i="57"/>
  <c r="N155" i="62"/>
  <c r="N147" i="57"/>
  <c r="N147" i="62"/>
  <c r="N139" i="57"/>
  <c r="N139" i="62"/>
  <c r="N130" i="57"/>
  <c r="N130" i="62"/>
  <c r="N122" i="57"/>
  <c r="N122" i="62"/>
  <c r="N114" i="57"/>
  <c r="N114" i="62"/>
  <c r="N105" i="57"/>
  <c r="N105" i="62"/>
  <c r="N97" i="57"/>
  <c r="N97" i="62"/>
  <c r="N89" i="57"/>
  <c r="N89" i="62"/>
  <c r="N81" i="57"/>
  <c r="N81" i="62"/>
  <c r="N73" i="57"/>
  <c r="N73" i="62"/>
  <c r="N63" i="57"/>
  <c r="N63" i="62"/>
  <c r="N46" i="57"/>
  <c r="N46" i="62"/>
  <c r="N37" i="57"/>
  <c r="N37" i="62"/>
  <c r="N29" i="57"/>
  <c r="N29" i="62"/>
  <c r="N19" i="57"/>
  <c r="N19" i="62"/>
  <c r="N643" i="57"/>
  <c r="N643" i="62"/>
  <c r="N635" i="57"/>
  <c r="N635" i="62"/>
  <c r="N627" i="57"/>
  <c r="N627" i="62"/>
  <c r="N617" i="57"/>
  <c r="N617" i="62"/>
  <c r="N199" i="57"/>
  <c r="N199" i="62"/>
  <c r="N191" i="57"/>
  <c r="N191" i="62"/>
  <c r="N183" i="57"/>
  <c r="N183" i="62"/>
  <c r="N174" i="57"/>
  <c r="N174" i="62"/>
  <c r="N162" i="57"/>
  <c r="N162" i="62"/>
  <c r="N154" i="57"/>
  <c r="N154" i="62"/>
  <c r="N146" i="57"/>
  <c r="N146" i="62"/>
  <c r="N138" i="57"/>
  <c r="N138" i="62"/>
  <c r="N129" i="57"/>
  <c r="N129" i="62"/>
  <c r="N121" i="57"/>
  <c r="N121" i="62"/>
  <c r="N112" i="57"/>
  <c r="N112" i="62"/>
  <c r="N104" i="57"/>
  <c r="N104" i="62"/>
  <c r="N96" i="57"/>
  <c r="N96" i="62"/>
  <c r="N88" i="57"/>
  <c r="N88" i="62"/>
  <c r="N80" i="57"/>
  <c r="N80" i="62"/>
  <c r="N70" i="57"/>
  <c r="N70" i="62"/>
  <c r="N62" i="57"/>
  <c r="N62" i="62"/>
  <c r="N45" i="57"/>
  <c r="N45" i="62"/>
  <c r="N36" i="57"/>
  <c r="N36" i="62"/>
  <c r="N28" i="57"/>
  <c r="N28" i="62"/>
  <c r="N18" i="57"/>
  <c r="N18" i="62"/>
  <c r="N136" i="57"/>
  <c r="N136" i="62"/>
  <c r="N642" i="57"/>
  <c r="N642" i="62"/>
  <c r="N634" i="57"/>
  <c r="N634" i="62"/>
  <c r="N626" i="57"/>
  <c r="N626" i="62"/>
  <c r="N616" i="57"/>
  <c r="N616" i="62"/>
  <c r="N198" i="57"/>
  <c r="N198" i="62"/>
  <c r="N190" i="57"/>
  <c r="N190" i="62"/>
  <c r="N182" i="57"/>
  <c r="N182" i="62"/>
  <c r="N173" i="57"/>
  <c r="N173" i="62"/>
  <c r="N161" i="57"/>
  <c r="N161" i="62"/>
  <c r="N153" i="57"/>
  <c r="N153" i="62"/>
  <c r="N145" i="57"/>
  <c r="N145" i="62"/>
  <c r="N137" i="57"/>
  <c r="N137" i="62"/>
  <c r="N128" i="57"/>
  <c r="N128" i="62"/>
  <c r="N120" i="57"/>
  <c r="N120" i="62"/>
  <c r="N111" i="57"/>
  <c r="N111" i="62"/>
  <c r="N103" i="57"/>
  <c r="N103" i="62"/>
  <c r="N95" i="57"/>
  <c r="N95" i="62"/>
  <c r="N87" i="57"/>
  <c r="N87" i="62"/>
  <c r="N79" i="57"/>
  <c r="N79" i="62"/>
  <c r="N69" i="57"/>
  <c r="N69" i="62"/>
  <c r="N61" i="57"/>
  <c r="N61" i="62"/>
  <c r="N44" i="57"/>
  <c r="N44" i="62"/>
  <c r="N35" i="57"/>
  <c r="N35" i="62"/>
  <c r="N27" i="57"/>
  <c r="N27" i="62"/>
  <c r="N17" i="57"/>
  <c r="N17" i="62"/>
  <c r="N641" i="57"/>
  <c r="N641" i="62"/>
  <c r="N633" i="57"/>
  <c r="N633" i="62"/>
  <c r="N625" i="57"/>
  <c r="N625" i="62"/>
  <c r="N615" i="57"/>
  <c r="N615" i="62"/>
  <c r="N197" i="57"/>
  <c r="N197" i="62"/>
  <c r="N189" i="57"/>
  <c r="N189" i="62"/>
  <c r="N181" i="57"/>
  <c r="N181" i="62"/>
  <c r="N172" i="57"/>
  <c r="N172" i="62"/>
  <c r="N160" i="57"/>
  <c r="N160" i="62"/>
  <c r="N152" i="57"/>
  <c r="N152" i="62"/>
  <c r="N144" i="57"/>
  <c r="N144" i="62"/>
  <c r="N135" i="57"/>
  <c r="N135" i="62"/>
  <c r="N127" i="57"/>
  <c r="N127" i="62"/>
  <c r="N119" i="57"/>
  <c r="N119" i="62"/>
  <c r="N110" i="57"/>
  <c r="N110" i="62"/>
  <c r="N102" i="57"/>
  <c r="N102" i="62"/>
  <c r="N94" i="57"/>
  <c r="N94" i="62"/>
  <c r="N86" i="57"/>
  <c r="N86" i="62"/>
  <c r="N78" i="57"/>
  <c r="N78" i="62"/>
  <c r="N68" i="57"/>
  <c r="N68" i="62"/>
  <c r="N60" i="57"/>
  <c r="N60" i="62"/>
  <c r="N43" i="57"/>
  <c r="N43" i="62"/>
  <c r="N34" i="57"/>
  <c r="N34" i="62"/>
  <c r="N24" i="57"/>
  <c r="N24" i="62"/>
  <c r="N16" i="57"/>
  <c r="N16" i="62"/>
  <c r="N640" i="57"/>
  <c r="N640" i="62"/>
  <c r="N632" i="57"/>
  <c r="N632" i="62"/>
  <c r="N624" i="57"/>
  <c r="N624" i="62"/>
  <c r="N614" i="57"/>
  <c r="N614" i="62"/>
  <c r="B655" i="62"/>
  <c r="N196" i="57"/>
  <c r="N196" i="62"/>
  <c r="N188" i="57"/>
  <c r="N188" i="62"/>
  <c r="N180" i="57"/>
  <c r="N180" i="62"/>
  <c r="N171" i="57"/>
  <c r="N171" i="62"/>
  <c r="N159" i="57"/>
  <c r="N159" i="62"/>
  <c r="N151" i="57"/>
  <c r="N151" i="62"/>
  <c r="N143" i="57"/>
  <c r="N143" i="62"/>
  <c r="N134" i="57"/>
  <c r="N134" i="62"/>
  <c r="N126" i="57"/>
  <c r="N126" i="62"/>
  <c r="N118" i="57"/>
  <c r="N118" i="62"/>
  <c r="N109" i="57"/>
  <c r="N109" i="62"/>
  <c r="N101" i="57"/>
  <c r="N101" i="62"/>
  <c r="N93" i="57"/>
  <c r="N93" i="62"/>
  <c r="N85" i="57"/>
  <c r="N85" i="62"/>
  <c r="N77" i="57"/>
  <c r="N77" i="62"/>
  <c r="N67" i="57"/>
  <c r="N67" i="62"/>
  <c r="N59" i="57"/>
  <c r="N59" i="62"/>
  <c r="N42" i="57"/>
  <c r="N42" i="62"/>
  <c r="N33" i="57"/>
  <c r="N33" i="62"/>
  <c r="N23" i="57"/>
  <c r="N23" i="62"/>
  <c r="N15" i="57"/>
  <c r="N15" i="62"/>
  <c r="E136" i="62"/>
  <c r="N569" i="55"/>
  <c r="N569" i="57"/>
  <c r="N521" i="55"/>
  <c r="N521" i="57"/>
  <c r="N464" i="55"/>
  <c r="N464" i="57"/>
  <c r="N576" i="55"/>
  <c r="N576" i="57"/>
  <c r="N528" i="55"/>
  <c r="N528" i="57"/>
  <c r="N479" i="55"/>
  <c r="N479" i="57"/>
  <c r="N413" i="55"/>
  <c r="N413" i="57"/>
  <c r="N364" i="55"/>
  <c r="N364" i="57"/>
  <c r="N310" i="55"/>
  <c r="N310" i="57"/>
  <c r="N262" i="55"/>
  <c r="N262" i="57"/>
  <c r="N222" i="55"/>
  <c r="N222" i="57"/>
  <c r="N607" i="55"/>
  <c r="N607" i="57"/>
  <c r="N599" i="55"/>
  <c r="N599" i="57"/>
  <c r="N591" i="55"/>
  <c r="N591" i="57"/>
  <c r="N583" i="55"/>
  <c r="N583" i="57"/>
  <c r="N575" i="55"/>
  <c r="N575" i="57"/>
  <c r="N567" i="55"/>
  <c r="N567" i="57"/>
  <c r="N559" i="55"/>
  <c r="N559" i="57"/>
  <c r="N551" i="55"/>
  <c r="N551" i="57"/>
  <c r="N543" i="55"/>
  <c r="N543" i="57"/>
  <c r="N535" i="55"/>
  <c r="N535" i="57"/>
  <c r="N527" i="55"/>
  <c r="N527" i="57"/>
  <c r="N519" i="55"/>
  <c r="N519" i="57"/>
  <c r="N511" i="55"/>
  <c r="N511" i="57"/>
  <c r="N503" i="55"/>
  <c r="N503" i="57"/>
  <c r="N494" i="55"/>
  <c r="N494" i="57"/>
  <c r="N486" i="55"/>
  <c r="N486" i="57"/>
  <c r="N478" i="55"/>
  <c r="N478" i="57"/>
  <c r="N470" i="55"/>
  <c r="N470" i="57"/>
  <c r="N462" i="55"/>
  <c r="N462" i="57"/>
  <c r="N454" i="55"/>
  <c r="N454" i="57"/>
  <c r="N440" i="55"/>
  <c r="N440" i="57"/>
  <c r="N432" i="55"/>
  <c r="N432" i="57"/>
  <c r="N424" i="55"/>
  <c r="N424" i="57"/>
  <c r="N412" i="55"/>
  <c r="N412" i="57"/>
  <c r="N404" i="55"/>
  <c r="N404" i="57"/>
  <c r="N396" i="55"/>
  <c r="N396" i="57"/>
  <c r="N388" i="55"/>
  <c r="N388" i="57"/>
  <c r="N379" i="55"/>
  <c r="N379" i="57"/>
  <c r="N371" i="55"/>
  <c r="N371" i="57"/>
  <c r="N363" i="55"/>
  <c r="N363" i="57"/>
  <c r="N349" i="55"/>
  <c r="N349" i="57"/>
  <c r="N341" i="55"/>
  <c r="N341" i="57"/>
  <c r="N333" i="55"/>
  <c r="N333" i="57"/>
  <c r="N325" i="55"/>
  <c r="N325" i="57"/>
  <c r="N317" i="55"/>
  <c r="N317" i="57"/>
  <c r="N309" i="55"/>
  <c r="N309" i="57"/>
  <c r="N301" i="55"/>
  <c r="N301" i="57"/>
  <c r="N293" i="55"/>
  <c r="N293" i="57"/>
  <c r="N285" i="55"/>
  <c r="N285" i="57"/>
  <c r="N277" i="55"/>
  <c r="N277" i="57"/>
  <c r="N269" i="55"/>
  <c r="N269" i="57"/>
  <c r="N261" i="55"/>
  <c r="N261" i="57"/>
  <c r="N253" i="55"/>
  <c r="N253" i="57"/>
  <c r="N245" i="55"/>
  <c r="N245" i="57"/>
  <c r="N237" i="55"/>
  <c r="N237" i="57"/>
  <c r="N229" i="55"/>
  <c r="N229" i="57"/>
  <c r="N221" i="55"/>
  <c r="N221" i="57"/>
  <c r="N213" i="55"/>
  <c r="N213" i="57"/>
  <c r="N609" i="55"/>
  <c r="N609" i="57"/>
  <c r="N561" i="55"/>
  <c r="N561" i="57"/>
  <c r="N513" i="55"/>
  <c r="N513" i="57"/>
  <c r="N472" i="55"/>
  <c r="N472" i="57"/>
  <c r="N584" i="55"/>
  <c r="N584" i="57"/>
  <c r="N536" i="55"/>
  <c r="N536" i="57"/>
  <c r="N487" i="55"/>
  <c r="N487" i="57"/>
  <c r="N433" i="55"/>
  <c r="N433" i="57"/>
  <c r="N389" i="55"/>
  <c r="N389" i="57"/>
  <c r="N326" i="55"/>
  <c r="N326" i="57"/>
  <c r="N278" i="55"/>
  <c r="N278" i="57"/>
  <c r="N230" i="55"/>
  <c r="N230" i="57"/>
  <c r="N606" i="55"/>
  <c r="N606" i="57"/>
  <c r="N598" i="55"/>
  <c r="N598" i="57"/>
  <c r="N590" i="55"/>
  <c r="N590" i="57"/>
  <c r="N582" i="55"/>
  <c r="N582" i="57"/>
  <c r="N574" i="55"/>
  <c r="N574" i="57"/>
  <c r="N566" i="55"/>
  <c r="N566" i="57"/>
  <c r="N558" i="55"/>
  <c r="N558" i="57"/>
  <c r="N550" i="55"/>
  <c r="N550" i="57"/>
  <c r="N542" i="55"/>
  <c r="N542" i="57"/>
  <c r="N534" i="55"/>
  <c r="N534" i="57"/>
  <c r="N526" i="55"/>
  <c r="N526" i="57"/>
  <c r="N518" i="55"/>
  <c r="N518" i="57"/>
  <c r="N510" i="55"/>
  <c r="N510" i="57"/>
  <c r="N502" i="55"/>
  <c r="N502" i="57"/>
  <c r="N493" i="55"/>
  <c r="N493" i="57"/>
  <c r="N485" i="55"/>
  <c r="N485" i="57"/>
  <c r="N477" i="55"/>
  <c r="N477" i="57"/>
  <c r="N469" i="55"/>
  <c r="N469" i="57"/>
  <c r="N461" i="55"/>
  <c r="N461" i="57"/>
  <c r="N453" i="55"/>
  <c r="N453" i="57"/>
  <c r="N439" i="55"/>
  <c r="N439" i="57"/>
  <c r="N431" i="55"/>
  <c r="N431" i="57"/>
  <c r="N423" i="55"/>
  <c r="N423" i="57"/>
  <c r="N411" i="55"/>
  <c r="N411" i="57"/>
  <c r="N403" i="55"/>
  <c r="N403" i="57"/>
  <c r="N395" i="55"/>
  <c r="N395" i="57"/>
  <c r="N387" i="55"/>
  <c r="N387" i="57"/>
  <c r="N378" i="55"/>
  <c r="N378" i="57"/>
  <c r="N370" i="55"/>
  <c r="N370" i="57"/>
  <c r="N362" i="55"/>
  <c r="N362" i="57"/>
  <c r="N348" i="55"/>
  <c r="N348" i="57"/>
  <c r="N340" i="55"/>
  <c r="N340" i="57"/>
  <c r="N332" i="55"/>
  <c r="N332" i="57"/>
  <c r="N324" i="55"/>
  <c r="N324" i="57"/>
  <c r="N316" i="55"/>
  <c r="N316" i="57"/>
  <c r="N308" i="55"/>
  <c r="N308" i="57"/>
  <c r="N300" i="55"/>
  <c r="N300" i="57"/>
  <c r="N292" i="55"/>
  <c r="N292" i="57"/>
  <c r="N284" i="55"/>
  <c r="N284" i="57"/>
  <c r="N276" i="55"/>
  <c r="N276" i="57"/>
  <c r="N268" i="55"/>
  <c r="N268" i="57"/>
  <c r="N260" i="55"/>
  <c r="N260" i="57"/>
  <c r="N252" i="55"/>
  <c r="N252" i="57"/>
  <c r="N244" i="55"/>
  <c r="N244" i="57"/>
  <c r="N236" i="55"/>
  <c r="N236" i="57"/>
  <c r="N228" i="55"/>
  <c r="N228" i="57"/>
  <c r="N220" i="55"/>
  <c r="N220" i="57"/>
  <c r="N212" i="55"/>
  <c r="N212" i="57"/>
  <c r="N593" i="55"/>
  <c r="N593" i="57"/>
  <c r="N553" i="55"/>
  <c r="N553" i="57"/>
  <c r="N505" i="55"/>
  <c r="N505" i="57"/>
  <c r="N442" i="55"/>
  <c r="N442" i="57"/>
  <c r="N568" i="55"/>
  <c r="N568" i="57"/>
  <c r="N520" i="55"/>
  <c r="N520" i="57"/>
  <c r="N463" i="55"/>
  <c r="N463" i="57"/>
  <c r="N397" i="55"/>
  <c r="N397" i="57"/>
  <c r="N342" i="55"/>
  <c r="N342" i="57"/>
  <c r="N294" i="55"/>
  <c r="N294" i="57"/>
  <c r="N246" i="55"/>
  <c r="N246" i="57"/>
  <c r="N214" i="55"/>
  <c r="N214" i="57"/>
  <c r="N647" i="55"/>
  <c r="N647" i="57"/>
  <c r="N605" i="55"/>
  <c r="N605" i="57"/>
  <c r="N597" i="55"/>
  <c r="N597" i="57"/>
  <c r="N589" i="55"/>
  <c r="N589" i="57"/>
  <c r="N581" i="55"/>
  <c r="N581" i="57"/>
  <c r="N573" i="55"/>
  <c r="N573" i="57"/>
  <c r="N565" i="55"/>
  <c r="N565" i="57"/>
  <c r="N557" i="55"/>
  <c r="N557" i="57"/>
  <c r="N549" i="55"/>
  <c r="N549" i="57"/>
  <c r="N541" i="55"/>
  <c r="N541" i="57"/>
  <c r="N533" i="55"/>
  <c r="N533" i="57"/>
  <c r="N525" i="55"/>
  <c r="N525" i="57"/>
  <c r="N517" i="55"/>
  <c r="N517" i="57"/>
  <c r="N509" i="55"/>
  <c r="N509" i="57"/>
  <c r="N501" i="55"/>
  <c r="N501" i="57"/>
  <c r="N492" i="55"/>
  <c r="N492" i="57"/>
  <c r="N484" i="55"/>
  <c r="N484" i="57"/>
  <c r="N476" i="55"/>
  <c r="N476" i="57"/>
  <c r="N468" i="55"/>
  <c r="N468" i="57"/>
  <c r="N460" i="55"/>
  <c r="N460" i="57"/>
  <c r="N452" i="55"/>
  <c r="N452" i="57"/>
  <c r="N438" i="55"/>
  <c r="N438" i="57"/>
  <c r="N430" i="55"/>
  <c r="N430" i="57"/>
  <c r="N422" i="55"/>
  <c r="N422" i="57"/>
  <c r="N410" i="55"/>
  <c r="N410" i="57"/>
  <c r="N402" i="55"/>
  <c r="N402" i="57"/>
  <c r="N394" i="55"/>
  <c r="N394" i="57"/>
  <c r="N386" i="55"/>
  <c r="N386" i="57"/>
  <c r="N377" i="55"/>
  <c r="N377" i="57"/>
  <c r="N369" i="55"/>
  <c r="N369" i="57"/>
  <c r="N361" i="55"/>
  <c r="N361" i="57"/>
  <c r="N347" i="55"/>
  <c r="N347" i="57"/>
  <c r="N339" i="55"/>
  <c r="N339" i="57"/>
  <c r="N331" i="55"/>
  <c r="N331" i="57"/>
  <c r="N323" i="55"/>
  <c r="N323" i="57"/>
  <c r="N315" i="55"/>
  <c r="N315" i="57"/>
  <c r="N307" i="55"/>
  <c r="N307" i="57"/>
  <c r="N299" i="55"/>
  <c r="N299" i="57"/>
  <c r="N291" i="55"/>
  <c r="N291" i="57"/>
  <c r="N283" i="55"/>
  <c r="N283" i="57"/>
  <c r="N275" i="55"/>
  <c r="N275" i="57"/>
  <c r="N267" i="55"/>
  <c r="N267" i="57"/>
  <c r="N259" i="55"/>
  <c r="N259" i="57"/>
  <c r="N251" i="55"/>
  <c r="N251" i="57"/>
  <c r="N243" i="55"/>
  <c r="N243" i="57"/>
  <c r="N235" i="55"/>
  <c r="N235" i="57"/>
  <c r="N227" i="55"/>
  <c r="N227" i="57"/>
  <c r="N219" i="55"/>
  <c r="N219" i="57"/>
  <c r="N211" i="55"/>
  <c r="N211" i="57"/>
  <c r="N577" i="55"/>
  <c r="N577" i="57"/>
  <c r="N529" i="55"/>
  <c r="N529" i="57"/>
  <c r="N488" i="55"/>
  <c r="N488" i="57"/>
  <c r="N608" i="55"/>
  <c r="N608" i="57"/>
  <c r="N560" i="55"/>
  <c r="N560" i="57"/>
  <c r="N512" i="55"/>
  <c r="N512" i="57"/>
  <c r="N441" i="55"/>
  <c r="N441" i="57"/>
  <c r="N381" i="55"/>
  <c r="N381" i="57"/>
  <c r="N334" i="55"/>
  <c r="N334" i="57"/>
  <c r="N286" i="55"/>
  <c r="N286" i="57"/>
  <c r="N238" i="55"/>
  <c r="N238" i="57"/>
  <c r="N604" i="55"/>
  <c r="N604" i="57"/>
  <c r="N596" i="55"/>
  <c r="N596" i="57"/>
  <c r="N588" i="55"/>
  <c r="N588" i="57"/>
  <c r="N580" i="55"/>
  <c r="N580" i="57"/>
  <c r="N572" i="55"/>
  <c r="N572" i="57"/>
  <c r="N564" i="55"/>
  <c r="N564" i="57"/>
  <c r="N556" i="55"/>
  <c r="N556" i="57"/>
  <c r="N548" i="55"/>
  <c r="N548" i="57"/>
  <c r="N540" i="55"/>
  <c r="N540" i="57"/>
  <c r="N532" i="55"/>
  <c r="N532" i="57"/>
  <c r="N524" i="55"/>
  <c r="N524" i="57"/>
  <c r="N516" i="55"/>
  <c r="N516" i="57"/>
  <c r="N508" i="55"/>
  <c r="N508" i="57"/>
  <c r="N500" i="55"/>
  <c r="N500" i="57"/>
  <c r="N491" i="55"/>
  <c r="N491" i="57"/>
  <c r="N483" i="55"/>
  <c r="N483" i="57"/>
  <c r="N475" i="55"/>
  <c r="N475" i="57"/>
  <c r="N467" i="55"/>
  <c r="N467" i="57"/>
  <c r="N459" i="55"/>
  <c r="N459" i="57"/>
  <c r="N445" i="55"/>
  <c r="N445" i="57"/>
  <c r="N437" i="55"/>
  <c r="N437" i="57"/>
  <c r="N429" i="55"/>
  <c r="N429" i="57"/>
  <c r="N421" i="55"/>
  <c r="N421" i="57"/>
  <c r="N409" i="55"/>
  <c r="N409" i="57"/>
  <c r="N401" i="55"/>
  <c r="N401" i="57"/>
  <c r="N393" i="55"/>
  <c r="N393" i="57"/>
  <c r="N385" i="55"/>
  <c r="N385" i="57"/>
  <c r="N376" i="55"/>
  <c r="N376" i="57"/>
  <c r="N368" i="55"/>
  <c r="N368" i="57"/>
  <c r="N360" i="55"/>
  <c r="N360" i="57"/>
  <c r="N346" i="55"/>
  <c r="N346" i="57"/>
  <c r="N338" i="55"/>
  <c r="N338" i="57"/>
  <c r="N330" i="55"/>
  <c r="N330" i="57"/>
  <c r="N322" i="55"/>
  <c r="N322" i="57"/>
  <c r="N314" i="55"/>
  <c r="N314" i="57"/>
  <c r="N306" i="55"/>
  <c r="N306" i="57"/>
  <c r="N298" i="55"/>
  <c r="N298" i="57"/>
  <c r="N290" i="55"/>
  <c r="N290" i="57"/>
  <c r="N282" i="55"/>
  <c r="N282" i="57"/>
  <c r="N274" i="55"/>
  <c r="N274" i="57"/>
  <c r="N266" i="55"/>
  <c r="N266" i="57"/>
  <c r="N258" i="55"/>
  <c r="N258" i="57"/>
  <c r="N250" i="55"/>
  <c r="N250" i="57"/>
  <c r="N242" i="55"/>
  <c r="N242" i="57"/>
  <c r="N234" i="55"/>
  <c r="N234" i="57"/>
  <c r="N226" i="55"/>
  <c r="N226" i="57"/>
  <c r="N218" i="55"/>
  <c r="N218" i="57"/>
  <c r="N210" i="55"/>
  <c r="N210" i="57"/>
  <c r="X434" i="55"/>
  <c r="F434" i="57"/>
  <c r="X434" i="57"/>
  <c r="W434" i="57"/>
  <c r="N585" i="55"/>
  <c r="N585" i="57"/>
  <c r="N537" i="55"/>
  <c r="N537" i="57"/>
  <c r="N480" i="55"/>
  <c r="N480" i="57"/>
  <c r="N592" i="55"/>
  <c r="N592" i="57"/>
  <c r="N544" i="55"/>
  <c r="N544" i="57"/>
  <c r="N496" i="55"/>
  <c r="N496" i="57"/>
  <c r="N455" i="55"/>
  <c r="N455" i="57"/>
  <c r="N405" i="55"/>
  <c r="N405" i="57"/>
  <c r="N350" i="55"/>
  <c r="N350" i="57"/>
  <c r="N302" i="55"/>
  <c r="N302" i="57"/>
  <c r="N254" i="55"/>
  <c r="N254" i="57"/>
  <c r="N603" i="55"/>
  <c r="N603" i="57"/>
  <c r="N595" i="55"/>
  <c r="N595" i="57"/>
  <c r="N587" i="55"/>
  <c r="N587" i="57"/>
  <c r="N579" i="55"/>
  <c r="N579" i="57"/>
  <c r="N571" i="55"/>
  <c r="N571" i="57"/>
  <c r="N563" i="55"/>
  <c r="N563" i="57"/>
  <c r="N555" i="55"/>
  <c r="N555" i="57"/>
  <c r="N547" i="55"/>
  <c r="N547" i="57"/>
  <c r="N539" i="55"/>
  <c r="N539" i="57"/>
  <c r="N531" i="55"/>
  <c r="N531" i="57"/>
  <c r="N523" i="55"/>
  <c r="N523" i="57"/>
  <c r="N515" i="55"/>
  <c r="N515" i="57"/>
  <c r="N507" i="55"/>
  <c r="N507" i="57"/>
  <c r="N499" i="55"/>
  <c r="N499" i="57"/>
  <c r="N490" i="55"/>
  <c r="N490" i="57"/>
  <c r="N482" i="55"/>
  <c r="N482" i="57"/>
  <c r="N474" i="55"/>
  <c r="N474" i="57"/>
  <c r="N466" i="55"/>
  <c r="N466" i="57"/>
  <c r="N458" i="55"/>
  <c r="N458" i="57"/>
  <c r="N444" i="55"/>
  <c r="N444" i="57"/>
  <c r="N436" i="55"/>
  <c r="N436" i="57"/>
  <c r="N428" i="55"/>
  <c r="N428" i="57"/>
  <c r="N420" i="55"/>
  <c r="N420" i="57"/>
  <c r="N408" i="55"/>
  <c r="N408" i="57"/>
  <c r="N400" i="55"/>
  <c r="N400" i="57"/>
  <c r="N392" i="55"/>
  <c r="N392" i="57"/>
  <c r="N384" i="55"/>
  <c r="N384" i="57"/>
  <c r="N375" i="55"/>
  <c r="N375" i="57"/>
  <c r="N367" i="55"/>
  <c r="N367" i="57"/>
  <c r="N359" i="55"/>
  <c r="N359" i="57"/>
  <c r="N345" i="55"/>
  <c r="N345" i="57"/>
  <c r="N337" i="55"/>
  <c r="N337" i="57"/>
  <c r="N329" i="55"/>
  <c r="N329" i="57"/>
  <c r="N321" i="55"/>
  <c r="N321" i="57"/>
  <c r="N313" i="55"/>
  <c r="N313" i="57"/>
  <c r="N305" i="55"/>
  <c r="N305" i="57"/>
  <c r="N297" i="55"/>
  <c r="N297" i="57"/>
  <c r="N289" i="55"/>
  <c r="N289" i="57"/>
  <c r="N281" i="55"/>
  <c r="N281" i="57"/>
  <c r="N273" i="55"/>
  <c r="N273" i="57"/>
  <c r="N265" i="55"/>
  <c r="N265" i="57"/>
  <c r="N257" i="55"/>
  <c r="N257" i="57"/>
  <c r="N249" i="55"/>
  <c r="N249" i="57"/>
  <c r="N241" i="55"/>
  <c r="N241" i="57"/>
  <c r="N233" i="55"/>
  <c r="N233" i="57"/>
  <c r="N225" i="55"/>
  <c r="N225" i="57"/>
  <c r="N217" i="55"/>
  <c r="N217" i="57"/>
  <c r="N209" i="55"/>
  <c r="N209" i="57"/>
  <c r="N601" i="55"/>
  <c r="N601" i="57"/>
  <c r="N545" i="55"/>
  <c r="N545" i="57"/>
  <c r="N497" i="55"/>
  <c r="N497" i="57"/>
  <c r="N456" i="55"/>
  <c r="N456" i="57"/>
  <c r="N600" i="55"/>
  <c r="N600" i="57"/>
  <c r="N552" i="55"/>
  <c r="N552" i="57"/>
  <c r="N504" i="55"/>
  <c r="N504" i="57"/>
  <c r="N471" i="55"/>
  <c r="N471" i="57"/>
  <c r="N425" i="55"/>
  <c r="N425" i="57"/>
  <c r="N372" i="55"/>
  <c r="N372" i="57"/>
  <c r="N318" i="55"/>
  <c r="N318" i="57"/>
  <c r="N270" i="55"/>
  <c r="N270" i="57"/>
  <c r="N602" i="55"/>
  <c r="N602" i="57"/>
  <c r="N594" i="55"/>
  <c r="N594" i="57"/>
  <c r="N586" i="55"/>
  <c r="N586" i="57"/>
  <c r="N578" i="55"/>
  <c r="N578" i="57"/>
  <c r="N570" i="55"/>
  <c r="N570" i="57"/>
  <c r="N562" i="55"/>
  <c r="N562" i="57"/>
  <c r="N554" i="55"/>
  <c r="N554" i="57"/>
  <c r="N546" i="55"/>
  <c r="N546" i="57"/>
  <c r="N538" i="55"/>
  <c r="N538" i="57"/>
  <c r="N530" i="55"/>
  <c r="N530" i="57"/>
  <c r="N522" i="55"/>
  <c r="N522" i="57"/>
  <c r="N514" i="55"/>
  <c r="N514" i="57"/>
  <c r="N506" i="55"/>
  <c r="N506" i="57"/>
  <c r="N498" i="55"/>
  <c r="N498" i="57"/>
  <c r="N489" i="55"/>
  <c r="N489" i="57"/>
  <c r="N481" i="55"/>
  <c r="N481" i="57"/>
  <c r="N473" i="55"/>
  <c r="N473" i="57"/>
  <c r="N465" i="55"/>
  <c r="N465" i="57"/>
  <c r="N457" i="55"/>
  <c r="N457" i="57"/>
  <c r="N443" i="55"/>
  <c r="N443" i="57"/>
  <c r="N435" i="55"/>
  <c r="N435" i="57"/>
  <c r="N427" i="55"/>
  <c r="N427" i="57"/>
  <c r="N419" i="55"/>
  <c r="N419" i="57"/>
  <c r="N407" i="55"/>
  <c r="N407" i="57"/>
  <c r="N399" i="55"/>
  <c r="N399" i="57"/>
  <c r="N391" i="55"/>
  <c r="N391" i="57"/>
  <c r="N383" i="55"/>
  <c r="N383" i="57"/>
  <c r="N374" i="55"/>
  <c r="N374" i="57"/>
  <c r="N366" i="55"/>
  <c r="N366" i="57"/>
  <c r="N352" i="55"/>
  <c r="N352" i="57"/>
  <c r="N344" i="55"/>
  <c r="N344" i="57"/>
  <c r="N336" i="55"/>
  <c r="N336" i="57"/>
  <c r="N328" i="55"/>
  <c r="N328" i="57"/>
  <c r="N320" i="55"/>
  <c r="N320" i="57"/>
  <c r="N312" i="55"/>
  <c r="N312" i="57"/>
  <c r="N304" i="55"/>
  <c r="N304" i="57"/>
  <c r="N296" i="55"/>
  <c r="N296" i="57"/>
  <c r="N288" i="55"/>
  <c r="N288" i="57"/>
  <c r="N280" i="55"/>
  <c r="N280" i="57"/>
  <c r="N272" i="55"/>
  <c r="N272" i="57"/>
  <c r="N264" i="55"/>
  <c r="N264" i="57"/>
  <c r="N256" i="55"/>
  <c r="N256" i="57"/>
  <c r="N248" i="55"/>
  <c r="N248" i="57"/>
  <c r="N240" i="55"/>
  <c r="N240" i="57"/>
  <c r="B652" i="57" s="1"/>
  <c r="N232" i="55"/>
  <c r="N232" i="57"/>
  <c r="N224" i="55"/>
  <c r="N224" i="57"/>
  <c r="N216" i="55"/>
  <c r="N216" i="57"/>
  <c r="N200" i="55"/>
  <c r="N200" i="57"/>
  <c r="N434" i="55"/>
  <c r="N434" i="57"/>
  <c r="N426" i="55"/>
  <c r="N426" i="57"/>
  <c r="N414" i="55"/>
  <c r="N414" i="57"/>
  <c r="N406" i="55"/>
  <c r="N406" i="57"/>
  <c r="N398" i="55"/>
  <c r="N398" i="57"/>
  <c r="N390" i="55"/>
  <c r="N390" i="57"/>
  <c r="N382" i="55"/>
  <c r="N382" i="57"/>
  <c r="N373" i="55"/>
  <c r="N373" i="57"/>
  <c r="N365" i="55"/>
  <c r="N365" i="57"/>
  <c r="N351" i="55"/>
  <c r="N351" i="57"/>
  <c r="N343" i="55"/>
  <c r="N343" i="57"/>
  <c r="N335" i="55"/>
  <c r="N335" i="57"/>
  <c r="N327" i="55"/>
  <c r="N327" i="57"/>
  <c r="N319" i="55"/>
  <c r="N319" i="57"/>
  <c r="N311" i="55"/>
  <c r="N311" i="57"/>
  <c r="N303" i="55"/>
  <c r="N303" i="57"/>
  <c r="N295" i="55"/>
  <c r="N295" i="57"/>
  <c r="N287" i="55"/>
  <c r="N287" i="57"/>
  <c r="N279" i="55"/>
  <c r="N279" i="57"/>
  <c r="N271" i="55"/>
  <c r="N271" i="57"/>
  <c r="N263" i="55"/>
  <c r="N263" i="57"/>
  <c r="N255" i="55"/>
  <c r="N255" i="57"/>
  <c r="N247" i="55"/>
  <c r="N247" i="57"/>
  <c r="N239" i="55"/>
  <c r="N239" i="57"/>
  <c r="N231" i="55"/>
  <c r="N231" i="57"/>
  <c r="N223" i="55"/>
  <c r="N223" i="57"/>
  <c r="N215" i="55"/>
  <c r="N215" i="57"/>
  <c r="E136" i="57"/>
  <c r="N161" i="55"/>
  <c r="N161" i="60"/>
  <c r="N111" i="55"/>
  <c r="N111" i="60"/>
  <c r="N79" i="55"/>
  <c r="N79" i="60"/>
  <c r="N197" i="55"/>
  <c r="N197" i="60"/>
  <c r="N189" i="55"/>
  <c r="N189" i="60"/>
  <c r="N181" i="55"/>
  <c r="N181" i="60"/>
  <c r="N172" i="55"/>
  <c r="N172" i="60"/>
  <c r="N160" i="55"/>
  <c r="N160" i="60"/>
  <c r="N152" i="55"/>
  <c r="N152" i="60"/>
  <c r="N144" i="55"/>
  <c r="N144" i="60"/>
  <c r="N135" i="55"/>
  <c r="N135" i="60"/>
  <c r="N127" i="55"/>
  <c r="N127" i="60"/>
  <c r="N119" i="55"/>
  <c r="N119" i="60"/>
  <c r="N110" i="55"/>
  <c r="N110" i="60"/>
  <c r="N102" i="55"/>
  <c r="N102" i="60"/>
  <c r="N94" i="55"/>
  <c r="N94" i="60"/>
  <c r="N86" i="55"/>
  <c r="N86" i="60"/>
  <c r="N78" i="55"/>
  <c r="N78" i="60"/>
  <c r="N68" i="55"/>
  <c r="N68" i="60"/>
  <c r="N60" i="55"/>
  <c r="N60" i="60"/>
  <c r="N43" i="55"/>
  <c r="N43" i="60"/>
  <c r="N34" i="55"/>
  <c r="N34" i="60"/>
  <c r="N24" i="55"/>
  <c r="N24" i="60"/>
  <c r="N16" i="55"/>
  <c r="N16" i="60"/>
  <c r="N173" i="55"/>
  <c r="N173" i="60"/>
  <c r="N145" i="55"/>
  <c r="N145" i="60"/>
  <c r="N103" i="55"/>
  <c r="N103" i="60"/>
  <c r="N17" i="55"/>
  <c r="N17" i="60"/>
  <c r="N196" i="55"/>
  <c r="N196" i="60"/>
  <c r="N188" i="55"/>
  <c r="N188" i="60"/>
  <c r="N180" i="55"/>
  <c r="N180" i="60"/>
  <c r="N171" i="55"/>
  <c r="N171" i="60"/>
  <c r="N159" i="55"/>
  <c r="N159" i="60"/>
  <c r="N151" i="55"/>
  <c r="N151" i="60"/>
  <c r="N143" i="55"/>
  <c r="N143" i="60"/>
  <c r="N134" i="55"/>
  <c r="N134" i="60"/>
  <c r="N126" i="55"/>
  <c r="N126" i="60"/>
  <c r="N118" i="55"/>
  <c r="N118" i="60"/>
  <c r="N109" i="55"/>
  <c r="N109" i="60"/>
  <c r="N101" i="55"/>
  <c r="N101" i="60"/>
  <c r="N93" i="55"/>
  <c r="N93" i="60"/>
  <c r="N85" i="55"/>
  <c r="N85" i="60"/>
  <c r="N77" i="55"/>
  <c r="N77" i="60"/>
  <c r="N67" i="55"/>
  <c r="N67" i="60"/>
  <c r="N59" i="55"/>
  <c r="N59" i="60"/>
  <c r="N42" i="55"/>
  <c r="N42" i="60"/>
  <c r="N33" i="55"/>
  <c r="N33" i="60"/>
  <c r="N23" i="55"/>
  <c r="N23" i="60"/>
  <c r="N15" i="55"/>
  <c r="N15" i="60"/>
  <c r="N182" i="55"/>
  <c r="N182" i="60"/>
  <c r="N128" i="55"/>
  <c r="N128" i="60"/>
  <c r="N44" i="55"/>
  <c r="N44" i="60"/>
  <c r="N195" i="55"/>
  <c r="N195" i="60"/>
  <c r="N187" i="55"/>
  <c r="N187" i="60"/>
  <c r="N179" i="55"/>
  <c r="N179" i="60"/>
  <c r="N170" i="55"/>
  <c r="N170" i="60"/>
  <c r="N158" i="55"/>
  <c r="N158" i="60"/>
  <c r="N150" i="55"/>
  <c r="N150" i="60"/>
  <c r="N142" i="55"/>
  <c r="N142" i="60"/>
  <c r="N133" i="55"/>
  <c r="N133" i="60"/>
  <c r="N125" i="55"/>
  <c r="N125" i="60"/>
  <c r="N117" i="55"/>
  <c r="N117" i="60"/>
  <c r="N108" i="55"/>
  <c r="N108" i="60"/>
  <c r="N100" i="55"/>
  <c r="N100" i="60"/>
  <c r="N92" i="55"/>
  <c r="N92" i="60"/>
  <c r="N84" i="55"/>
  <c r="N84" i="60"/>
  <c r="N76" i="55"/>
  <c r="N76" i="60"/>
  <c r="N66" i="55"/>
  <c r="N66" i="60"/>
  <c r="N41" i="55"/>
  <c r="N41" i="60"/>
  <c r="N40" i="55"/>
  <c r="N40" i="60"/>
  <c r="N32" i="55"/>
  <c r="N32" i="60"/>
  <c r="N22" i="55"/>
  <c r="N22" i="60"/>
  <c r="N14" i="55"/>
  <c r="N14" i="60"/>
  <c r="N190" i="55"/>
  <c r="N190" i="60"/>
  <c r="N137" i="55"/>
  <c r="N137" i="60"/>
  <c r="N95" i="55"/>
  <c r="N95" i="60"/>
  <c r="N27" i="55"/>
  <c r="N27" i="60"/>
  <c r="N194" i="55"/>
  <c r="N194" i="60"/>
  <c r="N186" i="55"/>
  <c r="N186" i="60"/>
  <c r="N178" i="55"/>
  <c r="N178" i="60"/>
  <c r="N168" i="55"/>
  <c r="N168" i="60"/>
  <c r="N157" i="55"/>
  <c r="N157" i="60"/>
  <c r="N149" i="55"/>
  <c r="N149" i="60"/>
  <c r="N141" i="55"/>
  <c r="N141" i="60"/>
  <c r="N132" i="55"/>
  <c r="N132" i="60"/>
  <c r="N124" i="55"/>
  <c r="N124" i="60"/>
  <c r="N116" i="55"/>
  <c r="N116" i="60"/>
  <c r="N107" i="55"/>
  <c r="N107" i="60"/>
  <c r="N99" i="55"/>
  <c r="N99" i="60"/>
  <c r="N91" i="55"/>
  <c r="N91" i="60"/>
  <c r="N83" i="55"/>
  <c r="N83" i="60"/>
  <c r="N75" i="55"/>
  <c r="N75" i="60"/>
  <c r="N65" i="55"/>
  <c r="N65" i="60"/>
  <c r="N48" i="55"/>
  <c r="N48" i="60"/>
  <c r="N39" i="55"/>
  <c r="N39" i="60"/>
  <c r="N31" i="55"/>
  <c r="N31" i="60"/>
  <c r="N21" i="55"/>
  <c r="N21" i="60"/>
  <c r="N198" i="55"/>
  <c r="N198" i="60"/>
  <c r="N153" i="55"/>
  <c r="N153" i="60"/>
  <c r="N120" i="55"/>
  <c r="N120" i="60"/>
  <c r="N87" i="55"/>
  <c r="N87" i="60"/>
  <c r="N35" i="55"/>
  <c r="N35" i="60"/>
  <c r="N193" i="55"/>
  <c r="N193" i="60"/>
  <c r="N185" i="55"/>
  <c r="N185" i="60"/>
  <c r="N177" i="55"/>
  <c r="N177" i="60"/>
  <c r="N167" i="55"/>
  <c r="N167" i="60"/>
  <c r="N156" i="55"/>
  <c r="N156" i="60"/>
  <c r="N148" i="55"/>
  <c r="N148" i="60"/>
  <c r="N140" i="55"/>
  <c r="N140" i="60"/>
  <c r="N131" i="55"/>
  <c r="N131" i="60"/>
  <c r="N123" i="55"/>
  <c r="N123" i="60"/>
  <c r="N115" i="55"/>
  <c r="N115" i="60"/>
  <c r="N106" i="55"/>
  <c r="N106" i="60"/>
  <c r="N98" i="55"/>
  <c r="N98" i="60"/>
  <c r="N90" i="55"/>
  <c r="N90" i="60"/>
  <c r="N82" i="55"/>
  <c r="N82" i="60"/>
  <c r="N74" i="55"/>
  <c r="N74" i="60"/>
  <c r="N64" i="55"/>
  <c r="N64" i="60"/>
  <c r="N47" i="55"/>
  <c r="N47" i="60"/>
  <c r="N38" i="55"/>
  <c r="N38" i="60"/>
  <c r="N30" i="55"/>
  <c r="N30" i="60"/>
  <c r="N20" i="55"/>
  <c r="N20" i="60"/>
  <c r="N69" i="55"/>
  <c r="N69" i="60"/>
  <c r="N192" i="55"/>
  <c r="N192" i="60"/>
  <c r="N184" i="55"/>
  <c r="N184" i="60"/>
  <c r="N175" i="55"/>
  <c r="N175" i="60"/>
  <c r="N163" i="55"/>
  <c r="N163" i="60"/>
  <c r="N155" i="55"/>
  <c r="N155" i="60"/>
  <c r="N147" i="55"/>
  <c r="N147" i="60"/>
  <c r="N139" i="55"/>
  <c r="N139" i="60"/>
  <c r="N130" i="55"/>
  <c r="N130" i="60"/>
  <c r="N122" i="55"/>
  <c r="N122" i="60"/>
  <c r="N114" i="55"/>
  <c r="N114" i="60"/>
  <c r="N105" i="55"/>
  <c r="N105" i="60"/>
  <c r="N97" i="55"/>
  <c r="N97" i="60"/>
  <c r="N89" i="55"/>
  <c r="N89" i="60"/>
  <c r="N81" i="55"/>
  <c r="N81" i="60"/>
  <c r="N73" i="55"/>
  <c r="N73" i="60"/>
  <c r="N63" i="55"/>
  <c r="N63" i="60"/>
  <c r="N46" i="55"/>
  <c r="N46" i="60"/>
  <c r="N37" i="55"/>
  <c r="N37" i="60"/>
  <c r="N29" i="55"/>
  <c r="N29" i="60"/>
  <c r="N19" i="55"/>
  <c r="N19" i="60"/>
  <c r="N61" i="55"/>
  <c r="N61" i="60"/>
  <c r="N199" i="55"/>
  <c r="N199" i="60"/>
  <c r="N191" i="55"/>
  <c r="N191" i="60"/>
  <c r="N183" i="55"/>
  <c r="N183" i="60"/>
  <c r="N174" i="55"/>
  <c r="N174" i="60"/>
  <c r="N162" i="55"/>
  <c r="N162" i="60"/>
  <c r="N154" i="55"/>
  <c r="N154" i="60"/>
  <c r="N146" i="55"/>
  <c r="N146" i="60"/>
  <c r="N138" i="55"/>
  <c r="N138" i="60"/>
  <c r="N129" i="55"/>
  <c r="N129" i="60"/>
  <c r="N121" i="55"/>
  <c r="N121" i="60"/>
  <c r="N112" i="55"/>
  <c r="N112" i="60"/>
  <c r="N104" i="55"/>
  <c r="N104" i="60"/>
  <c r="N96" i="55"/>
  <c r="N96" i="60"/>
  <c r="N88" i="55"/>
  <c r="N88" i="60"/>
  <c r="N80" i="55"/>
  <c r="N80" i="60"/>
  <c r="N70" i="55"/>
  <c r="N70" i="60"/>
  <c r="N62" i="55"/>
  <c r="N62" i="60"/>
  <c r="N45" i="55"/>
  <c r="N45" i="60"/>
  <c r="N36" i="55"/>
  <c r="N36" i="60"/>
  <c r="N28" i="55"/>
  <c r="N28" i="60"/>
  <c r="N18" i="55"/>
  <c r="N18" i="60"/>
  <c r="N136" i="55"/>
  <c r="N136" i="60"/>
  <c r="E136" i="60"/>
  <c r="C641" i="56"/>
  <c r="N641" i="55"/>
  <c r="F641" i="56" s="1"/>
  <c r="C632" i="56"/>
  <c r="N632" i="55"/>
  <c r="F632" i="56" s="1"/>
  <c r="C639" i="56"/>
  <c r="N639" i="55"/>
  <c r="F639" i="56" s="1"/>
  <c r="C631" i="56"/>
  <c r="N631" i="55"/>
  <c r="F631" i="56" s="1"/>
  <c r="C623" i="56"/>
  <c r="N623" i="55"/>
  <c r="F623" i="56" s="1"/>
  <c r="C613" i="56"/>
  <c r="N613" i="55"/>
  <c r="F613" i="56" s="1"/>
  <c r="C625" i="56"/>
  <c r="N625" i="55"/>
  <c r="F625" i="56" s="1"/>
  <c r="C646" i="56"/>
  <c r="N646" i="55"/>
  <c r="F646" i="56" s="1"/>
  <c r="C638" i="56"/>
  <c r="N638" i="55"/>
  <c r="F638" i="56" s="1"/>
  <c r="C630" i="56"/>
  <c r="N630" i="55"/>
  <c r="F630" i="56" s="1"/>
  <c r="C622" i="56"/>
  <c r="N622" i="55"/>
  <c r="F622" i="56" s="1"/>
  <c r="C612" i="56"/>
  <c r="N612" i="55"/>
  <c r="F612" i="56" s="1"/>
  <c r="C640" i="56"/>
  <c r="N640" i="55"/>
  <c r="F640" i="56" s="1"/>
  <c r="C645" i="56"/>
  <c r="N645" i="55"/>
  <c r="F645" i="56" s="1"/>
  <c r="C637" i="56"/>
  <c r="N637" i="55"/>
  <c r="F637" i="56" s="1"/>
  <c r="C629" i="56"/>
  <c r="N629" i="55"/>
  <c r="F629" i="56" s="1"/>
  <c r="C620" i="56"/>
  <c r="N620" i="55"/>
  <c r="F620" i="56" s="1"/>
  <c r="C611" i="56"/>
  <c r="N611" i="55"/>
  <c r="F611" i="56" s="1"/>
  <c r="C615" i="56"/>
  <c r="N615" i="55"/>
  <c r="F615" i="56" s="1"/>
  <c r="C624" i="56"/>
  <c r="N624" i="55"/>
  <c r="F624" i="56" s="1"/>
  <c r="C644" i="56"/>
  <c r="N644" i="55"/>
  <c r="F644" i="56" s="1"/>
  <c r="C636" i="56"/>
  <c r="N636" i="55"/>
  <c r="F636" i="56" s="1"/>
  <c r="C628" i="56"/>
  <c r="N628" i="55"/>
  <c r="F628" i="56" s="1"/>
  <c r="C618" i="56"/>
  <c r="N618" i="55"/>
  <c r="F618" i="56" s="1"/>
  <c r="C610" i="56"/>
  <c r="N610" i="55"/>
  <c r="F610" i="56" s="1"/>
  <c r="C643" i="56"/>
  <c r="N643" i="55"/>
  <c r="F643" i="56" s="1"/>
  <c r="C635" i="56"/>
  <c r="N635" i="55"/>
  <c r="F635" i="56" s="1"/>
  <c r="C627" i="56"/>
  <c r="N627" i="55"/>
  <c r="F627" i="56" s="1"/>
  <c r="C617" i="56"/>
  <c r="N617" i="55"/>
  <c r="F617" i="56" s="1"/>
  <c r="C633" i="56"/>
  <c r="N633" i="55"/>
  <c r="F633" i="56" s="1"/>
  <c r="C614" i="56"/>
  <c r="N614" i="55"/>
  <c r="F614" i="56" s="1"/>
  <c r="C642" i="56"/>
  <c r="N642" i="55"/>
  <c r="F642" i="56" s="1"/>
  <c r="C634" i="56"/>
  <c r="N634" i="55"/>
  <c r="F634" i="56" s="1"/>
  <c r="C626" i="56"/>
  <c r="N626" i="55"/>
  <c r="F626" i="56" s="1"/>
  <c r="C616" i="56"/>
  <c r="N616" i="55"/>
  <c r="F616" i="56" s="1"/>
  <c r="C608" i="56"/>
  <c r="C609" i="56"/>
  <c r="C67" i="56"/>
  <c r="E136" i="55"/>
  <c r="C607" i="56"/>
  <c r="A652" i="55"/>
  <c r="A653" i="55"/>
  <c r="A654" i="55"/>
  <c r="A655" i="55"/>
  <c r="A656" i="55"/>
  <c r="A657" i="55"/>
  <c r="A658" i="55"/>
  <c r="A659" i="55"/>
  <c r="T380" i="55"/>
  <c r="V380" i="55"/>
  <c r="U380" i="55"/>
  <c r="U417" i="55"/>
  <c r="V417" i="55"/>
  <c r="T417" i="55"/>
  <c r="U418" i="55"/>
  <c r="V418" i="55"/>
  <c r="T418" i="55"/>
  <c r="C318" i="56"/>
  <c r="R344" i="55"/>
  <c r="W344" i="55"/>
  <c r="R169" i="55"/>
  <c r="W169" i="55"/>
  <c r="C151" i="56"/>
  <c r="R168" i="55"/>
  <c r="W168" i="55"/>
  <c r="R14" i="55"/>
  <c r="R15" i="55"/>
  <c r="R16" i="55"/>
  <c r="R17" i="55"/>
  <c r="R18" i="55"/>
  <c r="R19" i="55"/>
  <c r="R20" i="55"/>
  <c r="R21" i="55"/>
  <c r="R22" i="55"/>
  <c r="R23" i="55"/>
  <c r="R24" i="55"/>
  <c r="R27" i="55"/>
  <c r="R28" i="55"/>
  <c r="R29" i="55"/>
  <c r="R30" i="55"/>
  <c r="R31" i="55"/>
  <c r="R32" i="55"/>
  <c r="R33" i="55"/>
  <c r="R34" i="55"/>
  <c r="R35" i="55"/>
  <c r="R36" i="55"/>
  <c r="R37" i="55"/>
  <c r="R38" i="55"/>
  <c r="R39" i="55"/>
  <c r="R40" i="55"/>
  <c r="R42" i="55"/>
  <c r="R43" i="55"/>
  <c r="R44" i="55"/>
  <c r="R45" i="55"/>
  <c r="R46" i="55"/>
  <c r="R47" i="55"/>
  <c r="R48" i="55"/>
  <c r="R41" i="55"/>
  <c r="R59" i="55"/>
  <c r="R60" i="55"/>
  <c r="R61" i="55"/>
  <c r="R62" i="55"/>
  <c r="R63" i="55"/>
  <c r="R64" i="55"/>
  <c r="R65" i="55"/>
  <c r="R66" i="55"/>
  <c r="R67" i="55"/>
  <c r="R68" i="55"/>
  <c r="R69" i="55"/>
  <c r="R70" i="55"/>
  <c r="R73" i="55"/>
  <c r="R74" i="55"/>
  <c r="R75" i="55"/>
  <c r="R76" i="55"/>
  <c r="R77" i="55"/>
  <c r="R78" i="55"/>
  <c r="R79" i="55"/>
  <c r="R80" i="55"/>
  <c r="R81" i="55"/>
  <c r="R82" i="55"/>
  <c r="R83" i="55"/>
  <c r="R84" i="55"/>
  <c r="R85" i="55"/>
  <c r="R86" i="55"/>
  <c r="R87" i="55"/>
  <c r="R88" i="55"/>
  <c r="R89" i="55"/>
  <c r="R90" i="55"/>
  <c r="R91" i="55"/>
  <c r="R92" i="55"/>
  <c r="R93" i="55"/>
  <c r="R94" i="55"/>
  <c r="R95" i="55"/>
  <c r="R96" i="55"/>
  <c r="R97" i="55"/>
  <c r="R98" i="55"/>
  <c r="R99" i="55"/>
  <c r="R100" i="55"/>
  <c r="R101" i="55"/>
  <c r="R102" i="55"/>
  <c r="R103" i="55"/>
  <c r="R104" i="55"/>
  <c r="R105" i="55"/>
  <c r="R106" i="55"/>
  <c r="R107" i="55"/>
  <c r="R108" i="55"/>
  <c r="R109" i="55"/>
  <c r="R110" i="55"/>
  <c r="R111" i="55"/>
  <c r="R112" i="55"/>
  <c r="R114" i="55"/>
  <c r="R115" i="55"/>
  <c r="R116" i="55"/>
  <c r="R117" i="55"/>
  <c r="R118" i="55"/>
  <c r="R119" i="55"/>
  <c r="R120" i="55"/>
  <c r="R121" i="55"/>
  <c r="R122" i="55"/>
  <c r="R123" i="55"/>
  <c r="R124" i="55"/>
  <c r="R125" i="55"/>
  <c r="R126" i="55"/>
  <c r="R127" i="55"/>
  <c r="R128" i="55"/>
  <c r="R129" i="55"/>
  <c r="R130" i="55"/>
  <c r="R131" i="55"/>
  <c r="R132" i="55"/>
  <c r="R133" i="55"/>
  <c r="R134" i="55"/>
  <c r="R135" i="55"/>
  <c r="R137" i="55"/>
  <c r="R138" i="55"/>
  <c r="R139" i="55"/>
  <c r="R140" i="55"/>
  <c r="R141" i="55"/>
  <c r="R142" i="55"/>
  <c r="R143" i="55"/>
  <c r="R144" i="55"/>
  <c r="R145" i="55"/>
  <c r="R146" i="55"/>
  <c r="R147" i="55"/>
  <c r="R148" i="55"/>
  <c r="R149" i="55"/>
  <c r="R150" i="55"/>
  <c r="R151" i="55"/>
  <c r="R152" i="55"/>
  <c r="R153" i="55"/>
  <c r="R154" i="55"/>
  <c r="R155" i="55"/>
  <c r="R156" i="55"/>
  <c r="R157" i="55"/>
  <c r="R158" i="55"/>
  <c r="R159" i="55"/>
  <c r="R160" i="55"/>
  <c r="R161" i="55"/>
  <c r="R162" i="55"/>
  <c r="R163" i="55"/>
  <c r="R167" i="55"/>
  <c r="R170" i="55"/>
  <c r="R171" i="55"/>
  <c r="R172" i="55"/>
  <c r="R173" i="55"/>
  <c r="R174" i="55"/>
  <c r="R175" i="55"/>
  <c r="R177" i="55"/>
  <c r="R178" i="55"/>
  <c r="R179" i="55"/>
  <c r="R180" i="55"/>
  <c r="R181" i="55"/>
  <c r="R182" i="55"/>
  <c r="R183" i="55"/>
  <c r="R184" i="55"/>
  <c r="R185" i="55"/>
  <c r="R186" i="55"/>
  <c r="R187" i="55"/>
  <c r="R188" i="55"/>
  <c r="R189" i="55"/>
  <c r="R190" i="55"/>
  <c r="R191" i="55"/>
  <c r="R192" i="55"/>
  <c r="R193" i="55"/>
  <c r="R194" i="55"/>
  <c r="R195" i="55"/>
  <c r="R196" i="55"/>
  <c r="R197" i="55"/>
  <c r="R198" i="55"/>
  <c r="R199" i="55"/>
  <c r="R200" i="55"/>
  <c r="R209" i="55"/>
  <c r="R210" i="55"/>
  <c r="R211" i="55"/>
  <c r="R212" i="55"/>
  <c r="R213" i="55"/>
  <c r="R214" i="55"/>
  <c r="R215" i="55"/>
  <c r="R216" i="55"/>
  <c r="R217" i="55"/>
  <c r="R218" i="55"/>
  <c r="R219" i="55"/>
  <c r="R220" i="55"/>
  <c r="R221" i="55"/>
  <c r="R222" i="55"/>
  <c r="R223" i="55"/>
  <c r="R224" i="55"/>
  <c r="R225" i="55"/>
  <c r="R226" i="55"/>
  <c r="R227" i="55"/>
  <c r="R228" i="55"/>
  <c r="R229" i="55"/>
  <c r="R230" i="55"/>
  <c r="R231" i="55"/>
  <c r="R232" i="55"/>
  <c r="R233" i="55"/>
  <c r="R234" i="55"/>
  <c r="R235" i="55"/>
  <c r="R236" i="55"/>
  <c r="R237" i="55"/>
  <c r="R238" i="55"/>
  <c r="R239" i="55"/>
  <c r="R240" i="55"/>
  <c r="R241" i="55"/>
  <c r="R242" i="55"/>
  <c r="R243" i="55"/>
  <c r="R244" i="55"/>
  <c r="R245" i="55"/>
  <c r="R246" i="55"/>
  <c r="R247" i="55"/>
  <c r="R248" i="55"/>
  <c r="R249" i="55"/>
  <c r="R250" i="55"/>
  <c r="R251" i="55"/>
  <c r="R252" i="55"/>
  <c r="R253" i="55"/>
  <c r="R254" i="55"/>
  <c r="R255" i="55"/>
  <c r="R256" i="55"/>
  <c r="R257" i="55"/>
  <c r="R258" i="55"/>
  <c r="R259" i="55"/>
  <c r="R260" i="55"/>
  <c r="R261" i="55"/>
  <c r="R262" i="55"/>
  <c r="R263" i="55"/>
  <c r="R264" i="55"/>
  <c r="R265" i="55"/>
  <c r="R266" i="55"/>
  <c r="R267" i="55"/>
  <c r="R268" i="55"/>
  <c r="R269" i="55"/>
  <c r="R270" i="55"/>
  <c r="R271" i="55"/>
  <c r="R272" i="55"/>
  <c r="R273" i="55"/>
  <c r="R274" i="55"/>
  <c r="R275" i="55"/>
  <c r="R276" i="55"/>
  <c r="R277" i="55"/>
  <c r="R278" i="55"/>
  <c r="R279" i="55"/>
  <c r="R280" i="55"/>
  <c r="R281" i="55"/>
  <c r="R282" i="55"/>
  <c r="R283" i="55"/>
  <c r="R284" i="55"/>
  <c r="R285" i="55"/>
  <c r="R286" i="55"/>
  <c r="R287" i="55"/>
  <c r="R288" i="55"/>
  <c r="R289" i="55"/>
  <c r="R290" i="55"/>
  <c r="R291" i="55"/>
  <c r="R292" i="55"/>
  <c r="R293" i="55"/>
  <c r="R294" i="55"/>
  <c r="R295" i="55"/>
  <c r="R296" i="55"/>
  <c r="R297" i="55"/>
  <c r="R298" i="55"/>
  <c r="R299" i="55"/>
  <c r="R300" i="55"/>
  <c r="R301" i="55"/>
  <c r="R302" i="55"/>
  <c r="R303" i="55"/>
  <c r="R304" i="55"/>
  <c r="R305" i="55"/>
  <c r="R306" i="55"/>
  <c r="R307" i="55"/>
  <c r="R308" i="55"/>
  <c r="R309" i="55"/>
  <c r="R310" i="55"/>
  <c r="R311" i="55"/>
  <c r="R312" i="55"/>
  <c r="R313" i="55"/>
  <c r="R314" i="55"/>
  <c r="R315" i="55"/>
  <c r="R316" i="55"/>
  <c r="R317" i="55"/>
  <c r="R318" i="55"/>
  <c r="R319" i="55"/>
  <c r="R320" i="55"/>
  <c r="R321" i="55"/>
  <c r="R322" i="55"/>
  <c r="R323" i="55"/>
  <c r="R324" i="55"/>
  <c r="R325" i="55"/>
  <c r="R326" i="55"/>
  <c r="R327" i="55"/>
  <c r="R328" i="55"/>
  <c r="R329" i="55"/>
  <c r="R330" i="55"/>
  <c r="R331" i="55"/>
  <c r="R332" i="55"/>
  <c r="R333" i="55"/>
  <c r="R334" i="55"/>
  <c r="R335" i="55"/>
  <c r="R336" i="55"/>
  <c r="R337" i="55"/>
  <c r="R338" i="55"/>
  <c r="R339" i="55"/>
  <c r="R340" i="55"/>
  <c r="R341" i="55"/>
  <c r="R342" i="55"/>
  <c r="R343" i="55"/>
  <c r="S343" i="62" s="1"/>
  <c r="R345" i="55"/>
  <c r="R346" i="55"/>
  <c r="R347" i="55"/>
  <c r="R348" i="55"/>
  <c r="R349" i="55"/>
  <c r="R350" i="55"/>
  <c r="R351" i="55"/>
  <c r="R352" i="55"/>
  <c r="R353" i="55"/>
  <c r="R359" i="55"/>
  <c r="R360" i="55"/>
  <c r="R361" i="55"/>
  <c r="R362" i="55"/>
  <c r="R363" i="55"/>
  <c r="R364" i="55"/>
  <c r="R365" i="55"/>
  <c r="R366" i="55"/>
  <c r="R367" i="55"/>
  <c r="R368" i="55"/>
  <c r="R369" i="55"/>
  <c r="R370" i="55"/>
  <c r="R371" i="55"/>
  <c r="R372" i="55"/>
  <c r="R373" i="55"/>
  <c r="R374" i="55"/>
  <c r="R375" i="55"/>
  <c r="R376" i="55"/>
  <c r="R377" i="55"/>
  <c r="R378" i="55"/>
  <c r="R379" i="55"/>
  <c r="R380" i="55"/>
  <c r="R381" i="55"/>
  <c r="R382" i="55"/>
  <c r="R383" i="55"/>
  <c r="R384" i="55"/>
  <c r="R385" i="55"/>
  <c r="R386" i="55"/>
  <c r="R387" i="55"/>
  <c r="R388" i="55"/>
  <c r="R389" i="55"/>
  <c r="R390" i="55"/>
  <c r="R391" i="55"/>
  <c r="R392" i="55"/>
  <c r="R393" i="55"/>
  <c r="R394" i="55"/>
  <c r="R395" i="55"/>
  <c r="R396" i="55"/>
  <c r="R397" i="55"/>
  <c r="R398" i="55"/>
  <c r="R399" i="55"/>
  <c r="R400" i="55"/>
  <c r="R401" i="55"/>
  <c r="R402" i="55"/>
  <c r="R403" i="55"/>
  <c r="R404" i="55"/>
  <c r="R405" i="55"/>
  <c r="R406" i="55"/>
  <c r="R407" i="55"/>
  <c r="R408" i="55"/>
  <c r="R409" i="55"/>
  <c r="R410" i="55"/>
  <c r="R411" i="55"/>
  <c r="R412" i="55"/>
  <c r="R413" i="55"/>
  <c r="R414" i="55"/>
  <c r="R417" i="55"/>
  <c r="R418" i="55"/>
  <c r="R419" i="55"/>
  <c r="R420" i="55"/>
  <c r="R421" i="55"/>
  <c r="R422" i="55"/>
  <c r="R423" i="55"/>
  <c r="R424" i="55"/>
  <c r="R425" i="55"/>
  <c r="R426" i="55"/>
  <c r="R427" i="55"/>
  <c r="R428" i="55"/>
  <c r="R429" i="55"/>
  <c r="R430" i="55"/>
  <c r="R431" i="55"/>
  <c r="R432" i="55"/>
  <c r="R433" i="55"/>
  <c r="R434" i="55"/>
  <c r="R435" i="55"/>
  <c r="R436" i="55"/>
  <c r="R437" i="55"/>
  <c r="R438" i="55"/>
  <c r="R439" i="55"/>
  <c r="R440" i="55"/>
  <c r="R441" i="55"/>
  <c r="R442" i="55"/>
  <c r="R443" i="55"/>
  <c r="R444" i="55"/>
  <c r="R445" i="55"/>
  <c r="R452" i="55"/>
  <c r="R453" i="55"/>
  <c r="R454" i="55"/>
  <c r="R455" i="55"/>
  <c r="R456" i="55"/>
  <c r="R457" i="55"/>
  <c r="R458" i="55"/>
  <c r="R459" i="55"/>
  <c r="R460" i="55"/>
  <c r="R461" i="55"/>
  <c r="R462" i="55"/>
  <c r="R463" i="55"/>
  <c r="R464" i="55"/>
  <c r="R465" i="55"/>
  <c r="R466" i="55"/>
  <c r="R467" i="55"/>
  <c r="R468" i="55"/>
  <c r="R469" i="55"/>
  <c r="R470" i="55"/>
  <c r="R471" i="55"/>
  <c r="R472" i="55"/>
  <c r="R473" i="55"/>
  <c r="R474" i="55"/>
  <c r="R475" i="55"/>
  <c r="R476" i="55"/>
  <c r="R477" i="55"/>
  <c r="R478" i="55"/>
  <c r="R479" i="55"/>
  <c r="R480" i="55"/>
  <c r="R481" i="55"/>
  <c r="R482" i="55"/>
  <c r="R483" i="55"/>
  <c r="R484" i="55"/>
  <c r="R485" i="55"/>
  <c r="R486" i="55"/>
  <c r="R487" i="55"/>
  <c r="R488" i="55"/>
  <c r="R489" i="55"/>
  <c r="R490" i="55"/>
  <c r="R491" i="55"/>
  <c r="R492" i="55"/>
  <c r="R493" i="55"/>
  <c r="R494" i="55"/>
  <c r="R496" i="55"/>
  <c r="R497" i="55"/>
  <c r="R498" i="55"/>
  <c r="R499" i="55"/>
  <c r="R500" i="55"/>
  <c r="R501" i="55"/>
  <c r="R502" i="55"/>
  <c r="R503" i="55"/>
  <c r="R504" i="55"/>
  <c r="R505" i="55"/>
  <c r="R506" i="55"/>
  <c r="R507" i="55"/>
  <c r="R508" i="55"/>
  <c r="R509" i="55"/>
  <c r="R510" i="55"/>
  <c r="R511" i="55"/>
  <c r="R512" i="55"/>
  <c r="R513" i="55"/>
  <c r="R514" i="55"/>
  <c r="R515" i="55"/>
  <c r="R516" i="55"/>
  <c r="R517" i="55"/>
  <c r="R518" i="55"/>
  <c r="R519" i="55"/>
  <c r="R520" i="55"/>
  <c r="R521" i="55"/>
  <c r="R522" i="55"/>
  <c r="R523" i="55"/>
  <c r="R524" i="55"/>
  <c r="R525" i="55"/>
  <c r="R526" i="55"/>
  <c r="R527" i="55"/>
  <c r="R528" i="55"/>
  <c r="R529" i="55"/>
  <c r="R530" i="55"/>
  <c r="R531" i="55"/>
  <c r="R532" i="55"/>
  <c r="R533" i="55"/>
  <c r="R534" i="55"/>
  <c r="R535" i="55"/>
  <c r="R536" i="55"/>
  <c r="R537" i="55"/>
  <c r="R538" i="55"/>
  <c r="R539" i="55"/>
  <c r="R540" i="55"/>
  <c r="R541" i="55"/>
  <c r="R542" i="55"/>
  <c r="R543" i="55"/>
  <c r="R544" i="55"/>
  <c r="R545" i="55"/>
  <c r="R546" i="55"/>
  <c r="R547" i="55"/>
  <c r="R548" i="55"/>
  <c r="R549" i="55"/>
  <c r="R550" i="55"/>
  <c r="R551" i="55"/>
  <c r="R552" i="55"/>
  <c r="R553" i="55"/>
  <c r="R554" i="55"/>
  <c r="R555" i="55"/>
  <c r="R556" i="55"/>
  <c r="R557" i="55"/>
  <c r="R558" i="55"/>
  <c r="R559" i="55"/>
  <c r="R560" i="55"/>
  <c r="R561" i="55"/>
  <c r="R562" i="55"/>
  <c r="R563" i="55"/>
  <c r="R564" i="55"/>
  <c r="R565" i="55"/>
  <c r="R566" i="55"/>
  <c r="R567" i="55"/>
  <c r="R568" i="55"/>
  <c r="R569" i="55"/>
  <c r="R570" i="55"/>
  <c r="R571" i="55"/>
  <c r="R572" i="55"/>
  <c r="R573" i="55"/>
  <c r="R574" i="55"/>
  <c r="R575" i="55"/>
  <c r="R576" i="55"/>
  <c r="R577" i="55"/>
  <c r="R578" i="55"/>
  <c r="R579" i="55"/>
  <c r="R580" i="55"/>
  <c r="R581" i="55"/>
  <c r="R582" i="55"/>
  <c r="R583" i="55"/>
  <c r="R584" i="55"/>
  <c r="R585" i="55"/>
  <c r="R586" i="55"/>
  <c r="R587" i="55"/>
  <c r="R588" i="55"/>
  <c r="R589" i="55"/>
  <c r="R590" i="55"/>
  <c r="R591" i="55"/>
  <c r="R592" i="55"/>
  <c r="R593" i="55"/>
  <c r="R594" i="55"/>
  <c r="R595" i="55"/>
  <c r="R596" i="55"/>
  <c r="R597" i="55"/>
  <c r="R598" i="55"/>
  <c r="R599" i="55"/>
  <c r="R600" i="55"/>
  <c r="R601" i="55"/>
  <c r="R602" i="55"/>
  <c r="R603" i="55"/>
  <c r="R604" i="55"/>
  <c r="R605" i="55"/>
  <c r="R606" i="55"/>
  <c r="R607" i="55"/>
  <c r="R608" i="55"/>
  <c r="R609" i="55"/>
  <c r="R610" i="55"/>
  <c r="R611" i="55"/>
  <c r="R612" i="55"/>
  <c r="R613" i="55"/>
  <c r="R614" i="55"/>
  <c r="R615" i="55"/>
  <c r="R616" i="55"/>
  <c r="R617" i="55"/>
  <c r="R618" i="55"/>
  <c r="R620" i="55"/>
  <c r="R622" i="55"/>
  <c r="R623" i="55"/>
  <c r="R624" i="55"/>
  <c r="R625" i="55"/>
  <c r="R626" i="55"/>
  <c r="R627" i="55"/>
  <c r="R49" i="55"/>
  <c r="R50" i="55"/>
  <c r="R628" i="55"/>
  <c r="R629" i="55"/>
  <c r="R630" i="55"/>
  <c r="R631" i="55"/>
  <c r="R632" i="55"/>
  <c r="R633" i="55"/>
  <c r="R634" i="55"/>
  <c r="R635" i="55"/>
  <c r="R636" i="55"/>
  <c r="R637" i="55"/>
  <c r="R638" i="55"/>
  <c r="R639" i="55"/>
  <c r="R640" i="55"/>
  <c r="R641" i="55"/>
  <c r="R642" i="55"/>
  <c r="R643" i="55"/>
  <c r="R644" i="55"/>
  <c r="R645" i="55"/>
  <c r="R646" i="55"/>
  <c r="R647" i="55"/>
  <c r="D185" i="55"/>
  <c r="W185" i="55"/>
  <c r="W186" i="55"/>
  <c r="W187" i="55"/>
  <c r="W15" i="55"/>
  <c r="W16" i="55"/>
  <c r="W17" i="55"/>
  <c r="W18" i="55"/>
  <c r="W19" i="55"/>
  <c r="W20" i="55"/>
  <c r="W21" i="55"/>
  <c r="W22" i="55"/>
  <c r="W23" i="55"/>
  <c r="W24" i="55"/>
  <c r="W27" i="55"/>
  <c r="W28" i="55"/>
  <c r="W29" i="55"/>
  <c r="W30" i="55"/>
  <c r="W31" i="55"/>
  <c r="W32" i="55"/>
  <c r="W33" i="55"/>
  <c r="W34" i="55"/>
  <c r="W35" i="55"/>
  <c r="W36" i="55"/>
  <c r="W37" i="55"/>
  <c r="W38" i="55"/>
  <c r="W39" i="55"/>
  <c r="W40" i="55"/>
  <c r="W42" i="55"/>
  <c r="W43" i="55"/>
  <c r="W44" i="55"/>
  <c r="W45" i="55"/>
  <c r="W46" i="55"/>
  <c r="W47" i="55"/>
  <c r="W48" i="55"/>
  <c r="W41" i="55"/>
  <c r="W59" i="55"/>
  <c r="W60" i="55"/>
  <c r="W61" i="55"/>
  <c r="W62" i="55"/>
  <c r="W63" i="55"/>
  <c r="W64" i="55"/>
  <c r="W65" i="55"/>
  <c r="W66" i="55"/>
  <c r="W67" i="55"/>
  <c r="W68" i="55"/>
  <c r="W69" i="55"/>
  <c r="W70" i="55"/>
  <c r="W73" i="55"/>
  <c r="W74" i="55"/>
  <c r="W75" i="55"/>
  <c r="W76" i="55"/>
  <c r="W77" i="55"/>
  <c r="W78" i="55"/>
  <c r="W79" i="55"/>
  <c r="W80" i="55"/>
  <c r="W81" i="55"/>
  <c r="W82" i="55"/>
  <c r="W83" i="55"/>
  <c r="W84" i="55"/>
  <c r="W85" i="55"/>
  <c r="W86" i="55"/>
  <c r="W87" i="55"/>
  <c r="W88" i="55"/>
  <c r="W89" i="55"/>
  <c r="W90" i="55"/>
  <c r="W91" i="55"/>
  <c r="W92" i="55"/>
  <c r="W93" i="55"/>
  <c r="W94" i="55"/>
  <c r="W95" i="55"/>
  <c r="W96" i="55"/>
  <c r="W97" i="55"/>
  <c r="W98" i="55"/>
  <c r="W99" i="55"/>
  <c r="W100" i="55"/>
  <c r="W101" i="55"/>
  <c r="W102" i="55"/>
  <c r="W103" i="55"/>
  <c r="W104" i="55"/>
  <c r="W105" i="55"/>
  <c r="W106" i="55"/>
  <c r="W107" i="55"/>
  <c r="W108" i="55"/>
  <c r="W109" i="55"/>
  <c r="W110" i="55"/>
  <c r="W111" i="55"/>
  <c r="W112" i="55"/>
  <c r="W114" i="55"/>
  <c r="W115" i="55"/>
  <c r="W116" i="55"/>
  <c r="W117" i="55"/>
  <c r="W118" i="55"/>
  <c r="W119" i="55"/>
  <c r="W120" i="55"/>
  <c r="W121" i="55"/>
  <c r="W122" i="55"/>
  <c r="W123" i="55"/>
  <c r="W124" i="55"/>
  <c r="W125" i="55"/>
  <c r="W126" i="55"/>
  <c r="W127" i="55"/>
  <c r="W128" i="55"/>
  <c r="W129" i="55"/>
  <c r="W130" i="55"/>
  <c r="W131" i="55"/>
  <c r="W132" i="55"/>
  <c r="W133" i="55"/>
  <c r="W134" i="55"/>
  <c r="W135" i="55"/>
  <c r="W137" i="55"/>
  <c r="W138" i="55"/>
  <c r="W139" i="55"/>
  <c r="W140" i="55"/>
  <c r="W141" i="55"/>
  <c r="W142" i="55"/>
  <c r="W143" i="55"/>
  <c r="W144" i="55"/>
  <c r="W145" i="55"/>
  <c r="W146" i="55"/>
  <c r="W147" i="55"/>
  <c r="W148" i="55"/>
  <c r="W149" i="55"/>
  <c r="W150" i="55"/>
  <c r="W151" i="55"/>
  <c r="W152" i="55"/>
  <c r="W153" i="55"/>
  <c r="W154" i="55"/>
  <c r="W155" i="55"/>
  <c r="W156" i="55"/>
  <c r="W157" i="55"/>
  <c r="W158" i="55"/>
  <c r="W159" i="55"/>
  <c r="W160" i="55"/>
  <c r="W161" i="55"/>
  <c r="W162" i="55"/>
  <c r="W163" i="55"/>
  <c r="W167" i="55"/>
  <c r="W170" i="55"/>
  <c r="W171" i="55"/>
  <c r="W172" i="55"/>
  <c r="W173" i="55"/>
  <c r="W174" i="55"/>
  <c r="W175" i="55"/>
  <c r="W177" i="55"/>
  <c r="W178" i="55"/>
  <c r="W179" i="55"/>
  <c r="W180" i="55"/>
  <c r="W181" i="55"/>
  <c r="W182" i="55"/>
  <c r="W183" i="55"/>
  <c r="W184" i="55"/>
  <c r="W188" i="55"/>
  <c r="W189" i="55"/>
  <c r="W190" i="55"/>
  <c r="W191" i="55"/>
  <c r="W192" i="55"/>
  <c r="W193" i="55"/>
  <c r="W194" i="55"/>
  <c r="W195" i="55"/>
  <c r="W196" i="55"/>
  <c r="W197" i="55"/>
  <c r="W198" i="55"/>
  <c r="W199" i="55"/>
  <c r="W200" i="55"/>
  <c r="W209" i="55"/>
  <c r="W210" i="55"/>
  <c r="W211" i="55"/>
  <c r="W212" i="55"/>
  <c r="W213" i="55"/>
  <c r="W214" i="55"/>
  <c r="W215" i="55"/>
  <c r="W216" i="55"/>
  <c r="W217" i="55"/>
  <c r="W218" i="55"/>
  <c r="W219" i="55"/>
  <c r="W220" i="55"/>
  <c r="W221" i="55"/>
  <c r="W222" i="55"/>
  <c r="W223" i="55"/>
  <c r="W224" i="55"/>
  <c r="W225" i="55"/>
  <c r="W226" i="55"/>
  <c r="W227" i="55"/>
  <c r="W228" i="55"/>
  <c r="W229" i="55"/>
  <c r="W230" i="55"/>
  <c r="W231" i="55"/>
  <c r="W232" i="55"/>
  <c r="W233" i="55"/>
  <c r="W234" i="55"/>
  <c r="W235" i="55"/>
  <c r="W236" i="55"/>
  <c r="W237" i="55"/>
  <c r="W238" i="55"/>
  <c r="W239" i="55"/>
  <c r="W240" i="55"/>
  <c r="W241" i="55"/>
  <c r="W242" i="55"/>
  <c r="W243" i="55"/>
  <c r="W244" i="55"/>
  <c r="W245" i="55"/>
  <c r="W246" i="55"/>
  <c r="W247" i="55"/>
  <c r="W248" i="55"/>
  <c r="W249" i="55"/>
  <c r="W250" i="55"/>
  <c r="W251" i="55"/>
  <c r="W252" i="55"/>
  <c r="W253" i="55"/>
  <c r="W254" i="55"/>
  <c r="W255" i="55"/>
  <c r="W256" i="55"/>
  <c r="W257" i="55"/>
  <c r="W258" i="55"/>
  <c r="W259" i="55"/>
  <c r="W260" i="55"/>
  <c r="W261" i="55"/>
  <c r="W262" i="55"/>
  <c r="W263" i="55"/>
  <c r="W264" i="55"/>
  <c r="W265" i="55"/>
  <c r="W266" i="55"/>
  <c r="W267" i="55"/>
  <c r="W268" i="55"/>
  <c r="W269" i="55"/>
  <c r="W270" i="55"/>
  <c r="W271" i="55"/>
  <c r="W272" i="55"/>
  <c r="W273" i="55"/>
  <c r="W274" i="55"/>
  <c r="W275" i="55"/>
  <c r="W276" i="55"/>
  <c r="W277" i="55"/>
  <c r="W278" i="55"/>
  <c r="W279" i="55"/>
  <c r="W280" i="55"/>
  <c r="W281" i="55"/>
  <c r="W282" i="55"/>
  <c r="W283" i="55"/>
  <c r="W284" i="55"/>
  <c r="W285" i="55"/>
  <c r="W286" i="55"/>
  <c r="W287" i="55"/>
  <c r="W288" i="55"/>
  <c r="W289" i="55"/>
  <c r="W290" i="55"/>
  <c r="W291" i="55"/>
  <c r="W292" i="55"/>
  <c r="W293" i="55"/>
  <c r="W294" i="55"/>
  <c r="W295" i="55"/>
  <c r="W296" i="55"/>
  <c r="W297" i="55"/>
  <c r="W298" i="55"/>
  <c r="W299" i="55"/>
  <c r="W300" i="55"/>
  <c r="W301" i="55"/>
  <c r="W302" i="55"/>
  <c r="W303" i="55"/>
  <c r="W304" i="55"/>
  <c r="W305" i="55"/>
  <c r="W306" i="55"/>
  <c r="W307" i="55"/>
  <c r="W308" i="55"/>
  <c r="W309" i="55"/>
  <c r="W310" i="55"/>
  <c r="W311" i="55"/>
  <c r="W312" i="55"/>
  <c r="W313" i="55"/>
  <c r="W314" i="55"/>
  <c r="W315" i="55"/>
  <c r="W316" i="55"/>
  <c r="W317" i="55"/>
  <c r="W318" i="55"/>
  <c r="W319" i="55"/>
  <c r="W320" i="55"/>
  <c r="W321" i="55"/>
  <c r="W322" i="55"/>
  <c r="W323" i="55"/>
  <c r="W324" i="55"/>
  <c r="W325" i="55"/>
  <c r="W326" i="55"/>
  <c r="W327" i="55"/>
  <c r="W328" i="55"/>
  <c r="W329" i="55"/>
  <c r="W330" i="55"/>
  <c r="W331" i="55"/>
  <c r="W332" i="55"/>
  <c r="W333" i="55"/>
  <c r="W334" i="55"/>
  <c r="W335" i="55"/>
  <c r="W336" i="55"/>
  <c r="W337" i="55"/>
  <c r="W338" i="55"/>
  <c r="W339" i="55"/>
  <c r="W340" i="55"/>
  <c r="W341" i="55"/>
  <c r="W342" i="55"/>
  <c r="W343" i="55"/>
  <c r="W345" i="55"/>
  <c r="W346" i="55"/>
  <c r="W347" i="55"/>
  <c r="W348" i="55"/>
  <c r="W349" i="55"/>
  <c r="W350" i="55"/>
  <c r="W351" i="55"/>
  <c r="W352" i="55"/>
  <c r="W353" i="55"/>
  <c r="W359" i="55"/>
  <c r="W360" i="55"/>
  <c r="W361" i="55"/>
  <c r="W362" i="55"/>
  <c r="W363" i="55"/>
  <c r="W364" i="55"/>
  <c r="W365" i="55"/>
  <c r="W366" i="55"/>
  <c r="W367" i="55"/>
  <c r="W368" i="55"/>
  <c r="W369" i="55"/>
  <c r="W370" i="55"/>
  <c r="W371" i="55"/>
  <c r="W372" i="55"/>
  <c r="W373" i="55"/>
  <c r="W374" i="55"/>
  <c r="W375" i="55"/>
  <c r="W376" i="55"/>
  <c r="W377" i="55"/>
  <c r="W378" i="55"/>
  <c r="W379" i="55"/>
  <c r="W381" i="55"/>
  <c r="W382" i="55"/>
  <c r="W383" i="55"/>
  <c r="W384" i="55"/>
  <c r="W385" i="55"/>
  <c r="W386" i="55"/>
  <c r="W387" i="55"/>
  <c r="W388" i="55"/>
  <c r="W389" i="55"/>
  <c r="W390" i="55"/>
  <c r="W391" i="55"/>
  <c r="W392" i="55"/>
  <c r="W393" i="55"/>
  <c r="W394" i="55"/>
  <c r="W395" i="55"/>
  <c r="W396" i="55"/>
  <c r="W397" i="55"/>
  <c r="W398" i="55"/>
  <c r="W399" i="55"/>
  <c r="W400" i="55"/>
  <c r="W401" i="55"/>
  <c r="W402" i="55"/>
  <c r="W403" i="55"/>
  <c r="W404" i="55"/>
  <c r="W405" i="55"/>
  <c r="W406" i="55"/>
  <c r="W407" i="55"/>
  <c r="W408" i="55"/>
  <c r="W409" i="55"/>
  <c r="W410" i="55"/>
  <c r="W411" i="55"/>
  <c r="W412" i="55"/>
  <c r="W413" i="55"/>
  <c r="W414" i="55"/>
  <c r="W419" i="55"/>
  <c r="W420" i="55"/>
  <c r="W421" i="55"/>
  <c r="W422" i="55"/>
  <c r="W423" i="55"/>
  <c r="W424" i="55"/>
  <c r="W425" i="55"/>
  <c r="W426" i="55"/>
  <c r="W427" i="55"/>
  <c r="W428" i="55"/>
  <c r="W429" i="55"/>
  <c r="W430" i="55"/>
  <c r="W431" i="55"/>
  <c r="W432" i="55"/>
  <c r="W433" i="55"/>
  <c r="W434" i="55"/>
  <c r="W435" i="55"/>
  <c r="W436" i="55"/>
  <c r="W437" i="55"/>
  <c r="W438" i="55"/>
  <c r="W439" i="55"/>
  <c r="W440" i="55"/>
  <c r="W441" i="55"/>
  <c r="W442" i="55"/>
  <c r="W443" i="55"/>
  <c r="W444" i="55"/>
  <c r="W445" i="55"/>
  <c r="W452" i="55"/>
  <c r="W453" i="55"/>
  <c r="W454" i="55"/>
  <c r="W455" i="55"/>
  <c r="W456" i="55"/>
  <c r="W457" i="55"/>
  <c r="W458" i="55"/>
  <c r="W459" i="55"/>
  <c r="W460" i="55"/>
  <c r="W461" i="55"/>
  <c r="W462" i="55"/>
  <c r="W463" i="55"/>
  <c r="W464" i="55"/>
  <c r="W465" i="55"/>
  <c r="W466" i="55"/>
  <c r="W467" i="55"/>
  <c r="W468" i="55"/>
  <c r="W469" i="55"/>
  <c r="W470" i="55"/>
  <c r="W471" i="55"/>
  <c r="W472" i="55"/>
  <c r="W473" i="55"/>
  <c r="W474" i="55"/>
  <c r="W475" i="55"/>
  <c r="W476" i="55"/>
  <c r="W477" i="55"/>
  <c r="W478" i="55"/>
  <c r="W479" i="55"/>
  <c r="W480" i="55"/>
  <c r="W481" i="55"/>
  <c r="W482" i="55"/>
  <c r="W483" i="55"/>
  <c r="W484" i="55"/>
  <c r="W485" i="55"/>
  <c r="W486" i="55"/>
  <c r="W487" i="55"/>
  <c r="W488" i="55"/>
  <c r="W489" i="55"/>
  <c r="W490" i="55"/>
  <c r="W491" i="55"/>
  <c r="W492" i="55"/>
  <c r="W493" i="55"/>
  <c r="W494" i="55"/>
  <c r="W496" i="55"/>
  <c r="W497" i="55"/>
  <c r="W498" i="55"/>
  <c r="W499" i="55"/>
  <c r="W500" i="55"/>
  <c r="W501" i="55"/>
  <c r="W502" i="55"/>
  <c r="W503" i="55"/>
  <c r="W504" i="55"/>
  <c r="W505" i="55"/>
  <c r="W506" i="55"/>
  <c r="W507" i="55"/>
  <c r="W508" i="55"/>
  <c r="W509" i="55"/>
  <c r="W510" i="55"/>
  <c r="W511" i="55"/>
  <c r="W512" i="55"/>
  <c r="W513" i="55"/>
  <c r="W514" i="55"/>
  <c r="W515" i="55"/>
  <c r="W516" i="55"/>
  <c r="W517" i="55"/>
  <c r="W518" i="55"/>
  <c r="W519" i="55"/>
  <c r="W520" i="55"/>
  <c r="W521" i="55"/>
  <c r="W522" i="55"/>
  <c r="W523" i="55"/>
  <c r="W524" i="55"/>
  <c r="W525" i="55"/>
  <c r="W526" i="55"/>
  <c r="W527" i="55"/>
  <c r="W528" i="55"/>
  <c r="W529" i="55"/>
  <c r="W530" i="55"/>
  <c r="W531" i="55"/>
  <c r="W532" i="55"/>
  <c r="W533" i="55"/>
  <c r="W534" i="55"/>
  <c r="W535" i="55"/>
  <c r="W536" i="55"/>
  <c r="W537" i="55"/>
  <c r="W538" i="55"/>
  <c r="W539" i="55"/>
  <c r="W540" i="55"/>
  <c r="W541" i="55"/>
  <c r="W542" i="55"/>
  <c r="W543" i="55"/>
  <c r="W544" i="55"/>
  <c r="W545" i="55"/>
  <c r="W546" i="55"/>
  <c r="W547" i="55"/>
  <c r="W548" i="55"/>
  <c r="W549" i="55"/>
  <c r="W550" i="55"/>
  <c r="W551" i="55"/>
  <c r="W552" i="55"/>
  <c r="W553" i="55"/>
  <c r="W554" i="55"/>
  <c r="W555" i="55"/>
  <c r="W556" i="55"/>
  <c r="W557" i="55"/>
  <c r="W558" i="55"/>
  <c r="W559" i="55"/>
  <c r="W560" i="55"/>
  <c r="W561" i="55"/>
  <c r="W562" i="55"/>
  <c r="W563" i="55"/>
  <c r="W564" i="55"/>
  <c r="W565" i="55"/>
  <c r="W566" i="55"/>
  <c r="W567" i="55"/>
  <c r="W568" i="55"/>
  <c r="W569" i="55"/>
  <c r="W570" i="55"/>
  <c r="W571" i="55"/>
  <c r="W572" i="55"/>
  <c r="W573" i="55"/>
  <c r="W574" i="55"/>
  <c r="W575" i="55"/>
  <c r="W576" i="55"/>
  <c r="W577" i="55"/>
  <c r="W578" i="55"/>
  <c r="W579" i="55"/>
  <c r="W580" i="55"/>
  <c r="W581" i="55"/>
  <c r="W582" i="55"/>
  <c r="W583" i="55"/>
  <c r="W584" i="55"/>
  <c r="W585" i="55"/>
  <c r="W586" i="55"/>
  <c r="W587" i="55"/>
  <c r="W588" i="55"/>
  <c r="W589" i="55"/>
  <c r="W590" i="55"/>
  <c r="W591" i="55"/>
  <c r="W592" i="55"/>
  <c r="W593" i="55"/>
  <c r="W594" i="55"/>
  <c r="W595" i="55"/>
  <c r="W596" i="55"/>
  <c r="W597" i="55"/>
  <c r="W598" i="55"/>
  <c r="W599" i="55"/>
  <c r="W600" i="55"/>
  <c r="W601" i="55"/>
  <c r="W602" i="55"/>
  <c r="W603" i="55"/>
  <c r="W604" i="55"/>
  <c r="W605" i="55"/>
  <c r="W606" i="55"/>
  <c r="W607" i="55"/>
  <c r="W608" i="55"/>
  <c r="W609" i="55"/>
  <c r="W610" i="55"/>
  <c r="W611" i="55"/>
  <c r="W612" i="55"/>
  <c r="W613" i="55"/>
  <c r="W614" i="55"/>
  <c r="W615" i="55"/>
  <c r="W616" i="55"/>
  <c r="W617" i="55"/>
  <c r="W618" i="55"/>
  <c r="W620" i="55"/>
  <c r="W622" i="55"/>
  <c r="W623" i="55"/>
  <c r="W624" i="55"/>
  <c r="W625" i="55"/>
  <c r="W626" i="55"/>
  <c r="W627" i="55"/>
  <c r="W49" i="55"/>
  <c r="W50" i="55"/>
  <c r="W628" i="55"/>
  <c r="W629" i="55"/>
  <c r="W630" i="55"/>
  <c r="W631" i="55"/>
  <c r="W632" i="55"/>
  <c r="W633" i="55"/>
  <c r="W634" i="55"/>
  <c r="W635" i="55"/>
  <c r="W636" i="55"/>
  <c r="W637" i="55"/>
  <c r="W638" i="55"/>
  <c r="W639" i="55"/>
  <c r="W640" i="55"/>
  <c r="W641" i="55"/>
  <c r="W642" i="55"/>
  <c r="W643" i="55"/>
  <c r="W644" i="55"/>
  <c r="W645" i="55"/>
  <c r="W646" i="55"/>
  <c r="W647" i="55"/>
  <c r="C14" i="56"/>
  <c r="A14" i="56" s="1"/>
  <c r="C15" i="56"/>
  <c r="C16" i="56"/>
  <c r="C17" i="56"/>
  <c r="C18" i="56"/>
  <c r="C19" i="56"/>
  <c r="C20" i="56"/>
  <c r="C21" i="56"/>
  <c r="C22" i="56"/>
  <c r="C23" i="56"/>
  <c r="C24" i="56"/>
  <c r="C25" i="56"/>
  <c r="C26" i="56"/>
  <c r="C27" i="56"/>
  <c r="C28" i="56"/>
  <c r="C29" i="56"/>
  <c r="C30" i="56"/>
  <c r="C31" i="56"/>
  <c r="C32" i="56"/>
  <c r="C33" i="56"/>
  <c r="C34" i="56"/>
  <c r="C35" i="56"/>
  <c r="C36" i="56"/>
  <c r="C37" i="56"/>
  <c r="C38" i="56"/>
  <c r="C39" i="56"/>
  <c r="C40" i="56"/>
  <c r="C41" i="56"/>
  <c r="C42" i="56"/>
  <c r="C43" i="56"/>
  <c r="C44" i="56"/>
  <c r="C45" i="56"/>
  <c r="C46" i="56"/>
  <c r="C47" i="56"/>
  <c r="C48" i="56"/>
  <c r="C49" i="56"/>
  <c r="C50" i="56"/>
  <c r="C51" i="56"/>
  <c r="C52" i="56"/>
  <c r="C53" i="56"/>
  <c r="C54" i="56"/>
  <c r="C55" i="56"/>
  <c r="C56" i="56"/>
  <c r="C57" i="56"/>
  <c r="C58" i="56"/>
  <c r="C59" i="56"/>
  <c r="C60" i="56"/>
  <c r="C61" i="56"/>
  <c r="C62" i="56"/>
  <c r="C63" i="56"/>
  <c r="C64" i="56"/>
  <c r="C65" i="56"/>
  <c r="C66" i="56"/>
  <c r="C68" i="56"/>
  <c r="C69" i="56"/>
  <c r="C70" i="56"/>
  <c r="C71" i="56"/>
  <c r="C72" i="56"/>
  <c r="C73" i="56"/>
  <c r="C74" i="56"/>
  <c r="C75" i="56"/>
  <c r="C76" i="56"/>
  <c r="C77" i="56"/>
  <c r="C78" i="56"/>
  <c r="C79" i="56"/>
  <c r="C80" i="56"/>
  <c r="C81" i="56"/>
  <c r="C82" i="56"/>
  <c r="C83" i="56"/>
  <c r="C84" i="56"/>
  <c r="C85" i="56"/>
  <c r="C86" i="56"/>
  <c r="C87" i="56"/>
  <c r="C88" i="56"/>
  <c r="C89" i="56"/>
  <c r="C90" i="56"/>
  <c r="C91" i="56"/>
  <c r="C92" i="56"/>
  <c r="C93" i="56"/>
  <c r="C94" i="56"/>
  <c r="C95" i="56"/>
  <c r="C96" i="56"/>
  <c r="C97" i="56"/>
  <c r="C98" i="56"/>
  <c r="C99" i="56"/>
  <c r="C100" i="56"/>
  <c r="C101" i="56"/>
  <c r="C102" i="56"/>
  <c r="C103" i="56"/>
  <c r="C104" i="56"/>
  <c r="C105" i="56"/>
  <c r="C106" i="56"/>
  <c r="C107" i="56"/>
  <c r="C108" i="56"/>
  <c r="C109" i="56"/>
  <c r="C110" i="56"/>
  <c r="C111" i="56"/>
  <c r="C112" i="56"/>
  <c r="C113" i="56"/>
  <c r="C114" i="56"/>
  <c r="C115" i="56"/>
  <c r="C116" i="56"/>
  <c r="C117" i="56"/>
  <c r="C118" i="56"/>
  <c r="C119" i="56"/>
  <c r="C120" i="56"/>
  <c r="C121" i="56"/>
  <c r="C122" i="56"/>
  <c r="C123" i="56"/>
  <c r="C124" i="56"/>
  <c r="C125" i="56"/>
  <c r="C126" i="56"/>
  <c r="C127" i="56"/>
  <c r="C128" i="56"/>
  <c r="C129" i="56"/>
  <c r="C130" i="56"/>
  <c r="C131" i="56"/>
  <c r="C132" i="56"/>
  <c r="C133" i="56"/>
  <c r="C134" i="56"/>
  <c r="C135" i="56"/>
  <c r="C136" i="56"/>
  <c r="C137" i="56"/>
  <c r="C138" i="56"/>
  <c r="C139" i="56"/>
  <c r="C140" i="56"/>
  <c r="C141" i="56"/>
  <c r="C142" i="56"/>
  <c r="C143" i="56"/>
  <c r="C144" i="56"/>
  <c r="C145" i="56"/>
  <c r="C146" i="56"/>
  <c r="C147" i="56"/>
  <c r="C148" i="56"/>
  <c r="C149" i="56"/>
  <c r="C150" i="56"/>
  <c r="C154" i="56"/>
  <c r="C155" i="56"/>
  <c r="C156" i="56"/>
  <c r="C157" i="56"/>
  <c r="C158" i="56"/>
  <c r="C159" i="56"/>
  <c r="C160" i="56"/>
  <c r="C164" i="56"/>
  <c r="C166" i="56"/>
  <c r="C171" i="56"/>
  <c r="C172" i="56"/>
  <c r="C173" i="56"/>
  <c r="C174" i="56"/>
  <c r="C175" i="56"/>
  <c r="C176" i="56"/>
  <c r="C177" i="56"/>
  <c r="C178" i="56"/>
  <c r="C179" i="56"/>
  <c r="C180" i="56"/>
  <c r="C181" i="56"/>
  <c r="C182" i="56"/>
  <c r="C183" i="56"/>
  <c r="C184" i="56"/>
  <c r="C185" i="56"/>
  <c r="C186" i="56"/>
  <c r="C187" i="56"/>
  <c r="C188" i="56"/>
  <c r="C189" i="56"/>
  <c r="C190" i="56"/>
  <c r="C191" i="56"/>
  <c r="C192" i="56"/>
  <c r="C193" i="56"/>
  <c r="C194" i="56"/>
  <c r="C195" i="56"/>
  <c r="C196" i="56"/>
  <c r="C197" i="56"/>
  <c r="C198" i="56"/>
  <c r="C199" i="56"/>
  <c r="C200" i="56"/>
  <c r="C201" i="56"/>
  <c r="C202" i="56"/>
  <c r="C203" i="56"/>
  <c r="C204" i="56"/>
  <c r="C205" i="56"/>
  <c r="C206" i="56"/>
  <c r="C207" i="56"/>
  <c r="C208" i="56"/>
  <c r="C209" i="56"/>
  <c r="C210" i="56"/>
  <c r="C211" i="56"/>
  <c r="C212" i="56"/>
  <c r="C213" i="56"/>
  <c r="C214" i="56"/>
  <c r="C283" i="56"/>
  <c r="C284" i="56"/>
  <c r="C285" i="56"/>
  <c r="C286" i="56"/>
  <c r="C287" i="56"/>
  <c r="C288" i="56"/>
  <c r="C289" i="56"/>
  <c r="C290" i="56"/>
  <c r="C291" i="56"/>
  <c r="C292" i="56"/>
  <c r="C293" i="56"/>
  <c r="C294" i="56"/>
  <c r="C295" i="56"/>
  <c r="C296" i="56"/>
  <c r="C297" i="56"/>
  <c r="C298" i="56"/>
  <c r="C299" i="56"/>
  <c r="C300" i="56"/>
  <c r="C301" i="56"/>
  <c r="C302" i="56"/>
  <c r="C303" i="56"/>
  <c r="C304" i="56"/>
  <c r="C305" i="56"/>
  <c r="C306" i="56"/>
  <c r="C307" i="56"/>
  <c r="C308" i="56"/>
  <c r="C309" i="56"/>
  <c r="C310" i="56"/>
  <c r="C311" i="56"/>
  <c r="C312" i="56"/>
  <c r="C313" i="56"/>
  <c r="C314" i="56"/>
  <c r="C315" i="56"/>
  <c r="C316" i="56"/>
  <c r="C317" i="56"/>
  <c r="C319" i="56"/>
  <c r="C320" i="56"/>
  <c r="C321" i="56"/>
  <c r="C322" i="56"/>
  <c r="C323" i="56"/>
  <c r="C324" i="56"/>
  <c r="C325" i="56"/>
  <c r="C326" i="56"/>
  <c r="C327" i="56"/>
  <c r="C328" i="56"/>
  <c r="C329" i="56"/>
  <c r="C330" i="56"/>
  <c r="C331" i="56"/>
  <c r="C332" i="56"/>
  <c r="C333" i="56"/>
  <c r="C334" i="56"/>
  <c r="C335" i="56"/>
  <c r="C336" i="56"/>
  <c r="C337" i="56"/>
  <c r="C338" i="56"/>
  <c r="C339" i="56"/>
  <c r="C340" i="56"/>
  <c r="C341" i="56"/>
  <c r="C342" i="56"/>
  <c r="C343" i="56"/>
  <c r="C344" i="56"/>
  <c r="C345" i="56"/>
  <c r="C346" i="56"/>
  <c r="C347" i="56"/>
  <c r="C348" i="56"/>
  <c r="C351" i="56"/>
  <c r="C352" i="56"/>
  <c r="C353" i="56"/>
  <c r="C354" i="56"/>
  <c r="C356" i="56"/>
  <c r="C357" i="56"/>
  <c r="C358" i="56"/>
  <c r="C359" i="56"/>
  <c r="C360" i="56"/>
  <c r="C361" i="56"/>
  <c r="C362" i="56"/>
  <c r="C363" i="56"/>
  <c r="C364" i="56"/>
  <c r="C365" i="56"/>
  <c r="C366" i="56"/>
  <c r="C367" i="56"/>
  <c r="C368" i="56"/>
  <c r="C370" i="56"/>
  <c r="C371" i="56"/>
  <c r="C372" i="56"/>
  <c r="C373" i="56"/>
  <c r="C374" i="56"/>
  <c r="C375" i="56"/>
  <c r="C376" i="56"/>
  <c r="C377" i="56"/>
  <c r="C383" i="56"/>
  <c r="C388" i="56"/>
  <c r="C389" i="56"/>
  <c r="C392" i="56"/>
  <c r="C393" i="56"/>
  <c r="C394" i="56"/>
  <c r="C395" i="56"/>
  <c r="C396" i="56"/>
  <c r="C397" i="56"/>
  <c r="C398" i="56"/>
  <c r="C399" i="56"/>
  <c r="C400" i="56"/>
  <c r="C401" i="56"/>
  <c r="C402" i="56"/>
  <c r="C403" i="56"/>
  <c r="C406" i="56"/>
  <c r="C407" i="56"/>
  <c r="C408" i="56"/>
  <c r="C409" i="56"/>
  <c r="C410" i="56"/>
  <c r="C411" i="56"/>
  <c r="C412" i="56"/>
  <c r="C419" i="56"/>
  <c r="C424" i="56"/>
  <c r="C425" i="56"/>
  <c r="C426" i="56"/>
  <c r="C427" i="56"/>
  <c r="C428" i="56"/>
  <c r="C429" i="56"/>
  <c r="C430" i="56"/>
  <c r="C431" i="56"/>
  <c r="C432" i="56"/>
  <c r="C433" i="56"/>
  <c r="C434" i="56"/>
  <c r="C435" i="56"/>
  <c r="C436" i="56"/>
  <c r="C437" i="56"/>
  <c r="C438" i="56"/>
  <c r="C439" i="56"/>
  <c r="C440" i="56"/>
  <c r="C441" i="56"/>
  <c r="C442" i="56"/>
  <c r="C443" i="56"/>
  <c r="C444" i="56"/>
  <c r="C445" i="56"/>
  <c r="C446" i="56"/>
  <c r="C447" i="56"/>
  <c r="C448" i="56"/>
  <c r="C449" i="56"/>
  <c r="C450" i="56"/>
  <c r="C451" i="56"/>
  <c r="C452" i="56"/>
  <c r="C453" i="56"/>
  <c r="C454" i="56"/>
  <c r="C455" i="56"/>
  <c r="C456" i="56"/>
  <c r="C457" i="56"/>
  <c r="C458" i="56"/>
  <c r="C459" i="56"/>
  <c r="C460" i="56"/>
  <c r="C461" i="56"/>
  <c r="C462" i="56"/>
  <c r="C463" i="56"/>
  <c r="C464" i="56"/>
  <c r="C465" i="56"/>
  <c r="C466" i="56"/>
  <c r="C467" i="56"/>
  <c r="C468" i="56"/>
  <c r="C469" i="56"/>
  <c r="C470" i="56"/>
  <c r="C471" i="56"/>
  <c r="C472" i="56"/>
  <c r="C473" i="56"/>
  <c r="C474" i="56"/>
  <c r="C475" i="56"/>
  <c r="C476" i="56"/>
  <c r="C477" i="56"/>
  <c r="C478" i="56"/>
  <c r="C479" i="56"/>
  <c r="C480" i="56"/>
  <c r="C481" i="56"/>
  <c r="C482" i="56"/>
  <c r="C483" i="56"/>
  <c r="C484" i="56"/>
  <c r="C485" i="56"/>
  <c r="C486" i="56"/>
  <c r="C487" i="56"/>
  <c r="C488" i="56"/>
  <c r="C489" i="56"/>
  <c r="C490" i="56"/>
  <c r="C491" i="56"/>
  <c r="C492" i="56"/>
  <c r="C493" i="56"/>
  <c r="C494" i="56"/>
  <c r="C495" i="56"/>
  <c r="C496" i="56"/>
  <c r="C497" i="56"/>
  <c r="C498" i="56"/>
  <c r="C499" i="56"/>
  <c r="C500" i="56"/>
  <c r="C501" i="56"/>
  <c r="C502" i="56"/>
  <c r="C503" i="56"/>
  <c r="C504" i="56"/>
  <c r="C505" i="56"/>
  <c r="C506" i="56"/>
  <c r="C507" i="56"/>
  <c r="C508" i="56"/>
  <c r="C509" i="56"/>
  <c r="C510" i="56"/>
  <c r="C511" i="56"/>
  <c r="C512" i="56"/>
  <c r="C513" i="56"/>
  <c r="C514" i="56"/>
  <c r="C515" i="56"/>
  <c r="C516" i="56"/>
  <c r="C517" i="56"/>
  <c r="C518" i="56"/>
  <c r="C519" i="56"/>
  <c r="C520" i="56"/>
  <c r="C521" i="56"/>
  <c r="C522" i="56"/>
  <c r="C523" i="56"/>
  <c r="C524" i="56"/>
  <c r="C525" i="56"/>
  <c r="C526" i="56"/>
  <c r="C527" i="56"/>
  <c r="C528" i="56"/>
  <c r="C529" i="56"/>
  <c r="C530" i="56"/>
  <c r="C531" i="56"/>
  <c r="C532" i="56"/>
  <c r="C533" i="56"/>
  <c r="C534" i="56"/>
  <c r="C535" i="56"/>
  <c r="C536" i="56"/>
  <c r="C537" i="56"/>
  <c r="C538" i="56"/>
  <c r="C539" i="56"/>
  <c r="C540" i="56"/>
  <c r="C541" i="56"/>
  <c r="C542" i="56"/>
  <c r="C543" i="56"/>
  <c r="C544" i="56"/>
  <c r="C545" i="56"/>
  <c r="C546" i="56"/>
  <c r="C547" i="56"/>
  <c r="C548" i="56"/>
  <c r="C549" i="56"/>
  <c r="C550" i="56"/>
  <c r="C551" i="56"/>
  <c r="C552" i="56"/>
  <c r="C553" i="56"/>
  <c r="C554" i="56"/>
  <c r="C555" i="56"/>
  <c r="C556" i="56"/>
  <c r="C557" i="56"/>
  <c r="C558" i="56"/>
  <c r="C559" i="56"/>
  <c r="C560" i="56"/>
  <c r="C561" i="56"/>
  <c r="C562" i="56"/>
  <c r="C563" i="56"/>
  <c r="C564" i="56"/>
  <c r="C565" i="56"/>
  <c r="C566" i="56"/>
  <c r="C567" i="56"/>
  <c r="C568" i="56"/>
  <c r="C569" i="56"/>
  <c r="C570" i="56"/>
  <c r="C571" i="56"/>
  <c r="C572" i="56"/>
  <c r="C573" i="56"/>
  <c r="C574" i="56"/>
  <c r="C575" i="56"/>
  <c r="C576" i="56"/>
  <c r="C577" i="56"/>
  <c r="C578" i="56"/>
  <c r="C579" i="56"/>
  <c r="C580" i="56"/>
  <c r="C581" i="56"/>
  <c r="C582" i="56"/>
  <c r="C583" i="56"/>
  <c r="C584" i="56"/>
  <c r="C585" i="56"/>
  <c r="C586" i="56"/>
  <c r="C587" i="56"/>
  <c r="C588" i="56"/>
  <c r="C589" i="56"/>
  <c r="C590" i="56"/>
  <c r="C591" i="56"/>
  <c r="C592" i="56"/>
  <c r="C593" i="56"/>
  <c r="C594" i="56"/>
  <c r="C595" i="56"/>
  <c r="C596" i="56"/>
  <c r="C597" i="56"/>
  <c r="C598" i="56"/>
  <c r="C599" i="56"/>
  <c r="C600" i="56"/>
  <c r="C601" i="56"/>
  <c r="C602" i="56"/>
  <c r="C603" i="56"/>
  <c r="C604" i="56"/>
  <c r="C605" i="56"/>
  <c r="C606" i="56"/>
  <c r="W14" i="55"/>
  <c r="O648" i="55"/>
  <c r="M648" i="55"/>
  <c r="K648" i="55"/>
  <c r="B648" i="55"/>
  <c r="D87" i="55"/>
  <c r="P14" i="55"/>
  <c r="P15" i="55" s="1"/>
  <c r="P16" i="55" s="1"/>
  <c r="P17" i="55" s="1"/>
  <c r="P18" i="55" s="1"/>
  <c r="P19" i="55" s="1"/>
  <c r="P20" i="55" s="1"/>
  <c r="P21" i="55" s="1"/>
  <c r="P22" i="55" s="1"/>
  <c r="P23" i="55" s="1"/>
  <c r="P24" i="55" s="1"/>
  <c r="P25" i="55" s="1"/>
  <c r="P26" i="55" s="1"/>
  <c r="P27" i="55" s="1"/>
  <c r="P28" i="55" s="1"/>
  <c r="P29" i="55" s="1"/>
  <c r="P30" i="55" s="1"/>
  <c r="P31" i="55" s="1"/>
  <c r="P32" i="55" s="1"/>
  <c r="P33" i="55" s="1"/>
  <c r="P34" i="55" s="1"/>
  <c r="P35" i="55" s="1"/>
  <c r="P36" i="55" s="1"/>
  <c r="P37" i="55" s="1"/>
  <c r="P38" i="55" s="1"/>
  <c r="P39" i="55" s="1"/>
  <c r="P40" i="55" s="1"/>
  <c r="P41" i="55" s="1"/>
  <c r="P42" i="55" s="1"/>
  <c r="P43" i="55" s="1"/>
  <c r="P44" i="55" s="1"/>
  <c r="P45" i="55" s="1"/>
  <c r="P46" i="55" s="1"/>
  <c r="P47" i="55" s="1"/>
  <c r="P48" i="55" s="1"/>
  <c r="P49" i="55" s="1"/>
  <c r="P50" i="55" s="1"/>
  <c r="P51" i="55" s="1"/>
  <c r="P52" i="55" s="1"/>
  <c r="P53" i="55" s="1"/>
  <c r="P54" i="55" s="1"/>
  <c r="P55" i="55" s="1"/>
  <c r="P56" i="55" s="1"/>
  <c r="P57" i="55" s="1"/>
  <c r="P58" i="55" s="1"/>
  <c r="P59" i="55" s="1"/>
  <c r="P60" i="55" s="1"/>
  <c r="P61" i="55" s="1"/>
  <c r="P62" i="55" s="1"/>
  <c r="P63" i="55" s="1"/>
  <c r="P64" i="55" s="1"/>
  <c r="P65" i="55" s="1"/>
  <c r="P66" i="55" s="1"/>
  <c r="P67" i="55" s="1"/>
  <c r="P68" i="55" s="1"/>
  <c r="P69" i="55" s="1"/>
  <c r="P70" i="55" s="1"/>
  <c r="P71" i="55" s="1"/>
  <c r="P72" i="55" s="1"/>
  <c r="P73" i="55" s="1"/>
  <c r="P74" i="55" s="1"/>
  <c r="P75" i="55" s="1"/>
  <c r="P76" i="55" s="1"/>
  <c r="P77" i="55" s="1"/>
  <c r="P78" i="55" s="1"/>
  <c r="P79" i="55" s="1"/>
  <c r="P80" i="55" s="1"/>
  <c r="P81" i="55" s="1"/>
  <c r="P82" i="55" s="1"/>
  <c r="P83" i="55" s="1"/>
  <c r="P84" i="55" s="1"/>
  <c r="P85" i="55" s="1"/>
  <c r="P86" i="55" s="1"/>
  <c r="P87" i="55" s="1"/>
  <c r="P88" i="55" s="1"/>
  <c r="P89" i="55" s="1"/>
  <c r="P90" i="55" s="1"/>
  <c r="P91" i="55" s="1"/>
  <c r="P92" i="55" s="1"/>
  <c r="P93" i="55" s="1"/>
  <c r="P94" i="55" s="1"/>
  <c r="P95" i="55" s="1"/>
  <c r="P96" i="55" s="1"/>
  <c r="P97" i="55" s="1"/>
  <c r="P98" i="55" s="1"/>
  <c r="P99" i="55" s="1"/>
  <c r="P100" i="55" s="1"/>
  <c r="P101" i="55" s="1"/>
  <c r="P102" i="55" s="1"/>
  <c r="P103" i="55" s="1"/>
  <c r="P104" i="55" s="1"/>
  <c r="P105" i="55" s="1"/>
  <c r="P106" i="55" s="1"/>
  <c r="P107" i="55" s="1"/>
  <c r="P108" i="55" s="1"/>
  <c r="P109" i="55" s="1"/>
  <c r="P110" i="55" s="1"/>
  <c r="P111" i="55" s="1"/>
  <c r="P112" i="55" s="1"/>
  <c r="P113" i="55" s="1"/>
  <c r="P114" i="55" s="1"/>
  <c r="P115" i="55" s="1"/>
  <c r="P116" i="55" s="1"/>
  <c r="P117" i="55" s="1"/>
  <c r="P118" i="55" s="1"/>
  <c r="P119" i="55" s="1"/>
  <c r="P120" i="55" s="1"/>
  <c r="P121" i="55" s="1"/>
  <c r="P122" i="55" s="1"/>
  <c r="P123" i="55" s="1"/>
  <c r="P124" i="55" s="1"/>
  <c r="P125" i="55" s="1"/>
  <c r="P126" i="55" s="1"/>
  <c r="P127" i="55" s="1"/>
  <c r="P128" i="55" s="1"/>
  <c r="P129" i="55" s="1"/>
  <c r="P130" i="55" s="1"/>
  <c r="P131" i="55" s="1"/>
  <c r="P132" i="55" s="1"/>
  <c r="P133" i="55" s="1"/>
  <c r="P134" i="55" s="1"/>
  <c r="P135" i="55" s="1"/>
  <c r="P136" i="55" s="1"/>
  <c r="P137" i="55" s="1"/>
  <c r="P138" i="55" s="1"/>
  <c r="P139" i="55" s="1"/>
  <c r="P140" i="55" s="1"/>
  <c r="P141" i="55" s="1"/>
  <c r="P142" i="55" s="1"/>
  <c r="P143" i="55" s="1"/>
  <c r="P144" i="55" s="1"/>
  <c r="P145" i="55" s="1"/>
  <c r="P146" i="55" s="1"/>
  <c r="P147" i="55" s="1"/>
  <c r="P148" i="55" s="1"/>
  <c r="P149" i="55" s="1"/>
  <c r="P150" i="55" s="1"/>
  <c r="P151" i="55" s="1"/>
  <c r="P152" i="55" s="1"/>
  <c r="P153" i="55" s="1"/>
  <c r="P154" i="55" s="1"/>
  <c r="P155" i="55" s="1"/>
  <c r="P156" i="55" s="1"/>
  <c r="P157" i="55" s="1"/>
  <c r="P158" i="55" s="1"/>
  <c r="P159" i="55" s="1"/>
  <c r="P160" i="55" s="1"/>
  <c r="P161" i="55" s="1"/>
  <c r="P162" i="55" s="1"/>
  <c r="P163" i="55" s="1"/>
  <c r="P164" i="55" s="1"/>
  <c r="P165" i="55" s="1"/>
  <c r="P166" i="55" s="1"/>
  <c r="P167" i="55" s="1"/>
  <c r="P168" i="55" s="1"/>
  <c r="P169" i="55" s="1"/>
  <c r="P170" i="55" s="1"/>
  <c r="P171" i="55" s="1"/>
  <c r="P172" i="55" s="1"/>
  <c r="P173" i="55" s="1"/>
  <c r="P174" i="55" s="1"/>
  <c r="P175" i="55" s="1"/>
  <c r="P176" i="55" s="1"/>
  <c r="P177" i="55" s="1"/>
  <c r="P178" i="55" s="1"/>
  <c r="P179" i="55" s="1"/>
  <c r="P180" i="55" s="1"/>
  <c r="P181" i="55" s="1"/>
  <c r="P182" i="55" s="1"/>
  <c r="P183" i="55" s="1"/>
  <c r="P184" i="55" s="1"/>
  <c r="P185" i="55" s="1"/>
  <c r="P186" i="55" s="1"/>
  <c r="P187" i="55" s="1"/>
  <c r="P188" i="55" s="1"/>
  <c r="P189" i="55" s="1"/>
  <c r="P190" i="55" s="1"/>
  <c r="P191" i="55" s="1"/>
  <c r="P192" i="55" s="1"/>
  <c r="P193" i="55" s="1"/>
  <c r="P194" i="55" s="1"/>
  <c r="P195" i="55" s="1"/>
  <c r="P196" i="55" s="1"/>
  <c r="P197" i="55" s="1"/>
  <c r="P198" i="55" s="1"/>
  <c r="P199" i="55" s="1"/>
  <c r="P200" i="55" s="1"/>
  <c r="P201" i="55" s="1"/>
  <c r="P202" i="55" s="1"/>
  <c r="P203" i="55" s="1"/>
  <c r="P204" i="55" s="1"/>
  <c r="P205" i="55" s="1"/>
  <c r="P206" i="55" s="1"/>
  <c r="P207" i="55" s="1"/>
  <c r="P208" i="55" s="1"/>
  <c r="P209" i="55" s="1"/>
  <c r="P210" i="55" s="1"/>
  <c r="P211" i="55" s="1"/>
  <c r="P212" i="55" s="1"/>
  <c r="P213" i="55" s="1"/>
  <c r="P214" i="55" s="1"/>
  <c r="P215" i="55" s="1"/>
  <c r="P216" i="55" s="1"/>
  <c r="P217" i="55" s="1"/>
  <c r="P218" i="55" s="1"/>
  <c r="P219" i="55" s="1"/>
  <c r="P220" i="55" s="1"/>
  <c r="P221" i="55" s="1"/>
  <c r="P222" i="55" s="1"/>
  <c r="P223" i="55" s="1"/>
  <c r="P224" i="55" s="1"/>
  <c r="P225" i="55" s="1"/>
  <c r="P226" i="55" s="1"/>
  <c r="P227" i="55" s="1"/>
  <c r="P228" i="55" s="1"/>
  <c r="P229" i="55" s="1"/>
  <c r="P230" i="55" s="1"/>
  <c r="P231" i="55" s="1"/>
  <c r="P232" i="55" s="1"/>
  <c r="P233" i="55" s="1"/>
  <c r="P234" i="55" s="1"/>
  <c r="P235" i="55" s="1"/>
  <c r="P236" i="55" s="1"/>
  <c r="P237" i="55" s="1"/>
  <c r="P238" i="55" s="1"/>
  <c r="P239" i="55" s="1"/>
  <c r="P240" i="55" s="1"/>
  <c r="P241" i="55" s="1"/>
  <c r="P242" i="55" s="1"/>
  <c r="P243" i="55" s="1"/>
  <c r="P244" i="55" s="1"/>
  <c r="P245" i="55" s="1"/>
  <c r="P246" i="55" s="1"/>
  <c r="P247" i="55" s="1"/>
  <c r="P248" i="55" s="1"/>
  <c r="P249" i="55" s="1"/>
  <c r="P250" i="55" s="1"/>
  <c r="P251" i="55" s="1"/>
  <c r="P252" i="55" s="1"/>
  <c r="P253" i="55" s="1"/>
  <c r="P254" i="55" s="1"/>
  <c r="P255" i="55" s="1"/>
  <c r="P256" i="55" s="1"/>
  <c r="P257" i="55" s="1"/>
  <c r="P258" i="55" s="1"/>
  <c r="P259" i="55" s="1"/>
  <c r="P260" i="55" s="1"/>
  <c r="P261" i="55" s="1"/>
  <c r="P262" i="55" s="1"/>
  <c r="P263" i="55" s="1"/>
  <c r="P264" i="55" s="1"/>
  <c r="P265" i="55" s="1"/>
  <c r="P266" i="55" s="1"/>
  <c r="P267" i="55" s="1"/>
  <c r="P268" i="55" s="1"/>
  <c r="P269" i="55" s="1"/>
  <c r="P270" i="55" s="1"/>
  <c r="P271" i="55" s="1"/>
  <c r="P272" i="55" s="1"/>
  <c r="P273" i="55" s="1"/>
  <c r="P274" i="55" s="1"/>
  <c r="P275" i="55" s="1"/>
  <c r="P276" i="55" s="1"/>
  <c r="P277" i="55" s="1"/>
  <c r="P278" i="55" s="1"/>
  <c r="P279" i="55" s="1"/>
  <c r="P280" i="55" s="1"/>
  <c r="P281" i="55" s="1"/>
  <c r="P282" i="55" s="1"/>
  <c r="P283" i="55" s="1"/>
  <c r="P284" i="55" s="1"/>
  <c r="P285" i="55" s="1"/>
  <c r="P286" i="55" s="1"/>
  <c r="P287" i="55" s="1"/>
  <c r="P288" i="55" s="1"/>
  <c r="P289" i="55" s="1"/>
  <c r="P290" i="55" s="1"/>
  <c r="P291" i="55" s="1"/>
  <c r="P292" i="55" s="1"/>
  <c r="P293" i="55" s="1"/>
  <c r="P294" i="55" s="1"/>
  <c r="P295" i="55" s="1"/>
  <c r="P296" i="55" s="1"/>
  <c r="P297" i="55" s="1"/>
  <c r="P298" i="55" s="1"/>
  <c r="P299" i="55" s="1"/>
  <c r="P300" i="55" s="1"/>
  <c r="P301" i="55" s="1"/>
  <c r="P302" i="55" s="1"/>
  <c r="P303" i="55" s="1"/>
  <c r="P304" i="55" s="1"/>
  <c r="P305" i="55" s="1"/>
  <c r="P306" i="55" s="1"/>
  <c r="P307" i="55" s="1"/>
  <c r="P308" i="55" s="1"/>
  <c r="P309" i="55" s="1"/>
  <c r="P310" i="55" s="1"/>
  <c r="P311" i="55" s="1"/>
  <c r="P312" i="55" s="1"/>
  <c r="P313" i="55" s="1"/>
  <c r="P314" i="55" s="1"/>
  <c r="P315" i="55" s="1"/>
  <c r="P316" i="55" s="1"/>
  <c r="P317" i="55" s="1"/>
  <c r="P318" i="55" s="1"/>
  <c r="P319" i="55" s="1"/>
  <c r="P320" i="55" s="1"/>
  <c r="P321" i="55" s="1"/>
  <c r="P322" i="55" s="1"/>
  <c r="P323" i="55" s="1"/>
  <c r="P324" i="55" s="1"/>
  <c r="P325" i="55" s="1"/>
  <c r="P326" i="55" s="1"/>
  <c r="P327" i="55" s="1"/>
  <c r="P328" i="55" s="1"/>
  <c r="P329" i="55" s="1"/>
  <c r="P330" i="55" s="1"/>
  <c r="P331" i="55" s="1"/>
  <c r="P332" i="55" s="1"/>
  <c r="P333" i="55" s="1"/>
  <c r="P334" i="55" s="1"/>
  <c r="P335" i="55" s="1"/>
  <c r="P336" i="55" s="1"/>
  <c r="P337" i="55" s="1"/>
  <c r="P338" i="55" s="1"/>
  <c r="P339" i="55" s="1"/>
  <c r="P340" i="55" s="1"/>
  <c r="P341" i="55" s="1"/>
  <c r="P342" i="55" s="1"/>
  <c r="P343" i="55" s="1"/>
  <c r="P344" i="55" s="1"/>
  <c r="P345" i="55" s="1"/>
  <c r="P346" i="55" s="1"/>
  <c r="P347" i="55" s="1"/>
  <c r="P348" i="55" s="1"/>
  <c r="P349" i="55" s="1"/>
  <c r="P350" i="55" s="1"/>
  <c r="P351" i="55" s="1"/>
  <c r="P352" i="55" s="1"/>
  <c r="P353" i="55" s="1"/>
  <c r="P354" i="55" s="1"/>
  <c r="P355" i="55" s="1"/>
  <c r="P356" i="55" s="1"/>
  <c r="P357" i="55" s="1"/>
  <c r="P358" i="55" s="1"/>
  <c r="P359" i="55" s="1"/>
  <c r="P360" i="55" s="1"/>
  <c r="P361" i="55" s="1"/>
  <c r="P362" i="55" s="1"/>
  <c r="P363" i="55" s="1"/>
  <c r="P364" i="55" s="1"/>
  <c r="P365" i="55" s="1"/>
  <c r="P366" i="55" s="1"/>
  <c r="P367" i="55" s="1"/>
  <c r="P368" i="55" s="1"/>
  <c r="P369" i="55" s="1"/>
  <c r="P370" i="55" s="1"/>
  <c r="P371" i="55" s="1"/>
  <c r="P372" i="55" s="1"/>
  <c r="P373" i="55" s="1"/>
  <c r="P374" i="55" s="1"/>
  <c r="P375" i="55" s="1"/>
  <c r="P376" i="55" s="1"/>
  <c r="P377" i="55" s="1"/>
  <c r="P378" i="55" s="1"/>
  <c r="P379" i="55" s="1"/>
  <c r="P380" i="55" s="1"/>
  <c r="P381" i="55" s="1"/>
  <c r="P382" i="55" s="1"/>
  <c r="P383" i="55" s="1"/>
  <c r="P384" i="55" s="1"/>
  <c r="P385" i="55" s="1"/>
  <c r="P386" i="55" s="1"/>
  <c r="P387" i="55" s="1"/>
  <c r="P388" i="55" s="1"/>
  <c r="P389" i="55" s="1"/>
  <c r="P390" i="55" s="1"/>
  <c r="P391" i="55" s="1"/>
  <c r="P392" i="55" s="1"/>
  <c r="P393" i="55" s="1"/>
  <c r="P394" i="55" s="1"/>
  <c r="P395" i="55" s="1"/>
  <c r="P396" i="55" s="1"/>
  <c r="P397" i="55" s="1"/>
  <c r="P398" i="55" s="1"/>
  <c r="P399" i="55" s="1"/>
  <c r="P400" i="55" s="1"/>
  <c r="P401" i="55" s="1"/>
  <c r="P402" i="55" s="1"/>
  <c r="P403" i="55" s="1"/>
  <c r="P404" i="55" s="1"/>
  <c r="P405" i="55" s="1"/>
  <c r="P406" i="55" s="1"/>
  <c r="P407" i="55" s="1"/>
  <c r="P408" i="55" s="1"/>
  <c r="P409" i="55" s="1"/>
  <c r="P410" i="55" s="1"/>
  <c r="P411" i="55" s="1"/>
  <c r="P412" i="55" s="1"/>
  <c r="P413" i="55" s="1"/>
  <c r="P414" i="55" s="1"/>
  <c r="P415" i="55" s="1"/>
  <c r="P416" i="55" s="1"/>
  <c r="P417" i="55" s="1"/>
  <c r="P418" i="55" s="1"/>
  <c r="P419" i="55" s="1"/>
  <c r="P420" i="55" s="1"/>
  <c r="P421" i="55" s="1"/>
  <c r="P422" i="55" s="1"/>
  <c r="P423" i="55" s="1"/>
  <c r="P424" i="55" s="1"/>
  <c r="P425" i="55" s="1"/>
  <c r="P426" i="55" s="1"/>
  <c r="P427" i="55" s="1"/>
  <c r="P428" i="55" s="1"/>
  <c r="P429" i="55" s="1"/>
  <c r="P430" i="55" s="1"/>
  <c r="P431" i="55" s="1"/>
  <c r="P432" i="55" s="1"/>
  <c r="P433" i="55" s="1"/>
  <c r="P434" i="55" s="1"/>
  <c r="P435" i="55" s="1"/>
  <c r="P436" i="55" s="1"/>
  <c r="P437" i="55" s="1"/>
  <c r="P438" i="55" s="1"/>
  <c r="P439" i="55" s="1"/>
  <c r="P440" i="55" s="1"/>
  <c r="P441" i="55" s="1"/>
  <c r="P442" i="55" s="1"/>
  <c r="P443" i="55" s="1"/>
  <c r="P444" i="55" s="1"/>
  <c r="P445" i="55" s="1"/>
  <c r="P446" i="55" s="1"/>
  <c r="P447" i="55" s="1"/>
  <c r="P448" i="55" s="1"/>
  <c r="P449" i="55" s="1"/>
  <c r="P450" i="55" s="1"/>
  <c r="P451" i="55" s="1"/>
  <c r="P452" i="55" s="1"/>
  <c r="P453" i="55" s="1"/>
  <c r="P454" i="55" s="1"/>
  <c r="P455" i="55" s="1"/>
  <c r="P456" i="55" s="1"/>
  <c r="P457" i="55" s="1"/>
  <c r="P458" i="55" s="1"/>
  <c r="P459" i="55" s="1"/>
  <c r="P460" i="55" s="1"/>
  <c r="P461" i="55" s="1"/>
  <c r="P462" i="55" s="1"/>
  <c r="P463" i="55" s="1"/>
  <c r="P464" i="55" s="1"/>
  <c r="P465" i="55" s="1"/>
  <c r="P466" i="55" s="1"/>
  <c r="P467" i="55" s="1"/>
  <c r="P468" i="55" s="1"/>
  <c r="P469" i="55" s="1"/>
  <c r="P470" i="55" s="1"/>
  <c r="P471" i="55" s="1"/>
  <c r="P472" i="55" s="1"/>
  <c r="P473" i="55" s="1"/>
  <c r="P474" i="55" s="1"/>
  <c r="P475" i="55" s="1"/>
  <c r="P476" i="55" s="1"/>
  <c r="P477" i="55" s="1"/>
  <c r="P478" i="55" s="1"/>
  <c r="P479" i="55" s="1"/>
  <c r="P480" i="55" s="1"/>
  <c r="P481" i="55" s="1"/>
  <c r="P482" i="55" s="1"/>
  <c r="P483" i="55" s="1"/>
  <c r="P484" i="55" s="1"/>
  <c r="P485" i="55" s="1"/>
  <c r="P486" i="55" s="1"/>
  <c r="P487" i="55" s="1"/>
  <c r="P488" i="55" s="1"/>
  <c r="P489" i="55" s="1"/>
  <c r="P490" i="55" s="1"/>
  <c r="P491" i="55" s="1"/>
  <c r="P492" i="55" s="1"/>
  <c r="P493" i="55" s="1"/>
  <c r="P494" i="55" s="1"/>
  <c r="P495" i="55" s="1"/>
  <c r="P496" i="55" s="1"/>
  <c r="P497" i="55" s="1"/>
  <c r="P498" i="55" s="1"/>
  <c r="P499" i="55" s="1"/>
  <c r="P500" i="55" s="1"/>
  <c r="P501" i="55" s="1"/>
  <c r="P502" i="55" s="1"/>
  <c r="P503" i="55" s="1"/>
  <c r="P504" i="55" s="1"/>
  <c r="P505" i="55" s="1"/>
  <c r="P506" i="55" s="1"/>
  <c r="P507" i="55" s="1"/>
  <c r="P508" i="55" s="1"/>
  <c r="P509" i="55" s="1"/>
  <c r="P510" i="55" s="1"/>
  <c r="P511" i="55" s="1"/>
  <c r="P512" i="55" s="1"/>
  <c r="P513" i="55" s="1"/>
  <c r="P514" i="55" s="1"/>
  <c r="P515" i="55" s="1"/>
  <c r="P516" i="55" s="1"/>
  <c r="P517" i="55" s="1"/>
  <c r="P518" i="55" s="1"/>
  <c r="P519" i="55" s="1"/>
  <c r="P520" i="55" s="1"/>
  <c r="P521" i="55" s="1"/>
  <c r="P522" i="55" s="1"/>
  <c r="P523" i="55" s="1"/>
  <c r="P524" i="55" s="1"/>
  <c r="P525" i="55" s="1"/>
  <c r="P526" i="55" s="1"/>
  <c r="P527" i="55" s="1"/>
  <c r="P528" i="55" s="1"/>
  <c r="P529" i="55" s="1"/>
  <c r="P530" i="55" s="1"/>
  <c r="P531" i="55" s="1"/>
  <c r="P532" i="55" s="1"/>
  <c r="P533" i="55" s="1"/>
  <c r="P534" i="55" s="1"/>
  <c r="P535" i="55" s="1"/>
  <c r="P536" i="55" s="1"/>
  <c r="P537" i="55" s="1"/>
  <c r="P538" i="55" s="1"/>
  <c r="P539" i="55" s="1"/>
  <c r="P540" i="55" s="1"/>
  <c r="P541" i="55" s="1"/>
  <c r="P542" i="55" s="1"/>
  <c r="P543" i="55" s="1"/>
  <c r="P544" i="55" s="1"/>
  <c r="P545" i="55" s="1"/>
  <c r="P546" i="55" s="1"/>
  <c r="P547" i="55" s="1"/>
  <c r="P548" i="55" s="1"/>
  <c r="P549" i="55" s="1"/>
  <c r="P550" i="55" s="1"/>
  <c r="P551" i="55" s="1"/>
  <c r="P552" i="55" s="1"/>
  <c r="P553" i="55" s="1"/>
  <c r="P554" i="55" s="1"/>
  <c r="P555" i="55" s="1"/>
  <c r="P556" i="55" s="1"/>
  <c r="P557" i="55" s="1"/>
  <c r="P558" i="55" s="1"/>
  <c r="P559" i="55" s="1"/>
  <c r="P560" i="55" s="1"/>
  <c r="P561" i="55" s="1"/>
  <c r="P562" i="55" s="1"/>
  <c r="P563" i="55" s="1"/>
  <c r="P564" i="55" s="1"/>
  <c r="P565" i="55" s="1"/>
  <c r="P566" i="55" s="1"/>
  <c r="P567" i="55" s="1"/>
  <c r="P568" i="55" s="1"/>
  <c r="P569" i="55" s="1"/>
  <c r="P570" i="55" s="1"/>
  <c r="P571" i="55" s="1"/>
  <c r="P572" i="55" s="1"/>
  <c r="P573" i="55" s="1"/>
  <c r="P574" i="55" s="1"/>
  <c r="P575" i="55" s="1"/>
  <c r="P576" i="55" s="1"/>
  <c r="P577" i="55" s="1"/>
  <c r="P578" i="55" s="1"/>
  <c r="P579" i="55" s="1"/>
  <c r="P580" i="55" s="1"/>
  <c r="P581" i="55" s="1"/>
  <c r="P582" i="55" s="1"/>
  <c r="P583" i="55" s="1"/>
  <c r="P584" i="55" s="1"/>
  <c r="P585" i="55" s="1"/>
  <c r="P586" i="55" s="1"/>
  <c r="P587" i="55" s="1"/>
  <c r="P588" i="55" s="1"/>
  <c r="P589" i="55" s="1"/>
  <c r="P590" i="55" s="1"/>
  <c r="P591" i="55" s="1"/>
  <c r="P592" i="55" s="1"/>
  <c r="P593" i="55" s="1"/>
  <c r="P594" i="55" s="1"/>
  <c r="P595" i="55" s="1"/>
  <c r="P596" i="55" s="1"/>
  <c r="P597" i="55" s="1"/>
  <c r="P598" i="55" s="1"/>
  <c r="P599" i="55" s="1"/>
  <c r="P600" i="55" s="1"/>
  <c r="P601" i="55" s="1"/>
  <c r="P602" i="55" s="1"/>
  <c r="P603" i="55" s="1"/>
  <c r="P604" i="55" s="1"/>
  <c r="P605" i="55" s="1"/>
  <c r="P606" i="55" s="1"/>
  <c r="P607" i="55" s="1"/>
  <c r="P608" i="55" s="1"/>
  <c r="P609" i="55" s="1"/>
  <c r="P610" i="55" s="1"/>
  <c r="P611" i="55" s="1"/>
  <c r="P612" i="55" s="1"/>
  <c r="P613" i="55" s="1"/>
  <c r="P614" i="55" s="1"/>
  <c r="P615" i="55" s="1"/>
  <c r="P616" i="55" s="1"/>
  <c r="P617" i="55" s="1"/>
  <c r="P618" i="55" s="1"/>
  <c r="P619" i="55" s="1"/>
  <c r="P620" i="55" s="1"/>
  <c r="B657" i="62" l="1"/>
  <c r="Y14" i="62"/>
  <c r="E14" i="62"/>
  <c r="Y629" i="62"/>
  <c r="E629" i="62"/>
  <c r="Y557" i="62"/>
  <c r="E557" i="62"/>
  <c r="E644" i="62"/>
  <c r="Y644" i="62"/>
  <c r="E636" i="62"/>
  <c r="Y636" i="62"/>
  <c r="E628" i="62"/>
  <c r="Y628" i="62"/>
  <c r="E622" i="62"/>
  <c r="Y622" i="62"/>
  <c r="E612" i="62"/>
  <c r="Y612" i="62"/>
  <c r="E604" i="62"/>
  <c r="Y604" i="62"/>
  <c r="E596" i="62"/>
  <c r="Y596" i="62"/>
  <c r="E588" i="62"/>
  <c r="Y588" i="62"/>
  <c r="E580" i="62"/>
  <c r="Y580" i="62"/>
  <c r="E572" i="62"/>
  <c r="Y572" i="62"/>
  <c r="E564" i="62"/>
  <c r="Y564" i="62"/>
  <c r="E556" i="62"/>
  <c r="Y556" i="62"/>
  <c r="E548" i="62"/>
  <c r="Y548" i="62"/>
  <c r="E540" i="62"/>
  <c r="Y540" i="62"/>
  <c r="E532" i="62"/>
  <c r="Y532" i="62"/>
  <c r="E524" i="62"/>
  <c r="Y524" i="62"/>
  <c r="E516" i="62"/>
  <c r="Y516" i="62"/>
  <c r="E508" i="62"/>
  <c r="Y508" i="62"/>
  <c r="E500" i="62"/>
  <c r="Y500" i="62"/>
  <c r="Y491" i="62"/>
  <c r="E491" i="62"/>
  <c r="Y483" i="62"/>
  <c r="E483" i="62"/>
  <c r="E475" i="62"/>
  <c r="Y475" i="62"/>
  <c r="E467" i="62"/>
  <c r="Y467" i="62"/>
  <c r="E459" i="62"/>
  <c r="Y459" i="62"/>
  <c r="E445" i="62"/>
  <c r="Y445" i="62"/>
  <c r="E437" i="62"/>
  <c r="Y437" i="62"/>
  <c r="E429" i="62"/>
  <c r="Y429" i="62"/>
  <c r="E421" i="62"/>
  <c r="Y421" i="62"/>
  <c r="E409" i="62"/>
  <c r="Y409" i="62"/>
  <c r="E401" i="62"/>
  <c r="Y401" i="62"/>
  <c r="E393" i="62"/>
  <c r="Y393" i="62"/>
  <c r="E385" i="62"/>
  <c r="Y385" i="62"/>
  <c r="E376" i="62"/>
  <c r="Y376" i="62"/>
  <c r="E368" i="62"/>
  <c r="Y368" i="62"/>
  <c r="E360" i="62"/>
  <c r="Y360" i="62"/>
  <c r="E347" i="62"/>
  <c r="Y347" i="62"/>
  <c r="E338" i="62"/>
  <c r="Y338" i="62"/>
  <c r="E330" i="62"/>
  <c r="Y330" i="62"/>
  <c r="E322" i="62"/>
  <c r="Y322" i="62"/>
  <c r="E314" i="62"/>
  <c r="Y314" i="62"/>
  <c r="E306" i="62"/>
  <c r="Y306" i="62"/>
  <c r="E298" i="62"/>
  <c r="Y298" i="62"/>
  <c r="E290" i="62"/>
  <c r="Y290" i="62"/>
  <c r="E282" i="62"/>
  <c r="Y282" i="62"/>
  <c r="E274" i="62"/>
  <c r="Y274" i="62"/>
  <c r="E266" i="62"/>
  <c r="Y266" i="62"/>
  <c r="E258" i="62"/>
  <c r="Y258" i="62"/>
  <c r="E250" i="62"/>
  <c r="Y250" i="62"/>
  <c r="E242" i="62"/>
  <c r="Y242" i="62"/>
  <c r="E234" i="62"/>
  <c r="Y234" i="62"/>
  <c r="E226" i="62"/>
  <c r="Y226" i="62"/>
  <c r="E218" i="62"/>
  <c r="Y218" i="62"/>
  <c r="E210" i="62"/>
  <c r="Y210" i="62"/>
  <c r="E194" i="62"/>
  <c r="Y194" i="62"/>
  <c r="E183" i="62"/>
  <c r="Y183" i="62"/>
  <c r="E174" i="62"/>
  <c r="Y174" i="62"/>
  <c r="Y161" i="62"/>
  <c r="E161" i="62"/>
  <c r="Y153" i="62"/>
  <c r="E153" i="62"/>
  <c r="Y145" i="62"/>
  <c r="E145" i="62"/>
  <c r="Y137" i="62"/>
  <c r="E137" i="62"/>
  <c r="E128" i="62"/>
  <c r="Y128" i="62"/>
  <c r="E120" i="62"/>
  <c r="Y120" i="62"/>
  <c r="E111" i="62"/>
  <c r="Y111" i="62"/>
  <c r="E103" i="62"/>
  <c r="Y103" i="62"/>
  <c r="E95" i="62"/>
  <c r="Y95" i="62"/>
  <c r="E87" i="62"/>
  <c r="Y87" i="62"/>
  <c r="E79" i="62"/>
  <c r="Y79" i="62"/>
  <c r="E69" i="62"/>
  <c r="Y69" i="62"/>
  <c r="E61" i="62"/>
  <c r="Y61" i="62"/>
  <c r="E44" i="62"/>
  <c r="Y44" i="62"/>
  <c r="E35" i="62"/>
  <c r="Y35" i="62"/>
  <c r="E27" i="62"/>
  <c r="Y27" i="62"/>
  <c r="Y17" i="62"/>
  <c r="E17" i="62"/>
  <c r="D646" i="62"/>
  <c r="S646" i="62"/>
  <c r="D638" i="62"/>
  <c r="S638" i="62"/>
  <c r="D630" i="62"/>
  <c r="S630" i="62"/>
  <c r="S624" i="62"/>
  <c r="D624" i="62"/>
  <c r="D614" i="62"/>
  <c r="S614" i="62"/>
  <c r="D606" i="62"/>
  <c r="S606" i="62"/>
  <c r="D598" i="62"/>
  <c r="S598" i="62"/>
  <c r="S590" i="62"/>
  <c r="D590" i="62"/>
  <c r="D582" i="62"/>
  <c r="S582" i="62"/>
  <c r="D574" i="62"/>
  <c r="S574" i="62"/>
  <c r="D566" i="62"/>
  <c r="S566" i="62"/>
  <c r="S558" i="62"/>
  <c r="D558" i="62"/>
  <c r="D550" i="62"/>
  <c r="S550" i="62"/>
  <c r="D542" i="62"/>
  <c r="S542" i="62"/>
  <c r="D534" i="62"/>
  <c r="S534" i="62"/>
  <c r="S526" i="62"/>
  <c r="D526" i="62"/>
  <c r="D518" i="62"/>
  <c r="S518" i="62"/>
  <c r="D510" i="62"/>
  <c r="S510" i="62"/>
  <c r="D502" i="62"/>
  <c r="S502" i="62"/>
  <c r="D493" i="62"/>
  <c r="S493" i="62"/>
  <c r="D485" i="62"/>
  <c r="S485" i="62"/>
  <c r="D477" i="62"/>
  <c r="S477" i="62"/>
  <c r="D469" i="62"/>
  <c r="S469" i="62"/>
  <c r="D461" i="62"/>
  <c r="S461" i="62"/>
  <c r="D453" i="62"/>
  <c r="S453" i="62"/>
  <c r="D439" i="62"/>
  <c r="S439" i="62"/>
  <c r="D431" i="62"/>
  <c r="S431" i="62"/>
  <c r="D423" i="62"/>
  <c r="S423" i="62"/>
  <c r="D413" i="62"/>
  <c r="S413" i="62"/>
  <c r="D405" i="62"/>
  <c r="S405" i="62"/>
  <c r="D397" i="62"/>
  <c r="S397" i="62"/>
  <c r="D389" i="62"/>
  <c r="S389" i="62"/>
  <c r="D381" i="62"/>
  <c r="S381" i="62"/>
  <c r="D373" i="62"/>
  <c r="S373" i="62"/>
  <c r="D365" i="62"/>
  <c r="S365" i="62"/>
  <c r="D352" i="62"/>
  <c r="S352" i="62"/>
  <c r="D335" i="62"/>
  <c r="S335" i="62"/>
  <c r="D327" i="62"/>
  <c r="S327" i="62"/>
  <c r="D319" i="62"/>
  <c r="S319" i="62"/>
  <c r="D311" i="62"/>
  <c r="S311" i="62"/>
  <c r="D303" i="62"/>
  <c r="S303" i="62"/>
  <c r="D295" i="62"/>
  <c r="S295" i="62"/>
  <c r="D287" i="62"/>
  <c r="S287" i="62"/>
  <c r="D279" i="62"/>
  <c r="S279" i="62"/>
  <c r="D271" i="62"/>
  <c r="S271" i="62"/>
  <c r="D263" i="62"/>
  <c r="S263" i="62"/>
  <c r="D255" i="62"/>
  <c r="S255" i="62"/>
  <c r="D247" i="62"/>
  <c r="S247" i="62"/>
  <c r="D239" i="62"/>
  <c r="S239" i="62"/>
  <c r="S231" i="62"/>
  <c r="D231" i="62"/>
  <c r="S223" i="62"/>
  <c r="D223" i="62"/>
  <c r="S215" i="62"/>
  <c r="D215" i="62"/>
  <c r="S199" i="62"/>
  <c r="D199" i="62"/>
  <c r="AA199" i="62" s="1"/>
  <c r="S191" i="62"/>
  <c r="D191" i="62"/>
  <c r="AA191" i="62" s="1"/>
  <c r="S183" i="62"/>
  <c r="D183" i="62"/>
  <c r="AA183" i="62" s="1"/>
  <c r="D174" i="62"/>
  <c r="S174" i="62"/>
  <c r="D161" i="62"/>
  <c r="S161" i="62"/>
  <c r="D153" i="62"/>
  <c r="S153" i="62"/>
  <c r="D145" i="62"/>
  <c r="S145" i="62"/>
  <c r="D137" i="62"/>
  <c r="S137" i="62"/>
  <c r="S128" i="62"/>
  <c r="D128" i="62"/>
  <c r="S120" i="62"/>
  <c r="D120" i="62"/>
  <c r="S111" i="62"/>
  <c r="D111" i="62"/>
  <c r="D103" i="62"/>
  <c r="S103" i="62"/>
  <c r="S95" i="62"/>
  <c r="D95" i="62"/>
  <c r="S87" i="62"/>
  <c r="D87" i="62"/>
  <c r="S79" i="62"/>
  <c r="D79" i="62"/>
  <c r="D69" i="62"/>
  <c r="S69" i="62"/>
  <c r="D61" i="62"/>
  <c r="S61" i="62"/>
  <c r="S44" i="62"/>
  <c r="D44" i="62"/>
  <c r="S35" i="62"/>
  <c r="D35" i="62"/>
  <c r="S27" i="62"/>
  <c r="D27" i="62"/>
  <c r="D17" i="62"/>
  <c r="S17" i="62"/>
  <c r="S169" i="62"/>
  <c r="D169" i="62"/>
  <c r="E643" i="62"/>
  <c r="Y643" i="62"/>
  <c r="E635" i="62"/>
  <c r="Y635" i="62"/>
  <c r="E50" i="62"/>
  <c r="Y50" i="62"/>
  <c r="E620" i="62"/>
  <c r="Y620" i="62"/>
  <c r="E611" i="62"/>
  <c r="Y611" i="62"/>
  <c r="E603" i="62"/>
  <c r="Y603" i="62"/>
  <c r="E595" i="62"/>
  <c r="Y595" i="62"/>
  <c r="E587" i="62"/>
  <c r="Y587" i="62"/>
  <c r="E579" i="62"/>
  <c r="Y579" i="62"/>
  <c r="E571" i="62"/>
  <c r="Y571" i="62"/>
  <c r="E563" i="62"/>
  <c r="Y563" i="62"/>
  <c r="E555" i="62"/>
  <c r="Y555" i="62"/>
  <c r="E547" i="62"/>
  <c r="Y547" i="62"/>
  <c r="E539" i="62"/>
  <c r="Y539" i="62"/>
  <c r="E531" i="62"/>
  <c r="Y531" i="62"/>
  <c r="E523" i="62"/>
  <c r="Y523" i="62"/>
  <c r="E515" i="62"/>
  <c r="Y515" i="62"/>
  <c r="E507" i="62"/>
  <c r="Y507" i="62"/>
  <c r="E499" i="62"/>
  <c r="Y499" i="62"/>
  <c r="E490" i="62"/>
  <c r="Y490" i="62"/>
  <c r="E482" i="62"/>
  <c r="Y482" i="62"/>
  <c r="E474" i="62"/>
  <c r="Y474" i="62"/>
  <c r="E466" i="62"/>
  <c r="Y466" i="62"/>
  <c r="E458" i="62"/>
  <c r="Y458" i="62"/>
  <c r="E444" i="62"/>
  <c r="Y444" i="62"/>
  <c r="E436" i="62"/>
  <c r="Y436" i="62"/>
  <c r="E428" i="62"/>
  <c r="Y428" i="62"/>
  <c r="E420" i="62"/>
  <c r="Y420" i="62"/>
  <c r="E408" i="62"/>
  <c r="Y408" i="62"/>
  <c r="E400" i="62"/>
  <c r="Y400" i="62"/>
  <c r="E392" i="62"/>
  <c r="Y392" i="62"/>
  <c r="E384" i="62"/>
  <c r="Y384" i="62"/>
  <c r="E375" i="62"/>
  <c r="Y375" i="62"/>
  <c r="E367" i="62"/>
  <c r="Y367" i="62"/>
  <c r="Y359" i="62"/>
  <c r="E359" i="62"/>
  <c r="E346" i="62"/>
  <c r="Y346" i="62"/>
  <c r="E337" i="62"/>
  <c r="Y337" i="62"/>
  <c r="E329" i="62"/>
  <c r="Y329" i="62"/>
  <c r="E321" i="62"/>
  <c r="Y321" i="62"/>
  <c r="E313" i="62"/>
  <c r="Y313" i="62"/>
  <c r="E305" i="62"/>
  <c r="Y305" i="62"/>
  <c r="E297" i="62"/>
  <c r="Y297" i="62"/>
  <c r="E289" i="62"/>
  <c r="Y289" i="62"/>
  <c r="E281" i="62"/>
  <c r="Y281" i="62"/>
  <c r="E273" i="62"/>
  <c r="Y273" i="62"/>
  <c r="E265" i="62"/>
  <c r="Y265" i="62"/>
  <c r="E257" i="62"/>
  <c r="Y257" i="62"/>
  <c r="E249" i="62"/>
  <c r="Y249" i="62"/>
  <c r="E241" i="62"/>
  <c r="Y241" i="62"/>
  <c r="E233" i="62"/>
  <c r="Y233" i="62"/>
  <c r="E225" i="62"/>
  <c r="Y225" i="62"/>
  <c r="E217" i="62"/>
  <c r="Y217" i="62"/>
  <c r="E209" i="62"/>
  <c r="Y209" i="62"/>
  <c r="E193" i="62"/>
  <c r="Y193" i="62"/>
  <c r="Y182" i="62"/>
  <c r="E182" i="62"/>
  <c r="E173" i="62"/>
  <c r="Y173" i="62"/>
  <c r="E160" i="62"/>
  <c r="Y160" i="62"/>
  <c r="E152" i="62"/>
  <c r="Y152" i="62"/>
  <c r="E144" i="62"/>
  <c r="Y144" i="62"/>
  <c r="E135" i="62"/>
  <c r="Y135" i="62"/>
  <c r="E127" i="62"/>
  <c r="Y127" i="62"/>
  <c r="E119" i="62"/>
  <c r="Y119" i="62"/>
  <c r="Y110" i="62"/>
  <c r="E110" i="62"/>
  <c r="Y102" i="62"/>
  <c r="E102" i="62"/>
  <c r="Y94" i="62"/>
  <c r="E94" i="62"/>
  <c r="Y86" i="62"/>
  <c r="E86" i="62"/>
  <c r="Y78" i="62"/>
  <c r="E78" i="62"/>
  <c r="E68" i="62"/>
  <c r="Y68" i="62"/>
  <c r="E60" i="62"/>
  <c r="Y60" i="62"/>
  <c r="E43" i="62"/>
  <c r="Y43" i="62"/>
  <c r="E34" i="62"/>
  <c r="Y34" i="62"/>
  <c r="E24" i="62"/>
  <c r="Y24" i="62"/>
  <c r="E16" i="62"/>
  <c r="Y16" i="62"/>
  <c r="D645" i="62"/>
  <c r="S645" i="62"/>
  <c r="D637" i="62"/>
  <c r="S637" i="62"/>
  <c r="D629" i="62"/>
  <c r="S629" i="62"/>
  <c r="S623" i="62"/>
  <c r="D623" i="62"/>
  <c r="D613" i="62"/>
  <c r="S613" i="62"/>
  <c r="D605" i="62"/>
  <c r="S605" i="62"/>
  <c r="D597" i="62"/>
  <c r="S597" i="62"/>
  <c r="D589" i="62"/>
  <c r="S589" i="62"/>
  <c r="D581" i="62"/>
  <c r="S581" i="62"/>
  <c r="D573" i="62"/>
  <c r="S573" i="62"/>
  <c r="D565" i="62"/>
  <c r="S565" i="62"/>
  <c r="D557" i="62"/>
  <c r="S557" i="62"/>
  <c r="D549" i="62"/>
  <c r="S549" i="62"/>
  <c r="D541" i="62"/>
  <c r="S541" i="62"/>
  <c r="D533" i="62"/>
  <c r="S533" i="62"/>
  <c r="D525" i="62"/>
  <c r="S525" i="62"/>
  <c r="D517" i="62"/>
  <c r="S517" i="62"/>
  <c r="S509" i="62"/>
  <c r="D509" i="62"/>
  <c r="S501" i="62"/>
  <c r="D501" i="62"/>
  <c r="S492" i="62"/>
  <c r="D492" i="62"/>
  <c r="S484" i="62"/>
  <c r="D484" i="62"/>
  <c r="D476" i="62"/>
  <c r="S476" i="62"/>
  <c r="D468" i="62"/>
  <c r="S468" i="62"/>
  <c r="D460" i="62"/>
  <c r="S460" i="62"/>
  <c r="D452" i="62"/>
  <c r="S452" i="62"/>
  <c r="D438" i="62"/>
  <c r="S438" i="62"/>
  <c r="D430" i="62"/>
  <c r="S430" i="62"/>
  <c r="D422" i="62"/>
  <c r="S422" i="62"/>
  <c r="D412" i="62"/>
  <c r="S412" i="62"/>
  <c r="D404" i="62"/>
  <c r="S404" i="62"/>
  <c r="D396" i="62"/>
  <c r="S396" i="62"/>
  <c r="D388" i="62"/>
  <c r="S388" i="62"/>
  <c r="S380" i="62"/>
  <c r="D380" i="62"/>
  <c r="S372" i="62"/>
  <c r="D372" i="62"/>
  <c r="S364" i="62"/>
  <c r="D364" i="62"/>
  <c r="D351" i="62"/>
  <c r="S351" i="62"/>
  <c r="D342" i="62"/>
  <c r="S342" i="62"/>
  <c r="D334" i="62"/>
  <c r="S334" i="62"/>
  <c r="D326" i="62"/>
  <c r="S326" i="62"/>
  <c r="D318" i="62"/>
  <c r="S318" i="62"/>
  <c r="D310" i="62"/>
  <c r="S310" i="62"/>
  <c r="D302" i="62"/>
  <c r="S302" i="62"/>
  <c r="D294" i="62"/>
  <c r="S294" i="62"/>
  <c r="D286" i="62"/>
  <c r="S286" i="62"/>
  <c r="D278" i="62"/>
  <c r="S278" i="62"/>
  <c r="D270" i="62"/>
  <c r="S270" i="62"/>
  <c r="D262" i="62"/>
  <c r="S262" i="62"/>
  <c r="D254" i="62"/>
  <c r="S254" i="62"/>
  <c r="D246" i="62"/>
  <c r="S246" i="62"/>
  <c r="D238" i="62"/>
  <c r="S238" i="62"/>
  <c r="D230" i="62"/>
  <c r="S230" i="62"/>
  <c r="S222" i="62"/>
  <c r="D222" i="62"/>
  <c r="S214" i="62"/>
  <c r="D214" i="62"/>
  <c r="S198" i="62"/>
  <c r="D198" i="62"/>
  <c r="AA198" i="62" s="1"/>
  <c r="S190" i="62"/>
  <c r="D190" i="62"/>
  <c r="D182" i="62"/>
  <c r="AA182" i="62" s="1"/>
  <c r="S182" i="62"/>
  <c r="S173" i="62"/>
  <c r="D173" i="62"/>
  <c r="S160" i="62"/>
  <c r="D160" i="62"/>
  <c r="S152" i="62"/>
  <c r="D152" i="62"/>
  <c r="S144" i="62"/>
  <c r="D144" i="62"/>
  <c r="D135" i="62"/>
  <c r="S135" i="62"/>
  <c r="S127" i="62"/>
  <c r="D127" i="62"/>
  <c r="S119" i="62"/>
  <c r="D119" i="62"/>
  <c r="D110" i="62"/>
  <c r="S110" i="62"/>
  <c r="D102" i="62"/>
  <c r="S102" i="62"/>
  <c r="D94" i="62"/>
  <c r="S94" i="62"/>
  <c r="D86" i="62"/>
  <c r="S86" i="62"/>
  <c r="D78" i="62"/>
  <c r="S78" i="62"/>
  <c r="S68" i="62"/>
  <c r="D68" i="62"/>
  <c r="S60" i="62"/>
  <c r="D60" i="62"/>
  <c r="S43" i="62"/>
  <c r="D43" i="62"/>
  <c r="S34" i="62"/>
  <c r="D34" i="62"/>
  <c r="D24" i="62"/>
  <c r="S24" i="62"/>
  <c r="D16" i="62"/>
  <c r="S16" i="62"/>
  <c r="Y344" i="62"/>
  <c r="E344" i="62"/>
  <c r="Y645" i="62"/>
  <c r="E645" i="62"/>
  <c r="E623" i="62"/>
  <c r="Y623" i="62"/>
  <c r="Y605" i="62"/>
  <c r="E605" i="62"/>
  <c r="Y541" i="62"/>
  <c r="E541" i="62"/>
  <c r="E642" i="62"/>
  <c r="Y642" i="62"/>
  <c r="Y634" i="62"/>
  <c r="E634" i="62"/>
  <c r="Y49" i="62"/>
  <c r="E49" i="62"/>
  <c r="E618" i="62"/>
  <c r="Y618" i="62"/>
  <c r="E610" i="62"/>
  <c r="Y610" i="62"/>
  <c r="Y602" i="62"/>
  <c r="E602" i="62"/>
  <c r="E594" i="62"/>
  <c r="Y594" i="62"/>
  <c r="E586" i="62"/>
  <c r="Y586" i="62"/>
  <c r="E578" i="62"/>
  <c r="Y578" i="62"/>
  <c r="Y570" i="62"/>
  <c r="E570" i="62"/>
  <c r="E562" i="62"/>
  <c r="Y562" i="62"/>
  <c r="E554" i="62"/>
  <c r="Y554" i="62"/>
  <c r="E546" i="62"/>
  <c r="Y546" i="62"/>
  <c r="Y538" i="62"/>
  <c r="E538" i="62"/>
  <c r="E530" i="62"/>
  <c r="Y530" i="62"/>
  <c r="E522" i="62"/>
  <c r="Y522" i="62"/>
  <c r="E514" i="62"/>
  <c r="Y514" i="62"/>
  <c r="Y506" i="62"/>
  <c r="E506" i="62"/>
  <c r="Y498" i="62"/>
  <c r="E498" i="62"/>
  <c r="Y489" i="62"/>
  <c r="E489" i="62"/>
  <c r="Y481" i="62"/>
  <c r="E481" i="62"/>
  <c r="E473" i="62"/>
  <c r="Y473" i="62"/>
  <c r="E465" i="62"/>
  <c r="Y465" i="62"/>
  <c r="E457" i="62"/>
  <c r="Y457" i="62"/>
  <c r="E443" i="62"/>
  <c r="Y443" i="62"/>
  <c r="E435" i="62"/>
  <c r="Y435" i="62"/>
  <c r="E427" i="62"/>
  <c r="Y427" i="62"/>
  <c r="E419" i="62"/>
  <c r="Y419" i="62"/>
  <c r="E407" i="62"/>
  <c r="Y407" i="62"/>
  <c r="E399" i="62"/>
  <c r="Y399" i="62"/>
  <c r="E391" i="62"/>
  <c r="Y391" i="62"/>
  <c r="E383" i="62"/>
  <c r="Y383" i="62"/>
  <c r="E374" i="62"/>
  <c r="Y374" i="62"/>
  <c r="E366" i="62"/>
  <c r="Y366" i="62"/>
  <c r="E353" i="62"/>
  <c r="Y353" i="62"/>
  <c r="E345" i="62"/>
  <c r="Y345" i="62"/>
  <c r="Y336" i="62"/>
  <c r="E336" i="62"/>
  <c r="Y328" i="62"/>
  <c r="E328" i="62"/>
  <c r="Y320" i="62"/>
  <c r="E320" i="62"/>
  <c r="Y312" i="62"/>
  <c r="E312" i="62"/>
  <c r="Y304" i="62"/>
  <c r="E304" i="62"/>
  <c r="Y296" i="62"/>
  <c r="E296" i="62"/>
  <c r="Y288" i="62"/>
  <c r="E288" i="62"/>
  <c r="Y280" i="62"/>
  <c r="E280" i="62"/>
  <c r="Y272" i="62"/>
  <c r="E272" i="62"/>
  <c r="Y264" i="62"/>
  <c r="E264" i="62"/>
  <c r="Y256" i="62"/>
  <c r="E256" i="62"/>
  <c r="Y248" i="62"/>
  <c r="E248" i="62"/>
  <c r="Y240" i="62"/>
  <c r="E240" i="62"/>
  <c r="Y232" i="62"/>
  <c r="E232" i="62"/>
  <c r="E224" i="62"/>
  <c r="Y224" i="62"/>
  <c r="E216" i="62"/>
  <c r="Y216" i="62"/>
  <c r="E200" i="62"/>
  <c r="Y200" i="62"/>
  <c r="E192" i="62"/>
  <c r="Y192" i="62"/>
  <c r="E181" i="62"/>
  <c r="Y181" i="62"/>
  <c r="E172" i="62"/>
  <c r="Y172" i="62"/>
  <c r="E159" i="62"/>
  <c r="Y159" i="62"/>
  <c r="Y151" i="62"/>
  <c r="E151" i="62"/>
  <c r="E143" i="62"/>
  <c r="Y143" i="62"/>
  <c r="Y134" i="62"/>
  <c r="E134" i="62"/>
  <c r="Y126" i="62"/>
  <c r="E126" i="62"/>
  <c r="Y118" i="62"/>
  <c r="E118" i="62"/>
  <c r="E109" i="62"/>
  <c r="Y109" i="62"/>
  <c r="E101" i="62"/>
  <c r="Y101" i="62"/>
  <c r="E93" i="62"/>
  <c r="Y93" i="62"/>
  <c r="E85" i="62"/>
  <c r="Y85" i="62"/>
  <c r="E77" i="62"/>
  <c r="Y77" i="62"/>
  <c r="E67" i="62"/>
  <c r="Y67" i="62"/>
  <c r="E59" i="62"/>
  <c r="Y59" i="62"/>
  <c r="E42" i="62"/>
  <c r="Y42" i="62"/>
  <c r="Y33" i="62"/>
  <c r="E33" i="62"/>
  <c r="E23" i="62"/>
  <c r="Y23" i="62"/>
  <c r="Y15" i="62"/>
  <c r="E15" i="62"/>
  <c r="D644" i="62"/>
  <c r="S644" i="62"/>
  <c r="D636" i="62"/>
  <c r="S636" i="62"/>
  <c r="D628" i="62"/>
  <c r="S628" i="62"/>
  <c r="S622" i="62"/>
  <c r="D622" i="62"/>
  <c r="D612" i="62"/>
  <c r="S612" i="62"/>
  <c r="D604" i="62"/>
  <c r="S604" i="62"/>
  <c r="D596" i="62"/>
  <c r="S596" i="62"/>
  <c r="D588" i="62"/>
  <c r="S588" i="62"/>
  <c r="D580" i="62"/>
  <c r="S580" i="62"/>
  <c r="D572" i="62"/>
  <c r="S572" i="62"/>
  <c r="D564" i="62"/>
  <c r="S564" i="62"/>
  <c r="D556" i="62"/>
  <c r="S556" i="62"/>
  <c r="D548" i="62"/>
  <c r="S548" i="62"/>
  <c r="D540" i="62"/>
  <c r="S540" i="62"/>
  <c r="D532" i="62"/>
  <c r="S532" i="62"/>
  <c r="D524" i="62"/>
  <c r="S524" i="62"/>
  <c r="D516" i="62"/>
  <c r="S516" i="62"/>
  <c r="S508" i="62"/>
  <c r="D508" i="62"/>
  <c r="S500" i="62"/>
  <c r="D500" i="62"/>
  <c r="D491" i="62"/>
  <c r="S491" i="62"/>
  <c r="D483" i="62"/>
  <c r="S483" i="62"/>
  <c r="D475" i="62"/>
  <c r="S475" i="62"/>
  <c r="D467" i="62"/>
  <c r="S467" i="62"/>
  <c r="D459" i="62"/>
  <c r="S459" i="62"/>
  <c r="D445" i="62"/>
  <c r="S445" i="62"/>
  <c r="D437" i="62"/>
  <c r="S437" i="62"/>
  <c r="D429" i="62"/>
  <c r="S429" i="62"/>
  <c r="D421" i="62"/>
  <c r="S421" i="62"/>
  <c r="D411" i="62"/>
  <c r="S411" i="62"/>
  <c r="D403" i="62"/>
  <c r="S403" i="62"/>
  <c r="D395" i="62"/>
  <c r="S395" i="62"/>
  <c r="D387" i="62"/>
  <c r="S387" i="62"/>
  <c r="S379" i="62"/>
  <c r="D379" i="62"/>
  <c r="S371" i="62"/>
  <c r="D371" i="62"/>
  <c r="S363" i="62"/>
  <c r="D363" i="62"/>
  <c r="D350" i="62"/>
  <c r="S350" i="62"/>
  <c r="D341" i="62"/>
  <c r="S341" i="62"/>
  <c r="D333" i="62"/>
  <c r="S333" i="62"/>
  <c r="D325" i="62"/>
  <c r="S325" i="62"/>
  <c r="D317" i="62"/>
  <c r="S317" i="62"/>
  <c r="D309" i="62"/>
  <c r="S309" i="62"/>
  <c r="D301" i="62"/>
  <c r="S301" i="62"/>
  <c r="D293" i="62"/>
  <c r="S293" i="62"/>
  <c r="D285" i="62"/>
  <c r="S285" i="62"/>
  <c r="D277" i="62"/>
  <c r="S277" i="62"/>
  <c r="D269" i="62"/>
  <c r="S269" i="62"/>
  <c r="D261" i="62"/>
  <c r="S261" i="62"/>
  <c r="D253" i="62"/>
  <c r="S253" i="62"/>
  <c r="S245" i="62"/>
  <c r="D245" i="62"/>
  <c r="S237" i="62"/>
  <c r="D237" i="62"/>
  <c r="D229" i="62"/>
  <c r="S229" i="62"/>
  <c r="D221" i="62"/>
  <c r="S221" i="62"/>
  <c r="D213" i="62"/>
  <c r="S213" i="62"/>
  <c r="D197" i="62"/>
  <c r="AA197" i="62" s="1"/>
  <c r="S197" i="62"/>
  <c r="D189" i="62"/>
  <c r="AA189" i="62" s="1"/>
  <c r="S189" i="62"/>
  <c r="S181" i="62"/>
  <c r="D181" i="62"/>
  <c r="AA181" i="62" s="1"/>
  <c r="D172" i="62"/>
  <c r="S172" i="62"/>
  <c r="S159" i="62"/>
  <c r="D159" i="62"/>
  <c r="S151" i="62"/>
  <c r="D151" i="62"/>
  <c r="S143" i="62"/>
  <c r="D143" i="62"/>
  <c r="D134" i="62"/>
  <c r="S134" i="62"/>
  <c r="D126" i="62"/>
  <c r="S126" i="62"/>
  <c r="D118" i="62"/>
  <c r="S118" i="62"/>
  <c r="D109" i="62"/>
  <c r="S109" i="62"/>
  <c r="S101" i="62"/>
  <c r="D101" i="62"/>
  <c r="S93" i="62"/>
  <c r="D93" i="62"/>
  <c r="D85" i="62"/>
  <c r="S85" i="62"/>
  <c r="S77" i="62"/>
  <c r="D77" i="62"/>
  <c r="S67" i="62"/>
  <c r="D67" i="62"/>
  <c r="S59" i="62"/>
  <c r="D59" i="62"/>
  <c r="S42" i="62"/>
  <c r="D42" i="62"/>
  <c r="D33" i="62"/>
  <c r="S33" i="62"/>
  <c r="D23" i="62"/>
  <c r="S23" i="62"/>
  <c r="S15" i="62"/>
  <c r="D15" i="62"/>
  <c r="D344" i="62"/>
  <c r="S344" i="62"/>
  <c r="E641" i="62"/>
  <c r="Y641" i="62"/>
  <c r="Y633" i="62"/>
  <c r="E633" i="62"/>
  <c r="E627" i="62"/>
  <c r="Y627" i="62"/>
  <c r="E617" i="62"/>
  <c r="Y617" i="62"/>
  <c r="E609" i="62"/>
  <c r="Y609" i="62"/>
  <c r="Y601" i="62"/>
  <c r="E601" i="62"/>
  <c r="E593" i="62"/>
  <c r="Y593" i="62"/>
  <c r="E585" i="62"/>
  <c r="Y585" i="62"/>
  <c r="E577" i="62"/>
  <c r="Y577" i="62"/>
  <c r="Y569" i="62"/>
  <c r="E569" i="62"/>
  <c r="E561" i="62"/>
  <c r="Y561" i="62"/>
  <c r="E553" i="62"/>
  <c r="Y553" i="62"/>
  <c r="E545" i="62"/>
  <c r="Y545" i="62"/>
  <c r="Y537" i="62"/>
  <c r="E537" i="62"/>
  <c r="E529" i="62"/>
  <c r="Y529" i="62"/>
  <c r="E521" i="62"/>
  <c r="Y521" i="62"/>
  <c r="E513" i="62"/>
  <c r="Y513" i="62"/>
  <c r="E505" i="62"/>
  <c r="Y505" i="62"/>
  <c r="E497" i="62"/>
  <c r="Y497" i="62"/>
  <c r="E488" i="62"/>
  <c r="Y488" i="62"/>
  <c r="E480" i="62"/>
  <c r="Y480" i="62"/>
  <c r="E472" i="62"/>
  <c r="Y472" i="62"/>
  <c r="E464" i="62"/>
  <c r="Y464" i="62"/>
  <c r="E456" i="62"/>
  <c r="Y456" i="62"/>
  <c r="E442" i="62"/>
  <c r="Y442" i="62"/>
  <c r="Y434" i="62"/>
  <c r="E434" i="62"/>
  <c r="E426" i="62"/>
  <c r="Y426" i="62"/>
  <c r="Y414" i="62"/>
  <c r="E414" i="62"/>
  <c r="Y406" i="62"/>
  <c r="E406" i="62"/>
  <c r="Y398" i="62"/>
  <c r="E398" i="62"/>
  <c r="Y390" i="62"/>
  <c r="E390" i="62"/>
  <c r="Y382" i="62"/>
  <c r="E382" i="62"/>
  <c r="E373" i="62"/>
  <c r="Y373" i="62"/>
  <c r="E365" i="62"/>
  <c r="Y365" i="62"/>
  <c r="Y352" i="62"/>
  <c r="E352" i="62"/>
  <c r="E343" i="62"/>
  <c r="Y343" i="62"/>
  <c r="E335" i="62"/>
  <c r="Y335" i="62"/>
  <c r="E327" i="62"/>
  <c r="Y327" i="62"/>
  <c r="E319" i="62"/>
  <c r="Y319" i="62"/>
  <c r="E311" i="62"/>
  <c r="Y311" i="62"/>
  <c r="E303" i="62"/>
  <c r="Y303" i="62"/>
  <c r="E295" i="62"/>
  <c r="Y295" i="62"/>
  <c r="E287" i="62"/>
  <c r="Y287" i="62"/>
  <c r="E279" i="62"/>
  <c r="Y279" i="62"/>
  <c r="E271" i="62"/>
  <c r="Y271" i="62"/>
  <c r="E263" i="62"/>
  <c r="Y263" i="62"/>
  <c r="E255" i="62"/>
  <c r="Y255" i="62"/>
  <c r="E247" i="62"/>
  <c r="Y247" i="62"/>
  <c r="E239" i="62"/>
  <c r="Y239" i="62"/>
  <c r="E231" i="62"/>
  <c r="Y231" i="62"/>
  <c r="E223" i="62"/>
  <c r="Y223" i="62"/>
  <c r="E215" i="62"/>
  <c r="Y215" i="62"/>
  <c r="E199" i="62"/>
  <c r="Y199" i="62"/>
  <c r="E191" i="62"/>
  <c r="Y191" i="62"/>
  <c r="E180" i="62"/>
  <c r="Y180" i="62"/>
  <c r="E171" i="62"/>
  <c r="Y171" i="62"/>
  <c r="Y158" i="62"/>
  <c r="E158" i="62"/>
  <c r="Y150" i="62"/>
  <c r="E150" i="62"/>
  <c r="Y142" i="62"/>
  <c r="E142" i="62"/>
  <c r="E133" i="62"/>
  <c r="Y133" i="62"/>
  <c r="E125" i="62"/>
  <c r="Y125" i="62"/>
  <c r="E117" i="62"/>
  <c r="Y117" i="62"/>
  <c r="E108" i="62"/>
  <c r="Y108" i="62"/>
  <c r="Y100" i="62"/>
  <c r="E100" i="62"/>
  <c r="E92" i="62"/>
  <c r="Y92" i="62"/>
  <c r="E84" i="62"/>
  <c r="Y84" i="62"/>
  <c r="E76" i="62"/>
  <c r="Y76" i="62"/>
  <c r="E66" i="62"/>
  <c r="Y66" i="62"/>
  <c r="Y41" i="62"/>
  <c r="E41" i="62"/>
  <c r="E40" i="62"/>
  <c r="Y40" i="62"/>
  <c r="E32" i="62"/>
  <c r="Y32" i="62"/>
  <c r="E22" i="62"/>
  <c r="Y22" i="62"/>
  <c r="E187" i="62"/>
  <c r="Y187" i="62"/>
  <c r="D643" i="62"/>
  <c r="S643" i="62"/>
  <c r="S635" i="62"/>
  <c r="D635" i="62"/>
  <c r="S50" i="62"/>
  <c r="D50" i="62"/>
  <c r="D620" i="62"/>
  <c r="S620" i="62"/>
  <c r="D611" i="62"/>
  <c r="S611" i="62"/>
  <c r="S603" i="62"/>
  <c r="D603" i="62"/>
  <c r="S595" i="62"/>
  <c r="D595" i="62"/>
  <c r="D587" i="62"/>
  <c r="S587" i="62"/>
  <c r="D579" i="62"/>
  <c r="S579" i="62"/>
  <c r="S571" i="62"/>
  <c r="D571" i="62"/>
  <c r="S563" i="62"/>
  <c r="D563" i="62"/>
  <c r="D555" i="62"/>
  <c r="S555" i="62"/>
  <c r="D547" i="62"/>
  <c r="S547" i="62"/>
  <c r="S539" i="62"/>
  <c r="D539" i="62"/>
  <c r="S531" i="62"/>
  <c r="D531" i="62"/>
  <c r="D523" i="62"/>
  <c r="S523" i="62"/>
  <c r="D515" i="62"/>
  <c r="S515" i="62"/>
  <c r="S507" i="62"/>
  <c r="D507" i="62"/>
  <c r="S499" i="62"/>
  <c r="D499" i="62"/>
  <c r="S490" i="62"/>
  <c r="D490" i="62"/>
  <c r="S482" i="62"/>
  <c r="D482" i="62"/>
  <c r="S474" i="62"/>
  <c r="D474" i="62"/>
  <c r="S466" i="62"/>
  <c r="D466" i="62"/>
  <c r="S458" i="62"/>
  <c r="D458" i="62"/>
  <c r="D444" i="62"/>
  <c r="S444" i="62"/>
  <c r="D436" i="62"/>
  <c r="S436" i="62"/>
  <c r="D428" i="62"/>
  <c r="S428" i="62"/>
  <c r="D420" i="62"/>
  <c r="S420" i="62"/>
  <c r="D410" i="62"/>
  <c r="S410" i="62"/>
  <c r="D402" i="62"/>
  <c r="S402" i="62"/>
  <c r="D394" i="62"/>
  <c r="S394" i="62"/>
  <c r="D386" i="62"/>
  <c r="S386" i="62"/>
  <c r="S378" i="62"/>
  <c r="D378" i="62"/>
  <c r="S370" i="62"/>
  <c r="D370" i="62"/>
  <c r="S362" i="62"/>
  <c r="D362" i="62"/>
  <c r="D349" i="62"/>
  <c r="S349" i="62"/>
  <c r="D340" i="62"/>
  <c r="S340" i="62"/>
  <c r="D332" i="62"/>
  <c r="S332" i="62"/>
  <c r="D324" i="62"/>
  <c r="S324" i="62"/>
  <c r="D316" i="62"/>
  <c r="S316" i="62"/>
  <c r="D308" i="62"/>
  <c r="S308" i="62"/>
  <c r="D300" i="62"/>
  <c r="S300" i="62"/>
  <c r="D292" i="62"/>
  <c r="S292" i="62"/>
  <c r="D284" i="62"/>
  <c r="S284" i="62"/>
  <c r="D276" i="62"/>
  <c r="S276" i="62"/>
  <c r="D268" i="62"/>
  <c r="S268" i="62"/>
  <c r="D260" i="62"/>
  <c r="S260" i="62"/>
  <c r="D252" i="62"/>
  <c r="S252" i="62"/>
  <c r="D244" i="62"/>
  <c r="S244" i="62"/>
  <c r="D236" i="62"/>
  <c r="S236" i="62"/>
  <c r="D228" i="62"/>
  <c r="S228" i="62"/>
  <c r="D220" i="62"/>
  <c r="S220" i="62"/>
  <c r="D212" i="62"/>
  <c r="S212" i="62"/>
  <c r="D196" i="62"/>
  <c r="AA196" i="62" s="1"/>
  <c r="S196" i="62"/>
  <c r="S188" i="62"/>
  <c r="D188" i="62"/>
  <c r="AA188" i="62" s="1"/>
  <c r="S180" i="62"/>
  <c r="D180" i="62"/>
  <c r="AA180" i="62" s="1"/>
  <c r="D171" i="62"/>
  <c r="S171" i="62"/>
  <c r="D158" i="62"/>
  <c r="S158" i="62"/>
  <c r="D150" i="62"/>
  <c r="S150" i="62"/>
  <c r="D142" i="62"/>
  <c r="S142" i="62"/>
  <c r="D133" i="62"/>
  <c r="S133" i="62"/>
  <c r="D125" i="62"/>
  <c r="S125" i="62"/>
  <c r="D117" i="62"/>
  <c r="S117" i="62"/>
  <c r="S108" i="62"/>
  <c r="D108" i="62"/>
  <c r="S100" i="62"/>
  <c r="D100" i="62"/>
  <c r="S92" i="62"/>
  <c r="D92" i="62"/>
  <c r="D84" i="62"/>
  <c r="S84" i="62"/>
  <c r="S76" i="62"/>
  <c r="D76" i="62"/>
  <c r="S66" i="62"/>
  <c r="D66" i="62"/>
  <c r="D41" i="62"/>
  <c r="S41" i="62"/>
  <c r="D40" i="62"/>
  <c r="S40" i="62"/>
  <c r="D32" i="62"/>
  <c r="S32" i="62"/>
  <c r="D22" i="62"/>
  <c r="S22" i="62"/>
  <c r="S14" i="62"/>
  <c r="D14" i="62"/>
  <c r="E640" i="62"/>
  <c r="Y640" i="62"/>
  <c r="Y632" i="62"/>
  <c r="E632" i="62"/>
  <c r="E626" i="62"/>
  <c r="Y626" i="62"/>
  <c r="E616" i="62"/>
  <c r="Y616" i="62"/>
  <c r="E608" i="62"/>
  <c r="Y608" i="62"/>
  <c r="Y600" i="62"/>
  <c r="E600" i="62"/>
  <c r="E592" i="62"/>
  <c r="Y592" i="62"/>
  <c r="E584" i="62"/>
  <c r="Y584" i="62"/>
  <c r="E576" i="62"/>
  <c r="Y576" i="62"/>
  <c r="Y568" i="62"/>
  <c r="E568" i="62"/>
  <c r="E560" i="62"/>
  <c r="Y560" i="62"/>
  <c r="E552" i="62"/>
  <c r="Y552" i="62"/>
  <c r="E544" i="62"/>
  <c r="Y544" i="62"/>
  <c r="Y536" i="62"/>
  <c r="E536" i="62"/>
  <c r="E528" i="62"/>
  <c r="Y528" i="62"/>
  <c r="E520" i="62"/>
  <c r="Y520" i="62"/>
  <c r="E512" i="62"/>
  <c r="Y512" i="62"/>
  <c r="E504" i="62"/>
  <c r="Y504" i="62"/>
  <c r="E496" i="62"/>
  <c r="Y496" i="62"/>
  <c r="Y487" i="62"/>
  <c r="E487" i="62"/>
  <c r="Y479" i="62"/>
  <c r="E479" i="62"/>
  <c r="Y471" i="62"/>
  <c r="E471" i="62"/>
  <c r="Y463" i="62"/>
  <c r="E463" i="62"/>
  <c r="Y455" i="62"/>
  <c r="E455" i="62"/>
  <c r="E441" i="62"/>
  <c r="Y441" i="62"/>
  <c r="E433" i="62"/>
  <c r="Y433" i="62"/>
  <c r="E425" i="62"/>
  <c r="Y425" i="62"/>
  <c r="E413" i="62"/>
  <c r="Y413" i="62"/>
  <c r="E405" i="62"/>
  <c r="Y405" i="62"/>
  <c r="E397" i="62"/>
  <c r="Y397" i="62"/>
  <c r="E389" i="62"/>
  <c r="Y389" i="62"/>
  <c r="E381" i="62"/>
  <c r="Y381" i="62"/>
  <c r="E372" i="62"/>
  <c r="Y372" i="62"/>
  <c r="E364" i="62"/>
  <c r="Y364" i="62"/>
  <c r="E351" i="62"/>
  <c r="Y351" i="62"/>
  <c r="E342" i="62"/>
  <c r="Y342" i="62"/>
  <c r="E334" i="62"/>
  <c r="Y334" i="62"/>
  <c r="E326" i="62"/>
  <c r="Y326" i="62"/>
  <c r="E318" i="62"/>
  <c r="Y318" i="62"/>
  <c r="E310" i="62"/>
  <c r="Y310" i="62"/>
  <c r="E302" i="62"/>
  <c r="Y302" i="62"/>
  <c r="E294" i="62"/>
  <c r="Y294" i="62"/>
  <c r="E286" i="62"/>
  <c r="Y286" i="62"/>
  <c r="E278" i="62"/>
  <c r="Y278" i="62"/>
  <c r="E270" i="62"/>
  <c r="Y270" i="62"/>
  <c r="E262" i="62"/>
  <c r="Y262" i="62"/>
  <c r="E254" i="62"/>
  <c r="Y254" i="62"/>
  <c r="E246" i="62"/>
  <c r="Y246" i="62"/>
  <c r="E238" i="62"/>
  <c r="Y238" i="62"/>
  <c r="Y230" i="62"/>
  <c r="E230" i="62"/>
  <c r="E222" i="62"/>
  <c r="Y222" i="62"/>
  <c r="E214" i="62"/>
  <c r="Y214" i="62"/>
  <c r="E198" i="62"/>
  <c r="Y198" i="62"/>
  <c r="E190" i="62"/>
  <c r="Y190" i="62"/>
  <c r="E179" i="62"/>
  <c r="Y179" i="62"/>
  <c r="Y170" i="62"/>
  <c r="E170" i="62"/>
  <c r="E157" i="62"/>
  <c r="Y157" i="62"/>
  <c r="E149" i="62"/>
  <c r="Y149" i="62"/>
  <c r="E141" i="62"/>
  <c r="Y141" i="62"/>
  <c r="E132" i="62"/>
  <c r="Y132" i="62"/>
  <c r="E124" i="62"/>
  <c r="Y124" i="62"/>
  <c r="E116" i="62"/>
  <c r="Y116" i="62"/>
  <c r="E107" i="62"/>
  <c r="Y107" i="62"/>
  <c r="Y99" i="62"/>
  <c r="E99" i="62"/>
  <c r="E91" i="62"/>
  <c r="Y91" i="62"/>
  <c r="E83" i="62"/>
  <c r="Y83" i="62"/>
  <c r="E75" i="62"/>
  <c r="Y75" i="62"/>
  <c r="Y65" i="62"/>
  <c r="E65" i="62"/>
  <c r="E48" i="62"/>
  <c r="Y48" i="62"/>
  <c r="E39" i="62"/>
  <c r="Y39" i="62"/>
  <c r="E31" i="62"/>
  <c r="Y31" i="62"/>
  <c r="E21" i="62"/>
  <c r="Y21" i="62"/>
  <c r="E186" i="62"/>
  <c r="Y186" i="62"/>
  <c r="D642" i="62"/>
  <c r="S642" i="62"/>
  <c r="S634" i="62"/>
  <c r="D634" i="62"/>
  <c r="D49" i="62"/>
  <c r="S49" i="62"/>
  <c r="D618" i="62"/>
  <c r="S618" i="62"/>
  <c r="D610" i="62"/>
  <c r="S610" i="62"/>
  <c r="S602" i="62"/>
  <c r="D602" i="62"/>
  <c r="S594" i="62"/>
  <c r="D594" i="62"/>
  <c r="D586" i="62"/>
  <c r="S586" i="62"/>
  <c r="D578" i="62"/>
  <c r="S578" i="62"/>
  <c r="S570" i="62"/>
  <c r="D570" i="62"/>
  <c r="S562" i="62"/>
  <c r="D562" i="62"/>
  <c r="D554" i="62"/>
  <c r="S554" i="62"/>
  <c r="D546" i="62"/>
  <c r="S546" i="62"/>
  <c r="S538" i="62"/>
  <c r="D538" i="62"/>
  <c r="S530" i="62"/>
  <c r="D530" i="62"/>
  <c r="D522" i="62"/>
  <c r="S522" i="62"/>
  <c r="D514" i="62"/>
  <c r="S514" i="62"/>
  <c r="D506" i="62"/>
  <c r="S506" i="62"/>
  <c r="D498" i="62"/>
  <c r="S498" i="62"/>
  <c r="D489" i="62"/>
  <c r="S489" i="62"/>
  <c r="D481" i="62"/>
  <c r="S481" i="62"/>
  <c r="S473" i="62"/>
  <c r="D473" i="62"/>
  <c r="S465" i="62"/>
  <c r="D465" i="62"/>
  <c r="S457" i="62"/>
  <c r="D457" i="62"/>
  <c r="D443" i="62"/>
  <c r="S443" i="62"/>
  <c r="D435" i="62"/>
  <c r="S435" i="62"/>
  <c r="S427" i="62"/>
  <c r="D427" i="62"/>
  <c r="S419" i="62"/>
  <c r="D419" i="62"/>
  <c r="S409" i="62"/>
  <c r="D409" i="62"/>
  <c r="S401" i="62"/>
  <c r="D401" i="62"/>
  <c r="S393" i="62"/>
  <c r="D393" i="62"/>
  <c r="S385" i="62"/>
  <c r="D385" i="62"/>
  <c r="D377" i="62"/>
  <c r="S377" i="62"/>
  <c r="D369" i="62"/>
  <c r="S369" i="62"/>
  <c r="D361" i="62"/>
  <c r="S361" i="62"/>
  <c r="D348" i="62"/>
  <c r="S348" i="62"/>
  <c r="S339" i="62"/>
  <c r="D339" i="62"/>
  <c r="S331" i="62"/>
  <c r="D331" i="62"/>
  <c r="S323" i="62"/>
  <c r="D323" i="62"/>
  <c r="S315" i="62"/>
  <c r="D315" i="62"/>
  <c r="S307" i="62"/>
  <c r="D307" i="62"/>
  <c r="S299" i="62"/>
  <c r="D299" i="62"/>
  <c r="S291" i="62"/>
  <c r="D291" i="62"/>
  <c r="S283" i="62"/>
  <c r="D283" i="62"/>
  <c r="S275" i="62"/>
  <c r="D275" i="62"/>
  <c r="S267" i="62"/>
  <c r="D267" i="62"/>
  <c r="S259" i="62"/>
  <c r="D259" i="62"/>
  <c r="S251" i="62"/>
  <c r="D251" i="62"/>
  <c r="S243" i="62"/>
  <c r="D243" i="62"/>
  <c r="S235" i="62"/>
  <c r="D235" i="62"/>
  <c r="D227" i="62"/>
  <c r="S227" i="62"/>
  <c r="D219" i="62"/>
  <c r="S219" i="62"/>
  <c r="D211" i="62"/>
  <c r="S211" i="62"/>
  <c r="D195" i="62"/>
  <c r="AA195" i="62" s="1"/>
  <c r="S195" i="62"/>
  <c r="D187" i="62"/>
  <c r="S187" i="62"/>
  <c r="S179" i="62"/>
  <c r="D179" i="62"/>
  <c r="D170" i="62"/>
  <c r="S170" i="62"/>
  <c r="D157" i="62"/>
  <c r="S157" i="62"/>
  <c r="D149" i="62"/>
  <c r="S149" i="62"/>
  <c r="D141" i="62"/>
  <c r="S141" i="62"/>
  <c r="S132" i="62"/>
  <c r="D132" i="62"/>
  <c r="S124" i="62"/>
  <c r="D124" i="62"/>
  <c r="S116" i="62"/>
  <c r="D116" i="62"/>
  <c r="D107" i="62"/>
  <c r="S107" i="62"/>
  <c r="S99" i="62"/>
  <c r="D99" i="62"/>
  <c r="S91" i="62"/>
  <c r="D91" i="62"/>
  <c r="D83" i="62"/>
  <c r="S83" i="62"/>
  <c r="S75" i="62"/>
  <c r="D75" i="62"/>
  <c r="D65" i="62"/>
  <c r="S65" i="62"/>
  <c r="D48" i="62"/>
  <c r="S48" i="62"/>
  <c r="D39" i="62"/>
  <c r="S39" i="62"/>
  <c r="D31" i="62"/>
  <c r="S31" i="62"/>
  <c r="D21" i="62"/>
  <c r="S21" i="62"/>
  <c r="E168" i="62"/>
  <c r="Y168" i="62"/>
  <c r="W418" i="62"/>
  <c r="X418" i="62"/>
  <c r="F418" i="62"/>
  <c r="X380" i="62"/>
  <c r="F380" i="62"/>
  <c r="W380" i="62"/>
  <c r="E647" i="62"/>
  <c r="Y647" i="62"/>
  <c r="E639" i="62"/>
  <c r="Y639" i="62"/>
  <c r="Y631" i="62"/>
  <c r="E631" i="62"/>
  <c r="E625" i="62"/>
  <c r="Y625" i="62"/>
  <c r="E615" i="62"/>
  <c r="Y615" i="62"/>
  <c r="E607" i="62"/>
  <c r="Y607" i="62"/>
  <c r="Y599" i="62"/>
  <c r="E599" i="62"/>
  <c r="E591" i="62"/>
  <c r="Y591" i="62"/>
  <c r="E583" i="62"/>
  <c r="Y583" i="62"/>
  <c r="E575" i="62"/>
  <c r="Y575" i="62"/>
  <c r="Y567" i="62"/>
  <c r="E567" i="62"/>
  <c r="E559" i="62"/>
  <c r="Y559" i="62"/>
  <c r="E551" i="62"/>
  <c r="Y551" i="62"/>
  <c r="E543" i="62"/>
  <c r="Y543" i="62"/>
  <c r="Y535" i="62"/>
  <c r="E535" i="62"/>
  <c r="E527" i="62"/>
  <c r="Y527" i="62"/>
  <c r="E519" i="62"/>
  <c r="Y519" i="62"/>
  <c r="E511" i="62"/>
  <c r="Y511" i="62"/>
  <c r="E503" i="62"/>
  <c r="Y503" i="62"/>
  <c r="E494" i="62"/>
  <c r="Y494" i="62"/>
  <c r="E486" i="62"/>
  <c r="Y486" i="62"/>
  <c r="E478" i="62"/>
  <c r="Y478" i="62"/>
  <c r="E470" i="62"/>
  <c r="Y470" i="62"/>
  <c r="E462" i="62"/>
  <c r="Y462" i="62"/>
  <c r="E454" i="62"/>
  <c r="Y454" i="62"/>
  <c r="E440" i="62"/>
  <c r="Y440" i="62"/>
  <c r="Y432" i="62"/>
  <c r="E432" i="62"/>
  <c r="Y424" i="62"/>
  <c r="E424" i="62"/>
  <c r="E412" i="62"/>
  <c r="Y412" i="62"/>
  <c r="E404" i="62"/>
  <c r="Y404" i="62"/>
  <c r="E396" i="62"/>
  <c r="Y396" i="62"/>
  <c r="E388" i="62"/>
  <c r="Y388" i="62"/>
  <c r="E379" i="62"/>
  <c r="Y379" i="62"/>
  <c r="E371" i="62"/>
  <c r="Y371" i="62"/>
  <c r="E363" i="62"/>
  <c r="Y363" i="62"/>
  <c r="E350" i="62"/>
  <c r="Y350" i="62"/>
  <c r="E341" i="62"/>
  <c r="Y341" i="62"/>
  <c r="E333" i="62"/>
  <c r="Y333" i="62"/>
  <c r="E325" i="62"/>
  <c r="Y325" i="62"/>
  <c r="E317" i="62"/>
  <c r="Y317" i="62"/>
  <c r="E309" i="62"/>
  <c r="Y309" i="62"/>
  <c r="E301" i="62"/>
  <c r="Y301" i="62"/>
  <c r="E293" i="62"/>
  <c r="Y293" i="62"/>
  <c r="E285" i="62"/>
  <c r="Y285" i="62"/>
  <c r="E277" i="62"/>
  <c r="Y277" i="62"/>
  <c r="E269" i="62"/>
  <c r="Y269" i="62"/>
  <c r="E261" i="62"/>
  <c r="Y261" i="62"/>
  <c r="E253" i="62"/>
  <c r="Y253" i="62"/>
  <c r="E245" i="62"/>
  <c r="Y245" i="62"/>
  <c r="E237" i="62"/>
  <c r="Y237" i="62"/>
  <c r="E229" i="62"/>
  <c r="Y229" i="62"/>
  <c r="Y221" i="62"/>
  <c r="E221" i="62"/>
  <c r="Y213" i="62"/>
  <c r="E213" i="62"/>
  <c r="Y197" i="62"/>
  <c r="E197" i="62"/>
  <c r="Y189" i="62"/>
  <c r="E189" i="62"/>
  <c r="Y178" i="62"/>
  <c r="E178" i="62"/>
  <c r="Y167" i="62"/>
  <c r="E167" i="62"/>
  <c r="E156" i="62"/>
  <c r="Y156" i="62"/>
  <c r="E148" i="62"/>
  <c r="Y148" i="62"/>
  <c r="E140" i="62"/>
  <c r="Y140" i="62"/>
  <c r="Y131" i="62"/>
  <c r="E131" i="62"/>
  <c r="Y123" i="62"/>
  <c r="E123" i="62"/>
  <c r="E115" i="62"/>
  <c r="Y115" i="62"/>
  <c r="E106" i="62"/>
  <c r="Y106" i="62"/>
  <c r="Y98" i="62"/>
  <c r="E98" i="62"/>
  <c r="E90" i="62"/>
  <c r="Y90" i="62"/>
  <c r="E82" i="62"/>
  <c r="Y82" i="62"/>
  <c r="E74" i="62"/>
  <c r="Y74" i="62"/>
  <c r="E64" i="62"/>
  <c r="Y64" i="62"/>
  <c r="E47" i="62"/>
  <c r="Y47" i="62"/>
  <c r="E38" i="62"/>
  <c r="Y38" i="62"/>
  <c r="E30" i="62"/>
  <c r="Y30" i="62"/>
  <c r="E20" i="62"/>
  <c r="Y20" i="62"/>
  <c r="Y185" i="62"/>
  <c r="E185" i="62"/>
  <c r="D641" i="62"/>
  <c r="S641" i="62"/>
  <c r="S633" i="62"/>
  <c r="D633" i="62"/>
  <c r="S627" i="62"/>
  <c r="D627" i="62"/>
  <c r="D617" i="62"/>
  <c r="S617" i="62"/>
  <c r="D609" i="62"/>
  <c r="S609" i="62"/>
  <c r="S601" i="62"/>
  <c r="D601" i="62"/>
  <c r="S593" i="62"/>
  <c r="D593" i="62"/>
  <c r="D585" i="62"/>
  <c r="S585" i="62"/>
  <c r="D577" i="62"/>
  <c r="S577" i="62"/>
  <c r="S569" i="62"/>
  <c r="D569" i="62"/>
  <c r="S561" i="62"/>
  <c r="D561" i="62"/>
  <c r="D553" i="62"/>
  <c r="S553" i="62"/>
  <c r="D545" i="62"/>
  <c r="S545" i="62"/>
  <c r="S537" i="62"/>
  <c r="D537" i="62"/>
  <c r="S529" i="62"/>
  <c r="D529" i="62"/>
  <c r="D521" i="62"/>
  <c r="S521" i="62"/>
  <c r="D513" i="62"/>
  <c r="S513" i="62"/>
  <c r="D505" i="62"/>
  <c r="S505" i="62"/>
  <c r="D497" i="62"/>
  <c r="S497" i="62"/>
  <c r="S488" i="62"/>
  <c r="D488" i="62"/>
  <c r="S480" i="62"/>
  <c r="D480" i="62"/>
  <c r="S472" i="62"/>
  <c r="D472" i="62"/>
  <c r="S464" i="62"/>
  <c r="D464" i="62"/>
  <c r="S456" i="62"/>
  <c r="D456" i="62"/>
  <c r="S442" i="62"/>
  <c r="D442" i="62"/>
  <c r="S434" i="62"/>
  <c r="D434" i="62"/>
  <c r="S426" i="62"/>
  <c r="D426" i="62"/>
  <c r="D418" i="62"/>
  <c r="S418" i="62"/>
  <c r="S408" i="62"/>
  <c r="D408" i="62"/>
  <c r="S400" i="62"/>
  <c r="D400" i="62"/>
  <c r="S392" i="62"/>
  <c r="D392" i="62"/>
  <c r="S384" i="62"/>
  <c r="D384" i="62"/>
  <c r="D376" i="62"/>
  <c r="S376" i="62"/>
  <c r="D368" i="62"/>
  <c r="S368" i="62"/>
  <c r="S360" i="62"/>
  <c r="D360" i="62"/>
  <c r="S347" i="62"/>
  <c r="D347" i="62"/>
  <c r="S338" i="62"/>
  <c r="D338" i="62"/>
  <c r="S330" i="62"/>
  <c r="D330" i="62"/>
  <c r="S322" i="62"/>
  <c r="D322" i="62"/>
  <c r="S314" i="62"/>
  <c r="D314" i="62"/>
  <c r="S306" i="62"/>
  <c r="D306" i="62"/>
  <c r="S298" i="62"/>
  <c r="D298" i="62"/>
  <c r="S290" i="62"/>
  <c r="D290" i="62"/>
  <c r="S282" i="62"/>
  <c r="D282" i="62"/>
  <c r="S274" i="62"/>
  <c r="D274" i="62"/>
  <c r="S266" i="62"/>
  <c r="D266" i="62"/>
  <c r="S258" i="62"/>
  <c r="D258" i="62"/>
  <c r="S250" i="62"/>
  <c r="D250" i="62"/>
  <c r="S242" i="62"/>
  <c r="D242" i="62"/>
  <c r="S234" i="62"/>
  <c r="D234" i="62"/>
  <c r="D226" i="62"/>
  <c r="S226" i="62"/>
  <c r="D218" i="62"/>
  <c r="S218" i="62"/>
  <c r="D210" i="62"/>
  <c r="S210" i="62"/>
  <c r="D194" i="62"/>
  <c r="AA194" i="62" s="1"/>
  <c r="S194" i="62"/>
  <c r="S186" i="62"/>
  <c r="D186" i="62"/>
  <c r="AA186" i="62" s="1"/>
  <c r="D178" i="62"/>
  <c r="S178" i="62"/>
  <c r="D167" i="62"/>
  <c r="S167" i="62"/>
  <c r="S156" i="62"/>
  <c r="D156" i="62"/>
  <c r="S148" i="62"/>
  <c r="D148" i="62"/>
  <c r="S140" i="62"/>
  <c r="D140" i="62"/>
  <c r="S131" i="62"/>
  <c r="D131" i="62"/>
  <c r="D123" i="62"/>
  <c r="S123" i="62"/>
  <c r="D115" i="62"/>
  <c r="S115" i="62"/>
  <c r="D106" i="62"/>
  <c r="S106" i="62"/>
  <c r="D98" i="62"/>
  <c r="S98" i="62"/>
  <c r="S90" i="62"/>
  <c r="D90" i="62"/>
  <c r="D82" i="62"/>
  <c r="S82" i="62"/>
  <c r="S74" i="62"/>
  <c r="D74" i="62"/>
  <c r="D64" i="62"/>
  <c r="S64" i="62"/>
  <c r="D47" i="62"/>
  <c r="S47" i="62"/>
  <c r="D38" i="62"/>
  <c r="S38" i="62"/>
  <c r="D30" i="62"/>
  <c r="S30" i="62"/>
  <c r="S20" i="62"/>
  <c r="D20" i="62"/>
  <c r="S168" i="62"/>
  <c r="D168" i="62"/>
  <c r="E646" i="62"/>
  <c r="Y646" i="62"/>
  <c r="E638" i="62"/>
  <c r="Y638" i="62"/>
  <c r="Y630" i="62"/>
  <c r="E630" i="62"/>
  <c r="E624" i="62"/>
  <c r="Y624" i="62"/>
  <c r="E614" i="62"/>
  <c r="Y614" i="62"/>
  <c r="E606" i="62"/>
  <c r="Y606" i="62"/>
  <c r="Y598" i="62"/>
  <c r="E598" i="62"/>
  <c r="E590" i="62"/>
  <c r="Y590" i="62"/>
  <c r="E582" i="62"/>
  <c r="Y582" i="62"/>
  <c r="E574" i="62"/>
  <c r="Y574" i="62"/>
  <c r="Y566" i="62"/>
  <c r="E566" i="62"/>
  <c r="E558" i="62"/>
  <c r="Y558" i="62"/>
  <c r="E550" i="62"/>
  <c r="Y550" i="62"/>
  <c r="E542" i="62"/>
  <c r="Y542" i="62"/>
  <c r="Y534" i="62"/>
  <c r="E534" i="62"/>
  <c r="E526" i="62"/>
  <c r="Y526" i="62"/>
  <c r="E518" i="62"/>
  <c r="Y518" i="62"/>
  <c r="E510" i="62"/>
  <c r="Y510" i="62"/>
  <c r="E502" i="62"/>
  <c r="Y502" i="62"/>
  <c r="Y493" i="62"/>
  <c r="E493" i="62"/>
  <c r="Y485" i="62"/>
  <c r="E485" i="62"/>
  <c r="E477" i="62"/>
  <c r="Y477" i="62"/>
  <c r="E469" i="62"/>
  <c r="Y469" i="62"/>
  <c r="E461" i="62"/>
  <c r="Y461" i="62"/>
  <c r="E453" i="62"/>
  <c r="Y453" i="62"/>
  <c r="Y439" i="62"/>
  <c r="E439" i="62"/>
  <c r="E431" i="62"/>
  <c r="Y431" i="62"/>
  <c r="E423" i="62"/>
  <c r="Y423" i="62"/>
  <c r="E411" i="62"/>
  <c r="Y411" i="62"/>
  <c r="E403" i="62"/>
  <c r="Y403" i="62"/>
  <c r="E395" i="62"/>
  <c r="Y395" i="62"/>
  <c r="E387" i="62"/>
  <c r="Y387" i="62"/>
  <c r="E378" i="62"/>
  <c r="Y378" i="62"/>
  <c r="E370" i="62"/>
  <c r="Y370" i="62"/>
  <c r="E362" i="62"/>
  <c r="Y362" i="62"/>
  <c r="E349" i="62"/>
  <c r="Y349" i="62"/>
  <c r="E340" i="62"/>
  <c r="Y340" i="62"/>
  <c r="E332" i="62"/>
  <c r="Y332" i="62"/>
  <c r="E324" i="62"/>
  <c r="Y324" i="62"/>
  <c r="E316" i="62"/>
  <c r="Y316" i="62"/>
  <c r="E308" i="62"/>
  <c r="Y308" i="62"/>
  <c r="E300" i="62"/>
  <c r="Y300" i="62"/>
  <c r="E292" i="62"/>
  <c r="Y292" i="62"/>
  <c r="E284" i="62"/>
  <c r="Y284" i="62"/>
  <c r="E276" i="62"/>
  <c r="Y276" i="62"/>
  <c r="E268" i="62"/>
  <c r="Y268" i="62"/>
  <c r="E260" i="62"/>
  <c r="Y260" i="62"/>
  <c r="E252" i="62"/>
  <c r="Y252" i="62"/>
  <c r="Y244" i="62"/>
  <c r="E244" i="62"/>
  <c r="Y236" i="62"/>
  <c r="E236" i="62"/>
  <c r="Y228" i="62"/>
  <c r="E228" i="62"/>
  <c r="E220" i="62"/>
  <c r="Y220" i="62"/>
  <c r="E212" i="62"/>
  <c r="Y212" i="62"/>
  <c r="E196" i="62"/>
  <c r="Y196" i="62"/>
  <c r="E188" i="62"/>
  <c r="Y188" i="62"/>
  <c r="E177" i="62"/>
  <c r="Y177" i="62"/>
  <c r="E163" i="62"/>
  <c r="Y163" i="62"/>
  <c r="E155" i="62"/>
  <c r="Y155" i="62"/>
  <c r="E147" i="62"/>
  <c r="Y147" i="62"/>
  <c r="E139" i="62"/>
  <c r="Y139" i="62"/>
  <c r="Y130" i="62"/>
  <c r="E130" i="62"/>
  <c r="Y122" i="62"/>
  <c r="E122" i="62"/>
  <c r="E114" i="62"/>
  <c r="Y114" i="62"/>
  <c r="Y105" i="62"/>
  <c r="E105" i="62"/>
  <c r="Y97" i="62"/>
  <c r="E97" i="62"/>
  <c r="Y89" i="62"/>
  <c r="E89" i="62"/>
  <c r="E81" i="62"/>
  <c r="Y81" i="62"/>
  <c r="Y73" i="62"/>
  <c r="E73" i="62"/>
  <c r="E63" i="62"/>
  <c r="Y63" i="62"/>
  <c r="E46" i="62"/>
  <c r="Y46" i="62"/>
  <c r="E37" i="62"/>
  <c r="Y37" i="62"/>
  <c r="E29" i="62"/>
  <c r="Y29" i="62"/>
  <c r="Y19" i="62"/>
  <c r="E19" i="62"/>
  <c r="S640" i="62"/>
  <c r="D640" i="62"/>
  <c r="S632" i="62"/>
  <c r="D632" i="62"/>
  <c r="S626" i="62"/>
  <c r="D626" i="62"/>
  <c r="S616" i="62"/>
  <c r="D616" i="62"/>
  <c r="S608" i="62"/>
  <c r="D608" i="62"/>
  <c r="S600" i="62"/>
  <c r="D600" i="62"/>
  <c r="S592" i="62"/>
  <c r="D592" i="62"/>
  <c r="S584" i="62"/>
  <c r="D584" i="62"/>
  <c r="S576" i="62"/>
  <c r="D576" i="62"/>
  <c r="S568" i="62"/>
  <c r="D568" i="62"/>
  <c r="S560" i="62"/>
  <c r="D560" i="62"/>
  <c r="S552" i="62"/>
  <c r="D552" i="62"/>
  <c r="S544" i="62"/>
  <c r="D544" i="62"/>
  <c r="S536" i="62"/>
  <c r="D536" i="62"/>
  <c r="S528" i="62"/>
  <c r="D528" i="62"/>
  <c r="S520" i="62"/>
  <c r="D520" i="62"/>
  <c r="D512" i="62"/>
  <c r="S512" i="62"/>
  <c r="D504" i="62"/>
  <c r="S504" i="62"/>
  <c r="D496" i="62"/>
  <c r="S496" i="62"/>
  <c r="D487" i="62"/>
  <c r="S487" i="62"/>
  <c r="D479" i="62"/>
  <c r="S479" i="62"/>
  <c r="D471" i="62"/>
  <c r="S471" i="62"/>
  <c r="D463" i="62"/>
  <c r="S463" i="62"/>
  <c r="D455" i="62"/>
  <c r="S455" i="62"/>
  <c r="S441" i="62"/>
  <c r="D441" i="62"/>
  <c r="S433" i="62"/>
  <c r="D433" i="62"/>
  <c r="S425" i="62"/>
  <c r="D425" i="62"/>
  <c r="S417" i="62"/>
  <c r="D417" i="62"/>
  <c r="S407" i="62"/>
  <c r="D407" i="62"/>
  <c r="S399" i="62"/>
  <c r="D399" i="62"/>
  <c r="S391" i="62"/>
  <c r="D391" i="62"/>
  <c r="S383" i="62"/>
  <c r="D383" i="62"/>
  <c r="D375" i="62"/>
  <c r="S375" i="62"/>
  <c r="D367" i="62"/>
  <c r="S367" i="62"/>
  <c r="D359" i="62"/>
  <c r="S359" i="62"/>
  <c r="S346" i="62"/>
  <c r="D346" i="62"/>
  <c r="S337" i="62"/>
  <c r="D337" i="62"/>
  <c r="S329" i="62"/>
  <c r="D329" i="62"/>
  <c r="S321" i="62"/>
  <c r="D321" i="62"/>
  <c r="S313" i="62"/>
  <c r="D313" i="62"/>
  <c r="S305" i="62"/>
  <c r="D305" i="62"/>
  <c r="S297" i="62"/>
  <c r="D297" i="62"/>
  <c r="S289" i="62"/>
  <c r="D289" i="62"/>
  <c r="S281" i="62"/>
  <c r="D281" i="62"/>
  <c r="S273" i="62"/>
  <c r="D273" i="62"/>
  <c r="S265" i="62"/>
  <c r="D265" i="62"/>
  <c r="S257" i="62"/>
  <c r="D257" i="62"/>
  <c r="S249" i="62"/>
  <c r="D249" i="62"/>
  <c r="S241" i="62"/>
  <c r="D241" i="62"/>
  <c r="S233" i="62"/>
  <c r="D233" i="62"/>
  <c r="D225" i="62"/>
  <c r="S225" i="62"/>
  <c r="D217" i="62"/>
  <c r="S217" i="62"/>
  <c r="D209" i="62"/>
  <c r="S209" i="62"/>
  <c r="D193" i="62"/>
  <c r="AA193" i="62" s="1"/>
  <c r="S193" i="62"/>
  <c r="D185" i="62"/>
  <c r="AA185" i="62" s="1"/>
  <c r="S185" i="62"/>
  <c r="S177" i="62"/>
  <c r="D177" i="62"/>
  <c r="S163" i="62"/>
  <c r="D163" i="62"/>
  <c r="S155" i="62"/>
  <c r="D155" i="62"/>
  <c r="S147" i="62"/>
  <c r="D147" i="62"/>
  <c r="S139" i="62"/>
  <c r="D139" i="62"/>
  <c r="S130" i="62"/>
  <c r="D130" i="62"/>
  <c r="D122" i="62"/>
  <c r="S122" i="62"/>
  <c r="D114" i="62"/>
  <c r="S114" i="62"/>
  <c r="D105" i="62"/>
  <c r="S105" i="62"/>
  <c r="D97" i="62"/>
  <c r="S97" i="62"/>
  <c r="D89" i="62"/>
  <c r="S89" i="62"/>
  <c r="S81" i="62"/>
  <c r="D81" i="62"/>
  <c r="D73" i="62"/>
  <c r="S73" i="62"/>
  <c r="D63" i="62"/>
  <c r="S63" i="62"/>
  <c r="D46" i="62"/>
  <c r="S46" i="62"/>
  <c r="D37" i="62"/>
  <c r="S37" i="62"/>
  <c r="D29" i="62"/>
  <c r="S29" i="62"/>
  <c r="S19" i="62"/>
  <c r="D19" i="62"/>
  <c r="Y637" i="62"/>
  <c r="E637" i="62"/>
  <c r="Y613" i="62"/>
  <c r="E613" i="62"/>
  <c r="Y597" i="62"/>
  <c r="E597" i="62"/>
  <c r="Y589" i="62"/>
  <c r="E589" i="62"/>
  <c r="Y581" i="62"/>
  <c r="E581" i="62"/>
  <c r="Y573" i="62"/>
  <c r="E573" i="62"/>
  <c r="Y565" i="62"/>
  <c r="E565" i="62"/>
  <c r="Y549" i="62"/>
  <c r="E549" i="62"/>
  <c r="Y533" i="62"/>
  <c r="E533" i="62"/>
  <c r="Y525" i="62"/>
  <c r="E525" i="62"/>
  <c r="Y517" i="62"/>
  <c r="E517" i="62"/>
  <c r="E509" i="62"/>
  <c r="Y509" i="62"/>
  <c r="E501" i="62"/>
  <c r="Y501" i="62"/>
  <c r="E492" i="62"/>
  <c r="Y492" i="62"/>
  <c r="E484" i="62"/>
  <c r="Y484" i="62"/>
  <c r="E476" i="62"/>
  <c r="Y476" i="62"/>
  <c r="E468" i="62"/>
  <c r="Y468" i="62"/>
  <c r="E460" i="62"/>
  <c r="Y460" i="62"/>
  <c r="E452" i="62"/>
  <c r="Y452" i="62"/>
  <c r="E438" i="62"/>
  <c r="Y438" i="62"/>
  <c r="E430" i="62"/>
  <c r="Y430" i="62"/>
  <c r="E422" i="62"/>
  <c r="Y422" i="62"/>
  <c r="E410" i="62"/>
  <c r="Y410" i="62"/>
  <c r="E402" i="62"/>
  <c r="Y402" i="62"/>
  <c r="E394" i="62"/>
  <c r="Y394" i="62"/>
  <c r="E386" i="62"/>
  <c r="Y386" i="62"/>
  <c r="Y377" i="62"/>
  <c r="E377" i="62"/>
  <c r="Y369" i="62"/>
  <c r="E369" i="62"/>
  <c r="Y361" i="62"/>
  <c r="E361" i="62"/>
  <c r="E348" i="62"/>
  <c r="Y348" i="62"/>
  <c r="E339" i="62"/>
  <c r="Y339" i="62"/>
  <c r="E331" i="62"/>
  <c r="Y331" i="62"/>
  <c r="E323" i="62"/>
  <c r="Y323" i="62"/>
  <c r="E315" i="62"/>
  <c r="Y315" i="62"/>
  <c r="E307" i="62"/>
  <c r="Y307" i="62"/>
  <c r="E299" i="62"/>
  <c r="Y299" i="62"/>
  <c r="C654" i="62" s="1"/>
  <c r="E291" i="62"/>
  <c r="Y291" i="62"/>
  <c r="E283" i="62"/>
  <c r="Y283" i="62"/>
  <c r="E275" i="62"/>
  <c r="Y275" i="62"/>
  <c r="E267" i="62"/>
  <c r="Y267" i="62"/>
  <c r="C653" i="62" s="1"/>
  <c r="E259" i="62"/>
  <c r="Y259" i="62"/>
  <c r="E251" i="62"/>
  <c r="Y251" i="62"/>
  <c r="E243" i="62"/>
  <c r="Y243" i="62"/>
  <c r="E235" i="62"/>
  <c r="Y235" i="62"/>
  <c r="E227" i="62"/>
  <c r="Y227" i="62"/>
  <c r="E219" i="62"/>
  <c r="Y219" i="62"/>
  <c r="E211" i="62"/>
  <c r="Y211" i="62"/>
  <c r="E195" i="62"/>
  <c r="Y195" i="62"/>
  <c r="E184" i="62"/>
  <c r="Y184" i="62"/>
  <c r="Y175" i="62"/>
  <c r="E175" i="62"/>
  <c r="Y162" i="62"/>
  <c r="E162" i="62"/>
  <c r="E154" i="62"/>
  <c r="Y154" i="62"/>
  <c r="Y146" i="62"/>
  <c r="E146" i="62"/>
  <c r="E138" i="62"/>
  <c r="Y138" i="62"/>
  <c r="Y129" i="62"/>
  <c r="E129" i="62"/>
  <c r="Y121" i="62"/>
  <c r="E121" i="62"/>
  <c r="E112" i="62"/>
  <c r="Y112" i="62"/>
  <c r="E104" i="62"/>
  <c r="Y104" i="62"/>
  <c r="E96" i="62"/>
  <c r="Y96" i="62"/>
  <c r="E88" i="62"/>
  <c r="Y88" i="62"/>
  <c r="E80" i="62"/>
  <c r="Y80" i="62"/>
  <c r="E70" i="62"/>
  <c r="Y70" i="62"/>
  <c r="E62" i="62"/>
  <c r="Y62" i="62"/>
  <c r="E45" i="62"/>
  <c r="Y45" i="62"/>
  <c r="E36" i="62"/>
  <c r="Y36" i="62"/>
  <c r="E28" i="62"/>
  <c r="Y28" i="62"/>
  <c r="E18" i="62"/>
  <c r="Y18" i="62"/>
  <c r="S647" i="62"/>
  <c r="D647" i="62"/>
  <c r="S639" i="62"/>
  <c r="D639" i="62"/>
  <c r="S631" i="62"/>
  <c r="D631" i="62"/>
  <c r="S625" i="62"/>
  <c r="D625" i="62"/>
  <c r="S615" i="62"/>
  <c r="D615" i="62"/>
  <c r="S607" i="62"/>
  <c r="D607" i="62"/>
  <c r="S599" i="62"/>
  <c r="D599" i="62"/>
  <c r="S591" i="62"/>
  <c r="D591" i="62"/>
  <c r="S583" i="62"/>
  <c r="D583" i="62"/>
  <c r="S575" i="62"/>
  <c r="D575" i="62"/>
  <c r="S567" i="62"/>
  <c r="D567" i="62"/>
  <c r="S559" i="62"/>
  <c r="D559" i="62"/>
  <c r="S551" i="62"/>
  <c r="D551" i="62"/>
  <c r="S543" i="62"/>
  <c r="D543" i="62"/>
  <c r="S535" i="62"/>
  <c r="D535" i="62"/>
  <c r="S527" i="62"/>
  <c r="D527" i="62"/>
  <c r="S519" i="62"/>
  <c r="D519" i="62"/>
  <c r="D511" i="62"/>
  <c r="S511" i="62"/>
  <c r="D503" i="62"/>
  <c r="S503" i="62"/>
  <c r="D494" i="62"/>
  <c r="S494" i="62"/>
  <c r="S486" i="62"/>
  <c r="D486" i="62"/>
  <c r="D478" i="62"/>
  <c r="S478" i="62"/>
  <c r="D470" i="62"/>
  <c r="S470" i="62"/>
  <c r="D462" i="62"/>
  <c r="S462" i="62"/>
  <c r="D454" i="62"/>
  <c r="S454" i="62"/>
  <c r="S440" i="62"/>
  <c r="D440" i="62"/>
  <c r="D432" i="62"/>
  <c r="S432" i="62"/>
  <c r="D424" i="62"/>
  <c r="S424" i="62"/>
  <c r="D414" i="62"/>
  <c r="S414" i="62"/>
  <c r="D406" i="62"/>
  <c r="S406" i="62"/>
  <c r="D398" i="62"/>
  <c r="S398" i="62"/>
  <c r="D390" i="62"/>
  <c r="S390" i="62"/>
  <c r="D382" i="62"/>
  <c r="S382" i="62"/>
  <c r="D374" i="62"/>
  <c r="S374" i="62"/>
  <c r="D366" i="62"/>
  <c r="S366" i="62"/>
  <c r="S353" i="62"/>
  <c r="D353" i="62"/>
  <c r="S345" i="62"/>
  <c r="D345" i="62"/>
  <c r="D336" i="62"/>
  <c r="S336" i="62"/>
  <c r="D328" i="62"/>
  <c r="S328" i="62"/>
  <c r="D320" i="62"/>
  <c r="S320" i="62"/>
  <c r="D312" i="62"/>
  <c r="S312" i="62"/>
  <c r="D304" i="62"/>
  <c r="S304" i="62"/>
  <c r="D296" i="62"/>
  <c r="S296" i="62"/>
  <c r="D288" i="62"/>
  <c r="S288" i="62"/>
  <c r="D280" i="62"/>
  <c r="S280" i="62"/>
  <c r="D272" i="62"/>
  <c r="S272" i="62"/>
  <c r="D264" i="62"/>
  <c r="S264" i="62"/>
  <c r="D256" i="62"/>
  <c r="S256" i="62"/>
  <c r="D248" i="62"/>
  <c r="S248" i="62"/>
  <c r="D240" i="62"/>
  <c r="S240" i="62"/>
  <c r="D232" i="62"/>
  <c r="S232" i="62"/>
  <c r="S224" i="62"/>
  <c r="D224" i="62"/>
  <c r="S216" i="62"/>
  <c r="D216" i="62"/>
  <c r="S200" i="62"/>
  <c r="D200" i="62"/>
  <c r="AA200" i="62" s="1"/>
  <c r="D192" i="62"/>
  <c r="AA192" i="62" s="1"/>
  <c r="S192" i="62"/>
  <c r="S184" i="62"/>
  <c r="D184" i="62"/>
  <c r="AA184" i="62" s="1"/>
  <c r="D175" i="62"/>
  <c r="S175" i="62"/>
  <c r="S162" i="62"/>
  <c r="D162" i="62"/>
  <c r="D154" i="62"/>
  <c r="S154" i="62"/>
  <c r="S146" i="62"/>
  <c r="D146" i="62"/>
  <c r="S138" i="62"/>
  <c r="D138" i="62"/>
  <c r="D129" i="62"/>
  <c r="S129" i="62"/>
  <c r="D121" i="62"/>
  <c r="S121" i="62"/>
  <c r="S112" i="62"/>
  <c r="D112" i="62"/>
  <c r="D104" i="62"/>
  <c r="S104" i="62"/>
  <c r="S96" i="62"/>
  <c r="D96" i="62"/>
  <c r="S88" i="62"/>
  <c r="D88" i="62"/>
  <c r="S80" i="62"/>
  <c r="D80" i="62"/>
  <c r="D70" i="62"/>
  <c r="S70" i="62"/>
  <c r="D62" i="62"/>
  <c r="S62" i="62"/>
  <c r="D45" i="62"/>
  <c r="S45" i="62"/>
  <c r="S36" i="62"/>
  <c r="D36" i="62"/>
  <c r="S28" i="62"/>
  <c r="D28" i="62"/>
  <c r="S18" i="62"/>
  <c r="D18" i="62"/>
  <c r="Y169" i="62"/>
  <c r="X417" i="62"/>
  <c r="F417" i="62"/>
  <c r="W417" i="62"/>
  <c r="B651" i="62"/>
  <c r="E592" i="55"/>
  <c r="E592" i="57"/>
  <c r="Y592" i="57"/>
  <c r="E536" i="55"/>
  <c r="E536" i="57"/>
  <c r="Y536" i="57"/>
  <c r="E479" i="55"/>
  <c r="Y479" i="57"/>
  <c r="E479" i="57"/>
  <c r="E413" i="55"/>
  <c r="E413" i="57"/>
  <c r="Y413" i="57"/>
  <c r="E351" i="55"/>
  <c r="Y351" i="57"/>
  <c r="E351" i="57"/>
  <c r="E294" i="55"/>
  <c r="E294" i="57"/>
  <c r="Y294" i="57"/>
  <c r="E246" i="55"/>
  <c r="Y246" i="57"/>
  <c r="E246" i="57"/>
  <c r="Y141" i="57"/>
  <c r="E141" i="57"/>
  <c r="D49" i="57"/>
  <c r="AA49" i="57" s="1"/>
  <c r="S49" i="57"/>
  <c r="S570" i="55"/>
  <c r="S570" i="57"/>
  <c r="D570" i="57"/>
  <c r="S514" i="55"/>
  <c r="S514" i="57"/>
  <c r="D514" i="57"/>
  <c r="S473" i="55"/>
  <c r="S473" i="57"/>
  <c r="D473" i="57"/>
  <c r="S419" i="55"/>
  <c r="D419" i="57"/>
  <c r="S419" i="57"/>
  <c r="S348" i="55"/>
  <c r="D348" i="57"/>
  <c r="S348" i="57"/>
  <c r="S307" i="55"/>
  <c r="S307" i="57"/>
  <c r="D307" i="57"/>
  <c r="S259" i="55"/>
  <c r="D259" i="57"/>
  <c r="S259" i="57"/>
  <c r="D187" i="57"/>
  <c r="AA187" i="57" s="1"/>
  <c r="S187" i="57"/>
  <c r="D141" i="57"/>
  <c r="AA141" i="57" s="1"/>
  <c r="S141" i="57"/>
  <c r="D99" i="57"/>
  <c r="AA99" i="57" s="1"/>
  <c r="S99" i="57"/>
  <c r="S31" i="57"/>
  <c r="D31" i="57"/>
  <c r="X380" i="57"/>
  <c r="F380" i="57"/>
  <c r="W380" i="57"/>
  <c r="E639" i="55"/>
  <c r="Y639" i="57"/>
  <c r="E639" i="57"/>
  <c r="E625" i="55"/>
  <c r="E625" i="57"/>
  <c r="Y625" i="57"/>
  <c r="E607" i="55"/>
  <c r="Y607" i="57"/>
  <c r="E607" i="57"/>
  <c r="E591" i="55"/>
  <c r="Y591" i="57"/>
  <c r="E591" i="57"/>
  <c r="E575" i="55"/>
  <c r="Y575" i="57"/>
  <c r="E575" i="57"/>
  <c r="E559" i="55"/>
  <c r="Y559" i="57"/>
  <c r="E559" i="57"/>
  <c r="E543" i="55"/>
  <c r="Y543" i="57"/>
  <c r="E543" i="57"/>
  <c r="E527" i="55"/>
  <c r="Y527" i="57"/>
  <c r="E527" i="57"/>
  <c r="E511" i="55"/>
  <c r="Y511" i="57"/>
  <c r="E511" i="57"/>
  <c r="E494" i="55"/>
  <c r="E494" i="57"/>
  <c r="Y494" i="57"/>
  <c r="E478" i="55"/>
  <c r="E478" i="57"/>
  <c r="Y478" i="57"/>
  <c r="E462" i="55"/>
  <c r="E462" i="57"/>
  <c r="Y462" i="57"/>
  <c r="E440" i="55"/>
  <c r="Y440" i="57"/>
  <c r="E440" i="57"/>
  <c r="E424" i="55"/>
  <c r="E424" i="57"/>
  <c r="Y424" i="57"/>
  <c r="E404" i="55"/>
  <c r="Y404" i="57"/>
  <c r="E404" i="57"/>
  <c r="E388" i="55"/>
  <c r="Y388" i="57"/>
  <c r="E388" i="57"/>
  <c r="E371" i="55"/>
  <c r="E371" i="57"/>
  <c r="Y371" i="57"/>
  <c r="E350" i="55"/>
  <c r="E350" i="57"/>
  <c r="Y350" i="57"/>
  <c r="E333" i="55"/>
  <c r="E333" i="57"/>
  <c r="Y333" i="57"/>
  <c r="E317" i="55"/>
  <c r="E317" i="57"/>
  <c r="Y317" i="57"/>
  <c r="E301" i="55"/>
  <c r="E301" i="57"/>
  <c r="Y301" i="57"/>
  <c r="E285" i="55"/>
  <c r="E285" i="57"/>
  <c r="Y285" i="57"/>
  <c r="E269" i="55"/>
  <c r="E269" i="57"/>
  <c r="Y269" i="57"/>
  <c r="E253" i="55"/>
  <c r="E253" i="57"/>
  <c r="Y253" i="57"/>
  <c r="E237" i="55"/>
  <c r="E237" i="57"/>
  <c r="Y237" i="57"/>
  <c r="E221" i="55"/>
  <c r="E221" i="57"/>
  <c r="Y221" i="57"/>
  <c r="E197" i="57"/>
  <c r="Y197" i="57"/>
  <c r="E178" i="57"/>
  <c r="Y178" i="57"/>
  <c r="E156" i="57"/>
  <c r="Y156" i="57"/>
  <c r="E140" i="57"/>
  <c r="Y140" i="57"/>
  <c r="E123" i="57"/>
  <c r="Y123" i="57"/>
  <c r="E106" i="57"/>
  <c r="Y106" i="57"/>
  <c r="E90" i="57"/>
  <c r="Y90" i="57"/>
  <c r="E74" i="57"/>
  <c r="Y74" i="57"/>
  <c r="E47" i="57"/>
  <c r="Y47" i="57"/>
  <c r="Y30" i="57"/>
  <c r="E30" i="57"/>
  <c r="E20" i="57"/>
  <c r="Y20" i="57"/>
  <c r="E185" i="57"/>
  <c r="Y185" i="57"/>
  <c r="S633" i="55"/>
  <c r="S633" i="57"/>
  <c r="D633" i="57"/>
  <c r="S617" i="55"/>
  <c r="S617" i="57"/>
  <c r="D617" i="57"/>
  <c r="S601" i="55"/>
  <c r="S601" i="57"/>
  <c r="D601" i="57"/>
  <c r="S585" i="55"/>
  <c r="S585" i="57"/>
  <c r="D585" i="57"/>
  <c r="S569" i="55"/>
  <c r="S569" i="57"/>
  <c r="D569" i="57"/>
  <c r="S561" i="55"/>
  <c r="S561" i="57"/>
  <c r="D561" i="57"/>
  <c r="S553" i="55"/>
  <c r="S553" i="57"/>
  <c r="D553" i="57"/>
  <c r="S537" i="55"/>
  <c r="S537" i="57"/>
  <c r="D537" i="57"/>
  <c r="S529" i="55"/>
  <c r="S529" i="57"/>
  <c r="D529" i="57"/>
  <c r="S521" i="55"/>
  <c r="S521" i="57"/>
  <c r="D521" i="57"/>
  <c r="S513" i="55"/>
  <c r="S513" i="57"/>
  <c r="D513" i="57"/>
  <c r="S505" i="55"/>
  <c r="S505" i="57"/>
  <c r="D505" i="57"/>
  <c r="S497" i="55"/>
  <c r="S497" i="57"/>
  <c r="D497" i="57"/>
  <c r="S488" i="55"/>
  <c r="S488" i="57"/>
  <c r="D488" i="57"/>
  <c r="S480" i="55"/>
  <c r="S480" i="57"/>
  <c r="D480" i="57"/>
  <c r="S472" i="55"/>
  <c r="S472" i="57"/>
  <c r="D472" i="57"/>
  <c r="S464" i="55"/>
  <c r="S464" i="57"/>
  <c r="D464" i="57"/>
  <c r="S456" i="55"/>
  <c r="S456" i="57"/>
  <c r="D456" i="57"/>
  <c r="S442" i="55"/>
  <c r="D442" i="57"/>
  <c r="S442" i="57"/>
  <c r="S434" i="55"/>
  <c r="S434" i="57"/>
  <c r="D434" i="57"/>
  <c r="S426" i="55"/>
  <c r="D426" i="57"/>
  <c r="S426" i="57"/>
  <c r="S418" i="55"/>
  <c r="S418" i="57"/>
  <c r="D418" i="57"/>
  <c r="S408" i="55"/>
  <c r="D408" i="57"/>
  <c r="S408" i="57"/>
  <c r="S400" i="55"/>
  <c r="D400" i="57"/>
  <c r="S400" i="57"/>
  <c r="S392" i="55"/>
  <c r="D392" i="57"/>
  <c r="S392" i="57"/>
  <c r="S384" i="55"/>
  <c r="D384" i="57"/>
  <c r="S384" i="57"/>
  <c r="S376" i="55"/>
  <c r="S376" i="57"/>
  <c r="D376" i="57"/>
  <c r="S368" i="55"/>
  <c r="S368" i="57"/>
  <c r="D368" i="57"/>
  <c r="S360" i="55"/>
  <c r="S360" i="57"/>
  <c r="D360" i="57"/>
  <c r="S347" i="55"/>
  <c r="D347" i="57"/>
  <c r="S347" i="57"/>
  <c r="S338" i="55"/>
  <c r="S338" i="57"/>
  <c r="D338" i="57"/>
  <c r="S330" i="55"/>
  <c r="S330" i="57"/>
  <c r="D330" i="57"/>
  <c r="S322" i="55"/>
  <c r="S322" i="57"/>
  <c r="D322" i="57"/>
  <c r="S314" i="55"/>
  <c r="S314" i="57"/>
  <c r="D314" i="57"/>
  <c r="S306" i="55"/>
  <c r="S306" i="57"/>
  <c r="D306" i="57"/>
  <c r="S298" i="55"/>
  <c r="S298" i="57"/>
  <c r="D298" i="57"/>
  <c r="S290" i="55"/>
  <c r="S290" i="57"/>
  <c r="D290" i="57"/>
  <c r="S282" i="55"/>
  <c r="S282" i="57"/>
  <c r="D282" i="57"/>
  <c r="S274" i="55"/>
  <c r="S274" i="57"/>
  <c r="D274" i="57"/>
  <c r="S266" i="55"/>
  <c r="S266" i="57"/>
  <c r="D266" i="57"/>
  <c r="S258" i="55"/>
  <c r="D258" i="57"/>
  <c r="S258" i="57"/>
  <c r="S250" i="55"/>
  <c r="D250" i="57"/>
  <c r="S250" i="57"/>
  <c r="S242" i="55"/>
  <c r="D242" i="57"/>
  <c r="S242" i="57"/>
  <c r="S234" i="55"/>
  <c r="D234" i="57"/>
  <c r="S234" i="57"/>
  <c r="S226" i="55"/>
  <c r="D226" i="57"/>
  <c r="S226" i="57"/>
  <c r="S218" i="55"/>
  <c r="D218" i="57"/>
  <c r="S218" i="57"/>
  <c r="S210" i="55"/>
  <c r="D210" i="57"/>
  <c r="S210" i="57"/>
  <c r="D194" i="57"/>
  <c r="AA194" i="57" s="1"/>
  <c r="S194" i="57"/>
  <c r="D186" i="57"/>
  <c r="AA186" i="57" s="1"/>
  <c r="S186" i="57"/>
  <c r="D178" i="57"/>
  <c r="AA178" i="57" s="1"/>
  <c r="S178" i="57"/>
  <c r="D167" i="57"/>
  <c r="AA167" i="57" s="1"/>
  <c r="S167" i="57"/>
  <c r="D156" i="57"/>
  <c r="AA156" i="57" s="1"/>
  <c r="S156" i="57"/>
  <c r="D148" i="57"/>
  <c r="AA148" i="57" s="1"/>
  <c r="S148" i="57"/>
  <c r="D140" i="57"/>
  <c r="AA140" i="57" s="1"/>
  <c r="S140" i="57"/>
  <c r="D131" i="57"/>
  <c r="AA131" i="57" s="1"/>
  <c r="S131" i="57"/>
  <c r="D123" i="57"/>
  <c r="AA123" i="57" s="1"/>
  <c r="S123" i="57"/>
  <c r="D115" i="57"/>
  <c r="AA115" i="57" s="1"/>
  <c r="S115" i="57"/>
  <c r="D106" i="57"/>
  <c r="AA106" i="57" s="1"/>
  <c r="S106" i="57"/>
  <c r="D98" i="57"/>
  <c r="AA98" i="57" s="1"/>
  <c r="S98" i="57"/>
  <c r="D90" i="57"/>
  <c r="AA90" i="57" s="1"/>
  <c r="S90" i="57"/>
  <c r="D82" i="57"/>
  <c r="AA82" i="57" s="1"/>
  <c r="S82" i="57"/>
  <c r="D74" i="57"/>
  <c r="AA74" i="57" s="1"/>
  <c r="S74" i="57"/>
  <c r="S64" i="57"/>
  <c r="D64" i="57"/>
  <c r="AA64" i="57" s="1"/>
  <c r="S47" i="57"/>
  <c r="D47" i="57"/>
  <c r="AA47" i="57" s="1"/>
  <c r="D38" i="57"/>
  <c r="S38" i="57"/>
  <c r="S30" i="57"/>
  <c r="D30" i="57"/>
  <c r="D20" i="57"/>
  <c r="S20" i="57"/>
  <c r="D168" i="57"/>
  <c r="AA168" i="57" s="1"/>
  <c r="S168" i="57"/>
  <c r="E640" i="55"/>
  <c r="E640" i="57"/>
  <c r="Y640" i="57"/>
  <c r="E584" i="55"/>
  <c r="E584" i="57"/>
  <c r="Y584" i="57"/>
  <c r="E528" i="55"/>
  <c r="E528" i="57"/>
  <c r="Y528" i="57"/>
  <c r="E471" i="55"/>
  <c r="Y471" i="57"/>
  <c r="E471" i="57"/>
  <c r="E405" i="55"/>
  <c r="E405" i="57"/>
  <c r="Y405" i="57"/>
  <c r="E326" i="55"/>
  <c r="E326" i="57"/>
  <c r="Y326" i="57"/>
  <c r="E254" i="55"/>
  <c r="Y254" i="57"/>
  <c r="E254" i="57"/>
  <c r="Y190" i="57"/>
  <c r="E190" i="57"/>
  <c r="E107" i="57"/>
  <c r="Y107" i="57"/>
  <c r="S618" i="55"/>
  <c r="S618" i="57"/>
  <c r="D618" i="57"/>
  <c r="S562" i="55"/>
  <c r="S562" i="57"/>
  <c r="D562" i="57"/>
  <c r="S506" i="55"/>
  <c r="S506" i="57"/>
  <c r="D506" i="57"/>
  <c r="S457" i="55"/>
  <c r="S457" i="57"/>
  <c r="D457" i="57"/>
  <c r="S393" i="55"/>
  <c r="D393" i="57"/>
  <c r="S393" i="57"/>
  <c r="S339" i="55"/>
  <c r="S339" i="57"/>
  <c r="D339" i="57"/>
  <c r="S291" i="55"/>
  <c r="S291" i="57"/>
  <c r="D291" i="57"/>
  <c r="S251" i="55"/>
  <c r="D251" i="57"/>
  <c r="S251" i="57"/>
  <c r="S211" i="55"/>
  <c r="D211" i="57"/>
  <c r="S211" i="57"/>
  <c r="D149" i="57"/>
  <c r="AA149" i="57" s="1"/>
  <c r="S149" i="57"/>
  <c r="D91" i="57"/>
  <c r="AA91" i="57" s="1"/>
  <c r="S91" i="57"/>
  <c r="D21" i="57"/>
  <c r="S21" i="57"/>
  <c r="E647" i="55"/>
  <c r="Y647" i="57"/>
  <c r="E647" i="57"/>
  <c r="E631" i="55"/>
  <c r="Y631" i="57"/>
  <c r="E631" i="57"/>
  <c r="E615" i="55"/>
  <c r="Y615" i="57"/>
  <c r="E615" i="57"/>
  <c r="E599" i="55"/>
  <c r="Y599" i="57"/>
  <c r="E599" i="57"/>
  <c r="E583" i="55"/>
  <c r="Y583" i="57"/>
  <c r="E583" i="57"/>
  <c r="E567" i="55"/>
  <c r="Y567" i="57"/>
  <c r="E567" i="57"/>
  <c r="E551" i="55"/>
  <c r="Y551" i="57"/>
  <c r="E551" i="57"/>
  <c r="E535" i="55"/>
  <c r="Y535" i="57"/>
  <c r="E535" i="57"/>
  <c r="E519" i="55"/>
  <c r="Y519" i="57"/>
  <c r="E519" i="57"/>
  <c r="E503" i="55"/>
  <c r="Y503" i="57"/>
  <c r="E503" i="57"/>
  <c r="E486" i="55"/>
  <c r="E486" i="57"/>
  <c r="Y486" i="57"/>
  <c r="E470" i="55"/>
  <c r="E470" i="57"/>
  <c r="Y470" i="57"/>
  <c r="E454" i="55"/>
  <c r="E454" i="57"/>
  <c r="Y454" i="57"/>
  <c r="E432" i="55"/>
  <c r="Y432" i="57"/>
  <c r="E432" i="57"/>
  <c r="E412" i="55"/>
  <c r="Y412" i="57"/>
  <c r="E412" i="57"/>
  <c r="E396" i="55"/>
  <c r="Y396" i="57"/>
  <c r="E396" i="57"/>
  <c r="E379" i="55"/>
  <c r="E379" i="57"/>
  <c r="Y379" i="57"/>
  <c r="E363" i="55"/>
  <c r="E363" i="57"/>
  <c r="Y363" i="57"/>
  <c r="E341" i="55"/>
  <c r="E341" i="57"/>
  <c r="Y341" i="57"/>
  <c r="E325" i="55"/>
  <c r="E325" i="57"/>
  <c r="Y325" i="57"/>
  <c r="E309" i="55"/>
  <c r="E309" i="57"/>
  <c r="Y309" i="57"/>
  <c r="E293" i="55"/>
  <c r="E293" i="57"/>
  <c r="Y293" i="57"/>
  <c r="E277" i="55"/>
  <c r="E277" i="57"/>
  <c r="Y277" i="57"/>
  <c r="E261" i="55"/>
  <c r="E261" i="57"/>
  <c r="Y261" i="57"/>
  <c r="E245" i="55"/>
  <c r="E245" i="57"/>
  <c r="Y245" i="57"/>
  <c r="E229" i="55"/>
  <c r="E229" i="57"/>
  <c r="Y229" i="57"/>
  <c r="E213" i="55"/>
  <c r="E213" i="57"/>
  <c r="Y213" i="57"/>
  <c r="E189" i="57"/>
  <c r="Y189" i="57"/>
  <c r="E167" i="57"/>
  <c r="Y167" i="57"/>
  <c r="E148" i="57"/>
  <c r="Y148" i="57"/>
  <c r="E131" i="57"/>
  <c r="Y131" i="57"/>
  <c r="E115" i="57"/>
  <c r="Y115" i="57"/>
  <c r="E98" i="57"/>
  <c r="Y98" i="57"/>
  <c r="E82" i="57"/>
  <c r="Y82" i="57"/>
  <c r="E64" i="57"/>
  <c r="Y64" i="57"/>
  <c r="E38" i="57"/>
  <c r="Y38" i="57"/>
  <c r="S641" i="55"/>
  <c r="S641" i="57"/>
  <c r="D641" i="57"/>
  <c r="S627" i="55"/>
  <c r="D627" i="57"/>
  <c r="S627" i="57"/>
  <c r="S609" i="55"/>
  <c r="S609" i="57"/>
  <c r="D609" i="57"/>
  <c r="S593" i="55"/>
  <c r="S593" i="57"/>
  <c r="D593" i="57"/>
  <c r="S577" i="55"/>
  <c r="S577" i="57"/>
  <c r="D577" i="57"/>
  <c r="S545" i="55"/>
  <c r="S545" i="57"/>
  <c r="D545" i="57"/>
  <c r="E646" i="55"/>
  <c r="E646" i="57"/>
  <c r="Y646" i="57"/>
  <c r="E638" i="55"/>
  <c r="E638" i="57"/>
  <c r="Y638" i="57"/>
  <c r="E630" i="55"/>
  <c r="E630" i="57"/>
  <c r="Y630" i="57"/>
  <c r="E624" i="55"/>
  <c r="E624" i="57"/>
  <c r="Y624" i="57"/>
  <c r="E614" i="55"/>
  <c r="E614" i="57"/>
  <c r="Y614" i="57"/>
  <c r="E606" i="55"/>
  <c r="E606" i="57"/>
  <c r="Y606" i="57"/>
  <c r="E598" i="55"/>
  <c r="E598" i="57"/>
  <c r="Y598" i="57"/>
  <c r="E590" i="55"/>
  <c r="E590" i="57"/>
  <c r="Y590" i="57"/>
  <c r="E582" i="55"/>
  <c r="E582" i="57"/>
  <c r="Y582" i="57"/>
  <c r="E574" i="55"/>
  <c r="E574" i="57"/>
  <c r="Y574" i="57"/>
  <c r="E566" i="55"/>
  <c r="E566" i="57"/>
  <c r="Y566" i="57"/>
  <c r="E558" i="55"/>
  <c r="E558" i="57"/>
  <c r="Y558" i="57"/>
  <c r="E550" i="55"/>
  <c r="E550" i="57"/>
  <c r="Y550" i="57"/>
  <c r="E542" i="55"/>
  <c r="E542" i="57"/>
  <c r="Y542" i="57"/>
  <c r="E534" i="55"/>
  <c r="E534" i="57"/>
  <c r="Y534" i="57"/>
  <c r="E526" i="55"/>
  <c r="E526" i="57"/>
  <c r="Y526" i="57"/>
  <c r="E518" i="55"/>
  <c r="E518" i="57"/>
  <c r="Y518" i="57"/>
  <c r="E510" i="55"/>
  <c r="E510" i="57"/>
  <c r="Y510" i="57"/>
  <c r="E502" i="55"/>
  <c r="E502" i="57"/>
  <c r="Y502" i="57"/>
  <c r="E493" i="55"/>
  <c r="E493" i="57"/>
  <c r="Y493" i="57"/>
  <c r="E485" i="55"/>
  <c r="E485" i="57"/>
  <c r="Y485" i="57"/>
  <c r="E477" i="55"/>
  <c r="E477" i="57"/>
  <c r="Y477" i="57"/>
  <c r="E469" i="55"/>
  <c r="E469" i="57"/>
  <c r="Y469" i="57"/>
  <c r="E461" i="55"/>
  <c r="E461" i="57"/>
  <c r="Y461" i="57"/>
  <c r="E453" i="55"/>
  <c r="E453" i="57"/>
  <c r="Y453" i="57"/>
  <c r="E439" i="55"/>
  <c r="Y439" i="57"/>
  <c r="E439" i="57"/>
  <c r="E431" i="55"/>
  <c r="Y431" i="57"/>
  <c r="E431" i="57"/>
  <c r="E423" i="55"/>
  <c r="E423" i="57"/>
  <c r="Y423" i="57"/>
  <c r="E411" i="55"/>
  <c r="E411" i="57"/>
  <c r="Y411" i="57"/>
  <c r="E403" i="55"/>
  <c r="E403" i="57"/>
  <c r="Y403" i="57"/>
  <c r="E395" i="55"/>
  <c r="E395" i="57"/>
  <c r="Y395" i="57"/>
  <c r="E387" i="55"/>
  <c r="E387" i="57"/>
  <c r="Y387" i="57"/>
  <c r="E378" i="55"/>
  <c r="E378" i="57"/>
  <c r="Y378" i="57"/>
  <c r="E370" i="55"/>
  <c r="E370" i="57"/>
  <c r="Y370" i="57"/>
  <c r="E362" i="55"/>
  <c r="E362" i="57"/>
  <c r="Y362" i="57"/>
  <c r="E349" i="55"/>
  <c r="E349" i="57"/>
  <c r="Y349" i="57"/>
  <c r="E340" i="55"/>
  <c r="E340" i="57"/>
  <c r="Y340" i="57"/>
  <c r="E332" i="55"/>
  <c r="E332" i="57"/>
  <c r="Y332" i="57"/>
  <c r="E324" i="55"/>
  <c r="Y324" i="57"/>
  <c r="E324" i="57"/>
  <c r="E316" i="55"/>
  <c r="Y316" i="57"/>
  <c r="E316" i="57"/>
  <c r="E308" i="55"/>
  <c r="E308" i="57"/>
  <c r="Y308" i="57"/>
  <c r="E300" i="55"/>
  <c r="E300" i="57"/>
  <c r="Y300" i="57"/>
  <c r="E292" i="55"/>
  <c r="E292" i="57"/>
  <c r="Y292" i="57"/>
  <c r="E284" i="55"/>
  <c r="E284" i="57"/>
  <c r="Y284" i="57"/>
  <c r="E276" i="55"/>
  <c r="Y276" i="57"/>
  <c r="E276" i="57"/>
  <c r="E268" i="55"/>
  <c r="E268" i="57"/>
  <c r="Y268" i="57"/>
  <c r="E260" i="55"/>
  <c r="E260" i="57"/>
  <c r="Y260" i="57"/>
  <c r="E252" i="55"/>
  <c r="E252" i="57"/>
  <c r="Y252" i="57"/>
  <c r="E244" i="55"/>
  <c r="E244" i="57"/>
  <c r="Y244" i="57"/>
  <c r="E236" i="55"/>
  <c r="E236" i="57"/>
  <c r="Y236" i="57"/>
  <c r="E228" i="55"/>
  <c r="E228" i="57"/>
  <c r="Y228" i="57"/>
  <c r="E220" i="55"/>
  <c r="E220" i="57"/>
  <c r="Y220" i="57"/>
  <c r="E212" i="55"/>
  <c r="E212" i="57"/>
  <c r="Y212" i="57"/>
  <c r="E196" i="57"/>
  <c r="Y196" i="57"/>
  <c r="E188" i="57"/>
  <c r="Y188" i="57"/>
  <c r="E177" i="57"/>
  <c r="Y177" i="57"/>
  <c r="E163" i="57"/>
  <c r="Y163" i="57"/>
  <c r="E155" i="57"/>
  <c r="Y155" i="57"/>
  <c r="E147" i="57"/>
  <c r="Y147" i="57"/>
  <c r="E139" i="57"/>
  <c r="Y139" i="57"/>
  <c r="E130" i="57"/>
  <c r="Y130" i="57"/>
  <c r="E122" i="57"/>
  <c r="Y122" i="57"/>
  <c r="E114" i="57"/>
  <c r="Y114" i="57"/>
  <c r="E105" i="57"/>
  <c r="Y105" i="57"/>
  <c r="E97" i="57"/>
  <c r="Y97" i="57"/>
  <c r="E89" i="57"/>
  <c r="Y89" i="57"/>
  <c r="E81" i="57"/>
  <c r="Y81" i="57"/>
  <c r="E73" i="57"/>
  <c r="Y73" i="57"/>
  <c r="E63" i="57"/>
  <c r="Y63" i="57"/>
  <c r="E46" i="57"/>
  <c r="Y46" i="57"/>
  <c r="Y37" i="57"/>
  <c r="E37" i="57"/>
  <c r="Y29" i="57"/>
  <c r="E29" i="57"/>
  <c r="E19" i="57"/>
  <c r="Y19" i="57"/>
  <c r="S640" i="55"/>
  <c r="D640" i="57"/>
  <c r="S640" i="57"/>
  <c r="S632" i="55"/>
  <c r="D632" i="57"/>
  <c r="S632" i="57"/>
  <c r="S626" i="55"/>
  <c r="S626" i="57"/>
  <c r="D626" i="57"/>
  <c r="S616" i="55"/>
  <c r="D616" i="57"/>
  <c r="S616" i="57"/>
  <c r="S608" i="55"/>
  <c r="D608" i="57"/>
  <c r="S608" i="57"/>
  <c r="S600" i="55"/>
  <c r="D600" i="57"/>
  <c r="S600" i="57"/>
  <c r="S592" i="55"/>
  <c r="D592" i="57"/>
  <c r="S592" i="57"/>
  <c r="S584" i="55"/>
  <c r="D584" i="57"/>
  <c r="S584" i="57"/>
  <c r="S576" i="55"/>
  <c r="D576" i="57"/>
  <c r="S576" i="57"/>
  <c r="S568" i="55"/>
  <c r="D568" i="57"/>
  <c r="S568" i="57"/>
  <c r="S560" i="55"/>
  <c r="D560" i="57"/>
  <c r="S560" i="57"/>
  <c r="S552" i="55"/>
  <c r="D552" i="57"/>
  <c r="S552" i="57"/>
  <c r="S544" i="55"/>
  <c r="D544" i="57"/>
  <c r="S544" i="57"/>
  <c r="S536" i="55"/>
  <c r="D536" i="57"/>
  <c r="S536" i="57"/>
  <c r="S528" i="55"/>
  <c r="D528" i="57"/>
  <c r="S528" i="57"/>
  <c r="S520" i="55"/>
  <c r="D520" i="57"/>
  <c r="S520" i="57"/>
  <c r="S512" i="55"/>
  <c r="S512" i="57"/>
  <c r="D512" i="57"/>
  <c r="S504" i="55"/>
  <c r="S504" i="57"/>
  <c r="D504" i="57"/>
  <c r="S496" i="55"/>
  <c r="S496" i="57"/>
  <c r="D496" i="57"/>
  <c r="S487" i="55"/>
  <c r="D487" i="57"/>
  <c r="S487" i="57"/>
  <c r="S479" i="55"/>
  <c r="D479" i="57"/>
  <c r="S479" i="57"/>
  <c r="S471" i="55"/>
  <c r="D471" i="57"/>
  <c r="S471" i="57"/>
  <c r="S463" i="55"/>
  <c r="D463" i="57"/>
  <c r="S463" i="57"/>
  <c r="S455" i="55"/>
  <c r="D455" i="57"/>
  <c r="S455" i="57"/>
  <c r="S441" i="55"/>
  <c r="S441" i="57"/>
  <c r="D441" i="57"/>
  <c r="S433" i="55"/>
  <c r="D433" i="57"/>
  <c r="S433" i="57"/>
  <c r="S425" i="55"/>
  <c r="S425" i="57"/>
  <c r="D425" i="57"/>
  <c r="S417" i="55"/>
  <c r="D417" i="57"/>
  <c r="S417" i="57"/>
  <c r="S407" i="55"/>
  <c r="D407" i="57"/>
  <c r="S407" i="57"/>
  <c r="S399" i="55"/>
  <c r="D399" i="57"/>
  <c r="S399" i="57"/>
  <c r="S391" i="55"/>
  <c r="D391" i="57"/>
  <c r="S391" i="57"/>
  <c r="S383" i="55"/>
  <c r="D383" i="57"/>
  <c r="S383" i="57"/>
  <c r="S375" i="55"/>
  <c r="S375" i="57"/>
  <c r="D375" i="57"/>
  <c r="S367" i="55"/>
  <c r="S367" i="57"/>
  <c r="D367" i="57"/>
  <c r="S359" i="55"/>
  <c r="D359" i="57"/>
  <c r="S359" i="57"/>
  <c r="S346" i="55"/>
  <c r="D346" i="57"/>
  <c r="S346" i="57"/>
  <c r="S337" i="55"/>
  <c r="D337" i="57"/>
  <c r="S337" i="57"/>
  <c r="S329" i="55"/>
  <c r="D329" i="57"/>
  <c r="S329" i="57"/>
  <c r="S321" i="55"/>
  <c r="D321" i="57"/>
  <c r="S321" i="57"/>
  <c r="S313" i="55"/>
  <c r="D313" i="57"/>
  <c r="S313" i="57"/>
  <c r="S305" i="55"/>
  <c r="D305" i="57"/>
  <c r="S305" i="57"/>
  <c r="S297" i="55"/>
  <c r="D297" i="57"/>
  <c r="S297" i="57"/>
  <c r="S289" i="55"/>
  <c r="D289" i="57"/>
  <c r="S289" i="57"/>
  <c r="S281" i="55"/>
  <c r="D281" i="57"/>
  <c r="S281" i="57"/>
  <c r="S273" i="55"/>
  <c r="D273" i="57"/>
  <c r="S273" i="57"/>
  <c r="S265" i="55"/>
  <c r="D265" i="57"/>
  <c r="S265" i="57"/>
  <c r="S257" i="55"/>
  <c r="S257" i="57"/>
  <c r="D257" i="57"/>
  <c r="S249" i="55"/>
  <c r="S249" i="57"/>
  <c r="D249" i="57"/>
  <c r="S241" i="55"/>
  <c r="S241" i="57"/>
  <c r="D241" i="57"/>
  <c r="S233" i="55"/>
  <c r="S233" i="57"/>
  <c r="D233" i="57"/>
  <c r="S225" i="55"/>
  <c r="S225" i="57"/>
  <c r="D225" i="57"/>
  <c r="S217" i="55"/>
  <c r="S217" i="57"/>
  <c r="D217" i="57"/>
  <c r="S209" i="55"/>
  <c r="S209" i="57"/>
  <c r="D209" i="57"/>
  <c r="S193" i="57"/>
  <c r="D193" i="57"/>
  <c r="AA193" i="57" s="1"/>
  <c r="S185" i="57"/>
  <c r="D185" i="57"/>
  <c r="AA185" i="57" s="1"/>
  <c r="S177" i="57"/>
  <c r="D177" i="57"/>
  <c r="AA177" i="57" s="1"/>
  <c r="D163" i="57"/>
  <c r="AA163" i="57" s="1"/>
  <c r="S163" i="57"/>
  <c r="D155" i="57"/>
  <c r="AA155" i="57" s="1"/>
  <c r="S155" i="57"/>
  <c r="D147" i="57"/>
  <c r="AA147" i="57" s="1"/>
  <c r="S147" i="57"/>
  <c r="D139" i="57"/>
  <c r="AA139" i="57" s="1"/>
  <c r="S139" i="57"/>
  <c r="D130" i="57"/>
  <c r="AA130" i="57" s="1"/>
  <c r="S130" i="57"/>
  <c r="D122" i="57"/>
  <c r="AA122" i="57" s="1"/>
  <c r="S122" i="57"/>
  <c r="D114" i="57"/>
  <c r="AA114" i="57" s="1"/>
  <c r="S114" i="57"/>
  <c r="D105" i="57"/>
  <c r="AA105" i="57" s="1"/>
  <c r="S105" i="57"/>
  <c r="D97" i="57"/>
  <c r="AA97" i="57" s="1"/>
  <c r="S97" i="57"/>
  <c r="D89" i="57"/>
  <c r="AA89" i="57" s="1"/>
  <c r="S89" i="57"/>
  <c r="D81" i="57"/>
  <c r="AA81" i="57" s="1"/>
  <c r="S81" i="57"/>
  <c r="D73" i="57"/>
  <c r="AA73" i="57" s="1"/>
  <c r="S73" i="57"/>
  <c r="S63" i="57"/>
  <c r="D63" i="57"/>
  <c r="AA63" i="57" s="1"/>
  <c r="S46" i="57"/>
  <c r="D46" i="57"/>
  <c r="AA46" i="57" s="1"/>
  <c r="D37" i="57"/>
  <c r="S37" i="57"/>
  <c r="D29" i="57"/>
  <c r="S29" i="57"/>
  <c r="D19" i="57"/>
  <c r="S19" i="57"/>
  <c r="E608" i="55"/>
  <c r="E608" i="57"/>
  <c r="Y608" i="57"/>
  <c r="E560" i="55"/>
  <c r="E560" i="57"/>
  <c r="Y560" i="57"/>
  <c r="E504" i="55"/>
  <c r="E504" i="57"/>
  <c r="Y504" i="57"/>
  <c r="E433" i="55"/>
  <c r="Y433" i="57"/>
  <c r="E433" i="57"/>
  <c r="E372" i="55"/>
  <c r="Y372" i="57"/>
  <c r="E372" i="57"/>
  <c r="E310" i="55"/>
  <c r="E310" i="57"/>
  <c r="Y310" i="57"/>
  <c r="E262" i="55"/>
  <c r="E262" i="57"/>
  <c r="Y262" i="57"/>
  <c r="E214" i="55"/>
  <c r="Y214" i="57"/>
  <c r="E214" i="57"/>
  <c r="Y157" i="57"/>
  <c r="E157" i="57"/>
  <c r="E116" i="57"/>
  <c r="Y116" i="57"/>
  <c r="E83" i="57"/>
  <c r="Y83" i="57"/>
  <c r="E48" i="57"/>
  <c r="Y48" i="57"/>
  <c r="Y21" i="57"/>
  <c r="E21" i="57"/>
  <c r="E186" i="57"/>
  <c r="Y186" i="57"/>
  <c r="S586" i="55"/>
  <c r="S586" i="57"/>
  <c r="D586" i="57"/>
  <c r="S538" i="55"/>
  <c r="S538" i="57"/>
  <c r="D538" i="57"/>
  <c r="S481" i="55"/>
  <c r="S481" i="57"/>
  <c r="D481" i="57"/>
  <c r="S427" i="55"/>
  <c r="D427" i="57"/>
  <c r="S427" i="57"/>
  <c r="S377" i="55"/>
  <c r="S377" i="57"/>
  <c r="D377" i="57"/>
  <c r="S315" i="55"/>
  <c r="S315" i="57"/>
  <c r="D315" i="57"/>
  <c r="S267" i="55"/>
  <c r="S267" i="57"/>
  <c r="D267" i="57"/>
  <c r="S219" i="55"/>
  <c r="D219" i="57"/>
  <c r="S219" i="57"/>
  <c r="D170" i="57"/>
  <c r="AA170" i="57" s="1"/>
  <c r="S170" i="57"/>
  <c r="D107" i="57"/>
  <c r="AA107" i="57" s="1"/>
  <c r="S107" i="57"/>
  <c r="S48" i="57"/>
  <c r="D48" i="57"/>
  <c r="AA48" i="57" s="1"/>
  <c r="X418" i="57"/>
  <c r="F418" i="57"/>
  <c r="W418" i="57"/>
  <c r="E629" i="55"/>
  <c r="E629" i="57"/>
  <c r="Y629" i="57"/>
  <c r="E597" i="55"/>
  <c r="E597" i="57"/>
  <c r="Y597" i="57"/>
  <c r="E565" i="55"/>
  <c r="E565" i="57"/>
  <c r="Y565" i="57"/>
  <c r="E533" i="55"/>
  <c r="E533" i="57"/>
  <c r="Y533" i="57"/>
  <c r="E501" i="55"/>
  <c r="E501" i="57"/>
  <c r="Y501" i="57"/>
  <c r="E438" i="55"/>
  <c r="Y438" i="57"/>
  <c r="E438" i="57"/>
  <c r="E402" i="55"/>
  <c r="E402" i="57"/>
  <c r="Y402" i="57"/>
  <c r="E369" i="55"/>
  <c r="E369" i="57"/>
  <c r="Y369" i="57"/>
  <c r="E331" i="55"/>
  <c r="E331" i="57"/>
  <c r="Y331" i="57"/>
  <c r="E299" i="55"/>
  <c r="Y299" i="57"/>
  <c r="E299" i="57"/>
  <c r="E267" i="55"/>
  <c r="Y267" i="57"/>
  <c r="E267" i="57"/>
  <c r="E243" i="55"/>
  <c r="E243" i="57"/>
  <c r="Y243" i="57"/>
  <c r="E211" i="55"/>
  <c r="E211" i="57"/>
  <c r="Y211" i="57"/>
  <c r="E184" i="57"/>
  <c r="Y184" i="57"/>
  <c r="E138" i="57"/>
  <c r="Y138" i="57"/>
  <c r="E112" i="57"/>
  <c r="Y112" i="57"/>
  <c r="E88" i="57"/>
  <c r="Y88" i="57"/>
  <c r="Y45" i="57"/>
  <c r="E45" i="57"/>
  <c r="S639" i="55"/>
  <c r="D639" i="57"/>
  <c r="S639" i="57"/>
  <c r="S607" i="55"/>
  <c r="D607" i="57"/>
  <c r="S607" i="57"/>
  <c r="S575" i="55"/>
  <c r="D575" i="57"/>
  <c r="S575" i="57"/>
  <c r="S543" i="55"/>
  <c r="D543" i="57"/>
  <c r="S543" i="57"/>
  <c r="S511" i="55"/>
  <c r="D511" i="57"/>
  <c r="S511" i="57"/>
  <c r="S494" i="55"/>
  <c r="D494" i="57"/>
  <c r="S494" i="57"/>
  <c r="S462" i="55"/>
  <c r="D462" i="57"/>
  <c r="S462" i="57"/>
  <c r="S440" i="55"/>
  <c r="S440" i="57"/>
  <c r="D440" i="57"/>
  <c r="S424" i="55"/>
  <c r="S424" i="57"/>
  <c r="D424" i="57"/>
  <c r="S406" i="55"/>
  <c r="S406" i="57"/>
  <c r="D406" i="57"/>
  <c r="S390" i="55"/>
  <c r="S390" i="57"/>
  <c r="D390" i="57"/>
  <c r="S374" i="55"/>
  <c r="S374" i="57"/>
  <c r="D374" i="57"/>
  <c r="S353" i="57"/>
  <c r="D353" i="57"/>
  <c r="S336" i="55"/>
  <c r="D336" i="57"/>
  <c r="S336" i="57"/>
  <c r="S320" i="55"/>
  <c r="D320" i="57"/>
  <c r="S320" i="57"/>
  <c r="S304" i="55"/>
  <c r="D304" i="57"/>
  <c r="S304" i="57"/>
  <c r="S288" i="55"/>
  <c r="D288" i="57"/>
  <c r="S288" i="57"/>
  <c r="S272" i="55"/>
  <c r="D272" i="57"/>
  <c r="S272" i="57"/>
  <c r="S256" i="55"/>
  <c r="S256" i="57"/>
  <c r="D256" i="57"/>
  <c r="S248" i="55"/>
  <c r="S248" i="57"/>
  <c r="D248" i="57"/>
  <c r="S240" i="55"/>
  <c r="S240" i="57"/>
  <c r="D240" i="57"/>
  <c r="S224" i="55"/>
  <c r="S224" i="57"/>
  <c r="D224" i="57"/>
  <c r="S216" i="55"/>
  <c r="S216" i="57"/>
  <c r="D216" i="57"/>
  <c r="S200" i="55"/>
  <c r="S200" i="57"/>
  <c r="D200" i="57"/>
  <c r="AA200" i="57" s="1"/>
  <c r="S192" i="57"/>
  <c r="D192" i="57"/>
  <c r="AA192" i="57" s="1"/>
  <c r="S184" i="57"/>
  <c r="D184" i="57"/>
  <c r="AA184" i="57" s="1"/>
  <c r="D175" i="57"/>
  <c r="AA175" i="57" s="1"/>
  <c r="S175" i="57"/>
  <c r="D162" i="57"/>
  <c r="AA162" i="57" s="1"/>
  <c r="S162" i="57"/>
  <c r="D154" i="57"/>
  <c r="AA154" i="57" s="1"/>
  <c r="S154" i="57"/>
  <c r="D146" i="57"/>
  <c r="AA146" i="57" s="1"/>
  <c r="S146" i="57"/>
  <c r="D138" i="57"/>
  <c r="AA138" i="57" s="1"/>
  <c r="S138" i="57"/>
  <c r="D129" i="57"/>
  <c r="AA129" i="57" s="1"/>
  <c r="S129" i="57"/>
  <c r="D121" i="57"/>
  <c r="AA121" i="57" s="1"/>
  <c r="S121" i="57"/>
  <c r="S112" i="57"/>
  <c r="D112" i="57"/>
  <c r="AA112" i="57" s="1"/>
  <c r="S104" i="57"/>
  <c r="D104" i="57"/>
  <c r="AA104" i="57" s="1"/>
  <c r="S96" i="57"/>
  <c r="D96" i="57"/>
  <c r="AA96" i="57" s="1"/>
  <c r="S88" i="57"/>
  <c r="D88" i="57"/>
  <c r="AA88" i="57" s="1"/>
  <c r="S80" i="57"/>
  <c r="D80" i="57"/>
  <c r="AA80" i="57" s="1"/>
  <c r="S70" i="57"/>
  <c r="D70" i="57"/>
  <c r="AA70" i="57" s="1"/>
  <c r="S62" i="57"/>
  <c r="D62" i="57"/>
  <c r="AA62" i="57" s="1"/>
  <c r="D45" i="57"/>
  <c r="AA45" i="57" s="1"/>
  <c r="S45" i="57"/>
  <c r="D36" i="57"/>
  <c r="S36" i="57"/>
  <c r="D28" i="57"/>
  <c r="S28" i="57"/>
  <c r="D18" i="57"/>
  <c r="S18" i="57"/>
  <c r="Y169" i="57"/>
  <c r="X417" i="57"/>
  <c r="F417" i="57"/>
  <c r="W417" i="57"/>
  <c r="E626" i="55"/>
  <c r="E626" i="57"/>
  <c r="Y626" i="57"/>
  <c r="E568" i="55"/>
  <c r="E568" i="57"/>
  <c r="Y568" i="57"/>
  <c r="E512" i="55"/>
  <c r="E512" i="57"/>
  <c r="Y512" i="57"/>
  <c r="E455" i="55"/>
  <c r="Y455" i="57"/>
  <c r="E455" i="57"/>
  <c r="E389" i="55"/>
  <c r="Y389" i="57"/>
  <c r="E389" i="57"/>
  <c r="E334" i="55"/>
  <c r="E334" i="57"/>
  <c r="Y334" i="57"/>
  <c r="E278" i="55"/>
  <c r="E278" i="57"/>
  <c r="Y278" i="57"/>
  <c r="E222" i="55"/>
  <c r="Y222" i="57"/>
  <c r="E222" i="57"/>
  <c r="E179" i="57"/>
  <c r="Y179" i="57"/>
  <c r="E132" i="57"/>
  <c r="Y132" i="57"/>
  <c r="E99" i="57"/>
  <c r="Y99" i="57"/>
  <c r="E75" i="57"/>
  <c r="Y75" i="57"/>
  <c r="E31" i="57"/>
  <c r="Y31" i="57"/>
  <c r="S602" i="55"/>
  <c r="S602" i="57"/>
  <c r="D602" i="57"/>
  <c r="S546" i="55"/>
  <c r="S546" i="57"/>
  <c r="D546" i="57"/>
  <c r="S401" i="55"/>
  <c r="D401" i="57"/>
  <c r="S401" i="57"/>
  <c r="E623" i="55"/>
  <c r="Y623" i="57"/>
  <c r="E623" i="57"/>
  <c r="E589" i="55"/>
  <c r="E589" i="57"/>
  <c r="Y589" i="57"/>
  <c r="E557" i="55"/>
  <c r="E557" i="57"/>
  <c r="Y557" i="57"/>
  <c r="E525" i="55"/>
  <c r="E525" i="57"/>
  <c r="Y525" i="57"/>
  <c r="E492" i="55"/>
  <c r="E492" i="57"/>
  <c r="Y492" i="57"/>
  <c r="E460" i="55"/>
  <c r="E460" i="57"/>
  <c r="Y460" i="57"/>
  <c r="E430" i="55"/>
  <c r="E430" i="57"/>
  <c r="Y430" i="57"/>
  <c r="E394" i="55"/>
  <c r="E394" i="57"/>
  <c r="Y394" i="57"/>
  <c r="E361" i="55"/>
  <c r="E361" i="57"/>
  <c r="Y361" i="57"/>
  <c r="E323" i="55"/>
  <c r="E323" i="57"/>
  <c r="Y323" i="57"/>
  <c r="E291" i="55"/>
  <c r="Y291" i="57"/>
  <c r="E291" i="57"/>
  <c r="E259" i="55"/>
  <c r="E259" i="57"/>
  <c r="Y259" i="57"/>
  <c r="E227" i="55"/>
  <c r="E227" i="57"/>
  <c r="Y227" i="57"/>
  <c r="E154" i="57"/>
  <c r="Y154" i="57"/>
  <c r="S647" i="55"/>
  <c r="D647" i="57"/>
  <c r="S647" i="57"/>
  <c r="S625" i="55"/>
  <c r="S625" i="57"/>
  <c r="D625" i="57"/>
  <c r="S583" i="55"/>
  <c r="D583" i="57"/>
  <c r="S583" i="57"/>
  <c r="S551" i="55"/>
  <c r="D551" i="57"/>
  <c r="S551" i="57"/>
  <c r="S519" i="55"/>
  <c r="D519" i="57"/>
  <c r="S519" i="57"/>
  <c r="S503" i="55"/>
  <c r="D503" i="57"/>
  <c r="S503" i="57"/>
  <c r="S486" i="55"/>
  <c r="D486" i="57"/>
  <c r="S486" i="57"/>
  <c r="S454" i="55"/>
  <c r="D454" i="57"/>
  <c r="S454" i="57"/>
  <c r="S432" i="55"/>
  <c r="S432" i="57"/>
  <c r="D432" i="57"/>
  <c r="S414" i="55"/>
  <c r="S414" i="57"/>
  <c r="D414" i="57"/>
  <c r="S398" i="55"/>
  <c r="S398" i="57"/>
  <c r="D398" i="57"/>
  <c r="S382" i="55"/>
  <c r="S382" i="57"/>
  <c r="D382" i="57"/>
  <c r="S366" i="55"/>
  <c r="S366" i="57"/>
  <c r="D366" i="57"/>
  <c r="S345" i="55"/>
  <c r="S345" i="57"/>
  <c r="D345" i="57"/>
  <c r="S328" i="55"/>
  <c r="D328" i="57"/>
  <c r="S328" i="57"/>
  <c r="S312" i="55"/>
  <c r="D312" i="57"/>
  <c r="S312" i="57"/>
  <c r="S296" i="55"/>
  <c r="D296" i="57"/>
  <c r="S296" i="57"/>
  <c r="S280" i="55"/>
  <c r="D280" i="57"/>
  <c r="S280" i="57"/>
  <c r="S264" i="55"/>
  <c r="D264" i="57"/>
  <c r="S264" i="57"/>
  <c r="S232" i="55"/>
  <c r="S232" i="57"/>
  <c r="D232" i="57"/>
  <c r="E644" i="55"/>
  <c r="E644" i="57"/>
  <c r="Y644" i="57"/>
  <c r="E636" i="55"/>
  <c r="Y636" i="57"/>
  <c r="E636" i="57"/>
  <c r="E628" i="55"/>
  <c r="E628" i="57"/>
  <c r="Y628" i="57"/>
  <c r="E622" i="55"/>
  <c r="E622" i="57"/>
  <c r="Y622" i="57"/>
  <c r="E612" i="55"/>
  <c r="Y612" i="57"/>
  <c r="E612" i="57"/>
  <c r="E604" i="55"/>
  <c r="Y604" i="57"/>
  <c r="E604" i="57"/>
  <c r="E596" i="55"/>
  <c r="E596" i="57"/>
  <c r="Y596" i="57"/>
  <c r="E588" i="55"/>
  <c r="E588" i="57"/>
  <c r="Y588" i="57"/>
  <c r="E580" i="55"/>
  <c r="Y580" i="57"/>
  <c r="E580" i="57"/>
  <c r="E572" i="55"/>
  <c r="Y572" i="57"/>
  <c r="E572" i="57"/>
  <c r="E564" i="55"/>
  <c r="E564" i="57"/>
  <c r="Y564" i="57"/>
  <c r="E556" i="55"/>
  <c r="E556" i="57"/>
  <c r="Y556" i="57"/>
  <c r="E548" i="55"/>
  <c r="Y548" i="57"/>
  <c r="E548" i="57"/>
  <c r="E540" i="55"/>
  <c r="E540" i="57"/>
  <c r="Y540" i="57"/>
  <c r="E532" i="55"/>
  <c r="E532" i="57"/>
  <c r="Y532" i="57"/>
  <c r="E524" i="55"/>
  <c r="E524" i="57"/>
  <c r="Y524" i="57"/>
  <c r="E516" i="55"/>
  <c r="Y516" i="57"/>
  <c r="E516" i="57"/>
  <c r="E508" i="55"/>
  <c r="E508" i="57"/>
  <c r="Y508" i="57"/>
  <c r="E500" i="55"/>
  <c r="E500" i="57"/>
  <c r="Y500" i="57"/>
  <c r="E491" i="55"/>
  <c r="E491" i="57"/>
  <c r="Y491" i="57"/>
  <c r="E483" i="55"/>
  <c r="Y483" i="57"/>
  <c r="E483" i="57"/>
  <c r="E475" i="55"/>
  <c r="Y475" i="57"/>
  <c r="E475" i="57"/>
  <c r="E467" i="55"/>
  <c r="E467" i="57"/>
  <c r="Y467" i="57"/>
  <c r="E459" i="55"/>
  <c r="Y459" i="57"/>
  <c r="E459" i="57"/>
  <c r="E445" i="55"/>
  <c r="E445" i="57"/>
  <c r="Y445" i="57"/>
  <c r="E437" i="55"/>
  <c r="E437" i="57"/>
  <c r="Y437" i="57"/>
  <c r="E429" i="55"/>
  <c r="E429" i="57"/>
  <c r="Y429" i="57"/>
  <c r="E421" i="55"/>
  <c r="E421" i="57"/>
  <c r="Y421" i="57"/>
  <c r="E409" i="55"/>
  <c r="Y409" i="57"/>
  <c r="E409" i="57"/>
  <c r="E401" i="55"/>
  <c r="Y401" i="57"/>
  <c r="E401" i="57"/>
  <c r="E393" i="55"/>
  <c r="Y393" i="57"/>
  <c r="E393" i="57"/>
  <c r="E385" i="55"/>
  <c r="Y385" i="57"/>
  <c r="E385" i="57"/>
  <c r="E376" i="55"/>
  <c r="E376" i="57"/>
  <c r="Y376" i="57"/>
  <c r="E368" i="55"/>
  <c r="E368" i="57"/>
  <c r="Y368" i="57"/>
  <c r="E360" i="55"/>
  <c r="E360" i="57"/>
  <c r="Y360" i="57"/>
  <c r="E347" i="55"/>
  <c r="E347" i="57"/>
  <c r="Y347" i="57"/>
  <c r="E338" i="55"/>
  <c r="E338" i="57"/>
  <c r="Y338" i="57"/>
  <c r="E330" i="55"/>
  <c r="E330" i="57"/>
  <c r="Y330" i="57"/>
  <c r="E322" i="55"/>
  <c r="E322" i="57"/>
  <c r="Y322" i="57"/>
  <c r="E314" i="55"/>
  <c r="E314" i="57"/>
  <c r="Y314" i="57"/>
  <c r="E306" i="55"/>
  <c r="E306" i="57"/>
  <c r="Y306" i="57"/>
  <c r="E298" i="55"/>
  <c r="E298" i="57"/>
  <c r="Y298" i="57"/>
  <c r="E290" i="55"/>
  <c r="E290" i="57"/>
  <c r="Y290" i="57"/>
  <c r="E282" i="55"/>
  <c r="E282" i="57"/>
  <c r="Y282" i="57"/>
  <c r="E274" i="55"/>
  <c r="E274" i="57"/>
  <c r="Y274" i="57"/>
  <c r="E266" i="55"/>
  <c r="E266" i="57"/>
  <c r="Y266" i="57"/>
  <c r="E258" i="55"/>
  <c r="E258" i="57"/>
  <c r="Y258" i="57"/>
  <c r="E250" i="55"/>
  <c r="E250" i="57"/>
  <c r="Y250" i="57"/>
  <c r="E242" i="55"/>
  <c r="E242" i="57"/>
  <c r="Y242" i="57"/>
  <c r="E234" i="55"/>
  <c r="E234" i="57"/>
  <c r="Y234" i="57"/>
  <c r="E226" i="55"/>
  <c r="E226" i="57"/>
  <c r="Y226" i="57"/>
  <c r="E218" i="55"/>
  <c r="E218" i="57"/>
  <c r="Y218" i="57"/>
  <c r="E210" i="55"/>
  <c r="E210" i="57"/>
  <c r="Y210" i="57"/>
  <c r="E194" i="57"/>
  <c r="Y194" i="57"/>
  <c r="Y183" i="57"/>
  <c r="E183" i="57"/>
  <c r="Y174" i="57"/>
  <c r="E174" i="57"/>
  <c r="Y161" i="57"/>
  <c r="E161" i="57"/>
  <c r="E153" i="57"/>
  <c r="Y153" i="57"/>
  <c r="E145" i="57"/>
  <c r="Y145" i="57"/>
  <c r="E137" i="57"/>
  <c r="Y137" i="57"/>
  <c r="E128" i="57"/>
  <c r="Y128" i="57"/>
  <c r="E120" i="57"/>
  <c r="Y120" i="57"/>
  <c r="E111" i="57"/>
  <c r="Y111" i="57"/>
  <c r="Y103" i="57"/>
  <c r="E103" i="57"/>
  <c r="Y95" i="57"/>
  <c r="E95" i="57"/>
  <c r="E87" i="57"/>
  <c r="Y87" i="57"/>
  <c r="E79" i="57"/>
  <c r="Y79" i="57"/>
  <c r="Y69" i="57"/>
  <c r="E69" i="57"/>
  <c r="Y61" i="57"/>
  <c r="E61" i="57"/>
  <c r="E44" i="57"/>
  <c r="Y44" i="57"/>
  <c r="E35" i="57"/>
  <c r="Y35" i="57"/>
  <c r="E27" i="57"/>
  <c r="Y27" i="57"/>
  <c r="E17" i="57"/>
  <c r="Y17" i="57"/>
  <c r="S646" i="55"/>
  <c r="D646" i="57"/>
  <c r="S646" i="57"/>
  <c r="S638" i="55"/>
  <c r="D638" i="57"/>
  <c r="S638" i="57"/>
  <c r="S630" i="55"/>
  <c r="D630" i="57"/>
  <c r="S630" i="57"/>
  <c r="S624" i="55"/>
  <c r="D624" i="57"/>
  <c r="S624" i="57"/>
  <c r="S614" i="55"/>
  <c r="D614" i="57"/>
  <c r="S614" i="57"/>
  <c r="S606" i="55"/>
  <c r="D606" i="57"/>
  <c r="S606" i="57"/>
  <c r="S598" i="55"/>
  <c r="D598" i="57"/>
  <c r="S598" i="57"/>
  <c r="S590" i="55"/>
  <c r="D590" i="57"/>
  <c r="S590" i="57"/>
  <c r="S582" i="55"/>
  <c r="D582" i="57"/>
  <c r="S582" i="57"/>
  <c r="S574" i="55"/>
  <c r="D574" i="57"/>
  <c r="S574" i="57"/>
  <c r="S566" i="55"/>
  <c r="D566" i="57"/>
  <c r="S566" i="57"/>
  <c r="S558" i="55"/>
  <c r="D558" i="57"/>
  <c r="S558" i="57"/>
  <c r="S550" i="55"/>
  <c r="D550" i="57"/>
  <c r="S550" i="57"/>
  <c r="S542" i="55"/>
  <c r="D542" i="57"/>
  <c r="S542" i="57"/>
  <c r="S534" i="55"/>
  <c r="D534" i="57"/>
  <c r="S534" i="57"/>
  <c r="S526" i="55"/>
  <c r="D526" i="57"/>
  <c r="S526" i="57"/>
  <c r="S518" i="55"/>
  <c r="D518" i="57"/>
  <c r="S518" i="57"/>
  <c r="S510" i="55"/>
  <c r="D510" i="57"/>
  <c r="S510" i="57"/>
  <c r="S502" i="55"/>
  <c r="D502" i="57"/>
  <c r="S502" i="57"/>
  <c r="S493" i="55"/>
  <c r="D493" i="57"/>
  <c r="S493" i="57"/>
  <c r="S485" i="55"/>
  <c r="D485" i="57"/>
  <c r="S485" i="57"/>
  <c r="S477" i="55"/>
  <c r="D477" i="57"/>
  <c r="S477" i="57"/>
  <c r="S469" i="55"/>
  <c r="D469" i="57"/>
  <c r="S469" i="57"/>
  <c r="S461" i="55"/>
  <c r="D461" i="57"/>
  <c r="S461" i="57"/>
  <c r="S453" i="55"/>
  <c r="D453" i="57"/>
  <c r="S453" i="57"/>
  <c r="S439" i="55"/>
  <c r="S439" i="57"/>
  <c r="D439" i="57"/>
  <c r="S431" i="55"/>
  <c r="D431" i="57"/>
  <c r="S431" i="57"/>
  <c r="S423" i="55"/>
  <c r="S423" i="57"/>
  <c r="D423" i="57"/>
  <c r="S413" i="55"/>
  <c r="D413" i="57"/>
  <c r="S413" i="57"/>
  <c r="S405" i="55"/>
  <c r="D405" i="57"/>
  <c r="S405" i="57"/>
  <c r="S397" i="55"/>
  <c r="D397" i="57"/>
  <c r="S397" i="57"/>
  <c r="S389" i="55"/>
  <c r="S389" i="57"/>
  <c r="D389" i="57"/>
  <c r="S381" i="55"/>
  <c r="S381" i="57"/>
  <c r="D381" i="57"/>
  <c r="S373" i="55"/>
  <c r="S373" i="57"/>
  <c r="D373" i="57"/>
  <c r="S365" i="55"/>
  <c r="S365" i="57"/>
  <c r="D365" i="57"/>
  <c r="S352" i="55"/>
  <c r="D352" i="57"/>
  <c r="S352" i="57"/>
  <c r="S343" i="55"/>
  <c r="S343" i="57"/>
  <c r="S335" i="55"/>
  <c r="D335" i="57"/>
  <c r="S335" i="57"/>
  <c r="S327" i="55"/>
  <c r="D327" i="57"/>
  <c r="S327" i="57"/>
  <c r="S319" i="55"/>
  <c r="D319" i="57"/>
  <c r="S319" i="57"/>
  <c r="S311" i="55"/>
  <c r="D311" i="57"/>
  <c r="S311" i="57"/>
  <c r="S303" i="55"/>
  <c r="D303" i="57"/>
  <c r="S303" i="57"/>
  <c r="S295" i="55"/>
  <c r="D295" i="57"/>
  <c r="S295" i="57"/>
  <c r="S287" i="55"/>
  <c r="D287" i="57"/>
  <c r="S287" i="57"/>
  <c r="S279" i="55"/>
  <c r="D279" i="57"/>
  <c r="S279" i="57"/>
  <c r="S271" i="55"/>
  <c r="D271" i="57"/>
  <c r="S271" i="57"/>
  <c r="S263" i="55"/>
  <c r="D263" i="57"/>
  <c r="S263" i="57"/>
  <c r="S255" i="55"/>
  <c r="S255" i="57"/>
  <c r="D255" i="57"/>
  <c r="S247" i="55"/>
  <c r="S247" i="57"/>
  <c r="D247" i="57"/>
  <c r="S239" i="55"/>
  <c r="S239" i="57"/>
  <c r="D239" i="57"/>
  <c r="S231" i="55"/>
  <c r="S231" i="57"/>
  <c r="D231" i="57"/>
  <c r="S223" i="55"/>
  <c r="S223" i="57"/>
  <c r="D223" i="57"/>
  <c r="S215" i="55"/>
  <c r="S215" i="57"/>
  <c r="D215" i="57"/>
  <c r="S199" i="57"/>
  <c r="D199" i="57"/>
  <c r="AA199" i="57" s="1"/>
  <c r="S191" i="57"/>
  <c r="D191" i="57"/>
  <c r="AA191" i="57" s="1"/>
  <c r="S183" i="57"/>
  <c r="D183" i="57"/>
  <c r="AA183" i="57" s="1"/>
  <c r="D174" i="57"/>
  <c r="AA174" i="57" s="1"/>
  <c r="S174" i="57"/>
  <c r="D161" i="57"/>
  <c r="AA161" i="57" s="1"/>
  <c r="S161" i="57"/>
  <c r="D153" i="57"/>
  <c r="AA153" i="57" s="1"/>
  <c r="S153" i="57"/>
  <c r="D145" i="57"/>
  <c r="AA145" i="57" s="1"/>
  <c r="S145" i="57"/>
  <c r="D137" i="57"/>
  <c r="AA137" i="57" s="1"/>
  <c r="S137" i="57"/>
  <c r="S128" i="57"/>
  <c r="D128" i="57"/>
  <c r="AA128" i="57" s="1"/>
  <c r="S120" i="57"/>
  <c r="D120" i="57"/>
  <c r="AA120" i="57" s="1"/>
  <c r="S111" i="57"/>
  <c r="D111" i="57"/>
  <c r="AA111" i="57" s="1"/>
  <c r="S103" i="57"/>
  <c r="D103" i="57"/>
  <c r="AA103" i="57" s="1"/>
  <c r="S95" i="57"/>
  <c r="D95" i="57"/>
  <c r="AA95" i="57" s="1"/>
  <c r="S87" i="57"/>
  <c r="D87" i="57"/>
  <c r="AA87" i="57" s="1"/>
  <c r="S79" i="57"/>
  <c r="D79" i="57"/>
  <c r="AA79" i="57" s="1"/>
  <c r="D69" i="57"/>
  <c r="AA69" i="57" s="1"/>
  <c r="S69" i="57"/>
  <c r="D61" i="57"/>
  <c r="AA61" i="57" s="1"/>
  <c r="S61" i="57"/>
  <c r="D44" i="57"/>
  <c r="AA44" i="57" s="1"/>
  <c r="S44" i="57"/>
  <c r="D35" i="57"/>
  <c r="S35" i="57"/>
  <c r="D27" i="57"/>
  <c r="S27" i="57"/>
  <c r="D17" i="57"/>
  <c r="S17" i="57"/>
  <c r="D169" i="57"/>
  <c r="AA169" i="57" s="1"/>
  <c r="S169" i="57"/>
  <c r="E600" i="55"/>
  <c r="E600" i="57"/>
  <c r="Y600" i="57"/>
  <c r="E544" i="55"/>
  <c r="E544" i="57"/>
  <c r="Y544" i="57"/>
  <c r="E487" i="55"/>
  <c r="Y487" i="57"/>
  <c r="E487" i="57"/>
  <c r="E425" i="55"/>
  <c r="E425" i="57"/>
  <c r="Y425" i="57"/>
  <c r="E364" i="55"/>
  <c r="Y364" i="57"/>
  <c r="E364" i="57"/>
  <c r="E302" i="55"/>
  <c r="E302" i="57"/>
  <c r="Y302" i="57"/>
  <c r="E238" i="55"/>
  <c r="Y238" i="57"/>
  <c r="E238" i="57"/>
  <c r="Y149" i="57"/>
  <c r="E149" i="57"/>
  <c r="S634" i="55"/>
  <c r="S634" i="57"/>
  <c r="D634" i="57"/>
  <c r="S578" i="55"/>
  <c r="S578" i="57"/>
  <c r="D578" i="57"/>
  <c r="S522" i="55"/>
  <c r="S522" i="57"/>
  <c r="D522" i="57"/>
  <c r="S465" i="55"/>
  <c r="S465" i="57"/>
  <c r="D465" i="57"/>
  <c r="S409" i="55"/>
  <c r="D409" i="57"/>
  <c r="S409" i="57"/>
  <c r="S361" i="55"/>
  <c r="S361" i="57"/>
  <c r="D361" i="57"/>
  <c r="S299" i="55"/>
  <c r="S299" i="57"/>
  <c r="D299" i="57"/>
  <c r="S243" i="55"/>
  <c r="D243" i="57"/>
  <c r="S243" i="57"/>
  <c r="D195" i="57"/>
  <c r="AA195" i="57" s="1"/>
  <c r="S195" i="57"/>
  <c r="D132" i="57"/>
  <c r="AA132" i="57" s="1"/>
  <c r="S132" i="57"/>
  <c r="D75" i="57"/>
  <c r="AA75" i="57" s="1"/>
  <c r="S75" i="57"/>
  <c r="E643" i="55"/>
  <c r="Y643" i="57"/>
  <c r="E643" i="57"/>
  <c r="E635" i="55"/>
  <c r="Y635" i="57"/>
  <c r="E635" i="57"/>
  <c r="E50" i="57"/>
  <c r="Y50" i="57"/>
  <c r="E620" i="55"/>
  <c r="E620" i="57"/>
  <c r="Y620" i="57"/>
  <c r="E611" i="55"/>
  <c r="Y611" i="57"/>
  <c r="E611" i="57"/>
  <c r="E603" i="55"/>
  <c r="Y603" i="57"/>
  <c r="E603" i="57"/>
  <c r="E595" i="55"/>
  <c r="Y595" i="57"/>
  <c r="E595" i="57"/>
  <c r="E587" i="55"/>
  <c r="Y587" i="57"/>
  <c r="E587" i="57"/>
  <c r="E579" i="55"/>
  <c r="Y579" i="57"/>
  <c r="E579" i="57"/>
  <c r="E571" i="55"/>
  <c r="Y571" i="57"/>
  <c r="E571" i="57"/>
  <c r="E563" i="55"/>
  <c r="Y563" i="57"/>
  <c r="E563" i="57"/>
  <c r="E555" i="55"/>
  <c r="Y555" i="57"/>
  <c r="E555" i="57"/>
  <c r="E547" i="55"/>
  <c r="E547" i="57"/>
  <c r="Y547" i="57"/>
  <c r="E539" i="55"/>
  <c r="E539" i="57"/>
  <c r="Y539" i="57"/>
  <c r="E531" i="55"/>
  <c r="E531" i="57"/>
  <c r="Y531" i="57"/>
  <c r="E523" i="55"/>
  <c r="E523" i="57"/>
  <c r="Y523" i="57"/>
  <c r="E515" i="55"/>
  <c r="Y515" i="57"/>
  <c r="E515" i="57"/>
  <c r="E507" i="55"/>
  <c r="E507" i="57"/>
  <c r="Y507" i="57"/>
  <c r="E499" i="55"/>
  <c r="E499" i="57"/>
  <c r="Y499" i="57"/>
  <c r="E490" i="55"/>
  <c r="Y490" i="57"/>
  <c r="E490" i="57"/>
  <c r="E482" i="55"/>
  <c r="Y482" i="57"/>
  <c r="E482" i="57"/>
  <c r="E474" i="55"/>
  <c r="Y474" i="57"/>
  <c r="E474" i="57"/>
  <c r="E466" i="55"/>
  <c r="Y466" i="57"/>
  <c r="E466" i="57"/>
  <c r="E458" i="55"/>
  <c r="Y458" i="57"/>
  <c r="E458" i="57"/>
  <c r="E444" i="55"/>
  <c r="E444" i="57"/>
  <c r="Y444" i="57"/>
  <c r="E436" i="55"/>
  <c r="Y436" i="57"/>
  <c r="E436" i="57"/>
  <c r="E428" i="55"/>
  <c r="E428" i="57"/>
  <c r="Y428" i="57"/>
  <c r="E420" i="55"/>
  <c r="E420" i="57"/>
  <c r="Y420" i="57"/>
  <c r="E408" i="55"/>
  <c r="E408" i="57"/>
  <c r="Y408" i="57"/>
  <c r="E400" i="55"/>
  <c r="E400" i="57"/>
  <c r="Y400" i="57"/>
  <c r="E392" i="55"/>
  <c r="E392" i="57"/>
  <c r="Y392" i="57"/>
  <c r="E384" i="55"/>
  <c r="E384" i="57"/>
  <c r="Y384" i="57"/>
  <c r="E375" i="55"/>
  <c r="Y375" i="57"/>
  <c r="E375" i="57"/>
  <c r="E367" i="55"/>
  <c r="Y367" i="57"/>
  <c r="E367" i="57"/>
  <c r="E359" i="55"/>
  <c r="Y359" i="57"/>
  <c r="E359" i="57"/>
  <c r="E346" i="55"/>
  <c r="Y346" i="57"/>
  <c r="E346" i="57"/>
  <c r="E337" i="55"/>
  <c r="Y337" i="57"/>
  <c r="E337" i="57"/>
  <c r="E329" i="55"/>
  <c r="Y329" i="57"/>
  <c r="E329" i="57"/>
  <c r="E321" i="55"/>
  <c r="Y321" i="57"/>
  <c r="E321" i="57"/>
  <c r="E313" i="55"/>
  <c r="Y313" i="57"/>
  <c r="E313" i="57"/>
  <c r="E305" i="55"/>
  <c r="Y305" i="57"/>
  <c r="E305" i="57"/>
  <c r="E297" i="55"/>
  <c r="Y297" i="57"/>
  <c r="E297" i="57"/>
  <c r="E289" i="55"/>
  <c r="Y289" i="57"/>
  <c r="E289" i="57"/>
  <c r="E281" i="55"/>
  <c r="Y281" i="57"/>
  <c r="E281" i="57"/>
  <c r="E273" i="55"/>
  <c r="Y273" i="57"/>
  <c r="E273" i="57"/>
  <c r="E265" i="55"/>
  <c r="E265" i="57"/>
  <c r="Y265" i="57"/>
  <c r="E257" i="55"/>
  <c r="E257" i="57"/>
  <c r="Y257" i="57"/>
  <c r="E249" i="55"/>
  <c r="E249" i="57"/>
  <c r="Y249" i="57"/>
  <c r="E241" i="55"/>
  <c r="E241" i="57"/>
  <c r="Y241" i="57"/>
  <c r="E233" i="55"/>
  <c r="E233" i="57"/>
  <c r="Y233" i="57"/>
  <c r="E225" i="55"/>
  <c r="E225" i="57"/>
  <c r="Y225" i="57"/>
  <c r="E217" i="55"/>
  <c r="E217" i="57"/>
  <c r="Y217" i="57"/>
  <c r="E209" i="55"/>
  <c r="E209" i="57"/>
  <c r="Y209" i="57"/>
  <c r="E193" i="57"/>
  <c r="Y193" i="57"/>
  <c r="Y182" i="57"/>
  <c r="E182" i="57"/>
  <c r="E173" i="57"/>
  <c r="Y173" i="57"/>
  <c r="E160" i="57"/>
  <c r="Y160" i="57"/>
  <c r="E152" i="57"/>
  <c r="Y152" i="57"/>
  <c r="E144" i="57"/>
  <c r="Y144" i="57"/>
  <c r="Y135" i="57"/>
  <c r="E135" i="57"/>
  <c r="Y127" i="57"/>
  <c r="E127" i="57"/>
  <c r="E119" i="57"/>
  <c r="Y119" i="57"/>
  <c r="Y110" i="57"/>
  <c r="E110" i="57"/>
  <c r="Y102" i="57"/>
  <c r="E102" i="57"/>
  <c r="Y94" i="57"/>
  <c r="E94" i="57"/>
  <c r="Y86" i="57"/>
  <c r="E86" i="57"/>
  <c r="Y78" i="57"/>
  <c r="E78" i="57"/>
  <c r="E68" i="57"/>
  <c r="Y68" i="57"/>
  <c r="E60" i="57"/>
  <c r="Y60" i="57"/>
  <c r="E43" i="57"/>
  <c r="Y43" i="57"/>
  <c r="E34" i="57"/>
  <c r="Y34" i="57"/>
  <c r="E24" i="57"/>
  <c r="Y24" i="57"/>
  <c r="E16" i="57"/>
  <c r="Y16" i="57"/>
  <c r="S645" i="55"/>
  <c r="S645" i="57"/>
  <c r="D645" i="57"/>
  <c r="S637" i="55"/>
  <c r="S637" i="57"/>
  <c r="D637" i="57"/>
  <c r="S629" i="55"/>
  <c r="S629" i="57"/>
  <c r="D629" i="57"/>
  <c r="S623" i="55"/>
  <c r="D623" i="57"/>
  <c r="S623" i="57"/>
  <c r="S613" i="55"/>
  <c r="S613" i="57"/>
  <c r="D613" i="57"/>
  <c r="S605" i="55"/>
  <c r="S605" i="57"/>
  <c r="D605" i="57"/>
  <c r="S597" i="55"/>
  <c r="S597" i="57"/>
  <c r="D597" i="57"/>
  <c r="S589" i="55"/>
  <c r="S589" i="57"/>
  <c r="D589" i="57"/>
  <c r="S581" i="55"/>
  <c r="S581" i="57"/>
  <c r="D581" i="57"/>
  <c r="S573" i="55"/>
  <c r="S573" i="57"/>
  <c r="D573" i="57"/>
  <c r="S565" i="55"/>
  <c r="S565" i="57"/>
  <c r="D565" i="57"/>
  <c r="S557" i="55"/>
  <c r="S557" i="57"/>
  <c r="D557" i="57"/>
  <c r="S549" i="55"/>
  <c r="S549" i="57"/>
  <c r="D549" i="57"/>
  <c r="S541" i="55"/>
  <c r="S541" i="57"/>
  <c r="D541" i="57"/>
  <c r="S533" i="55"/>
  <c r="S533" i="57"/>
  <c r="D533" i="57"/>
  <c r="S525" i="55"/>
  <c r="S525" i="57"/>
  <c r="D525" i="57"/>
  <c r="S517" i="55"/>
  <c r="S517" i="57"/>
  <c r="D517" i="57"/>
  <c r="S509" i="55"/>
  <c r="D509" i="57"/>
  <c r="S509" i="57"/>
  <c r="S501" i="55"/>
  <c r="D501" i="57"/>
  <c r="S501" i="57"/>
  <c r="S492" i="55"/>
  <c r="S492" i="57"/>
  <c r="D492" i="57"/>
  <c r="S484" i="55"/>
  <c r="S484" i="57"/>
  <c r="D484" i="57"/>
  <c r="S476" i="55"/>
  <c r="S476" i="57"/>
  <c r="D476" i="57"/>
  <c r="S468" i="55"/>
  <c r="S468" i="57"/>
  <c r="D468" i="57"/>
  <c r="S460" i="55"/>
  <c r="S460" i="57"/>
  <c r="D460" i="57"/>
  <c r="S452" i="55"/>
  <c r="S452" i="57"/>
  <c r="D452" i="57"/>
  <c r="S438" i="55"/>
  <c r="D438" i="57"/>
  <c r="S438" i="57"/>
  <c r="S430" i="55"/>
  <c r="S430" i="57"/>
  <c r="D430" i="57"/>
  <c r="S422" i="55"/>
  <c r="S422" i="57"/>
  <c r="D422" i="57"/>
  <c r="S412" i="55"/>
  <c r="S412" i="57"/>
  <c r="D412" i="57"/>
  <c r="S404" i="55"/>
  <c r="S404" i="57"/>
  <c r="D404" i="57"/>
  <c r="S396" i="55"/>
  <c r="S396" i="57"/>
  <c r="D396" i="57"/>
  <c r="S388" i="55"/>
  <c r="S388" i="57"/>
  <c r="D388" i="57"/>
  <c r="S380" i="55"/>
  <c r="D380" i="57"/>
  <c r="S380" i="57"/>
  <c r="S372" i="55"/>
  <c r="D372" i="57"/>
  <c r="S372" i="57"/>
  <c r="S364" i="55"/>
  <c r="D364" i="57"/>
  <c r="S364" i="57"/>
  <c r="S351" i="55"/>
  <c r="D351" i="57"/>
  <c r="S351" i="57"/>
  <c r="S342" i="55"/>
  <c r="D342" i="57"/>
  <c r="S342" i="57"/>
  <c r="S334" i="55"/>
  <c r="D334" i="57"/>
  <c r="S334" i="57"/>
  <c r="S326" i="55"/>
  <c r="D326" i="57"/>
  <c r="S326" i="57"/>
  <c r="S318" i="55"/>
  <c r="D318" i="57"/>
  <c r="S318" i="57"/>
  <c r="S310" i="55"/>
  <c r="D310" i="57"/>
  <c r="S310" i="57"/>
  <c r="S302" i="55"/>
  <c r="D302" i="57"/>
  <c r="S302" i="57"/>
  <c r="S294" i="55"/>
  <c r="D294" i="57"/>
  <c r="S294" i="57"/>
  <c r="S286" i="55"/>
  <c r="D286" i="57"/>
  <c r="S286" i="57"/>
  <c r="S278" i="55"/>
  <c r="D278" i="57"/>
  <c r="S278" i="57"/>
  <c r="S270" i="55"/>
  <c r="S270" i="57"/>
  <c r="D270" i="57"/>
  <c r="S262" i="55"/>
  <c r="D262" i="57"/>
  <c r="S262" i="57"/>
  <c r="S254" i="55"/>
  <c r="D254" i="57"/>
  <c r="S254" i="57"/>
  <c r="S246" i="55"/>
  <c r="D246" i="57"/>
  <c r="S246" i="57"/>
  <c r="S238" i="55"/>
  <c r="D238" i="57"/>
  <c r="S238" i="57"/>
  <c r="S230" i="55"/>
  <c r="D230" i="57"/>
  <c r="S230" i="57"/>
  <c r="S222" i="55"/>
  <c r="D222" i="57"/>
  <c r="S222" i="57"/>
  <c r="S214" i="55"/>
  <c r="D214" i="57"/>
  <c r="S214" i="57"/>
  <c r="D198" i="57"/>
  <c r="AA198" i="57" s="1"/>
  <c r="S198" i="57"/>
  <c r="D190" i="57"/>
  <c r="S190" i="57"/>
  <c r="D182" i="57"/>
  <c r="AA182" i="57" s="1"/>
  <c r="S182" i="57"/>
  <c r="D173" i="57"/>
  <c r="AA173" i="57" s="1"/>
  <c r="S173" i="57"/>
  <c r="S160" i="57"/>
  <c r="D160" i="57"/>
  <c r="AA160" i="57" s="1"/>
  <c r="S152" i="57"/>
  <c r="D152" i="57"/>
  <c r="AA152" i="57" s="1"/>
  <c r="S144" i="57"/>
  <c r="D144" i="57"/>
  <c r="AA144" i="57" s="1"/>
  <c r="S135" i="57"/>
  <c r="D135" i="57"/>
  <c r="AA135" i="57" s="1"/>
  <c r="S127" i="57"/>
  <c r="D127" i="57"/>
  <c r="AA127" i="57" s="1"/>
  <c r="S119" i="57"/>
  <c r="D119" i="57"/>
  <c r="AA119" i="57" s="1"/>
  <c r="S110" i="57"/>
  <c r="D110" i="57"/>
  <c r="AA110" i="57" s="1"/>
  <c r="S102" i="57"/>
  <c r="D102" i="57"/>
  <c r="AA102" i="57" s="1"/>
  <c r="S94" i="57"/>
  <c r="D94" i="57"/>
  <c r="AA94" i="57" s="1"/>
  <c r="S86" i="57"/>
  <c r="D86" i="57"/>
  <c r="AA86" i="57" s="1"/>
  <c r="S78" i="57"/>
  <c r="D78" i="57"/>
  <c r="AA78" i="57" s="1"/>
  <c r="D68" i="57"/>
  <c r="AA68" i="57" s="1"/>
  <c r="S68" i="57"/>
  <c r="D60" i="57"/>
  <c r="AA60" i="57" s="1"/>
  <c r="S60" i="57"/>
  <c r="D43" i="57"/>
  <c r="S43" i="57"/>
  <c r="D34" i="57"/>
  <c r="S34" i="57"/>
  <c r="S24" i="57"/>
  <c r="D24" i="57"/>
  <c r="S16" i="57"/>
  <c r="D16" i="57"/>
  <c r="E344" i="55"/>
  <c r="E344" i="57"/>
  <c r="Y344" i="57"/>
  <c r="E616" i="55"/>
  <c r="E616" i="57"/>
  <c r="Y616" i="57"/>
  <c r="E552" i="55"/>
  <c r="E552" i="57"/>
  <c r="Y552" i="57"/>
  <c r="E496" i="55"/>
  <c r="E496" i="57"/>
  <c r="Y496" i="57"/>
  <c r="E441" i="55"/>
  <c r="E441" i="57"/>
  <c r="Y441" i="57"/>
  <c r="E381" i="55"/>
  <c r="E381" i="57"/>
  <c r="Y381" i="57"/>
  <c r="E318" i="55"/>
  <c r="E318" i="57"/>
  <c r="Y318" i="57"/>
  <c r="E270" i="55"/>
  <c r="E270" i="57"/>
  <c r="Y270" i="57"/>
  <c r="Y198" i="57"/>
  <c r="E198" i="57"/>
  <c r="S642" i="55"/>
  <c r="S642" i="57"/>
  <c r="D642" i="57"/>
  <c r="S594" i="55"/>
  <c r="S594" i="57"/>
  <c r="D594" i="57"/>
  <c r="S530" i="55"/>
  <c r="S530" i="57"/>
  <c r="D530" i="57"/>
  <c r="S489" i="55"/>
  <c r="S489" i="57"/>
  <c r="D489" i="57"/>
  <c r="S435" i="55"/>
  <c r="S435" i="57"/>
  <c r="D435" i="57"/>
  <c r="S369" i="55"/>
  <c r="S369" i="57"/>
  <c r="D369" i="57"/>
  <c r="S323" i="55"/>
  <c r="S323" i="57"/>
  <c r="D323" i="57"/>
  <c r="S275" i="55"/>
  <c r="S275" i="57"/>
  <c r="D275" i="57"/>
  <c r="S227" i="55"/>
  <c r="D227" i="57"/>
  <c r="S227" i="57"/>
  <c r="D157" i="57"/>
  <c r="AA157" i="57" s="1"/>
  <c r="S157" i="57"/>
  <c r="D116" i="57"/>
  <c r="AA116" i="57" s="1"/>
  <c r="S116" i="57"/>
  <c r="D65" i="57"/>
  <c r="AA65" i="57" s="1"/>
  <c r="S65" i="57"/>
  <c r="E168" i="57"/>
  <c r="Y168" i="57"/>
  <c r="E637" i="55"/>
  <c r="E637" i="57"/>
  <c r="Y637" i="57"/>
  <c r="E605" i="55"/>
  <c r="E605" i="57"/>
  <c r="Y605" i="57"/>
  <c r="E573" i="55"/>
  <c r="E573" i="57"/>
  <c r="Y573" i="57"/>
  <c r="E541" i="55"/>
  <c r="E541" i="57"/>
  <c r="Y541" i="57"/>
  <c r="E509" i="55"/>
  <c r="E509" i="57"/>
  <c r="Y509" i="57"/>
  <c r="E476" i="55"/>
  <c r="E476" i="57"/>
  <c r="Y476" i="57"/>
  <c r="E452" i="55"/>
  <c r="E452" i="57"/>
  <c r="Y452" i="57"/>
  <c r="E410" i="55"/>
  <c r="E410" i="57"/>
  <c r="Y410" i="57"/>
  <c r="E377" i="55"/>
  <c r="E377" i="57"/>
  <c r="Y377" i="57"/>
  <c r="E339" i="55"/>
  <c r="E339" i="57"/>
  <c r="Y339" i="57"/>
  <c r="E307" i="55"/>
  <c r="Y307" i="57"/>
  <c r="E307" i="57"/>
  <c r="E275" i="55"/>
  <c r="Y275" i="57"/>
  <c r="E275" i="57"/>
  <c r="E235" i="55"/>
  <c r="E235" i="57"/>
  <c r="Y235" i="57"/>
  <c r="E195" i="57"/>
  <c r="Y195" i="57"/>
  <c r="E162" i="57"/>
  <c r="Y162" i="57"/>
  <c r="E146" i="57"/>
  <c r="Y146" i="57"/>
  <c r="E121" i="57"/>
  <c r="Y121" i="57"/>
  <c r="E96" i="57"/>
  <c r="Y96" i="57"/>
  <c r="Y70" i="57"/>
  <c r="E70" i="57"/>
  <c r="E36" i="57"/>
  <c r="Y36" i="57"/>
  <c r="S631" i="55"/>
  <c r="D631" i="57"/>
  <c r="S631" i="57"/>
  <c r="S599" i="55"/>
  <c r="D599" i="57"/>
  <c r="S599" i="57"/>
  <c r="S567" i="55"/>
  <c r="D567" i="57"/>
  <c r="S567" i="57"/>
  <c r="S535" i="55"/>
  <c r="D535" i="57"/>
  <c r="S535" i="57"/>
  <c r="S478" i="55"/>
  <c r="D478" i="57"/>
  <c r="S478" i="57"/>
  <c r="E642" i="55"/>
  <c r="E642" i="57"/>
  <c r="Y642" i="57"/>
  <c r="E49" i="57"/>
  <c r="Y49" i="57"/>
  <c r="E610" i="55"/>
  <c r="E610" i="57"/>
  <c r="Y610" i="57"/>
  <c r="E594" i="55"/>
  <c r="E594" i="57"/>
  <c r="Y594" i="57"/>
  <c r="E578" i="55"/>
  <c r="E578" i="57"/>
  <c r="Y578" i="57"/>
  <c r="E562" i="55"/>
  <c r="E562" i="57"/>
  <c r="Y562" i="57"/>
  <c r="E546" i="55"/>
  <c r="Y546" i="57"/>
  <c r="E546" i="57"/>
  <c r="E530" i="55"/>
  <c r="Y530" i="57"/>
  <c r="E530" i="57"/>
  <c r="E514" i="55"/>
  <c r="Y514" i="57"/>
  <c r="E514" i="57"/>
  <c r="E498" i="55"/>
  <c r="Y498" i="57"/>
  <c r="E498" i="57"/>
  <c r="E473" i="55"/>
  <c r="E473" i="57"/>
  <c r="Y473" i="57"/>
  <c r="E457" i="55"/>
  <c r="E457" i="57"/>
  <c r="Y457" i="57"/>
  <c r="E435" i="55"/>
  <c r="Y435" i="57"/>
  <c r="E435" i="57"/>
  <c r="E419" i="55"/>
  <c r="Y419" i="57"/>
  <c r="E419" i="57"/>
  <c r="E399" i="55"/>
  <c r="E399" i="57"/>
  <c r="Y399" i="57"/>
  <c r="E383" i="55"/>
  <c r="E383" i="57"/>
  <c r="Y383" i="57"/>
  <c r="E366" i="55"/>
  <c r="E366" i="57"/>
  <c r="Y366" i="57"/>
  <c r="E345" i="55"/>
  <c r="E345" i="57"/>
  <c r="Y345" i="57"/>
  <c r="E328" i="55"/>
  <c r="E328" i="57"/>
  <c r="Y328" i="57"/>
  <c r="E312" i="55"/>
  <c r="E312" i="57"/>
  <c r="Y312" i="57"/>
  <c r="E296" i="55"/>
  <c r="E296" i="57"/>
  <c r="Y296" i="57"/>
  <c r="E280" i="55"/>
  <c r="E280" i="57"/>
  <c r="Y280" i="57"/>
  <c r="E264" i="55"/>
  <c r="E264" i="57"/>
  <c r="Y264" i="57"/>
  <c r="E240" i="55"/>
  <c r="E240" i="57"/>
  <c r="Y240" i="57"/>
  <c r="E224" i="55"/>
  <c r="E224" i="57"/>
  <c r="Y224" i="57"/>
  <c r="E200" i="55"/>
  <c r="E200" i="57"/>
  <c r="Y200" i="57"/>
  <c r="E181" i="57"/>
  <c r="Y181" i="57"/>
  <c r="Y159" i="57"/>
  <c r="E159" i="57"/>
  <c r="Y134" i="57"/>
  <c r="E134" i="57"/>
  <c r="Y118" i="57"/>
  <c r="E118" i="57"/>
  <c r="Y101" i="57"/>
  <c r="E101" i="57"/>
  <c r="Y85" i="57"/>
  <c r="E85" i="57"/>
  <c r="E67" i="57"/>
  <c r="Y67" i="57"/>
  <c r="E33" i="57"/>
  <c r="Y33" i="57"/>
  <c r="S644" i="55"/>
  <c r="S644" i="57"/>
  <c r="D644" i="57"/>
  <c r="S628" i="55"/>
  <c r="S628" i="57"/>
  <c r="D628" i="57"/>
  <c r="S622" i="55"/>
  <c r="D622" i="57"/>
  <c r="S622" i="57"/>
  <c r="S604" i="55"/>
  <c r="S604" i="57"/>
  <c r="D604" i="57"/>
  <c r="S596" i="55"/>
  <c r="S596" i="57"/>
  <c r="D596" i="57"/>
  <c r="S588" i="55"/>
  <c r="S588" i="57"/>
  <c r="D588" i="57"/>
  <c r="S580" i="55"/>
  <c r="S580" i="57"/>
  <c r="D580" i="57"/>
  <c r="S572" i="55"/>
  <c r="S572" i="57"/>
  <c r="D572" i="57"/>
  <c r="S564" i="55"/>
  <c r="S564" i="57"/>
  <c r="D564" i="57"/>
  <c r="S556" i="55"/>
  <c r="S556" i="57"/>
  <c r="D556" i="57"/>
  <c r="S548" i="55"/>
  <c r="S548" i="57"/>
  <c r="D548" i="57"/>
  <c r="S540" i="55"/>
  <c r="S540" i="57"/>
  <c r="D540" i="57"/>
  <c r="S532" i="55"/>
  <c r="S532" i="57"/>
  <c r="D532" i="57"/>
  <c r="S524" i="55"/>
  <c r="S524" i="57"/>
  <c r="D524" i="57"/>
  <c r="S516" i="55"/>
  <c r="S516" i="57"/>
  <c r="D516" i="57"/>
  <c r="S508" i="55"/>
  <c r="S508" i="57"/>
  <c r="D508" i="57"/>
  <c r="S500" i="55"/>
  <c r="S500" i="57"/>
  <c r="D500" i="57"/>
  <c r="S491" i="55"/>
  <c r="D491" i="57"/>
  <c r="S491" i="57"/>
  <c r="S483" i="55"/>
  <c r="D483" i="57"/>
  <c r="S483" i="57"/>
  <c r="S475" i="55"/>
  <c r="S475" i="57"/>
  <c r="D475" i="57"/>
  <c r="S467" i="55"/>
  <c r="S467" i="57"/>
  <c r="D467" i="57"/>
  <c r="S459" i="55"/>
  <c r="S459" i="57"/>
  <c r="D459" i="57"/>
  <c r="S445" i="55"/>
  <c r="D445" i="57"/>
  <c r="S445" i="57"/>
  <c r="S437" i="55"/>
  <c r="S437" i="57"/>
  <c r="D437" i="57"/>
  <c r="S429" i="55"/>
  <c r="S429" i="57"/>
  <c r="D429" i="57"/>
  <c r="S421" i="55"/>
  <c r="S421" i="57"/>
  <c r="D421" i="57"/>
  <c r="S411" i="55"/>
  <c r="S411" i="57"/>
  <c r="D411" i="57"/>
  <c r="S403" i="55"/>
  <c r="S403" i="57"/>
  <c r="D403" i="57"/>
  <c r="S395" i="55"/>
  <c r="S395" i="57"/>
  <c r="D395" i="57"/>
  <c r="S387" i="55"/>
  <c r="S387" i="57"/>
  <c r="D387" i="57"/>
  <c r="S379" i="55"/>
  <c r="D379" i="57"/>
  <c r="S379" i="57"/>
  <c r="S371" i="55"/>
  <c r="D371" i="57"/>
  <c r="S371" i="57"/>
  <c r="S363" i="55"/>
  <c r="D363" i="57"/>
  <c r="S363" i="57"/>
  <c r="S350" i="55"/>
  <c r="D350" i="57"/>
  <c r="S350" i="57"/>
  <c r="S341" i="55"/>
  <c r="S341" i="57"/>
  <c r="D341" i="57"/>
  <c r="S333" i="55"/>
  <c r="D333" i="57"/>
  <c r="S333" i="57"/>
  <c r="S325" i="55"/>
  <c r="D325" i="57"/>
  <c r="S325" i="57"/>
  <c r="S317" i="55"/>
  <c r="D317" i="57"/>
  <c r="S317" i="57"/>
  <c r="S309" i="55"/>
  <c r="S309" i="57"/>
  <c r="D309" i="57"/>
  <c r="S301" i="55"/>
  <c r="S301" i="57"/>
  <c r="D301" i="57"/>
  <c r="S293" i="55"/>
  <c r="S293" i="57"/>
  <c r="D293" i="57"/>
  <c r="S285" i="55"/>
  <c r="D285" i="57"/>
  <c r="S285" i="57"/>
  <c r="S277" i="55"/>
  <c r="D277" i="57"/>
  <c r="S277" i="57"/>
  <c r="S269" i="55"/>
  <c r="S269" i="57"/>
  <c r="D269" i="57"/>
  <c r="S261" i="55"/>
  <c r="D261" i="57"/>
  <c r="S261" i="57"/>
  <c r="S253" i="55"/>
  <c r="D253" i="57"/>
  <c r="S253" i="57"/>
  <c r="S245" i="55"/>
  <c r="D245" i="57"/>
  <c r="S245" i="57"/>
  <c r="S237" i="55"/>
  <c r="D237" i="57"/>
  <c r="S237" i="57"/>
  <c r="S229" i="55"/>
  <c r="D229" i="57"/>
  <c r="S229" i="57"/>
  <c r="S221" i="55"/>
  <c r="D221" i="57"/>
  <c r="S221" i="57"/>
  <c r="S213" i="55"/>
  <c r="D213" i="57"/>
  <c r="S213" i="57"/>
  <c r="D197" i="57"/>
  <c r="AA197" i="57" s="1"/>
  <c r="S197" i="57"/>
  <c r="D189" i="57"/>
  <c r="AA189" i="57" s="1"/>
  <c r="S189" i="57"/>
  <c r="D181" i="57"/>
  <c r="AA181" i="57" s="1"/>
  <c r="S181" i="57"/>
  <c r="D172" i="57"/>
  <c r="AA172" i="57" s="1"/>
  <c r="S172" i="57"/>
  <c r="S159" i="57"/>
  <c r="D159" i="57"/>
  <c r="AA159" i="57" s="1"/>
  <c r="S151" i="57"/>
  <c r="D151" i="57"/>
  <c r="AA151" i="57" s="1"/>
  <c r="S143" i="57"/>
  <c r="D143" i="57"/>
  <c r="AA143" i="57" s="1"/>
  <c r="S134" i="57"/>
  <c r="D134" i="57"/>
  <c r="AA134" i="57" s="1"/>
  <c r="S126" i="57"/>
  <c r="D126" i="57"/>
  <c r="AA126" i="57" s="1"/>
  <c r="S118" i="57"/>
  <c r="D118" i="57"/>
  <c r="AA118" i="57" s="1"/>
  <c r="D109" i="57"/>
  <c r="AA109" i="57" s="1"/>
  <c r="S109" i="57"/>
  <c r="D101" i="57"/>
  <c r="AA101" i="57" s="1"/>
  <c r="S101" i="57"/>
  <c r="D93" i="57"/>
  <c r="AA93" i="57" s="1"/>
  <c r="S93" i="57"/>
  <c r="D85" i="57"/>
  <c r="AA85" i="57" s="1"/>
  <c r="S85" i="57"/>
  <c r="D77" i="57"/>
  <c r="AA77" i="57" s="1"/>
  <c r="S77" i="57"/>
  <c r="D67" i="57"/>
  <c r="AA67" i="57" s="1"/>
  <c r="S67" i="57"/>
  <c r="D59" i="57"/>
  <c r="AA59" i="57" s="1"/>
  <c r="S59" i="57"/>
  <c r="D42" i="57"/>
  <c r="S42" i="57"/>
  <c r="D33" i="57"/>
  <c r="S33" i="57"/>
  <c r="S23" i="57"/>
  <c r="D23" i="57"/>
  <c r="S15" i="57"/>
  <c r="D15" i="57"/>
  <c r="S344" i="55"/>
  <c r="D344" i="57"/>
  <c r="S344" i="57"/>
  <c r="B653" i="55"/>
  <c r="B653" i="57"/>
  <c r="B654" i="57"/>
  <c r="E632" i="55"/>
  <c r="E632" i="57"/>
  <c r="Y632" i="57"/>
  <c r="E576" i="55"/>
  <c r="E576" i="57"/>
  <c r="Y576" i="57"/>
  <c r="E520" i="55"/>
  <c r="Y520" i="57"/>
  <c r="E520" i="57"/>
  <c r="E463" i="55"/>
  <c r="Y463" i="57"/>
  <c r="E463" i="57"/>
  <c r="E397" i="55"/>
  <c r="Y397" i="57"/>
  <c r="E397" i="57"/>
  <c r="E342" i="55"/>
  <c r="E342" i="57"/>
  <c r="Y342" i="57"/>
  <c r="E286" i="55"/>
  <c r="E286" i="57"/>
  <c r="Y286" i="57"/>
  <c r="E230" i="55"/>
  <c r="Y230" i="57"/>
  <c r="E230" i="57"/>
  <c r="Y170" i="57"/>
  <c r="E170" i="57"/>
  <c r="E124" i="57"/>
  <c r="Y124" i="57"/>
  <c r="E91" i="57"/>
  <c r="Y91" i="57"/>
  <c r="Y65" i="57"/>
  <c r="E65" i="57"/>
  <c r="E39" i="57"/>
  <c r="Y39" i="57"/>
  <c r="S610" i="55"/>
  <c r="S610" i="57"/>
  <c r="D610" i="57"/>
  <c r="S554" i="55"/>
  <c r="S554" i="57"/>
  <c r="D554" i="57"/>
  <c r="S498" i="55"/>
  <c r="S498" i="57"/>
  <c r="D498" i="57"/>
  <c r="S443" i="55"/>
  <c r="D443" i="57"/>
  <c r="S443" i="57"/>
  <c r="S385" i="55"/>
  <c r="D385" i="57"/>
  <c r="S385" i="57"/>
  <c r="S331" i="55"/>
  <c r="S331" i="57"/>
  <c r="D331" i="57"/>
  <c r="S283" i="55"/>
  <c r="S283" i="57"/>
  <c r="D283" i="57"/>
  <c r="S235" i="55"/>
  <c r="D235" i="57"/>
  <c r="S235" i="57"/>
  <c r="D179" i="57"/>
  <c r="AA179" i="57" s="1"/>
  <c r="S179" i="57"/>
  <c r="D124" i="57"/>
  <c r="AA124" i="57" s="1"/>
  <c r="S124" i="57"/>
  <c r="D83" i="57"/>
  <c r="AA83" i="57" s="1"/>
  <c r="S83" i="57"/>
  <c r="S39" i="57"/>
  <c r="D39" i="57"/>
  <c r="E14" i="57"/>
  <c r="Y14" i="57"/>
  <c r="E645" i="55"/>
  <c r="E645" i="57"/>
  <c r="Y645" i="57"/>
  <c r="E613" i="55"/>
  <c r="E613" i="57"/>
  <c r="Y613" i="57"/>
  <c r="E581" i="55"/>
  <c r="E581" i="57"/>
  <c r="Y581" i="57"/>
  <c r="E549" i="55"/>
  <c r="E549" i="57"/>
  <c r="Y549" i="57"/>
  <c r="E517" i="55"/>
  <c r="E517" i="57"/>
  <c r="Y517" i="57"/>
  <c r="E484" i="55"/>
  <c r="E484" i="57"/>
  <c r="Y484" i="57"/>
  <c r="E468" i="55"/>
  <c r="E468" i="57"/>
  <c r="Y468" i="57"/>
  <c r="E422" i="55"/>
  <c r="Y422" i="57"/>
  <c r="E422" i="57"/>
  <c r="E386" i="55"/>
  <c r="E386" i="57"/>
  <c r="Y386" i="57"/>
  <c r="E348" i="55"/>
  <c r="E348" i="57"/>
  <c r="Y348" i="57"/>
  <c r="E315" i="55"/>
  <c r="E315" i="57"/>
  <c r="Y315" i="57"/>
  <c r="E283" i="55"/>
  <c r="Y283" i="57"/>
  <c r="E283" i="57"/>
  <c r="E251" i="55"/>
  <c r="E251" i="57"/>
  <c r="Y251" i="57"/>
  <c r="E219" i="55"/>
  <c r="E219" i="57"/>
  <c r="Y219" i="57"/>
  <c r="Y175" i="57"/>
  <c r="E175" i="57"/>
  <c r="E129" i="57"/>
  <c r="Y129" i="57"/>
  <c r="E104" i="57"/>
  <c r="Y104" i="57"/>
  <c r="E80" i="57"/>
  <c r="Y80" i="57"/>
  <c r="Y62" i="57"/>
  <c r="E62" i="57"/>
  <c r="E28" i="57"/>
  <c r="Y28" i="57"/>
  <c r="E18" i="57"/>
  <c r="Y18" i="57"/>
  <c r="S615" i="55"/>
  <c r="D615" i="57"/>
  <c r="S615" i="57"/>
  <c r="S591" i="55"/>
  <c r="D591" i="57"/>
  <c r="S591" i="57"/>
  <c r="S559" i="55"/>
  <c r="D559" i="57"/>
  <c r="S559" i="57"/>
  <c r="S527" i="55"/>
  <c r="D527" i="57"/>
  <c r="S527" i="57"/>
  <c r="S470" i="55"/>
  <c r="D470" i="57"/>
  <c r="S470" i="57"/>
  <c r="E634" i="55"/>
  <c r="E634" i="57"/>
  <c r="Y634" i="57"/>
  <c r="E618" i="55"/>
  <c r="E618" i="57"/>
  <c r="Y618" i="57"/>
  <c r="E602" i="55"/>
  <c r="E602" i="57"/>
  <c r="Y602" i="57"/>
  <c r="E586" i="55"/>
  <c r="E586" i="57"/>
  <c r="Y586" i="57"/>
  <c r="E570" i="55"/>
  <c r="E570" i="57"/>
  <c r="Y570" i="57"/>
  <c r="E554" i="55"/>
  <c r="E554" i="57"/>
  <c r="Y554" i="57"/>
  <c r="E538" i="55"/>
  <c r="Y538" i="57"/>
  <c r="E538" i="57"/>
  <c r="E522" i="55"/>
  <c r="E522" i="57"/>
  <c r="Y522" i="57"/>
  <c r="E506" i="55"/>
  <c r="Y506" i="57"/>
  <c r="E506" i="57"/>
  <c r="E489" i="55"/>
  <c r="E489" i="57"/>
  <c r="Y489" i="57"/>
  <c r="E481" i="55"/>
  <c r="E481" i="57"/>
  <c r="Y481" i="57"/>
  <c r="E465" i="55"/>
  <c r="E465" i="57"/>
  <c r="Y465" i="57"/>
  <c r="E443" i="55"/>
  <c r="Y443" i="57"/>
  <c r="E443" i="57"/>
  <c r="E427" i="55"/>
  <c r="Y427" i="57"/>
  <c r="E427" i="57"/>
  <c r="E407" i="55"/>
  <c r="E407" i="57"/>
  <c r="Y407" i="57"/>
  <c r="E391" i="55"/>
  <c r="E391" i="57"/>
  <c r="Y391" i="57"/>
  <c r="E374" i="55"/>
  <c r="E374" i="57"/>
  <c r="Y374" i="57"/>
  <c r="E353" i="55"/>
  <c r="E353" i="57"/>
  <c r="Y353" i="57"/>
  <c r="E336" i="55"/>
  <c r="E336" i="57"/>
  <c r="Y336" i="57"/>
  <c r="E320" i="55"/>
  <c r="E320" i="57"/>
  <c r="Y320" i="57"/>
  <c r="E304" i="55"/>
  <c r="E304" i="57"/>
  <c r="Y304" i="57"/>
  <c r="E288" i="55"/>
  <c r="E288" i="57"/>
  <c r="Y288" i="57"/>
  <c r="E272" i="55"/>
  <c r="E272" i="57"/>
  <c r="Y272" i="57"/>
  <c r="E256" i="55"/>
  <c r="E256" i="57"/>
  <c r="Y256" i="57"/>
  <c r="E248" i="55"/>
  <c r="E248" i="57"/>
  <c r="Y248" i="57"/>
  <c r="E232" i="55"/>
  <c r="E232" i="57"/>
  <c r="Y232" i="57"/>
  <c r="E216" i="55"/>
  <c r="E216" i="57"/>
  <c r="Y216" i="57"/>
  <c r="E192" i="57"/>
  <c r="Y192" i="57"/>
  <c r="E172" i="57"/>
  <c r="Y172" i="57"/>
  <c r="E151" i="57"/>
  <c r="Y151" i="57"/>
  <c r="E143" i="57"/>
  <c r="Y143" i="57"/>
  <c r="Y126" i="57"/>
  <c r="E126" i="57"/>
  <c r="Y109" i="57"/>
  <c r="E109" i="57"/>
  <c r="Y93" i="57"/>
  <c r="E93" i="57"/>
  <c r="Y77" i="57"/>
  <c r="E77" i="57"/>
  <c r="E59" i="57"/>
  <c r="Y59" i="57"/>
  <c r="E42" i="57"/>
  <c r="Y42" i="57"/>
  <c r="E23" i="57"/>
  <c r="Y23" i="57"/>
  <c r="E15" i="57"/>
  <c r="Y15" i="57"/>
  <c r="S636" i="55"/>
  <c r="S636" i="57"/>
  <c r="D636" i="57"/>
  <c r="S612" i="55"/>
  <c r="S612" i="57"/>
  <c r="D612" i="57"/>
  <c r="E641" i="55"/>
  <c r="E641" i="57"/>
  <c r="Y641" i="57"/>
  <c r="E633" i="55"/>
  <c r="E633" i="57"/>
  <c r="Y633" i="57"/>
  <c r="E627" i="55"/>
  <c r="Y627" i="57"/>
  <c r="E627" i="57"/>
  <c r="E617" i="55"/>
  <c r="E617" i="57"/>
  <c r="Y617" i="57"/>
  <c r="E609" i="55"/>
  <c r="E609" i="57"/>
  <c r="Y609" i="57"/>
  <c r="E601" i="55"/>
  <c r="E601" i="57"/>
  <c r="Y601" i="57"/>
  <c r="E593" i="55"/>
  <c r="E593" i="57"/>
  <c r="Y593" i="57"/>
  <c r="E585" i="55"/>
  <c r="E585" i="57"/>
  <c r="Y585" i="57"/>
  <c r="E577" i="55"/>
  <c r="E577" i="57"/>
  <c r="Y577" i="57"/>
  <c r="E569" i="55"/>
  <c r="E569" i="57"/>
  <c r="Y569" i="57"/>
  <c r="E561" i="55"/>
  <c r="E561" i="57"/>
  <c r="Y561" i="57"/>
  <c r="E553" i="55"/>
  <c r="E553" i="57"/>
  <c r="Y553" i="57"/>
  <c r="E545" i="55"/>
  <c r="E545" i="57"/>
  <c r="Y545" i="57"/>
  <c r="E537" i="55"/>
  <c r="E537" i="57"/>
  <c r="Y537" i="57"/>
  <c r="E529" i="55"/>
  <c r="E529" i="57"/>
  <c r="Y529" i="57"/>
  <c r="E521" i="55"/>
  <c r="E521" i="57"/>
  <c r="Y521" i="57"/>
  <c r="E513" i="55"/>
  <c r="E513" i="57"/>
  <c r="Y513" i="57"/>
  <c r="E505" i="55"/>
  <c r="E505" i="57"/>
  <c r="Y505" i="57"/>
  <c r="E497" i="55"/>
  <c r="E497" i="57"/>
  <c r="Y497" i="57"/>
  <c r="E488" i="55"/>
  <c r="E488" i="57"/>
  <c r="Y488" i="57"/>
  <c r="E480" i="55"/>
  <c r="E480" i="57"/>
  <c r="Y480" i="57"/>
  <c r="E472" i="55"/>
  <c r="E472" i="57"/>
  <c r="Y472" i="57"/>
  <c r="E464" i="55"/>
  <c r="E464" i="57"/>
  <c r="Y464" i="57"/>
  <c r="E456" i="55"/>
  <c r="E456" i="57"/>
  <c r="Y456" i="57"/>
  <c r="E442" i="55"/>
  <c r="Y442" i="57"/>
  <c r="E442" i="57"/>
  <c r="E434" i="55"/>
  <c r="Y434" i="57"/>
  <c r="E434" i="57"/>
  <c r="E426" i="55"/>
  <c r="E426" i="57"/>
  <c r="Y426" i="57"/>
  <c r="E414" i="55"/>
  <c r="E414" i="57"/>
  <c r="Y414" i="57"/>
  <c r="E406" i="55"/>
  <c r="E406" i="57"/>
  <c r="Y406" i="57"/>
  <c r="E398" i="55"/>
  <c r="E398" i="57"/>
  <c r="Y398" i="57"/>
  <c r="E390" i="55"/>
  <c r="E390" i="57"/>
  <c r="Y390" i="57"/>
  <c r="E382" i="55"/>
  <c r="E382" i="57"/>
  <c r="Y382" i="57"/>
  <c r="E373" i="55"/>
  <c r="E373" i="57"/>
  <c r="Y373" i="57"/>
  <c r="E365" i="55"/>
  <c r="E365" i="57"/>
  <c r="Y365" i="57"/>
  <c r="E352" i="55"/>
  <c r="Y352" i="57"/>
  <c r="E352" i="57"/>
  <c r="E343" i="55"/>
  <c r="Y343" i="57"/>
  <c r="E343" i="57"/>
  <c r="E335" i="55"/>
  <c r="E335" i="57"/>
  <c r="Y335" i="57"/>
  <c r="E327" i="55"/>
  <c r="E327" i="57"/>
  <c r="Y327" i="57"/>
  <c r="E319" i="55"/>
  <c r="E319" i="57"/>
  <c r="Y319" i="57"/>
  <c r="E311" i="55"/>
  <c r="E311" i="57"/>
  <c r="Y311" i="57"/>
  <c r="E303" i="55"/>
  <c r="E303" i="57"/>
  <c r="Y303" i="57"/>
  <c r="E295" i="55"/>
  <c r="E295" i="57"/>
  <c r="Y295" i="57"/>
  <c r="E287" i="55"/>
  <c r="E287" i="57"/>
  <c r="Y287" i="57"/>
  <c r="E279" i="55"/>
  <c r="E279" i="57"/>
  <c r="Y279" i="57"/>
  <c r="E271" i="55"/>
  <c r="E271" i="57"/>
  <c r="Y271" i="57"/>
  <c r="E263" i="55"/>
  <c r="Y263" i="57"/>
  <c r="E263" i="57"/>
  <c r="E255" i="55"/>
  <c r="Y255" i="57"/>
  <c r="E255" i="57"/>
  <c r="E247" i="55"/>
  <c r="Y247" i="57"/>
  <c r="E247" i="57"/>
  <c r="E239" i="55"/>
  <c r="Y239" i="57"/>
  <c r="E239" i="57"/>
  <c r="E231" i="55"/>
  <c r="Y231" i="57"/>
  <c r="E231" i="57"/>
  <c r="E223" i="55"/>
  <c r="Y223" i="57"/>
  <c r="E223" i="57"/>
  <c r="E215" i="55"/>
  <c r="Y215" i="57"/>
  <c r="E215" i="57"/>
  <c r="Y199" i="57"/>
  <c r="E199" i="57"/>
  <c r="Y191" i="57"/>
  <c r="E191" i="57"/>
  <c r="E180" i="57"/>
  <c r="Y180" i="57"/>
  <c r="E171" i="57"/>
  <c r="Y171" i="57"/>
  <c r="Y158" i="57"/>
  <c r="E158" i="57"/>
  <c r="Y150" i="57"/>
  <c r="E150" i="57"/>
  <c r="Y142" i="57"/>
  <c r="E142" i="57"/>
  <c r="Y133" i="57"/>
  <c r="E133" i="57"/>
  <c r="Y125" i="57"/>
  <c r="E125" i="57"/>
  <c r="Y117" i="57"/>
  <c r="E117" i="57"/>
  <c r="E108" i="57"/>
  <c r="Y108" i="57"/>
  <c r="E100" i="57"/>
  <c r="Y100" i="57"/>
  <c r="E92" i="57"/>
  <c r="Y92" i="57"/>
  <c r="E84" i="57"/>
  <c r="Y84" i="57"/>
  <c r="E76" i="57"/>
  <c r="Y76" i="57"/>
  <c r="E66" i="57"/>
  <c r="Y66" i="57"/>
  <c r="E41" i="57"/>
  <c r="Y41" i="57"/>
  <c r="E40" i="57"/>
  <c r="Y40" i="57"/>
  <c r="E32" i="57"/>
  <c r="Y32" i="57"/>
  <c r="E22" i="57"/>
  <c r="Y22" i="57"/>
  <c r="E187" i="57"/>
  <c r="Y187" i="57"/>
  <c r="S643" i="55"/>
  <c r="D643" i="57"/>
  <c r="S643" i="57"/>
  <c r="S635" i="55"/>
  <c r="D635" i="57"/>
  <c r="S635" i="57"/>
  <c r="D50" i="57"/>
  <c r="AA50" i="57" s="1"/>
  <c r="S50" i="57"/>
  <c r="S620" i="55"/>
  <c r="S620" i="57"/>
  <c r="D620" i="57"/>
  <c r="S611" i="55"/>
  <c r="D611" i="57"/>
  <c r="S611" i="57"/>
  <c r="S603" i="55"/>
  <c r="D603" i="57"/>
  <c r="S603" i="57"/>
  <c r="S595" i="55"/>
  <c r="D595" i="57"/>
  <c r="S595" i="57"/>
  <c r="S587" i="55"/>
  <c r="D587" i="57"/>
  <c r="S587" i="57"/>
  <c r="S579" i="55"/>
  <c r="D579" i="57"/>
  <c r="S579" i="57"/>
  <c r="S571" i="55"/>
  <c r="D571" i="57"/>
  <c r="S571" i="57"/>
  <c r="S563" i="55"/>
  <c r="D563" i="57"/>
  <c r="S563" i="57"/>
  <c r="S555" i="55"/>
  <c r="D555" i="57"/>
  <c r="S555" i="57"/>
  <c r="S547" i="55"/>
  <c r="S547" i="57"/>
  <c r="D547" i="57"/>
  <c r="S539" i="55"/>
  <c r="S539" i="57"/>
  <c r="D539" i="57"/>
  <c r="S531" i="55"/>
  <c r="S531" i="57"/>
  <c r="D531" i="57"/>
  <c r="S523" i="55"/>
  <c r="S523" i="57"/>
  <c r="D523" i="57"/>
  <c r="S515" i="55"/>
  <c r="S515" i="57"/>
  <c r="D515" i="57"/>
  <c r="S507" i="55"/>
  <c r="S507" i="57"/>
  <c r="D507" i="57"/>
  <c r="S499" i="55"/>
  <c r="D499" i="57"/>
  <c r="S499" i="57"/>
  <c r="S490" i="55"/>
  <c r="S490" i="57"/>
  <c r="D490" i="57"/>
  <c r="S482" i="55"/>
  <c r="S482" i="57"/>
  <c r="D482" i="57"/>
  <c r="S474" i="55"/>
  <c r="S474" i="57"/>
  <c r="D474" i="57"/>
  <c r="S466" i="55"/>
  <c r="S466" i="57"/>
  <c r="D466" i="57"/>
  <c r="S458" i="55"/>
  <c r="S458" i="57"/>
  <c r="D458" i="57"/>
  <c r="S444" i="55"/>
  <c r="S444" i="57"/>
  <c r="D444" i="57"/>
  <c r="S436" i="55"/>
  <c r="S436" i="57"/>
  <c r="D436" i="57"/>
  <c r="S428" i="55"/>
  <c r="S428" i="57"/>
  <c r="D428" i="57"/>
  <c r="S420" i="55"/>
  <c r="S420" i="57"/>
  <c r="D420" i="57"/>
  <c r="S410" i="55"/>
  <c r="S410" i="57"/>
  <c r="D410" i="57"/>
  <c r="S402" i="55"/>
  <c r="S402" i="57"/>
  <c r="D402" i="57"/>
  <c r="S394" i="55"/>
  <c r="S394" i="57"/>
  <c r="D394" i="57"/>
  <c r="S386" i="55"/>
  <c r="S386" i="57"/>
  <c r="D386" i="57"/>
  <c r="S378" i="55"/>
  <c r="D378" i="57"/>
  <c r="S378" i="57"/>
  <c r="S370" i="55"/>
  <c r="D370" i="57"/>
  <c r="S370" i="57"/>
  <c r="S362" i="55"/>
  <c r="D362" i="57"/>
  <c r="S362" i="57"/>
  <c r="S349" i="55"/>
  <c r="S349" i="57"/>
  <c r="D349" i="57"/>
  <c r="S340" i="55"/>
  <c r="S340" i="57"/>
  <c r="D340" i="57"/>
  <c r="S332" i="55"/>
  <c r="S332" i="57"/>
  <c r="D332" i="57"/>
  <c r="S324" i="55"/>
  <c r="S324" i="57"/>
  <c r="D324" i="57"/>
  <c r="S316" i="55"/>
  <c r="S316" i="57"/>
  <c r="D316" i="57"/>
  <c r="S308" i="55"/>
  <c r="S308" i="57"/>
  <c r="D308" i="57"/>
  <c r="S300" i="55"/>
  <c r="S300" i="57"/>
  <c r="D300" i="57"/>
  <c r="S292" i="55"/>
  <c r="S292" i="57"/>
  <c r="D292" i="57"/>
  <c r="S284" i="55"/>
  <c r="S284" i="57"/>
  <c r="D284" i="57"/>
  <c r="S276" i="55"/>
  <c r="S276" i="57"/>
  <c r="D276" i="57"/>
  <c r="S268" i="55"/>
  <c r="S268" i="57"/>
  <c r="D268" i="57"/>
  <c r="S260" i="55"/>
  <c r="D260" i="57"/>
  <c r="S260" i="57"/>
  <c r="S252" i="55"/>
  <c r="D252" i="57"/>
  <c r="S252" i="57"/>
  <c r="S244" i="55"/>
  <c r="D244" i="57"/>
  <c r="S244" i="57"/>
  <c r="S236" i="55"/>
  <c r="D236" i="57"/>
  <c r="S236" i="57"/>
  <c r="S228" i="55"/>
  <c r="D228" i="57"/>
  <c r="S228" i="57"/>
  <c r="S220" i="55"/>
  <c r="D220" i="57"/>
  <c r="S220" i="57"/>
  <c r="S212" i="55"/>
  <c r="D212" i="57"/>
  <c r="S212" i="57"/>
  <c r="D196" i="57"/>
  <c r="AA196" i="57" s="1"/>
  <c r="S196" i="57"/>
  <c r="D188" i="57"/>
  <c r="AA188" i="57" s="1"/>
  <c r="S188" i="57"/>
  <c r="D180" i="57"/>
  <c r="AA180" i="57" s="1"/>
  <c r="S180" i="57"/>
  <c r="D171" i="57"/>
  <c r="AA171" i="57" s="1"/>
  <c r="S171" i="57"/>
  <c r="S158" i="57"/>
  <c r="D158" i="57"/>
  <c r="AA158" i="57" s="1"/>
  <c r="S150" i="57"/>
  <c r="D150" i="57"/>
  <c r="AA150" i="57" s="1"/>
  <c r="S142" i="57"/>
  <c r="D142" i="57"/>
  <c r="AA142" i="57" s="1"/>
  <c r="D133" i="57"/>
  <c r="AA133" i="57" s="1"/>
  <c r="S133" i="57"/>
  <c r="D125" i="57"/>
  <c r="AA125" i="57" s="1"/>
  <c r="S125" i="57"/>
  <c r="D117" i="57"/>
  <c r="AA117" i="57" s="1"/>
  <c r="S117" i="57"/>
  <c r="D108" i="57"/>
  <c r="AA108" i="57" s="1"/>
  <c r="S108" i="57"/>
  <c r="D100" i="57"/>
  <c r="AA100" i="57" s="1"/>
  <c r="S100" i="57"/>
  <c r="D92" i="57"/>
  <c r="AA92" i="57" s="1"/>
  <c r="S92" i="57"/>
  <c r="D84" i="57"/>
  <c r="AA84" i="57" s="1"/>
  <c r="S84" i="57"/>
  <c r="D76" i="57"/>
  <c r="AA76" i="57" s="1"/>
  <c r="S76" i="57"/>
  <c r="D66" i="57"/>
  <c r="AA66" i="57" s="1"/>
  <c r="S66" i="57"/>
  <c r="D41" i="57"/>
  <c r="S41" i="57"/>
  <c r="S40" i="57"/>
  <c r="D40" i="57"/>
  <c r="S32" i="57"/>
  <c r="D32" i="57"/>
  <c r="S22" i="57"/>
  <c r="D22" i="57"/>
  <c r="D14" i="57"/>
  <c r="S14" i="57"/>
  <c r="P622" i="55"/>
  <c r="P623" i="55" s="1"/>
  <c r="P624" i="55" s="1"/>
  <c r="P625" i="55" s="1"/>
  <c r="P626" i="55" s="1"/>
  <c r="P627" i="55" s="1"/>
  <c r="P628" i="55" s="1"/>
  <c r="P629" i="55" s="1"/>
  <c r="P630" i="55" s="1"/>
  <c r="P631" i="55" s="1"/>
  <c r="P632" i="55" s="1"/>
  <c r="P633" i="55" s="1"/>
  <c r="P634" i="55" s="1"/>
  <c r="P635" i="55" s="1"/>
  <c r="P636" i="55" s="1"/>
  <c r="P637" i="55" s="1"/>
  <c r="P638" i="55" s="1"/>
  <c r="P639" i="55" s="1"/>
  <c r="P640" i="55" s="1"/>
  <c r="P641" i="55" s="1"/>
  <c r="P642" i="55" s="1"/>
  <c r="P643" i="55" s="1"/>
  <c r="P644" i="55" s="1"/>
  <c r="P645" i="55" s="1"/>
  <c r="P646" i="55" s="1"/>
  <c r="P647" i="55" s="1"/>
  <c r="P621" i="55"/>
  <c r="B655" i="57"/>
  <c r="E180" i="55"/>
  <c r="Y180" i="60"/>
  <c r="E180" i="60"/>
  <c r="E142" i="55"/>
  <c r="E142" i="60"/>
  <c r="Y142" i="60"/>
  <c r="E100" i="55"/>
  <c r="E100" i="60"/>
  <c r="Y100" i="60"/>
  <c r="E76" i="55"/>
  <c r="Y76" i="60"/>
  <c r="E76" i="60"/>
  <c r="E40" i="55"/>
  <c r="Y40" i="60"/>
  <c r="E40" i="60"/>
  <c r="E187" i="55"/>
  <c r="E187" i="60"/>
  <c r="Y187" i="60"/>
  <c r="E157" i="55"/>
  <c r="E157" i="60"/>
  <c r="Y157" i="60"/>
  <c r="E197" i="55"/>
  <c r="E197" i="60"/>
  <c r="Y197" i="60"/>
  <c r="E189" i="55"/>
  <c r="E189" i="60"/>
  <c r="Y189" i="60"/>
  <c r="E178" i="55"/>
  <c r="E178" i="60"/>
  <c r="Y178" i="60"/>
  <c r="E167" i="55"/>
  <c r="E167" i="60"/>
  <c r="Y167" i="60"/>
  <c r="E156" i="55"/>
  <c r="E156" i="60"/>
  <c r="Y156" i="60"/>
  <c r="E148" i="55"/>
  <c r="E148" i="60"/>
  <c r="Y148" i="60"/>
  <c r="E140" i="55"/>
  <c r="Y140" i="60"/>
  <c r="E140" i="60"/>
  <c r="E131" i="55"/>
  <c r="E131" i="60"/>
  <c r="Y131" i="60"/>
  <c r="E123" i="55"/>
  <c r="Y123" i="60"/>
  <c r="E123" i="60"/>
  <c r="E115" i="55"/>
  <c r="Y115" i="60"/>
  <c r="E115" i="60"/>
  <c r="E106" i="55"/>
  <c r="E106" i="60"/>
  <c r="Y106" i="60"/>
  <c r="E98" i="55"/>
  <c r="E98" i="60"/>
  <c r="Y98" i="60"/>
  <c r="E90" i="55"/>
  <c r="Y90" i="60"/>
  <c r="E90" i="60"/>
  <c r="E82" i="55"/>
  <c r="E82" i="60"/>
  <c r="Y82" i="60"/>
  <c r="E74" i="55"/>
  <c r="Y74" i="60"/>
  <c r="E74" i="60"/>
  <c r="E64" i="55"/>
  <c r="E64" i="60"/>
  <c r="Y64" i="60"/>
  <c r="E47" i="55"/>
  <c r="E47" i="60"/>
  <c r="Y47" i="60"/>
  <c r="E38" i="55"/>
  <c r="E38" i="60"/>
  <c r="Y38" i="60"/>
  <c r="E30" i="55"/>
  <c r="E30" i="60"/>
  <c r="Y30" i="60"/>
  <c r="E20" i="55"/>
  <c r="Y20" i="60"/>
  <c r="E20" i="60"/>
  <c r="E185" i="55"/>
  <c r="E185" i="60"/>
  <c r="Y185" i="60"/>
  <c r="B209" i="60"/>
  <c r="B651" i="57"/>
  <c r="B657" i="57"/>
  <c r="E198" i="55"/>
  <c r="E198" i="60"/>
  <c r="Y198" i="60"/>
  <c r="E141" i="55"/>
  <c r="Y141" i="60"/>
  <c r="E141" i="60"/>
  <c r="E107" i="55"/>
  <c r="E107" i="60"/>
  <c r="Y107" i="60"/>
  <c r="E75" i="55"/>
  <c r="Y75" i="60"/>
  <c r="E75" i="60"/>
  <c r="E31" i="55"/>
  <c r="E31" i="60"/>
  <c r="Y31" i="60"/>
  <c r="E196" i="55"/>
  <c r="E196" i="60"/>
  <c r="Y196" i="60"/>
  <c r="E188" i="55"/>
  <c r="E188" i="60"/>
  <c r="Y188" i="60"/>
  <c r="E177" i="55"/>
  <c r="E177" i="60"/>
  <c r="Y177" i="60"/>
  <c r="E163" i="55"/>
  <c r="E163" i="60"/>
  <c r="Y163" i="60"/>
  <c r="E155" i="55"/>
  <c r="E155" i="60"/>
  <c r="Y155" i="60"/>
  <c r="E147" i="55"/>
  <c r="E147" i="60"/>
  <c r="Y147" i="60"/>
  <c r="E139" i="55"/>
  <c r="Y139" i="60"/>
  <c r="E139" i="60"/>
  <c r="E130" i="55"/>
  <c r="E130" i="60"/>
  <c r="Y130" i="60"/>
  <c r="E122" i="55"/>
  <c r="Y122" i="60"/>
  <c r="E122" i="60"/>
  <c r="E114" i="55"/>
  <c r="E114" i="60"/>
  <c r="Y114" i="60"/>
  <c r="E105" i="55"/>
  <c r="E105" i="60"/>
  <c r="Y105" i="60"/>
  <c r="E97" i="55"/>
  <c r="E97" i="60"/>
  <c r="Y97" i="60"/>
  <c r="E89" i="55"/>
  <c r="Y89" i="60"/>
  <c r="E89" i="60"/>
  <c r="E81" i="55"/>
  <c r="E81" i="60"/>
  <c r="Y81" i="60"/>
  <c r="E73" i="55"/>
  <c r="Y73" i="60"/>
  <c r="E73" i="60"/>
  <c r="E63" i="55"/>
  <c r="E63" i="60"/>
  <c r="Y63" i="60"/>
  <c r="E46" i="55"/>
  <c r="E46" i="60"/>
  <c r="Y46" i="60"/>
  <c r="E37" i="55"/>
  <c r="E37" i="60"/>
  <c r="Y37" i="60"/>
  <c r="E29" i="55"/>
  <c r="E29" i="60"/>
  <c r="Y29" i="60"/>
  <c r="E19" i="55"/>
  <c r="Y19" i="60"/>
  <c r="E19" i="60"/>
  <c r="B205" i="60"/>
  <c r="B211" i="60"/>
  <c r="E191" i="55"/>
  <c r="E191" i="60"/>
  <c r="Y191" i="60"/>
  <c r="E170" i="55"/>
  <c r="E170" i="60"/>
  <c r="Y170" i="60"/>
  <c r="E124" i="55"/>
  <c r="Y124" i="60"/>
  <c r="E124" i="60"/>
  <c r="E91" i="55"/>
  <c r="Y91" i="60"/>
  <c r="E91" i="60"/>
  <c r="E39" i="55"/>
  <c r="Y39" i="60"/>
  <c r="E39" i="60"/>
  <c r="E168" i="55"/>
  <c r="E168" i="60"/>
  <c r="Y168" i="60"/>
  <c r="E14" i="55"/>
  <c r="Y14" i="60"/>
  <c r="E14" i="60"/>
  <c r="E195" i="55"/>
  <c r="E195" i="60"/>
  <c r="Y195" i="60"/>
  <c r="E184" i="55"/>
  <c r="E184" i="60"/>
  <c r="Y184" i="60"/>
  <c r="E175" i="55"/>
  <c r="E175" i="60"/>
  <c r="Y175" i="60"/>
  <c r="E162" i="55"/>
  <c r="E162" i="60"/>
  <c r="Y162" i="60"/>
  <c r="E154" i="55"/>
  <c r="E154" i="60"/>
  <c r="Y154" i="60"/>
  <c r="E146" i="55"/>
  <c r="E146" i="60"/>
  <c r="Y146" i="60"/>
  <c r="E138" i="55"/>
  <c r="Y138" i="60"/>
  <c r="E138" i="60"/>
  <c r="E129" i="55"/>
  <c r="E129" i="60"/>
  <c r="Y129" i="60"/>
  <c r="E121" i="55"/>
  <c r="Y121" i="60"/>
  <c r="E121" i="60"/>
  <c r="E112" i="55"/>
  <c r="E112" i="60"/>
  <c r="Y112" i="60"/>
  <c r="E104" i="55"/>
  <c r="E104" i="60"/>
  <c r="Y104" i="60"/>
  <c r="E96" i="55"/>
  <c r="E96" i="60"/>
  <c r="Y96" i="60"/>
  <c r="E88" i="55"/>
  <c r="E88" i="60"/>
  <c r="Y88" i="60"/>
  <c r="E80" i="55"/>
  <c r="E80" i="60"/>
  <c r="Y80" i="60"/>
  <c r="E70" i="55"/>
  <c r="E70" i="60"/>
  <c r="Y70" i="60"/>
  <c r="E62" i="55"/>
  <c r="E62" i="60"/>
  <c r="Y62" i="60"/>
  <c r="E45" i="55"/>
  <c r="E45" i="60"/>
  <c r="Y45" i="60"/>
  <c r="E36" i="55"/>
  <c r="E36" i="60"/>
  <c r="Y36" i="60"/>
  <c r="E28" i="55"/>
  <c r="E28" i="60"/>
  <c r="Y28" i="60"/>
  <c r="E18" i="55"/>
  <c r="Y18" i="60"/>
  <c r="E18" i="60"/>
  <c r="Y169" i="60"/>
  <c r="E199" i="55"/>
  <c r="E199" i="60"/>
  <c r="Y199" i="60"/>
  <c r="E158" i="55"/>
  <c r="E158" i="60"/>
  <c r="Y158" i="60"/>
  <c r="E125" i="55"/>
  <c r="Y125" i="60"/>
  <c r="E125" i="60"/>
  <c r="E149" i="55"/>
  <c r="E149" i="60"/>
  <c r="Y149" i="60"/>
  <c r="E194" i="55"/>
  <c r="E194" i="60"/>
  <c r="Y194" i="60"/>
  <c r="E183" i="55"/>
  <c r="E183" i="60"/>
  <c r="Y183" i="60"/>
  <c r="E174" i="55"/>
  <c r="E174" i="60"/>
  <c r="Y174" i="60"/>
  <c r="E161" i="55"/>
  <c r="E161" i="60"/>
  <c r="Y161" i="60"/>
  <c r="E153" i="55"/>
  <c r="E153" i="60"/>
  <c r="Y153" i="60"/>
  <c r="E145" i="55"/>
  <c r="E145" i="60"/>
  <c r="Y145" i="60"/>
  <c r="E137" i="55"/>
  <c r="E137" i="60"/>
  <c r="Y137" i="60"/>
  <c r="E128" i="55"/>
  <c r="E128" i="60"/>
  <c r="Y128" i="60"/>
  <c r="E120" i="55"/>
  <c r="Y120" i="60"/>
  <c r="E120" i="60"/>
  <c r="E111" i="55"/>
  <c r="E111" i="60"/>
  <c r="Y111" i="60"/>
  <c r="E103" i="55"/>
  <c r="E103" i="60"/>
  <c r="Y103" i="60"/>
  <c r="E95" i="55"/>
  <c r="E95" i="60"/>
  <c r="Y95" i="60"/>
  <c r="E87" i="55"/>
  <c r="E87" i="60"/>
  <c r="Y87" i="60"/>
  <c r="E79" i="55"/>
  <c r="E79" i="60"/>
  <c r="Y79" i="60"/>
  <c r="E69" i="55"/>
  <c r="E69" i="60"/>
  <c r="Y69" i="60"/>
  <c r="E61" i="55"/>
  <c r="E61" i="60"/>
  <c r="Y61" i="60"/>
  <c r="E44" i="55"/>
  <c r="E44" i="60"/>
  <c r="Y44" i="60"/>
  <c r="E35" i="55"/>
  <c r="E35" i="60"/>
  <c r="Y35" i="60"/>
  <c r="E27" i="55"/>
  <c r="E27" i="60"/>
  <c r="Y27" i="60"/>
  <c r="E17" i="55"/>
  <c r="Y17" i="60"/>
  <c r="E17" i="60"/>
  <c r="E171" i="55"/>
  <c r="E171" i="60"/>
  <c r="Y171" i="60"/>
  <c r="E133" i="55"/>
  <c r="E133" i="60"/>
  <c r="Y133" i="60"/>
  <c r="E108" i="55"/>
  <c r="E108" i="60"/>
  <c r="Y108" i="60"/>
  <c r="E84" i="55"/>
  <c r="E84" i="60"/>
  <c r="Y84" i="60"/>
  <c r="E41" i="55"/>
  <c r="Y41" i="60"/>
  <c r="E41" i="60"/>
  <c r="E22" i="55"/>
  <c r="Y22" i="60"/>
  <c r="E22" i="60"/>
  <c r="E179" i="55"/>
  <c r="Y179" i="60"/>
  <c r="E179" i="60"/>
  <c r="E116" i="55"/>
  <c r="Y116" i="60"/>
  <c r="E116" i="60"/>
  <c r="E65" i="55"/>
  <c r="E65" i="60"/>
  <c r="Y65" i="60"/>
  <c r="E50" i="55"/>
  <c r="E50" i="60"/>
  <c r="Y50" i="60"/>
  <c r="E193" i="55"/>
  <c r="E193" i="60"/>
  <c r="Y193" i="60"/>
  <c r="E182" i="55"/>
  <c r="Y182" i="60"/>
  <c r="E182" i="60"/>
  <c r="E173" i="55"/>
  <c r="E173" i="60"/>
  <c r="Y173" i="60"/>
  <c r="E160" i="55"/>
  <c r="E160" i="60"/>
  <c r="Y160" i="60"/>
  <c r="E152" i="55"/>
  <c r="E152" i="60"/>
  <c r="Y152" i="60"/>
  <c r="E144" i="55"/>
  <c r="E144" i="60"/>
  <c r="Y144" i="60"/>
  <c r="E135" i="55"/>
  <c r="E135" i="60"/>
  <c r="Y135" i="60"/>
  <c r="E127" i="55"/>
  <c r="E127" i="60"/>
  <c r="Y127" i="60"/>
  <c r="E119" i="55"/>
  <c r="Y119" i="60"/>
  <c r="E119" i="60"/>
  <c r="E110" i="55"/>
  <c r="E110" i="60"/>
  <c r="Y110" i="60"/>
  <c r="E102" i="55"/>
  <c r="E102" i="60"/>
  <c r="Y102" i="60"/>
  <c r="E94" i="55"/>
  <c r="E94" i="60"/>
  <c r="Y94" i="60"/>
  <c r="E86" i="55"/>
  <c r="E86" i="60"/>
  <c r="Y86" i="60"/>
  <c r="E78" i="55"/>
  <c r="E78" i="60"/>
  <c r="Y78" i="60"/>
  <c r="E68" i="55"/>
  <c r="E68" i="60"/>
  <c r="Y68" i="60"/>
  <c r="E60" i="55"/>
  <c r="Y60" i="60"/>
  <c r="E60" i="60"/>
  <c r="E43" i="55"/>
  <c r="E43" i="60"/>
  <c r="Y43" i="60"/>
  <c r="E34" i="55"/>
  <c r="E34" i="60"/>
  <c r="Y34" i="60"/>
  <c r="E24" i="55"/>
  <c r="Y24" i="60"/>
  <c r="E24" i="60"/>
  <c r="E16" i="55"/>
  <c r="Y16" i="60"/>
  <c r="E16" i="60"/>
  <c r="E150" i="55"/>
  <c r="E150" i="60"/>
  <c r="Y150" i="60"/>
  <c r="E117" i="55"/>
  <c r="Y117" i="60"/>
  <c r="E117" i="60"/>
  <c r="E92" i="55"/>
  <c r="Y92" i="60"/>
  <c r="E92" i="60"/>
  <c r="E66" i="55"/>
  <c r="E66" i="60"/>
  <c r="Y66" i="60"/>
  <c r="E32" i="55"/>
  <c r="E32" i="60"/>
  <c r="Y32" i="60"/>
  <c r="E190" i="55"/>
  <c r="E190" i="60"/>
  <c r="Y190" i="60"/>
  <c r="E132" i="55"/>
  <c r="E132" i="60"/>
  <c r="Y132" i="60"/>
  <c r="E99" i="55"/>
  <c r="E99" i="60"/>
  <c r="Y99" i="60"/>
  <c r="E83" i="55"/>
  <c r="E83" i="60"/>
  <c r="Y83" i="60"/>
  <c r="E48" i="55"/>
  <c r="E48" i="60"/>
  <c r="Y48" i="60"/>
  <c r="E21" i="55"/>
  <c r="Y21" i="60"/>
  <c r="E21" i="60"/>
  <c r="E186" i="55"/>
  <c r="E186" i="60"/>
  <c r="Y186" i="60"/>
  <c r="E49" i="55"/>
  <c r="E49" i="60"/>
  <c r="Y49" i="60"/>
  <c r="E192" i="55"/>
  <c r="E192" i="60"/>
  <c r="Y192" i="60"/>
  <c r="E181" i="55"/>
  <c r="Y181" i="60"/>
  <c r="E181" i="60"/>
  <c r="E172" i="55"/>
  <c r="E172" i="60"/>
  <c r="Y172" i="60"/>
  <c r="E159" i="55"/>
  <c r="E159" i="60"/>
  <c r="Y159" i="60"/>
  <c r="E151" i="55"/>
  <c r="E151" i="60"/>
  <c r="Y151" i="60"/>
  <c r="E143" i="55"/>
  <c r="E143" i="60"/>
  <c r="Y143" i="60"/>
  <c r="E134" i="55"/>
  <c r="E134" i="60"/>
  <c r="Y134" i="60"/>
  <c r="E126" i="55"/>
  <c r="E126" i="60"/>
  <c r="Y126" i="60"/>
  <c r="E118" i="55"/>
  <c r="Y118" i="60"/>
  <c r="E118" i="60"/>
  <c r="E109" i="55"/>
  <c r="E109" i="60"/>
  <c r="Y109" i="60"/>
  <c r="E101" i="55"/>
  <c r="E101" i="60"/>
  <c r="Y101" i="60"/>
  <c r="E93" i="55"/>
  <c r="E93" i="60"/>
  <c r="Y93" i="60"/>
  <c r="E85" i="55"/>
  <c r="E85" i="60"/>
  <c r="Y85" i="60"/>
  <c r="E77" i="55"/>
  <c r="E77" i="60"/>
  <c r="Y77" i="60"/>
  <c r="E67" i="55"/>
  <c r="E67" i="60"/>
  <c r="Y67" i="60"/>
  <c r="E59" i="55"/>
  <c r="Y59" i="60"/>
  <c r="E59" i="60"/>
  <c r="E42" i="55"/>
  <c r="Y42" i="60"/>
  <c r="E42" i="60"/>
  <c r="E33" i="55"/>
  <c r="E33" i="60"/>
  <c r="Y33" i="60"/>
  <c r="E23" i="55"/>
  <c r="Y23" i="60"/>
  <c r="E23" i="60"/>
  <c r="E15" i="55"/>
  <c r="Y15" i="60"/>
  <c r="E15" i="60"/>
  <c r="B204" i="60"/>
  <c r="S198" i="55"/>
  <c r="S198" i="60"/>
  <c r="S135" i="55"/>
  <c r="S135" i="60"/>
  <c r="S78" i="55"/>
  <c r="S78" i="60"/>
  <c r="S160" i="55"/>
  <c r="S160" i="60"/>
  <c r="S102" i="55"/>
  <c r="S102" i="60"/>
  <c r="S43" i="55"/>
  <c r="S43" i="60"/>
  <c r="S172" i="55"/>
  <c r="S172" i="60"/>
  <c r="S118" i="55"/>
  <c r="S118" i="60"/>
  <c r="S77" i="55"/>
  <c r="S77" i="60"/>
  <c r="S33" i="60"/>
  <c r="S50" i="60"/>
  <c r="S196" i="55"/>
  <c r="S196" i="60"/>
  <c r="S188" i="55"/>
  <c r="S188" i="60"/>
  <c r="S180" i="55"/>
  <c r="S180" i="60"/>
  <c r="S171" i="55"/>
  <c r="S171" i="60"/>
  <c r="S158" i="55"/>
  <c r="S158" i="60"/>
  <c r="S150" i="55"/>
  <c r="S150" i="60"/>
  <c r="S142" i="55"/>
  <c r="S142" i="60"/>
  <c r="S133" i="55"/>
  <c r="S133" i="60"/>
  <c r="S125" i="55"/>
  <c r="S125" i="60"/>
  <c r="S117" i="55"/>
  <c r="S117" i="60"/>
  <c r="S108" i="55"/>
  <c r="S108" i="60"/>
  <c r="S100" i="55"/>
  <c r="S100" i="60"/>
  <c r="S92" i="55"/>
  <c r="S92" i="60"/>
  <c r="S84" i="55"/>
  <c r="S84" i="60"/>
  <c r="S76" i="55"/>
  <c r="S76" i="60"/>
  <c r="S66" i="55"/>
  <c r="S66" i="60"/>
  <c r="S41" i="55"/>
  <c r="S41" i="60"/>
  <c r="S40" i="55"/>
  <c r="S40" i="60"/>
  <c r="S32" i="55"/>
  <c r="S32" i="60"/>
  <c r="S22" i="55"/>
  <c r="S22" i="60"/>
  <c r="S14" i="55"/>
  <c r="S14" i="60"/>
  <c r="S190" i="55"/>
  <c r="S190" i="60"/>
  <c r="S119" i="55"/>
  <c r="S119" i="60"/>
  <c r="S86" i="55"/>
  <c r="S86" i="60"/>
  <c r="S16" i="55"/>
  <c r="S16" i="60"/>
  <c r="S189" i="55"/>
  <c r="S189" i="60"/>
  <c r="S126" i="55"/>
  <c r="S126" i="60"/>
  <c r="S85" i="55"/>
  <c r="S85" i="60"/>
  <c r="S42" i="55"/>
  <c r="S42" i="60"/>
  <c r="S49" i="60"/>
  <c r="S195" i="55"/>
  <c r="S195" i="60"/>
  <c r="S187" i="55"/>
  <c r="S187" i="60"/>
  <c r="S179" i="55"/>
  <c r="S179" i="60"/>
  <c r="S170" i="55"/>
  <c r="S170" i="60"/>
  <c r="S157" i="55"/>
  <c r="S157" i="60"/>
  <c r="S149" i="55"/>
  <c r="S149" i="60"/>
  <c r="S141" i="55"/>
  <c r="S141" i="60"/>
  <c r="S132" i="55"/>
  <c r="S132" i="60"/>
  <c r="S124" i="55"/>
  <c r="S124" i="60"/>
  <c r="S116" i="55"/>
  <c r="S116" i="60"/>
  <c r="S107" i="55"/>
  <c r="S107" i="60"/>
  <c r="S99" i="55"/>
  <c r="S99" i="60"/>
  <c r="S91" i="55"/>
  <c r="S91" i="60"/>
  <c r="S83" i="55"/>
  <c r="S83" i="60"/>
  <c r="S75" i="55"/>
  <c r="S75" i="60"/>
  <c r="S65" i="55"/>
  <c r="S65" i="60"/>
  <c r="S48" i="55"/>
  <c r="S48" i="60"/>
  <c r="S39" i="55"/>
  <c r="S39" i="60"/>
  <c r="S31" i="55"/>
  <c r="S31" i="60"/>
  <c r="S21" i="55"/>
  <c r="S21" i="60"/>
  <c r="S152" i="55"/>
  <c r="S152" i="60"/>
  <c r="S60" i="55"/>
  <c r="S60" i="60"/>
  <c r="S197" i="55"/>
  <c r="S197" i="60"/>
  <c r="S134" i="55"/>
  <c r="S134" i="60"/>
  <c r="S67" i="55"/>
  <c r="S67" i="60"/>
  <c r="S23" i="60"/>
  <c r="S194" i="55"/>
  <c r="S194" i="60"/>
  <c r="S186" i="55"/>
  <c r="S186" i="60"/>
  <c r="S178" i="55"/>
  <c r="S178" i="60"/>
  <c r="S167" i="55"/>
  <c r="S167" i="60"/>
  <c r="S156" i="55"/>
  <c r="S156" i="60"/>
  <c r="S148" i="55"/>
  <c r="S148" i="60"/>
  <c r="S140" i="55"/>
  <c r="S140" i="60"/>
  <c r="S131" i="55"/>
  <c r="S131" i="60"/>
  <c r="S123" i="55"/>
  <c r="S123" i="60"/>
  <c r="S115" i="55"/>
  <c r="S115" i="60"/>
  <c r="S106" i="55"/>
  <c r="S106" i="60"/>
  <c r="S98" i="55"/>
  <c r="S98" i="60"/>
  <c r="S90" i="55"/>
  <c r="S90" i="60"/>
  <c r="S82" i="55"/>
  <c r="S82" i="60"/>
  <c r="S74" i="55"/>
  <c r="S74" i="60"/>
  <c r="S64" i="55"/>
  <c r="S64" i="60"/>
  <c r="S47" i="55"/>
  <c r="S47" i="60"/>
  <c r="S38" i="55"/>
  <c r="S38" i="60"/>
  <c r="S30" i="55"/>
  <c r="S30" i="60"/>
  <c r="S20" i="55"/>
  <c r="S20" i="60"/>
  <c r="S168" i="55"/>
  <c r="S168" i="60"/>
  <c r="S144" i="55"/>
  <c r="S144" i="60"/>
  <c r="S68" i="55"/>
  <c r="S68" i="60"/>
  <c r="S143" i="55"/>
  <c r="S143" i="60"/>
  <c r="S101" i="55"/>
  <c r="S101" i="60"/>
  <c r="S15" i="60"/>
  <c r="S193" i="55"/>
  <c r="S193" i="60"/>
  <c r="S185" i="55"/>
  <c r="S185" i="60"/>
  <c r="S177" i="55"/>
  <c r="S177" i="60"/>
  <c r="S163" i="55"/>
  <c r="S163" i="60"/>
  <c r="S155" i="55"/>
  <c r="S155" i="60"/>
  <c r="S147" i="55"/>
  <c r="S147" i="60"/>
  <c r="S139" i="55"/>
  <c r="S139" i="60"/>
  <c r="S130" i="55"/>
  <c r="S130" i="60"/>
  <c r="S122" i="55"/>
  <c r="S122" i="60"/>
  <c r="S114" i="55"/>
  <c r="S114" i="60"/>
  <c r="S105" i="55"/>
  <c r="S105" i="60"/>
  <c r="S97" i="55"/>
  <c r="S97" i="60"/>
  <c r="S89" i="55"/>
  <c r="S89" i="60"/>
  <c r="S81" i="55"/>
  <c r="S81" i="60"/>
  <c r="S73" i="55"/>
  <c r="S73" i="60"/>
  <c r="S63" i="55"/>
  <c r="S63" i="60"/>
  <c r="S46" i="55"/>
  <c r="S46" i="60"/>
  <c r="S37" i="55"/>
  <c r="S37" i="60"/>
  <c r="S29" i="55"/>
  <c r="S29" i="60"/>
  <c r="S19" i="55"/>
  <c r="S19" i="60"/>
  <c r="S173" i="55"/>
  <c r="S173" i="60"/>
  <c r="S110" i="55"/>
  <c r="S110" i="60"/>
  <c r="S34" i="55"/>
  <c r="S34" i="60"/>
  <c r="S159" i="55"/>
  <c r="S159" i="60"/>
  <c r="S109" i="55"/>
  <c r="S109" i="60"/>
  <c r="S192" i="55"/>
  <c r="S192" i="60"/>
  <c r="S184" i="55"/>
  <c r="S184" i="60"/>
  <c r="S175" i="55"/>
  <c r="S175" i="60"/>
  <c r="S162" i="55"/>
  <c r="S162" i="60"/>
  <c r="S154" i="55"/>
  <c r="S154" i="60"/>
  <c r="S146" i="55"/>
  <c r="S146" i="60"/>
  <c r="S138" i="55"/>
  <c r="S138" i="60"/>
  <c r="S129" i="55"/>
  <c r="S129" i="60"/>
  <c r="S121" i="55"/>
  <c r="S121" i="60"/>
  <c r="S112" i="55"/>
  <c r="S112" i="60"/>
  <c r="S104" i="55"/>
  <c r="S104" i="60"/>
  <c r="S96" i="55"/>
  <c r="S96" i="60"/>
  <c r="S88" i="55"/>
  <c r="S88" i="60"/>
  <c r="S80" i="55"/>
  <c r="S80" i="60"/>
  <c r="S70" i="55"/>
  <c r="S70" i="60"/>
  <c r="S62" i="55"/>
  <c r="S62" i="60"/>
  <c r="S45" i="55"/>
  <c r="S45" i="60"/>
  <c r="S36" i="55"/>
  <c r="S36" i="60"/>
  <c r="S28" i="55"/>
  <c r="S28" i="60"/>
  <c r="S18" i="55"/>
  <c r="S18" i="60"/>
  <c r="S182" i="55"/>
  <c r="S182" i="60"/>
  <c r="S127" i="55"/>
  <c r="S127" i="60"/>
  <c r="S94" i="55"/>
  <c r="S94" i="60"/>
  <c r="S24" i="60"/>
  <c r="S181" i="55"/>
  <c r="S181" i="60"/>
  <c r="S151" i="55"/>
  <c r="S151" i="60"/>
  <c r="S93" i="55"/>
  <c r="S93" i="60"/>
  <c r="S59" i="55"/>
  <c r="S59" i="60"/>
  <c r="S199" i="55"/>
  <c r="S199" i="60"/>
  <c r="S191" i="55"/>
  <c r="S191" i="60"/>
  <c r="S183" i="55"/>
  <c r="S183" i="60"/>
  <c r="S174" i="55"/>
  <c r="S174" i="60"/>
  <c r="S161" i="55"/>
  <c r="S161" i="60"/>
  <c r="S153" i="55"/>
  <c r="S153" i="60"/>
  <c r="S145" i="55"/>
  <c r="S145" i="60"/>
  <c r="S137" i="55"/>
  <c r="S137" i="60"/>
  <c r="S128" i="55"/>
  <c r="S128" i="60"/>
  <c r="S120" i="55"/>
  <c r="S120" i="60"/>
  <c r="S111" i="55"/>
  <c r="S111" i="60"/>
  <c r="S103" i="55"/>
  <c r="S103" i="60"/>
  <c r="S95" i="55"/>
  <c r="S95" i="60"/>
  <c r="S87" i="55"/>
  <c r="S87" i="60"/>
  <c r="S79" i="55"/>
  <c r="S79" i="60"/>
  <c r="S69" i="55"/>
  <c r="S69" i="60"/>
  <c r="S61" i="55"/>
  <c r="S61" i="60"/>
  <c r="S44" i="55"/>
  <c r="S44" i="60"/>
  <c r="S35" i="55"/>
  <c r="S35" i="60"/>
  <c r="S27" i="60"/>
  <c r="S17" i="60"/>
  <c r="S169" i="55"/>
  <c r="S169" i="60"/>
  <c r="S353" i="55"/>
  <c r="D353" i="55"/>
  <c r="S50" i="55"/>
  <c r="D50" i="55"/>
  <c r="S49" i="55"/>
  <c r="D49" i="55"/>
  <c r="D284" i="55"/>
  <c r="D178" i="55"/>
  <c r="D370" i="55"/>
  <c r="D321" i="55"/>
  <c r="D477" i="55"/>
  <c r="D574" i="55"/>
  <c r="D79" i="55"/>
  <c r="D456" i="55"/>
  <c r="D74" i="55"/>
  <c r="D114" i="55"/>
  <c r="D155" i="55"/>
  <c r="D21" i="55"/>
  <c r="B21" i="56" s="1"/>
  <c r="D209" i="55"/>
  <c r="D31" i="55"/>
  <c r="D73" i="55"/>
  <c r="D241" i="55"/>
  <c r="D273" i="55"/>
  <c r="D290" i="55"/>
  <c r="D210" i="55"/>
  <c r="D513" i="55"/>
  <c r="D98" i="55"/>
  <c r="D537" i="55"/>
  <c r="D226" i="55"/>
  <c r="D347" i="55"/>
  <c r="D32" i="55"/>
  <c r="D115" i="55"/>
  <c r="D242" i="55"/>
  <c r="D593" i="55"/>
  <c r="D322" i="55"/>
  <c r="D48" i="55"/>
  <c r="D140" i="55"/>
  <c r="D384" i="55"/>
  <c r="D274" i="55"/>
  <c r="D408" i="55"/>
  <c r="D22" i="55"/>
  <c r="B22" i="56" s="1"/>
  <c r="D123" i="55"/>
  <c r="D194" i="55"/>
  <c r="D250" i="55"/>
  <c r="D298" i="55"/>
  <c r="D360" i="55"/>
  <c r="D418" i="55"/>
  <c r="D480" i="55"/>
  <c r="D545" i="55"/>
  <c r="D601" i="55"/>
  <c r="D82" i="55"/>
  <c r="D131" i="55"/>
  <c r="D258" i="55"/>
  <c r="D306" i="55"/>
  <c r="D368" i="55"/>
  <c r="D426" i="55"/>
  <c r="D488" i="55"/>
  <c r="D553" i="55"/>
  <c r="D609" i="55"/>
  <c r="D266" i="55"/>
  <c r="D314" i="55"/>
  <c r="D434" i="55"/>
  <c r="D497" i="55"/>
  <c r="D561" i="55"/>
  <c r="D617" i="55"/>
  <c r="B617" i="56" s="1"/>
  <c r="D40" i="55"/>
  <c r="D90" i="55"/>
  <c r="D148" i="55"/>
  <c r="D218" i="55"/>
  <c r="D376" i="55"/>
  <c r="D442" i="55"/>
  <c r="D505" i="55"/>
  <c r="D569" i="55"/>
  <c r="D627" i="55"/>
  <c r="B627" i="56" s="1"/>
  <c r="D14" i="55"/>
  <c r="B14" i="56" s="1"/>
  <c r="D64" i="55"/>
  <c r="D106" i="55"/>
  <c r="D156" i="55"/>
  <c r="D234" i="55"/>
  <c r="D282" i="55"/>
  <c r="D330" i="55"/>
  <c r="D392" i="55"/>
  <c r="D464" i="55"/>
  <c r="D521" i="55"/>
  <c r="D577" i="55"/>
  <c r="D186" i="55"/>
  <c r="D167" i="55"/>
  <c r="D338" i="55"/>
  <c r="D400" i="55"/>
  <c r="D472" i="55"/>
  <c r="D529" i="55"/>
  <c r="D585" i="55"/>
  <c r="D625" i="55"/>
  <c r="B625" i="56" s="1"/>
  <c r="D329" i="55"/>
  <c r="D289" i="55"/>
  <c r="D96" i="55"/>
  <c r="D146" i="55"/>
  <c r="D20" i="55"/>
  <c r="B20" i="56" s="1"/>
  <c r="D406" i="55"/>
  <c r="D647" i="55"/>
  <c r="D328" i="55"/>
  <c r="D599" i="55"/>
  <c r="D382" i="55"/>
  <c r="D536" i="55"/>
  <c r="D544" i="55"/>
  <c r="D455" i="55"/>
  <c r="D504" i="55"/>
  <c r="D600" i="55"/>
  <c r="D417" i="55"/>
  <c r="D81" i="55"/>
  <c r="D105" i="55"/>
  <c r="D139" i="55"/>
  <c r="D313" i="55"/>
  <c r="D399" i="55"/>
  <c r="D496" i="55"/>
  <c r="D528" i="55"/>
  <c r="D584" i="55"/>
  <c r="D47" i="55"/>
  <c r="D177" i="55"/>
  <c r="D225" i="55"/>
  <c r="D257" i="55"/>
  <c r="D346" i="55"/>
  <c r="D375" i="55"/>
  <c r="D433" i="55"/>
  <c r="D471" i="55"/>
  <c r="D560" i="55"/>
  <c r="D616" i="55"/>
  <c r="B616" i="56" s="1"/>
  <c r="D63" i="55"/>
  <c r="D89" i="55"/>
  <c r="D147" i="55"/>
  <c r="D193" i="55"/>
  <c r="D233" i="55"/>
  <c r="D265" i="55"/>
  <c r="D407" i="55"/>
  <c r="D441" i="55"/>
  <c r="D568" i="55"/>
  <c r="D592" i="55"/>
  <c r="D122" i="55"/>
  <c r="D297" i="55"/>
  <c r="D359" i="55"/>
  <c r="D383" i="55"/>
  <c r="D479" i="55"/>
  <c r="D512" i="55"/>
  <c r="D539" i="55"/>
  <c r="D626" i="55"/>
  <c r="B626" i="56" s="1"/>
  <c r="D97" i="55"/>
  <c r="D130" i="55"/>
  <c r="D305" i="55"/>
  <c r="D367" i="55"/>
  <c r="D391" i="55"/>
  <c r="D487" i="55"/>
  <c r="D520" i="55"/>
  <c r="D576" i="55"/>
  <c r="D632" i="55"/>
  <c r="B632" i="56" s="1"/>
  <c r="D39" i="55"/>
  <c r="D163" i="55"/>
  <c r="D217" i="55"/>
  <c r="D249" i="55"/>
  <c r="D281" i="55"/>
  <c r="B281" i="56" s="1"/>
  <c r="D337" i="55"/>
  <c r="D425" i="55"/>
  <c r="D463" i="55"/>
  <c r="D552" i="55"/>
  <c r="D608" i="55"/>
  <c r="D640" i="55"/>
  <c r="B640" i="56" s="1"/>
  <c r="D196" i="55"/>
  <c r="D563" i="55"/>
  <c r="D236" i="55"/>
  <c r="D458" i="55"/>
  <c r="D428" i="55"/>
  <c r="D16" i="55"/>
  <c r="B16" i="56" s="1"/>
  <c r="D268" i="55"/>
  <c r="D324" i="55"/>
  <c r="D220" i="55"/>
  <c r="D499" i="55"/>
  <c r="D579" i="55"/>
  <c r="D92" i="55"/>
  <c r="D252" i="55"/>
  <c r="D386" i="55"/>
  <c r="D27" i="55"/>
  <c r="B25" i="56" s="1"/>
  <c r="S27" i="55"/>
  <c r="D17" i="55"/>
  <c r="B17" i="56" s="1"/>
  <c r="S17" i="55"/>
  <c r="D23" i="55"/>
  <c r="B23" i="56" s="1"/>
  <c r="S23" i="55"/>
  <c r="D24" i="55"/>
  <c r="B24" i="56" s="1"/>
  <c r="S24" i="55"/>
  <c r="D15" i="55"/>
  <c r="B15" i="56" s="1"/>
  <c r="S15" i="55"/>
  <c r="D33" i="55"/>
  <c r="S33" i="55"/>
  <c r="D77" i="55"/>
  <c r="D151" i="55"/>
  <c r="D641" i="55"/>
  <c r="B641" i="56" s="1"/>
  <c r="D59" i="55"/>
  <c r="D172" i="55"/>
  <c r="D35" i="55"/>
  <c r="D93" i="55"/>
  <c r="D108" i="55"/>
  <c r="D125" i="55"/>
  <c r="D142" i="55"/>
  <c r="D197" i="55"/>
  <c r="D221" i="55"/>
  <c r="D237" i="55"/>
  <c r="D253" i="55"/>
  <c r="D269" i="55"/>
  <c r="D308" i="55"/>
  <c r="D349" i="55"/>
  <c r="D410" i="55"/>
  <c r="D523" i="55"/>
  <c r="D43" i="55"/>
  <c r="D66" i="55"/>
  <c r="D109" i="55"/>
  <c r="D126" i="55"/>
  <c r="D143" i="55"/>
  <c r="D158" i="55"/>
  <c r="D180" i="55"/>
  <c r="D394" i="55"/>
  <c r="D436" i="55"/>
  <c r="D482" i="55"/>
  <c r="D547" i="55"/>
  <c r="D44" i="55"/>
  <c r="D67" i="55"/>
  <c r="D84" i="55"/>
  <c r="D159" i="55"/>
  <c r="D181" i="55"/>
  <c r="D292" i="55"/>
  <c r="D332" i="55"/>
  <c r="D378" i="55"/>
  <c r="D466" i="55"/>
  <c r="D507" i="55"/>
  <c r="D571" i="55"/>
  <c r="D620" i="55"/>
  <c r="B620" i="56" s="1"/>
  <c r="D85" i="55"/>
  <c r="D188" i="55"/>
  <c r="D212" i="55"/>
  <c r="D228" i="55"/>
  <c r="D244" i="55"/>
  <c r="D260" i="55"/>
  <c r="D276" i="55"/>
  <c r="D316" i="55"/>
  <c r="D420" i="55"/>
  <c r="D531" i="55"/>
  <c r="D100" i="55"/>
  <c r="D117" i="55"/>
  <c r="D133" i="55"/>
  <c r="D189" i="55"/>
  <c r="D213" i="55"/>
  <c r="D229" i="55"/>
  <c r="D245" i="55"/>
  <c r="D261" i="55"/>
  <c r="D277" i="55"/>
  <c r="D362" i="55"/>
  <c r="D402" i="55"/>
  <c r="D444" i="55"/>
  <c r="D490" i="55"/>
  <c r="D555" i="55"/>
  <c r="D34" i="55"/>
  <c r="D41" i="55"/>
  <c r="B48" i="56" s="1"/>
  <c r="D76" i="55"/>
  <c r="D101" i="55"/>
  <c r="D118" i="55"/>
  <c r="D134" i="55"/>
  <c r="D150" i="55"/>
  <c r="D171" i="55"/>
  <c r="D300" i="55"/>
  <c r="D340" i="55"/>
  <c r="D474" i="55"/>
  <c r="D515" i="55"/>
  <c r="D633" i="55"/>
  <c r="B633" i="56" s="1"/>
  <c r="D377" i="55"/>
  <c r="D586" i="55"/>
  <c r="D285" i="55"/>
  <c r="D301" i="55"/>
  <c r="D317" i="55"/>
  <c r="D603" i="55"/>
  <c r="D643" i="55"/>
  <c r="B643" i="56" s="1"/>
  <c r="D642" i="55"/>
  <c r="B642" i="56" s="1"/>
  <c r="D634" i="55"/>
  <c r="B634" i="56" s="1"/>
  <c r="D618" i="55"/>
  <c r="B618" i="56" s="1"/>
  <c r="D610" i="55"/>
  <c r="B610" i="56" s="1"/>
  <c r="D602" i="55"/>
  <c r="D594" i="55"/>
  <c r="D578" i="55"/>
  <c r="D570" i="55"/>
  <c r="D562" i="55"/>
  <c r="D554" i="55"/>
  <c r="D546" i="55"/>
  <c r="D538" i="55"/>
  <c r="D530" i="55"/>
  <c r="D522" i="55"/>
  <c r="D514" i="55"/>
  <c r="D506" i="55"/>
  <c r="D498" i="55"/>
  <c r="D489" i="55"/>
  <c r="D481" i="55"/>
  <c r="D473" i="55"/>
  <c r="D465" i="55"/>
  <c r="D457" i="55"/>
  <c r="D443" i="55"/>
  <c r="D435" i="55"/>
  <c r="D427" i="55"/>
  <c r="D419" i="55"/>
  <c r="D409" i="55"/>
  <c r="D401" i="55"/>
  <c r="D393" i="55"/>
  <c r="D385" i="55"/>
  <c r="D369" i="55"/>
  <c r="D361" i="55"/>
  <c r="D348" i="55"/>
  <c r="D339" i="55"/>
  <c r="D331" i="55"/>
  <c r="D323" i="55"/>
  <c r="D315" i="55"/>
  <c r="D307" i="55"/>
  <c r="D299" i="55"/>
  <c r="D291" i="55"/>
  <c r="D283" i="55"/>
  <c r="D275" i="55"/>
  <c r="D267" i="55"/>
  <c r="D259" i="55"/>
  <c r="D251" i="55"/>
  <c r="D243" i="55"/>
  <c r="D235" i="55"/>
  <c r="D227" i="55"/>
  <c r="D219" i="55"/>
  <c r="D211" i="55"/>
  <c r="D195" i="55"/>
  <c r="D187" i="55"/>
  <c r="D179" i="55"/>
  <c r="D170" i="55"/>
  <c r="D157" i="55"/>
  <c r="D149" i="55"/>
  <c r="D141" i="55"/>
  <c r="D132" i="55"/>
  <c r="D124" i="55"/>
  <c r="D116" i="55"/>
  <c r="D107" i="55"/>
  <c r="D99" i="55"/>
  <c r="D91" i="55"/>
  <c r="D83" i="55"/>
  <c r="D75" i="55"/>
  <c r="D65" i="55"/>
  <c r="B55" i="56" s="1"/>
  <c r="D42" i="55"/>
  <c r="D587" i="55"/>
  <c r="D611" i="55"/>
  <c r="B611" i="56" s="1"/>
  <c r="D304" i="55"/>
  <c r="D296" i="55"/>
  <c r="D288" i="55"/>
  <c r="B288" i="56" s="1"/>
  <c r="D280" i="55"/>
  <c r="D272" i="55"/>
  <c r="D264" i="55"/>
  <c r="D256" i="55"/>
  <c r="D248" i="55"/>
  <c r="D240" i="55"/>
  <c r="D293" i="55"/>
  <c r="D309" i="55"/>
  <c r="D325" i="55"/>
  <c r="D595" i="55"/>
  <c r="D303" i="55"/>
  <c r="D295" i="55"/>
  <c r="D287" i="55"/>
  <c r="D279" i="55"/>
  <c r="D271" i="55"/>
  <c r="D263" i="55"/>
  <c r="D255" i="55"/>
  <c r="D247" i="55"/>
  <c r="D635" i="55"/>
  <c r="B635" i="56" s="1"/>
  <c r="D302" i="55"/>
  <c r="D294" i="55"/>
  <c r="D286" i="55"/>
  <c r="D278" i="55"/>
  <c r="D270" i="55"/>
  <c r="D262" i="55"/>
  <c r="D254" i="55"/>
  <c r="D246" i="55"/>
  <c r="F418" i="55"/>
  <c r="X380" i="55"/>
  <c r="F380" i="55"/>
  <c r="X169" i="55"/>
  <c r="F169" i="55"/>
  <c r="F417" i="55"/>
  <c r="N417" i="62" s="1"/>
  <c r="A15" i="56"/>
  <c r="A16" i="56" s="1"/>
  <c r="A17" i="56" s="1"/>
  <c r="A18" i="56" s="1"/>
  <c r="A19" i="56" s="1"/>
  <c r="A20" i="56" s="1"/>
  <c r="A21" i="56" s="1"/>
  <c r="A22" i="56" s="1"/>
  <c r="A23" i="56" s="1"/>
  <c r="A24" i="56" s="1"/>
  <c r="A25" i="56" s="1"/>
  <c r="A26" i="56" s="1"/>
  <c r="A27" i="56" s="1"/>
  <c r="A28" i="56" s="1"/>
  <c r="A29" i="56" s="1"/>
  <c r="A30" i="56" s="1"/>
  <c r="A31" i="56" s="1"/>
  <c r="A32" i="56" s="1"/>
  <c r="A33" i="56" s="1"/>
  <c r="A34" i="56" s="1"/>
  <c r="A35" i="56" s="1"/>
  <c r="A36" i="56" s="1"/>
  <c r="A37" i="56" s="1"/>
  <c r="A38" i="56" s="1"/>
  <c r="A39" i="56" s="1"/>
  <c r="A40" i="56" s="1"/>
  <c r="A41" i="56" s="1"/>
  <c r="A42" i="56" s="1"/>
  <c r="A43" i="56" s="1"/>
  <c r="A44" i="56" s="1"/>
  <c r="A45" i="56" s="1"/>
  <c r="A46" i="56" s="1"/>
  <c r="A47" i="56" s="1"/>
  <c r="A48" i="56" s="1"/>
  <c r="A49" i="56" s="1"/>
  <c r="A50" i="56" s="1"/>
  <c r="A51" i="56" s="1"/>
  <c r="A52" i="56" s="1"/>
  <c r="A53" i="56" s="1"/>
  <c r="A54" i="56" s="1"/>
  <c r="A55" i="56" s="1"/>
  <c r="A56" i="56" s="1"/>
  <c r="A57" i="56" s="1"/>
  <c r="A58" i="56" s="1"/>
  <c r="A59" i="56" s="1"/>
  <c r="A60" i="56" s="1"/>
  <c r="A61" i="56" s="1"/>
  <c r="A62" i="56" s="1"/>
  <c r="A63" i="56" s="1"/>
  <c r="A64" i="56" s="1"/>
  <c r="A65" i="56" s="1"/>
  <c r="A66" i="56" s="1"/>
  <c r="C276" i="56"/>
  <c r="C268" i="56"/>
  <c r="C260" i="56"/>
  <c r="C252" i="56"/>
  <c r="C244" i="56"/>
  <c r="C236" i="56"/>
  <c r="C228" i="56"/>
  <c r="C220" i="56"/>
  <c r="D169" i="55"/>
  <c r="A660" i="55"/>
  <c r="D527" i="55"/>
  <c r="D69" i="55"/>
  <c r="D80" i="55"/>
  <c r="D138" i="55"/>
  <c r="D184" i="55"/>
  <c r="D215" i="55"/>
  <c r="D320" i="55"/>
  <c r="D373" i="55"/>
  <c r="D398" i="55"/>
  <c r="D424" i="55"/>
  <c r="D454" i="55"/>
  <c r="D478" i="55"/>
  <c r="D638" i="55"/>
  <c r="B638" i="56" s="1"/>
  <c r="X418" i="55"/>
  <c r="D61" i="55"/>
  <c r="B51" i="56" s="1"/>
  <c r="D70" i="55"/>
  <c r="D128" i="55"/>
  <c r="D199" i="55"/>
  <c r="D216" i="55"/>
  <c r="D345" i="55"/>
  <c r="D374" i="55"/>
  <c r="D542" i="55"/>
  <c r="D567" i="55"/>
  <c r="D591" i="55"/>
  <c r="D615" i="55"/>
  <c r="B615" i="56" s="1"/>
  <c r="D639" i="55"/>
  <c r="B639" i="56" s="1"/>
  <c r="D88" i="55"/>
  <c r="D46" i="55"/>
  <c r="D62" i="55"/>
  <c r="D120" i="55"/>
  <c r="D129" i="55"/>
  <c r="D175" i="55"/>
  <c r="D200" i="55"/>
  <c r="D312" i="55"/>
  <c r="D439" i="55"/>
  <c r="D470" i="55"/>
  <c r="D494" i="55"/>
  <c r="D519" i="55"/>
  <c r="D543" i="55"/>
  <c r="D575" i="55"/>
  <c r="D37" i="55"/>
  <c r="D111" i="55"/>
  <c r="D121" i="55"/>
  <c r="D161" i="55"/>
  <c r="D192" i="55"/>
  <c r="D239" i="55"/>
  <c r="D335" i="55"/>
  <c r="D366" i="55"/>
  <c r="D390" i="55"/>
  <c r="D414" i="55"/>
  <c r="D440" i="55"/>
  <c r="D606" i="55"/>
  <c r="D631" i="55"/>
  <c r="B631" i="56" s="1"/>
  <c r="X417" i="55"/>
  <c r="D224" i="55"/>
  <c r="D551" i="55"/>
  <c r="D29" i="55"/>
  <c r="D38" i="55"/>
  <c r="D103" i="55"/>
  <c r="D112" i="55"/>
  <c r="D153" i="55"/>
  <c r="D162" i="55"/>
  <c r="D336" i="55"/>
  <c r="D510" i="55"/>
  <c r="D535" i="55"/>
  <c r="D559" i="55"/>
  <c r="D583" i="55"/>
  <c r="D607" i="55"/>
  <c r="D503" i="55"/>
  <c r="D19" i="55"/>
  <c r="B19" i="56" s="1"/>
  <c r="D30" i="55"/>
  <c r="D95" i="55"/>
  <c r="D104" i="55"/>
  <c r="D154" i="55"/>
  <c r="D232" i="55"/>
  <c r="B207" i="56" s="1"/>
  <c r="D405" i="55"/>
  <c r="D432" i="55"/>
  <c r="D462" i="55"/>
  <c r="D486" i="55"/>
  <c r="D511" i="55"/>
  <c r="D183" i="55"/>
  <c r="D231" i="55"/>
  <c r="B206" i="56" s="1"/>
  <c r="D343" i="55"/>
  <c r="D381" i="55"/>
  <c r="D413" i="55"/>
  <c r="D453" i="55"/>
  <c r="D485" i="55"/>
  <c r="D518" i="55"/>
  <c r="D550" i="55"/>
  <c r="D582" i="55"/>
  <c r="D614" i="55"/>
  <c r="B614" i="56" s="1"/>
  <c r="D646" i="55"/>
  <c r="B646" i="56" s="1"/>
  <c r="D174" i="55"/>
  <c r="D223" i="55"/>
  <c r="C280" i="56"/>
  <c r="C272" i="56"/>
  <c r="C264" i="56"/>
  <c r="C256" i="56"/>
  <c r="C248" i="56"/>
  <c r="C240" i="56"/>
  <c r="C232" i="56"/>
  <c r="C224" i="56"/>
  <c r="C216" i="56"/>
  <c r="D168" i="55"/>
  <c r="D191" i="55"/>
  <c r="D327" i="55"/>
  <c r="D365" i="55"/>
  <c r="D397" i="55"/>
  <c r="D431" i="55"/>
  <c r="D469" i="55"/>
  <c r="D502" i="55"/>
  <c r="D534" i="55"/>
  <c r="D566" i="55"/>
  <c r="D598" i="55"/>
  <c r="D630" i="55"/>
  <c r="B630" i="56" s="1"/>
  <c r="D319" i="55"/>
  <c r="D137" i="55"/>
  <c r="D311" i="55"/>
  <c r="D352" i="55"/>
  <c r="D389" i="55"/>
  <c r="D423" i="55"/>
  <c r="D461" i="55"/>
  <c r="D493" i="55"/>
  <c r="D526" i="55"/>
  <c r="D558" i="55"/>
  <c r="D590" i="55"/>
  <c r="D624" i="55"/>
  <c r="B624" i="56" s="1"/>
  <c r="D36" i="55"/>
  <c r="D102" i="55"/>
  <c r="D18" i="55"/>
  <c r="B18" i="56" s="1"/>
  <c r="D86" i="55"/>
  <c r="D144" i="55"/>
  <c r="D78" i="55"/>
  <c r="D119" i="55"/>
  <c r="D60" i="55"/>
  <c r="B50" i="56" s="1"/>
  <c r="D94" i="55"/>
  <c r="D28" i="55"/>
  <c r="B26" i="56" s="1"/>
  <c r="D110" i="55"/>
  <c r="D68" i="55"/>
  <c r="D135" i="55"/>
  <c r="D45" i="55"/>
  <c r="D127" i="55"/>
  <c r="C282" i="56"/>
  <c r="C274" i="56"/>
  <c r="C266" i="56"/>
  <c r="C258" i="56"/>
  <c r="C250" i="56"/>
  <c r="C242" i="56"/>
  <c r="C234" i="56"/>
  <c r="C226" i="56"/>
  <c r="C218" i="56"/>
  <c r="D152" i="55"/>
  <c r="D160" i="55"/>
  <c r="D173" i="55"/>
  <c r="D182" i="55"/>
  <c r="C281" i="56"/>
  <c r="C273" i="56"/>
  <c r="C265" i="56"/>
  <c r="C257" i="56"/>
  <c r="C249" i="56"/>
  <c r="C241" i="56"/>
  <c r="C233" i="56"/>
  <c r="C225" i="56"/>
  <c r="C217" i="56"/>
  <c r="C278" i="56"/>
  <c r="C270" i="56"/>
  <c r="C262" i="56"/>
  <c r="C254" i="56"/>
  <c r="C246" i="56"/>
  <c r="C238" i="56"/>
  <c r="C230" i="56"/>
  <c r="C222" i="56"/>
  <c r="C349" i="56"/>
  <c r="D333" i="55"/>
  <c r="D341" i="55"/>
  <c r="D350" i="55"/>
  <c r="D363" i="55"/>
  <c r="D371" i="55"/>
  <c r="D379" i="55"/>
  <c r="D387" i="55"/>
  <c r="D395" i="55"/>
  <c r="D403" i="55"/>
  <c r="D411" i="55"/>
  <c r="D421" i="55"/>
  <c r="D429" i="55"/>
  <c r="D437" i="55"/>
  <c r="D445" i="55"/>
  <c r="D459" i="55"/>
  <c r="D467" i="55"/>
  <c r="D475" i="55"/>
  <c r="D483" i="55"/>
  <c r="D491" i="55"/>
  <c r="D500" i="55"/>
  <c r="D508" i="55"/>
  <c r="D516" i="55"/>
  <c r="D524" i="55"/>
  <c r="D532" i="55"/>
  <c r="D540" i="55"/>
  <c r="D548" i="55"/>
  <c r="D556" i="55"/>
  <c r="D564" i="55"/>
  <c r="D572" i="55"/>
  <c r="D580" i="55"/>
  <c r="D588" i="55"/>
  <c r="D596" i="55"/>
  <c r="D604" i="55"/>
  <c r="D612" i="55"/>
  <c r="B612" i="56" s="1"/>
  <c r="D622" i="55"/>
  <c r="B622" i="56" s="1"/>
  <c r="D628" i="55"/>
  <c r="B628" i="56" s="1"/>
  <c r="D636" i="55"/>
  <c r="B636" i="56" s="1"/>
  <c r="D644" i="55"/>
  <c r="B644" i="56" s="1"/>
  <c r="C277" i="56"/>
  <c r="C269" i="56"/>
  <c r="C261" i="56"/>
  <c r="C253" i="56"/>
  <c r="C245" i="56"/>
  <c r="C237" i="56"/>
  <c r="C229" i="56"/>
  <c r="C221" i="56"/>
  <c r="D190" i="55"/>
  <c r="D198" i="55"/>
  <c r="D214" i="55"/>
  <c r="D222" i="55"/>
  <c r="D230" i="55"/>
  <c r="D238" i="55"/>
  <c r="D310" i="55"/>
  <c r="D318" i="55"/>
  <c r="D326" i="55"/>
  <c r="D334" i="55"/>
  <c r="D342" i="55"/>
  <c r="D351" i="55"/>
  <c r="D364" i="55"/>
  <c r="D372" i="55"/>
  <c r="D380" i="55"/>
  <c r="D388" i="55"/>
  <c r="D396" i="55"/>
  <c r="D404" i="55"/>
  <c r="D412" i="55"/>
  <c r="D422" i="55"/>
  <c r="D430" i="55"/>
  <c r="D438" i="55"/>
  <c r="D452" i="55"/>
  <c r="D460" i="55"/>
  <c r="D468" i="55"/>
  <c r="D476" i="55"/>
  <c r="D484" i="55"/>
  <c r="D492" i="55"/>
  <c r="D501" i="55"/>
  <c r="D509" i="55"/>
  <c r="D517" i="55"/>
  <c r="D525" i="55"/>
  <c r="D533" i="55"/>
  <c r="D541" i="55"/>
  <c r="D549" i="55"/>
  <c r="D557" i="55"/>
  <c r="D565" i="55"/>
  <c r="D573" i="55"/>
  <c r="D581" i="55"/>
  <c r="D589" i="55"/>
  <c r="D597" i="55"/>
  <c r="D605" i="55"/>
  <c r="D613" i="55"/>
  <c r="B613" i="56" s="1"/>
  <c r="D623" i="55"/>
  <c r="B623" i="56" s="1"/>
  <c r="D629" i="55"/>
  <c r="B629" i="56" s="1"/>
  <c r="D637" i="55"/>
  <c r="B637" i="56" s="1"/>
  <c r="D645" i="55"/>
  <c r="B645" i="56" s="1"/>
  <c r="D145" i="55"/>
  <c r="Y647" i="55"/>
  <c r="Y599" i="55"/>
  <c r="Y543" i="55"/>
  <c r="Y486" i="55"/>
  <c r="Y424" i="55"/>
  <c r="Y363" i="55"/>
  <c r="Y293" i="55"/>
  <c r="Y229" i="55"/>
  <c r="Y148" i="55"/>
  <c r="D344" i="55"/>
  <c r="F609" i="56"/>
  <c r="Y641" i="55"/>
  <c r="Y633" i="55"/>
  <c r="Y627" i="55"/>
  <c r="Y617" i="55"/>
  <c r="Y609" i="55"/>
  <c r="Y601" i="55"/>
  <c r="Y593" i="55"/>
  <c r="Y585" i="55"/>
  <c r="Y577" i="55"/>
  <c r="Y569" i="55"/>
  <c r="Y561" i="55"/>
  <c r="Y553" i="55"/>
  <c r="Y545" i="55"/>
  <c r="Y537" i="55"/>
  <c r="Y529" i="55"/>
  <c r="Y521" i="55"/>
  <c r="Y513" i="55"/>
  <c r="Y505" i="55"/>
  <c r="Y497" i="55"/>
  <c r="Y488" i="55"/>
  <c r="Y480" i="55"/>
  <c r="Y472" i="55"/>
  <c r="Y464" i="55"/>
  <c r="Y456" i="55"/>
  <c r="Y442" i="55"/>
  <c r="Y434" i="55"/>
  <c r="Y426" i="55"/>
  <c r="Y414" i="55"/>
  <c r="Y406" i="55"/>
  <c r="Y398" i="55"/>
  <c r="Y390" i="55"/>
  <c r="Y382" i="55"/>
  <c r="Y373" i="55"/>
  <c r="Y365" i="55"/>
  <c r="Y352" i="55"/>
  <c r="Y343" i="55"/>
  <c r="Y335" i="55"/>
  <c r="Y327" i="55"/>
  <c r="Y319" i="55"/>
  <c r="Y311" i="55"/>
  <c r="Y303" i="55"/>
  <c r="Y295" i="55"/>
  <c r="Y287" i="55"/>
  <c r="Y279" i="55"/>
  <c r="Y271" i="55"/>
  <c r="Y263" i="55"/>
  <c r="Y255" i="55"/>
  <c r="Y247" i="55"/>
  <c r="Y239" i="55"/>
  <c r="Y231" i="55"/>
  <c r="Y223" i="55"/>
  <c r="Y215" i="55"/>
  <c r="Y199" i="55"/>
  <c r="Y191" i="55"/>
  <c r="Y180" i="55"/>
  <c r="Y171" i="55"/>
  <c r="Y158" i="55"/>
  <c r="Y150" i="55"/>
  <c r="Y143" i="55"/>
  <c r="Y134" i="55"/>
  <c r="Y126" i="55"/>
  <c r="Y118" i="55"/>
  <c r="Y109" i="55"/>
  <c r="Y101" i="55"/>
  <c r="Y93" i="55"/>
  <c r="Y85" i="55"/>
  <c r="Y77" i="55"/>
  <c r="Y67" i="55"/>
  <c r="Y59" i="55"/>
  <c r="Y44" i="55"/>
  <c r="Y35" i="55"/>
  <c r="Y27" i="55"/>
  <c r="Y17" i="55"/>
  <c r="Y615" i="55"/>
  <c r="Y559" i="55"/>
  <c r="Y511" i="55"/>
  <c r="Y462" i="55"/>
  <c r="Y396" i="55"/>
  <c r="Y325" i="55"/>
  <c r="Y269" i="55"/>
  <c r="Y189" i="55"/>
  <c r="C275" i="56"/>
  <c r="C267" i="56"/>
  <c r="C259" i="56"/>
  <c r="C251" i="56"/>
  <c r="C243" i="56"/>
  <c r="C235" i="56"/>
  <c r="C227" i="56"/>
  <c r="C219" i="56"/>
  <c r="F118" i="56"/>
  <c r="F110" i="56"/>
  <c r="F102" i="56"/>
  <c r="F94" i="56"/>
  <c r="F86" i="56"/>
  <c r="F78" i="56"/>
  <c r="F70" i="56"/>
  <c r="F62" i="56"/>
  <c r="F54" i="56"/>
  <c r="F46" i="56"/>
  <c r="F38" i="56"/>
  <c r="F30" i="56"/>
  <c r="F22" i="56"/>
  <c r="Y640" i="55"/>
  <c r="Y632" i="55"/>
  <c r="Y626" i="55"/>
  <c r="Y616" i="55"/>
  <c r="Y608" i="55"/>
  <c r="Y600" i="55"/>
  <c r="Y592" i="55"/>
  <c r="Y584" i="55"/>
  <c r="Y576" i="55"/>
  <c r="Y568" i="55"/>
  <c r="Y560" i="55"/>
  <c r="Y552" i="55"/>
  <c r="Y544" i="55"/>
  <c r="Y536" i="55"/>
  <c r="Y528" i="55"/>
  <c r="Y520" i="55"/>
  <c r="Y512" i="55"/>
  <c r="Y504" i="55"/>
  <c r="Y496" i="55"/>
  <c r="Y487" i="55"/>
  <c r="Y479" i="55"/>
  <c r="Y471" i="55"/>
  <c r="Y463" i="55"/>
  <c r="Y455" i="55"/>
  <c r="Y441" i="55"/>
  <c r="Y433" i="55"/>
  <c r="Y425" i="55"/>
  <c r="Y413" i="55"/>
  <c r="Y405" i="55"/>
  <c r="Y397" i="55"/>
  <c r="Y389" i="55"/>
  <c r="Y381" i="55"/>
  <c r="Y372" i="55"/>
  <c r="Y364" i="55"/>
  <c r="Y351" i="55"/>
  <c r="Y342" i="55"/>
  <c r="Y334" i="55"/>
  <c r="Y326" i="55"/>
  <c r="Y318" i="55"/>
  <c r="Y310" i="55"/>
  <c r="Y302" i="55"/>
  <c r="Y294" i="55"/>
  <c r="Y286" i="55"/>
  <c r="Y278" i="55"/>
  <c r="Y270" i="55"/>
  <c r="Y262" i="55"/>
  <c r="Y254" i="55"/>
  <c r="Y246" i="55"/>
  <c r="Y238" i="55"/>
  <c r="Y230" i="55"/>
  <c r="Y222" i="55"/>
  <c r="Y214" i="55"/>
  <c r="Y198" i="55"/>
  <c r="Y190" i="55"/>
  <c r="Y179" i="55"/>
  <c r="Y170" i="55"/>
  <c r="Y157" i="55"/>
  <c r="Y149" i="55"/>
  <c r="Y142" i="55"/>
  <c r="Y133" i="55"/>
  <c r="Y125" i="55"/>
  <c r="Y117" i="55"/>
  <c r="Y108" i="55"/>
  <c r="Y100" i="55"/>
  <c r="Y92" i="55"/>
  <c r="Y84" i="55"/>
  <c r="Y76" i="55"/>
  <c r="Y66" i="55"/>
  <c r="Y41" i="55"/>
  <c r="Y43" i="55"/>
  <c r="Y34" i="55"/>
  <c r="Y24" i="55"/>
  <c r="Y16" i="55"/>
  <c r="Y344" i="55"/>
  <c r="Y639" i="55"/>
  <c r="Y575" i="55"/>
  <c r="Y503" i="55"/>
  <c r="Y432" i="55"/>
  <c r="Y371" i="55"/>
  <c r="Y301" i="55"/>
  <c r="Y237" i="55"/>
  <c r="Y167" i="55"/>
  <c r="Y124" i="55"/>
  <c r="Y91" i="55"/>
  <c r="Y42" i="55"/>
  <c r="Y646" i="55"/>
  <c r="Y638" i="55"/>
  <c r="Y630" i="55"/>
  <c r="Y624" i="55"/>
  <c r="Y614" i="55"/>
  <c r="Y606" i="55"/>
  <c r="Y598" i="55"/>
  <c r="Y590" i="55"/>
  <c r="Y582" i="55"/>
  <c r="Y574" i="55"/>
  <c r="Y566" i="55"/>
  <c r="Y558" i="55"/>
  <c r="Y550" i="55"/>
  <c r="Y542" i="55"/>
  <c r="Y534" i="55"/>
  <c r="Y526" i="55"/>
  <c r="Y518" i="55"/>
  <c r="Y510" i="55"/>
  <c r="Y502" i="55"/>
  <c r="Y493" i="55"/>
  <c r="Y485" i="55"/>
  <c r="Y477" i="55"/>
  <c r="Y469" i="55"/>
  <c r="Y461" i="55"/>
  <c r="Y453" i="55"/>
  <c r="Y439" i="55"/>
  <c r="Y431" i="55"/>
  <c r="Y423" i="55"/>
  <c r="Y411" i="55"/>
  <c r="Y403" i="55"/>
  <c r="Y395" i="55"/>
  <c r="Y387" i="55"/>
  <c r="Y378" i="55"/>
  <c r="Y370" i="55"/>
  <c r="Y362" i="55"/>
  <c r="Y349" i="55"/>
  <c r="Y340" i="55"/>
  <c r="Y332" i="55"/>
  <c r="Y324" i="55"/>
  <c r="Y316" i="55"/>
  <c r="Y308" i="55"/>
  <c r="Y300" i="55"/>
  <c r="Y292" i="55"/>
  <c r="Y284" i="55"/>
  <c r="Y276" i="55"/>
  <c r="Y268" i="55"/>
  <c r="Y260" i="55"/>
  <c r="Y252" i="55"/>
  <c r="Y244" i="55"/>
  <c r="Y236" i="55"/>
  <c r="Y228" i="55"/>
  <c r="Y220" i="55"/>
  <c r="Y212" i="55"/>
  <c r="Y196" i="55"/>
  <c r="Y188" i="55"/>
  <c r="Y177" i="55"/>
  <c r="Y163" i="55"/>
  <c r="Y155" i="55"/>
  <c r="Y147" i="55"/>
  <c r="Y140" i="55"/>
  <c r="Y131" i="55"/>
  <c r="Y123" i="55"/>
  <c r="Y115" i="55"/>
  <c r="Y106" i="55"/>
  <c r="Y98" i="55"/>
  <c r="Y90" i="55"/>
  <c r="Y82" i="55"/>
  <c r="Y74" i="55"/>
  <c r="Y64" i="55"/>
  <c r="Y48" i="55"/>
  <c r="Y40" i="55"/>
  <c r="Y32" i="55"/>
  <c r="Y22" i="55"/>
  <c r="Y187" i="55"/>
  <c r="Y185" i="55"/>
  <c r="Y169" i="55"/>
  <c r="Y631" i="55"/>
  <c r="Y583" i="55"/>
  <c r="Y527" i="55"/>
  <c r="Y470" i="55"/>
  <c r="Y404" i="55"/>
  <c r="Y333" i="55"/>
  <c r="Y285" i="55"/>
  <c r="Y245" i="55"/>
  <c r="Y178" i="55"/>
  <c r="Y132" i="55"/>
  <c r="Y83" i="55"/>
  <c r="Y645" i="55"/>
  <c r="Y637" i="55"/>
  <c r="Y629" i="55"/>
  <c r="Y623" i="55"/>
  <c r="Y613" i="55"/>
  <c r="Y605" i="55"/>
  <c r="Y597" i="55"/>
  <c r="Y589" i="55"/>
  <c r="Y581" i="55"/>
  <c r="Y573" i="55"/>
  <c r="Y565" i="55"/>
  <c r="Y557" i="55"/>
  <c r="Y549" i="55"/>
  <c r="Y541" i="55"/>
  <c r="Y533" i="55"/>
  <c r="Y525" i="55"/>
  <c r="Y517" i="55"/>
  <c r="Y509" i="55"/>
  <c r="Y501" i="55"/>
  <c r="Y492" i="55"/>
  <c r="Y484" i="55"/>
  <c r="Y476" i="55"/>
  <c r="Y468" i="55"/>
  <c r="Y460" i="55"/>
  <c r="Y452" i="55"/>
  <c r="Y438" i="55"/>
  <c r="Y430" i="55"/>
  <c r="Y422" i="55"/>
  <c r="Y410" i="55"/>
  <c r="Y402" i="55"/>
  <c r="Y394" i="55"/>
  <c r="Y386" i="55"/>
  <c r="Y377" i="55"/>
  <c r="Y369" i="55"/>
  <c r="Y361" i="55"/>
  <c r="Y348" i="55"/>
  <c r="Y339" i="55"/>
  <c r="Y331" i="55"/>
  <c r="Y323" i="55"/>
  <c r="Y315" i="55"/>
  <c r="Y307" i="55"/>
  <c r="Y299" i="55"/>
  <c r="Y291" i="55"/>
  <c r="Y283" i="55"/>
  <c r="Y275" i="55"/>
  <c r="Y267" i="55"/>
  <c r="Y259" i="55"/>
  <c r="Y251" i="55"/>
  <c r="Y243" i="55"/>
  <c r="Y235" i="55"/>
  <c r="Y227" i="55"/>
  <c r="Y219" i="55"/>
  <c r="Y211" i="55"/>
  <c r="Y195" i="55"/>
  <c r="Y184" i="55"/>
  <c r="Y175" i="55"/>
  <c r="Y162" i="55"/>
  <c r="Y154" i="55"/>
  <c r="Y146" i="55"/>
  <c r="Y139" i="55"/>
  <c r="Y130" i="55"/>
  <c r="Y122" i="55"/>
  <c r="Y114" i="55"/>
  <c r="Y105" i="55"/>
  <c r="Y97" i="55"/>
  <c r="Y89" i="55"/>
  <c r="Y81" i="55"/>
  <c r="Y73" i="55"/>
  <c r="Y63" i="55"/>
  <c r="Y47" i="55"/>
  <c r="Y39" i="55"/>
  <c r="Y31" i="55"/>
  <c r="Y21" i="55"/>
  <c r="Y607" i="55"/>
  <c r="Y551" i="55"/>
  <c r="Y494" i="55"/>
  <c r="Y440" i="55"/>
  <c r="Y379" i="55"/>
  <c r="Y317" i="55"/>
  <c r="Y261" i="55"/>
  <c r="Y197" i="55"/>
  <c r="Y141" i="55"/>
  <c r="Y99" i="55"/>
  <c r="Y65" i="55"/>
  <c r="Y23" i="55"/>
  <c r="F319" i="56"/>
  <c r="C279" i="56"/>
  <c r="C271" i="56"/>
  <c r="C263" i="56"/>
  <c r="C255" i="56"/>
  <c r="C247" i="56"/>
  <c r="C239" i="56"/>
  <c r="C231" i="56"/>
  <c r="C223" i="56"/>
  <c r="C215" i="56"/>
  <c r="F122" i="56"/>
  <c r="F114" i="56"/>
  <c r="F106" i="56"/>
  <c r="F98" i="56"/>
  <c r="F90" i="56"/>
  <c r="F82" i="56"/>
  <c r="F74" i="56"/>
  <c r="F66" i="56"/>
  <c r="F58" i="56"/>
  <c r="F50" i="56"/>
  <c r="F42" i="56"/>
  <c r="F34" i="56"/>
  <c r="F26" i="56"/>
  <c r="F18" i="56"/>
  <c r="Y644" i="55"/>
  <c r="Y636" i="55"/>
  <c r="Y628" i="55"/>
  <c r="Y622" i="55"/>
  <c r="Y612" i="55"/>
  <c r="Y604" i="55"/>
  <c r="Y596" i="55"/>
  <c r="Y588" i="55"/>
  <c r="Y580" i="55"/>
  <c r="Y572" i="55"/>
  <c r="Y564" i="55"/>
  <c r="Y556" i="55"/>
  <c r="Y548" i="55"/>
  <c r="Y540" i="55"/>
  <c r="Y532" i="55"/>
  <c r="Y524" i="55"/>
  <c r="Y516" i="55"/>
  <c r="Y508" i="55"/>
  <c r="Y500" i="55"/>
  <c r="Y491" i="55"/>
  <c r="Y483" i="55"/>
  <c r="Y475" i="55"/>
  <c r="Y467" i="55"/>
  <c r="Y459" i="55"/>
  <c r="Y445" i="55"/>
  <c r="Y437" i="55"/>
  <c r="Y429" i="55"/>
  <c r="Y421" i="55"/>
  <c r="Y409" i="55"/>
  <c r="Y401" i="55"/>
  <c r="Y393" i="55"/>
  <c r="Y385" i="55"/>
  <c r="Y376" i="55"/>
  <c r="Y368" i="55"/>
  <c r="Y360" i="55"/>
  <c r="Y347" i="55"/>
  <c r="Y338" i="55"/>
  <c r="Y330" i="55"/>
  <c r="Y322" i="55"/>
  <c r="Y314" i="55"/>
  <c r="Y306" i="55"/>
  <c r="Y298" i="55"/>
  <c r="Y290" i="55"/>
  <c r="Y282" i="55"/>
  <c r="Y274" i="55"/>
  <c r="Y266" i="55"/>
  <c r="Y258" i="55"/>
  <c r="Y250" i="55"/>
  <c r="Y242" i="55"/>
  <c r="Y234" i="55"/>
  <c r="Y226" i="55"/>
  <c r="Y218" i="55"/>
  <c r="Y210" i="55"/>
  <c r="Y194" i="55"/>
  <c r="Y183" i="55"/>
  <c r="Y174" i="55"/>
  <c r="Y161" i="55"/>
  <c r="Y153" i="55"/>
  <c r="Y138" i="55"/>
  <c r="Y129" i="55"/>
  <c r="Y121" i="55"/>
  <c r="Y112" i="55"/>
  <c r="Y104" i="55"/>
  <c r="Y96" i="55"/>
  <c r="Y88" i="55"/>
  <c r="Y80" i="55"/>
  <c r="Y70" i="55"/>
  <c r="Y62" i="55"/>
  <c r="Y38" i="55"/>
  <c r="Y30" i="55"/>
  <c r="Y20" i="55"/>
  <c r="Y591" i="55"/>
  <c r="Y535" i="55"/>
  <c r="Y478" i="55"/>
  <c r="Y412" i="55"/>
  <c r="Y350" i="55"/>
  <c r="Y277" i="55"/>
  <c r="Y221" i="55"/>
  <c r="Y116" i="55"/>
  <c r="Y643" i="55"/>
  <c r="Y635" i="55"/>
  <c r="Y50" i="55"/>
  <c r="Y620" i="55"/>
  <c r="Y611" i="55"/>
  <c r="Y603" i="55"/>
  <c r="Y595" i="55"/>
  <c r="Y587" i="55"/>
  <c r="Y579" i="55"/>
  <c r="Y571" i="55"/>
  <c r="Y563" i="55"/>
  <c r="Y555" i="55"/>
  <c r="Y547" i="55"/>
  <c r="Y539" i="55"/>
  <c r="Y531" i="55"/>
  <c r="Y523" i="55"/>
  <c r="Y515" i="55"/>
  <c r="Y507" i="55"/>
  <c r="Y499" i="55"/>
  <c r="Y490" i="55"/>
  <c r="Y482" i="55"/>
  <c r="Y474" i="55"/>
  <c r="Y466" i="55"/>
  <c r="Y458" i="55"/>
  <c r="Y444" i="55"/>
  <c r="Y436" i="55"/>
  <c r="Y428" i="55"/>
  <c r="Y420" i="55"/>
  <c r="Y408" i="55"/>
  <c r="Y400" i="55"/>
  <c r="Y392" i="55"/>
  <c r="Y384" i="55"/>
  <c r="Y375" i="55"/>
  <c r="Y367" i="55"/>
  <c r="Y359" i="55"/>
  <c r="Y346" i="55"/>
  <c r="Y337" i="55"/>
  <c r="Y329" i="55"/>
  <c r="Y321" i="55"/>
  <c r="Y313" i="55"/>
  <c r="Y305" i="55"/>
  <c r="Y297" i="55"/>
  <c r="Y289" i="55"/>
  <c r="Y281" i="55"/>
  <c r="Y273" i="55"/>
  <c r="Y265" i="55"/>
  <c r="Y257" i="55"/>
  <c r="Y249" i="55"/>
  <c r="Y241" i="55"/>
  <c r="Y233" i="55"/>
  <c r="Y225" i="55"/>
  <c r="Y217" i="55"/>
  <c r="Y209" i="55"/>
  <c r="Y193" i="55"/>
  <c r="Y182" i="55"/>
  <c r="Y173" i="55"/>
  <c r="Y160" i="55"/>
  <c r="Y152" i="55"/>
  <c r="Y145" i="55"/>
  <c r="Y137" i="55"/>
  <c r="Y128" i="55"/>
  <c r="Y120" i="55"/>
  <c r="Y111" i="55"/>
  <c r="Y103" i="55"/>
  <c r="Y95" i="55"/>
  <c r="Y87" i="55"/>
  <c r="Y79" i="55"/>
  <c r="Y69" i="55"/>
  <c r="Y61" i="55"/>
  <c r="Y46" i="55"/>
  <c r="Y37" i="55"/>
  <c r="Y29" i="55"/>
  <c r="Y19" i="55"/>
  <c r="Y168" i="55"/>
  <c r="Y625" i="55"/>
  <c r="Y567" i="55"/>
  <c r="Y519" i="55"/>
  <c r="Y454" i="55"/>
  <c r="Y388" i="55"/>
  <c r="Y341" i="55"/>
  <c r="Y309" i="55"/>
  <c r="Y253" i="55"/>
  <c r="Y213" i="55"/>
  <c r="Y156" i="55"/>
  <c r="Y107" i="55"/>
  <c r="Y75" i="55"/>
  <c r="Y33" i="55"/>
  <c r="Y15" i="55"/>
  <c r="Y14" i="55"/>
  <c r="Y642" i="55"/>
  <c r="Y634" i="55"/>
  <c r="Y49" i="55"/>
  <c r="Y618" i="55"/>
  <c r="Y610" i="55"/>
  <c r="Y602" i="55"/>
  <c r="Y594" i="55"/>
  <c r="Y586" i="55"/>
  <c r="Y578" i="55"/>
  <c r="Y570" i="55"/>
  <c r="Y562" i="55"/>
  <c r="Y554" i="55"/>
  <c r="Y546" i="55"/>
  <c r="Y538" i="55"/>
  <c r="Y530" i="55"/>
  <c r="Y522" i="55"/>
  <c r="Y514" i="55"/>
  <c r="Y506" i="55"/>
  <c r="Y498" i="55"/>
  <c r="Y489" i="55"/>
  <c r="Y481" i="55"/>
  <c r="Y473" i="55"/>
  <c r="Y465" i="55"/>
  <c r="Y457" i="55"/>
  <c r="Y443" i="55"/>
  <c r="Y435" i="55"/>
  <c r="Y427" i="55"/>
  <c r="Y419" i="55"/>
  <c r="Y407" i="55"/>
  <c r="Y399" i="55"/>
  <c r="Y391" i="55"/>
  <c r="Y383" i="55"/>
  <c r="Y374" i="55"/>
  <c r="Y366" i="55"/>
  <c r="Y353" i="55"/>
  <c r="Y345" i="55"/>
  <c r="Y336" i="55"/>
  <c r="Y328" i="55"/>
  <c r="Y320" i="55"/>
  <c r="Y312" i="55"/>
  <c r="Y304" i="55"/>
  <c r="Y296" i="55"/>
  <c r="Y288" i="55"/>
  <c r="Y280" i="55"/>
  <c r="Y272" i="55"/>
  <c r="Y264" i="55"/>
  <c r="Y256" i="55"/>
  <c r="Y248" i="55"/>
  <c r="Y240" i="55"/>
  <c r="Y232" i="55"/>
  <c r="Y224" i="55"/>
  <c r="Y216" i="55"/>
  <c r="Y200" i="55"/>
  <c r="Y192" i="55"/>
  <c r="Y181" i="55"/>
  <c r="Y172" i="55"/>
  <c r="Y159" i="55"/>
  <c r="Y151" i="55"/>
  <c r="Y144" i="55"/>
  <c r="Y135" i="55"/>
  <c r="Y127" i="55"/>
  <c r="Y119" i="55"/>
  <c r="Y110" i="55"/>
  <c r="Y102" i="55"/>
  <c r="Y94" i="55"/>
  <c r="Y86" i="55"/>
  <c r="Y78" i="55"/>
  <c r="Y68" i="55"/>
  <c r="Y60" i="55"/>
  <c r="Y45" i="55"/>
  <c r="Y36" i="55"/>
  <c r="Y28" i="55"/>
  <c r="Y18" i="55"/>
  <c r="Y186" i="55"/>
  <c r="W380" i="55"/>
  <c r="W417" i="55"/>
  <c r="W418" i="55"/>
  <c r="C384" i="56"/>
  <c r="F117" i="56"/>
  <c r="F109" i="56"/>
  <c r="F101" i="56"/>
  <c r="F93" i="56"/>
  <c r="F85" i="56"/>
  <c r="F77" i="56"/>
  <c r="F69" i="56"/>
  <c r="F61" i="56"/>
  <c r="F53" i="56"/>
  <c r="F45" i="56"/>
  <c r="F37" i="56"/>
  <c r="F29" i="56"/>
  <c r="F21" i="56"/>
  <c r="F116" i="56"/>
  <c r="F108" i="56"/>
  <c r="F100" i="56"/>
  <c r="F92" i="56"/>
  <c r="F84" i="56"/>
  <c r="F76" i="56"/>
  <c r="F68" i="56"/>
  <c r="F60" i="56"/>
  <c r="F52" i="56"/>
  <c r="F44" i="56"/>
  <c r="F36" i="56"/>
  <c r="F28" i="56"/>
  <c r="F20" i="56"/>
  <c r="F14" i="56"/>
  <c r="F448" i="56"/>
  <c r="F432" i="56"/>
  <c r="F424" i="56"/>
  <c r="F368" i="56"/>
  <c r="F344" i="56"/>
  <c r="F311" i="56"/>
  <c r="F295" i="56"/>
  <c r="F287" i="56"/>
  <c r="F280" i="56"/>
  <c r="F272" i="56"/>
  <c r="F264" i="56"/>
  <c r="F256" i="56"/>
  <c r="F248" i="56"/>
  <c r="F240" i="56"/>
  <c r="F232" i="56"/>
  <c r="F224" i="56"/>
  <c r="F216" i="56"/>
  <c r="F191" i="56"/>
  <c r="F175" i="56"/>
  <c r="F156" i="56"/>
  <c r="F123" i="56"/>
  <c r="F115" i="56"/>
  <c r="F107" i="56"/>
  <c r="F99" i="56"/>
  <c r="F91" i="56"/>
  <c r="F83" i="56"/>
  <c r="F75" i="56"/>
  <c r="F67" i="56"/>
  <c r="F59" i="56"/>
  <c r="F51" i="56"/>
  <c r="F43" i="56"/>
  <c r="F35" i="56"/>
  <c r="F27" i="56"/>
  <c r="F19" i="56"/>
  <c r="F121" i="56"/>
  <c r="F113" i="56"/>
  <c r="F105" i="56"/>
  <c r="F97" i="56"/>
  <c r="F89" i="56"/>
  <c r="F81" i="56"/>
  <c r="F73" i="56"/>
  <c r="F65" i="56"/>
  <c r="F57" i="56"/>
  <c r="F49" i="56"/>
  <c r="F41" i="56"/>
  <c r="F33" i="56"/>
  <c r="F25" i="56"/>
  <c r="F17" i="56"/>
  <c r="F549" i="56"/>
  <c r="F485" i="56"/>
  <c r="F120" i="56"/>
  <c r="F112" i="56"/>
  <c r="F104" i="56"/>
  <c r="F96" i="56"/>
  <c r="F88" i="56"/>
  <c r="F80" i="56"/>
  <c r="F72" i="56"/>
  <c r="F64" i="56"/>
  <c r="F56" i="56"/>
  <c r="F48" i="56"/>
  <c r="F40" i="56"/>
  <c r="F32" i="56"/>
  <c r="F24" i="56"/>
  <c r="F16" i="56"/>
  <c r="F596" i="56"/>
  <c r="F580" i="56"/>
  <c r="F532" i="56"/>
  <c r="F516" i="56"/>
  <c r="F468" i="56"/>
  <c r="F452" i="56"/>
  <c r="F388" i="56"/>
  <c r="F340" i="56"/>
  <c r="F332" i="56"/>
  <c r="F324" i="56"/>
  <c r="F291" i="56"/>
  <c r="F211" i="56"/>
  <c r="F203" i="56"/>
  <c r="F195" i="56"/>
  <c r="F160" i="56"/>
  <c r="F142" i="56"/>
  <c r="F134" i="56"/>
  <c r="F127" i="56"/>
  <c r="F119" i="56"/>
  <c r="F111" i="56"/>
  <c r="F103" i="56"/>
  <c r="F95" i="56"/>
  <c r="F87" i="56"/>
  <c r="F79" i="56"/>
  <c r="F71" i="56"/>
  <c r="F63" i="56"/>
  <c r="F55" i="56"/>
  <c r="F47" i="56"/>
  <c r="F39" i="56"/>
  <c r="F31" i="56"/>
  <c r="F23" i="56"/>
  <c r="F15" i="56"/>
  <c r="E82" i="6"/>
  <c r="B624" i="23"/>
  <c r="AC52" i="62"/>
  <c r="AA143" i="62"/>
  <c r="AA103" i="62"/>
  <c r="AA151" i="62"/>
  <c r="AB175" i="62"/>
  <c r="AA32" i="62"/>
  <c r="AB132" i="62"/>
  <c r="AC156" i="62"/>
  <c r="AA172" i="62"/>
  <c r="AC166" i="62"/>
  <c r="AA37" i="62"/>
  <c r="AB61" i="62"/>
  <c r="AA125" i="62"/>
  <c r="AA51" i="62"/>
  <c r="AB75" i="62"/>
  <c r="AC99" i="62"/>
  <c r="AB145" i="62"/>
  <c r="AA167" i="62"/>
  <c r="AB162" i="62"/>
  <c r="AB96" i="62"/>
  <c r="AC120" i="62"/>
  <c r="AB166" i="62"/>
  <c r="AC119" i="62"/>
  <c r="AA119" i="62"/>
  <c r="AA64" i="62"/>
  <c r="AC77" i="62"/>
  <c r="AA102" i="62"/>
  <c r="AB126" i="62"/>
  <c r="AC150" i="62"/>
  <c r="AA158" i="62"/>
  <c r="AB167" i="62"/>
  <c r="AB93" i="62"/>
  <c r="AB144" i="62"/>
  <c r="AA65" i="62"/>
  <c r="AC110" i="62"/>
  <c r="AC139" i="62"/>
  <c r="AA69" i="62"/>
  <c r="AC162" i="62"/>
  <c r="AA86" i="62"/>
  <c r="AB110" i="62"/>
  <c r="AB118" i="62"/>
  <c r="AA77" i="62"/>
  <c r="AA144" i="62"/>
  <c r="AA171" i="62"/>
  <c r="AA49" i="62"/>
  <c r="AB73" i="62"/>
  <c r="AA140" i="62"/>
  <c r="AB92" i="62"/>
  <c r="AC111" i="62"/>
  <c r="AA67" i="62"/>
  <c r="AC112" i="62"/>
  <c r="AB33" i="62"/>
  <c r="AA36" i="62"/>
  <c r="D32" i="61"/>
  <c r="J31" i="61"/>
  <c r="F31" i="61"/>
  <c r="E30" i="61"/>
  <c r="AC57" i="62"/>
  <c r="AB50" i="62"/>
  <c r="AB72" i="62"/>
  <c r="AB41" i="62"/>
  <c r="AB34" i="62"/>
  <c r="AC131" i="62"/>
  <c r="AB148" i="62"/>
  <c r="C31" i="61"/>
  <c r="D29" i="61"/>
  <c r="AC56" i="62"/>
  <c r="AC82" i="62"/>
  <c r="AA142" i="62"/>
  <c r="AA164" i="62"/>
  <c r="AB106" i="62"/>
  <c r="AA46" i="62"/>
  <c r="AA76" i="62"/>
  <c r="B30" i="61"/>
  <c r="AC31" i="62"/>
  <c r="AC63" i="62"/>
  <c r="AC37" i="62"/>
  <c r="AB39" i="62"/>
  <c r="AC145" i="62"/>
  <c r="AB47" i="62"/>
  <c r="AC71" i="62"/>
  <c r="AC74" i="62"/>
  <c r="AA175" i="62"/>
  <c r="AA53" i="62"/>
  <c r="AB52" i="62"/>
  <c r="AB55" i="62"/>
  <c r="AC79" i="62"/>
  <c r="AC105" i="62"/>
  <c r="AA56" i="62"/>
  <c r="AC93" i="62"/>
  <c r="AA118" i="62"/>
  <c r="AB142" i="62"/>
  <c r="AC72" i="62"/>
  <c r="AC84" i="62"/>
  <c r="AA112" i="62"/>
  <c r="AA139" i="62"/>
  <c r="AB163" i="62"/>
  <c r="AA84" i="62"/>
  <c r="AC69" i="62"/>
  <c r="AB87" i="62"/>
  <c r="AC114" i="62"/>
  <c r="AB120" i="62"/>
  <c r="AC144" i="62"/>
  <c r="AA169" i="62"/>
  <c r="AB156" i="62"/>
  <c r="AB121" i="62"/>
  <c r="AB66" i="62"/>
  <c r="AC138" i="62"/>
  <c r="AA62" i="62"/>
  <c r="AC107" i="62"/>
  <c r="AB153" i="62"/>
  <c r="AB76" i="62"/>
  <c r="AA141" i="62"/>
  <c r="AA83" i="62"/>
  <c r="AC128" i="62"/>
  <c r="AA153" i="62"/>
  <c r="AB140" i="62"/>
  <c r="AB146" i="62"/>
  <c r="AA43" i="62"/>
  <c r="AB67" i="62"/>
  <c r="AC91" i="62"/>
  <c r="AA116" i="62"/>
  <c r="AA85" i="62"/>
  <c r="AA66" i="62"/>
  <c r="AA48" i="62"/>
  <c r="AC109" i="62"/>
  <c r="AB155" i="62"/>
  <c r="AC118" i="62"/>
  <c r="AB30" i="62"/>
  <c r="R32" i="61"/>
  <c r="S32" i="61"/>
  <c r="A31" i="61"/>
  <c r="Q31" i="61"/>
  <c r="O31" i="61"/>
  <c r="L32" i="61"/>
  <c r="I29" i="61"/>
  <c r="L30" i="61"/>
  <c r="AB30" i="57"/>
  <c r="J29" i="61"/>
  <c r="G30" i="61"/>
  <c r="AC34" i="62"/>
  <c r="J28" i="61"/>
  <c r="G28" i="61"/>
  <c r="C28" i="61"/>
  <c r="AC29" i="62"/>
  <c r="AC26" i="62"/>
  <c r="AC60" i="62"/>
  <c r="AB172" i="62"/>
  <c r="AA31" i="62"/>
  <c r="AA121" i="62"/>
  <c r="AA80" i="62"/>
  <c r="AA161" i="62"/>
  <c r="AB40" i="62"/>
  <c r="AA74" i="62"/>
  <c r="B31" i="61"/>
  <c r="O30" i="61"/>
  <c r="AC39" i="62"/>
  <c r="AC43" i="62"/>
  <c r="AC33" i="62"/>
  <c r="AA82" i="62"/>
  <c r="AB44" i="62"/>
  <c r="AC68" i="62"/>
  <c r="AA93" i="62"/>
  <c r="AA96" i="62"/>
  <c r="AA50" i="62"/>
  <c r="AB74" i="62"/>
  <c r="AC73" i="62"/>
  <c r="AC76" i="62"/>
  <c r="AA101" i="62"/>
  <c r="AC161" i="62"/>
  <c r="AB85" i="62"/>
  <c r="AA115" i="62"/>
  <c r="AB139" i="62"/>
  <c r="AC163" i="62"/>
  <c r="AA33" i="62"/>
  <c r="AC124" i="62"/>
  <c r="AB133" i="62"/>
  <c r="AB160" i="62"/>
  <c r="AB38" i="62"/>
  <c r="AB105" i="62"/>
  <c r="AB176" i="62"/>
  <c r="AB127" i="62"/>
  <c r="AA136" i="62"/>
  <c r="AC141" i="62"/>
  <c r="AA166" i="62"/>
  <c r="AA44" i="62"/>
  <c r="AC148" i="62"/>
  <c r="AA71" i="62"/>
  <c r="AC103" i="62"/>
  <c r="AA160" i="62"/>
  <c r="AB83" i="62"/>
  <c r="AA129" i="62"/>
  <c r="AC134" i="62"/>
  <c r="AA135" i="62"/>
  <c r="AA173" i="62"/>
  <c r="AB104" i="62"/>
  <c r="AA150" i="62"/>
  <c r="AB174" i="62"/>
  <c r="AB63" i="62"/>
  <c r="AC175" i="62"/>
  <c r="AB64" i="62"/>
  <c r="AC88" i="62"/>
  <c r="AA113" i="62"/>
  <c r="AB137" i="62"/>
  <c r="AB48" i="62"/>
  <c r="AC108" i="62"/>
  <c r="AB77" i="62"/>
  <c r="AA131" i="62"/>
  <c r="AC176" i="62"/>
  <c r="AB177" i="62"/>
  <c r="AA30" i="62"/>
  <c r="G31" i="61"/>
  <c r="M31" i="61"/>
  <c r="R31" i="61"/>
  <c r="D31" i="61"/>
  <c r="E32" i="61"/>
  <c r="L29" i="61"/>
  <c r="K30" i="61"/>
  <c r="AB29" i="57"/>
  <c r="P30" i="61"/>
  <c r="J30" i="61"/>
  <c r="N30" i="61"/>
  <c r="AC18" i="62"/>
  <c r="K28" i="61"/>
  <c r="N28" i="61"/>
  <c r="D28" i="61"/>
  <c r="AC28" i="62"/>
  <c r="AC53" i="62"/>
  <c r="AC41" i="62"/>
  <c r="AA58" i="62"/>
  <c r="AB49" i="62"/>
  <c r="AB45" i="62"/>
  <c r="AA110" i="62"/>
  <c r="AC174" i="62"/>
  <c r="AA155" i="62"/>
  <c r="AA104" i="62"/>
  <c r="AA73" i="62"/>
  <c r="AB29" i="62"/>
  <c r="C32" i="61"/>
  <c r="Q32" i="61"/>
  <c r="O32" i="61"/>
  <c r="H29" i="61"/>
  <c r="B29" i="61"/>
  <c r="Q29" i="61"/>
  <c r="O28" i="61"/>
  <c r="AC51" i="62"/>
  <c r="AC45" i="62"/>
  <c r="K32" i="61"/>
  <c r="R29" i="61"/>
  <c r="P28" i="61"/>
  <c r="AC30" i="62"/>
  <c r="AB32" i="57"/>
  <c r="A29" i="61"/>
  <c r="R28" i="61"/>
  <c r="AC42" i="62"/>
  <c r="AB58" i="62"/>
  <c r="AA88" i="62"/>
  <c r="AA99" i="62"/>
  <c r="AB86" i="62"/>
  <c r="AA109" i="62"/>
  <c r="AB88" i="62"/>
  <c r="P32" i="61"/>
  <c r="T28" i="61"/>
  <c r="AC19" i="62"/>
  <c r="AB36" i="62"/>
  <c r="AB103" i="62"/>
  <c r="AC65" i="62"/>
  <c r="AA90" i="62"/>
  <c r="AB114" i="62"/>
  <c r="AA47" i="62"/>
  <c r="AB71" i="62"/>
  <c r="AC95" i="62"/>
  <c r="AA95" i="62"/>
  <c r="AA98" i="62"/>
  <c r="AB122" i="62"/>
  <c r="AB79" i="62"/>
  <c r="AB109" i="62"/>
  <c r="AB136" i="62"/>
  <c r="AC160" i="62"/>
  <c r="AA60" i="62"/>
  <c r="AA156" i="62"/>
  <c r="AB159" i="62"/>
  <c r="AC154" i="62"/>
  <c r="AB161" i="62"/>
  <c r="AA81" i="62"/>
  <c r="AC126" i="62"/>
  <c r="AC136" i="62"/>
  <c r="AC164" i="62"/>
  <c r="AB157" i="62"/>
  <c r="AA163" i="62"/>
  <c r="AA41" i="62"/>
  <c r="AB65" i="62"/>
  <c r="AC151" i="62"/>
  <c r="AA127" i="62"/>
  <c r="AA133" i="62"/>
  <c r="AA59" i="62"/>
  <c r="AC104" i="62"/>
  <c r="AB150" i="62"/>
  <c r="AB31" i="62"/>
  <c r="AB69" i="62"/>
  <c r="AC125" i="62"/>
  <c r="AB171" i="62"/>
  <c r="AA106" i="62"/>
  <c r="AC85" i="62"/>
  <c r="AB134" i="62"/>
  <c r="AA146" i="62"/>
  <c r="AB152" i="62"/>
  <c r="AC170" i="62"/>
  <c r="AB33" i="57"/>
  <c r="K31" i="61"/>
  <c r="P29" i="61"/>
  <c r="S30" i="61"/>
  <c r="T29" i="61"/>
  <c r="AC25" i="62"/>
  <c r="A28" i="61"/>
  <c r="AC40" i="62"/>
  <c r="AC16" i="62"/>
  <c r="S29" i="61"/>
  <c r="Q30" i="61"/>
  <c r="L28" i="61"/>
  <c r="AC54" i="62"/>
  <c r="T31" i="61"/>
  <c r="T30" i="61"/>
  <c r="I28" i="61"/>
  <c r="AB53" i="62"/>
  <c r="AC96" i="62"/>
  <c r="AC90" i="62"/>
  <c r="AC165" i="62"/>
  <c r="AB84" i="62"/>
  <c r="AA149" i="62"/>
  <c r="I32" i="61"/>
  <c r="AC48" i="62"/>
  <c r="AC58" i="62"/>
  <c r="AC47" i="62"/>
  <c r="AA79" i="62"/>
  <c r="AA39" i="62"/>
  <c r="AA87" i="62"/>
  <c r="AB111" i="62"/>
  <c r="AC135" i="62"/>
  <c r="AB68" i="62"/>
  <c r="AC92" i="62"/>
  <c r="AA117" i="62"/>
  <c r="AB116" i="62"/>
  <c r="AB119" i="62"/>
  <c r="AC143" i="62"/>
  <c r="AA122" i="62"/>
  <c r="AC130" i="62"/>
  <c r="AC157" i="62"/>
  <c r="AC158" i="62"/>
  <c r="AB81" i="62"/>
  <c r="AC142" i="62"/>
  <c r="AA61" i="62"/>
  <c r="AA176" i="62"/>
  <c r="AB35" i="62"/>
  <c r="AB102" i="62"/>
  <c r="AA148" i="62"/>
  <c r="AA97" i="62"/>
  <c r="AB98" i="62"/>
  <c r="AC178" i="62"/>
  <c r="AA38" i="62"/>
  <c r="AB62" i="62"/>
  <c r="AC86" i="62"/>
  <c r="AA128" i="62"/>
  <c r="AC177" i="62"/>
  <c r="AB170" i="62"/>
  <c r="AB80" i="62"/>
  <c r="AA126" i="62"/>
  <c r="AC171" i="62"/>
  <c r="AB149" i="62"/>
  <c r="AC100" i="62"/>
  <c r="AC98" i="62"/>
  <c r="AA147" i="62"/>
  <c r="AB46" i="62"/>
  <c r="AC70" i="62"/>
  <c r="AB143" i="62"/>
  <c r="AA72" i="62"/>
  <c r="AA107" i="62"/>
  <c r="AB131" i="62"/>
  <c r="AC155" i="62"/>
  <c r="AA137" i="62"/>
  <c r="AB115" i="62"/>
  <c r="AB169" i="62"/>
  <c r="AB125" i="62"/>
  <c r="AC173" i="62"/>
  <c r="AB94" i="62"/>
  <c r="AC133" i="62"/>
  <c r="AA29" i="62"/>
  <c r="N32" i="61"/>
  <c r="T32" i="61"/>
  <c r="A32" i="61"/>
  <c r="I31" i="61"/>
  <c r="L31" i="61"/>
  <c r="F29" i="61"/>
  <c r="A30" i="61"/>
  <c r="C30" i="61"/>
  <c r="G29" i="61"/>
  <c r="M30" i="61"/>
  <c r="AC24" i="62"/>
  <c r="AC20" i="62"/>
  <c r="AB28" i="57"/>
  <c r="M28" i="61"/>
  <c r="AC35" i="62"/>
  <c r="AB28" i="62"/>
  <c r="AC62" i="62"/>
  <c r="AC55" i="62"/>
  <c r="AB173" i="62"/>
  <c r="AB99" i="62"/>
  <c r="AA63" i="62"/>
  <c r="AC80" i="62"/>
  <c r="AB51" i="62"/>
  <c r="AA123" i="62"/>
  <c r="AB179" i="62"/>
  <c r="AB43" i="62"/>
  <c r="AB113" i="62"/>
  <c r="AC122" i="62"/>
  <c r="AA174" i="62"/>
  <c r="AB97" i="62"/>
  <c r="AB82" i="62"/>
  <c r="AA168" i="62"/>
  <c r="AB158" i="62"/>
  <c r="F32" i="61"/>
  <c r="N31" i="61"/>
  <c r="M32" i="61"/>
  <c r="H30" i="61"/>
  <c r="E28" i="61"/>
  <c r="AC61" i="62"/>
  <c r="F30" i="61"/>
  <c r="AC49" i="62"/>
  <c r="AC44" i="62"/>
  <c r="AC153" i="62"/>
  <c r="AB154" i="62"/>
  <c r="AC117" i="62"/>
  <c r="AB123" i="62"/>
  <c r="AA132" i="62"/>
  <c r="AB165" i="62"/>
  <c r="AA134" i="62"/>
  <c r="J32" i="61"/>
  <c r="H28" i="61"/>
  <c r="AC23" i="62"/>
  <c r="AB100" i="62"/>
  <c r="AB60" i="62"/>
  <c r="AB108" i="62"/>
  <c r="AC132" i="62"/>
  <c r="AA157" i="62"/>
  <c r="AC89" i="62"/>
  <c r="AA114" i="62"/>
  <c r="AB138" i="62"/>
  <c r="AC137" i="62"/>
  <c r="AC140" i="62"/>
  <c r="AA165" i="62"/>
  <c r="AB151" i="62"/>
  <c r="AA152" i="62"/>
  <c r="AA179" i="62"/>
  <c r="AA57" i="62"/>
  <c r="AC102" i="62"/>
  <c r="AA55" i="62"/>
  <c r="AB90" i="62"/>
  <c r="AB32" i="62"/>
  <c r="AA78" i="62"/>
  <c r="AC123" i="62"/>
  <c r="AC97" i="62"/>
  <c r="AB57" i="62"/>
  <c r="AB130" i="62"/>
  <c r="AA35" i="62"/>
  <c r="AB59" i="62"/>
  <c r="AC83" i="62"/>
  <c r="AA108" i="62"/>
  <c r="AA91" i="62"/>
  <c r="AB95" i="62"/>
  <c r="AB37" i="62"/>
  <c r="AC101" i="62"/>
  <c r="AB147" i="62"/>
  <c r="AA68" i="62"/>
  <c r="AB112" i="62"/>
  <c r="AA138" i="62"/>
  <c r="AA120" i="62"/>
  <c r="AB168" i="62"/>
  <c r="AC67" i="62"/>
  <c r="AA92" i="62"/>
  <c r="AC172" i="62"/>
  <c r="AB101" i="62"/>
  <c r="AB128" i="62"/>
  <c r="AC152" i="62"/>
  <c r="AA177" i="62"/>
  <c r="AC179" i="62"/>
  <c r="AC75" i="62"/>
  <c r="AA45" i="62"/>
  <c r="AC146" i="62"/>
  <c r="AA70" i="62"/>
  <c r="AC115" i="62"/>
  <c r="AA94" i="62"/>
  <c r="AC22" i="62"/>
  <c r="E31" i="61"/>
  <c r="G32" i="61"/>
  <c r="H31" i="61"/>
  <c r="S31" i="61"/>
  <c r="B32" i="61"/>
  <c r="I30" i="61"/>
  <c r="K29" i="61"/>
  <c r="C29" i="61"/>
  <c r="R30" i="61"/>
  <c r="N29" i="61"/>
  <c r="AC15" i="62"/>
  <c r="AC64" i="62"/>
  <c r="B28" i="61"/>
  <c r="S28" i="61"/>
  <c r="AC32" i="62"/>
  <c r="AA28" i="62"/>
  <c r="AC27" i="62"/>
  <c r="AC36" i="62"/>
  <c r="AA54" i="62"/>
  <c r="AC116" i="62"/>
  <c r="AB56" i="62"/>
  <c r="AB129" i="62"/>
  <c r="AA130" i="62"/>
  <c r="AC168" i="62"/>
  <c r="AA170" i="62"/>
  <c r="AB124" i="62"/>
  <c r="AA178" i="62"/>
  <c r="AC106" i="62"/>
  <c r="AC169" i="62"/>
  <c r="AB117" i="62"/>
  <c r="AB107" i="62"/>
  <c r="AC94" i="62"/>
  <c r="H32" i="61"/>
  <c r="M29" i="61"/>
  <c r="AC17" i="62"/>
  <c r="AC46" i="62"/>
  <c r="AC121" i="62"/>
  <c r="AC81" i="62"/>
  <c r="AC129" i="62"/>
  <c r="AA154" i="62"/>
  <c r="AB178" i="62"/>
  <c r="AA111" i="62"/>
  <c r="AB135" i="62"/>
  <c r="AC159" i="62"/>
  <c r="AA159" i="62"/>
  <c r="AA162" i="62"/>
  <c r="AA40" i="62"/>
  <c r="AC87" i="62"/>
  <c r="AB78" i="62"/>
  <c r="AA124" i="62"/>
  <c r="AC113" i="62"/>
  <c r="AC127" i="62"/>
  <c r="AA75" i="62"/>
  <c r="AA145" i="62"/>
  <c r="AC167" i="62"/>
  <c r="AA105" i="62"/>
  <c r="AC66" i="62"/>
  <c r="AB89" i="62"/>
  <c r="AB141" i="62"/>
  <c r="AA89" i="62"/>
  <c r="AB42" i="62"/>
  <c r="AC149" i="62"/>
  <c r="AA52" i="62"/>
  <c r="AC78" i="62"/>
  <c r="AB91" i="62"/>
  <c r="AB54" i="62"/>
  <c r="A1" i="61"/>
  <c r="P31" i="61"/>
  <c r="O29" i="61"/>
  <c r="AC50" i="62"/>
  <c r="AC38" i="62"/>
  <c r="AB31" i="57"/>
  <c r="E29" i="61"/>
  <c r="Q28" i="61"/>
  <c r="AC21" i="62"/>
  <c r="AB164" i="62"/>
  <c r="AA34" i="62"/>
  <c r="AA42" i="62"/>
  <c r="AC147" i="62"/>
  <c r="AA100" i="62"/>
  <c r="AB70" i="62"/>
  <c r="AC59" i="62"/>
  <c r="D30" i="61"/>
  <c r="F28" i="61"/>
  <c r="N169" i="57" l="1"/>
  <c r="N169" i="62"/>
  <c r="C651" i="62"/>
  <c r="E169" i="62"/>
  <c r="E418" i="62"/>
  <c r="Y418" i="62"/>
  <c r="N380" i="57"/>
  <c r="N380" i="62"/>
  <c r="B656" i="62" s="1"/>
  <c r="Y417" i="62"/>
  <c r="E417" i="62"/>
  <c r="C652" i="62"/>
  <c r="N418" i="57"/>
  <c r="N418" i="62"/>
  <c r="X648" i="62"/>
  <c r="C657" i="62"/>
  <c r="Y380" i="62"/>
  <c r="C656" i="62" s="1"/>
  <c r="E380" i="62"/>
  <c r="C655" i="62"/>
  <c r="E648" i="62"/>
  <c r="AA187" i="62"/>
  <c r="C650" i="62"/>
  <c r="C653" i="57"/>
  <c r="X648" i="57"/>
  <c r="N417" i="55"/>
  <c r="F417" i="56" s="1"/>
  <c r="N417" i="57"/>
  <c r="C654" i="57"/>
  <c r="Y418" i="57"/>
  <c r="E418" i="57"/>
  <c r="Y417" i="57"/>
  <c r="E417" i="57"/>
  <c r="C652" i="57"/>
  <c r="Y380" i="57"/>
  <c r="Y648" i="57" s="1"/>
  <c r="E380" i="57"/>
  <c r="E169" i="57"/>
  <c r="N169" i="55"/>
  <c r="N169" i="60"/>
  <c r="B650" i="57"/>
  <c r="C210" i="60"/>
  <c r="E169" i="60"/>
  <c r="E200" i="60" s="1"/>
  <c r="C204" i="60"/>
  <c r="Y200" i="60"/>
  <c r="C655" i="57"/>
  <c r="C657" i="57"/>
  <c r="C651" i="57"/>
  <c r="C209" i="60"/>
  <c r="C211" i="60"/>
  <c r="C205" i="60"/>
  <c r="C650" i="57"/>
  <c r="C380" i="56"/>
  <c r="N380" i="55"/>
  <c r="C423" i="56"/>
  <c r="N418" i="55"/>
  <c r="B114" i="56"/>
  <c r="B123" i="56"/>
  <c r="B40" i="56"/>
  <c r="B32" i="56"/>
  <c r="B82" i="56"/>
  <c r="B34" i="56"/>
  <c r="B122" i="56"/>
  <c r="B311" i="56"/>
  <c r="B56" i="56"/>
  <c r="B415" i="56"/>
  <c r="B43" i="56"/>
  <c r="B255" i="56"/>
  <c r="B106" i="56"/>
  <c r="B66" i="56"/>
  <c r="C167" i="56"/>
  <c r="C169" i="56"/>
  <c r="B230" i="56"/>
  <c r="B47" i="56"/>
  <c r="B190" i="56"/>
  <c r="B58" i="56"/>
  <c r="B149" i="56"/>
  <c r="B54" i="56"/>
  <c r="B52" i="56"/>
  <c r="C170" i="56"/>
  <c r="C161" i="56"/>
  <c r="B53" i="56"/>
  <c r="B57" i="56"/>
  <c r="B42" i="56"/>
  <c r="B170" i="56"/>
  <c r="B39" i="56"/>
  <c r="B31" i="56"/>
  <c r="B33" i="56"/>
  <c r="B28" i="56"/>
  <c r="B536" i="56"/>
  <c r="B89" i="56"/>
  <c r="B155" i="56"/>
  <c r="B74" i="56"/>
  <c r="B302" i="56"/>
  <c r="B27" i="56"/>
  <c r="B154" i="56"/>
  <c r="B95" i="56"/>
  <c r="B49" i="56"/>
  <c r="B37" i="56"/>
  <c r="B46" i="56"/>
  <c r="B29" i="56"/>
  <c r="C420" i="56"/>
  <c r="C422" i="56"/>
  <c r="B38" i="56"/>
  <c r="B36" i="56"/>
  <c r="B44" i="56"/>
  <c r="B35" i="56"/>
  <c r="C382" i="56"/>
  <c r="C387" i="56"/>
  <c r="B71" i="56"/>
  <c r="B41" i="56"/>
  <c r="B45" i="56"/>
  <c r="B30" i="56"/>
  <c r="B290" i="56"/>
  <c r="B393" i="56"/>
  <c r="B323" i="56"/>
  <c r="B227" i="56"/>
  <c r="B68" i="56"/>
  <c r="B351" i="56"/>
  <c r="B347" i="56"/>
  <c r="B577" i="56"/>
  <c r="C418" i="56"/>
  <c r="C421" i="56"/>
  <c r="B235" i="56"/>
  <c r="B168" i="56"/>
  <c r="B268" i="56"/>
  <c r="C165" i="56"/>
  <c r="C168" i="56"/>
  <c r="B79" i="56"/>
  <c r="B143" i="56"/>
  <c r="B234" i="56"/>
  <c r="B161" i="56"/>
  <c r="B98" i="56"/>
  <c r="B178" i="56"/>
  <c r="B194" i="56"/>
  <c r="B105" i="56"/>
  <c r="B116" i="56"/>
  <c r="C415" i="56"/>
  <c r="C417" i="56"/>
  <c r="B87" i="56"/>
  <c r="B218" i="56"/>
  <c r="B193" i="56"/>
  <c r="B296" i="56"/>
  <c r="B153" i="56"/>
  <c r="B239" i="56"/>
  <c r="B335" i="56"/>
  <c r="B100" i="56"/>
  <c r="B344" i="56"/>
  <c r="B247" i="56"/>
  <c r="B457" i="56"/>
  <c r="B420" i="56"/>
  <c r="B320" i="56"/>
  <c r="C413" i="56"/>
  <c r="C416" i="56"/>
  <c r="B111" i="56"/>
  <c r="B110" i="56"/>
  <c r="B90" i="56"/>
  <c r="B119" i="56"/>
  <c r="B186" i="56"/>
  <c r="B287" i="56"/>
  <c r="B93" i="56"/>
  <c r="B84" i="56"/>
  <c r="B336" i="56"/>
  <c r="C379" i="56"/>
  <c r="C381" i="56"/>
  <c r="B223" i="56"/>
  <c r="B345" i="56"/>
  <c r="B169" i="56"/>
  <c r="B412" i="56"/>
  <c r="B177" i="56"/>
  <c r="B242" i="56"/>
  <c r="B191" i="56"/>
  <c r="C162" i="56"/>
  <c r="C163" i="56"/>
  <c r="B245" i="56"/>
  <c r="B238" i="56"/>
  <c r="B263" i="56"/>
  <c r="B250" i="56"/>
  <c r="B134" i="56"/>
  <c r="B271" i="56"/>
  <c r="B258" i="56"/>
  <c r="B121" i="56"/>
  <c r="B160" i="56"/>
  <c r="B215" i="56"/>
  <c r="B64" i="56"/>
  <c r="B88" i="56"/>
  <c r="B187" i="56"/>
  <c r="B150" i="56"/>
  <c r="B94" i="56"/>
  <c r="B61" i="56"/>
  <c r="B67" i="56"/>
  <c r="B175" i="56"/>
  <c r="B107" i="56"/>
  <c r="B135" i="56"/>
  <c r="B118" i="56"/>
  <c r="B92" i="56"/>
  <c r="B253" i="56"/>
  <c r="B117" i="56"/>
  <c r="B176" i="56"/>
  <c r="B603" i="56"/>
  <c r="E418" i="55"/>
  <c r="B531" i="56"/>
  <c r="B131" i="56"/>
  <c r="B167" i="56"/>
  <c r="B222" i="56"/>
  <c r="B103" i="56"/>
  <c r="B73" i="56"/>
  <c r="B85" i="56"/>
  <c r="B109" i="56"/>
  <c r="B78" i="56"/>
  <c r="B70" i="56"/>
  <c r="B86" i="56"/>
  <c r="C405" i="56"/>
  <c r="C414" i="56"/>
  <c r="B162" i="56"/>
  <c r="B171" i="56"/>
  <c r="B583" i="56"/>
  <c r="B395" i="56"/>
  <c r="B91" i="56"/>
  <c r="B108" i="56"/>
  <c r="B80" i="56"/>
  <c r="B77" i="56"/>
  <c r="B450" i="56"/>
  <c r="B216" i="56"/>
  <c r="B174" i="56"/>
  <c r="B141" i="56"/>
  <c r="B99" i="56"/>
  <c r="B76" i="56"/>
  <c r="B137" i="56"/>
  <c r="B72" i="56"/>
  <c r="B145" i="56"/>
  <c r="B112" i="56"/>
  <c r="B65" i="56"/>
  <c r="B126" i="56"/>
  <c r="B133" i="56"/>
  <c r="B185" i="56"/>
  <c r="B142" i="56"/>
  <c r="B184" i="56"/>
  <c r="B59" i="56"/>
  <c r="B260" i="56"/>
  <c r="B63" i="56"/>
  <c r="B96" i="56"/>
  <c r="B102" i="56"/>
  <c r="B101" i="56"/>
  <c r="B83" i="56"/>
  <c r="B183" i="56"/>
  <c r="B115" i="56"/>
  <c r="C369" i="56"/>
  <c r="C378" i="56"/>
  <c r="B261" i="56"/>
  <c r="B254" i="56"/>
  <c r="B136" i="56"/>
  <c r="B120" i="56"/>
  <c r="B113" i="56"/>
  <c r="B81" i="56"/>
  <c r="B179" i="56"/>
  <c r="B69" i="56"/>
  <c r="B62" i="56"/>
  <c r="B75" i="56"/>
  <c r="B159" i="56"/>
  <c r="B60" i="56"/>
  <c r="B262" i="56"/>
  <c r="B104" i="56"/>
  <c r="B97" i="56"/>
  <c r="B192" i="56"/>
  <c r="B303" i="56"/>
  <c r="B340" i="56"/>
  <c r="B322" i="56"/>
  <c r="B352" i="56"/>
  <c r="B256" i="56"/>
  <c r="B313" i="56"/>
  <c r="B257" i="56"/>
  <c r="B406" i="56"/>
  <c r="B199" i="56"/>
  <c r="B231" i="56"/>
  <c r="B225" i="56"/>
  <c r="B229" i="56"/>
  <c r="B259" i="56"/>
  <c r="B354" i="56"/>
  <c r="B384" i="56"/>
  <c r="B416" i="56"/>
  <c r="B314" i="56"/>
  <c r="B312" i="56"/>
  <c r="B200" i="56"/>
  <c r="B375" i="56"/>
  <c r="B217" i="56"/>
  <c r="B327" i="56"/>
  <c r="B513" i="56"/>
  <c r="B368" i="56"/>
  <c r="B279" i="56"/>
  <c r="B330" i="56"/>
  <c r="B224" i="56"/>
  <c r="B264" i="56"/>
  <c r="B249" i="56"/>
  <c r="B248" i="56"/>
  <c r="B360" i="56"/>
  <c r="B379" i="56"/>
  <c r="B553" i="56"/>
  <c r="B203" i="56"/>
  <c r="B228" i="56"/>
  <c r="B299" i="56"/>
  <c r="B240" i="56"/>
  <c r="B304" i="56"/>
  <c r="B424" i="56"/>
  <c r="B270" i="56"/>
  <c r="B282" i="56"/>
  <c r="B252" i="56"/>
  <c r="B243" i="56"/>
  <c r="B280" i="56"/>
  <c r="B329" i="56"/>
  <c r="B208" i="56"/>
  <c r="B545" i="56"/>
  <c r="B267" i="56"/>
  <c r="B272" i="56"/>
  <c r="B297" i="56"/>
  <c r="B275" i="56"/>
  <c r="B220" i="56"/>
  <c r="B321" i="56"/>
  <c r="B366" i="56"/>
  <c r="B425" i="56"/>
  <c r="B408" i="56"/>
  <c r="C390" i="56"/>
  <c r="C404" i="56"/>
  <c r="B232" i="56"/>
  <c r="B328" i="56"/>
  <c r="B451" i="56"/>
  <c r="B587" i="56"/>
  <c r="B507" i="56"/>
  <c r="B515" i="56"/>
  <c r="B383" i="56"/>
  <c r="B548" i="56"/>
  <c r="B400" i="56"/>
  <c r="B409" i="56"/>
  <c r="F405" i="56"/>
  <c r="C391" i="56"/>
  <c r="B361" i="56"/>
  <c r="B377" i="56"/>
  <c r="B386" i="56"/>
  <c r="B337" i="56"/>
  <c r="B353" i="56"/>
  <c r="B385" i="56"/>
  <c r="B346" i="56"/>
  <c r="B554" i="56"/>
  <c r="B355" i="56"/>
  <c r="B418" i="56"/>
  <c r="B579" i="56"/>
  <c r="B401" i="56"/>
  <c r="B371" i="56"/>
  <c r="B362" i="56"/>
  <c r="B376" i="56"/>
  <c r="C355" i="56"/>
  <c r="B500" i="56"/>
  <c r="B555" i="56"/>
  <c r="B434" i="56"/>
  <c r="B369" i="56"/>
  <c r="B417" i="56"/>
  <c r="B392" i="56"/>
  <c r="B378" i="56"/>
  <c r="B305" i="56"/>
  <c r="B524" i="56"/>
  <c r="B370" i="56"/>
  <c r="B588" i="56"/>
  <c r="B460" i="56"/>
  <c r="B432" i="56"/>
  <c r="B439" i="56"/>
  <c r="B586" i="56"/>
  <c r="B473" i="56"/>
  <c r="B456" i="56"/>
  <c r="B433" i="56"/>
  <c r="B488" i="56"/>
  <c r="B521" i="56"/>
  <c r="B514" i="56"/>
  <c r="B483" i="56"/>
  <c r="B499" i="56"/>
  <c r="B576" i="56"/>
  <c r="B601" i="56"/>
  <c r="B491" i="56"/>
  <c r="B571" i="56"/>
  <c r="B463" i="56"/>
  <c r="B560" i="56"/>
  <c r="B544" i="56"/>
  <c r="B489" i="56"/>
  <c r="B506" i="56"/>
  <c r="B512" i="56"/>
  <c r="B482" i="56"/>
  <c r="B593" i="56"/>
  <c r="B480" i="56"/>
  <c r="B465" i="56"/>
  <c r="B529" i="56"/>
  <c r="B449" i="56"/>
  <c r="B578" i="56"/>
  <c r="B467" i="56"/>
  <c r="B523" i="56"/>
  <c r="B438" i="56"/>
  <c r="B585" i="56"/>
  <c r="B594" i="56"/>
  <c r="B481" i="56"/>
  <c r="B504" i="56"/>
  <c r="B595" i="56"/>
  <c r="B441" i="56"/>
  <c r="B561" i="56"/>
  <c r="B459" i="56"/>
  <c r="B538" i="56"/>
  <c r="B546" i="56"/>
  <c r="B402" i="56"/>
  <c r="B396" i="56"/>
  <c r="B426" i="56"/>
  <c r="B298" i="56"/>
  <c r="B364" i="56"/>
  <c r="B530" i="56"/>
  <c r="B291" i="56"/>
  <c r="B356" i="56"/>
  <c r="B458" i="56"/>
  <c r="B466" i="56"/>
  <c r="B289" i="56"/>
  <c r="B490" i="56"/>
  <c r="B562" i="56"/>
  <c r="B127" i="56"/>
  <c r="B201" i="56"/>
  <c r="B209" i="56"/>
  <c r="B338" i="56"/>
  <c r="B410" i="56"/>
  <c r="B592" i="56"/>
  <c r="B609" i="56"/>
  <c r="B151" i="56"/>
  <c r="B602" i="56"/>
  <c r="B596" i="56"/>
  <c r="B584" i="56"/>
  <c r="B442" i="56"/>
  <c r="B394" i="56"/>
  <c r="C385" i="56"/>
  <c r="F420" i="56"/>
  <c r="C153" i="56"/>
  <c r="F168" i="56"/>
  <c r="F396" i="56"/>
  <c r="F164" i="56"/>
  <c r="E417" i="55"/>
  <c r="B498" i="56"/>
  <c r="B202" i="56"/>
  <c r="B540" i="56"/>
  <c r="F348" i="56"/>
  <c r="F376" i="56"/>
  <c r="B436" i="56"/>
  <c r="B307" i="56"/>
  <c r="F303" i="56"/>
  <c r="F440" i="56"/>
  <c r="F412" i="56"/>
  <c r="F183" i="56"/>
  <c r="B522" i="56"/>
  <c r="F150" i="56"/>
  <c r="F283" i="56"/>
  <c r="F356" i="56"/>
  <c r="F352" i="56"/>
  <c r="F500" i="56"/>
  <c r="F564" i="56"/>
  <c r="F488" i="56"/>
  <c r="F552" i="56"/>
  <c r="F504" i="56"/>
  <c r="F568" i="56"/>
  <c r="B236" i="56"/>
  <c r="B315" i="56"/>
  <c r="B496" i="56"/>
  <c r="B564" i="56"/>
  <c r="F328" i="56"/>
  <c r="F400" i="56"/>
  <c r="B492" i="56"/>
  <c r="F484" i="56"/>
  <c r="F179" i="56"/>
  <c r="F307" i="56"/>
  <c r="F436" i="56"/>
  <c r="F472" i="56"/>
  <c r="F536" i="56"/>
  <c r="F600" i="56"/>
  <c r="B427" i="56"/>
  <c r="B535" i="56"/>
  <c r="B552" i="56"/>
  <c r="F548" i="56"/>
  <c r="F508" i="56"/>
  <c r="F572" i="56"/>
  <c r="B568" i="56"/>
  <c r="B474" i="56"/>
  <c r="B404" i="56"/>
  <c r="F196" i="56"/>
  <c r="B484" i="56"/>
  <c r="B419" i="56"/>
  <c r="B331" i="56"/>
  <c r="B403" i="56"/>
  <c r="B503" i="56"/>
  <c r="B528" i="56"/>
  <c r="C386" i="56"/>
  <c r="B570" i="56"/>
  <c r="B219" i="56"/>
  <c r="B195" i="56"/>
  <c r="F540" i="56"/>
  <c r="F364" i="56"/>
  <c r="F357" i="56"/>
  <c r="F144" i="56"/>
  <c r="F213" i="56"/>
  <c r="F342" i="56"/>
  <c r="F406" i="56"/>
  <c r="F470" i="56"/>
  <c r="F534" i="56"/>
  <c r="F598" i="56"/>
  <c r="F464" i="56"/>
  <c r="F528" i="56"/>
  <c r="F592" i="56"/>
  <c r="E380" i="55"/>
  <c r="B537" i="56"/>
  <c r="B559" i="56"/>
  <c r="F128" i="56"/>
  <c r="B497" i="56"/>
  <c r="F336" i="56"/>
  <c r="F408" i="56"/>
  <c r="B468" i="56"/>
  <c r="B283" i="56"/>
  <c r="F325" i="56"/>
  <c r="F604" i="56"/>
  <c r="F187" i="56"/>
  <c r="F315" i="56"/>
  <c r="F444" i="56"/>
  <c r="F146" i="56"/>
  <c r="F480" i="56"/>
  <c r="F544" i="56"/>
  <c r="B472" i="56"/>
  <c r="B520" i="56"/>
  <c r="B226" i="56"/>
  <c r="E169" i="55"/>
  <c r="F460" i="56"/>
  <c r="F524" i="56"/>
  <c r="F588" i="56"/>
  <c r="F360" i="56"/>
  <c r="F496" i="56"/>
  <c r="F560" i="56"/>
  <c r="B534" i="56"/>
  <c r="B569" i="56"/>
  <c r="B505" i="56"/>
  <c r="B600" i="56"/>
  <c r="B276" i="56"/>
  <c r="C350" i="56"/>
  <c r="B447" i="56"/>
  <c r="F476" i="56"/>
  <c r="F512" i="56"/>
  <c r="F576" i="56"/>
  <c r="F608" i="56"/>
  <c r="B556" i="56"/>
  <c r="B428" i="56"/>
  <c r="B130" i="56"/>
  <c r="B607" i="56"/>
  <c r="B464" i="56"/>
  <c r="B211" i="56"/>
  <c r="B608" i="56"/>
  <c r="F389" i="56"/>
  <c r="F453" i="56"/>
  <c r="F517" i="56"/>
  <c r="F581" i="56"/>
  <c r="F181" i="56"/>
  <c r="F309" i="56"/>
  <c r="F374" i="56"/>
  <c r="F438" i="56"/>
  <c r="F502" i="56"/>
  <c r="F566" i="56"/>
  <c r="F425" i="56"/>
  <c r="F489" i="56"/>
  <c r="F553" i="56"/>
  <c r="F158" i="56"/>
  <c r="F289" i="56"/>
  <c r="F354" i="56"/>
  <c r="F482" i="56"/>
  <c r="F546" i="56"/>
  <c r="F393" i="56"/>
  <c r="F457" i="56"/>
  <c r="F521" i="56"/>
  <c r="F585" i="56"/>
  <c r="F193" i="56"/>
  <c r="F322" i="56"/>
  <c r="F386" i="56"/>
  <c r="F450" i="56"/>
  <c r="F514" i="56"/>
  <c r="B269" i="56"/>
  <c r="F137" i="56"/>
  <c r="F206" i="56"/>
  <c r="F327" i="56"/>
  <c r="F167" i="56"/>
  <c r="F435" i="56"/>
  <c r="F499" i="56"/>
  <c r="F563" i="56"/>
  <c r="F178" i="56"/>
  <c r="F306" i="56"/>
  <c r="F399" i="56"/>
  <c r="F463" i="56"/>
  <c r="F527" i="56"/>
  <c r="F591" i="56"/>
  <c r="B532" i="56"/>
  <c r="B440" i="56"/>
  <c r="F320" i="56"/>
  <c r="F392" i="56"/>
  <c r="F456" i="56"/>
  <c r="F520" i="56"/>
  <c r="F584" i="56"/>
  <c r="F428" i="56"/>
  <c r="F131" i="56"/>
  <c r="F199" i="56"/>
  <c r="F578" i="56"/>
  <c r="B563" i="56"/>
  <c r="B251" i="56"/>
  <c r="F171" i="56"/>
  <c r="F372" i="56"/>
  <c r="F161" i="56"/>
  <c r="F292" i="56"/>
  <c r="B132" i="56"/>
  <c r="B380" i="56"/>
  <c r="B448" i="56"/>
  <c r="B294" i="56"/>
  <c r="B547" i="56"/>
  <c r="F299" i="56"/>
  <c r="F556" i="56"/>
  <c r="B246" i="56"/>
  <c r="F492" i="56"/>
  <c r="B343" i="56"/>
  <c r="F124" i="56"/>
  <c r="F143" i="56"/>
  <c r="F212" i="56"/>
  <c r="F341" i="56"/>
  <c r="F469" i="56"/>
  <c r="F533" i="56"/>
  <c r="F597" i="56"/>
  <c r="F129" i="56"/>
  <c r="F197" i="56"/>
  <c r="F326" i="56"/>
  <c r="F454" i="56"/>
  <c r="F518" i="56"/>
  <c r="F582" i="56"/>
  <c r="F184" i="56"/>
  <c r="F312" i="56"/>
  <c r="F377" i="56"/>
  <c r="F441" i="56"/>
  <c r="F505" i="56"/>
  <c r="F569" i="56"/>
  <c r="F177" i="56"/>
  <c r="F305" i="56"/>
  <c r="F370" i="56"/>
  <c r="F434" i="56"/>
  <c r="F498" i="56"/>
  <c r="F562" i="56"/>
  <c r="F383" i="56"/>
  <c r="F190" i="56"/>
  <c r="F310" i="56"/>
  <c r="F419" i="56"/>
  <c r="F483" i="56"/>
  <c r="F547" i="56"/>
  <c r="F159" i="56"/>
  <c r="F290" i="56"/>
  <c r="F447" i="56"/>
  <c r="F511" i="56"/>
  <c r="F575" i="56"/>
  <c r="F379" i="56"/>
  <c r="B332" i="56"/>
  <c r="B182" i="56"/>
  <c r="B487" i="56"/>
  <c r="C152" i="56"/>
  <c r="F125" i="56"/>
  <c r="F284" i="56"/>
  <c r="F349" i="56"/>
  <c r="F477" i="56"/>
  <c r="F541" i="56"/>
  <c r="F605" i="56"/>
  <c r="F136" i="56"/>
  <c r="F205" i="56"/>
  <c r="F334" i="56"/>
  <c r="F398" i="56"/>
  <c r="F462" i="56"/>
  <c r="F526" i="56"/>
  <c r="F590" i="56"/>
  <c r="F192" i="56"/>
  <c r="F321" i="56"/>
  <c r="F449" i="56"/>
  <c r="F513" i="56"/>
  <c r="F577" i="56"/>
  <c r="F185" i="56"/>
  <c r="F313" i="56"/>
  <c r="F378" i="56"/>
  <c r="F442" i="56"/>
  <c r="F506" i="56"/>
  <c r="F570" i="56"/>
  <c r="F371" i="56"/>
  <c r="F130" i="56"/>
  <c r="F198" i="56"/>
  <c r="F318" i="56"/>
  <c r="F427" i="56"/>
  <c r="F491" i="56"/>
  <c r="F555" i="56"/>
  <c r="F170" i="56"/>
  <c r="F298" i="56"/>
  <c r="F391" i="56"/>
  <c r="F455" i="56"/>
  <c r="F519" i="56"/>
  <c r="F583" i="56"/>
  <c r="B198" i="56"/>
  <c r="B158" i="56"/>
  <c r="B214" i="56"/>
  <c r="B278" i="56"/>
  <c r="B129" i="56"/>
  <c r="F172" i="56"/>
  <c r="F300" i="56"/>
  <c r="F365" i="56"/>
  <c r="F429" i="56"/>
  <c r="F493" i="56"/>
  <c r="F557" i="56"/>
  <c r="F154" i="56"/>
  <c r="F285" i="56"/>
  <c r="F478" i="56"/>
  <c r="F542" i="56"/>
  <c r="F606" i="56"/>
  <c r="F138" i="56"/>
  <c r="F207" i="56"/>
  <c r="F139" i="56"/>
  <c r="F208" i="56"/>
  <c r="F337" i="56"/>
  <c r="F401" i="56"/>
  <c r="F465" i="56"/>
  <c r="F529" i="56"/>
  <c r="F593" i="56"/>
  <c r="F132" i="56"/>
  <c r="F201" i="56"/>
  <c r="F330" i="56"/>
  <c r="F394" i="56"/>
  <c r="F458" i="56"/>
  <c r="F522" i="56"/>
  <c r="F586" i="56"/>
  <c r="F145" i="56"/>
  <c r="F335" i="56"/>
  <c r="F443" i="56"/>
  <c r="F507" i="56"/>
  <c r="F571" i="56"/>
  <c r="F363" i="56"/>
  <c r="F186" i="56"/>
  <c r="F314" i="56"/>
  <c r="F407" i="56"/>
  <c r="F471" i="56"/>
  <c r="F535" i="56"/>
  <c r="F599" i="56"/>
  <c r="B295" i="56"/>
  <c r="B591" i="56"/>
  <c r="B435" i="56"/>
  <c r="B306" i="56"/>
  <c r="B443" i="56"/>
  <c r="F329" i="56"/>
  <c r="F180" i="56"/>
  <c r="F308" i="56"/>
  <c r="F373" i="56"/>
  <c r="F437" i="56"/>
  <c r="F501" i="56"/>
  <c r="F565" i="56"/>
  <c r="F162" i="56"/>
  <c r="F293" i="56"/>
  <c r="F358" i="56"/>
  <c r="F486" i="56"/>
  <c r="F550" i="56"/>
  <c r="F147" i="56"/>
  <c r="F345" i="56"/>
  <c r="F409" i="56"/>
  <c r="F473" i="56"/>
  <c r="F537" i="56"/>
  <c r="F601" i="56"/>
  <c r="F140" i="56"/>
  <c r="F209" i="56"/>
  <c r="F338" i="56"/>
  <c r="F402" i="56"/>
  <c r="F466" i="56"/>
  <c r="F530" i="56"/>
  <c r="F594" i="56"/>
  <c r="F351" i="56"/>
  <c r="F155" i="56"/>
  <c r="F343" i="56"/>
  <c r="F451" i="56"/>
  <c r="F515" i="56"/>
  <c r="F579" i="56"/>
  <c r="F151" i="56"/>
  <c r="F126" i="56"/>
  <c r="F194" i="56"/>
  <c r="F323" i="56"/>
  <c r="F479" i="56"/>
  <c r="F543" i="56"/>
  <c r="F607" i="56"/>
  <c r="B144" i="56"/>
  <c r="B539" i="56"/>
  <c r="B455" i="56"/>
  <c r="F200" i="56"/>
  <c r="F188" i="56"/>
  <c r="F316" i="56"/>
  <c r="F381" i="56"/>
  <c r="F445" i="56"/>
  <c r="F509" i="56"/>
  <c r="F573" i="56"/>
  <c r="F173" i="56"/>
  <c r="F301" i="56"/>
  <c r="F366" i="56"/>
  <c r="F430" i="56"/>
  <c r="F494" i="56"/>
  <c r="F558" i="56"/>
  <c r="F157" i="56"/>
  <c r="F288" i="56"/>
  <c r="F353" i="56"/>
  <c r="F481" i="56"/>
  <c r="F545" i="56"/>
  <c r="F148" i="56"/>
  <c r="F346" i="56"/>
  <c r="F410" i="56"/>
  <c r="F474" i="56"/>
  <c r="F538" i="56"/>
  <c r="F602" i="56"/>
  <c r="F359" i="56"/>
  <c r="F163" i="56"/>
  <c r="F286" i="56"/>
  <c r="F395" i="56"/>
  <c r="F459" i="56"/>
  <c r="F523" i="56"/>
  <c r="F587" i="56"/>
  <c r="F133" i="56"/>
  <c r="F202" i="56"/>
  <c r="F331" i="56"/>
  <c r="F487" i="56"/>
  <c r="F551" i="56"/>
  <c r="B407" i="56"/>
  <c r="B124" i="56"/>
  <c r="B221" i="56"/>
  <c r="B387" i="56"/>
  <c r="B163" i="56"/>
  <c r="B363" i="56"/>
  <c r="F165" i="56"/>
  <c r="F296" i="56"/>
  <c r="F361" i="56"/>
  <c r="F367" i="56"/>
  <c r="F174" i="56"/>
  <c r="F294" i="56"/>
  <c r="F403" i="56"/>
  <c r="F467" i="56"/>
  <c r="F531" i="56"/>
  <c r="F595" i="56"/>
  <c r="F141" i="56"/>
  <c r="F210" i="56"/>
  <c r="F339" i="56"/>
  <c r="F431" i="56"/>
  <c r="F495" i="56"/>
  <c r="F559" i="56"/>
  <c r="B604" i="56"/>
  <c r="B476" i="56"/>
  <c r="B475" i="56"/>
  <c r="B210" i="56"/>
  <c r="A67" i="56"/>
  <c r="A68" i="56" s="1"/>
  <c r="A69" i="56" s="1"/>
  <c r="A70" i="56" s="1"/>
  <c r="A71" i="56" s="1"/>
  <c r="A72" i="56" s="1"/>
  <c r="A73" i="56" s="1"/>
  <c r="A74" i="56" s="1"/>
  <c r="A75" i="56" s="1"/>
  <c r="A76" i="56" s="1"/>
  <c r="A77" i="56" s="1"/>
  <c r="A78" i="56" s="1"/>
  <c r="A79" i="56" s="1"/>
  <c r="A80" i="56" s="1"/>
  <c r="A81" i="56" s="1"/>
  <c r="A82" i="56" s="1"/>
  <c r="A83" i="56" s="1"/>
  <c r="A84" i="56" s="1"/>
  <c r="A85" i="56" s="1"/>
  <c r="A86" i="56" s="1"/>
  <c r="A87" i="56" s="1"/>
  <c r="A88" i="56" s="1"/>
  <c r="A89" i="56" s="1"/>
  <c r="A90" i="56" s="1"/>
  <c r="A91" i="56" s="1"/>
  <c r="A92" i="56" s="1"/>
  <c r="A93" i="56" s="1"/>
  <c r="A94" i="56" s="1"/>
  <c r="A95" i="56" s="1"/>
  <c r="A96" i="56" s="1"/>
  <c r="A97" i="56" s="1"/>
  <c r="A98" i="56" s="1"/>
  <c r="A99" i="56" s="1"/>
  <c r="A100" i="56" s="1"/>
  <c r="A101" i="56" s="1"/>
  <c r="A102" i="56" s="1"/>
  <c r="A103" i="56" s="1"/>
  <c r="A104" i="56" s="1"/>
  <c r="A105" i="56" s="1"/>
  <c r="A106" i="56" s="1"/>
  <c r="A107" i="56" s="1"/>
  <c r="A108" i="56" s="1"/>
  <c r="A109" i="56" s="1"/>
  <c r="A110" i="56" s="1"/>
  <c r="A111" i="56" s="1"/>
  <c r="A112" i="56" s="1"/>
  <c r="A113" i="56" s="1"/>
  <c r="A114" i="56" s="1"/>
  <c r="A115" i="56" s="1"/>
  <c r="A116" i="56" s="1"/>
  <c r="A117" i="56" s="1"/>
  <c r="A118" i="56" s="1"/>
  <c r="A119" i="56" s="1"/>
  <c r="A120" i="56" s="1"/>
  <c r="A121" i="56" s="1"/>
  <c r="A122" i="56" s="1"/>
  <c r="A123" i="56" s="1"/>
  <c r="A124" i="56" s="1"/>
  <c r="A125" i="56" s="1"/>
  <c r="A126" i="56" s="1"/>
  <c r="A127" i="56" s="1"/>
  <c r="A128" i="56" s="1"/>
  <c r="A129" i="56" s="1"/>
  <c r="A130" i="56" s="1"/>
  <c r="A131" i="56" s="1"/>
  <c r="A132" i="56" s="1"/>
  <c r="A133" i="56" s="1"/>
  <c r="A134" i="56" s="1"/>
  <c r="A135" i="56" s="1"/>
  <c r="A136" i="56" s="1"/>
  <c r="A137" i="56" s="1"/>
  <c r="A138" i="56" s="1"/>
  <c r="A139" i="56" s="1"/>
  <c r="A140" i="56" s="1"/>
  <c r="A141" i="56" s="1"/>
  <c r="A142" i="56" s="1"/>
  <c r="A143" i="56" s="1"/>
  <c r="A144" i="56" s="1"/>
  <c r="A145" i="56" s="1"/>
  <c r="A146" i="56" s="1"/>
  <c r="A147" i="56" s="1"/>
  <c r="A148" i="56" s="1"/>
  <c r="A149" i="56" s="1"/>
  <c r="A150" i="56" s="1"/>
  <c r="A151" i="56" s="1"/>
  <c r="B339" i="56"/>
  <c r="B244" i="56"/>
  <c r="F135" i="56"/>
  <c r="F204" i="56"/>
  <c r="F333" i="56"/>
  <c r="F397" i="56"/>
  <c r="F461" i="56"/>
  <c r="F525" i="56"/>
  <c r="F589" i="56"/>
  <c r="F189" i="56"/>
  <c r="F317" i="56"/>
  <c r="F446" i="56"/>
  <c r="F510" i="56"/>
  <c r="F574" i="56"/>
  <c r="F176" i="56"/>
  <c r="F304" i="56"/>
  <c r="F433" i="56"/>
  <c r="F497" i="56"/>
  <c r="F561" i="56"/>
  <c r="F166" i="56"/>
  <c r="F297" i="56"/>
  <c r="F362" i="56"/>
  <c r="F426" i="56"/>
  <c r="F490" i="56"/>
  <c r="F554" i="56"/>
  <c r="F375" i="56"/>
  <c r="F182" i="56"/>
  <c r="F302" i="56"/>
  <c r="F411" i="56"/>
  <c r="F475" i="56"/>
  <c r="F539" i="56"/>
  <c r="F603" i="56"/>
  <c r="F149" i="56"/>
  <c r="F347" i="56"/>
  <c r="F439" i="56"/>
  <c r="F503" i="56"/>
  <c r="F567" i="56"/>
  <c r="F355" i="56"/>
  <c r="B277" i="56"/>
  <c r="B411" i="56"/>
  <c r="B359" i="56"/>
  <c r="B286" i="56"/>
  <c r="B391" i="56"/>
  <c r="B237" i="56"/>
  <c r="B128" i="56"/>
  <c r="B125" i="56"/>
  <c r="B390" i="56"/>
  <c r="B446" i="56"/>
  <c r="B274" i="56"/>
  <c r="B266" i="56"/>
  <c r="B273" i="56"/>
  <c r="B241" i="56"/>
  <c r="B189" i="56"/>
  <c r="B599" i="56"/>
  <c r="B590" i="56"/>
  <c r="B334" i="56"/>
  <c r="B454" i="56"/>
  <c r="B265" i="56"/>
  <c r="B566" i="56"/>
  <c r="F246" i="56"/>
  <c r="B157" i="56"/>
  <c r="B233" i="56"/>
  <c r="F244" i="56"/>
  <c r="F229" i="56"/>
  <c r="F278" i="56"/>
  <c r="B147" i="56"/>
  <c r="F266" i="56"/>
  <c r="B470" i="56"/>
  <c r="F238" i="56"/>
  <c r="B462" i="56"/>
  <c r="B582" i="56"/>
  <c r="B518" i="56"/>
  <c r="B326" i="56"/>
  <c r="B519" i="56"/>
  <c r="B139" i="56"/>
  <c r="X648" i="55"/>
  <c r="B319" i="56"/>
  <c r="B471" i="56"/>
  <c r="B511" i="56"/>
  <c r="B166" i="56"/>
  <c r="B598" i="56"/>
  <c r="B213" i="56"/>
  <c r="B398" i="56"/>
  <c r="B205" i="56"/>
  <c r="B148" i="56"/>
  <c r="B527" i="56"/>
  <c r="B431" i="56"/>
  <c r="B382" i="56"/>
  <c r="F225" i="56"/>
  <c r="B575" i="56"/>
  <c r="B526" i="56"/>
  <c r="B543" i="56"/>
  <c r="F273" i="56"/>
  <c r="B310" i="56"/>
  <c r="B574" i="56"/>
  <c r="B510" i="56"/>
  <c r="B317" i="56"/>
  <c r="B152" i="56"/>
  <c r="B309" i="56"/>
  <c r="B181" i="56"/>
  <c r="B567" i="56"/>
  <c r="B367" i="56"/>
  <c r="B558" i="56"/>
  <c r="B301" i="56"/>
  <c r="B173" i="56"/>
  <c r="B495" i="56"/>
  <c r="F282" i="56"/>
  <c r="B422" i="56"/>
  <c r="B165" i="56"/>
  <c r="B551" i="56"/>
  <c r="B423" i="56"/>
  <c r="B542" i="56"/>
  <c r="F222" i="56"/>
  <c r="F274" i="56"/>
  <c r="F254" i="56"/>
  <c r="F242" i="56"/>
  <c r="F226" i="56"/>
  <c r="F270" i="56"/>
  <c r="F258" i="56"/>
  <c r="B494" i="56"/>
  <c r="F220" i="56"/>
  <c r="F269" i="56"/>
  <c r="B358" i="56"/>
  <c r="F249" i="56"/>
  <c r="B399" i="56"/>
  <c r="B478" i="56"/>
  <c r="B502" i="56"/>
  <c r="B374" i="56"/>
  <c r="B430" i="56"/>
  <c r="F234" i="56"/>
  <c r="B342" i="56"/>
  <c r="B479" i="56"/>
  <c r="B140" i="56"/>
  <c r="B486" i="56"/>
  <c r="B293" i="56"/>
  <c r="B606" i="56"/>
  <c r="B414" i="56"/>
  <c r="B350" i="56"/>
  <c r="F253" i="56"/>
  <c r="F218" i="56"/>
  <c r="F268" i="56"/>
  <c r="F233" i="56"/>
  <c r="B550" i="56"/>
  <c r="F250" i="56"/>
  <c r="B285" i="56"/>
  <c r="B197" i="56"/>
  <c r="F276" i="56"/>
  <c r="F261" i="56"/>
  <c r="F228" i="56"/>
  <c r="F277" i="56"/>
  <c r="B581" i="56"/>
  <c r="B517" i="56"/>
  <c r="B453" i="56"/>
  <c r="B389" i="56"/>
  <c r="B325" i="56"/>
  <c r="F231" i="56"/>
  <c r="F263" i="56"/>
  <c r="F252" i="56"/>
  <c r="F237" i="56"/>
  <c r="B196" i="56"/>
  <c r="F260" i="56"/>
  <c r="F245" i="56"/>
  <c r="F230" i="56"/>
  <c r="F217" i="56"/>
  <c r="F281" i="56"/>
  <c r="F235" i="56"/>
  <c r="F267" i="56"/>
  <c r="B318" i="56"/>
  <c r="B573" i="56"/>
  <c r="B509" i="56"/>
  <c r="B445" i="56"/>
  <c r="B381" i="56"/>
  <c r="B316" i="56"/>
  <c r="B188" i="56"/>
  <c r="B388" i="56"/>
  <c r="B164" i="56"/>
  <c r="F239" i="56"/>
  <c r="F271" i="56"/>
  <c r="B565" i="56"/>
  <c r="B501" i="56"/>
  <c r="B437" i="56"/>
  <c r="B373" i="56"/>
  <c r="B308" i="56"/>
  <c r="B180" i="56"/>
  <c r="B146" i="56"/>
  <c r="C657" i="55"/>
  <c r="F243" i="56"/>
  <c r="F275" i="56"/>
  <c r="B557" i="56"/>
  <c r="B493" i="56"/>
  <c r="B429" i="56"/>
  <c r="B365" i="56"/>
  <c r="B300" i="56"/>
  <c r="B172" i="56"/>
  <c r="F241" i="56"/>
  <c r="F215" i="56"/>
  <c r="F214" i="56"/>
  <c r="F247" i="56"/>
  <c r="F279" i="56"/>
  <c r="B549" i="56"/>
  <c r="B485" i="56"/>
  <c r="B421" i="56"/>
  <c r="B357" i="56"/>
  <c r="B292" i="56"/>
  <c r="B372" i="56"/>
  <c r="F262" i="56"/>
  <c r="F219" i="56"/>
  <c r="F251" i="56"/>
  <c r="B605" i="56"/>
  <c r="B541" i="56"/>
  <c r="B477" i="56"/>
  <c r="B413" i="56"/>
  <c r="B349" i="56"/>
  <c r="B284" i="56"/>
  <c r="B348" i="56"/>
  <c r="B452" i="56"/>
  <c r="F236" i="56"/>
  <c r="F221" i="56"/>
  <c r="F257" i="56"/>
  <c r="F223" i="56"/>
  <c r="F255" i="56"/>
  <c r="B597" i="56"/>
  <c r="B533" i="56"/>
  <c r="B469" i="56"/>
  <c r="B405" i="56"/>
  <c r="B341" i="56"/>
  <c r="B212" i="56"/>
  <c r="B324" i="56"/>
  <c r="B580" i="56"/>
  <c r="B516" i="56"/>
  <c r="B444" i="56"/>
  <c r="B156" i="56"/>
  <c r="F265" i="56"/>
  <c r="F227" i="56"/>
  <c r="F259" i="56"/>
  <c r="B589" i="56"/>
  <c r="B525" i="56"/>
  <c r="B461" i="56"/>
  <c r="B397" i="56"/>
  <c r="B333" i="56"/>
  <c r="B204" i="56"/>
  <c r="B572" i="56"/>
  <c r="B508" i="56"/>
  <c r="B138" i="56"/>
  <c r="C656" i="55"/>
  <c r="C652" i="55"/>
  <c r="C654" i="55"/>
  <c r="F384" i="56"/>
  <c r="Y417" i="55"/>
  <c r="C659" i="55"/>
  <c r="Y418" i="55"/>
  <c r="C655" i="55"/>
  <c r="C653" i="55"/>
  <c r="Y380" i="55"/>
  <c r="B655" i="55"/>
  <c r="B657" i="55"/>
  <c r="B654" i="55"/>
  <c r="B659" i="55"/>
  <c r="B656" i="55"/>
  <c r="B19" i="24"/>
  <c r="M122" i="6"/>
  <c r="C656" i="57" l="1"/>
  <c r="C658" i="57" s="1"/>
  <c r="E648" i="57"/>
  <c r="Y648" i="62"/>
  <c r="C658" i="62"/>
  <c r="B650" i="62"/>
  <c r="B658" i="62" s="1"/>
  <c r="N648" i="62"/>
  <c r="B210" i="60"/>
  <c r="B212" i="60" s="1"/>
  <c r="N200" i="60"/>
  <c r="N648" i="57"/>
  <c r="B656" i="57"/>
  <c r="B658" i="57" s="1"/>
  <c r="C212" i="60"/>
  <c r="F415" i="56"/>
  <c r="F169" i="56"/>
  <c r="F369" i="56"/>
  <c r="F380" i="56"/>
  <c r="F387" i="56"/>
  <c r="F422" i="56"/>
  <c r="F423" i="56"/>
  <c r="F421" i="56"/>
  <c r="F382" i="56"/>
  <c r="F418" i="56"/>
  <c r="F413" i="56"/>
  <c r="F416" i="56"/>
  <c r="F414" i="56"/>
  <c r="F390" i="56"/>
  <c r="F404" i="56"/>
  <c r="A152" i="56"/>
  <c r="A153" i="56" s="1"/>
  <c r="A154" i="56" s="1"/>
  <c r="A155" i="56" s="1"/>
  <c r="A156" i="56" s="1"/>
  <c r="A157" i="56" s="1"/>
  <c r="A158" i="56" s="1"/>
  <c r="A159" i="56" s="1"/>
  <c r="A160" i="56" s="1"/>
  <c r="A161" i="56" s="1"/>
  <c r="A162" i="56" s="1"/>
  <c r="A163" i="56" s="1"/>
  <c r="A164" i="56" s="1"/>
  <c r="A165" i="56" s="1"/>
  <c r="A166" i="56" s="1"/>
  <c r="A167" i="56" s="1"/>
  <c r="A168" i="56" s="1"/>
  <c r="A169" i="56" s="1"/>
  <c r="A170" i="56" s="1"/>
  <c r="A171" i="56" s="1"/>
  <c r="A172" i="56" s="1"/>
  <c r="A173" i="56" s="1"/>
  <c r="A174" i="56" s="1"/>
  <c r="A175" i="56" s="1"/>
  <c r="A176" i="56" s="1"/>
  <c r="A177" i="56" s="1"/>
  <c r="A178" i="56" s="1"/>
  <c r="A179" i="56" s="1"/>
  <c r="A180" i="56" s="1"/>
  <c r="A181" i="56" s="1"/>
  <c r="A182" i="56" s="1"/>
  <c r="A183" i="56" s="1"/>
  <c r="A184" i="56" s="1"/>
  <c r="A185" i="56" s="1"/>
  <c r="A186" i="56" s="1"/>
  <c r="A187" i="56" s="1"/>
  <c r="A188" i="56" s="1"/>
  <c r="A189" i="56" s="1"/>
  <c r="A190" i="56" s="1"/>
  <c r="A191" i="56" s="1"/>
  <c r="A192" i="56" s="1"/>
  <c r="A193" i="56" s="1"/>
  <c r="A194" i="56" s="1"/>
  <c r="A195" i="56" s="1"/>
  <c r="A196" i="56" s="1"/>
  <c r="A197" i="56" s="1"/>
  <c r="A198" i="56" s="1"/>
  <c r="A199" i="56" s="1"/>
  <c r="A200" i="56" s="1"/>
  <c r="A201" i="56" s="1"/>
  <c r="A202" i="56" s="1"/>
  <c r="A203" i="56" s="1"/>
  <c r="A204" i="56" s="1"/>
  <c r="A205" i="56" s="1"/>
  <c r="A206" i="56" s="1"/>
  <c r="A207" i="56" s="1"/>
  <c r="A208" i="56" s="1"/>
  <c r="A209" i="56" s="1"/>
  <c r="A210" i="56" s="1"/>
  <c r="A211" i="56" s="1"/>
  <c r="A212" i="56" s="1"/>
  <c r="A213" i="56" s="1"/>
  <c r="A214" i="56" s="1"/>
  <c r="A215" i="56" s="1"/>
  <c r="A216" i="56" s="1"/>
  <c r="A217" i="56" s="1"/>
  <c r="A218" i="56" s="1"/>
  <c r="A219" i="56" s="1"/>
  <c r="A220" i="56" s="1"/>
  <c r="A221" i="56" s="1"/>
  <c r="A222" i="56" s="1"/>
  <c r="A223" i="56" s="1"/>
  <c r="A224" i="56" s="1"/>
  <c r="A225" i="56" s="1"/>
  <c r="A226" i="56" s="1"/>
  <c r="A227" i="56" s="1"/>
  <c r="A228" i="56" s="1"/>
  <c r="A229" i="56" s="1"/>
  <c r="A230" i="56" s="1"/>
  <c r="A231" i="56" s="1"/>
  <c r="A232" i="56" s="1"/>
  <c r="A233" i="56" s="1"/>
  <c r="A234" i="56" s="1"/>
  <c r="A235" i="56" s="1"/>
  <c r="A236" i="56" s="1"/>
  <c r="A237" i="56" s="1"/>
  <c r="A238" i="56" s="1"/>
  <c r="A239" i="56" s="1"/>
  <c r="A240" i="56" s="1"/>
  <c r="A241" i="56" s="1"/>
  <c r="A242" i="56" s="1"/>
  <c r="A243" i="56" s="1"/>
  <c r="A244" i="56" s="1"/>
  <c r="A245" i="56" s="1"/>
  <c r="A246" i="56" s="1"/>
  <c r="A247" i="56" s="1"/>
  <c r="A248" i="56" s="1"/>
  <c r="A249" i="56" s="1"/>
  <c r="A250" i="56" s="1"/>
  <c r="A251" i="56" s="1"/>
  <c r="A252" i="56" s="1"/>
  <c r="A253" i="56" s="1"/>
  <c r="A254" i="56" s="1"/>
  <c r="A255" i="56" s="1"/>
  <c r="A256" i="56" s="1"/>
  <c r="A257" i="56" s="1"/>
  <c r="A258" i="56" s="1"/>
  <c r="A259" i="56" s="1"/>
  <c r="A260" i="56" s="1"/>
  <c r="A261" i="56" s="1"/>
  <c r="A262" i="56" s="1"/>
  <c r="A263" i="56" s="1"/>
  <c r="A264" i="56" s="1"/>
  <c r="A265" i="56" s="1"/>
  <c r="A266" i="56" s="1"/>
  <c r="A267" i="56" s="1"/>
  <c r="A268" i="56" s="1"/>
  <c r="A269" i="56" s="1"/>
  <c r="A270" i="56" s="1"/>
  <c r="A271" i="56" s="1"/>
  <c r="A272" i="56" s="1"/>
  <c r="A273" i="56" s="1"/>
  <c r="A274" i="56" s="1"/>
  <c r="A275" i="56" s="1"/>
  <c r="A276" i="56" s="1"/>
  <c r="A277" i="56" s="1"/>
  <c r="A278" i="56" s="1"/>
  <c r="A279" i="56" s="1"/>
  <c r="A280" i="56" s="1"/>
  <c r="A281" i="56" s="1"/>
  <c r="A282" i="56" s="1"/>
  <c r="A283" i="56" s="1"/>
  <c r="A284" i="56" s="1"/>
  <c r="A285" i="56" s="1"/>
  <c r="A286" i="56" s="1"/>
  <c r="A287" i="56" s="1"/>
  <c r="A288" i="56" s="1"/>
  <c r="A289" i="56" s="1"/>
  <c r="A290" i="56" s="1"/>
  <c r="A291" i="56" s="1"/>
  <c r="A292" i="56" s="1"/>
  <c r="A293" i="56" s="1"/>
  <c r="A294" i="56" s="1"/>
  <c r="A295" i="56" s="1"/>
  <c r="A296" i="56" s="1"/>
  <c r="A297" i="56" s="1"/>
  <c r="A298" i="56" s="1"/>
  <c r="A299" i="56" s="1"/>
  <c r="A300" i="56" s="1"/>
  <c r="A301" i="56" s="1"/>
  <c r="A302" i="56" s="1"/>
  <c r="A303" i="56" s="1"/>
  <c r="A304" i="56" s="1"/>
  <c r="A305" i="56" s="1"/>
  <c r="A306" i="56" s="1"/>
  <c r="A307" i="56" s="1"/>
  <c r="A308" i="56" s="1"/>
  <c r="A309" i="56" s="1"/>
  <c r="A310" i="56" s="1"/>
  <c r="A311" i="56" s="1"/>
  <c r="A312" i="56" s="1"/>
  <c r="A313" i="56" s="1"/>
  <c r="A314" i="56" s="1"/>
  <c r="A315" i="56" s="1"/>
  <c r="A316" i="56" s="1"/>
  <c r="A317" i="56" s="1"/>
  <c r="A318" i="56" s="1"/>
  <c r="A319" i="56" s="1"/>
  <c r="A320" i="56" s="1"/>
  <c r="A321" i="56" s="1"/>
  <c r="A322" i="56" s="1"/>
  <c r="A323" i="56" s="1"/>
  <c r="A324" i="56" s="1"/>
  <c r="A325" i="56" s="1"/>
  <c r="A326" i="56" s="1"/>
  <c r="A327" i="56" s="1"/>
  <c r="A328" i="56" s="1"/>
  <c r="A329" i="56" s="1"/>
  <c r="A330" i="56" s="1"/>
  <c r="A331" i="56" s="1"/>
  <c r="A332" i="56" s="1"/>
  <c r="A333" i="56" s="1"/>
  <c r="A334" i="56" s="1"/>
  <c r="A335" i="56" s="1"/>
  <c r="A336" i="56" s="1"/>
  <c r="A337" i="56" s="1"/>
  <c r="A338" i="56" s="1"/>
  <c r="A339" i="56" s="1"/>
  <c r="A340" i="56" s="1"/>
  <c r="A341" i="56" s="1"/>
  <c r="A342" i="56" s="1"/>
  <c r="A343" i="56" s="1"/>
  <c r="A344" i="56" s="1"/>
  <c r="A345" i="56" s="1"/>
  <c r="A346" i="56" s="1"/>
  <c r="A347" i="56" s="1"/>
  <c r="A348" i="56" s="1"/>
  <c r="A349" i="56" s="1"/>
  <c r="A350" i="56" s="1"/>
  <c r="A351" i="56" s="1"/>
  <c r="A352" i="56" s="1"/>
  <c r="A353" i="56" s="1"/>
  <c r="A354" i="56" s="1"/>
  <c r="A355" i="56" s="1"/>
  <c r="A356" i="56" s="1"/>
  <c r="A357" i="56" s="1"/>
  <c r="A358" i="56" s="1"/>
  <c r="A359" i="56" s="1"/>
  <c r="A360" i="56" s="1"/>
  <c r="A361" i="56" s="1"/>
  <c r="A362" i="56" s="1"/>
  <c r="A363" i="56" s="1"/>
  <c r="A364" i="56" s="1"/>
  <c r="A365" i="56" s="1"/>
  <c r="A366" i="56" s="1"/>
  <c r="A367" i="56" s="1"/>
  <c r="A368" i="56" s="1"/>
  <c r="A369" i="56" s="1"/>
  <c r="A370" i="56" s="1"/>
  <c r="A371" i="56" s="1"/>
  <c r="A372" i="56" s="1"/>
  <c r="A373" i="56" s="1"/>
  <c r="A374" i="56" s="1"/>
  <c r="A375" i="56" s="1"/>
  <c r="A376" i="56" s="1"/>
  <c r="A377" i="56" s="1"/>
  <c r="A378" i="56" s="1"/>
  <c r="A379" i="56" s="1"/>
  <c r="A380" i="56" s="1"/>
  <c r="A381" i="56" s="1"/>
  <c r="A382" i="56" s="1"/>
  <c r="A383" i="56" s="1"/>
  <c r="A384" i="56" s="1"/>
  <c r="A385" i="56" s="1"/>
  <c r="A386" i="56" s="1"/>
  <c r="A387" i="56" s="1"/>
  <c r="A388" i="56" s="1"/>
  <c r="A389" i="56" s="1"/>
  <c r="A390" i="56" s="1"/>
  <c r="A391" i="56" s="1"/>
  <c r="A392" i="56" s="1"/>
  <c r="A393" i="56" s="1"/>
  <c r="A394" i="56" s="1"/>
  <c r="A395" i="56" s="1"/>
  <c r="A396" i="56" s="1"/>
  <c r="A397" i="56" s="1"/>
  <c r="A398" i="56" s="1"/>
  <c r="A399" i="56" s="1"/>
  <c r="A400" i="56" s="1"/>
  <c r="A401" i="56" s="1"/>
  <c r="A402" i="56" s="1"/>
  <c r="A403" i="56" s="1"/>
  <c r="A404" i="56" s="1"/>
  <c r="A405" i="56" s="1"/>
  <c r="A406" i="56" s="1"/>
  <c r="A407" i="56" s="1"/>
  <c r="A408" i="56" s="1"/>
  <c r="A409" i="56" s="1"/>
  <c r="A410" i="56" s="1"/>
  <c r="A411" i="56" s="1"/>
  <c r="A412" i="56" s="1"/>
  <c r="A413" i="56" s="1"/>
  <c r="A414" i="56" s="1"/>
  <c r="A415" i="56" s="1"/>
  <c r="A416" i="56" s="1"/>
  <c r="A417" i="56" s="1"/>
  <c r="A418" i="56" s="1"/>
  <c r="A419" i="56" s="1"/>
  <c r="A420" i="56" s="1"/>
  <c r="A421" i="56" s="1"/>
  <c r="A422" i="56" s="1"/>
  <c r="A423" i="56" s="1"/>
  <c r="A424" i="56" s="1"/>
  <c r="A425" i="56" s="1"/>
  <c r="A426" i="56" s="1"/>
  <c r="A427" i="56" s="1"/>
  <c r="A428" i="56" s="1"/>
  <c r="A429" i="56" s="1"/>
  <c r="A430" i="56" s="1"/>
  <c r="A431" i="56" s="1"/>
  <c r="A432" i="56" s="1"/>
  <c r="A433" i="56" s="1"/>
  <c r="A434" i="56" s="1"/>
  <c r="A435" i="56" s="1"/>
  <c r="A436" i="56" s="1"/>
  <c r="A437" i="56" s="1"/>
  <c r="A438" i="56" s="1"/>
  <c r="A439" i="56" s="1"/>
  <c r="A440" i="56" s="1"/>
  <c r="A441" i="56" s="1"/>
  <c r="A442" i="56" s="1"/>
  <c r="A443" i="56" s="1"/>
  <c r="A444" i="56" s="1"/>
  <c r="A445" i="56" s="1"/>
  <c r="A446" i="56" s="1"/>
  <c r="A447" i="56" s="1"/>
  <c r="A448" i="56" s="1"/>
  <c r="A449" i="56" s="1"/>
  <c r="A450" i="56" s="1"/>
  <c r="A451" i="56" s="1"/>
  <c r="A452" i="56" s="1"/>
  <c r="A453" i="56" s="1"/>
  <c r="A454" i="56" s="1"/>
  <c r="A455" i="56" s="1"/>
  <c r="A456" i="56" s="1"/>
  <c r="A457" i="56" s="1"/>
  <c r="A458" i="56" s="1"/>
  <c r="A459" i="56" s="1"/>
  <c r="A460" i="56" s="1"/>
  <c r="A461" i="56" s="1"/>
  <c r="A462" i="56" s="1"/>
  <c r="A463" i="56" s="1"/>
  <c r="A464" i="56" s="1"/>
  <c r="A465" i="56" s="1"/>
  <c r="A466" i="56" s="1"/>
  <c r="A467" i="56" s="1"/>
  <c r="A468" i="56" s="1"/>
  <c r="A469" i="56" s="1"/>
  <c r="A470" i="56" s="1"/>
  <c r="A471" i="56" s="1"/>
  <c r="A472" i="56" s="1"/>
  <c r="A473" i="56" s="1"/>
  <c r="A474" i="56" s="1"/>
  <c r="A475" i="56" s="1"/>
  <c r="A476" i="56" s="1"/>
  <c r="A477" i="56" s="1"/>
  <c r="A478" i="56" s="1"/>
  <c r="A479" i="56" s="1"/>
  <c r="A480" i="56" s="1"/>
  <c r="A481" i="56" s="1"/>
  <c r="A482" i="56" s="1"/>
  <c r="A483" i="56" s="1"/>
  <c r="A484" i="56" s="1"/>
  <c r="A485" i="56" s="1"/>
  <c r="A486" i="56" s="1"/>
  <c r="A487" i="56" s="1"/>
  <c r="A488" i="56" s="1"/>
  <c r="A489" i="56" s="1"/>
  <c r="A490" i="56" s="1"/>
  <c r="A491" i="56" s="1"/>
  <c r="A492" i="56" s="1"/>
  <c r="A493" i="56" s="1"/>
  <c r="A494" i="56" s="1"/>
  <c r="A495" i="56" s="1"/>
  <c r="A496" i="56" s="1"/>
  <c r="A497" i="56" s="1"/>
  <c r="A498" i="56" s="1"/>
  <c r="A499" i="56" s="1"/>
  <c r="A500" i="56" s="1"/>
  <c r="A501" i="56" s="1"/>
  <c r="A502" i="56" s="1"/>
  <c r="A503" i="56" s="1"/>
  <c r="A504" i="56" s="1"/>
  <c r="A505" i="56" s="1"/>
  <c r="A506" i="56" s="1"/>
  <c r="A507" i="56" s="1"/>
  <c r="A508" i="56" s="1"/>
  <c r="A509" i="56" s="1"/>
  <c r="A510" i="56" s="1"/>
  <c r="A511" i="56" s="1"/>
  <c r="A512" i="56" s="1"/>
  <c r="A513" i="56" s="1"/>
  <c r="A514" i="56" s="1"/>
  <c r="A515" i="56" s="1"/>
  <c r="A516" i="56" s="1"/>
  <c r="A517" i="56" s="1"/>
  <c r="A518" i="56" s="1"/>
  <c r="A519" i="56" s="1"/>
  <c r="A520" i="56" s="1"/>
  <c r="A521" i="56" s="1"/>
  <c r="A522" i="56" s="1"/>
  <c r="A523" i="56" s="1"/>
  <c r="A524" i="56" s="1"/>
  <c r="A525" i="56" s="1"/>
  <c r="A526" i="56" s="1"/>
  <c r="A527" i="56" s="1"/>
  <c r="A528" i="56" s="1"/>
  <c r="A529" i="56" s="1"/>
  <c r="A530" i="56" s="1"/>
  <c r="A531" i="56" s="1"/>
  <c r="A532" i="56" s="1"/>
  <c r="A533" i="56" s="1"/>
  <c r="A534" i="56" s="1"/>
  <c r="A535" i="56" s="1"/>
  <c r="A536" i="56" s="1"/>
  <c r="A537" i="56" s="1"/>
  <c r="A538" i="56" s="1"/>
  <c r="A539" i="56" s="1"/>
  <c r="A540" i="56" s="1"/>
  <c r="A541" i="56" s="1"/>
  <c r="A542" i="56" s="1"/>
  <c r="A543" i="56" s="1"/>
  <c r="A544" i="56" s="1"/>
  <c r="A545" i="56" s="1"/>
  <c r="A546" i="56" s="1"/>
  <c r="A547" i="56" s="1"/>
  <c r="A548" i="56" s="1"/>
  <c r="A549" i="56" s="1"/>
  <c r="A550" i="56" s="1"/>
  <c r="A551" i="56" s="1"/>
  <c r="A552" i="56" s="1"/>
  <c r="A553" i="56" s="1"/>
  <c r="A554" i="56" s="1"/>
  <c r="A555" i="56" s="1"/>
  <c r="A556" i="56" s="1"/>
  <c r="A557" i="56" s="1"/>
  <c r="A558" i="56" s="1"/>
  <c r="A559" i="56" s="1"/>
  <c r="A560" i="56" s="1"/>
  <c r="A561" i="56" s="1"/>
  <c r="A562" i="56" s="1"/>
  <c r="A563" i="56" s="1"/>
  <c r="A564" i="56" s="1"/>
  <c r="A565" i="56" s="1"/>
  <c r="A566" i="56" s="1"/>
  <c r="A567" i="56" s="1"/>
  <c r="A568" i="56" s="1"/>
  <c r="A569" i="56" s="1"/>
  <c r="A570" i="56" s="1"/>
  <c r="A571" i="56" s="1"/>
  <c r="A572" i="56" s="1"/>
  <c r="A573" i="56" s="1"/>
  <c r="A574" i="56" s="1"/>
  <c r="A575" i="56" s="1"/>
  <c r="A576" i="56" s="1"/>
  <c r="A577" i="56" s="1"/>
  <c r="A578" i="56" s="1"/>
  <c r="A579" i="56" s="1"/>
  <c r="A580" i="56" s="1"/>
  <c r="A581" i="56" s="1"/>
  <c r="A582" i="56" s="1"/>
  <c r="A583" i="56" s="1"/>
  <c r="A584" i="56" s="1"/>
  <c r="A585" i="56" s="1"/>
  <c r="A586" i="56" s="1"/>
  <c r="A587" i="56" s="1"/>
  <c r="A588" i="56" s="1"/>
  <c r="A589" i="56" s="1"/>
  <c r="A590" i="56" s="1"/>
  <c r="A591" i="56" s="1"/>
  <c r="A592" i="56" s="1"/>
  <c r="A593" i="56" s="1"/>
  <c r="A594" i="56" s="1"/>
  <c r="A595" i="56" s="1"/>
  <c r="A596" i="56" s="1"/>
  <c r="A597" i="56" s="1"/>
  <c r="A598" i="56" s="1"/>
  <c r="A599" i="56" s="1"/>
  <c r="A600" i="56" s="1"/>
  <c r="A601" i="56" s="1"/>
  <c r="A602" i="56" s="1"/>
  <c r="A603" i="56" s="1"/>
  <c r="A604" i="56" s="1"/>
  <c r="A605" i="56" s="1"/>
  <c r="A606" i="56" s="1"/>
  <c r="A607" i="56" s="1"/>
  <c r="A608" i="56" s="1"/>
  <c r="A609" i="56" s="1"/>
  <c r="A610" i="56" s="1"/>
  <c r="A611" i="56" s="1"/>
  <c r="A612" i="56" s="1"/>
  <c r="A613" i="56" s="1"/>
  <c r="A614" i="56" s="1"/>
  <c r="A615" i="56" s="1"/>
  <c r="A616" i="56" s="1"/>
  <c r="A617" i="56" s="1"/>
  <c r="A618" i="56" s="1"/>
  <c r="A619" i="56" s="1"/>
  <c r="A620" i="56" s="1"/>
  <c r="A621" i="56" s="1"/>
  <c r="A622" i="56" s="1"/>
  <c r="A623" i="56" s="1"/>
  <c r="A624" i="56" s="1"/>
  <c r="A625" i="56" s="1"/>
  <c r="A626" i="56" s="1"/>
  <c r="A627" i="56" s="1"/>
  <c r="A628" i="56" s="1"/>
  <c r="A629" i="56" s="1"/>
  <c r="A630" i="56" s="1"/>
  <c r="A631" i="56" s="1"/>
  <c r="A632" i="56" s="1"/>
  <c r="A633" i="56" s="1"/>
  <c r="A634" i="56" s="1"/>
  <c r="A635" i="56" s="1"/>
  <c r="A636" i="56" s="1"/>
  <c r="A637" i="56" s="1"/>
  <c r="A638" i="56" s="1"/>
  <c r="A639" i="56" s="1"/>
  <c r="A640" i="56" s="1"/>
  <c r="A641" i="56" s="1"/>
  <c r="A642" i="56" s="1"/>
  <c r="A643" i="56" s="1"/>
  <c r="A644" i="56" s="1"/>
  <c r="A645" i="56" s="1"/>
  <c r="A646" i="56" s="1"/>
  <c r="C647" i="56"/>
  <c r="F152" i="56"/>
  <c r="B652" i="55"/>
  <c r="F385" i="56"/>
  <c r="F153" i="56"/>
  <c r="F350" i="56"/>
  <c r="Y648" i="55"/>
  <c r="C658" i="55"/>
  <c r="C660" i="55" s="1"/>
  <c r="N648" i="55"/>
  <c r="E648" i="55"/>
  <c r="B658" i="55"/>
  <c r="F647" i="56" l="1"/>
  <c r="A647" i="56"/>
  <c r="B660" i="55"/>
  <c r="M5" i="6"/>
  <c r="M6" i="6"/>
  <c r="M7" i="6"/>
  <c r="M8" i="6"/>
  <c r="M9" i="6"/>
  <c r="M10" i="6"/>
  <c r="M11" i="6"/>
  <c r="M12" i="6"/>
  <c r="M13" i="6"/>
  <c r="M14" i="6"/>
  <c r="M15" i="6"/>
  <c r="M16" i="6"/>
  <c r="M17" i="6"/>
  <c r="M18" i="6"/>
  <c r="M19" i="6"/>
  <c r="M20" i="6"/>
  <c r="M21" i="6"/>
  <c r="M26" i="6"/>
  <c r="M27" i="6"/>
  <c r="M28" i="6"/>
  <c r="M29" i="6"/>
  <c r="M30" i="6"/>
  <c r="M33" i="6"/>
  <c r="M34" i="6"/>
  <c r="M35" i="6"/>
  <c r="M36" i="6"/>
  <c r="M37" i="6"/>
  <c r="M39" i="6"/>
  <c r="M40" i="6"/>
  <c r="M41" i="6"/>
  <c r="M42" i="6"/>
  <c r="M44" i="6"/>
  <c r="M46" i="6"/>
  <c r="M47" i="6"/>
  <c r="M48" i="6"/>
  <c r="M49" i="6"/>
  <c r="M51" i="6"/>
  <c r="M52" i="6"/>
  <c r="M53" i="6"/>
  <c r="M54" i="6"/>
  <c r="M59" i="6"/>
  <c r="M60" i="6"/>
  <c r="M61" i="6"/>
  <c r="M62" i="6"/>
  <c r="M63" i="6"/>
  <c r="M64" i="6"/>
  <c r="M68" i="6"/>
  <c r="M69" i="6"/>
  <c r="M71" i="6"/>
  <c r="M72" i="6"/>
  <c r="M73" i="6"/>
  <c r="M74" i="6"/>
  <c r="M75" i="6"/>
  <c r="M76" i="6"/>
  <c r="M77" i="6"/>
  <c r="M81" i="6"/>
  <c r="M83" i="6"/>
  <c r="M85" i="6"/>
  <c r="M86" i="6"/>
  <c r="M88" i="6"/>
  <c r="M90" i="6"/>
  <c r="M92" i="6"/>
  <c r="M93" i="6"/>
  <c r="M94" i="6"/>
  <c r="M95" i="6"/>
  <c r="M96" i="6"/>
  <c r="M98" i="6"/>
  <c r="M99" i="6"/>
  <c r="M100" i="6"/>
  <c r="M101" i="6"/>
  <c r="M102" i="6"/>
  <c r="M103" i="6"/>
  <c r="M104" i="6"/>
  <c r="M109" i="6"/>
  <c r="M111" i="6"/>
  <c r="M112" i="6"/>
  <c r="M114" i="6"/>
  <c r="M115" i="6"/>
  <c r="M116" i="6"/>
  <c r="M118" i="6"/>
  <c r="M119" i="6"/>
  <c r="M120" i="6"/>
  <c r="M121" i="6"/>
  <c r="M124" i="6"/>
  <c r="M125" i="6"/>
  <c r="M126" i="6"/>
  <c r="M127" i="6"/>
  <c r="M128" i="6"/>
  <c r="M129" i="6"/>
  <c r="M130" i="6"/>
  <c r="M131" i="6"/>
  <c r="M132" i="6"/>
  <c r="M133" i="6"/>
  <c r="M134" i="6"/>
  <c r="M135" i="6"/>
  <c r="M137" i="6"/>
  <c r="M138" i="6"/>
  <c r="M139" i="6"/>
  <c r="M140" i="6"/>
  <c r="M142" i="6"/>
  <c r="M143" i="6"/>
  <c r="M144" i="6"/>
  <c r="M145" i="6"/>
  <c r="M147" i="6"/>
  <c r="M148" i="6"/>
  <c r="M149" i="6"/>
  <c r="M150" i="6"/>
  <c r="M151" i="6"/>
  <c r="M152" i="6"/>
  <c r="M153" i="6"/>
  <c r="M154" i="6"/>
  <c r="M155" i="6"/>
  <c r="M156" i="6"/>
  <c r="M157" i="6"/>
  <c r="M160" i="6"/>
  <c r="M161" i="6"/>
  <c r="M163" i="6"/>
  <c r="M164" i="6"/>
  <c r="M166" i="6"/>
  <c r="M167" i="6"/>
  <c r="M168" i="6"/>
  <c r="M170" i="6"/>
  <c r="M171" i="6"/>
  <c r="M172" i="6"/>
  <c r="M173" i="6"/>
  <c r="M174" i="6"/>
  <c r="M175" i="6"/>
  <c r="M179" i="6"/>
  <c r="M180" i="6"/>
  <c r="M181" i="6"/>
  <c r="M182" i="6"/>
  <c r="M184" i="6"/>
  <c r="M186" i="6"/>
  <c r="M187" i="6"/>
  <c r="M188" i="6"/>
  <c r="M189" i="6"/>
  <c r="M190" i="6"/>
  <c r="M192" i="6"/>
  <c r="M193" i="6"/>
  <c r="M194"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69" i="6"/>
  <c r="M271" i="6"/>
  <c r="M273" i="6"/>
  <c r="M274" i="6"/>
  <c r="M275" i="6"/>
  <c r="M276" i="6"/>
  <c r="M277" i="6"/>
  <c r="M278" i="6"/>
  <c r="M279" i="6"/>
  <c r="M280" i="6"/>
  <c r="M281" i="6"/>
  <c r="M282" i="6"/>
  <c r="M287" i="6"/>
  <c r="M288" i="6"/>
  <c r="M289" i="6"/>
  <c r="M292" i="6"/>
  <c r="M293" i="6"/>
  <c r="M294" i="6"/>
  <c r="M295" i="6"/>
  <c r="M296" i="6"/>
  <c r="M297" i="6"/>
  <c r="M298" i="6"/>
  <c r="M299" i="6"/>
  <c r="M300" i="6"/>
  <c r="M301" i="6"/>
  <c r="M303" i="6"/>
  <c r="M304" i="6"/>
  <c r="M305" i="6"/>
  <c r="M308" i="6"/>
  <c r="M311" i="6"/>
  <c r="M312" i="6"/>
  <c r="M314" i="6"/>
  <c r="M315" i="6"/>
  <c r="M316" i="6"/>
  <c r="M317" i="6"/>
  <c r="M318" i="6"/>
  <c r="M319" i="6"/>
  <c r="M320" i="6"/>
  <c r="M321" i="6"/>
  <c r="M322" i="6"/>
  <c r="M323" i="6"/>
  <c r="M324" i="6"/>
  <c r="M327" i="6"/>
  <c r="M329" i="6"/>
  <c r="M330" i="6"/>
  <c r="M331" i="6"/>
  <c r="M332" i="6"/>
  <c r="M333" i="6"/>
  <c r="M334" i="6"/>
  <c r="M335" i="6"/>
  <c r="M336" i="6"/>
  <c r="M337" i="6"/>
  <c r="M338" i="6"/>
  <c r="M339" i="6"/>
  <c r="M343" i="6"/>
  <c r="M344" i="6"/>
  <c r="M345" i="6"/>
  <c r="M346" i="6"/>
  <c r="M347" i="6"/>
  <c r="M348" i="6"/>
  <c r="M349" i="6"/>
  <c r="M350" i="6"/>
  <c r="M357" i="6"/>
  <c r="M358" i="6"/>
  <c r="M361" i="6"/>
  <c r="M362" i="6"/>
  <c r="M363" i="6"/>
  <c r="M364" i="6"/>
  <c r="M365" i="6"/>
  <c r="M366" i="6"/>
  <c r="M367" i="6"/>
  <c r="M368" i="6"/>
  <c r="M369"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8" i="6"/>
  <c r="M399" i="6"/>
  <c r="M400" i="6"/>
  <c r="M401" i="6"/>
  <c r="M402" i="6"/>
  <c r="M403" i="6"/>
  <c r="M404" i="6"/>
  <c r="M406" i="6"/>
  <c r="M407" i="6"/>
  <c r="M408" i="6"/>
  <c r="M409" i="6"/>
  <c r="M410" i="6"/>
  <c r="M411" i="6"/>
  <c r="M412" i="6"/>
  <c r="M415" i="6"/>
  <c r="M416" i="6"/>
  <c r="M417" i="6"/>
  <c r="M418" i="6"/>
  <c r="M419" i="6"/>
  <c r="M420" i="6"/>
  <c r="M421" i="6"/>
  <c r="M422" i="6"/>
  <c r="M423" i="6"/>
  <c r="M424" i="6"/>
  <c r="M425" i="6"/>
  <c r="M426" i="6"/>
  <c r="M427" i="6"/>
  <c r="M428" i="6"/>
  <c r="M429" i="6"/>
  <c r="M430" i="6"/>
  <c r="M431" i="6"/>
  <c r="M432" i="6"/>
  <c r="M433" i="6"/>
  <c r="M436" i="6"/>
  <c r="M437" i="6"/>
  <c r="M438" i="6"/>
  <c r="M439" i="6"/>
  <c r="M441" i="6"/>
  <c r="M442" i="6"/>
  <c r="M443" i="6"/>
  <c r="M444" i="6"/>
  <c r="M445" i="6"/>
  <c r="M448" i="6"/>
  <c r="M449" i="6"/>
  <c r="M454" i="6"/>
  <c r="M456" i="6"/>
  <c r="M457" i="6"/>
  <c r="M458" i="6"/>
  <c r="M459" i="6"/>
  <c r="M460" i="6"/>
  <c r="M462" i="6"/>
  <c r="M463" i="6"/>
  <c r="M464" i="6"/>
  <c r="M465" i="6"/>
  <c r="M466" i="6"/>
  <c r="M467" i="6"/>
  <c r="M470" i="6"/>
  <c r="M471" i="6"/>
  <c r="M472" i="6"/>
  <c r="M473" i="6"/>
  <c r="M474" i="6"/>
  <c r="M475" i="6"/>
  <c r="M476" i="6"/>
  <c r="M477" i="6"/>
  <c r="M478" i="6"/>
  <c r="M479" i="6"/>
  <c r="M480" i="6"/>
  <c r="M481" i="6"/>
  <c r="M482" i="6"/>
  <c r="M483" i="6"/>
  <c r="M484" i="6"/>
  <c r="M485" i="6"/>
  <c r="M486" i="6"/>
  <c r="M487" i="6"/>
  <c r="M488" i="6"/>
  <c r="M491" i="6"/>
  <c r="M492" i="6"/>
  <c r="M493" i="6"/>
  <c r="M494" i="6"/>
  <c r="M495" i="6"/>
  <c r="M496" i="6"/>
  <c r="M497" i="6"/>
  <c r="M498" i="6"/>
  <c r="M499" i="6"/>
  <c r="M505" i="6"/>
  <c r="M506" i="6"/>
  <c r="M507" i="6"/>
  <c r="M509" i="6"/>
  <c r="M510" i="6"/>
  <c r="M511" i="6"/>
  <c r="M512" i="6"/>
  <c r="M513" i="6"/>
  <c r="M514" i="6"/>
  <c r="M515" i="6"/>
  <c r="M516" i="6"/>
  <c r="M517" i="6"/>
  <c r="M518" i="6"/>
  <c r="M519" i="6"/>
  <c r="M520" i="6"/>
  <c r="M521" i="6"/>
  <c r="M522" i="6"/>
  <c r="M523" i="6"/>
  <c r="M524" i="6"/>
  <c r="M525" i="6"/>
  <c r="M526" i="6"/>
  <c r="M527" i="6"/>
  <c r="M529" i="6"/>
  <c r="M530" i="6"/>
  <c r="M531" i="6"/>
  <c r="M532" i="6"/>
  <c r="M534" i="6"/>
  <c r="M535" i="6"/>
  <c r="M536" i="6"/>
  <c r="M537" i="6"/>
  <c r="M538" i="6"/>
  <c r="M542" i="6"/>
  <c r="M543" i="6"/>
  <c r="M544" i="6"/>
  <c r="M545" i="6"/>
  <c r="M546" i="6"/>
  <c r="M547" i="6"/>
  <c r="M548" i="6"/>
  <c r="M549" i="6"/>
  <c r="M550" i="6"/>
  <c r="M551" i="6"/>
  <c r="M552" i="6"/>
  <c r="M553" i="6"/>
  <c r="M554" i="6"/>
  <c r="M555" i="6"/>
  <c r="M556" i="6"/>
  <c r="M557" i="6"/>
  <c r="M558" i="6"/>
  <c r="M559" i="6"/>
  <c r="M560" i="6"/>
  <c r="M561" i="6"/>
  <c r="M562" i="6"/>
  <c r="M563" i="6"/>
  <c r="M564" i="6"/>
  <c r="M565" i="6"/>
  <c r="M566" i="6"/>
  <c r="M567" i="6"/>
  <c r="M568" i="6"/>
  <c r="M569" i="6"/>
  <c r="M570" i="6"/>
  <c r="M571" i="6"/>
  <c r="M572" i="6"/>
  <c r="M573" i="6"/>
  <c r="M574" i="6"/>
  <c r="M575" i="6"/>
  <c r="M576" i="6"/>
  <c r="M577" i="6"/>
  <c r="M578" i="6"/>
  <c r="M579" i="6"/>
  <c r="M580" i="6"/>
  <c r="M581" i="6"/>
  <c r="M582" i="6"/>
  <c r="M583" i="6"/>
  <c r="M584" i="6"/>
  <c r="M585" i="6"/>
  <c r="M586" i="6"/>
  <c r="M587" i="6"/>
  <c r="M588" i="6"/>
  <c r="M589" i="6"/>
  <c r="M590" i="6"/>
  <c r="M591" i="6"/>
  <c r="M592" i="6"/>
  <c r="N4" i="6"/>
  <c r="N5" i="6" s="1"/>
  <c r="N6" i="6" s="1"/>
  <c r="N7" i="6" s="1"/>
  <c r="N8" i="6" s="1"/>
  <c r="N9" i="6" s="1"/>
  <c r="N10" i="6" s="1"/>
  <c r="N11" i="6" s="1"/>
  <c r="N12" i="6" s="1"/>
  <c r="N13" i="6" s="1"/>
  <c r="N14" i="6" s="1"/>
  <c r="N15" i="6" s="1"/>
  <c r="N16" i="6" s="1"/>
  <c r="N17" i="6" s="1"/>
  <c r="N18" i="6" s="1"/>
  <c r="N19" i="6" s="1"/>
  <c r="N20" i="6" s="1"/>
  <c r="N21" i="6" s="1"/>
  <c r="N22" i="6" s="1"/>
  <c r="N23" i="6" s="1"/>
  <c r="N24" i="6" s="1"/>
  <c r="N25" i="6" s="1"/>
  <c r="N26" i="6" s="1"/>
  <c r="N27" i="6" s="1"/>
  <c r="N28" i="6" s="1"/>
  <c r="N29" i="6" s="1"/>
  <c r="N30" i="6" s="1"/>
  <c r="N31" i="6" s="1"/>
  <c r="N32" i="6" s="1"/>
  <c r="N33" i="6" s="1"/>
  <c r="N34" i="6" s="1"/>
  <c r="N35" i="6" s="1"/>
  <c r="N36" i="6" s="1"/>
  <c r="N37" i="6" s="1"/>
  <c r="N38" i="6" s="1"/>
  <c r="N39" i="6" s="1"/>
  <c r="N40" i="6" s="1"/>
  <c r="N41" i="6" s="1"/>
  <c r="N42" i="6" s="1"/>
  <c r="N43" i="6" s="1"/>
  <c r="N44" i="6" s="1"/>
  <c r="N45" i="6" s="1"/>
  <c r="N46" i="6" s="1"/>
  <c r="N47" i="6" s="1"/>
  <c r="N48" i="6" s="1"/>
  <c r="N49" i="6" s="1"/>
  <c r="N50" i="6" s="1"/>
  <c r="N51" i="6" s="1"/>
  <c r="N52" i="6" s="1"/>
  <c r="N53" i="6" s="1"/>
  <c r="N54" i="6" s="1"/>
  <c r="N55" i="6" s="1"/>
  <c r="N56" i="6" s="1"/>
  <c r="N57" i="6" s="1"/>
  <c r="N58" i="6" s="1"/>
  <c r="N59" i="6" s="1"/>
  <c r="N60" i="6" s="1"/>
  <c r="N61" i="6" s="1"/>
  <c r="N62" i="6" s="1"/>
  <c r="N63" i="6" s="1"/>
  <c r="N64" i="6" s="1"/>
  <c r="N65" i="6" s="1"/>
  <c r="N66" i="6" s="1"/>
  <c r="N67" i="6" s="1"/>
  <c r="N68" i="6" s="1"/>
  <c r="N69" i="6" s="1"/>
  <c r="N70" i="6" s="1"/>
  <c r="N71" i="6" s="1"/>
  <c r="N72" i="6" s="1"/>
  <c r="N73" i="6" s="1"/>
  <c r="N74" i="6" s="1"/>
  <c r="N75" i="6" s="1"/>
  <c r="N76" i="6" s="1"/>
  <c r="N77" i="6" s="1"/>
  <c r="N78" i="6" s="1"/>
  <c r="N79" i="6" s="1"/>
  <c r="N80" i="6" s="1"/>
  <c r="N81" i="6" s="1"/>
  <c r="N82" i="6" s="1"/>
  <c r="N83" i="6" s="1"/>
  <c r="N84" i="6" s="1"/>
  <c r="N85" i="6" s="1"/>
  <c r="N86" i="6" s="1"/>
  <c r="N87" i="6" s="1"/>
  <c r="N88" i="6" s="1"/>
  <c r="N89" i="6" s="1"/>
  <c r="N90" i="6" s="1"/>
  <c r="N91" i="6" s="1"/>
  <c r="N92" i="6" s="1"/>
  <c r="N93" i="6" s="1"/>
  <c r="N94" i="6" s="1"/>
  <c r="N95" i="6" s="1"/>
  <c r="N96" i="6" s="1"/>
  <c r="N97" i="6" s="1"/>
  <c r="N98" i="6" s="1"/>
  <c r="N99" i="6" s="1"/>
  <c r="N100" i="6" s="1"/>
  <c r="N101" i="6" s="1"/>
  <c r="N102" i="6" s="1"/>
  <c r="N103" i="6" s="1"/>
  <c r="N104" i="6" s="1"/>
  <c r="N105" i="6" s="1"/>
  <c r="N106" i="6" s="1"/>
  <c r="N107" i="6" s="1"/>
  <c r="N108" i="6" s="1"/>
  <c r="N109" i="6" s="1"/>
  <c r="N110" i="6" s="1"/>
  <c r="N111" i="6" s="1"/>
  <c r="N112" i="6" s="1"/>
  <c r="N114" i="6" l="1"/>
  <c r="N115" i="6" s="1"/>
  <c r="N116" i="6" s="1"/>
  <c r="N117" i="6" s="1"/>
  <c r="N118" i="6" s="1"/>
  <c r="N119" i="6" s="1"/>
  <c r="N120" i="6" s="1"/>
  <c r="N121" i="6" s="1"/>
  <c r="N123" i="6" s="1"/>
  <c r="N124" i="6" s="1"/>
  <c r="N125" i="6" s="1"/>
  <c r="N126" i="6" s="1"/>
  <c r="N127" i="6" s="1"/>
  <c r="N128" i="6" s="1"/>
  <c r="N129" i="6" s="1"/>
  <c r="N130" i="6" s="1"/>
  <c r="N131" i="6" s="1"/>
  <c r="N132" i="6" s="1"/>
  <c r="N133" i="6" s="1"/>
  <c r="N134" i="6" s="1"/>
  <c r="N135" i="6" s="1"/>
  <c r="N136" i="6" s="1"/>
  <c r="N137" i="6" s="1"/>
  <c r="N138" i="6" s="1"/>
  <c r="N139" i="6" s="1"/>
  <c r="N140" i="6" s="1"/>
  <c r="N141" i="6" s="1"/>
  <c r="N142" i="6" s="1"/>
  <c r="N143" i="6" s="1"/>
  <c r="N144" i="6" s="1"/>
  <c r="N145" i="6" s="1"/>
  <c r="N146" i="6" s="1"/>
  <c r="N147" i="6" s="1"/>
  <c r="N148" i="6" s="1"/>
  <c r="N149" i="6" s="1"/>
  <c r="N150" i="6" s="1"/>
  <c r="N151" i="6" s="1"/>
  <c r="N152" i="6" s="1"/>
  <c r="N153" i="6" s="1"/>
  <c r="N154" i="6" s="1"/>
  <c r="N155" i="6" s="1"/>
  <c r="N156" i="6" s="1"/>
  <c r="N157" i="6" s="1"/>
  <c r="N158" i="6" s="1"/>
  <c r="N159" i="6" s="1"/>
  <c r="N160" i="6" s="1"/>
  <c r="N161" i="6" s="1"/>
  <c r="N162" i="6" s="1"/>
  <c r="N163" i="6" s="1"/>
  <c r="N164" i="6" s="1"/>
  <c r="N165" i="6" s="1"/>
  <c r="N166" i="6" s="1"/>
  <c r="N167" i="6" s="1"/>
  <c r="N168" i="6" s="1"/>
  <c r="N169" i="6" s="1"/>
  <c r="N170" i="6" s="1"/>
  <c r="N171" i="6" s="1"/>
  <c r="N172" i="6" s="1"/>
  <c r="N173" i="6" s="1"/>
  <c r="N174" i="6" s="1"/>
  <c r="N175" i="6" s="1"/>
  <c r="N176" i="6" s="1"/>
  <c r="N177" i="6" s="1"/>
  <c r="N178" i="6" s="1"/>
  <c r="N179" i="6" s="1"/>
  <c r="N180" i="6" s="1"/>
  <c r="N181" i="6" s="1"/>
  <c r="N182" i="6" s="1"/>
  <c r="N183" i="6" s="1"/>
  <c r="N184" i="6" s="1"/>
  <c r="N185" i="6" s="1"/>
  <c r="N186" i="6" s="1"/>
  <c r="N187" i="6" s="1"/>
  <c r="N188" i="6" s="1"/>
  <c r="N189" i="6" s="1"/>
  <c r="N190" i="6" s="1"/>
  <c r="N191" i="6" s="1"/>
  <c r="N192" i="6" s="1"/>
  <c r="N193" i="6" s="1"/>
  <c r="N194" i="6" s="1"/>
  <c r="N195" i="6" s="1"/>
  <c r="N196" i="6" s="1"/>
  <c r="N197" i="6" s="1"/>
  <c r="N198" i="6" s="1"/>
  <c r="N199" i="6" s="1"/>
  <c r="N200" i="6" s="1"/>
  <c r="N201" i="6" s="1"/>
  <c r="N202" i="6" s="1"/>
  <c r="N203" i="6" s="1"/>
  <c r="N204" i="6" s="1"/>
  <c r="N205" i="6" s="1"/>
  <c r="N206" i="6" s="1"/>
  <c r="N207" i="6" s="1"/>
  <c r="N208" i="6" s="1"/>
  <c r="N209" i="6" s="1"/>
  <c r="N210" i="6" s="1"/>
  <c r="N211" i="6" s="1"/>
  <c r="N212" i="6" s="1"/>
  <c r="N213" i="6" s="1"/>
  <c r="N214" i="6" s="1"/>
  <c r="N215" i="6" s="1"/>
  <c r="N216" i="6" s="1"/>
  <c r="N217" i="6" s="1"/>
  <c r="N218" i="6" s="1"/>
  <c r="N219" i="6" s="1"/>
  <c r="N220" i="6" s="1"/>
  <c r="N221" i="6" s="1"/>
  <c r="N222" i="6" s="1"/>
  <c r="N223" i="6" s="1"/>
  <c r="N224" i="6" s="1"/>
  <c r="N225" i="6" s="1"/>
  <c r="N226" i="6" s="1"/>
  <c r="N227" i="6" s="1"/>
  <c r="N228" i="6" s="1"/>
  <c r="N229" i="6" s="1"/>
  <c r="N230" i="6" s="1"/>
  <c r="N231" i="6" s="1"/>
  <c r="N232" i="6" s="1"/>
  <c r="N233" i="6" s="1"/>
  <c r="N234" i="6" s="1"/>
  <c r="N235" i="6" s="1"/>
  <c r="N236" i="6" s="1"/>
  <c r="N237" i="6" s="1"/>
  <c r="N238" i="6" s="1"/>
  <c r="N239" i="6" s="1"/>
  <c r="N240" i="6" s="1"/>
  <c r="N241" i="6" s="1"/>
  <c r="N242" i="6" s="1"/>
  <c r="N243" i="6" s="1"/>
  <c r="N244" i="6" s="1"/>
  <c r="N245" i="6" s="1"/>
  <c r="N246" i="6" s="1"/>
  <c r="N247" i="6" s="1"/>
  <c r="N248" i="6" s="1"/>
  <c r="N249" i="6" s="1"/>
  <c r="N250" i="6" s="1"/>
  <c r="N251" i="6" s="1"/>
  <c r="N252" i="6" s="1"/>
  <c r="N253" i="6" s="1"/>
  <c r="N254" i="6" s="1"/>
  <c r="N255" i="6" s="1"/>
  <c r="N256" i="6" s="1"/>
  <c r="N257" i="6" s="1"/>
  <c r="N258" i="6" s="1"/>
  <c r="N259" i="6" s="1"/>
  <c r="N260" i="6" s="1"/>
  <c r="N261" i="6" s="1"/>
  <c r="N262" i="6" s="1"/>
  <c r="N263" i="6" s="1"/>
  <c r="N264" i="6" s="1"/>
  <c r="N265" i="6" s="1"/>
  <c r="N266" i="6" s="1"/>
  <c r="N267" i="6" s="1"/>
  <c r="N268" i="6" s="1"/>
  <c r="N269" i="6" s="1"/>
  <c r="N270" i="6" s="1"/>
  <c r="N271" i="6" s="1"/>
  <c r="N272" i="6" s="1"/>
  <c r="N273" i="6" s="1"/>
  <c r="N274" i="6" s="1"/>
  <c r="N275" i="6" s="1"/>
  <c r="N276" i="6" s="1"/>
  <c r="N277" i="6" s="1"/>
  <c r="N278" i="6" s="1"/>
  <c r="N279" i="6" s="1"/>
  <c r="N280" i="6" s="1"/>
  <c r="N281" i="6" s="1"/>
  <c r="N282" i="6" s="1"/>
  <c r="N283" i="6" s="1"/>
  <c r="N284" i="6" s="1"/>
  <c r="N285" i="6" s="1"/>
  <c r="N286" i="6" s="1"/>
  <c r="N287" i="6" s="1"/>
  <c r="N288" i="6" s="1"/>
  <c r="N289" i="6" s="1"/>
  <c r="N290" i="6" s="1"/>
  <c r="N291" i="6" s="1"/>
  <c r="N292" i="6" s="1"/>
  <c r="N293" i="6" s="1"/>
  <c r="N294" i="6" s="1"/>
  <c r="N295" i="6" s="1"/>
  <c r="N296" i="6" s="1"/>
  <c r="N297" i="6" s="1"/>
  <c r="N298" i="6" s="1"/>
  <c r="N299" i="6" s="1"/>
  <c r="N300" i="6" s="1"/>
  <c r="N301" i="6" s="1"/>
  <c r="N302" i="6" s="1"/>
  <c r="N303" i="6" s="1"/>
  <c r="N304" i="6" s="1"/>
  <c r="N305" i="6" s="1"/>
  <c r="N306" i="6" s="1"/>
  <c r="N307" i="6" s="1"/>
  <c r="N308" i="6" s="1"/>
  <c r="N309" i="6" s="1"/>
  <c r="N310" i="6" s="1"/>
  <c r="N311" i="6" s="1"/>
  <c r="N312" i="6" s="1"/>
  <c r="N313" i="6" s="1"/>
  <c r="N314" i="6" s="1"/>
  <c r="N315" i="6" s="1"/>
  <c r="N316" i="6" s="1"/>
  <c r="N317" i="6" s="1"/>
  <c r="N318" i="6" s="1"/>
  <c r="N319" i="6" s="1"/>
  <c r="N320" i="6" s="1"/>
  <c r="N321" i="6" s="1"/>
  <c r="N322" i="6" s="1"/>
  <c r="N323" i="6" s="1"/>
  <c r="N324" i="6" s="1"/>
  <c r="N325" i="6" s="1"/>
  <c r="N326" i="6" s="1"/>
  <c r="N327" i="6" s="1"/>
  <c r="N328" i="6" s="1"/>
  <c r="N329" i="6" s="1"/>
  <c r="N330" i="6" s="1"/>
  <c r="N331" i="6" s="1"/>
  <c r="N332" i="6" s="1"/>
  <c r="N333" i="6" s="1"/>
  <c r="N334" i="6" s="1"/>
  <c r="N335" i="6" s="1"/>
  <c r="N336" i="6" s="1"/>
  <c r="N337" i="6" s="1"/>
  <c r="N338" i="6" s="1"/>
  <c r="N339" i="6" s="1"/>
  <c r="N340" i="6" s="1"/>
  <c r="N341" i="6" s="1"/>
  <c r="N342" i="6" s="1"/>
  <c r="N343" i="6" s="1"/>
  <c r="N344" i="6" s="1"/>
  <c r="N345" i="6" s="1"/>
  <c r="N346" i="6" s="1"/>
  <c r="N347" i="6" s="1"/>
  <c r="N348" i="6" s="1"/>
  <c r="N349" i="6" s="1"/>
  <c r="N350" i="6" s="1"/>
  <c r="N351" i="6" s="1"/>
  <c r="N352" i="6" s="1"/>
  <c r="N353" i="6" s="1"/>
  <c r="N354" i="6" s="1"/>
  <c r="N355" i="6" s="1"/>
  <c r="N356" i="6" s="1"/>
  <c r="N357" i="6" s="1"/>
  <c r="N358" i="6" s="1"/>
  <c r="N359" i="6" s="1"/>
  <c r="N360" i="6" s="1"/>
  <c r="N361" i="6" s="1"/>
  <c r="N362" i="6" s="1"/>
  <c r="N363" i="6" s="1"/>
  <c r="N364" i="6" s="1"/>
  <c r="N365" i="6" s="1"/>
  <c r="N366" i="6" s="1"/>
  <c r="N367" i="6" s="1"/>
  <c r="N368" i="6" s="1"/>
  <c r="N369" i="6" s="1"/>
  <c r="N370" i="6" s="1"/>
  <c r="N371" i="6" s="1"/>
  <c r="N372" i="6" s="1"/>
  <c r="N373" i="6" s="1"/>
  <c r="N374" i="6" s="1"/>
  <c r="N375" i="6" s="1"/>
  <c r="N376" i="6" s="1"/>
  <c r="N377" i="6" s="1"/>
  <c r="N378" i="6" s="1"/>
  <c r="N379" i="6" s="1"/>
  <c r="N380" i="6" s="1"/>
  <c r="N381" i="6" s="1"/>
  <c r="N382" i="6" s="1"/>
  <c r="N383" i="6" s="1"/>
  <c r="N384" i="6" s="1"/>
  <c r="N385" i="6" s="1"/>
  <c r="N386" i="6" s="1"/>
  <c r="N387" i="6" s="1"/>
  <c r="N388" i="6" s="1"/>
  <c r="N389" i="6" s="1"/>
  <c r="N390" i="6" s="1"/>
  <c r="N391" i="6" s="1"/>
  <c r="N392" i="6" s="1"/>
  <c r="N393" i="6" s="1"/>
  <c r="N394" i="6" s="1"/>
  <c r="N395" i="6" s="1"/>
  <c r="N396" i="6" s="1"/>
  <c r="N397" i="6" s="1"/>
  <c r="N398" i="6" s="1"/>
  <c r="N399" i="6" s="1"/>
  <c r="N400" i="6" s="1"/>
  <c r="N401" i="6" s="1"/>
  <c r="N402" i="6" s="1"/>
  <c r="N403" i="6" s="1"/>
  <c r="N404" i="6" s="1"/>
  <c r="N405" i="6" s="1"/>
  <c r="N406" i="6" s="1"/>
  <c r="N407" i="6" s="1"/>
  <c r="N408" i="6" s="1"/>
  <c r="N409" i="6" s="1"/>
  <c r="N410" i="6" s="1"/>
  <c r="N411" i="6" s="1"/>
  <c r="N412" i="6" s="1"/>
  <c r="N413" i="6" s="1"/>
  <c r="N414" i="6" s="1"/>
  <c r="N415" i="6" s="1"/>
  <c r="N416" i="6" s="1"/>
  <c r="N417" i="6" s="1"/>
  <c r="N418" i="6" s="1"/>
  <c r="N419" i="6" s="1"/>
  <c r="N420" i="6" s="1"/>
  <c r="N421" i="6" s="1"/>
  <c r="N422" i="6" s="1"/>
  <c r="N423" i="6" s="1"/>
  <c r="N424" i="6" s="1"/>
  <c r="N425" i="6" s="1"/>
  <c r="N426" i="6" s="1"/>
  <c r="N427" i="6" s="1"/>
  <c r="N428" i="6" s="1"/>
  <c r="N429" i="6" s="1"/>
  <c r="N430" i="6" s="1"/>
  <c r="N431" i="6" s="1"/>
  <c r="N432" i="6" s="1"/>
  <c r="N433" i="6" s="1"/>
  <c r="N434" i="6" s="1"/>
  <c r="N435" i="6" s="1"/>
  <c r="N436" i="6" s="1"/>
  <c r="N437" i="6" s="1"/>
  <c r="N438" i="6" s="1"/>
  <c r="N439" i="6" s="1"/>
  <c r="N440" i="6" s="1"/>
  <c r="N441" i="6" s="1"/>
  <c r="N442" i="6" s="1"/>
  <c r="N443" i="6" s="1"/>
  <c r="N444" i="6" s="1"/>
  <c r="N445" i="6" s="1"/>
  <c r="N446" i="6" s="1"/>
  <c r="N447" i="6" s="1"/>
  <c r="N448" i="6" s="1"/>
  <c r="N449" i="6" s="1"/>
  <c r="N450" i="6" s="1"/>
  <c r="N451" i="6" s="1"/>
  <c r="N452" i="6" s="1"/>
  <c r="N453" i="6" s="1"/>
  <c r="N454" i="6" s="1"/>
  <c r="N455" i="6" s="1"/>
  <c r="N456" i="6" s="1"/>
  <c r="N457" i="6" s="1"/>
  <c r="N458" i="6" s="1"/>
  <c r="N459" i="6" s="1"/>
  <c r="N460" i="6" s="1"/>
  <c r="N461" i="6" s="1"/>
  <c r="N462" i="6" s="1"/>
  <c r="N463" i="6" s="1"/>
  <c r="N464" i="6" s="1"/>
  <c r="N465" i="6" s="1"/>
  <c r="N466" i="6" s="1"/>
  <c r="N467" i="6" s="1"/>
  <c r="N468" i="6" s="1"/>
  <c r="N469" i="6" s="1"/>
  <c r="N470" i="6" s="1"/>
  <c r="N471" i="6" s="1"/>
  <c r="N472" i="6" s="1"/>
  <c r="N473" i="6" s="1"/>
  <c r="N474" i="6" s="1"/>
  <c r="N475" i="6" s="1"/>
  <c r="N476" i="6" s="1"/>
  <c r="N477" i="6" s="1"/>
  <c r="N478" i="6" s="1"/>
  <c r="N479" i="6" s="1"/>
  <c r="N480" i="6" s="1"/>
  <c r="N481" i="6" s="1"/>
  <c r="N482" i="6" s="1"/>
  <c r="N483" i="6" s="1"/>
  <c r="N484" i="6" s="1"/>
  <c r="N485" i="6" s="1"/>
  <c r="N486" i="6" s="1"/>
  <c r="N487" i="6" s="1"/>
  <c r="N488" i="6" s="1"/>
  <c r="N489" i="6" s="1"/>
  <c r="N490" i="6" s="1"/>
  <c r="N491" i="6" s="1"/>
  <c r="N492" i="6" s="1"/>
  <c r="N493" i="6" s="1"/>
  <c r="N494" i="6" s="1"/>
  <c r="N495" i="6" s="1"/>
  <c r="N496" i="6" s="1"/>
  <c r="N497" i="6" s="1"/>
  <c r="N498" i="6" s="1"/>
  <c r="N499" i="6" s="1"/>
  <c r="N500" i="6" s="1"/>
  <c r="N501" i="6" s="1"/>
  <c r="N502" i="6" s="1"/>
  <c r="N503" i="6" s="1"/>
  <c r="N504" i="6" s="1"/>
  <c r="N505" i="6" s="1"/>
  <c r="N506" i="6" s="1"/>
  <c r="N507" i="6" s="1"/>
  <c r="N508" i="6" s="1"/>
  <c r="N509" i="6" s="1"/>
  <c r="N510" i="6" s="1"/>
  <c r="N511" i="6" s="1"/>
  <c r="N512" i="6" s="1"/>
  <c r="N513" i="6" s="1"/>
  <c r="N514" i="6" s="1"/>
  <c r="N515" i="6" s="1"/>
  <c r="N516" i="6" s="1"/>
  <c r="N517" i="6" s="1"/>
  <c r="N518" i="6" s="1"/>
  <c r="N519" i="6" s="1"/>
  <c r="N520" i="6" s="1"/>
  <c r="N521" i="6" s="1"/>
  <c r="N522" i="6" s="1"/>
  <c r="N523" i="6" s="1"/>
  <c r="N524" i="6" s="1"/>
  <c r="N525" i="6" s="1"/>
  <c r="N526" i="6" s="1"/>
  <c r="N527" i="6" s="1"/>
  <c r="N528" i="6" s="1"/>
  <c r="N529" i="6" s="1"/>
  <c r="N530" i="6" s="1"/>
  <c r="N531" i="6" s="1"/>
  <c r="N532" i="6" s="1"/>
  <c r="N533" i="6" s="1"/>
  <c r="N534" i="6" s="1"/>
  <c r="N535" i="6" s="1"/>
  <c r="N536" i="6" s="1"/>
  <c r="N537" i="6" s="1"/>
  <c r="N538" i="6" s="1"/>
  <c r="N539" i="6" s="1"/>
  <c r="N540" i="6" s="1"/>
  <c r="N541" i="6" s="1"/>
  <c r="N542" i="6" s="1"/>
  <c r="N543" i="6" s="1"/>
  <c r="N544" i="6" s="1"/>
  <c r="N545" i="6" s="1"/>
  <c r="N546" i="6" s="1"/>
  <c r="N547" i="6" s="1"/>
  <c r="N548" i="6" s="1"/>
  <c r="N549" i="6" s="1"/>
  <c r="N550" i="6" s="1"/>
  <c r="N551" i="6" s="1"/>
  <c r="N552" i="6" s="1"/>
  <c r="N553" i="6" s="1"/>
  <c r="N554" i="6" s="1"/>
  <c r="N555" i="6" s="1"/>
  <c r="N556" i="6" s="1"/>
  <c r="N557" i="6" s="1"/>
  <c r="N558" i="6" s="1"/>
  <c r="N559" i="6" s="1"/>
  <c r="N560" i="6" s="1"/>
  <c r="N561" i="6" s="1"/>
  <c r="N562" i="6" s="1"/>
  <c r="N563" i="6" s="1"/>
  <c r="N564" i="6" s="1"/>
  <c r="N565" i="6" s="1"/>
  <c r="N566" i="6" s="1"/>
  <c r="N567" i="6" s="1"/>
  <c r="N568" i="6" s="1"/>
  <c r="N569" i="6" s="1"/>
  <c r="N570" i="6" s="1"/>
  <c r="N571" i="6" s="1"/>
  <c r="N572" i="6" s="1"/>
  <c r="N573" i="6" s="1"/>
  <c r="N574" i="6" s="1"/>
  <c r="N575" i="6" s="1"/>
  <c r="N576" i="6" s="1"/>
  <c r="N577" i="6" s="1"/>
  <c r="N578" i="6" s="1"/>
  <c r="N579" i="6" s="1"/>
  <c r="N580" i="6" s="1"/>
  <c r="N581" i="6" s="1"/>
  <c r="N582" i="6" s="1"/>
  <c r="N583" i="6" s="1"/>
  <c r="N584" i="6" s="1"/>
  <c r="N585" i="6" s="1"/>
  <c r="N586" i="6" s="1"/>
  <c r="N587" i="6" s="1"/>
  <c r="N588" i="6" s="1"/>
  <c r="N589" i="6" s="1"/>
  <c r="N590" i="6" s="1"/>
  <c r="N591" i="6" s="1"/>
  <c r="N592" i="6" s="1"/>
  <c r="N113" i="6"/>
  <c r="N122" i="6" l="1"/>
  <c r="N593" i="6" s="1"/>
  <c r="E158" i="6"/>
  <c r="M158" i="6" s="1"/>
  <c r="E159" i="6"/>
  <c r="M159" i="6" s="1"/>
  <c r="E352" i="6"/>
  <c r="M352" i="6" s="1"/>
  <c r="E353" i="6"/>
  <c r="M353" i="6" s="1"/>
  <c r="E354" i="6"/>
  <c r="M354" i="6" s="1"/>
  <c r="E355" i="6"/>
  <c r="M355" i="6" s="1"/>
  <c r="E351" i="6"/>
  <c r="M351" i="6" s="1"/>
  <c r="E325" i="6"/>
  <c r="M325" i="6" s="1"/>
  <c r="E310" i="6"/>
  <c r="E309" i="6"/>
  <c r="E307" i="6"/>
  <c r="M307" i="6" s="1"/>
  <c r="E306" i="6"/>
  <c r="M306" i="6" s="1"/>
  <c r="E302" i="6"/>
  <c r="M302" i="6" s="1"/>
  <c r="E283" i="6"/>
  <c r="M283" i="6" s="1"/>
  <c r="E191" i="6"/>
  <c r="M191" i="6" s="1"/>
  <c r="E185" i="6"/>
  <c r="M185" i="6" s="1"/>
  <c r="E183" i="6"/>
  <c r="E146" i="6"/>
  <c r="M82" i="6"/>
  <c r="E57" i="6"/>
  <c r="M57" i="6" s="1"/>
  <c r="E55" i="6"/>
  <c r="M55" i="6" s="1"/>
  <c r="E32" i="6"/>
  <c r="M32" i="6" s="1"/>
  <c r="E541" i="6"/>
  <c r="M541" i="6" s="1"/>
  <c r="E540" i="6"/>
  <c r="M540" i="6" s="1"/>
  <c r="E539" i="6"/>
  <c r="E533" i="6"/>
  <c r="E528" i="6"/>
  <c r="E508" i="6"/>
  <c r="M508" i="6" s="1"/>
  <c r="E504" i="6"/>
  <c r="M504" i="6" s="1"/>
  <c r="E503" i="6"/>
  <c r="E502" i="6"/>
  <c r="M502" i="6" s="1"/>
  <c r="E501" i="6"/>
  <c r="M501" i="6" s="1"/>
  <c r="E500" i="6"/>
  <c r="E490" i="6"/>
  <c r="E489" i="6"/>
  <c r="E469" i="6"/>
  <c r="M469" i="6" s="1"/>
  <c r="E468" i="6"/>
  <c r="E461" i="6"/>
  <c r="M461" i="6" s="1"/>
  <c r="E455" i="6"/>
  <c r="M455" i="6" s="1"/>
  <c r="E453" i="6"/>
  <c r="M453" i="6" s="1"/>
  <c r="E452" i="6"/>
  <c r="E451" i="6"/>
  <c r="E450" i="6"/>
  <c r="E447" i="6"/>
  <c r="M447" i="6" s="1"/>
  <c r="E446" i="6"/>
  <c r="E440" i="6"/>
  <c r="E435" i="6"/>
  <c r="E434" i="6"/>
  <c r="M434" i="6" s="1"/>
  <c r="E414" i="6"/>
  <c r="E413" i="6"/>
  <c r="E405" i="6"/>
  <c r="E397" i="6"/>
  <c r="M397" i="6" s="1"/>
  <c r="E360" i="6"/>
  <c r="M360" i="6" s="1"/>
  <c r="E359" i="6"/>
  <c r="E356" i="6"/>
  <c r="M356" i="6" s="1"/>
  <c r="E342" i="6"/>
  <c r="M342" i="6" s="1"/>
  <c r="E341" i="6"/>
  <c r="E340" i="6"/>
  <c r="E328" i="6"/>
  <c r="E326" i="6"/>
  <c r="M326" i="6" s="1"/>
  <c r="E291" i="6"/>
  <c r="M291" i="6" s="1"/>
  <c r="E290" i="6"/>
  <c r="E286" i="6"/>
  <c r="M286" i="6" s="1"/>
  <c r="E285" i="6"/>
  <c r="M285" i="6" s="1"/>
  <c r="E284" i="6"/>
  <c r="E272" i="6"/>
  <c r="E270" i="6"/>
  <c r="E196" i="6"/>
  <c r="M196" i="6" s="1"/>
  <c r="E195" i="6"/>
  <c r="M195" i="6" s="1"/>
  <c r="E178" i="6"/>
  <c r="E177" i="6"/>
  <c r="M177" i="6" s="1"/>
  <c r="E176" i="6"/>
  <c r="M176" i="6" s="1"/>
  <c r="E169" i="6"/>
  <c r="E165" i="6"/>
  <c r="E162" i="6"/>
  <c r="E141" i="6"/>
  <c r="M141" i="6" s="1"/>
  <c r="E136" i="6"/>
  <c r="E123" i="6"/>
  <c r="M123" i="6" s="1"/>
  <c r="E117" i="6"/>
  <c r="M117" i="6" s="1"/>
  <c r="E110" i="6"/>
  <c r="E108" i="6"/>
  <c r="E107" i="6"/>
  <c r="E106" i="6"/>
  <c r="M106" i="6" s="1"/>
  <c r="E105" i="6"/>
  <c r="M105" i="6" s="1"/>
  <c r="E97" i="6"/>
  <c r="E91" i="6"/>
  <c r="M91" i="6" s="1"/>
  <c r="E89" i="6"/>
  <c r="M89" i="6" s="1"/>
  <c r="E87" i="6"/>
  <c r="E84" i="6"/>
  <c r="E80" i="6"/>
  <c r="E79" i="6"/>
  <c r="M79" i="6" s="1"/>
  <c r="E78" i="6"/>
  <c r="M78" i="6" s="1"/>
  <c r="E70" i="6"/>
  <c r="E67" i="6"/>
  <c r="M67" i="6" s="1"/>
  <c r="E66" i="6"/>
  <c r="M66" i="6" s="1"/>
  <c r="E65" i="6"/>
  <c r="E58" i="6"/>
  <c r="E56" i="6"/>
  <c r="E50" i="6"/>
  <c r="M50" i="6" s="1"/>
  <c r="E45" i="6"/>
  <c r="M45" i="6" s="1"/>
  <c r="E43" i="6"/>
  <c r="E38" i="6"/>
  <c r="M38" i="6" s="1"/>
  <c r="E31" i="6"/>
  <c r="M31" i="6" s="1"/>
  <c r="E25" i="6"/>
  <c r="E24" i="6"/>
  <c r="E23" i="6"/>
  <c r="E22" i="6"/>
  <c r="M22" i="6" s="1"/>
  <c r="E313" i="6"/>
  <c r="M313" i="6" s="1"/>
  <c r="M622" i="23"/>
  <c r="M621" i="23"/>
  <c r="M620" i="23"/>
  <c r="M619" i="23"/>
  <c r="M618" i="23"/>
  <c r="M617" i="23"/>
  <c r="M616" i="23"/>
  <c r="M615" i="23"/>
  <c r="M614" i="23"/>
  <c r="M613" i="23"/>
  <c r="M612" i="23"/>
  <c r="M611" i="23"/>
  <c r="M610" i="23"/>
  <c r="M609" i="23"/>
  <c r="M608" i="23"/>
  <c r="M607" i="23"/>
  <c r="M606" i="23"/>
  <c r="M605" i="23"/>
  <c r="M604" i="23"/>
  <c r="M603" i="23"/>
  <c r="M602" i="23"/>
  <c r="M601" i="23"/>
  <c r="M600" i="23"/>
  <c r="M599" i="23"/>
  <c r="M598" i="23"/>
  <c r="M597" i="23"/>
  <c r="M596" i="23"/>
  <c r="M595" i="23"/>
  <c r="M594" i="23"/>
  <c r="M593" i="23"/>
  <c r="M592" i="23"/>
  <c r="M591" i="23"/>
  <c r="M590" i="23"/>
  <c r="M589" i="23"/>
  <c r="M588" i="23"/>
  <c r="M587" i="23"/>
  <c r="M586" i="23"/>
  <c r="M585" i="23"/>
  <c r="M584" i="23"/>
  <c r="M583" i="23"/>
  <c r="M582" i="23"/>
  <c r="M581" i="23"/>
  <c r="M580" i="23"/>
  <c r="M579" i="23"/>
  <c r="M578" i="23"/>
  <c r="M577" i="23"/>
  <c r="M576" i="23"/>
  <c r="M575" i="23"/>
  <c r="M574" i="23"/>
  <c r="M573" i="23"/>
  <c r="M572" i="23"/>
  <c r="M571" i="23"/>
  <c r="M570" i="23"/>
  <c r="M569" i="23"/>
  <c r="M568" i="23"/>
  <c r="M567" i="23"/>
  <c r="M566" i="23"/>
  <c r="M565" i="23"/>
  <c r="M564" i="23"/>
  <c r="M563" i="23"/>
  <c r="M562" i="23"/>
  <c r="M561" i="23"/>
  <c r="M560" i="23"/>
  <c r="M559" i="23"/>
  <c r="M558" i="23"/>
  <c r="M557" i="23"/>
  <c r="M556" i="23"/>
  <c r="M555" i="23"/>
  <c r="M554" i="23"/>
  <c r="M553" i="23"/>
  <c r="M552" i="23"/>
  <c r="M551" i="23"/>
  <c r="M550" i="23"/>
  <c r="M549" i="23"/>
  <c r="M548" i="23"/>
  <c r="M547" i="23"/>
  <c r="M546" i="23"/>
  <c r="M545" i="23"/>
  <c r="M544" i="23"/>
  <c r="M543" i="23"/>
  <c r="M542" i="23"/>
  <c r="M541" i="23"/>
  <c r="M540" i="23"/>
  <c r="M539" i="23"/>
  <c r="M538" i="23"/>
  <c r="M537" i="23"/>
  <c r="M536" i="23"/>
  <c r="M535" i="23"/>
  <c r="M534" i="23"/>
  <c r="M533" i="23"/>
  <c r="M532" i="23"/>
  <c r="M531" i="23"/>
  <c r="M530" i="23"/>
  <c r="M529" i="23"/>
  <c r="M528" i="23"/>
  <c r="M527" i="23"/>
  <c r="M526" i="23"/>
  <c r="M525" i="23"/>
  <c r="M524" i="23"/>
  <c r="M523" i="23"/>
  <c r="M522" i="23"/>
  <c r="M521" i="23"/>
  <c r="M520" i="23"/>
  <c r="M519" i="23"/>
  <c r="M518" i="23"/>
  <c r="M517" i="23"/>
  <c r="M516" i="23"/>
  <c r="M515" i="23"/>
  <c r="M514" i="23"/>
  <c r="M513" i="23"/>
  <c r="M512" i="23"/>
  <c r="M511" i="23"/>
  <c r="M510" i="23"/>
  <c r="M509" i="23"/>
  <c r="M508" i="23"/>
  <c r="M507" i="23"/>
  <c r="M506" i="23"/>
  <c r="M505" i="23"/>
  <c r="M504" i="23"/>
  <c r="M503" i="23"/>
  <c r="M502" i="23"/>
  <c r="M501" i="23"/>
  <c r="M500" i="23"/>
  <c r="M499" i="23"/>
  <c r="M498" i="23"/>
  <c r="M497" i="23"/>
  <c r="M496" i="23"/>
  <c r="M495" i="23"/>
  <c r="M494" i="23"/>
  <c r="M493" i="23"/>
  <c r="M492" i="23"/>
  <c r="M491" i="23"/>
  <c r="M490" i="23"/>
  <c r="M489" i="23"/>
  <c r="M488" i="23"/>
  <c r="M487" i="23"/>
  <c r="M486" i="23"/>
  <c r="M485" i="23"/>
  <c r="M484" i="23"/>
  <c r="M483" i="23"/>
  <c r="M482" i="23"/>
  <c r="M481" i="23"/>
  <c r="M480" i="23"/>
  <c r="M479" i="23"/>
  <c r="M478" i="23"/>
  <c r="M477" i="23"/>
  <c r="M476" i="23"/>
  <c r="M475" i="23"/>
  <c r="M474" i="23"/>
  <c r="M473" i="23"/>
  <c r="M472" i="23"/>
  <c r="M471" i="23"/>
  <c r="M470" i="23"/>
  <c r="M469" i="23"/>
  <c r="M468" i="23"/>
  <c r="M467" i="23"/>
  <c r="M466" i="23"/>
  <c r="M465" i="23"/>
  <c r="M464" i="23"/>
  <c r="M463" i="23"/>
  <c r="M462" i="23"/>
  <c r="M461" i="23"/>
  <c r="M460" i="23"/>
  <c r="M459" i="23"/>
  <c r="M458" i="23"/>
  <c r="M457" i="23"/>
  <c r="M456" i="23"/>
  <c r="M455" i="23"/>
  <c r="M454" i="23"/>
  <c r="M453" i="23"/>
  <c r="M452" i="23"/>
  <c r="M451" i="23"/>
  <c r="M450" i="23"/>
  <c r="M449" i="23"/>
  <c r="M448" i="23"/>
  <c r="M447" i="23"/>
  <c r="M446" i="23"/>
  <c r="M445" i="23"/>
  <c r="M444" i="23"/>
  <c r="M443" i="23"/>
  <c r="M442" i="23"/>
  <c r="M441" i="23"/>
  <c r="M440" i="23"/>
  <c r="M439" i="23"/>
  <c r="M438" i="23"/>
  <c r="M437" i="23"/>
  <c r="M436" i="23"/>
  <c r="M435" i="23"/>
  <c r="M434" i="23"/>
  <c r="M433" i="23"/>
  <c r="M432" i="23"/>
  <c r="M431" i="23"/>
  <c r="M430" i="23"/>
  <c r="M429" i="23"/>
  <c r="M428" i="23"/>
  <c r="M427" i="23"/>
  <c r="M426" i="23"/>
  <c r="M425" i="23"/>
  <c r="M424" i="23"/>
  <c r="M423" i="23"/>
  <c r="M422" i="23"/>
  <c r="M421" i="23"/>
  <c r="M420" i="23"/>
  <c r="M419" i="23"/>
  <c r="M418" i="23"/>
  <c r="M417" i="23"/>
  <c r="M416" i="23"/>
  <c r="M415" i="23"/>
  <c r="M414" i="23"/>
  <c r="M413" i="23"/>
  <c r="M412" i="23"/>
  <c r="M411" i="23"/>
  <c r="M410" i="23"/>
  <c r="M409" i="23"/>
  <c r="M408" i="23"/>
  <c r="M407" i="23"/>
  <c r="M406" i="23"/>
  <c r="M405" i="23"/>
  <c r="M404" i="23"/>
  <c r="M403" i="23"/>
  <c r="M402" i="23"/>
  <c r="M401" i="23"/>
  <c r="M400" i="23"/>
  <c r="M399" i="23"/>
  <c r="M398" i="23"/>
  <c r="M397" i="23"/>
  <c r="M396" i="23"/>
  <c r="M395" i="23"/>
  <c r="M394" i="23"/>
  <c r="M393" i="23"/>
  <c r="M392" i="23"/>
  <c r="M391" i="23"/>
  <c r="M390" i="23"/>
  <c r="M389" i="23"/>
  <c r="M388" i="23"/>
  <c r="M387" i="23"/>
  <c r="M386" i="23"/>
  <c r="M385" i="23"/>
  <c r="M384" i="23"/>
  <c r="M383" i="23"/>
  <c r="M382" i="23"/>
  <c r="M381" i="23"/>
  <c r="M380" i="23"/>
  <c r="M379" i="23"/>
  <c r="M378" i="23"/>
  <c r="M377" i="23"/>
  <c r="M376" i="23"/>
  <c r="M375" i="23"/>
  <c r="M374" i="23"/>
  <c r="M373" i="23"/>
  <c r="M372" i="23"/>
  <c r="M371" i="23"/>
  <c r="M370" i="23"/>
  <c r="M369" i="23"/>
  <c r="M368" i="23"/>
  <c r="M367" i="23"/>
  <c r="M366" i="23"/>
  <c r="M365" i="23"/>
  <c r="M364" i="23"/>
  <c r="M363" i="23"/>
  <c r="M362" i="23"/>
  <c r="M361" i="23"/>
  <c r="M360" i="23"/>
  <c r="M359" i="23"/>
  <c r="M358" i="23"/>
  <c r="M357" i="23"/>
  <c r="M356" i="23"/>
  <c r="M355" i="23"/>
  <c r="M354" i="23"/>
  <c r="M353" i="23"/>
  <c r="M352" i="23"/>
  <c r="M351" i="23"/>
  <c r="M350" i="23"/>
  <c r="M349" i="23"/>
  <c r="M348" i="23"/>
  <c r="M347" i="23"/>
  <c r="M346" i="23"/>
  <c r="M345" i="23"/>
  <c r="M344" i="23"/>
  <c r="M343" i="23"/>
  <c r="M342" i="23"/>
  <c r="M341" i="23"/>
  <c r="M340" i="23"/>
  <c r="M339" i="23"/>
  <c r="M338" i="23"/>
  <c r="M337" i="23"/>
  <c r="M336" i="23"/>
  <c r="M335" i="23"/>
  <c r="M334" i="23"/>
  <c r="M333" i="23"/>
  <c r="M332" i="23"/>
  <c r="M331" i="23"/>
  <c r="M330" i="23"/>
  <c r="M329" i="23"/>
  <c r="M328" i="23"/>
  <c r="M327" i="23"/>
  <c r="M326" i="23"/>
  <c r="M325" i="23"/>
  <c r="M324" i="23"/>
  <c r="M323" i="23"/>
  <c r="M322" i="23"/>
  <c r="M321" i="23"/>
  <c r="M320" i="23"/>
  <c r="M319" i="23"/>
  <c r="M318" i="23"/>
  <c r="M317" i="23"/>
  <c r="M316" i="23"/>
  <c r="M315" i="23"/>
  <c r="M314" i="23"/>
  <c r="M313" i="23"/>
  <c r="M312" i="23"/>
  <c r="M311" i="23"/>
  <c r="M310" i="23"/>
  <c r="M309" i="23"/>
  <c r="M308" i="23"/>
  <c r="M307" i="23"/>
  <c r="M306" i="23"/>
  <c r="M305" i="23"/>
  <c r="M304" i="23"/>
  <c r="M303" i="23"/>
  <c r="M302" i="23"/>
  <c r="M301" i="23"/>
  <c r="M300" i="23"/>
  <c r="M299" i="23"/>
  <c r="M298" i="23"/>
  <c r="M297" i="23"/>
  <c r="M296" i="23"/>
  <c r="M295" i="23"/>
  <c r="M294" i="23"/>
  <c r="M293" i="23"/>
  <c r="M292" i="23"/>
  <c r="M291" i="23"/>
  <c r="M290" i="23"/>
  <c r="M289" i="23"/>
  <c r="M288" i="23"/>
  <c r="M287" i="23"/>
  <c r="M286" i="23"/>
  <c r="M285" i="23"/>
  <c r="M284" i="23"/>
  <c r="M283" i="23"/>
  <c r="M282" i="23"/>
  <c r="M269" i="23"/>
  <c r="M268" i="23"/>
  <c r="M267" i="23"/>
  <c r="M266" i="23"/>
  <c r="M265" i="23"/>
  <c r="M264" i="23"/>
  <c r="M263" i="23"/>
  <c r="M262" i="23"/>
  <c r="M261" i="23"/>
  <c r="M260" i="23"/>
  <c r="M259" i="23"/>
  <c r="M258" i="23"/>
  <c r="M257" i="23"/>
  <c r="M243" i="23"/>
  <c r="M242" i="23"/>
  <c r="M241" i="23"/>
  <c r="M240" i="23"/>
  <c r="M234" i="23"/>
  <c r="M233" i="23"/>
  <c r="M232" i="23"/>
  <c r="M231" i="23"/>
  <c r="M228" i="23"/>
  <c r="M227" i="23"/>
  <c r="M226" i="23"/>
  <c r="M225" i="23"/>
  <c r="M224" i="23"/>
  <c r="M223" i="23"/>
  <c r="M222" i="23"/>
  <c r="M221" i="23"/>
  <c r="M220" i="23"/>
  <c r="M219" i="23"/>
  <c r="M218" i="23"/>
  <c r="M217" i="23"/>
  <c r="M216" i="23"/>
  <c r="M215" i="23"/>
  <c r="M214" i="23"/>
  <c r="M213" i="23"/>
  <c r="M212" i="23"/>
  <c r="M211" i="23"/>
  <c r="M210" i="23"/>
  <c r="M209" i="23"/>
  <c r="M208" i="23"/>
  <c r="M207" i="23"/>
  <c r="M206" i="23"/>
  <c r="M205" i="23"/>
  <c r="M204" i="23"/>
  <c r="M203" i="23"/>
  <c r="M202" i="23"/>
  <c r="M201" i="23"/>
  <c r="M200" i="23"/>
  <c r="M199" i="23"/>
  <c r="M198" i="23"/>
  <c r="M197" i="23"/>
  <c r="M196" i="23"/>
  <c r="M195" i="23"/>
  <c r="M194" i="23"/>
  <c r="M193" i="23"/>
  <c r="M192" i="23"/>
  <c r="M189" i="23"/>
  <c r="M188" i="23"/>
  <c r="M187" i="23"/>
  <c r="M186" i="23"/>
  <c r="M185" i="23"/>
  <c r="M184" i="23"/>
  <c r="M183" i="23"/>
  <c r="M182" i="23"/>
  <c r="M181" i="23"/>
  <c r="M180" i="23"/>
  <c r="M179" i="23"/>
  <c r="M178" i="23"/>
  <c r="M177" i="23"/>
  <c r="M176" i="23"/>
  <c r="M175" i="23"/>
  <c r="M174" i="23"/>
  <c r="M173" i="23"/>
  <c r="M172" i="23"/>
  <c r="M171" i="23"/>
  <c r="M170" i="23"/>
  <c r="M169" i="23"/>
  <c r="M168" i="23"/>
  <c r="M167" i="23"/>
  <c r="M166" i="23"/>
  <c r="M165" i="23"/>
  <c r="M164" i="23"/>
  <c r="M163" i="23"/>
  <c r="M162" i="23"/>
  <c r="M161" i="23"/>
  <c r="M160" i="23"/>
  <c r="M159" i="23"/>
  <c r="M158" i="23"/>
  <c r="M157" i="23"/>
  <c r="M156" i="23"/>
  <c r="M155" i="23"/>
  <c r="M154" i="23"/>
  <c r="M153" i="23"/>
  <c r="M152" i="23"/>
  <c r="M151" i="23"/>
  <c r="M150" i="23"/>
  <c r="M149" i="23"/>
  <c r="M148" i="23"/>
  <c r="M147" i="23"/>
  <c r="M146" i="23"/>
  <c r="M145" i="23"/>
  <c r="M144" i="23"/>
  <c r="M143" i="23"/>
  <c r="M142" i="23"/>
  <c r="M141" i="23"/>
  <c r="M140" i="23"/>
  <c r="M139" i="23"/>
  <c r="M138" i="23"/>
  <c r="M137" i="23"/>
  <c r="M136" i="23"/>
  <c r="M135" i="23"/>
  <c r="M134" i="23"/>
  <c r="M133" i="23"/>
  <c r="M132" i="23"/>
  <c r="M131" i="23"/>
  <c r="M130" i="23"/>
  <c r="M129" i="23"/>
  <c r="M128" i="23"/>
  <c r="M127" i="23"/>
  <c r="M126" i="23"/>
  <c r="M125" i="23"/>
  <c r="M124" i="23"/>
  <c r="M123" i="23"/>
  <c r="M122" i="23"/>
  <c r="M121" i="23"/>
  <c r="M120" i="23"/>
  <c r="M119" i="23"/>
  <c r="M118" i="23"/>
  <c r="M117" i="23"/>
  <c r="M116" i="23"/>
  <c r="M115" i="23"/>
  <c r="M114" i="23"/>
  <c r="M113" i="23"/>
  <c r="M112" i="23"/>
  <c r="M111" i="23"/>
  <c r="M110" i="23"/>
  <c r="M109" i="23"/>
  <c r="M108" i="23"/>
  <c r="M107" i="23"/>
  <c r="M106" i="23"/>
  <c r="M105" i="23"/>
  <c r="M104" i="23"/>
  <c r="M103" i="23"/>
  <c r="M102" i="23"/>
  <c r="M101" i="23"/>
  <c r="M100" i="23"/>
  <c r="M99" i="23"/>
  <c r="M98" i="23"/>
  <c r="M97" i="23"/>
  <c r="M96" i="23"/>
  <c r="M95" i="23"/>
  <c r="M94" i="23"/>
  <c r="M93" i="23"/>
  <c r="M92" i="23"/>
  <c r="M91" i="23"/>
  <c r="M90" i="23"/>
  <c r="M89" i="23"/>
  <c r="M88" i="23"/>
  <c r="M87" i="23"/>
  <c r="M86" i="23"/>
  <c r="M85" i="23"/>
  <c r="M84" i="23"/>
  <c r="M83" i="23"/>
  <c r="M82" i="23"/>
  <c r="M81" i="23"/>
  <c r="M80" i="23"/>
  <c r="M79" i="23"/>
  <c r="M78" i="23"/>
  <c r="M77" i="23"/>
  <c r="M76" i="23"/>
  <c r="M75" i="23"/>
  <c r="M74" i="23"/>
  <c r="M73" i="23"/>
  <c r="M72" i="23"/>
  <c r="M71" i="23"/>
  <c r="M70" i="23"/>
  <c r="M69" i="23"/>
  <c r="M68" i="23"/>
  <c r="M67" i="23"/>
  <c r="M66" i="23"/>
  <c r="M65" i="23"/>
  <c r="M64" i="23"/>
  <c r="M63" i="23"/>
  <c r="M62" i="23"/>
  <c r="M61" i="23"/>
  <c r="M60" i="23"/>
  <c r="M59" i="23"/>
  <c r="M58" i="23"/>
  <c r="M57" i="23"/>
  <c r="M56" i="23"/>
  <c r="M55" i="23"/>
  <c r="M54" i="23"/>
  <c r="M53" i="23"/>
  <c r="M52" i="23"/>
  <c r="M51" i="23"/>
  <c r="M50" i="23"/>
  <c r="M49" i="23"/>
  <c r="M48" i="23"/>
  <c r="M47" i="23"/>
  <c r="M46" i="23"/>
  <c r="M45" i="23"/>
  <c r="M44" i="23"/>
  <c r="M43" i="23"/>
  <c r="M42" i="23"/>
  <c r="M41" i="23"/>
  <c r="K622" i="23"/>
  <c r="I622" i="23"/>
  <c r="K621" i="23"/>
  <c r="I621" i="23"/>
  <c r="K620" i="23"/>
  <c r="I620" i="23"/>
  <c r="K619" i="23"/>
  <c r="I619" i="23"/>
  <c r="K618" i="23"/>
  <c r="I618" i="23"/>
  <c r="K617" i="23"/>
  <c r="I617" i="23"/>
  <c r="K616" i="23"/>
  <c r="I616" i="23"/>
  <c r="K615" i="23"/>
  <c r="I615" i="23"/>
  <c r="K614" i="23"/>
  <c r="I614" i="23"/>
  <c r="K613" i="23"/>
  <c r="I613" i="23"/>
  <c r="K612" i="23"/>
  <c r="I612" i="23"/>
  <c r="K611" i="23"/>
  <c r="I611" i="23"/>
  <c r="K610" i="23"/>
  <c r="I610" i="23"/>
  <c r="K609" i="23"/>
  <c r="I609" i="23"/>
  <c r="K608" i="23"/>
  <c r="I608" i="23"/>
  <c r="K607" i="23"/>
  <c r="I607" i="23"/>
  <c r="K606" i="23"/>
  <c r="I606" i="23"/>
  <c r="K605" i="23"/>
  <c r="I605" i="23"/>
  <c r="K604" i="23"/>
  <c r="I604" i="23"/>
  <c r="K603" i="23"/>
  <c r="I603" i="23"/>
  <c r="K602" i="23"/>
  <c r="I602" i="23"/>
  <c r="K601" i="23"/>
  <c r="I601" i="23"/>
  <c r="K600" i="23"/>
  <c r="I600" i="23"/>
  <c r="K599" i="23"/>
  <c r="I599" i="23"/>
  <c r="K598" i="23"/>
  <c r="I598" i="23"/>
  <c r="K597" i="23"/>
  <c r="I597" i="23"/>
  <c r="K596" i="23"/>
  <c r="I596" i="23"/>
  <c r="K595" i="23"/>
  <c r="I595" i="23"/>
  <c r="K594" i="23"/>
  <c r="I594" i="23"/>
  <c r="K593" i="23"/>
  <c r="I593" i="23"/>
  <c r="K592" i="23"/>
  <c r="I592" i="23"/>
  <c r="K591" i="23"/>
  <c r="I591" i="23"/>
  <c r="K590" i="23"/>
  <c r="I590" i="23"/>
  <c r="K589" i="23"/>
  <c r="I589" i="23"/>
  <c r="K588" i="23"/>
  <c r="I588" i="23"/>
  <c r="K587" i="23"/>
  <c r="I587" i="23"/>
  <c r="K586" i="23"/>
  <c r="I586" i="23"/>
  <c r="K585" i="23"/>
  <c r="I585" i="23"/>
  <c r="K584" i="23"/>
  <c r="I584" i="23"/>
  <c r="K583" i="23"/>
  <c r="I583" i="23"/>
  <c r="K582" i="23"/>
  <c r="I582" i="23"/>
  <c r="K581" i="23"/>
  <c r="I581" i="23"/>
  <c r="K580" i="23"/>
  <c r="I580" i="23"/>
  <c r="K579" i="23"/>
  <c r="I579" i="23"/>
  <c r="K578" i="23"/>
  <c r="I578" i="23"/>
  <c r="K577" i="23"/>
  <c r="I577" i="23"/>
  <c r="K576" i="23"/>
  <c r="I576" i="23"/>
  <c r="K575" i="23"/>
  <c r="I575" i="23"/>
  <c r="K574" i="23"/>
  <c r="I574" i="23"/>
  <c r="K573" i="23"/>
  <c r="I573" i="23"/>
  <c r="K572" i="23"/>
  <c r="I572" i="23"/>
  <c r="K571" i="23"/>
  <c r="I571" i="23"/>
  <c r="K570" i="23"/>
  <c r="I570" i="23"/>
  <c r="K569" i="23"/>
  <c r="I569" i="23"/>
  <c r="K568" i="23"/>
  <c r="I568" i="23"/>
  <c r="K567" i="23"/>
  <c r="I567" i="23"/>
  <c r="K566" i="23"/>
  <c r="I566" i="23"/>
  <c r="K565" i="23"/>
  <c r="I565" i="23"/>
  <c r="K564" i="23"/>
  <c r="I564" i="23"/>
  <c r="K563" i="23"/>
  <c r="I563" i="23"/>
  <c r="K562" i="23"/>
  <c r="I562" i="23"/>
  <c r="K561" i="23"/>
  <c r="I561" i="23"/>
  <c r="K560" i="23"/>
  <c r="I560" i="23"/>
  <c r="K559" i="23"/>
  <c r="I559" i="23"/>
  <c r="K558" i="23"/>
  <c r="I558" i="23"/>
  <c r="K557" i="23"/>
  <c r="I557" i="23"/>
  <c r="K556" i="23"/>
  <c r="I556" i="23"/>
  <c r="K555" i="23"/>
  <c r="I555" i="23"/>
  <c r="K554" i="23"/>
  <c r="I554" i="23"/>
  <c r="K553" i="23"/>
  <c r="I553" i="23"/>
  <c r="K552" i="23"/>
  <c r="I552" i="23"/>
  <c r="K551" i="23"/>
  <c r="I551" i="23"/>
  <c r="K550" i="23"/>
  <c r="I550" i="23"/>
  <c r="K549" i="23"/>
  <c r="I549" i="23"/>
  <c r="K548" i="23"/>
  <c r="I548" i="23"/>
  <c r="K547" i="23"/>
  <c r="I547" i="23"/>
  <c r="K546" i="23"/>
  <c r="I546" i="23"/>
  <c r="K545" i="23"/>
  <c r="I545" i="23"/>
  <c r="K544" i="23"/>
  <c r="I544" i="23"/>
  <c r="K543" i="23"/>
  <c r="I543" i="23"/>
  <c r="K542" i="23"/>
  <c r="I542" i="23"/>
  <c r="K541" i="23"/>
  <c r="I541" i="23"/>
  <c r="K540" i="23"/>
  <c r="I540" i="23"/>
  <c r="K539" i="23"/>
  <c r="I539" i="23"/>
  <c r="K538" i="23"/>
  <c r="I538" i="23"/>
  <c r="K537" i="23"/>
  <c r="I537" i="23"/>
  <c r="K536" i="23"/>
  <c r="I536" i="23"/>
  <c r="K535" i="23"/>
  <c r="I535" i="23"/>
  <c r="K534" i="23"/>
  <c r="I534" i="23"/>
  <c r="K533" i="23"/>
  <c r="I533" i="23"/>
  <c r="K532" i="23"/>
  <c r="I532" i="23"/>
  <c r="K531" i="23"/>
  <c r="I531" i="23"/>
  <c r="K530" i="23"/>
  <c r="I530" i="23"/>
  <c r="K529" i="23"/>
  <c r="I529" i="23"/>
  <c r="K528" i="23"/>
  <c r="I528" i="23"/>
  <c r="K527" i="23"/>
  <c r="I527" i="23"/>
  <c r="K526" i="23"/>
  <c r="I526" i="23"/>
  <c r="K525" i="23"/>
  <c r="I525" i="23"/>
  <c r="K524" i="23"/>
  <c r="I524" i="23"/>
  <c r="K523" i="23"/>
  <c r="I523" i="23"/>
  <c r="K522" i="23"/>
  <c r="I522" i="23"/>
  <c r="K521" i="23"/>
  <c r="I521" i="23"/>
  <c r="K520" i="23"/>
  <c r="I520" i="23"/>
  <c r="K519" i="23"/>
  <c r="I519" i="23"/>
  <c r="K518" i="23"/>
  <c r="I518" i="23"/>
  <c r="K517" i="23"/>
  <c r="I517" i="23"/>
  <c r="K516" i="23"/>
  <c r="I516" i="23"/>
  <c r="K515" i="23"/>
  <c r="I515" i="23"/>
  <c r="K514" i="23"/>
  <c r="I514" i="23"/>
  <c r="K513" i="23"/>
  <c r="I513" i="23"/>
  <c r="K512" i="23"/>
  <c r="I512" i="23"/>
  <c r="K511" i="23"/>
  <c r="I511" i="23"/>
  <c r="K510" i="23"/>
  <c r="I510" i="23"/>
  <c r="K509" i="23"/>
  <c r="I509" i="23"/>
  <c r="K508" i="23"/>
  <c r="I508" i="23"/>
  <c r="K507" i="23"/>
  <c r="I507" i="23"/>
  <c r="K506" i="23"/>
  <c r="I506" i="23"/>
  <c r="K505" i="23"/>
  <c r="I505" i="23"/>
  <c r="K504" i="23"/>
  <c r="I504" i="23"/>
  <c r="K503" i="23"/>
  <c r="I503" i="23"/>
  <c r="K502" i="23"/>
  <c r="I502" i="23"/>
  <c r="K501" i="23"/>
  <c r="I501" i="23"/>
  <c r="K500" i="23"/>
  <c r="I500" i="23"/>
  <c r="K499" i="23"/>
  <c r="I499" i="23"/>
  <c r="K498" i="23"/>
  <c r="I498" i="23"/>
  <c r="K497" i="23"/>
  <c r="I497" i="23"/>
  <c r="K496" i="23"/>
  <c r="I496" i="23"/>
  <c r="K495" i="23"/>
  <c r="I495" i="23"/>
  <c r="K494" i="23"/>
  <c r="I494" i="23"/>
  <c r="K493" i="23"/>
  <c r="I493" i="23"/>
  <c r="K492" i="23"/>
  <c r="I492" i="23"/>
  <c r="K491" i="23"/>
  <c r="I491" i="23"/>
  <c r="K490" i="23"/>
  <c r="I490" i="23"/>
  <c r="K489" i="23"/>
  <c r="I489" i="23"/>
  <c r="K488" i="23"/>
  <c r="I488" i="23"/>
  <c r="K487" i="23"/>
  <c r="I487" i="23"/>
  <c r="K486" i="23"/>
  <c r="I486" i="23"/>
  <c r="K485" i="23"/>
  <c r="I485" i="23"/>
  <c r="K484" i="23"/>
  <c r="I484" i="23"/>
  <c r="K483" i="23"/>
  <c r="I483" i="23"/>
  <c r="K482" i="23"/>
  <c r="I482" i="23"/>
  <c r="K481" i="23"/>
  <c r="I481" i="23"/>
  <c r="K480" i="23"/>
  <c r="I480" i="23"/>
  <c r="K479" i="23"/>
  <c r="I479" i="23"/>
  <c r="K478" i="23"/>
  <c r="I478" i="23"/>
  <c r="K477" i="23"/>
  <c r="I477" i="23"/>
  <c r="K476" i="23"/>
  <c r="I476" i="23"/>
  <c r="K475" i="23"/>
  <c r="I475" i="23"/>
  <c r="K474" i="23"/>
  <c r="I474" i="23"/>
  <c r="K473" i="23"/>
  <c r="I473" i="23"/>
  <c r="K472" i="23"/>
  <c r="I472" i="23"/>
  <c r="K471" i="23"/>
  <c r="I471" i="23"/>
  <c r="K470" i="23"/>
  <c r="I470" i="23"/>
  <c r="K469" i="23"/>
  <c r="I469" i="23"/>
  <c r="K468" i="23"/>
  <c r="I468" i="23"/>
  <c r="K467" i="23"/>
  <c r="I467" i="23"/>
  <c r="K466" i="23"/>
  <c r="I466" i="23"/>
  <c r="K465" i="23"/>
  <c r="I465" i="23"/>
  <c r="K464" i="23"/>
  <c r="I464" i="23"/>
  <c r="K463" i="23"/>
  <c r="I463" i="23"/>
  <c r="K462" i="23"/>
  <c r="I462" i="23"/>
  <c r="K461" i="23"/>
  <c r="I461" i="23"/>
  <c r="K460" i="23"/>
  <c r="I460" i="23"/>
  <c r="K459" i="23"/>
  <c r="I459" i="23"/>
  <c r="K458" i="23"/>
  <c r="I458" i="23"/>
  <c r="K457" i="23"/>
  <c r="I457" i="23"/>
  <c r="K456" i="23"/>
  <c r="I456" i="23"/>
  <c r="K455" i="23"/>
  <c r="I455" i="23"/>
  <c r="K454" i="23"/>
  <c r="I454" i="23"/>
  <c r="K453" i="23"/>
  <c r="I453" i="23"/>
  <c r="K452" i="23"/>
  <c r="I452" i="23"/>
  <c r="K451" i="23"/>
  <c r="I451" i="23"/>
  <c r="K450" i="23"/>
  <c r="I450" i="23"/>
  <c r="K449" i="23"/>
  <c r="I449" i="23"/>
  <c r="K448" i="23"/>
  <c r="I448" i="23"/>
  <c r="K447" i="23"/>
  <c r="I447" i="23"/>
  <c r="K446" i="23"/>
  <c r="I446" i="23"/>
  <c r="K445" i="23"/>
  <c r="I445" i="23"/>
  <c r="K444" i="23"/>
  <c r="I444" i="23"/>
  <c r="K443" i="23"/>
  <c r="I443" i="23"/>
  <c r="K442" i="23"/>
  <c r="I442" i="23"/>
  <c r="K441" i="23"/>
  <c r="I441" i="23"/>
  <c r="K440" i="23"/>
  <c r="I440" i="23"/>
  <c r="K439" i="23"/>
  <c r="I439" i="23"/>
  <c r="K438" i="23"/>
  <c r="I438" i="23"/>
  <c r="K437" i="23"/>
  <c r="I437" i="23"/>
  <c r="K436" i="23"/>
  <c r="I436" i="23"/>
  <c r="K435" i="23"/>
  <c r="I435" i="23"/>
  <c r="K434" i="23"/>
  <c r="I434" i="23"/>
  <c r="K433" i="23"/>
  <c r="I433" i="23"/>
  <c r="K432" i="23"/>
  <c r="I432" i="23"/>
  <c r="K431" i="23"/>
  <c r="I431" i="23"/>
  <c r="K430" i="23"/>
  <c r="I430" i="23"/>
  <c r="K429" i="23"/>
  <c r="I429" i="23"/>
  <c r="K428" i="23"/>
  <c r="I428" i="23"/>
  <c r="K427" i="23"/>
  <c r="I427" i="23"/>
  <c r="K426" i="23"/>
  <c r="I426" i="23"/>
  <c r="K425" i="23"/>
  <c r="I425" i="23"/>
  <c r="K424" i="23"/>
  <c r="I424" i="23"/>
  <c r="K423" i="23"/>
  <c r="I423" i="23"/>
  <c r="K422" i="23"/>
  <c r="I422" i="23"/>
  <c r="K421" i="23"/>
  <c r="I421" i="23"/>
  <c r="K420" i="23"/>
  <c r="I420" i="23"/>
  <c r="K419" i="23"/>
  <c r="I419" i="23"/>
  <c r="K418" i="23"/>
  <c r="I418" i="23"/>
  <c r="K417" i="23"/>
  <c r="I417" i="23"/>
  <c r="K416" i="23"/>
  <c r="I416" i="23"/>
  <c r="K415" i="23"/>
  <c r="I415" i="23"/>
  <c r="K414" i="23"/>
  <c r="I414" i="23"/>
  <c r="K413" i="23"/>
  <c r="I413" i="23"/>
  <c r="K412" i="23"/>
  <c r="I412" i="23"/>
  <c r="K411" i="23"/>
  <c r="I411" i="23"/>
  <c r="K410" i="23"/>
  <c r="I410" i="23"/>
  <c r="K409" i="23"/>
  <c r="I409" i="23"/>
  <c r="K408" i="23"/>
  <c r="I408" i="23"/>
  <c r="K407" i="23"/>
  <c r="I407" i="23"/>
  <c r="K406" i="23"/>
  <c r="I406" i="23"/>
  <c r="K405" i="23"/>
  <c r="I405" i="23"/>
  <c r="K404" i="23"/>
  <c r="I404" i="23"/>
  <c r="K403" i="23"/>
  <c r="I403" i="23"/>
  <c r="K402" i="23"/>
  <c r="I402" i="23"/>
  <c r="K401" i="23"/>
  <c r="I401" i="23"/>
  <c r="K400" i="23"/>
  <c r="I400" i="23"/>
  <c r="K399" i="23"/>
  <c r="I399" i="23"/>
  <c r="K398" i="23"/>
  <c r="I398" i="23"/>
  <c r="K397" i="23"/>
  <c r="I397" i="23"/>
  <c r="K396" i="23"/>
  <c r="I396" i="23"/>
  <c r="K395" i="23"/>
  <c r="I395" i="23"/>
  <c r="K394" i="23"/>
  <c r="I394" i="23"/>
  <c r="K393" i="23"/>
  <c r="I393" i="23"/>
  <c r="K392" i="23"/>
  <c r="I392" i="23"/>
  <c r="K391" i="23"/>
  <c r="I391" i="23"/>
  <c r="K390" i="23"/>
  <c r="I390" i="23"/>
  <c r="K389" i="23"/>
  <c r="I389" i="23"/>
  <c r="K388" i="23"/>
  <c r="I388" i="23"/>
  <c r="K387" i="23"/>
  <c r="I387" i="23"/>
  <c r="K386" i="23"/>
  <c r="I386" i="23"/>
  <c r="K385" i="23"/>
  <c r="I385" i="23"/>
  <c r="K384" i="23"/>
  <c r="I384" i="23"/>
  <c r="K383" i="23"/>
  <c r="I383" i="23"/>
  <c r="K382" i="23"/>
  <c r="I382" i="23"/>
  <c r="K381" i="23"/>
  <c r="I381" i="23"/>
  <c r="K380" i="23"/>
  <c r="I380" i="23"/>
  <c r="K379" i="23"/>
  <c r="I379" i="23"/>
  <c r="K378" i="23"/>
  <c r="I378" i="23"/>
  <c r="K377" i="23"/>
  <c r="I377" i="23"/>
  <c r="K376" i="23"/>
  <c r="I376" i="23"/>
  <c r="K375" i="23"/>
  <c r="I375" i="23"/>
  <c r="K374" i="23"/>
  <c r="I374" i="23"/>
  <c r="K373" i="23"/>
  <c r="I373" i="23"/>
  <c r="K372" i="23"/>
  <c r="I372" i="23"/>
  <c r="K371" i="23"/>
  <c r="I371" i="23"/>
  <c r="K370" i="23"/>
  <c r="I370" i="23"/>
  <c r="K369" i="23"/>
  <c r="I369" i="23"/>
  <c r="K368" i="23"/>
  <c r="I368" i="23"/>
  <c r="K367" i="23"/>
  <c r="I367" i="23"/>
  <c r="K366" i="23"/>
  <c r="I366" i="23"/>
  <c r="K365" i="23"/>
  <c r="I365" i="23"/>
  <c r="K364" i="23"/>
  <c r="I364" i="23"/>
  <c r="K363" i="23"/>
  <c r="I363" i="23"/>
  <c r="K362" i="23"/>
  <c r="I362" i="23"/>
  <c r="K361" i="23"/>
  <c r="I361" i="23"/>
  <c r="K360" i="23"/>
  <c r="I360" i="23"/>
  <c r="K359" i="23"/>
  <c r="I359" i="23"/>
  <c r="K358" i="23"/>
  <c r="I358" i="23"/>
  <c r="K357" i="23"/>
  <c r="I357" i="23"/>
  <c r="K356" i="23"/>
  <c r="I356" i="23"/>
  <c r="K355" i="23"/>
  <c r="I355" i="23"/>
  <c r="K354" i="23"/>
  <c r="I354" i="23"/>
  <c r="K353" i="23"/>
  <c r="I353" i="23"/>
  <c r="K352" i="23"/>
  <c r="I352" i="23"/>
  <c r="K351" i="23"/>
  <c r="I351" i="23"/>
  <c r="K350" i="23"/>
  <c r="I350" i="23"/>
  <c r="K349" i="23"/>
  <c r="I349" i="23"/>
  <c r="K348" i="23"/>
  <c r="I348" i="23"/>
  <c r="K347" i="23"/>
  <c r="I347" i="23"/>
  <c r="K346" i="23"/>
  <c r="I346" i="23"/>
  <c r="K345" i="23"/>
  <c r="I345" i="23"/>
  <c r="K344" i="23"/>
  <c r="I344" i="23"/>
  <c r="K343" i="23"/>
  <c r="I343" i="23"/>
  <c r="K342" i="23"/>
  <c r="I342" i="23"/>
  <c r="K341" i="23"/>
  <c r="I341" i="23"/>
  <c r="K340" i="23"/>
  <c r="I340" i="23"/>
  <c r="K339" i="23"/>
  <c r="I339" i="23"/>
  <c r="K338" i="23"/>
  <c r="I338" i="23"/>
  <c r="K337" i="23"/>
  <c r="I337" i="23"/>
  <c r="K336" i="23"/>
  <c r="I336" i="23"/>
  <c r="K335" i="23"/>
  <c r="I335" i="23"/>
  <c r="K334" i="23"/>
  <c r="I334" i="23"/>
  <c r="K333" i="23"/>
  <c r="I333" i="23"/>
  <c r="K332" i="23"/>
  <c r="I332" i="23"/>
  <c r="K331" i="23"/>
  <c r="I331" i="23"/>
  <c r="K330" i="23"/>
  <c r="I330" i="23"/>
  <c r="K329" i="23"/>
  <c r="I329" i="23"/>
  <c r="K328" i="23"/>
  <c r="I328" i="23"/>
  <c r="K327" i="23"/>
  <c r="I327" i="23"/>
  <c r="K326" i="23"/>
  <c r="I326" i="23"/>
  <c r="K325" i="23"/>
  <c r="I325" i="23"/>
  <c r="K324" i="23"/>
  <c r="I324" i="23"/>
  <c r="K323" i="23"/>
  <c r="I323" i="23"/>
  <c r="K322" i="23"/>
  <c r="I322" i="23"/>
  <c r="K321" i="23"/>
  <c r="I321" i="23"/>
  <c r="K320" i="23"/>
  <c r="I320" i="23"/>
  <c r="K319" i="23"/>
  <c r="I319" i="23"/>
  <c r="K318" i="23"/>
  <c r="I318" i="23"/>
  <c r="K317" i="23"/>
  <c r="I317" i="23"/>
  <c r="K316" i="23"/>
  <c r="I316" i="23"/>
  <c r="K315" i="23"/>
  <c r="I315" i="23"/>
  <c r="K314" i="23"/>
  <c r="I314" i="23"/>
  <c r="K313" i="23"/>
  <c r="I313" i="23"/>
  <c r="K312" i="23"/>
  <c r="I312" i="23"/>
  <c r="K311" i="23"/>
  <c r="I311" i="23"/>
  <c r="K310" i="23"/>
  <c r="I310" i="23"/>
  <c r="K309" i="23"/>
  <c r="I309" i="23"/>
  <c r="K308" i="23"/>
  <c r="I308" i="23"/>
  <c r="K307" i="23"/>
  <c r="I307" i="23"/>
  <c r="K306" i="23"/>
  <c r="I306" i="23"/>
  <c r="K305" i="23"/>
  <c r="I305" i="23"/>
  <c r="K304" i="23"/>
  <c r="I304" i="23"/>
  <c r="K303" i="23"/>
  <c r="I303" i="23"/>
  <c r="K302" i="23"/>
  <c r="I302" i="23"/>
  <c r="K301" i="23"/>
  <c r="I301" i="23"/>
  <c r="K300" i="23"/>
  <c r="I300" i="23"/>
  <c r="K299" i="23"/>
  <c r="I299" i="23"/>
  <c r="K298" i="23"/>
  <c r="I298" i="23"/>
  <c r="K297" i="23"/>
  <c r="I297" i="23"/>
  <c r="K296" i="23"/>
  <c r="I296" i="23"/>
  <c r="K295" i="23"/>
  <c r="I295" i="23"/>
  <c r="K294" i="23"/>
  <c r="I294" i="23"/>
  <c r="K293" i="23"/>
  <c r="I293" i="23"/>
  <c r="K292" i="23"/>
  <c r="I292" i="23"/>
  <c r="K291" i="23"/>
  <c r="I291" i="23"/>
  <c r="K290" i="23"/>
  <c r="I290" i="23"/>
  <c r="K289" i="23"/>
  <c r="I289" i="23"/>
  <c r="K288" i="23"/>
  <c r="I288" i="23"/>
  <c r="K287" i="23"/>
  <c r="I287" i="23"/>
  <c r="K286" i="23"/>
  <c r="I286" i="23"/>
  <c r="K285" i="23"/>
  <c r="I285" i="23"/>
  <c r="K284" i="23"/>
  <c r="I284" i="23"/>
  <c r="K283" i="23"/>
  <c r="I283" i="23"/>
  <c r="K282" i="23"/>
  <c r="I282" i="23"/>
  <c r="K269" i="23"/>
  <c r="I269" i="23"/>
  <c r="K268" i="23"/>
  <c r="I268" i="23"/>
  <c r="K267" i="23"/>
  <c r="I267" i="23"/>
  <c r="K266" i="23"/>
  <c r="I266" i="23"/>
  <c r="K265" i="23"/>
  <c r="I265" i="23"/>
  <c r="K264" i="23"/>
  <c r="I264" i="23"/>
  <c r="K263" i="23"/>
  <c r="I263" i="23"/>
  <c r="K262" i="23"/>
  <c r="I262" i="23"/>
  <c r="K261" i="23"/>
  <c r="I261" i="23"/>
  <c r="K260" i="23"/>
  <c r="I260" i="23"/>
  <c r="K259" i="23"/>
  <c r="I259" i="23"/>
  <c r="K258" i="23"/>
  <c r="I258" i="23"/>
  <c r="K257" i="23"/>
  <c r="I257" i="23"/>
  <c r="K243" i="23"/>
  <c r="I243" i="23"/>
  <c r="K242" i="23"/>
  <c r="I242" i="23"/>
  <c r="K241" i="23"/>
  <c r="I241" i="23"/>
  <c r="K240" i="23"/>
  <c r="I240" i="23"/>
  <c r="K234" i="23"/>
  <c r="I234" i="23"/>
  <c r="K233" i="23"/>
  <c r="I233" i="23"/>
  <c r="K232" i="23"/>
  <c r="I232" i="23"/>
  <c r="K231" i="23"/>
  <c r="I231" i="23"/>
  <c r="K228" i="23"/>
  <c r="I228" i="23"/>
  <c r="K227" i="23"/>
  <c r="I227" i="23"/>
  <c r="K226" i="23"/>
  <c r="I226" i="23"/>
  <c r="K225" i="23"/>
  <c r="I225" i="23"/>
  <c r="K224" i="23"/>
  <c r="I224" i="23"/>
  <c r="K223" i="23"/>
  <c r="I223" i="23"/>
  <c r="K222" i="23"/>
  <c r="I222" i="23"/>
  <c r="K221" i="23"/>
  <c r="I221" i="23"/>
  <c r="K220" i="23"/>
  <c r="I220" i="23"/>
  <c r="K219" i="23"/>
  <c r="I219" i="23"/>
  <c r="K218" i="23"/>
  <c r="I218" i="23"/>
  <c r="K217" i="23"/>
  <c r="I217" i="23"/>
  <c r="K216" i="23"/>
  <c r="I216" i="23"/>
  <c r="K215" i="23"/>
  <c r="I215" i="23"/>
  <c r="K214" i="23"/>
  <c r="I214" i="23"/>
  <c r="K213" i="23"/>
  <c r="I213" i="23"/>
  <c r="K212" i="23"/>
  <c r="I212" i="23"/>
  <c r="K211" i="23"/>
  <c r="I211" i="23"/>
  <c r="K210" i="23"/>
  <c r="I210" i="23"/>
  <c r="K209" i="23"/>
  <c r="I209" i="23"/>
  <c r="K208" i="23"/>
  <c r="I208" i="23"/>
  <c r="K207" i="23"/>
  <c r="I207" i="23"/>
  <c r="K206" i="23"/>
  <c r="I206" i="23"/>
  <c r="K205" i="23"/>
  <c r="I205" i="23"/>
  <c r="K204" i="23"/>
  <c r="I204" i="23"/>
  <c r="K203" i="23"/>
  <c r="I203" i="23"/>
  <c r="K202" i="23"/>
  <c r="I202" i="23"/>
  <c r="K201" i="23"/>
  <c r="I201" i="23"/>
  <c r="K200" i="23"/>
  <c r="I200" i="23"/>
  <c r="K199" i="23"/>
  <c r="I199" i="23"/>
  <c r="K198" i="23"/>
  <c r="I198" i="23"/>
  <c r="K197" i="23"/>
  <c r="I197" i="23"/>
  <c r="K196" i="23"/>
  <c r="I196" i="23"/>
  <c r="K195" i="23"/>
  <c r="I195" i="23"/>
  <c r="K194" i="23"/>
  <c r="I194" i="23"/>
  <c r="K193" i="23"/>
  <c r="I193" i="23"/>
  <c r="K192" i="23"/>
  <c r="I192" i="23"/>
  <c r="K189" i="23"/>
  <c r="I189" i="23"/>
  <c r="K188" i="23"/>
  <c r="I188" i="23"/>
  <c r="K187" i="23"/>
  <c r="I187" i="23"/>
  <c r="K186" i="23"/>
  <c r="I186" i="23"/>
  <c r="K185" i="23"/>
  <c r="I185" i="23"/>
  <c r="K184" i="23"/>
  <c r="I184" i="23"/>
  <c r="K183" i="23"/>
  <c r="I183" i="23"/>
  <c r="K182" i="23"/>
  <c r="I182" i="23"/>
  <c r="K181" i="23"/>
  <c r="I181" i="23"/>
  <c r="K180" i="23"/>
  <c r="I180" i="23"/>
  <c r="K179" i="23"/>
  <c r="I179" i="23"/>
  <c r="K178" i="23"/>
  <c r="I178" i="23"/>
  <c r="K177" i="23"/>
  <c r="I177" i="23"/>
  <c r="K176" i="23"/>
  <c r="I176" i="23"/>
  <c r="K175" i="23"/>
  <c r="I175" i="23"/>
  <c r="K174" i="23"/>
  <c r="I174" i="23"/>
  <c r="K173" i="23"/>
  <c r="I173" i="23"/>
  <c r="K172" i="23"/>
  <c r="I172" i="23"/>
  <c r="K171" i="23"/>
  <c r="I171" i="23"/>
  <c r="K170" i="23"/>
  <c r="I170" i="23"/>
  <c r="K169" i="23"/>
  <c r="I169" i="23"/>
  <c r="K168" i="23"/>
  <c r="I168" i="23"/>
  <c r="K167" i="23"/>
  <c r="I167" i="23"/>
  <c r="K166" i="23"/>
  <c r="I166" i="23"/>
  <c r="K165" i="23"/>
  <c r="I165" i="23"/>
  <c r="K164" i="23"/>
  <c r="I164" i="23"/>
  <c r="K163" i="23"/>
  <c r="I163" i="23"/>
  <c r="K162" i="23"/>
  <c r="I162" i="23"/>
  <c r="K161" i="23"/>
  <c r="I161" i="23"/>
  <c r="K160" i="23"/>
  <c r="I160" i="23"/>
  <c r="K159" i="23"/>
  <c r="I159" i="23"/>
  <c r="K158" i="23"/>
  <c r="I158" i="23"/>
  <c r="K157" i="23"/>
  <c r="I157" i="23"/>
  <c r="K156" i="23"/>
  <c r="I156" i="23"/>
  <c r="K155" i="23"/>
  <c r="I155" i="23"/>
  <c r="K154" i="23"/>
  <c r="I154" i="23"/>
  <c r="K153" i="23"/>
  <c r="I153" i="23"/>
  <c r="K152" i="23"/>
  <c r="I152" i="23"/>
  <c r="K151" i="23"/>
  <c r="I151" i="23"/>
  <c r="K150" i="23"/>
  <c r="I150" i="23"/>
  <c r="K149" i="23"/>
  <c r="I149" i="23"/>
  <c r="K148" i="23"/>
  <c r="I148" i="23"/>
  <c r="K147" i="23"/>
  <c r="I147" i="23"/>
  <c r="K146" i="23"/>
  <c r="I146" i="23"/>
  <c r="K145" i="23"/>
  <c r="I145" i="23"/>
  <c r="K144" i="23"/>
  <c r="I144" i="23"/>
  <c r="K143" i="23"/>
  <c r="I143" i="23"/>
  <c r="K142" i="23"/>
  <c r="I142" i="23"/>
  <c r="K141" i="23"/>
  <c r="I141" i="23"/>
  <c r="K140" i="23"/>
  <c r="I140" i="23"/>
  <c r="K139" i="23"/>
  <c r="I139" i="23"/>
  <c r="K138" i="23"/>
  <c r="I138" i="23"/>
  <c r="K137" i="23"/>
  <c r="I137" i="23"/>
  <c r="K136" i="23"/>
  <c r="I136" i="23"/>
  <c r="K135" i="23"/>
  <c r="I135" i="23"/>
  <c r="K134" i="23"/>
  <c r="I134" i="23"/>
  <c r="K133" i="23"/>
  <c r="I133" i="23"/>
  <c r="K132" i="23"/>
  <c r="I132" i="23"/>
  <c r="K131" i="23"/>
  <c r="I131" i="23"/>
  <c r="K130" i="23"/>
  <c r="I130" i="23"/>
  <c r="K129" i="23"/>
  <c r="I129" i="23"/>
  <c r="K128" i="23"/>
  <c r="I128" i="23"/>
  <c r="K127" i="23"/>
  <c r="I127" i="23"/>
  <c r="K126" i="23"/>
  <c r="I126" i="23"/>
  <c r="K125" i="23"/>
  <c r="I125" i="23"/>
  <c r="K124" i="23"/>
  <c r="I124" i="23"/>
  <c r="K123" i="23"/>
  <c r="I123" i="23"/>
  <c r="K122" i="23"/>
  <c r="I122" i="23"/>
  <c r="K121" i="23"/>
  <c r="I121" i="23"/>
  <c r="K120" i="23"/>
  <c r="I120" i="23"/>
  <c r="K119" i="23"/>
  <c r="I119" i="23"/>
  <c r="K118" i="23"/>
  <c r="I118" i="23"/>
  <c r="K117" i="23"/>
  <c r="I117" i="23"/>
  <c r="K116" i="23"/>
  <c r="I116" i="23"/>
  <c r="K115" i="23"/>
  <c r="I115" i="23"/>
  <c r="K114" i="23"/>
  <c r="I114" i="23"/>
  <c r="K113" i="23"/>
  <c r="I113" i="23"/>
  <c r="K112" i="23"/>
  <c r="I112" i="23"/>
  <c r="K111" i="23"/>
  <c r="I111" i="23"/>
  <c r="K110" i="23"/>
  <c r="I110" i="23"/>
  <c r="K109" i="23"/>
  <c r="I109" i="23"/>
  <c r="K108" i="23"/>
  <c r="I108" i="23"/>
  <c r="K107" i="23"/>
  <c r="I107" i="23"/>
  <c r="K106" i="23"/>
  <c r="I106" i="23"/>
  <c r="K105" i="23"/>
  <c r="I105" i="23"/>
  <c r="K104" i="23"/>
  <c r="I104" i="23"/>
  <c r="K103" i="23"/>
  <c r="I103" i="23"/>
  <c r="K102" i="23"/>
  <c r="I102" i="23"/>
  <c r="K101" i="23"/>
  <c r="I101" i="23"/>
  <c r="K100" i="23"/>
  <c r="I100" i="23"/>
  <c r="K99" i="23"/>
  <c r="I99" i="23"/>
  <c r="K98" i="23"/>
  <c r="I98" i="23"/>
  <c r="K97" i="23"/>
  <c r="I97" i="23"/>
  <c r="K96" i="23"/>
  <c r="I96" i="23"/>
  <c r="K95" i="23"/>
  <c r="I95" i="23"/>
  <c r="K94" i="23"/>
  <c r="I94" i="23"/>
  <c r="K93" i="23"/>
  <c r="I93" i="23"/>
  <c r="K92" i="23"/>
  <c r="I92" i="23"/>
  <c r="K91" i="23"/>
  <c r="I91" i="23"/>
  <c r="K90" i="23"/>
  <c r="I90" i="23"/>
  <c r="K89" i="23"/>
  <c r="I89" i="23"/>
  <c r="K88" i="23"/>
  <c r="I88" i="23"/>
  <c r="K87" i="23"/>
  <c r="I87" i="23"/>
  <c r="K86" i="23"/>
  <c r="I86" i="23"/>
  <c r="K85" i="23"/>
  <c r="I85" i="23"/>
  <c r="K84" i="23"/>
  <c r="I84" i="23"/>
  <c r="K83" i="23"/>
  <c r="I83" i="23"/>
  <c r="K82" i="23"/>
  <c r="I82" i="23"/>
  <c r="K81" i="23"/>
  <c r="I81" i="23"/>
  <c r="K80" i="23"/>
  <c r="I80" i="23"/>
  <c r="K79" i="23"/>
  <c r="I79" i="23"/>
  <c r="K78" i="23"/>
  <c r="I78" i="23"/>
  <c r="K77" i="23"/>
  <c r="I77" i="23"/>
  <c r="K76" i="23"/>
  <c r="I76" i="23"/>
  <c r="K75" i="23"/>
  <c r="I75" i="23"/>
  <c r="K74" i="23"/>
  <c r="I74" i="23"/>
  <c r="K73" i="23"/>
  <c r="I73" i="23"/>
  <c r="K72" i="23"/>
  <c r="I72" i="23"/>
  <c r="K71" i="23"/>
  <c r="I71" i="23"/>
  <c r="K70" i="23"/>
  <c r="I70" i="23"/>
  <c r="K69" i="23"/>
  <c r="I69" i="23"/>
  <c r="K68" i="23"/>
  <c r="I68" i="23"/>
  <c r="K67" i="23"/>
  <c r="I67" i="23"/>
  <c r="K66" i="23"/>
  <c r="I66" i="23"/>
  <c r="K65" i="23"/>
  <c r="I65" i="23"/>
  <c r="K64" i="23"/>
  <c r="I64" i="23"/>
  <c r="K63" i="23"/>
  <c r="I63" i="23"/>
  <c r="K62" i="23"/>
  <c r="I62" i="23"/>
  <c r="K61" i="23"/>
  <c r="I61" i="23"/>
  <c r="K60" i="23"/>
  <c r="I60" i="23"/>
  <c r="K59" i="23"/>
  <c r="I59" i="23"/>
  <c r="K58" i="23"/>
  <c r="I58" i="23"/>
  <c r="K57" i="23"/>
  <c r="I57" i="23"/>
  <c r="K56" i="23"/>
  <c r="I56" i="23"/>
  <c r="K55" i="23"/>
  <c r="I55" i="23"/>
  <c r="K54" i="23"/>
  <c r="I54" i="23"/>
  <c r="K53" i="23"/>
  <c r="I53" i="23"/>
  <c r="K52" i="23"/>
  <c r="I52" i="23"/>
  <c r="K51" i="23"/>
  <c r="I51" i="23"/>
  <c r="K50" i="23"/>
  <c r="I50" i="23"/>
  <c r="K49" i="23"/>
  <c r="I49" i="23"/>
  <c r="K48" i="23"/>
  <c r="I48" i="23"/>
  <c r="K47" i="23"/>
  <c r="I47" i="23"/>
  <c r="K46" i="23"/>
  <c r="I46" i="23"/>
  <c r="K45" i="23"/>
  <c r="I45" i="23"/>
  <c r="K44" i="23"/>
  <c r="I44" i="23"/>
  <c r="K43" i="23"/>
  <c r="I43" i="23"/>
  <c r="K42" i="23"/>
  <c r="I42" i="23"/>
  <c r="K41" i="23"/>
  <c r="I41" i="23"/>
  <c r="G622" i="23"/>
  <c r="F622" i="23"/>
  <c r="E622" i="23"/>
  <c r="D622" i="23"/>
  <c r="C622" i="23"/>
  <c r="B622" i="23"/>
  <c r="G621" i="23"/>
  <c r="F621" i="23"/>
  <c r="E621" i="23"/>
  <c r="D621" i="23"/>
  <c r="C621" i="23"/>
  <c r="B621" i="23"/>
  <c r="G620" i="23"/>
  <c r="F620" i="23"/>
  <c r="E620" i="23"/>
  <c r="D620" i="23"/>
  <c r="C620" i="23"/>
  <c r="B620" i="23"/>
  <c r="G619" i="23"/>
  <c r="F619" i="23"/>
  <c r="E619" i="23"/>
  <c r="D619" i="23"/>
  <c r="C619" i="23"/>
  <c r="B619" i="23"/>
  <c r="G618" i="23"/>
  <c r="F618" i="23"/>
  <c r="E618" i="23"/>
  <c r="D618" i="23"/>
  <c r="C618" i="23"/>
  <c r="B618" i="23"/>
  <c r="G617" i="23"/>
  <c r="F617" i="23"/>
  <c r="E617" i="23"/>
  <c r="D617" i="23"/>
  <c r="C617" i="23"/>
  <c r="B617" i="23"/>
  <c r="G616" i="23"/>
  <c r="F616" i="23"/>
  <c r="E616" i="23"/>
  <c r="D616" i="23"/>
  <c r="C616" i="23"/>
  <c r="B616" i="23"/>
  <c r="G615" i="23"/>
  <c r="F615" i="23"/>
  <c r="E615" i="23"/>
  <c r="D615" i="23"/>
  <c r="C615" i="23"/>
  <c r="B615" i="23"/>
  <c r="G614" i="23"/>
  <c r="F614" i="23"/>
  <c r="E614" i="23"/>
  <c r="D614" i="23"/>
  <c r="C614" i="23"/>
  <c r="B614" i="23"/>
  <c r="G613" i="23"/>
  <c r="F613" i="23"/>
  <c r="E613" i="23"/>
  <c r="D613" i="23"/>
  <c r="C613" i="23"/>
  <c r="B613" i="23"/>
  <c r="G612" i="23"/>
  <c r="F612" i="23"/>
  <c r="E612" i="23"/>
  <c r="D612" i="23"/>
  <c r="C612" i="23"/>
  <c r="B612" i="23"/>
  <c r="G611" i="23"/>
  <c r="F611" i="23"/>
  <c r="E611" i="23"/>
  <c r="D611" i="23"/>
  <c r="C611" i="23"/>
  <c r="B611" i="23"/>
  <c r="G610" i="23"/>
  <c r="F610" i="23"/>
  <c r="E610" i="23"/>
  <c r="D610" i="23"/>
  <c r="C610" i="23"/>
  <c r="B610" i="23"/>
  <c r="G609" i="23"/>
  <c r="F609" i="23"/>
  <c r="E609" i="23"/>
  <c r="D609" i="23"/>
  <c r="C609" i="23"/>
  <c r="B609" i="23"/>
  <c r="G608" i="23"/>
  <c r="F608" i="23"/>
  <c r="E608" i="23"/>
  <c r="D608" i="23"/>
  <c r="C608" i="23"/>
  <c r="B608" i="23"/>
  <c r="G607" i="23"/>
  <c r="F607" i="23"/>
  <c r="E607" i="23"/>
  <c r="D607" i="23"/>
  <c r="C607" i="23"/>
  <c r="B607" i="23"/>
  <c r="G606" i="23"/>
  <c r="F606" i="23"/>
  <c r="E606" i="23"/>
  <c r="D606" i="23"/>
  <c r="C606" i="23"/>
  <c r="B606" i="23"/>
  <c r="G605" i="23"/>
  <c r="F605" i="23"/>
  <c r="E605" i="23"/>
  <c r="D605" i="23"/>
  <c r="C605" i="23"/>
  <c r="B605" i="23"/>
  <c r="G604" i="23"/>
  <c r="F604" i="23"/>
  <c r="E604" i="23"/>
  <c r="D604" i="23"/>
  <c r="C604" i="23"/>
  <c r="B604" i="23"/>
  <c r="G603" i="23"/>
  <c r="F603" i="23"/>
  <c r="E603" i="23"/>
  <c r="D603" i="23"/>
  <c r="C603" i="23"/>
  <c r="B603" i="23"/>
  <c r="G602" i="23"/>
  <c r="F602" i="23"/>
  <c r="E602" i="23"/>
  <c r="D602" i="23"/>
  <c r="C602" i="23"/>
  <c r="B602" i="23"/>
  <c r="G601" i="23"/>
  <c r="F601" i="23"/>
  <c r="E601" i="23"/>
  <c r="D601" i="23"/>
  <c r="C601" i="23"/>
  <c r="B601" i="23"/>
  <c r="G600" i="23"/>
  <c r="F600" i="23"/>
  <c r="E600" i="23"/>
  <c r="D600" i="23"/>
  <c r="C600" i="23"/>
  <c r="B600" i="23"/>
  <c r="G599" i="23"/>
  <c r="F599" i="23"/>
  <c r="E599" i="23"/>
  <c r="D599" i="23"/>
  <c r="C599" i="23"/>
  <c r="B599" i="23"/>
  <c r="G598" i="23"/>
  <c r="F598" i="23"/>
  <c r="E598" i="23"/>
  <c r="D598" i="23"/>
  <c r="C598" i="23"/>
  <c r="B598" i="23"/>
  <c r="G597" i="23"/>
  <c r="F597" i="23"/>
  <c r="E597" i="23"/>
  <c r="D597" i="23"/>
  <c r="C597" i="23"/>
  <c r="B597" i="23"/>
  <c r="G596" i="23"/>
  <c r="F596" i="23"/>
  <c r="E596" i="23"/>
  <c r="D596" i="23"/>
  <c r="C596" i="23"/>
  <c r="B596" i="23"/>
  <c r="G595" i="23"/>
  <c r="F595" i="23"/>
  <c r="E595" i="23"/>
  <c r="D595" i="23"/>
  <c r="C595" i="23"/>
  <c r="B595" i="23"/>
  <c r="G594" i="23"/>
  <c r="F594" i="23"/>
  <c r="E594" i="23"/>
  <c r="D594" i="23"/>
  <c r="C594" i="23"/>
  <c r="B594" i="23"/>
  <c r="G593" i="23"/>
  <c r="F593" i="23"/>
  <c r="E593" i="23"/>
  <c r="D593" i="23"/>
  <c r="C593" i="23"/>
  <c r="B593" i="23"/>
  <c r="G592" i="23"/>
  <c r="F592" i="23"/>
  <c r="E592" i="23"/>
  <c r="D592" i="23"/>
  <c r="C592" i="23"/>
  <c r="B592" i="23"/>
  <c r="G591" i="23"/>
  <c r="F591" i="23"/>
  <c r="E591" i="23"/>
  <c r="D591" i="23"/>
  <c r="C591" i="23"/>
  <c r="B591" i="23"/>
  <c r="G590" i="23"/>
  <c r="F590" i="23"/>
  <c r="E590" i="23"/>
  <c r="D590" i="23"/>
  <c r="C590" i="23"/>
  <c r="B590" i="23"/>
  <c r="G589" i="23"/>
  <c r="F589" i="23"/>
  <c r="E589" i="23"/>
  <c r="D589" i="23"/>
  <c r="C589" i="23"/>
  <c r="B589" i="23"/>
  <c r="G588" i="23"/>
  <c r="F588" i="23"/>
  <c r="E588" i="23"/>
  <c r="D588" i="23"/>
  <c r="C588" i="23"/>
  <c r="B588" i="23"/>
  <c r="G587" i="23"/>
  <c r="F587" i="23"/>
  <c r="E587" i="23"/>
  <c r="D587" i="23"/>
  <c r="C587" i="23"/>
  <c r="B587" i="23"/>
  <c r="G586" i="23"/>
  <c r="F586" i="23"/>
  <c r="E586" i="23"/>
  <c r="D586" i="23"/>
  <c r="C586" i="23"/>
  <c r="B586" i="23"/>
  <c r="G585" i="23"/>
  <c r="F585" i="23"/>
  <c r="E585" i="23"/>
  <c r="D585" i="23"/>
  <c r="C585" i="23"/>
  <c r="B585" i="23"/>
  <c r="G584" i="23"/>
  <c r="F584" i="23"/>
  <c r="E584" i="23"/>
  <c r="D584" i="23"/>
  <c r="C584" i="23"/>
  <c r="B584" i="23"/>
  <c r="G583" i="23"/>
  <c r="F583" i="23"/>
  <c r="E583" i="23"/>
  <c r="D583" i="23"/>
  <c r="C583" i="23"/>
  <c r="B583" i="23"/>
  <c r="G582" i="23"/>
  <c r="F582" i="23"/>
  <c r="E582" i="23"/>
  <c r="D582" i="23"/>
  <c r="C582" i="23"/>
  <c r="B582" i="23"/>
  <c r="G581" i="23"/>
  <c r="F581" i="23"/>
  <c r="E581" i="23"/>
  <c r="D581" i="23"/>
  <c r="C581" i="23"/>
  <c r="B581" i="23"/>
  <c r="G580" i="23"/>
  <c r="F580" i="23"/>
  <c r="E580" i="23"/>
  <c r="D580" i="23"/>
  <c r="C580" i="23"/>
  <c r="B580" i="23"/>
  <c r="G579" i="23"/>
  <c r="F579" i="23"/>
  <c r="E579" i="23"/>
  <c r="D579" i="23"/>
  <c r="C579" i="23"/>
  <c r="B579" i="23"/>
  <c r="G578" i="23"/>
  <c r="F578" i="23"/>
  <c r="E578" i="23"/>
  <c r="D578" i="23"/>
  <c r="C578" i="23"/>
  <c r="B578" i="23"/>
  <c r="G577" i="23"/>
  <c r="F577" i="23"/>
  <c r="E577" i="23"/>
  <c r="D577" i="23"/>
  <c r="C577" i="23"/>
  <c r="B577" i="23"/>
  <c r="G576" i="23"/>
  <c r="F576" i="23"/>
  <c r="E576" i="23"/>
  <c r="D576" i="23"/>
  <c r="C576" i="23"/>
  <c r="B576" i="23"/>
  <c r="G575" i="23"/>
  <c r="F575" i="23"/>
  <c r="E575" i="23"/>
  <c r="D575" i="23"/>
  <c r="C575" i="23"/>
  <c r="B575" i="23"/>
  <c r="G574" i="23"/>
  <c r="F574" i="23"/>
  <c r="E574" i="23"/>
  <c r="D574" i="23"/>
  <c r="C574" i="23"/>
  <c r="B574" i="23"/>
  <c r="G573" i="23"/>
  <c r="F573" i="23"/>
  <c r="E573" i="23"/>
  <c r="D573" i="23"/>
  <c r="C573" i="23"/>
  <c r="B573" i="23"/>
  <c r="G572" i="23"/>
  <c r="F572" i="23"/>
  <c r="E572" i="23"/>
  <c r="D572" i="23"/>
  <c r="C572" i="23"/>
  <c r="B572" i="23"/>
  <c r="F571" i="23"/>
  <c r="E571" i="23"/>
  <c r="D571" i="23"/>
  <c r="C571" i="23"/>
  <c r="B571" i="23"/>
  <c r="F570" i="23"/>
  <c r="E570" i="23"/>
  <c r="D570" i="23"/>
  <c r="C570" i="23"/>
  <c r="B570" i="23"/>
  <c r="F569" i="23"/>
  <c r="E569" i="23"/>
  <c r="D569" i="23"/>
  <c r="C569" i="23"/>
  <c r="B569" i="23"/>
  <c r="G568" i="23"/>
  <c r="F568" i="23"/>
  <c r="E568" i="23"/>
  <c r="D568" i="23"/>
  <c r="C568" i="23"/>
  <c r="B568" i="23"/>
  <c r="G567" i="23"/>
  <c r="F567" i="23"/>
  <c r="E567" i="23"/>
  <c r="D567" i="23"/>
  <c r="C567" i="23"/>
  <c r="B567" i="23"/>
  <c r="G566" i="23"/>
  <c r="F566" i="23"/>
  <c r="E566" i="23"/>
  <c r="D566" i="23"/>
  <c r="C566" i="23"/>
  <c r="B566" i="23"/>
  <c r="G565" i="23"/>
  <c r="F565" i="23"/>
  <c r="E565" i="23"/>
  <c r="D565" i="23"/>
  <c r="C565" i="23"/>
  <c r="B565" i="23"/>
  <c r="G564" i="23"/>
  <c r="F564" i="23"/>
  <c r="E564" i="23"/>
  <c r="D564" i="23"/>
  <c r="C564" i="23"/>
  <c r="B564" i="23"/>
  <c r="F563" i="23"/>
  <c r="E563" i="23"/>
  <c r="D563" i="23"/>
  <c r="C563" i="23"/>
  <c r="B563" i="23"/>
  <c r="G562" i="23"/>
  <c r="F562" i="23"/>
  <c r="E562" i="23"/>
  <c r="D562" i="23"/>
  <c r="C562" i="23"/>
  <c r="B562" i="23"/>
  <c r="G561" i="23"/>
  <c r="F561" i="23"/>
  <c r="E561" i="23"/>
  <c r="D561" i="23"/>
  <c r="C561" i="23"/>
  <c r="B561" i="23"/>
  <c r="G560" i="23"/>
  <c r="F560" i="23"/>
  <c r="E560" i="23"/>
  <c r="D560" i="23"/>
  <c r="C560" i="23"/>
  <c r="B560" i="23"/>
  <c r="G559" i="23"/>
  <c r="F559" i="23"/>
  <c r="E559" i="23"/>
  <c r="D559" i="23"/>
  <c r="C559" i="23"/>
  <c r="B559" i="23"/>
  <c r="F558" i="23"/>
  <c r="E558" i="23"/>
  <c r="D558" i="23"/>
  <c r="C558" i="23"/>
  <c r="B558" i="23"/>
  <c r="G557" i="23"/>
  <c r="F557" i="23"/>
  <c r="E557" i="23"/>
  <c r="D557" i="23"/>
  <c r="C557" i="23"/>
  <c r="B557" i="23"/>
  <c r="G556" i="23"/>
  <c r="F556" i="23"/>
  <c r="E556" i="23"/>
  <c r="D556" i="23"/>
  <c r="C556" i="23"/>
  <c r="B556" i="23"/>
  <c r="G555" i="23"/>
  <c r="F555" i="23"/>
  <c r="E555" i="23"/>
  <c r="D555" i="23"/>
  <c r="C555" i="23"/>
  <c r="B555" i="23"/>
  <c r="G554" i="23"/>
  <c r="F554" i="23"/>
  <c r="E554" i="23"/>
  <c r="D554" i="23"/>
  <c r="C554" i="23"/>
  <c r="B554" i="23"/>
  <c r="G553" i="23"/>
  <c r="F553" i="23"/>
  <c r="E553" i="23"/>
  <c r="D553" i="23"/>
  <c r="C553" i="23"/>
  <c r="B553" i="23"/>
  <c r="G552" i="23"/>
  <c r="F552" i="23"/>
  <c r="E552" i="23"/>
  <c r="D552" i="23"/>
  <c r="C552" i="23"/>
  <c r="B552" i="23"/>
  <c r="G551" i="23"/>
  <c r="F551" i="23"/>
  <c r="E551" i="23"/>
  <c r="D551" i="23"/>
  <c r="C551" i="23"/>
  <c r="B551" i="23"/>
  <c r="G550" i="23"/>
  <c r="F550" i="23"/>
  <c r="E550" i="23"/>
  <c r="D550" i="23"/>
  <c r="C550" i="23"/>
  <c r="B550" i="23"/>
  <c r="G549" i="23"/>
  <c r="F549" i="23"/>
  <c r="E549" i="23"/>
  <c r="D549" i="23"/>
  <c r="C549" i="23"/>
  <c r="B549" i="23"/>
  <c r="G548" i="23"/>
  <c r="F548" i="23"/>
  <c r="E548" i="23"/>
  <c r="D548" i="23"/>
  <c r="C548" i="23"/>
  <c r="B548" i="23"/>
  <c r="G547" i="23"/>
  <c r="F547" i="23"/>
  <c r="E547" i="23"/>
  <c r="D547" i="23"/>
  <c r="C547" i="23"/>
  <c r="B547" i="23"/>
  <c r="G546" i="23"/>
  <c r="F546" i="23"/>
  <c r="E546" i="23"/>
  <c r="D546" i="23"/>
  <c r="C546" i="23"/>
  <c r="B546" i="23"/>
  <c r="G545" i="23"/>
  <c r="F545" i="23"/>
  <c r="E545" i="23"/>
  <c r="D545" i="23"/>
  <c r="C545" i="23"/>
  <c r="B545" i="23"/>
  <c r="G544" i="23"/>
  <c r="F544" i="23"/>
  <c r="E544" i="23"/>
  <c r="D544" i="23"/>
  <c r="C544" i="23"/>
  <c r="B544" i="23"/>
  <c r="G543" i="23"/>
  <c r="F543" i="23"/>
  <c r="E543" i="23"/>
  <c r="D543" i="23"/>
  <c r="C543" i="23"/>
  <c r="B543" i="23"/>
  <c r="G542" i="23"/>
  <c r="F542" i="23"/>
  <c r="E542" i="23"/>
  <c r="D542" i="23"/>
  <c r="C542" i="23"/>
  <c r="B542" i="23"/>
  <c r="G541" i="23"/>
  <c r="F541" i="23"/>
  <c r="E541" i="23"/>
  <c r="D541" i="23"/>
  <c r="C541" i="23"/>
  <c r="B541" i="23"/>
  <c r="G540" i="23"/>
  <c r="F540" i="23"/>
  <c r="E540" i="23"/>
  <c r="D540" i="23"/>
  <c r="C540" i="23"/>
  <c r="B540" i="23"/>
  <c r="G539" i="23"/>
  <c r="F539" i="23"/>
  <c r="E539" i="23"/>
  <c r="D539" i="23"/>
  <c r="C539" i="23"/>
  <c r="B539" i="23"/>
  <c r="G538" i="23"/>
  <c r="F538" i="23"/>
  <c r="E538" i="23"/>
  <c r="D538" i="23"/>
  <c r="C538" i="23"/>
  <c r="B538" i="23"/>
  <c r="G537" i="23"/>
  <c r="F537" i="23"/>
  <c r="E537" i="23"/>
  <c r="D537" i="23"/>
  <c r="C537" i="23"/>
  <c r="B537" i="23"/>
  <c r="G536" i="23"/>
  <c r="F536" i="23"/>
  <c r="E536" i="23"/>
  <c r="D536" i="23"/>
  <c r="C536" i="23"/>
  <c r="B536" i="23"/>
  <c r="G535" i="23"/>
  <c r="F535" i="23"/>
  <c r="E535" i="23"/>
  <c r="D535" i="23"/>
  <c r="C535" i="23"/>
  <c r="B535" i="23"/>
  <c r="F534" i="23"/>
  <c r="E534" i="23"/>
  <c r="D534" i="23"/>
  <c r="C534" i="23"/>
  <c r="B534" i="23"/>
  <c r="F533" i="23"/>
  <c r="E533" i="23"/>
  <c r="D533" i="23"/>
  <c r="C533" i="23"/>
  <c r="B533" i="23"/>
  <c r="F532" i="23"/>
  <c r="E532" i="23"/>
  <c r="D532" i="23"/>
  <c r="C532" i="23"/>
  <c r="B532" i="23"/>
  <c r="F531" i="23"/>
  <c r="E531" i="23"/>
  <c r="D531" i="23"/>
  <c r="C531" i="23"/>
  <c r="B531" i="23"/>
  <c r="F530" i="23"/>
  <c r="E530" i="23"/>
  <c r="D530" i="23"/>
  <c r="C530" i="23"/>
  <c r="B530" i="23"/>
  <c r="G529" i="23"/>
  <c r="F529" i="23"/>
  <c r="E529" i="23"/>
  <c r="D529" i="23"/>
  <c r="C529" i="23"/>
  <c r="B529" i="23"/>
  <c r="G528" i="23"/>
  <c r="F528" i="23"/>
  <c r="E528" i="23"/>
  <c r="D528" i="23"/>
  <c r="C528" i="23"/>
  <c r="B528" i="23"/>
  <c r="G527" i="23"/>
  <c r="F527" i="23"/>
  <c r="E527" i="23"/>
  <c r="D527" i="23"/>
  <c r="C527" i="23"/>
  <c r="B527" i="23"/>
  <c r="G526" i="23"/>
  <c r="F526" i="23"/>
  <c r="E526" i="23"/>
  <c r="D526" i="23"/>
  <c r="C526" i="23"/>
  <c r="B526" i="23"/>
  <c r="G525" i="23"/>
  <c r="F525" i="23"/>
  <c r="E525" i="23"/>
  <c r="D525" i="23"/>
  <c r="C525" i="23"/>
  <c r="B525" i="23"/>
  <c r="G524" i="23"/>
  <c r="F524" i="23"/>
  <c r="E524" i="23"/>
  <c r="D524" i="23"/>
  <c r="C524" i="23"/>
  <c r="B524" i="23"/>
  <c r="G523" i="23"/>
  <c r="F523" i="23"/>
  <c r="E523" i="23"/>
  <c r="D523" i="23"/>
  <c r="C523" i="23"/>
  <c r="B523" i="23"/>
  <c r="G522" i="23"/>
  <c r="F522" i="23"/>
  <c r="E522" i="23"/>
  <c r="D522" i="23"/>
  <c r="C522" i="23"/>
  <c r="B522" i="23"/>
  <c r="G521" i="23"/>
  <c r="F521" i="23"/>
  <c r="E521" i="23"/>
  <c r="D521" i="23"/>
  <c r="C521" i="23"/>
  <c r="B521" i="23"/>
  <c r="F520" i="23"/>
  <c r="E520" i="23"/>
  <c r="D520" i="23"/>
  <c r="C520" i="23"/>
  <c r="B520" i="23"/>
  <c r="F519" i="23"/>
  <c r="E519" i="23"/>
  <c r="D519" i="23"/>
  <c r="C519" i="23"/>
  <c r="B519" i="23"/>
  <c r="G518" i="23"/>
  <c r="F518" i="23"/>
  <c r="E518" i="23"/>
  <c r="D518" i="23"/>
  <c r="C518" i="23"/>
  <c r="B518" i="23"/>
  <c r="G517" i="23"/>
  <c r="F517" i="23"/>
  <c r="E517" i="23"/>
  <c r="D517" i="23"/>
  <c r="C517" i="23"/>
  <c r="B517" i="23"/>
  <c r="G516" i="23"/>
  <c r="F516" i="23"/>
  <c r="E516" i="23"/>
  <c r="D516" i="23"/>
  <c r="C516" i="23"/>
  <c r="B516" i="23"/>
  <c r="G515" i="23"/>
  <c r="F515" i="23"/>
  <c r="E515" i="23"/>
  <c r="D515" i="23"/>
  <c r="C515" i="23"/>
  <c r="B515" i="23"/>
  <c r="G514" i="23"/>
  <c r="F514" i="23"/>
  <c r="E514" i="23"/>
  <c r="D514" i="23"/>
  <c r="C514" i="23"/>
  <c r="B514" i="23"/>
  <c r="G513" i="23"/>
  <c r="F513" i="23"/>
  <c r="E513" i="23"/>
  <c r="D513" i="23"/>
  <c r="C513" i="23"/>
  <c r="B513" i="23"/>
  <c r="G512" i="23"/>
  <c r="F512" i="23"/>
  <c r="E512" i="23"/>
  <c r="D512" i="23"/>
  <c r="C512" i="23"/>
  <c r="B512" i="23"/>
  <c r="G511" i="23"/>
  <c r="F511" i="23"/>
  <c r="E511" i="23"/>
  <c r="D511" i="23"/>
  <c r="C511" i="23"/>
  <c r="B511" i="23"/>
  <c r="G510" i="23"/>
  <c r="F510" i="23"/>
  <c r="E510" i="23"/>
  <c r="D510" i="23"/>
  <c r="C510" i="23"/>
  <c r="B510" i="23"/>
  <c r="G509" i="23"/>
  <c r="F509" i="23"/>
  <c r="E509" i="23"/>
  <c r="D509" i="23"/>
  <c r="C509" i="23"/>
  <c r="B509" i="23"/>
  <c r="G508" i="23"/>
  <c r="F508" i="23"/>
  <c r="E508" i="23"/>
  <c r="D508" i="23"/>
  <c r="C508" i="23"/>
  <c r="B508" i="23"/>
  <c r="G507" i="23"/>
  <c r="F507" i="23"/>
  <c r="E507" i="23"/>
  <c r="D507" i="23"/>
  <c r="C507" i="23"/>
  <c r="B507" i="23"/>
  <c r="G506" i="23"/>
  <c r="F506" i="23"/>
  <c r="E506" i="23"/>
  <c r="D506" i="23"/>
  <c r="C506" i="23"/>
  <c r="B506" i="23"/>
  <c r="G505" i="23"/>
  <c r="F505" i="23"/>
  <c r="E505" i="23"/>
  <c r="D505" i="23"/>
  <c r="C505" i="23"/>
  <c r="B505" i="23"/>
  <c r="G504" i="23"/>
  <c r="F504" i="23"/>
  <c r="E504" i="23"/>
  <c r="D504" i="23"/>
  <c r="C504" i="23"/>
  <c r="B504" i="23"/>
  <c r="G503" i="23"/>
  <c r="F503" i="23"/>
  <c r="E503" i="23"/>
  <c r="D503" i="23"/>
  <c r="C503" i="23"/>
  <c r="B503" i="23"/>
  <c r="G502" i="23"/>
  <c r="F502" i="23"/>
  <c r="E502" i="23"/>
  <c r="D502" i="23"/>
  <c r="C502" i="23"/>
  <c r="B502" i="23"/>
  <c r="G501" i="23"/>
  <c r="F501" i="23"/>
  <c r="E501" i="23"/>
  <c r="D501" i="23"/>
  <c r="C501" i="23"/>
  <c r="B501" i="23"/>
  <c r="G500" i="23"/>
  <c r="F500" i="23"/>
  <c r="E500" i="23"/>
  <c r="D500" i="23"/>
  <c r="C500" i="23"/>
  <c r="B500" i="23"/>
  <c r="F499" i="23"/>
  <c r="E499" i="23"/>
  <c r="D499" i="23"/>
  <c r="C499" i="23"/>
  <c r="B499" i="23"/>
  <c r="F498" i="23"/>
  <c r="E498" i="23"/>
  <c r="D498" i="23"/>
  <c r="C498" i="23"/>
  <c r="B498" i="23"/>
  <c r="G497" i="23"/>
  <c r="F497" i="23"/>
  <c r="E497" i="23"/>
  <c r="D497" i="23"/>
  <c r="C497" i="23"/>
  <c r="B497" i="23"/>
  <c r="G496" i="23"/>
  <c r="F496" i="23"/>
  <c r="E496" i="23"/>
  <c r="D496" i="23"/>
  <c r="C496" i="23"/>
  <c r="B496" i="23"/>
  <c r="G495" i="23"/>
  <c r="F495" i="23"/>
  <c r="E495" i="23"/>
  <c r="D495" i="23"/>
  <c r="C495" i="23"/>
  <c r="B495" i="23"/>
  <c r="G494" i="23"/>
  <c r="F494" i="23"/>
  <c r="E494" i="23"/>
  <c r="D494" i="23"/>
  <c r="C494" i="23"/>
  <c r="B494" i="23"/>
  <c r="G493" i="23"/>
  <c r="F493" i="23"/>
  <c r="E493" i="23"/>
  <c r="D493" i="23"/>
  <c r="C493" i="23"/>
  <c r="B493" i="23"/>
  <c r="G492" i="23"/>
  <c r="F492" i="23"/>
  <c r="E492" i="23"/>
  <c r="D492" i="23"/>
  <c r="C492" i="23"/>
  <c r="B492" i="23"/>
  <c r="F491" i="23"/>
  <c r="E491" i="23"/>
  <c r="D491" i="23"/>
  <c r="C491" i="23"/>
  <c r="B491" i="23"/>
  <c r="G490" i="23"/>
  <c r="F490" i="23"/>
  <c r="E490" i="23"/>
  <c r="D490" i="23"/>
  <c r="C490" i="23"/>
  <c r="B490" i="23"/>
  <c r="G489" i="23"/>
  <c r="F489" i="23"/>
  <c r="E489" i="23"/>
  <c r="D489" i="23"/>
  <c r="C489" i="23"/>
  <c r="B489" i="23"/>
  <c r="G488" i="23"/>
  <c r="F488" i="23"/>
  <c r="E488" i="23"/>
  <c r="D488" i="23"/>
  <c r="C488" i="23"/>
  <c r="B488" i="23"/>
  <c r="G487" i="23"/>
  <c r="F487" i="23"/>
  <c r="E487" i="23"/>
  <c r="D487" i="23"/>
  <c r="C487" i="23"/>
  <c r="B487" i="23"/>
  <c r="G486" i="23"/>
  <c r="F486" i="23"/>
  <c r="E486" i="23"/>
  <c r="D486" i="23"/>
  <c r="C486" i="23"/>
  <c r="B486" i="23"/>
  <c r="F485" i="23"/>
  <c r="E485" i="23"/>
  <c r="D485" i="23"/>
  <c r="C485" i="23"/>
  <c r="B485" i="23"/>
  <c r="G484" i="23"/>
  <c r="J484" i="23" s="1"/>
  <c r="F484" i="23"/>
  <c r="E484" i="23"/>
  <c r="D484" i="23"/>
  <c r="C484" i="23"/>
  <c r="B484" i="23"/>
  <c r="G483" i="23"/>
  <c r="F483" i="23"/>
  <c r="E483" i="23"/>
  <c r="D483" i="23"/>
  <c r="C483" i="23"/>
  <c r="B483" i="23"/>
  <c r="F482" i="23"/>
  <c r="E482" i="23"/>
  <c r="D482" i="23"/>
  <c r="C482" i="23"/>
  <c r="B482" i="23"/>
  <c r="F481" i="23"/>
  <c r="E481" i="23"/>
  <c r="D481" i="23"/>
  <c r="C481" i="23"/>
  <c r="B481" i="23"/>
  <c r="F480" i="23"/>
  <c r="E480" i="23"/>
  <c r="D480" i="23"/>
  <c r="C480" i="23"/>
  <c r="B480" i="23"/>
  <c r="G479" i="23"/>
  <c r="F479" i="23"/>
  <c r="E479" i="23"/>
  <c r="D479" i="23"/>
  <c r="C479" i="23"/>
  <c r="B479" i="23"/>
  <c r="G478" i="23"/>
  <c r="F478" i="23"/>
  <c r="E478" i="23"/>
  <c r="D478" i="23"/>
  <c r="C478" i="23"/>
  <c r="B478" i="23"/>
  <c r="F477" i="23"/>
  <c r="E477" i="23"/>
  <c r="D477" i="23"/>
  <c r="C477" i="23"/>
  <c r="B477" i="23"/>
  <c r="F476" i="23"/>
  <c r="E476" i="23"/>
  <c r="D476" i="23"/>
  <c r="C476" i="23"/>
  <c r="B476" i="23"/>
  <c r="G475" i="23"/>
  <c r="F475" i="23"/>
  <c r="E475" i="23"/>
  <c r="D475" i="23"/>
  <c r="C475" i="23"/>
  <c r="B475" i="23"/>
  <c r="G474" i="23"/>
  <c r="F474" i="23"/>
  <c r="E474" i="23"/>
  <c r="D474" i="23"/>
  <c r="C474" i="23"/>
  <c r="B474" i="23"/>
  <c r="G473" i="23"/>
  <c r="F473" i="23"/>
  <c r="E473" i="23"/>
  <c r="D473" i="23"/>
  <c r="C473" i="23"/>
  <c r="B473" i="23"/>
  <c r="G472" i="23"/>
  <c r="F472" i="23"/>
  <c r="E472" i="23"/>
  <c r="D472" i="23"/>
  <c r="C472" i="23"/>
  <c r="B472" i="23"/>
  <c r="G471" i="23"/>
  <c r="F471" i="23"/>
  <c r="E471" i="23"/>
  <c r="D471" i="23"/>
  <c r="C471" i="23"/>
  <c r="B471" i="23"/>
  <c r="F470" i="23"/>
  <c r="E470" i="23"/>
  <c r="D470" i="23"/>
  <c r="C470" i="23"/>
  <c r="B470" i="23"/>
  <c r="G469" i="23"/>
  <c r="F469" i="23"/>
  <c r="E469" i="23"/>
  <c r="D469" i="23"/>
  <c r="C469" i="23"/>
  <c r="B469" i="23"/>
  <c r="G468" i="23"/>
  <c r="F468" i="23"/>
  <c r="E468" i="23"/>
  <c r="D468" i="23"/>
  <c r="C468" i="23"/>
  <c r="B468" i="23"/>
  <c r="G467" i="23"/>
  <c r="F467" i="23"/>
  <c r="E467" i="23"/>
  <c r="D467" i="23"/>
  <c r="C467" i="23"/>
  <c r="B467" i="23"/>
  <c r="G466" i="23"/>
  <c r="F466" i="23"/>
  <c r="E466" i="23"/>
  <c r="D466" i="23"/>
  <c r="C466" i="23"/>
  <c r="B466" i="23"/>
  <c r="F465" i="23"/>
  <c r="E465" i="23"/>
  <c r="D465" i="23"/>
  <c r="C465" i="23"/>
  <c r="B465" i="23"/>
  <c r="F464" i="23"/>
  <c r="E464" i="23"/>
  <c r="D464" i="23"/>
  <c r="C464" i="23"/>
  <c r="B464" i="23"/>
  <c r="G463" i="23"/>
  <c r="F463" i="23"/>
  <c r="E463" i="23"/>
  <c r="D463" i="23"/>
  <c r="C463" i="23"/>
  <c r="B463" i="23"/>
  <c r="G462" i="23"/>
  <c r="F462" i="23"/>
  <c r="E462" i="23"/>
  <c r="D462" i="23"/>
  <c r="C462" i="23"/>
  <c r="B462" i="23"/>
  <c r="G461" i="23"/>
  <c r="F461" i="23"/>
  <c r="E461" i="23"/>
  <c r="D461" i="23"/>
  <c r="C461" i="23"/>
  <c r="B461" i="23"/>
  <c r="G460" i="23"/>
  <c r="F460" i="23"/>
  <c r="E460" i="23"/>
  <c r="D460" i="23"/>
  <c r="C460" i="23"/>
  <c r="B460" i="23"/>
  <c r="G459" i="23"/>
  <c r="F459" i="23"/>
  <c r="E459" i="23"/>
  <c r="D459" i="23"/>
  <c r="C459" i="23"/>
  <c r="B459" i="23"/>
  <c r="G458" i="23"/>
  <c r="F458" i="23"/>
  <c r="E458" i="23"/>
  <c r="D458" i="23"/>
  <c r="C458" i="23"/>
  <c r="B458" i="23"/>
  <c r="G457" i="23"/>
  <c r="F457" i="23"/>
  <c r="E457" i="23"/>
  <c r="D457" i="23"/>
  <c r="C457" i="23"/>
  <c r="B457" i="23"/>
  <c r="G456" i="23"/>
  <c r="F456" i="23"/>
  <c r="E456" i="23"/>
  <c r="D456" i="23"/>
  <c r="C456" i="23"/>
  <c r="B456" i="23"/>
  <c r="G455" i="23"/>
  <c r="F455" i="23"/>
  <c r="E455" i="23"/>
  <c r="D455" i="23"/>
  <c r="C455" i="23"/>
  <c r="B455" i="23"/>
  <c r="G454" i="23"/>
  <c r="F454" i="23"/>
  <c r="E454" i="23"/>
  <c r="D454" i="23"/>
  <c r="C454" i="23"/>
  <c r="B454" i="23"/>
  <c r="G453" i="23"/>
  <c r="F453" i="23"/>
  <c r="E453" i="23"/>
  <c r="D453" i="23"/>
  <c r="C453" i="23"/>
  <c r="B453" i="23"/>
  <c r="G452" i="23"/>
  <c r="F452" i="23"/>
  <c r="E452" i="23"/>
  <c r="D452" i="23"/>
  <c r="C452" i="23"/>
  <c r="B452" i="23"/>
  <c r="G451" i="23"/>
  <c r="F451" i="23"/>
  <c r="E451" i="23"/>
  <c r="D451" i="23"/>
  <c r="C451" i="23"/>
  <c r="B451" i="23"/>
  <c r="G450" i="23"/>
  <c r="F450" i="23"/>
  <c r="E450" i="23"/>
  <c r="D450" i="23"/>
  <c r="C450" i="23"/>
  <c r="B450" i="23"/>
  <c r="G449" i="23"/>
  <c r="F449" i="23"/>
  <c r="E449" i="23"/>
  <c r="D449" i="23"/>
  <c r="C449" i="23"/>
  <c r="B449" i="23"/>
  <c r="G448" i="23"/>
  <c r="F448" i="23"/>
  <c r="E448" i="23"/>
  <c r="D448" i="23"/>
  <c r="C448" i="23"/>
  <c r="B448" i="23"/>
  <c r="G447" i="23"/>
  <c r="F447" i="23"/>
  <c r="E447" i="23"/>
  <c r="D447" i="23"/>
  <c r="C447" i="23"/>
  <c r="B447" i="23"/>
  <c r="G446" i="23"/>
  <c r="F446" i="23"/>
  <c r="E446" i="23"/>
  <c r="D446" i="23"/>
  <c r="C446" i="23"/>
  <c r="B446" i="23"/>
  <c r="G445" i="23"/>
  <c r="F445" i="23"/>
  <c r="E445" i="23"/>
  <c r="D445" i="23"/>
  <c r="C445" i="23"/>
  <c r="B445" i="23"/>
  <c r="F444" i="23"/>
  <c r="E444" i="23"/>
  <c r="D444" i="23"/>
  <c r="C444" i="23"/>
  <c r="B444" i="23"/>
  <c r="F443" i="23"/>
  <c r="E443" i="23"/>
  <c r="D443" i="23"/>
  <c r="C443" i="23"/>
  <c r="B443" i="23"/>
  <c r="G442" i="23"/>
  <c r="F442" i="23"/>
  <c r="E442" i="23"/>
  <c r="D442" i="23"/>
  <c r="C442" i="23"/>
  <c r="B442" i="23"/>
  <c r="G441" i="23"/>
  <c r="F441" i="23"/>
  <c r="E441" i="23"/>
  <c r="D441" i="23"/>
  <c r="C441" i="23"/>
  <c r="B441" i="23"/>
  <c r="G440" i="23"/>
  <c r="F440" i="23"/>
  <c r="E440" i="23"/>
  <c r="D440" i="23"/>
  <c r="C440" i="23"/>
  <c r="B440" i="23"/>
  <c r="G439" i="23"/>
  <c r="F439" i="23"/>
  <c r="E439" i="23"/>
  <c r="D439" i="23"/>
  <c r="C439" i="23"/>
  <c r="B439" i="23"/>
  <c r="G438" i="23"/>
  <c r="F438" i="23"/>
  <c r="E438" i="23"/>
  <c r="D438" i="23"/>
  <c r="C438" i="23"/>
  <c r="B438" i="23"/>
  <c r="G437" i="23"/>
  <c r="F437" i="23"/>
  <c r="E437" i="23"/>
  <c r="D437" i="23"/>
  <c r="C437" i="23"/>
  <c r="B437" i="23"/>
  <c r="G436" i="23"/>
  <c r="F436" i="23"/>
  <c r="E436" i="23"/>
  <c r="D436" i="23"/>
  <c r="C436" i="23"/>
  <c r="B436" i="23"/>
  <c r="F435" i="23"/>
  <c r="E435" i="23"/>
  <c r="D435" i="23"/>
  <c r="C435" i="23"/>
  <c r="B435" i="23"/>
  <c r="G434" i="23"/>
  <c r="F434" i="23"/>
  <c r="E434" i="23"/>
  <c r="D434" i="23"/>
  <c r="C434" i="23"/>
  <c r="B434" i="23"/>
  <c r="G433" i="23"/>
  <c r="F433" i="23"/>
  <c r="E433" i="23"/>
  <c r="D433" i="23"/>
  <c r="C433" i="23"/>
  <c r="B433" i="23"/>
  <c r="G432" i="23"/>
  <c r="F432" i="23"/>
  <c r="E432" i="23"/>
  <c r="D432" i="23"/>
  <c r="C432" i="23"/>
  <c r="B432" i="23"/>
  <c r="G431" i="23"/>
  <c r="F431" i="23"/>
  <c r="E431" i="23"/>
  <c r="D431" i="23"/>
  <c r="C431" i="23"/>
  <c r="B431" i="23"/>
  <c r="G430" i="23"/>
  <c r="F430" i="23"/>
  <c r="E430" i="23"/>
  <c r="D430" i="23"/>
  <c r="C430" i="23"/>
  <c r="B430" i="23"/>
  <c r="G429" i="23"/>
  <c r="F429" i="23"/>
  <c r="E429" i="23"/>
  <c r="D429" i="23"/>
  <c r="C429" i="23"/>
  <c r="B429" i="23"/>
  <c r="G428" i="23"/>
  <c r="F428" i="23"/>
  <c r="E428" i="23"/>
  <c r="D428" i="23"/>
  <c r="C428" i="23"/>
  <c r="B428" i="23"/>
  <c r="F427" i="23"/>
  <c r="E427" i="23"/>
  <c r="D427" i="23"/>
  <c r="C427" i="23"/>
  <c r="B427" i="23"/>
  <c r="G426" i="23"/>
  <c r="F426" i="23"/>
  <c r="E426" i="23"/>
  <c r="D426" i="23"/>
  <c r="C426" i="23"/>
  <c r="B426" i="23"/>
  <c r="G425" i="23"/>
  <c r="F425" i="23"/>
  <c r="E425" i="23"/>
  <c r="D425" i="23"/>
  <c r="C425" i="23"/>
  <c r="B425" i="23"/>
  <c r="G424" i="23"/>
  <c r="F424" i="23"/>
  <c r="E424" i="23"/>
  <c r="D424" i="23"/>
  <c r="C424" i="23"/>
  <c r="B424" i="23"/>
  <c r="G423" i="23"/>
  <c r="F423" i="23"/>
  <c r="E423" i="23"/>
  <c r="D423" i="23"/>
  <c r="C423" i="23"/>
  <c r="B423" i="23"/>
  <c r="G422" i="23"/>
  <c r="F422" i="23"/>
  <c r="E422" i="23"/>
  <c r="D422" i="23"/>
  <c r="C422" i="23"/>
  <c r="B422" i="23"/>
  <c r="G421" i="23"/>
  <c r="F421" i="23"/>
  <c r="E421" i="23"/>
  <c r="D421" i="23"/>
  <c r="C421" i="23"/>
  <c r="B421" i="23"/>
  <c r="G420" i="23"/>
  <c r="F420" i="23"/>
  <c r="E420" i="23"/>
  <c r="D420" i="23"/>
  <c r="C420" i="23"/>
  <c r="B420" i="23"/>
  <c r="G419" i="23"/>
  <c r="F419" i="23"/>
  <c r="E419" i="23"/>
  <c r="D419" i="23"/>
  <c r="C419" i="23"/>
  <c r="B419" i="23"/>
  <c r="G418" i="23"/>
  <c r="F418" i="23"/>
  <c r="E418" i="23"/>
  <c r="D418" i="23"/>
  <c r="C418" i="23"/>
  <c r="B418" i="23"/>
  <c r="G417" i="23"/>
  <c r="F417" i="23"/>
  <c r="E417" i="23"/>
  <c r="D417" i="23"/>
  <c r="C417" i="23"/>
  <c r="B417" i="23"/>
  <c r="G416" i="23"/>
  <c r="F416" i="23"/>
  <c r="E416" i="23"/>
  <c r="D416" i="23"/>
  <c r="C416" i="23"/>
  <c r="B416" i="23"/>
  <c r="G415" i="23"/>
  <c r="F415" i="23"/>
  <c r="E415" i="23"/>
  <c r="D415" i="23"/>
  <c r="C415" i="23"/>
  <c r="B415" i="23"/>
  <c r="G414" i="23"/>
  <c r="F414" i="23"/>
  <c r="E414" i="23"/>
  <c r="D414" i="23"/>
  <c r="C414" i="23"/>
  <c r="B414" i="23"/>
  <c r="G413" i="23"/>
  <c r="F413" i="23"/>
  <c r="E413" i="23"/>
  <c r="D413" i="23"/>
  <c r="C413" i="23"/>
  <c r="B413" i="23"/>
  <c r="G412" i="23"/>
  <c r="F412" i="23"/>
  <c r="E412" i="23"/>
  <c r="D412" i="23"/>
  <c r="C412" i="23"/>
  <c r="B412" i="23"/>
  <c r="G411" i="23"/>
  <c r="F411" i="23"/>
  <c r="E411" i="23"/>
  <c r="D411" i="23"/>
  <c r="C411" i="23"/>
  <c r="B411" i="23"/>
  <c r="G410" i="23"/>
  <c r="F410" i="23"/>
  <c r="E410" i="23"/>
  <c r="D410" i="23"/>
  <c r="C410" i="23"/>
  <c r="B410" i="23"/>
  <c r="G409" i="23"/>
  <c r="F409" i="23"/>
  <c r="E409" i="23"/>
  <c r="D409" i="23"/>
  <c r="C409" i="23"/>
  <c r="B409" i="23"/>
  <c r="G408" i="23"/>
  <c r="F408" i="23"/>
  <c r="E408" i="23"/>
  <c r="D408" i="23"/>
  <c r="C408" i="23"/>
  <c r="B408" i="23"/>
  <c r="G407" i="23"/>
  <c r="F407" i="23"/>
  <c r="E407" i="23"/>
  <c r="D407" i="23"/>
  <c r="C407" i="23"/>
  <c r="B407" i="23"/>
  <c r="G406" i="23"/>
  <c r="F406" i="23"/>
  <c r="E406" i="23"/>
  <c r="D406" i="23"/>
  <c r="C406" i="23"/>
  <c r="B406" i="23"/>
  <c r="G405" i="23"/>
  <c r="F405" i="23"/>
  <c r="E405" i="23"/>
  <c r="D405" i="23"/>
  <c r="C405" i="23"/>
  <c r="B405" i="23"/>
  <c r="G404" i="23"/>
  <c r="F404" i="23"/>
  <c r="E404" i="23"/>
  <c r="D404" i="23"/>
  <c r="C404" i="23"/>
  <c r="B404" i="23"/>
  <c r="G403" i="23"/>
  <c r="F403" i="23"/>
  <c r="E403" i="23"/>
  <c r="D403" i="23"/>
  <c r="C403" i="23"/>
  <c r="B403" i="23"/>
  <c r="G402" i="23"/>
  <c r="F402" i="23"/>
  <c r="E402" i="23"/>
  <c r="D402" i="23"/>
  <c r="C402" i="23"/>
  <c r="B402" i="23"/>
  <c r="G401" i="23"/>
  <c r="F401" i="23"/>
  <c r="E401" i="23"/>
  <c r="D401" i="23"/>
  <c r="C401" i="23"/>
  <c r="B401" i="23"/>
  <c r="F400" i="23"/>
  <c r="E400" i="23"/>
  <c r="D400" i="23"/>
  <c r="C400" i="23"/>
  <c r="B400" i="23"/>
  <c r="G399" i="23"/>
  <c r="F399" i="23"/>
  <c r="E399" i="23"/>
  <c r="D399" i="23"/>
  <c r="C399" i="23"/>
  <c r="B399" i="23"/>
  <c r="G398" i="23"/>
  <c r="F398" i="23"/>
  <c r="E398" i="23"/>
  <c r="D398" i="23"/>
  <c r="C398" i="23"/>
  <c r="B398" i="23"/>
  <c r="G397" i="23"/>
  <c r="F397" i="23"/>
  <c r="E397" i="23"/>
  <c r="D397" i="23"/>
  <c r="C397" i="23"/>
  <c r="B397" i="23"/>
  <c r="G396" i="23"/>
  <c r="F396" i="23"/>
  <c r="E396" i="23"/>
  <c r="D396" i="23"/>
  <c r="C396" i="23"/>
  <c r="B396" i="23"/>
  <c r="G395" i="23"/>
  <c r="F395" i="23"/>
  <c r="E395" i="23"/>
  <c r="D395" i="23"/>
  <c r="C395" i="23"/>
  <c r="B395" i="23"/>
  <c r="G394" i="23"/>
  <c r="F394" i="23"/>
  <c r="E394" i="23"/>
  <c r="D394" i="23"/>
  <c r="C394" i="23"/>
  <c r="B394" i="23"/>
  <c r="G393" i="23"/>
  <c r="F393" i="23"/>
  <c r="E393" i="23"/>
  <c r="D393" i="23"/>
  <c r="C393" i="23"/>
  <c r="B393" i="23"/>
  <c r="G392" i="23"/>
  <c r="F392" i="23"/>
  <c r="E392" i="23"/>
  <c r="D392" i="23"/>
  <c r="C392" i="23"/>
  <c r="B392" i="23"/>
  <c r="G391" i="23"/>
  <c r="F391" i="23"/>
  <c r="E391" i="23"/>
  <c r="D391" i="23"/>
  <c r="C391" i="23"/>
  <c r="B391" i="23"/>
  <c r="G390" i="23"/>
  <c r="F390" i="23"/>
  <c r="E390" i="23"/>
  <c r="D390" i="23"/>
  <c r="C390" i="23"/>
  <c r="B390" i="23"/>
  <c r="F389" i="23"/>
  <c r="E389" i="23"/>
  <c r="D389" i="23"/>
  <c r="C389" i="23"/>
  <c r="B389" i="23"/>
  <c r="G388" i="23"/>
  <c r="F388" i="23"/>
  <c r="E388" i="23"/>
  <c r="D388" i="23"/>
  <c r="C388" i="23"/>
  <c r="B388" i="23"/>
  <c r="G387" i="23"/>
  <c r="F387" i="23"/>
  <c r="E387" i="23"/>
  <c r="D387" i="23"/>
  <c r="C387" i="23"/>
  <c r="B387" i="23"/>
  <c r="F386" i="23"/>
  <c r="E386" i="23"/>
  <c r="D386" i="23"/>
  <c r="C386" i="23"/>
  <c r="B386" i="23"/>
  <c r="F385" i="23"/>
  <c r="E385" i="23"/>
  <c r="D385" i="23"/>
  <c r="C385" i="23"/>
  <c r="B385" i="23"/>
  <c r="G384" i="23"/>
  <c r="F384" i="23"/>
  <c r="E384" i="23"/>
  <c r="D384" i="23"/>
  <c r="C384" i="23"/>
  <c r="B384" i="23"/>
  <c r="F383" i="23"/>
  <c r="E383" i="23"/>
  <c r="D383" i="23"/>
  <c r="C383" i="23"/>
  <c r="B383" i="23"/>
  <c r="F382" i="23"/>
  <c r="E382" i="23"/>
  <c r="D382" i="23"/>
  <c r="C382" i="23"/>
  <c r="B382" i="23"/>
  <c r="F381" i="23"/>
  <c r="E381" i="23"/>
  <c r="D381" i="23"/>
  <c r="C381" i="23"/>
  <c r="B381" i="23"/>
  <c r="G380" i="23"/>
  <c r="F380" i="23"/>
  <c r="E380" i="23"/>
  <c r="D380" i="23"/>
  <c r="C380" i="23"/>
  <c r="B380" i="23"/>
  <c r="G379" i="23"/>
  <c r="F379" i="23"/>
  <c r="E379" i="23"/>
  <c r="D379" i="23"/>
  <c r="C379" i="23"/>
  <c r="B379" i="23"/>
  <c r="G378" i="23"/>
  <c r="F378" i="23"/>
  <c r="E378" i="23"/>
  <c r="D378" i="23"/>
  <c r="C378" i="23"/>
  <c r="B378" i="23"/>
  <c r="G377" i="23"/>
  <c r="F377" i="23"/>
  <c r="E377" i="23"/>
  <c r="D377" i="23"/>
  <c r="C377" i="23"/>
  <c r="B377" i="23"/>
  <c r="G376" i="23"/>
  <c r="F376" i="23"/>
  <c r="E376" i="23"/>
  <c r="D376" i="23"/>
  <c r="C376" i="23"/>
  <c r="B376" i="23"/>
  <c r="G375" i="23"/>
  <c r="F375" i="23"/>
  <c r="E375" i="23"/>
  <c r="D375" i="23"/>
  <c r="C375" i="23"/>
  <c r="B375" i="23"/>
  <c r="G374" i="23"/>
  <c r="F374" i="23"/>
  <c r="E374" i="23"/>
  <c r="D374" i="23"/>
  <c r="C374" i="23"/>
  <c r="B374" i="23"/>
  <c r="G373" i="23"/>
  <c r="F373" i="23"/>
  <c r="E373" i="23"/>
  <c r="D373" i="23"/>
  <c r="C373" i="23"/>
  <c r="B373" i="23"/>
  <c r="F372" i="23"/>
  <c r="E372" i="23"/>
  <c r="D372" i="23"/>
  <c r="C372" i="23"/>
  <c r="B372" i="23"/>
  <c r="F371" i="23"/>
  <c r="E371" i="23"/>
  <c r="D371" i="23"/>
  <c r="C371" i="23"/>
  <c r="B371" i="23"/>
  <c r="F370" i="23"/>
  <c r="E370" i="23"/>
  <c r="D370" i="23"/>
  <c r="C370" i="23"/>
  <c r="B370" i="23"/>
  <c r="G369" i="23"/>
  <c r="F369" i="23"/>
  <c r="E369" i="23"/>
  <c r="D369" i="23"/>
  <c r="C369" i="23"/>
  <c r="B369" i="23"/>
  <c r="G368" i="23"/>
  <c r="F368" i="23"/>
  <c r="E368" i="23"/>
  <c r="D368" i="23"/>
  <c r="C368" i="23"/>
  <c r="B368" i="23"/>
  <c r="G367" i="23"/>
  <c r="F367" i="23"/>
  <c r="E367" i="23"/>
  <c r="D367" i="23"/>
  <c r="C367" i="23"/>
  <c r="B367" i="23"/>
  <c r="G366" i="23"/>
  <c r="F366" i="23"/>
  <c r="E366" i="23"/>
  <c r="D366" i="23"/>
  <c r="C366" i="23"/>
  <c r="B366" i="23"/>
  <c r="G365" i="23"/>
  <c r="F365" i="23"/>
  <c r="E365" i="23"/>
  <c r="D365" i="23"/>
  <c r="C365" i="23"/>
  <c r="B365" i="23"/>
  <c r="G364" i="23"/>
  <c r="F364" i="23"/>
  <c r="E364" i="23"/>
  <c r="D364" i="23"/>
  <c r="C364" i="23"/>
  <c r="B364" i="23"/>
  <c r="G363" i="23"/>
  <c r="F363" i="23"/>
  <c r="E363" i="23"/>
  <c r="D363" i="23"/>
  <c r="C363" i="23"/>
  <c r="B363" i="23"/>
  <c r="G362" i="23"/>
  <c r="F362" i="23"/>
  <c r="E362" i="23"/>
  <c r="D362" i="23"/>
  <c r="C362" i="23"/>
  <c r="B362" i="23"/>
  <c r="G361" i="23"/>
  <c r="F361" i="23"/>
  <c r="E361" i="23"/>
  <c r="D361" i="23"/>
  <c r="C361" i="23"/>
  <c r="B361" i="23"/>
  <c r="G360" i="23"/>
  <c r="F360" i="23"/>
  <c r="E360" i="23"/>
  <c r="D360" i="23"/>
  <c r="C360" i="23"/>
  <c r="B360" i="23"/>
  <c r="G359" i="23"/>
  <c r="F359" i="23"/>
  <c r="E359" i="23"/>
  <c r="D359" i="23"/>
  <c r="C359" i="23"/>
  <c r="B359" i="23"/>
  <c r="F358" i="23"/>
  <c r="E358" i="23"/>
  <c r="D358" i="23"/>
  <c r="C358" i="23"/>
  <c r="B358" i="23"/>
  <c r="G357" i="23"/>
  <c r="F357" i="23"/>
  <c r="E357" i="23"/>
  <c r="D357" i="23"/>
  <c r="C357" i="23"/>
  <c r="B357" i="23"/>
  <c r="F356" i="23"/>
  <c r="E356" i="23"/>
  <c r="D356" i="23"/>
  <c r="C356" i="23"/>
  <c r="B356" i="23"/>
  <c r="F355" i="23"/>
  <c r="E355" i="23"/>
  <c r="D355" i="23"/>
  <c r="C355" i="23"/>
  <c r="B355" i="23"/>
  <c r="G354" i="23"/>
  <c r="F354" i="23"/>
  <c r="E354" i="23"/>
  <c r="D354" i="23"/>
  <c r="C354" i="23"/>
  <c r="B354" i="23"/>
  <c r="G353" i="23"/>
  <c r="F353" i="23"/>
  <c r="E353" i="23"/>
  <c r="D353" i="23"/>
  <c r="C353" i="23"/>
  <c r="B353" i="23"/>
  <c r="G352" i="23"/>
  <c r="F352" i="23"/>
  <c r="E352" i="23"/>
  <c r="D352" i="23"/>
  <c r="C352" i="23"/>
  <c r="B352" i="23"/>
  <c r="G351" i="23"/>
  <c r="F351" i="23"/>
  <c r="E351" i="23"/>
  <c r="D351" i="23"/>
  <c r="C351" i="23"/>
  <c r="B351" i="23"/>
  <c r="G350" i="23"/>
  <c r="F350" i="23"/>
  <c r="E350" i="23"/>
  <c r="D350" i="23"/>
  <c r="C350" i="23"/>
  <c r="B350" i="23"/>
  <c r="G349" i="23"/>
  <c r="F349" i="23"/>
  <c r="E349" i="23"/>
  <c r="D349" i="23"/>
  <c r="C349" i="23"/>
  <c r="B349" i="23"/>
  <c r="G348" i="23"/>
  <c r="F348" i="23"/>
  <c r="E348" i="23"/>
  <c r="D348" i="23"/>
  <c r="C348" i="23"/>
  <c r="B348" i="23"/>
  <c r="G347" i="23"/>
  <c r="F347" i="23"/>
  <c r="E347" i="23"/>
  <c r="D347" i="23"/>
  <c r="C347" i="23"/>
  <c r="B347" i="23"/>
  <c r="G346" i="23"/>
  <c r="F346" i="23"/>
  <c r="E346" i="23"/>
  <c r="D346" i="23"/>
  <c r="C346" i="23"/>
  <c r="B346" i="23"/>
  <c r="G345" i="23"/>
  <c r="F345" i="23"/>
  <c r="E345" i="23"/>
  <c r="D345" i="23"/>
  <c r="C345" i="23"/>
  <c r="B345" i="23"/>
  <c r="G344" i="23"/>
  <c r="F344" i="23"/>
  <c r="E344" i="23"/>
  <c r="D344" i="23"/>
  <c r="C344" i="23"/>
  <c r="B344" i="23"/>
  <c r="F343" i="23"/>
  <c r="E343" i="23"/>
  <c r="D343" i="23"/>
  <c r="C343" i="23"/>
  <c r="B343" i="23"/>
  <c r="G342" i="23"/>
  <c r="F342" i="23"/>
  <c r="E342" i="23"/>
  <c r="D342" i="23"/>
  <c r="C342" i="23"/>
  <c r="B342" i="23"/>
  <c r="G341" i="23"/>
  <c r="F341" i="23"/>
  <c r="E341" i="23"/>
  <c r="D341" i="23"/>
  <c r="C341" i="23"/>
  <c r="B341" i="23"/>
  <c r="F340" i="23"/>
  <c r="E340" i="23"/>
  <c r="D340" i="23"/>
  <c r="C340" i="23"/>
  <c r="B340" i="23"/>
  <c r="F339" i="23"/>
  <c r="E339" i="23"/>
  <c r="D339" i="23"/>
  <c r="C339" i="23"/>
  <c r="B339" i="23"/>
  <c r="G338" i="23"/>
  <c r="F338" i="23"/>
  <c r="E338" i="23"/>
  <c r="D338" i="23"/>
  <c r="C338" i="23"/>
  <c r="B338" i="23"/>
  <c r="F337" i="23"/>
  <c r="E337" i="23"/>
  <c r="D337" i="23"/>
  <c r="C337" i="23"/>
  <c r="B337" i="23"/>
  <c r="F336" i="23"/>
  <c r="E336" i="23"/>
  <c r="D336" i="23"/>
  <c r="C336" i="23"/>
  <c r="B336" i="23"/>
  <c r="G335" i="23"/>
  <c r="F335" i="23"/>
  <c r="E335" i="23"/>
  <c r="D335" i="23"/>
  <c r="C335" i="23"/>
  <c r="B335" i="23"/>
  <c r="G334" i="23"/>
  <c r="F334" i="23"/>
  <c r="E334" i="23"/>
  <c r="D334" i="23"/>
  <c r="C334" i="23"/>
  <c r="B334" i="23"/>
  <c r="G333" i="23"/>
  <c r="F333" i="23"/>
  <c r="E333" i="23"/>
  <c r="D333" i="23"/>
  <c r="C333" i="23"/>
  <c r="B333" i="23"/>
  <c r="G332" i="23"/>
  <c r="F332" i="23"/>
  <c r="E332" i="23"/>
  <c r="D332" i="23"/>
  <c r="C332" i="23"/>
  <c r="B332" i="23"/>
  <c r="G331" i="23"/>
  <c r="F331" i="23"/>
  <c r="E331" i="23"/>
  <c r="D331" i="23"/>
  <c r="C331" i="23"/>
  <c r="B331" i="23"/>
  <c r="G330" i="23"/>
  <c r="F330" i="23"/>
  <c r="E330" i="23"/>
  <c r="D330" i="23"/>
  <c r="C330" i="23"/>
  <c r="B330" i="23"/>
  <c r="G329" i="23"/>
  <c r="F329" i="23"/>
  <c r="E329" i="23"/>
  <c r="D329" i="23"/>
  <c r="C329" i="23"/>
  <c r="B329" i="23"/>
  <c r="G328" i="23"/>
  <c r="F328" i="23"/>
  <c r="E328" i="23"/>
  <c r="D328" i="23"/>
  <c r="C328" i="23"/>
  <c r="B328" i="23"/>
  <c r="G327" i="23"/>
  <c r="F327" i="23"/>
  <c r="E327" i="23"/>
  <c r="D327" i="23"/>
  <c r="C327" i="23"/>
  <c r="B327" i="23"/>
  <c r="G326" i="23"/>
  <c r="F326" i="23"/>
  <c r="E326" i="23"/>
  <c r="D326" i="23"/>
  <c r="C326" i="23"/>
  <c r="B326" i="23"/>
  <c r="G325" i="23"/>
  <c r="F325" i="23"/>
  <c r="E325" i="23"/>
  <c r="D325" i="23"/>
  <c r="C325" i="23"/>
  <c r="B325" i="23"/>
  <c r="G324" i="23"/>
  <c r="F324" i="23"/>
  <c r="E324" i="23"/>
  <c r="D324" i="23"/>
  <c r="C324" i="23"/>
  <c r="B324" i="23"/>
  <c r="G323" i="23"/>
  <c r="F323" i="23"/>
  <c r="E323" i="23"/>
  <c r="D323" i="23"/>
  <c r="C323" i="23"/>
  <c r="B323" i="23"/>
  <c r="G322" i="23"/>
  <c r="F322" i="23"/>
  <c r="E322" i="23"/>
  <c r="D322" i="23"/>
  <c r="C322" i="23"/>
  <c r="B322" i="23"/>
  <c r="G321" i="23"/>
  <c r="F321" i="23"/>
  <c r="E321" i="23"/>
  <c r="D321" i="23"/>
  <c r="C321" i="23"/>
  <c r="B321" i="23"/>
  <c r="F320" i="23"/>
  <c r="E320" i="23"/>
  <c r="D320" i="23"/>
  <c r="C320" i="23"/>
  <c r="B320" i="23"/>
  <c r="G319" i="23"/>
  <c r="F319" i="23"/>
  <c r="E319" i="23"/>
  <c r="D319" i="23"/>
  <c r="C319" i="23"/>
  <c r="B319" i="23"/>
  <c r="G318" i="23"/>
  <c r="F318" i="23"/>
  <c r="E318" i="23"/>
  <c r="D318" i="23"/>
  <c r="C318" i="23"/>
  <c r="B318" i="23"/>
  <c r="G317" i="23"/>
  <c r="F317" i="23"/>
  <c r="E317" i="23"/>
  <c r="D317" i="23"/>
  <c r="C317" i="23"/>
  <c r="B317" i="23"/>
  <c r="F316" i="23"/>
  <c r="E316" i="23"/>
  <c r="D316" i="23"/>
  <c r="C316" i="23"/>
  <c r="B316" i="23"/>
  <c r="F315" i="23"/>
  <c r="E315" i="23"/>
  <c r="D315" i="23"/>
  <c r="C315" i="23"/>
  <c r="B315" i="23"/>
  <c r="F314" i="23"/>
  <c r="E314" i="23"/>
  <c r="D314" i="23"/>
  <c r="C314" i="23"/>
  <c r="B314" i="23"/>
  <c r="F313" i="23"/>
  <c r="E313" i="23"/>
  <c r="D313" i="23"/>
  <c r="C313" i="23"/>
  <c r="B313" i="23"/>
  <c r="G312" i="23"/>
  <c r="F312" i="23"/>
  <c r="E312" i="23"/>
  <c r="D312" i="23"/>
  <c r="C312" i="23"/>
  <c r="B312" i="23"/>
  <c r="G311" i="23"/>
  <c r="F311" i="23"/>
  <c r="E311" i="23"/>
  <c r="D311" i="23"/>
  <c r="C311" i="23"/>
  <c r="B311" i="23"/>
  <c r="G310" i="23"/>
  <c r="F310" i="23"/>
  <c r="E310" i="23"/>
  <c r="D310" i="23"/>
  <c r="C310" i="23"/>
  <c r="B310" i="23"/>
  <c r="G309" i="23"/>
  <c r="F309" i="23"/>
  <c r="E309" i="23"/>
  <c r="D309" i="23"/>
  <c r="C309" i="23"/>
  <c r="B309" i="23"/>
  <c r="G308" i="23"/>
  <c r="F308" i="23"/>
  <c r="E308" i="23"/>
  <c r="D308" i="23"/>
  <c r="C308" i="23"/>
  <c r="B308" i="23"/>
  <c r="G307" i="23"/>
  <c r="F307" i="23"/>
  <c r="E307" i="23"/>
  <c r="D307" i="23"/>
  <c r="C307" i="23"/>
  <c r="B307" i="23"/>
  <c r="G306" i="23"/>
  <c r="F306" i="23"/>
  <c r="E306" i="23"/>
  <c r="D306" i="23"/>
  <c r="C306" i="23"/>
  <c r="B306" i="23"/>
  <c r="G305" i="23"/>
  <c r="F305" i="23"/>
  <c r="E305" i="23"/>
  <c r="D305" i="23"/>
  <c r="C305" i="23"/>
  <c r="B305" i="23"/>
  <c r="G304" i="23"/>
  <c r="F304" i="23"/>
  <c r="E304" i="23"/>
  <c r="D304" i="23"/>
  <c r="C304" i="23"/>
  <c r="B304" i="23"/>
  <c r="G303" i="23"/>
  <c r="F303" i="23"/>
  <c r="E303" i="23"/>
  <c r="D303" i="23"/>
  <c r="C303" i="23"/>
  <c r="B303" i="23"/>
  <c r="F302" i="23"/>
  <c r="E302" i="23"/>
  <c r="D302" i="23"/>
  <c r="C302" i="23"/>
  <c r="B302" i="23"/>
  <c r="G301" i="23"/>
  <c r="F301" i="23"/>
  <c r="E301" i="23"/>
  <c r="D301" i="23"/>
  <c r="C301" i="23"/>
  <c r="B301" i="23"/>
  <c r="F300" i="23"/>
  <c r="E300" i="23"/>
  <c r="D300" i="23"/>
  <c r="C300" i="23"/>
  <c r="B300" i="23"/>
  <c r="G299" i="23"/>
  <c r="J299" i="23" s="1"/>
  <c r="F299" i="23"/>
  <c r="E299" i="23"/>
  <c r="D299" i="23"/>
  <c r="C299" i="23"/>
  <c r="B299" i="23"/>
  <c r="G298" i="23"/>
  <c r="F298" i="23"/>
  <c r="E298" i="23"/>
  <c r="D298" i="23"/>
  <c r="C298" i="23"/>
  <c r="B298" i="23"/>
  <c r="G297" i="23"/>
  <c r="F297" i="23"/>
  <c r="E297" i="23"/>
  <c r="D297" i="23"/>
  <c r="C297" i="23"/>
  <c r="B297" i="23"/>
  <c r="G296" i="23"/>
  <c r="F296" i="23"/>
  <c r="E296" i="23"/>
  <c r="D296" i="23"/>
  <c r="C296" i="23"/>
  <c r="B296" i="23"/>
  <c r="G295" i="23"/>
  <c r="F295" i="23"/>
  <c r="E295" i="23"/>
  <c r="D295" i="23"/>
  <c r="C295" i="23"/>
  <c r="B295" i="23"/>
  <c r="G294" i="23"/>
  <c r="F294" i="23"/>
  <c r="E294" i="23"/>
  <c r="D294" i="23"/>
  <c r="C294" i="23"/>
  <c r="B294" i="23"/>
  <c r="G293" i="23"/>
  <c r="F293" i="23"/>
  <c r="E293" i="23"/>
  <c r="D293" i="23"/>
  <c r="C293" i="23"/>
  <c r="B293" i="23"/>
  <c r="G292" i="23"/>
  <c r="F292" i="23"/>
  <c r="E292" i="23"/>
  <c r="D292" i="23"/>
  <c r="C292" i="23"/>
  <c r="B292" i="23"/>
  <c r="G291" i="23"/>
  <c r="J291" i="23" s="1"/>
  <c r="F291" i="23"/>
  <c r="E291" i="23"/>
  <c r="D291" i="23"/>
  <c r="C291" i="23"/>
  <c r="B291" i="23"/>
  <c r="G290" i="23"/>
  <c r="F290" i="23"/>
  <c r="E290" i="23"/>
  <c r="D290" i="23"/>
  <c r="C290" i="23"/>
  <c r="B290" i="23"/>
  <c r="G289" i="23"/>
  <c r="F289" i="23"/>
  <c r="E289" i="23"/>
  <c r="D289" i="23"/>
  <c r="C289" i="23"/>
  <c r="B289" i="23"/>
  <c r="G288" i="23"/>
  <c r="F288" i="23"/>
  <c r="E288" i="23"/>
  <c r="D288" i="23"/>
  <c r="C288" i="23"/>
  <c r="B288" i="23"/>
  <c r="G287" i="23"/>
  <c r="F287" i="23"/>
  <c r="E287" i="23"/>
  <c r="D287" i="23"/>
  <c r="C287" i="23"/>
  <c r="B287" i="23"/>
  <c r="G286" i="23"/>
  <c r="F286" i="23"/>
  <c r="E286" i="23"/>
  <c r="D286" i="23"/>
  <c r="C286" i="23"/>
  <c r="B286" i="23"/>
  <c r="G285" i="23"/>
  <c r="F285" i="23"/>
  <c r="E285" i="23"/>
  <c r="D285" i="23"/>
  <c r="C285" i="23"/>
  <c r="B285" i="23"/>
  <c r="G284" i="23"/>
  <c r="F284" i="23"/>
  <c r="E284" i="23"/>
  <c r="D284" i="23"/>
  <c r="C284" i="23"/>
  <c r="B284" i="23"/>
  <c r="G283" i="23"/>
  <c r="J283" i="23" s="1"/>
  <c r="F283" i="23"/>
  <c r="E283" i="23"/>
  <c r="D283" i="23"/>
  <c r="C283" i="23"/>
  <c r="B283" i="23"/>
  <c r="G282" i="23"/>
  <c r="F282" i="23"/>
  <c r="E282" i="23"/>
  <c r="D282" i="23"/>
  <c r="C282" i="23"/>
  <c r="B282" i="23"/>
  <c r="G269" i="23"/>
  <c r="F269" i="23"/>
  <c r="E269" i="23"/>
  <c r="D269" i="23"/>
  <c r="C269" i="23"/>
  <c r="B269" i="23"/>
  <c r="G268" i="23"/>
  <c r="F268" i="23"/>
  <c r="E268" i="23"/>
  <c r="D268" i="23"/>
  <c r="C268" i="23"/>
  <c r="B268" i="23"/>
  <c r="G267" i="23"/>
  <c r="J267" i="23" s="1"/>
  <c r="F267" i="23"/>
  <c r="E267" i="23"/>
  <c r="D267" i="23"/>
  <c r="C267" i="23"/>
  <c r="B267" i="23"/>
  <c r="G266" i="23"/>
  <c r="F266" i="23"/>
  <c r="E266" i="23"/>
  <c r="D266" i="23"/>
  <c r="C266" i="23"/>
  <c r="B266" i="23"/>
  <c r="G265" i="23"/>
  <c r="F265" i="23"/>
  <c r="E265" i="23"/>
  <c r="D265" i="23"/>
  <c r="C265" i="23"/>
  <c r="B265" i="23"/>
  <c r="G264" i="23"/>
  <c r="F264" i="23"/>
  <c r="E264" i="23"/>
  <c r="D264" i="23"/>
  <c r="C264" i="23"/>
  <c r="B264" i="23"/>
  <c r="G263" i="23"/>
  <c r="F263" i="23"/>
  <c r="E263" i="23"/>
  <c r="D263" i="23"/>
  <c r="C263" i="23"/>
  <c r="B263" i="23"/>
  <c r="G262" i="23"/>
  <c r="F262" i="23"/>
  <c r="E262" i="23"/>
  <c r="D262" i="23"/>
  <c r="C262" i="23"/>
  <c r="B262" i="23"/>
  <c r="G261" i="23"/>
  <c r="F261" i="23"/>
  <c r="E261" i="23"/>
  <c r="D261" i="23"/>
  <c r="C261" i="23"/>
  <c r="B261" i="23"/>
  <c r="G260" i="23"/>
  <c r="F260" i="23"/>
  <c r="E260" i="23"/>
  <c r="D260" i="23"/>
  <c r="C260" i="23"/>
  <c r="B260" i="23"/>
  <c r="G259" i="23"/>
  <c r="J259" i="23" s="1"/>
  <c r="F259" i="23"/>
  <c r="E259" i="23"/>
  <c r="D259" i="23"/>
  <c r="C259" i="23"/>
  <c r="B259" i="23"/>
  <c r="G258" i="23"/>
  <c r="F258" i="23"/>
  <c r="E258" i="23"/>
  <c r="D258" i="23"/>
  <c r="C258" i="23"/>
  <c r="B258" i="23"/>
  <c r="G257" i="23"/>
  <c r="F257" i="23"/>
  <c r="E257" i="23"/>
  <c r="D257" i="23"/>
  <c r="C257" i="23"/>
  <c r="B257" i="23"/>
  <c r="G243" i="23"/>
  <c r="F243" i="23"/>
  <c r="E243" i="23"/>
  <c r="D243" i="23"/>
  <c r="C243" i="23"/>
  <c r="B243" i="23"/>
  <c r="G242" i="23"/>
  <c r="J242" i="23" s="1"/>
  <c r="F242" i="23"/>
  <c r="E242" i="23"/>
  <c r="D242" i="23"/>
  <c r="C242" i="23"/>
  <c r="B242" i="23"/>
  <c r="G241" i="23"/>
  <c r="F241" i="23"/>
  <c r="E241" i="23"/>
  <c r="D241" i="23"/>
  <c r="C241" i="23"/>
  <c r="B241" i="23"/>
  <c r="G240" i="23"/>
  <c r="F240" i="23"/>
  <c r="E240" i="23"/>
  <c r="D240" i="23"/>
  <c r="C240" i="23"/>
  <c r="B240" i="23"/>
  <c r="G234" i="23"/>
  <c r="F234" i="23"/>
  <c r="E234" i="23"/>
  <c r="D234" i="23"/>
  <c r="C234" i="23"/>
  <c r="B234" i="23"/>
  <c r="G233" i="23"/>
  <c r="F233" i="23"/>
  <c r="E233" i="23"/>
  <c r="D233" i="23"/>
  <c r="C233" i="23"/>
  <c r="B233" i="23"/>
  <c r="G232" i="23"/>
  <c r="F232" i="23"/>
  <c r="E232" i="23"/>
  <c r="D232" i="23"/>
  <c r="C232" i="23"/>
  <c r="B232" i="23"/>
  <c r="G231" i="23"/>
  <c r="F231" i="23"/>
  <c r="E231" i="23"/>
  <c r="D231" i="23"/>
  <c r="C231" i="23"/>
  <c r="B231" i="23"/>
  <c r="G228" i="23"/>
  <c r="F228" i="23"/>
  <c r="E228" i="23"/>
  <c r="D228" i="23"/>
  <c r="C228" i="23"/>
  <c r="B228" i="23"/>
  <c r="G227" i="23"/>
  <c r="J227" i="23" s="1"/>
  <c r="F227" i="23"/>
  <c r="E227" i="23"/>
  <c r="D227" i="23"/>
  <c r="C227" i="23"/>
  <c r="B227" i="23"/>
  <c r="F226" i="23"/>
  <c r="E226" i="23"/>
  <c r="D226" i="23"/>
  <c r="C226" i="23"/>
  <c r="B226" i="23"/>
  <c r="G225" i="23"/>
  <c r="F225" i="23"/>
  <c r="E225" i="23"/>
  <c r="D225" i="23"/>
  <c r="C225" i="23"/>
  <c r="B225" i="23"/>
  <c r="G224" i="23"/>
  <c r="F224" i="23"/>
  <c r="E224" i="23"/>
  <c r="D224" i="23"/>
  <c r="C224" i="23"/>
  <c r="B224" i="23"/>
  <c r="G223" i="23"/>
  <c r="F223" i="23"/>
  <c r="E223" i="23"/>
  <c r="D223" i="23"/>
  <c r="C223" i="23"/>
  <c r="B223" i="23"/>
  <c r="G222" i="23"/>
  <c r="F222" i="23"/>
  <c r="E222" i="23"/>
  <c r="D222" i="23"/>
  <c r="C222" i="23"/>
  <c r="B222" i="23"/>
  <c r="F221" i="23"/>
  <c r="E221" i="23"/>
  <c r="D221" i="23"/>
  <c r="C221" i="23"/>
  <c r="B221" i="23"/>
  <c r="G220" i="23"/>
  <c r="F220" i="23"/>
  <c r="E220" i="23"/>
  <c r="D220" i="23"/>
  <c r="C220" i="23"/>
  <c r="B220" i="23"/>
  <c r="G219" i="23"/>
  <c r="J219" i="23" s="1"/>
  <c r="F219" i="23"/>
  <c r="E219" i="23"/>
  <c r="D219" i="23"/>
  <c r="C219" i="23"/>
  <c r="B219" i="23"/>
  <c r="G218" i="23"/>
  <c r="F218" i="23"/>
  <c r="E218" i="23"/>
  <c r="D218" i="23"/>
  <c r="C218" i="23"/>
  <c r="B218" i="23"/>
  <c r="G217" i="23"/>
  <c r="F217" i="23"/>
  <c r="E217" i="23"/>
  <c r="D217" i="23"/>
  <c r="C217" i="23"/>
  <c r="B217" i="23"/>
  <c r="G216" i="23"/>
  <c r="F216" i="23"/>
  <c r="E216" i="23"/>
  <c r="D216" i="23"/>
  <c r="C216" i="23"/>
  <c r="B216" i="23"/>
  <c r="F215" i="23"/>
  <c r="E215" i="23"/>
  <c r="D215" i="23"/>
  <c r="C215" i="23"/>
  <c r="B215" i="23"/>
  <c r="G214" i="23"/>
  <c r="F214" i="23"/>
  <c r="E214" i="23"/>
  <c r="D214" i="23"/>
  <c r="C214" i="23"/>
  <c r="B214" i="23"/>
  <c r="F213" i="23"/>
  <c r="E213" i="23"/>
  <c r="D213" i="23"/>
  <c r="C213" i="23"/>
  <c r="B213" i="23"/>
  <c r="G212" i="23"/>
  <c r="F212" i="23"/>
  <c r="E212" i="23"/>
  <c r="D212" i="23"/>
  <c r="C212" i="23"/>
  <c r="B212" i="23"/>
  <c r="G211" i="23"/>
  <c r="J211" i="23" s="1"/>
  <c r="F211" i="23"/>
  <c r="E211" i="23"/>
  <c r="D211" i="23"/>
  <c r="C211" i="23"/>
  <c r="B211" i="23"/>
  <c r="G210" i="23"/>
  <c r="F210" i="23"/>
  <c r="E210" i="23"/>
  <c r="D210" i="23"/>
  <c r="C210" i="23"/>
  <c r="B210" i="23"/>
  <c r="G209" i="23"/>
  <c r="F209" i="23"/>
  <c r="E209" i="23"/>
  <c r="D209" i="23"/>
  <c r="C209" i="23"/>
  <c r="B209" i="23"/>
  <c r="F208" i="23"/>
  <c r="E208" i="23"/>
  <c r="D208" i="23"/>
  <c r="C208" i="23"/>
  <c r="B208" i="23"/>
  <c r="F207" i="23"/>
  <c r="E207" i="23"/>
  <c r="D207" i="23"/>
  <c r="C207" i="23"/>
  <c r="B207" i="23"/>
  <c r="F206" i="23"/>
  <c r="E206" i="23"/>
  <c r="D206" i="23"/>
  <c r="C206" i="23"/>
  <c r="B206" i="23"/>
  <c r="G205" i="23"/>
  <c r="F205" i="23"/>
  <c r="E205" i="23"/>
  <c r="D205" i="23"/>
  <c r="C205" i="23"/>
  <c r="B205" i="23"/>
  <c r="G204" i="23"/>
  <c r="F204" i="23"/>
  <c r="E204" i="23"/>
  <c r="D204" i="23"/>
  <c r="C204" i="23"/>
  <c r="B204" i="23"/>
  <c r="G203" i="23"/>
  <c r="F203" i="23"/>
  <c r="E203" i="23"/>
  <c r="D203" i="23"/>
  <c r="C203" i="23"/>
  <c r="B203" i="23"/>
  <c r="G202" i="23"/>
  <c r="F202" i="23"/>
  <c r="E202" i="23"/>
  <c r="D202" i="23"/>
  <c r="C202" i="23"/>
  <c r="B202" i="23"/>
  <c r="G201" i="23"/>
  <c r="F201" i="23"/>
  <c r="E201" i="23"/>
  <c r="D201" i="23"/>
  <c r="C201" i="23"/>
  <c r="B201" i="23"/>
  <c r="G200" i="23"/>
  <c r="F200" i="23"/>
  <c r="E200" i="23"/>
  <c r="D200" i="23"/>
  <c r="C200" i="23"/>
  <c r="B200" i="23"/>
  <c r="F199" i="23"/>
  <c r="E199" i="23"/>
  <c r="D199" i="23"/>
  <c r="C199" i="23"/>
  <c r="B199" i="23"/>
  <c r="G198" i="23"/>
  <c r="F198" i="23"/>
  <c r="E198" i="23"/>
  <c r="D198" i="23"/>
  <c r="C198" i="23"/>
  <c r="B198" i="23"/>
  <c r="G197" i="23"/>
  <c r="F197" i="23"/>
  <c r="E197" i="23"/>
  <c r="D197" i="23"/>
  <c r="C197" i="23"/>
  <c r="B197" i="23"/>
  <c r="G196" i="23"/>
  <c r="F196" i="23"/>
  <c r="E196" i="23"/>
  <c r="D196" i="23"/>
  <c r="C196" i="23"/>
  <c r="B196" i="23"/>
  <c r="F195" i="23"/>
  <c r="E195" i="23"/>
  <c r="D195" i="23"/>
  <c r="C195" i="23"/>
  <c r="B195" i="23"/>
  <c r="G194" i="23"/>
  <c r="F194" i="23"/>
  <c r="E194" i="23"/>
  <c r="D194" i="23"/>
  <c r="C194" i="23"/>
  <c r="B194" i="23"/>
  <c r="G193" i="23"/>
  <c r="F193" i="23"/>
  <c r="E193" i="23"/>
  <c r="D193" i="23"/>
  <c r="C193" i="23"/>
  <c r="B193" i="23"/>
  <c r="F192" i="23"/>
  <c r="E192" i="23"/>
  <c r="D192" i="23"/>
  <c r="C192" i="23"/>
  <c r="B192" i="23"/>
  <c r="G189" i="23"/>
  <c r="J189" i="23" s="1"/>
  <c r="F189" i="23"/>
  <c r="E189" i="23"/>
  <c r="D189" i="23"/>
  <c r="C189" i="23"/>
  <c r="B189" i="23"/>
  <c r="G188" i="23"/>
  <c r="F188" i="23"/>
  <c r="E188" i="23"/>
  <c r="D188" i="23"/>
  <c r="C188" i="23"/>
  <c r="B188" i="23"/>
  <c r="G187" i="23"/>
  <c r="F187" i="23"/>
  <c r="E187" i="23"/>
  <c r="D187" i="23"/>
  <c r="C187" i="23"/>
  <c r="B187" i="23"/>
  <c r="G186" i="23"/>
  <c r="F186" i="23"/>
  <c r="E186" i="23"/>
  <c r="D186" i="23"/>
  <c r="C186" i="23"/>
  <c r="B186" i="23"/>
  <c r="G185" i="23"/>
  <c r="F185" i="23"/>
  <c r="E185" i="23"/>
  <c r="D185" i="23"/>
  <c r="C185" i="23"/>
  <c r="B185" i="23"/>
  <c r="G184" i="23"/>
  <c r="F184" i="23"/>
  <c r="E184" i="23"/>
  <c r="D184" i="23"/>
  <c r="C184" i="23"/>
  <c r="B184" i="23"/>
  <c r="G183" i="23"/>
  <c r="F183" i="23"/>
  <c r="E183" i="23"/>
  <c r="D183" i="23"/>
  <c r="C183" i="23"/>
  <c r="B183" i="23"/>
  <c r="G182" i="23"/>
  <c r="F182" i="23"/>
  <c r="E182" i="23"/>
  <c r="D182" i="23"/>
  <c r="C182" i="23"/>
  <c r="B182" i="23"/>
  <c r="G181" i="23"/>
  <c r="F181" i="23"/>
  <c r="E181" i="23"/>
  <c r="D181" i="23"/>
  <c r="C181" i="23"/>
  <c r="B181" i="23"/>
  <c r="F180" i="23"/>
  <c r="E180" i="23"/>
  <c r="D180" i="23"/>
  <c r="C180" i="23"/>
  <c r="B180" i="23"/>
  <c r="G179" i="23"/>
  <c r="F179" i="23"/>
  <c r="E179" i="23"/>
  <c r="D179" i="23"/>
  <c r="C179" i="23"/>
  <c r="B179" i="23"/>
  <c r="G178" i="23"/>
  <c r="F178" i="23"/>
  <c r="E178" i="23"/>
  <c r="D178" i="23"/>
  <c r="C178" i="23"/>
  <c r="B178" i="23"/>
  <c r="G177" i="23"/>
  <c r="J177" i="23" s="1"/>
  <c r="F177" i="23"/>
  <c r="E177" i="23"/>
  <c r="D177" i="23"/>
  <c r="C177" i="23"/>
  <c r="B177" i="23"/>
  <c r="G176" i="23"/>
  <c r="F176" i="23"/>
  <c r="E176" i="23"/>
  <c r="D176" i="23"/>
  <c r="C176" i="23"/>
  <c r="B176" i="23"/>
  <c r="F175" i="23"/>
  <c r="E175" i="23"/>
  <c r="D175" i="23"/>
  <c r="C175" i="23"/>
  <c r="B175" i="23"/>
  <c r="G174" i="23"/>
  <c r="F174" i="23"/>
  <c r="E174" i="23"/>
  <c r="D174" i="23"/>
  <c r="C174" i="23"/>
  <c r="B174" i="23"/>
  <c r="G173" i="23"/>
  <c r="J173" i="23" s="1"/>
  <c r="F173" i="23"/>
  <c r="E173" i="23"/>
  <c r="D173" i="23"/>
  <c r="C173" i="23"/>
  <c r="B173" i="23"/>
  <c r="G172" i="23"/>
  <c r="F172" i="23"/>
  <c r="E172" i="23"/>
  <c r="D172" i="23"/>
  <c r="C172" i="23"/>
  <c r="B172" i="23"/>
  <c r="G171" i="23"/>
  <c r="F171" i="23"/>
  <c r="E171" i="23"/>
  <c r="D171" i="23"/>
  <c r="C171" i="23"/>
  <c r="B171" i="23"/>
  <c r="F170" i="23"/>
  <c r="E170" i="23"/>
  <c r="D170" i="23"/>
  <c r="C170" i="23"/>
  <c r="B170" i="23"/>
  <c r="G169" i="23"/>
  <c r="J169" i="23" s="1"/>
  <c r="F169" i="23"/>
  <c r="E169" i="23"/>
  <c r="D169" i="23"/>
  <c r="C169" i="23"/>
  <c r="B169" i="23"/>
  <c r="G168" i="23"/>
  <c r="F168" i="23"/>
  <c r="E168" i="23"/>
  <c r="D168" i="23"/>
  <c r="C168" i="23"/>
  <c r="B168" i="23"/>
  <c r="G167" i="23"/>
  <c r="F167" i="23"/>
  <c r="E167" i="23"/>
  <c r="D167" i="23"/>
  <c r="C167" i="23"/>
  <c r="B167" i="23"/>
  <c r="G166" i="23"/>
  <c r="F166" i="23"/>
  <c r="E166" i="23"/>
  <c r="D166" i="23"/>
  <c r="C166" i="23"/>
  <c r="B166" i="23"/>
  <c r="G165" i="23"/>
  <c r="J165" i="23" s="1"/>
  <c r="F165" i="23"/>
  <c r="E165" i="23"/>
  <c r="D165" i="23"/>
  <c r="C165" i="23"/>
  <c r="B165" i="23"/>
  <c r="G164" i="23"/>
  <c r="F164" i="23"/>
  <c r="E164" i="23"/>
  <c r="D164" i="23"/>
  <c r="C164" i="23"/>
  <c r="B164" i="23"/>
  <c r="G163" i="23"/>
  <c r="F163" i="23"/>
  <c r="E163" i="23"/>
  <c r="D163" i="23"/>
  <c r="C163" i="23"/>
  <c r="B163" i="23"/>
  <c r="G162" i="23"/>
  <c r="F162" i="23"/>
  <c r="E162" i="23"/>
  <c r="D162" i="23"/>
  <c r="C162" i="23"/>
  <c r="B162" i="23"/>
  <c r="G161" i="23"/>
  <c r="J161" i="23" s="1"/>
  <c r="F161" i="23"/>
  <c r="E161" i="23"/>
  <c r="D161" i="23"/>
  <c r="C161" i="23"/>
  <c r="B161" i="23"/>
  <c r="G160" i="23"/>
  <c r="F160" i="23"/>
  <c r="E160" i="23"/>
  <c r="D160" i="23"/>
  <c r="C160" i="23"/>
  <c r="B160" i="23"/>
  <c r="G159" i="23"/>
  <c r="F159" i="23"/>
  <c r="E159" i="23"/>
  <c r="D159" i="23"/>
  <c r="C159" i="23"/>
  <c r="B159" i="23"/>
  <c r="G158" i="23"/>
  <c r="F158" i="23"/>
  <c r="E158" i="23"/>
  <c r="D158" i="23"/>
  <c r="C158" i="23"/>
  <c r="B158" i="23"/>
  <c r="F157" i="23"/>
  <c r="E157" i="23"/>
  <c r="D157" i="23"/>
  <c r="C157" i="23"/>
  <c r="B157" i="23"/>
  <c r="G156" i="23"/>
  <c r="F156" i="23"/>
  <c r="E156" i="23"/>
  <c r="D156" i="23"/>
  <c r="C156" i="23"/>
  <c r="B156" i="23"/>
  <c r="G155" i="23"/>
  <c r="F155" i="23"/>
  <c r="E155" i="23"/>
  <c r="D155" i="23"/>
  <c r="C155" i="23"/>
  <c r="B155" i="23"/>
  <c r="G154" i="23"/>
  <c r="F154" i="23"/>
  <c r="E154" i="23"/>
  <c r="D154" i="23"/>
  <c r="C154" i="23"/>
  <c r="B154" i="23"/>
  <c r="G153" i="23"/>
  <c r="J153" i="23" s="1"/>
  <c r="F153" i="23"/>
  <c r="E153" i="23"/>
  <c r="D153" i="23"/>
  <c r="C153" i="23"/>
  <c r="B153" i="23"/>
  <c r="F152" i="23"/>
  <c r="E152" i="23"/>
  <c r="D152" i="23"/>
  <c r="C152" i="23"/>
  <c r="B152" i="23"/>
  <c r="G151" i="23"/>
  <c r="F151" i="23"/>
  <c r="E151" i="23"/>
  <c r="D151" i="23"/>
  <c r="C151" i="23"/>
  <c r="B151" i="23"/>
  <c r="G150" i="23"/>
  <c r="F150" i="23"/>
  <c r="E150" i="23"/>
  <c r="D150" i="23"/>
  <c r="C150" i="23"/>
  <c r="B150" i="23"/>
  <c r="G149" i="23"/>
  <c r="F149" i="23"/>
  <c r="E149" i="23"/>
  <c r="D149" i="23"/>
  <c r="C149" i="23"/>
  <c r="B149" i="23"/>
  <c r="G148" i="23"/>
  <c r="F148" i="23"/>
  <c r="E148" i="23"/>
  <c r="D148" i="23"/>
  <c r="C148" i="23"/>
  <c r="B148" i="23"/>
  <c r="G147" i="23"/>
  <c r="F147" i="23"/>
  <c r="E147" i="23"/>
  <c r="D147" i="23"/>
  <c r="C147" i="23"/>
  <c r="B147" i="23"/>
  <c r="F146" i="23"/>
  <c r="E146" i="23"/>
  <c r="D146" i="23"/>
  <c r="C146" i="23"/>
  <c r="B146" i="23"/>
  <c r="G145" i="23"/>
  <c r="F145" i="23"/>
  <c r="E145" i="23"/>
  <c r="D145" i="23"/>
  <c r="C145" i="23"/>
  <c r="B145" i="23"/>
  <c r="F144" i="23"/>
  <c r="E144" i="23"/>
  <c r="D144" i="23"/>
  <c r="C144" i="23"/>
  <c r="B144" i="23"/>
  <c r="F143" i="23"/>
  <c r="E143" i="23"/>
  <c r="D143" i="23"/>
  <c r="C143" i="23"/>
  <c r="B143" i="23"/>
  <c r="F142" i="23"/>
  <c r="E142" i="23"/>
  <c r="D142" i="23"/>
  <c r="C142" i="23"/>
  <c r="B142" i="23"/>
  <c r="F141" i="23"/>
  <c r="E141" i="23"/>
  <c r="D141" i="23"/>
  <c r="C141" i="23"/>
  <c r="B141" i="23"/>
  <c r="G140" i="23"/>
  <c r="F140" i="23"/>
  <c r="E140" i="23"/>
  <c r="D140" i="23"/>
  <c r="C140" i="23"/>
  <c r="B140" i="23"/>
  <c r="G139" i="23"/>
  <c r="F139" i="23"/>
  <c r="E139" i="23"/>
  <c r="D139" i="23"/>
  <c r="C139" i="23"/>
  <c r="B139" i="23"/>
  <c r="G138" i="23"/>
  <c r="F138" i="23"/>
  <c r="E138" i="23"/>
  <c r="D138" i="23"/>
  <c r="C138" i="23"/>
  <c r="B138" i="23"/>
  <c r="G137" i="23"/>
  <c r="F137" i="23"/>
  <c r="E137" i="23"/>
  <c r="D137" i="23"/>
  <c r="C137" i="23"/>
  <c r="B137" i="23"/>
  <c r="G136" i="23"/>
  <c r="F136" i="23"/>
  <c r="E136" i="23"/>
  <c r="D136" i="23"/>
  <c r="C136" i="23"/>
  <c r="B136" i="23"/>
  <c r="G135" i="23"/>
  <c r="F135" i="23"/>
  <c r="E135" i="23"/>
  <c r="D135" i="23"/>
  <c r="C135" i="23"/>
  <c r="B135" i="23"/>
  <c r="G134" i="23"/>
  <c r="F134" i="23"/>
  <c r="E134" i="23"/>
  <c r="D134" i="23"/>
  <c r="C134" i="23"/>
  <c r="B134" i="23"/>
  <c r="F133" i="23"/>
  <c r="E133" i="23"/>
  <c r="D133" i="23"/>
  <c r="C133" i="23"/>
  <c r="B133" i="23"/>
  <c r="G132" i="23"/>
  <c r="F132" i="23"/>
  <c r="E132" i="23"/>
  <c r="D132" i="23"/>
  <c r="C132" i="23"/>
  <c r="B132" i="23"/>
  <c r="G131" i="23"/>
  <c r="F131" i="23"/>
  <c r="E131" i="23"/>
  <c r="D131" i="23"/>
  <c r="C131" i="23"/>
  <c r="B131" i="23"/>
  <c r="G130" i="23"/>
  <c r="F130" i="23"/>
  <c r="E130" i="23"/>
  <c r="D130" i="23"/>
  <c r="C130" i="23"/>
  <c r="B130" i="23"/>
  <c r="G129" i="23"/>
  <c r="J129" i="23" s="1"/>
  <c r="F129" i="23"/>
  <c r="E129" i="23"/>
  <c r="D129" i="23"/>
  <c r="C129" i="23"/>
  <c r="B129" i="23"/>
  <c r="G128" i="23"/>
  <c r="F128" i="23"/>
  <c r="E128" i="23"/>
  <c r="D128" i="23"/>
  <c r="C128" i="23"/>
  <c r="B128" i="23"/>
  <c r="F127" i="23"/>
  <c r="E127" i="23"/>
  <c r="D127" i="23"/>
  <c r="C127" i="23"/>
  <c r="B127" i="23"/>
  <c r="G126" i="23"/>
  <c r="F126" i="23"/>
  <c r="E126" i="23"/>
  <c r="D126" i="23"/>
  <c r="C126" i="23"/>
  <c r="B126" i="23"/>
  <c r="F125" i="23"/>
  <c r="E125" i="23"/>
  <c r="D125" i="23"/>
  <c r="C125" i="23"/>
  <c r="B125" i="23"/>
  <c r="G124" i="23"/>
  <c r="F124" i="23"/>
  <c r="E124" i="23"/>
  <c r="D124" i="23"/>
  <c r="C124" i="23"/>
  <c r="B124" i="23"/>
  <c r="F123" i="23"/>
  <c r="E123" i="23"/>
  <c r="D123" i="23"/>
  <c r="C123" i="23"/>
  <c r="B123" i="23"/>
  <c r="G122" i="23"/>
  <c r="F122" i="23"/>
  <c r="E122" i="23"/>
  <c r="D122" i="23"/>
  <c r="C122" i="23"/>
  <c r="B122" i="23"/>
  <c r="G121" i="23"/>
  <c r="J121" i="23" s="1"/>
  <c r="F121" i="23"/>
  <c r="E121" i="23"/>
  <c r="D121" i="23"/>
  <c r="C121" i="23"/>
  <c r="B121" i="23"/>
  <c r="F120" i="23"/>
  <c r="E120" i="23"/>
  <c r="D120" i="23"/>
  <c r="C120" i="23"/>
  <c r="B120" i="23"/>
  <c r="G119" i="23"/>
  <c r="F119" i="23"/>
  <c r="E119" i="23"/>
  <c r="D119" i="23"/>
  <c r="C119" i="23"/>
  <c r="B119" i="23"/>
  <c r="F118" i="23"/>
  <c r="E118" i="23"/>
  <c r="D118" i="23"/>
  <c r="C118" i="23"/>
  <c r="B118" i="23"/>
  <c r="G117" i="23"/>
  <c r="J117" i="23" s="1"/>
  <c r="F117" i="23"/>
  <c r="E117" i="23"/>
  <c r="D117" i="23"/>
  <c r="C117" i="23"/>
  <c r="B117" i="23"/>
  <c r="F116" i="23"/>
  <c r="E116" i="23"/>
  <c r="D116" i="23"/>
  <c r="C116" i="23"/>
  <c r="B116" i="23"/>
  <c r="F115" i="23"/>
  <c r="E115" i="23"/>
  <c r="D115" i="23"/>
  <c r="C115" i="23"/>
  <c r="B115" i="23"/>
  <c r="F114" i="23"/>
  <c r="E114" i="23"/>
  <c r="D114" i="23"/>
  <c r="C114" i="23"/>
  <c r="B114" i="23"/>
  <c r="G113" i="23"/>
  <c r="J113" i="23" s="1"/>
  <c r="F113" i="23"/>
  <c r="E113" i="23"/>
  <c r="D113" i="23"/>
  <c r="C113" i="23"/>
  <c r="B113" i="23"/>
  <c r="G112" i="23"/>
  <c r="F112" i="23"/>
  <c r="E112" i="23"/>
  <c r="D112" i="23"/>
  <c r="C112" i="23"/>
  <c r="B112" i="23"/>
  <c r="G111" i="23"/>
  <c r="F111" i="23"/>
  <c r="E111" i="23"/>
  <c r="D111" i="23"/>
  <c r="C111" i="23"/>
  <c r="B111" i="23"/>
  <c r="G110" i="23"/>
  <c r="F110" i="23"/>
  <c r="E110" i="23"/>
  <c r="D110" i="23"/>
  <c r="C110" i="23"/>
  <c r="B110" i="23"/>
  <c r="G109" i="23"/>
  <c r="J109" i="23" s="1"/>
  <c r="F109" i="23"/>
  <c r="E109" i="23"/>
  <c r="D109" i="23"/>
  <c r="C109" i="23"/>
  <c r="B109" i="23"/>
  <c r="G108" i="23"/>
  <c r="F108" i="23"/>
  <c r="E108" i="23"/>
  <c r="D108" i="23"/>
  <c r="C108" i="23"/>
  <c r="B108" i="23"/>
  <c r="G107" i="23"/>
  <c r="F107" i="23"/>
  <c r="E107" i="23"/>
  <c r="D107" i="23"/>
  <c r="C107" i="23"/>
  <c r="B107" i="23"/>
  <c r="F106" i="23"/>
  <c r="E106" i="23"/>
  <c r="D106" i="23"/>
  <c r="C106" i="23"/>
  <c r="B106" i="23"/>
  <c r="G105" i="23"/>
  <c r="J105" i="23" s="1"/>
  <c r="F105" i="23"/>
  <c r="E105" i="23"/>
  <c r="D105" i="23"/>
  <c r="C105" i="23"/>
  <c r="B105" i="23"/>
  <c r="G104" i="23"/>
  <c r="F104" i="23"/>
  <c r="E104" i="23"/>
  <c r="D104" i="23"/>
  <c r="C104" i="23"/>
  <c r="B104" i="23"/>
  <c r="F103" i="23"/>
  <c r="E103" i="23"/>
  <c r="D103" i="23"/>
  <c r="C103" i="23"/>
  <c r="B103" i="23"/>
  <c r="F102" i="23"/>
  <c r="E102" i="23"/>
  <c r="D102" i="23"/>
  <c r="C102" i="23"/>
  <c r="B102" i="23"/>
  <c r="F101" i="23"/>
  <c r="E101" i="23"/>
  <c r="D101" i="23"/>
  <c r="C101" i="23"/>
  <c r="B101" i="23"/>
  <c r="G100" i="23"/>
  <c r="F100" i="23"/>
  <c r="E100" i="23"/>
  <c r="D100" i="23"/>
  <c r="C100" i="23"/>
  <c r="B100" i="23"/>
  <c r="G99" i="23"/>
  <c r="F99" i="23"/>
  <c r="E99" i="23"/>
  <c r="D99" i="23"/>
  <c r="C99" i="23"/>
  <c r="B99" i="23"/>
  <c r="G98" i="23"/>
  <c r="F98" i="23"/>
  <c r="E98" i="23"/>
  <c r="D98" i="23"/>
  <c r="C98" i="23"/>
  <c r="B98" i="23"/>
  <c r="G97" i="23"/>
  <c r="J97" i="23" s="1"/>
  <c r="F97" i="23"/>
  <c r="E97" i="23"/>
  <c r="D97" i="23"/>
  <c r="C97" i="23"/>
  <c r="B97" i="23"/>
  <c r="G96" i="23"/>
  <c r="F96" i="23"/>
  <c r="E96" i="23"/>
  <c r="D96" i="23"/>
  <c r="C96" i="23"/>
  <c r="B96" i="23"/>
  <c r="G95" i="23"/>
  <c r="F95" i="23"/>
  <c r="E95" i="23"/>
  <c r="D95" i="23"/>
  <c r="C95" i="23"/>
  <c r="B95" i="23"/>
  <c r="F94" i="23"/>
  <c r="E94" i="23"/>
  <c r="D94" i="23"/>
  <c r="C94" i="23"/>
  <c r="B94" i="23"/>
  <c r="F93" i="23"/>
  <c r="E93" i="23"/>
  <c r="D93" i="23"/>
  <c r="C93" i="23"/>
  <c r="B93" i="23"/>
  <c r="F92" i="23"/>
  <c r="E92" i="23"/>
  <c r="D92" i="23"/>
  <c r="C92" i="23"/>
  <c r="B92" i="23"/>
  <c r="G91" i="23"/>
  <c r="F91" i="23"/>
  <c r="E91" i="23"/>
  <c r="D91" i="23"/>
  <c r="C91" i="23"/>
  <c r="B91" i="23"/>
  <c r="G90" i="23"/>
  <c r="F90" i="23"/>
  <c r="E90" i="23"/>
  <c r="D90" i="23"/>
  <c r="C90" i="23"/>
  <c r="B90" i="23"/>
  <c r="G89" i="23"/>
  <c r="J89" i="23" s="1"/>
  <c r="F89" i="23"/>
  <c r="E89" i="23"/>
  <c r="D89" i="23"/>
  <c r="C89" i="23"/>
  <c r="B89" i="23"/>
  <c r="G88" i="23"/>
  <c r="F88" i="23"/>
  <c r="E88" i="23"/>
  <c r="D88" i="23"/>
  <c r="C88" i="23"/>
  <c r="B88" i="23"/>
  <c r="G87" i="23"/>
  <c r="F87" i="23"/>
  <c r="E87" i="23"/>
  <c r="D87" i="23"/>
  <c r="C87" i="23"/>
  <c r="B87" i="23"/>
  <c r="F86" i="23"/>
  <c r="E86" i="23"/>
  <c r="D86" i="23"/>
  <c r="C86" i="23"/>
  <c r="B86" i="23"/>
  <c r="G85" i="23"/>
  <c r="J85" i="23" s="1"/>
  <c r="F85" i="23"/>
  <c r="E85" i="23"/>
  <c r="D85" i="23"/>
  <c r="C85" i="23"/>
  <c r="B85" i="23"/>
  <c r="G84" i="23"/>
  <c r="F84" i="23"/>
  <c r="E84" i="23"/>
  <c r="D84" i="23"/>
  <c r="C84" i="23"/>
  <c r="B84" i="23"/>
  <c r="G83" i="23"/>
  <c r="F83" i="23"/>
  <c r="E83" i="23"/>
  <c r="D83" i="23"/>
  <c r="C83" i="23"/>
  <c r="B83" i="23"/>
  <c r="G82" i="23"/>
  <c r="F82" i="23"/>
  <c r="E82" i="23"/>
  <c r="D82" i="23"/>
  <c r="C82" i="23"/>
  <c r="B82" i="23"/>
  <c r="F81" i="23"/>
  <c r="E81" i="23"/>
  <c r="D81" i="23"/>
  <c r="C81" i="23"/>
  <c r="B81" i="23"/>
  <c r="G80" i="23"/>
  <c r="F80" i="23"/>
  <c r="E80" i="23"/>
  <c r="D80" i="23"/>
  <c r="C80" i="23"/>
  <c r="B80" i="23"/>
  <c r="F79" i="23"/>
  <c r="E79" i="23"/>
  <c r="D79" i="23"/>
  <c r="C79" i="23"/>
  <c r="B79" i="23"/>
  <c r="G78" i="23"/>
  <c r="F78" i="23"/>
  <c r="E78" i="23"/>
  <c r="D78" i="23"/>
  <c r="C78" i="23"/>
  <c r="B78" i="23"/>
  <c r="G77" i="23"/>
  <c r="J77" i="23" s="1"/>
  <c r="F77" i="23"/>
  <c r="E77" i="23"/>
  <c r="D77" i="23"/>
  <c r="C77" i="23"/>
  <c r="B77" i="23"/>
  <c r="G76" i="23"/>
  <c r="F76" i="23"/>
  <c r="E76" i="23"/>
  <c r="D76" i="23"/>
  <c r="C76" i="23"/>
  <c r="B76" i="23"/>
  <c r="G75" i="23"/>
  <c r="F75" i="23"/>
  <c r="E75" i="23"/>
  <c r="D75" i="23"/>
  <c r="C75" i="23"/>
  <c r="B75" i="23"/>
  <c r="F74" i="23"/>
  <c r="E74" i="23"/>
  <c r="D74" i="23"/>
  <c r="C74" i="23"/>
  <c r="B74" i="23"/>
  <c r="G73" i="23"/>
  <c r="J73" i="23" s="1"/>
  <c r="F73" i="23"/>
  <c r="E73" i="23"/>
  <c r="D73" i="23"/>
  <c r="C73" i="23"/>
  <c r="B73" i="23"/>
  <c r="G72" i="23"/>
  <c r="F72" i="23"/>
  <c r="E72" i="23"/>
  <c r="D72" i="23"/>
  <c r="C72" i="23"/>
  <c r="B72" i="23"/>
  <c r="G71" i="23"/>
  <c r="F71" i="23"/>
  <c r="E71" i="23"/>
  <c r="D71" i="23"/>
  <c r="C71" i="23"/>
  <c r="B71" i="23"/>
  <c r="G70" i="23"/>
  <c r="F70" i="23"/>
  <c r="E70" i="23"/>
  <c r="D70" i="23"/>
  <c r="C70" i="23"/>
  <c r="B70" i="23"/>
  <c r="G69" i="23"/>
  <c r="J69" i="23" s="1"/>
  <c r="F69" i="23"/>
  <c r="E69" i="23"/>
  <c r="D69" i="23"/>
  <c r="C69" i="23"/>
  <c r="B69" i="23"/>
  <c r="G68" i="23"/>
  <c r="F68" i="23"/>
  <c r="E68" i="23"/>
  <c r="D68" i="23"/>
  <c r="C68" i="23"/>
  <c r="B68" i="23"/>
  <c r="F67" i="23"/>
  <c r="E67" i="23"/>
  <c r="D67" i="23"/>
  <c r="C67" i="23"/>
  <c r="B67" i="23"/>
  <c r="G66" i="23"/>
  <c r="F66" i="23"/>
  <c r="E66" i="23"/>
  <c r="D66" i="23"/>
  <c r="C66" i="23"/>
  <c r="B66" i="23"/>
  <c r="G65" i="23"/>
  <c r="J65" i="23" s="1"/>
  <c r="F65" i="23"/>
  <c r="E65" i="23"/>
  <c r="D65" i="23"/>
  <c r="C65" i="23"/>
  <c r="B65" i="23"/>
  <c r="G64" i="23"/>
  <c r="F64" i="23"/>
  <c r="E64" i="23"/>
  <c r="D64" i="23"/>
  <c r="C64" i="23"/>
  <c r="B64" i="23"/>
  <c r="G63" i="23"/>
  <c r="F63" i="23"/>
  <c r="E63" i="23"/>
  <c r="D63" i="23"/>
  <c r="C63" i="23"/>
  <c r="B63" i="23"/>
  <c r="G62" i="23"/>
  <c r="F62" i="23"/>
  <c r="E62" i="23"/>
  <c r="D62" i="23"/>
  <c r="C62" i="23"/>
  <c r="B62" i="23"/>
  <c r="F61" i="23"/>
  <c r="E61" i="23"/>
  <c r="D61" i="23"/>
  <c r="C61" i="23"/>
  <c r="B61" i="23"/>
  <c r="F60" i="23"/>
  <c r="E60" i="23"/>
  <c r="D60" i="23"/>
  <c r="C60" i="23"/>
  <c r="B60" i="23"/>
  <c r="F59" i="23"/>
  <c r="E59" i="23"/>
  <c r="D59" i="23"/>
  <c r="C59" i="23"/>
  <c r="B59" i="23"/>
  <c r="F58" i="23"/>
  <c r="E58" i="23"/>
  <c r="D58" i="23"/>
  <c r="C58" i="23"/>
  <c r="B58" i="23"/>
  <c r="G57" i="23"/>
  <c r="J57" i="23" s="1"/>
  <c r="F57" i="23"/>
  <c r="E57" i="23"/>
  <c r="D57" i="23"/>
  <c r="C57" i="23"/>
  <c r="B57" i="23"/>
  <c r="G56" i="23"/>
  <c r="F56" i="23"/>
  <c r="E56" i="23"/>
  <c r="D56" i="23"/>
  <c r="C56" i="23"/>
  <c r="B56" i="23"/>
  <c r="G55" i="23"/>
  <c r="F55" i="23"/>
  <c r="E55" i="23"/>
  <c r="D55" i="23"/>
  <c r="C55" i="23"/>
  <c r="B55" i="23"/>
  <c r="G54" i="23"/>
  <c r="F54" i="23"/>
  <c r="E54" i="23"/>
  <c r="D54" i="23"/>
  <c r="C54" i="23"/>
  <c r="B54" i="23"/>
  <c r="G53" i="23"/>
  <c r="F53" i="23"/>
  <c r="E53" i="23"/>
  <c r="D53" i="23"/>
  <c r="C53" i="23"/>
  <c r="B53" i="23"/>
  <c r="G52" i="23"/>
  <c r="F52" i="23"/>
  <c r="E52" i="23"/>
  <c r="D52" i="23"/>
  <c r="C52" i="23"/>
  <c r="B52" i="23"/>
  <c r="G51" i="23"/>
  <c r="F51" i="23"/>
  <c r="E51" i="23"/>
  <c r="D51" i="23"/>
  <c r="C51" i="23"/>
  <c r="B51" i="23"/>
  <c r="G50" i="23"/>
  <c r="F50" i="23"/>
  <c r="E50" i="23"/>
  <c r="D50" i="23"/>
  <c r="C50" i="23"/>
  <c r="B50" i="23"/>
  <c r="G49" i="23"/>
  <c r="F49" i="23"/>
  <c r="E49" i="23"/>
  <c r="D49" i="23"/>
  <c r="C49" i="23"/>
  <c r="B49" i="23"/>
  <c r="G48" i="23"/>
  <c r="F48" i="23"/>
  <c r="E48" i="23"/>
  <c r="D48" i="23"/>
  <c r="C48" i="23"/>
  <c r="B48" i="23"/>
  <c r="G47" i="23"/>
  <c r="F47" i="23"/>
  <c r="E47" i="23"/>
  <c r="D47" i="23"/>
  <c r="C47" i="23"/>
  <c r="B47" i="23"/>
  <c r="G46" i="23"/>
  <c r="F46" i="23"/>
  <c r="E46" i="23"/>
  <c r="D46" i="23"/>
  <c r="C46" i="23"/>
  <c r="B46" i="23"/>
  <c r="G45" i="23"/>
  <c r="F45" i="23"/>
  <c r="E45" i="23"/>
  <c r="D45" i="23"/>
  <c r="C45" i="23"/>
  <c r="B45" i="23"/>
  <c r="G44" i="23"/>
  <c r="F44" i="23"/>
  <c r="E44" i="23"/>
  <c r="D44" i="23"/>
  <c r="C44" i="23"/>
  <c r="B44" i="23"/>
  <c r="G43" i="23"/>
  <c r="F43" i="23"/>
  <c r="E43" i="23"/>
  <c r="D43" i="23"/>
  <c r="C43" i="23"/>
  <c r="B43" i="23"/>
  <c r="G42" i="23"/>
  <c r="F42" i="23"/>
  <c r="E42" i="23"/>
  <c r="D42" i="23"/>
  <c r="C42" i="23"/>
  <c r="B42" i="23"/>
  <c r="G41" i="23"/>
  <c r="F41" i="23"/>
  <c r="E41" i="23"/>
  <c r="D41" i="23"/>
  <c r="C41" i="23"/>
  <c r="B41" i="23"/>
  <c r="M281" i="23"/>
  <c r="K281" i="23"/>
  <c r="I281" i="23"/>
  <c r="G281" i="23"/>
  <c r="F281" i="23"/>
  <c r="E281" i="23"/>
  <c r="D281" i="23"/>
  <c r="C281" i="23"/>
  <c r="B281" i="23"/>
  <c r="M256" i="23"/>
  <c r="M251" i="23"/>
  <c r="K256" i="23"/>
  <c r="I256" i="23"/>
  <c r="K251" i="23"/>
  <c r="I251" i="23"/>
  <c r="G256" i="23"/>
  <c r="F256" i="23"/>
  <c r="E256" i="23"/>
  <c r="D256" i="23"/>
  <c r="C256" i="23"/>
  <c r="B256" i="23"/>
  <c r="G251" i="23"/>
  <c r="F251" i="23"/>
  <c r="E251" i="23"/>
  <c r="D251" i="23"/>
  <c r="C251" i="23"/>
  <c r="B251" i="23"/>
  <c r="M239" i="23"/>
  <c r="K239" i="23"/>
  <c r="I239" i="23"/>
  <c r="G239" i="23"/>
  <c r="F239" i="23"/>
  <c r="E239" i="23"/>
  <c r="D239" i="23"/>
  <c r="C239" i="23"/>
  <c r="B239" i="23"/>
  <c r="M230" i="23"/>
  <c r="K230" i="23"/>
  <c r="I230" i="23"/>
  <c r="G230" i="23"/>
  <c r="F230" i="23"/>
  <c r="E230" i="23"/>
  <c r="D230" i="23"/>
  <c r="C230" i="23"/>
  <c r="B230" i="23"/>
  <c r="G499" i="23" l="1"/>
  <c r="J155" i="23"/>
  <c r="G81" i="23"/>
  <c r="J81" i="23" s="1"/>
  <c r="G93" i="23"/>
  <c r="J93" i="23" s="1"/>
  <c r="G175" i="23"/>
  <c r="J175" i="23" s="1"/>
  <c r="G383" i="23"/>
  <c r="G114" i="23"/>
  <c r="G336" i="23"/>
  <c r="J336" i="23" s="1"/>
  <c r="G477" i="23"/>
  <c r="G141" i="23"/>
  <c r="J141" i="23" s="1"/>
  <c r="G226" i="23"/>
  <c r="J226" i="23" s="1"/>
  <c r="G356" i="23"/>
  <c r="G427" i="23"/>
  <c r="J427" i="23" s="1"/>
  <c r="G103" i="23"/>
  <c r="J103" i="23" s="1"/>
  <c r="J147" i="23"/>
  <c r="J151" i="23"/>
  <c r="J220" i="23"/>
  <c r="J159" i="23"/>
  <c r="J163" i="23"/>
  <c r="J167" i="23"/>
  <c r="J539" i="23"/>
  <c r="J547" i="23"/>
  <c r="J555" i="23"/>
  <c r="J579" i="23"/>
  <c r="J587" i="23"/>
  <c r="J595" i="23"/>
  <c r="J603" i="23"/>
  <c r="J619" i="23"/>
  <c r="J403" i="23"/>
  <c r="J411" i="23"/>
  <c r="J419" i="23"/>
  <c r="J47" i="23"/>
  <c r="J193" i="23"/>
  <c r="J43" i="23"/>
  <c r="J51" i="23"/>
  <c r="J203" i="23"/>
  <c r="G343" i="23"/>
  <c r="J343" i="23" s="1"/>
  <c r="J621" i="23"/>
  <c r="J212" i="23"/>
  <c r="J572" i="23"/>
  <c r="J596" i="23"/>
  <c r="J604" i="23"/>
  <c r="J396" i="23"/>
  <c r="J524" i="23"/>
  <c r="J580" i="23"/>
  <c r="J612" i="23"/>
  <c r="J620" i="23"/>
  <c r="J564" i="23"/>
  <c r="J468" i="23"/>
  <c r="J500" i="23"/>
  <c r="J508" i="23"/>
  <c r="J516" i="23"/>
  <c r="J196" i="23"/>
  <c r="J492" i="23"/>
  <c r="J540" i="23"/>
  <c r="J548" i="23"/>
  <c r="J556" i="23"/>
  <c r="J204" i="23"/>
  <c r="J228" i="23"/>
  <c r="J243" i="23"/>
  <c r="J264" i="23"/>
  <c r="J284" i="23"/>
  <c r="J452" i="23"/>
  <c r="J460" i="23"/>
  <c r="G58" i="23"/>
  <c r="J58" i="23" s="1"/>
  <c r="G118" i="23"/>
  <c r="J118" i="23" s="1"/>
  <c r="G570" i="23"/>
  <c r="J570" i="23" s="1"/>
  <c r="G86" i="23"/>
  <c r="J86" i="23" s="1"/>
  <c r="G115" i="23"/>
  <c r="J115" i="23" s="1"/>
  <c r="G313" i="23"/>
  <c r="J313" i="23" s="1"/>
  <c r="G382" i="23"/>
  <c r="J382" i="23" s="1"/>
  <c r="G142" i="23"/>
  <c r="J142" i="23" s="1"/>
  <c r="G337" i="23"/>
  <c r="J337" i="23" s="1"/>
  <c r="G386" i="23"/>
  <c r="J386" i="23" s="1"/>
  <c r="G125" i="23"/>
  <c r="J125" i="23" s="1"/>
  <c r="G532" i="23"/>
  <c r="J532" i="23" s="1"/>
  <c r="G381" i="23"/>
  <c r="J381" i="23" s="1"/>
  <c r="G102" i="23"/>
  <c r="J102" i="23" s="1"/>
  <c r="G316" i="23"/>
  <c r="G207" i="23"/>
  <c r="J207" i="23" s="1"/>
  <c r="G485" i="23"/>
  <c r="J485" i="23" s="1"/>
  <c r="G67" i="23"/>
  <c r="J67" i="23" s="1"/>
  <c r="G152" i="23"/>
  <c r="J152" i="23" s="1"/>
  <c r="G221" i="23"/>
  <c r="J221" i="23" s="1"/>
  <c r="G571" i="23"/>
  <c r="J571" i="23" s="1"/>
  <c r="J87" i="23"/>
  <c r="J135" i="23"/>
  <c r="J139" i="23"/>
  <c r="J201" i="23"/>
  <c r="G385" i="23"/>
  <c r="J385" i="23" s="1"/>
  <c r="G491" i="23"/>
  <c r="J491" i="23" s="1"/>
  <c r="J83" i="23"/>
  <c r="J91" i="23"/>
  <c r="J71" i="23"/>
  <c r="J75" i="23"/>
  <c r="G127" i="23"/>
  <c r="J127" i="23" s="1"/>
  <c r="J131" i="23"/>
  <c r="G157" i="23"/>
  <c r="J157" i="23" s="1"/>
  <c r="G74" i="23"/>
  <c r="J74" i="23" s="1"/>
  <c r="J119" i="23"/>
  <c r="J187" i="23"/>
  <c r="J55" i="23"/>
  <c r="J107" i="23"/>
  <c r="J111" i="23"/>
  <c r="J171" i="23"/>
  <c r="J179" i="23"/>
  <c r="J217" i="23"/>
  <c r="J225" i="23"/>
  <c r="J261" i="23"/>
  <c r="J269" i="23"/>
  <c r="J95" i="23"/>
  <c r="J99" i="23"/>
  <c r="J209" i="23"/>
  <c r="E370" i="6"/>
  <c r="G400" i="23" s="1"/>
  <c r="J400" i="23" s="1"/>
  <c r="G534" i="23"/>
  <c r="J534" i="23" s="1"/>
  <c r="G372" i="23"/>
  <c r="J372" i="23" s="1"/>
  <c r="G206" i="23"/>
  <c r="J206" i="23" s="1"/>
  <c r="G315" i="23"/>
  <c r="J315" i="23" s="1"/>
  <c r="J342" i="23"/>
  <c r="J346" i="23"/>
  <c r="J350" i="23"/>
  <c r="J354" i="23"/>
  <c r="G60" i="23"/>
  <c r="J60" i="23" s="1"/>
  <c r="M24" i="6"/>
  <c r="G120" i="23"/>
  <c r="J120" i="23" s="1"/>
  <c r="M84" i="6"/>
  <c r="G199" i="23"/>
  <c r="J199" i="23" s="1"/>
  <c r="M169" i="6"/>
  <c r="G314" i="23"/>
  <c r="J314" i="23" s="1"/>
  <c r="M284" i="6"/>
  <c r="G444" i="23"/>
  <c r="J444" i="23" s="1"/>
  <c r="M414" i="6"/>
  <c r="G569" i="23"/>
  <c r="J569" i="23" s="1"/>
  <c r="M539" i="6"/>
  <c r="G213" i="23"/>
  <c r="J213" i="23" s="1"/>
  <c r="M183" i="6"/>
  <c r="G101" i="23"/>
  <c r="J101" i="23" s="1"/>
  <c r="M65" i="6"/>
  <c r="G146" i="23"/>
  <c r="J146" i="23" s="1"/>
  <c r="M110" i="6"/>
  <c r="G59" i="23"/>
  <c r="J59" i="23" s="1"/>
  <c r="M23" i="6"/>
  <c r="G92" i="23"/>
  <c r="J92" i="23" s="1"/>
  <c r="M56" i="6"/>
  <c r="G116" i="23"/>
  <c r="J116" i="23" s="1"/>
  <c r="M80" i="6"/>
  <c r="G143" i="23"/>
  <c r="J143" i="23" s="1"/>
  <c r="M107" i="6"/>
  <c r="G195" i="23"/>
  <c r="J195" i="23" s="1"/>
  <c r="M165" i="6"/>
  <c r="G302" i="23"/>
  <c r="J302" i="23" s="1"/>
  <c r="M272" i="6"/>
  <c r="G370" i="23"/>
  <c r="J370" i="23" s="1"/>
  <c r="M340" i="6"/>
  <c r="G443" i="23"/>
  <c r="J443" i="23" s="1"/>
  <c r="M413" i="6"/>
  <c r="G481" i="23"/>
  <c r="J481" i="23" s="1"/>
  <c r="M451" i="6"/>
  <c r="G520" i="23"/>
  <c r="J520" i="23" s="1"/>
  <c r="M490" i="6"/>
  <c r="G563" i="23"/>
  <c r="J563" i="23" s="1"/>
  <c r="M533" i="6"/>
  <c r="G180" i="23"/>
  <c r="J180" i="23" s="1"/>
  <c r="M146" i="6"/>
  <c r="G339" i="23"/>
  <c r="J339" i="23" s="1"/>
  <c r="M309" i="6"/>
  <c r="G94" i="23"/>
  <c r="J94" i="23" s="1"/>
  <c r="M58" i="6"/>
  <c r="G144" i="23"/>
  <c r="J144" i="23" s="1"/>
  <c r="M108" i="6"/>
  <c r="G371" i="23"/>
  <c r="J371" i="23" s="1"/>
  <c r="M341" i="6"/>
  <c r="G482" i="23"/>
  <c r="J482" i="23" s="1"/>
  <c r="M452" i="6"/>
  <c r="G530" i="23"/>
  <c r="J530" i="23" s="1"/>
  <c r="M500" i="6"/>
  <c r="G340" i="23"/>
  <c r="J340" i="23" s="1"/>
  <c r="M310" i="6"/>
  <c r="G61" i="23"/>
  <c r="J61" i="23" s="1"/>
  <c r="M25" i="6"/>
  <c r="G123" i="23"/>
  <c r="J123" i="23" s="1"/>
  <c r="M87" i="6"/>
  <c r="G465" i="23"/>
  <c r="J465" i="23" s="1"/>
  <c r="M435" i="6"/>
  <c r="G208" i="23"/>
  <c r="J208" i="23" s="1"/>
  <c r="M178" i="6"/>
  <c r="G320" i="23"/>
  <c r="J320" i="23" s="1"/>
  <c r="M290" i="6"/>
  <c r="G389" i="23"/>
  <c r="J389" i="23" s="1"/>
  <c r="M359" i="6"/>
  <c r="G470" i="23"/>
  <c r="J470" i="23" s="1"/>
  <c r="M440" i="6"/>
  <c r="G533" i="23"/>
  <c r="J533" i="23" s="1"/>
  <c r="M503" i="6"/>
  <c r="G215" i="23"/>
  <c r="J215" i="23" s="1"/>
  <c r="G464" i="23"/>
  <c r="J464" i="23" s="1"/>
  <c r="G531" i="23"/>
  <c r="J531" i="23" s="1"/>
  <c r="G79" i="23"/>
  <c r="J79" i="23" s="1"/>
  <c r="M43" i="6"/>
  <c r="G106" i="23"/>
  <c r="J106" i="23" s="1"/>
  <c r="M70" i="6"/>
  <c r="G133" i="23"/>
  <c r="J133" i="23" s="1"/>
  <c r="M97" i="6"/>
  <c r="G170" i="23"/>
  <c r="J170" i="23" s="1"/>
  <c r="M136" i="6"/>
  <c r="G476" i="23"/>
  <c r="J476" i="23" s="1"/>
  <c r="M446" i="6"/>
  <c r="G498" i="23"/>
  <c r="J498" i="23" s="1"/>
  <c r="M468" i="6"/>
  <c r="G355" i="23"/>
  <c r="J355" i="23" s="1"/>
  <c r="G192" i="23"/>
  <c r="J192" i="23" s="1"/>
  <c r="M162" i="6"/>
  <c r="G300" i="23"/>
  <c r="J300" i="23" s="1"/>
  <c r="M270" i="6"/>
  <c r="G358" i="23"/>
  <c r="J358" i="23" s="1"/>
  <c r="M328" i="6"/>
  <c r="G435" i="23"/>
  <c r="J435" i="23" s="1"/>
  <c r="M405" i="6"/>
  <c r="G480" i="23"/>
  <c r="J480" i="23" s="1"/>
  <c r="M450" i="6"/>
  <c r="G519" i="23"/>
  <c r="J519" i="23" s="1"/>
  <c r="M489" i="6"/>
  <c r="G558" i="23"/>
  <c r="J558" i="23" s="1"/>
  <c r="M528" i="6"/>
  <c r="J239" i="23"/>
  <c r="J582" i="23"/>
  <c r="J586" i="23"/>
  <c r="J590" i="23"/>
  <c r="J594" i="23"/>
  <c r="J598" i="23"/>
  <c r="J602" i="23"/>
  <c r="J606" i="23"/>
  <c r="J610" i="23"/>
  <c r="J614" i="23"/>
  <c r="J562" i="23"/>
  <c r="J478" i="23"/>
  <c r="J218" i="23"/>
  <c r="J232" i="23"/>
  <c r="J241" i="23"/>
  <c r="J282" i="23"/>
  <c r="J622" i="23"/>
  <c r="J566" i="23"/>
  <c r="J230" i="23"/>
  <c r="J307" i="23"/>
  <c r="J395" i="23"/>
  <c r="J379" i="23"/>
  <c r="J387" i="23"/>
  <c r="J363" i="23"/>
  <c r="J347" i="23"/>
  <c r="J451" i="23"/>
  <c r="J459" i="23"/>
  <c r="J467" i="23"/>
  <c r="J523" i="23"/>
  <c r="J323" i="23"/>
  <c r="J331" i="23"/>
  <c r="J499" i="23"/>
  <c r="J507" i="23"/>
  <c r="J515" i="23"/>
  <c r="J41" i="23"/>
  <c r="J45" i="23"/>
  <c r="J49" i="23"/>
  <c r="J53" i="23"/>
  <c r="J374" i="23"/>
  <c r="J378" i="23"/>
  <c r="J486" i="23"/>
  <c r="J490" i="23"/>
  <c r="J494" i="23"/>
  <c r="J362" i="23"/>
  <c r="J366" i="23"/>
  <c r="J574" i="23"/>
  <c r="J578" i="23"/>
  <c r="J184" i="23"/>
  <c r="J322" i="23"/>
  <c r="J326" i="23"/>
  <c r="J330" i="23"/>
  <c r="J334" i="23"/>
  <c r="J338" i="23"/>
  <c r="J474" i="23"/>
  <c r="J538" i="23"/>
  <c r="J542" i="23"/>
  <c r="J546" i="23"/>
  <c r="J550" i="23"/>
  <c r="J554" i="23"/>
  <c r="J318" i="23"/>
  <c r="J446" i="23"/>
  <c r="J450" i="23"/>
  <c r="J454" i="23"/>
  <c r="J458" i="23"/>
  <c r="J462" i="23"/>
  <c r="J466" i="23"/>
  <c r="J306" i="23"/>
  <c r="J310" i="23"/>
  <c r="J438" i="23"/>
  <c r="J442" i="23"/>
  <c r="J402" i="23"/>
  <c r="J406" i="23"/>
  <c r="J410" i="23"/>
  <c r="J414" i="23"/>
  <c r="J418" i="23"/>
  <c r="J422" i="23"/>
  <c r="J426" i="23"/>
  <c r="J434" i="23"/>
  <c r="J522" i="23"/>
  <c r="J526" i="23"/>
  <c r="J286" i="23"/>
  <c r="J290" i="23"/>
  <c r="J294" i="23"/>
  <c r="J298" i="23"/>
  <c r="J390" i="23"/>
  <c r="J394" i="23"/>
  <c r="J398" i="23"/>
  <c r="J518" i="23"/>
  <c r="J63" i="23"/>
  <c r="J404" i="23"/>
  <c r="J412" i="23"/>
  <c r="J420" i="23"/>
  <c r="J428" i="23"/>
  <c r="J475" i="23"/>
  <c r="J164" i="23"/>
  <c r="J251" i="23"/>
  <c r="J210" i="23"/>
  <c r="J364" i="23"/>
  <c r="J380" i="23"/>
  <c r="J388" i="23"/>
  <c r="J52" i="23"/>
  <c r="J616" i="23"/>
  <c r="J202" i="23"/>
  <c r="J324" i="23"/>
  <c r="J332" i="23"/>
  <c r="J348" i="23"/>
  <c r="J356" i="23"/>
  <c r="J353" i="23"/>
  <c r="J369" i="23"/>
  <c r="J401" i="23"/>
  <c r="J417" i="23"/>
  <c r="J256" i="23"/>
  <c r="J145" i="23"/>
  <c r="J149" i="23"/>
  <c r="J194" i="23"/>
  <c r="J231" i="23"/>
  <c r="J304" i="23"/>
  <c r="J308" i="23"/>
  <c r="J312" i="23"/>
  <c r="J316" i="23"/>
  <c r="J84" i="23"/>
  <c r="J188" i="23"/>
  <c r="J100" i="23"/>
  <c r="J137" i="23"/>
  <c r="J288" i="23"/>
  <c r="J292" i="23"/>
  <c r="J296" i="23"/>
  <c r="J483" i="23"/>
  <c r="J132" i="23"/>
  <c r="J263" i="23"/>
  <c r="J436" i="23"/>
  <c r="J502" i="23"/>
  <c r="J506" i="23"/>
  <c r="J510" i="23"/>
  <c r="J514" i="23"/>
  <c r="J588" i="23"/>
  <c r="J148" i="23"/>
  <c r="J327" i="23"/>
  <c r="J359" i="23"/>
  <c r="J375" i="23"/>
  <c r="J391" i="23"/>
  <c r="J407" i="23"/>
  <c r="J423" i="23"/>
  <c r="J68" i="23"/>
  <c r="J321" i="23"/>
  <c r="J42" i="23"/>
  <c r="J90" i="23"/>
  <c r="J122" i="23"/>
  <c r="J138" i="23"/>
  <c r="J154" i="23"/>
  <c r="J198" i="23"/>
  <c r="J214" i="23"/>
  <c r="J224" i="23"/>
  <c r="J240" i="23"/>
  <c r="J266" i="23"/>
  <c r="J287" i="23"/>
  <c r="J293" i="23"/>
  <c r="J333" i="23"/>
  <c r="J349" i="23"/>
  <c r="J365" i="23"/>
  <c r="J397" i="23"/>
  <c r="J413" i="23"/>
  <c r="J429" i="23"/>
  <c r="J433" i="23"/>
  <c r="J439" i="23"/>
  <c r="J449" i="23"/>
  <c r="J455" i="23"/>
  <c r="J471" i="23"/>
  <c r="J487" i="23"/>
  <c r="J497" i="23"/>
  <c r="J503" i="23"/>
  <c r="J513" i="23"/>
  <c r="J529" i="23"/>
  <c r="J535" i="23"/>
  <c r="J545" i="23"/>
  <c r="J551" i="23"/>
  <c r="J561" i="23"/>
  <c r="J567" i="23"/>
  <c r="J577" i="23"/>
  <c r="J583" i="23"/>
  <c r="J593" i="23"/>
  <c r="J599" i="23"/>
  <c r="J609" i="23"/>
  <c r="J46" i="23"/>
  <c r="J62" i="23"/>
  <c r="J78" i="23"/>
  <c r="J110" i="23"/>
  <c r="J126" i="23"/>
  <c r="J158" i="23"/>
  <c r="J174" i="23"/>
  <c r="J205" i="23"/>
  <c r="J260" i="23"/>
  <c r="J297" i="23"/>
  <c r="J303" i="23"/>
  <c r="J309" i="23"/>
  <c r="J430" i="23"/>
  <c r="J440" i="23"/>
  <c r="J456" i="23"/>
  <c r="J472" i="23"/>
  <c r="J488" i="23"/>
  <c r="J504" i="23"/>
  <c r="J536" i="23"/>
  <c r="J552" i="23"/>
  <c r="J568" i="23"/>
  <c r="J584" i="23"/>
  <c r="J600" i="23"/>
  <c r="J613" i="23"/>
  <c r="J281" i="23"/>
  <c r="J56" i="23"/>
  <c r="J72" i="23"/>
  <c r="J88" i="23"/>
  <c r="J104" i="23"/>
  <c r="J136" i="23"/>
  <c r="J168" i="23"/>
  <c r="J181" i="23"/>
  <c r="J185" i="23"/>
  <c r="J257" i="23"/>
  <c r="J285" i="23"/>
  <c r="J328" i="23"/>
  <c r="J344" i="23"/>
  <c r="J360" i="23"/>
  <c r="J376" i="23"/>
  <c r="J392" i="23"/>
  <c r="J408" i="23"/>
  <c r="J424" i="23"/>
  <c r="J437" i="23"/>
  <c r="J453" i="23"/>
  <c r="J469" i="23"/>
  <c r="J501" i="23"/>
  <c r="J517" i="23"/>
  <c r="J549" i="23"/>
  <c r="J565" i="23"/>
  <c r="J581" i="23"/>
  <c r="J597" i="23"/>
  <c r="J617" i="23"/>
  <c r="J50" i="23"/>
  <c r="J66" i="23"/>
  <c r="J82" i="23"/>
  <c r="J98" i="23"/>
  <c r="J114" i="23"/>
  <c r="J130" i="23"/>
  <c r="J162" i="23"/>
  <c r="J178" i="23"/>
  <c r="J200" i="23"/>
  <c r="J216" i="23"/>
  <c r="J222" i="23"/>
  <c r="J233" i="23"/>
  <c r="J319" i="23"/>
  <c r="J325" i="23"/>
  <c r="J341" i="23"/>
  <c r="J357" i="23"/>
  <c r="J373" i="23"/>
  <c r="J405" i="23"/>
  <c r="J421" i="23"/>
  <c r="J431" i="23"/>
  <c r="J441" i="23"/>
  <c r="J447" i="23"/>
  <c r="J457" i="23"/>
  <c r="J463" i="23"/>
  <c r="J473" i="23"/>
  <c r="J479" i="23"/>
  <c r="J489" i="23"/>
  <c r="J495" i="23"/>
  <c r="J505" i="23"/>
  <c r="J511" i="23"/>
  <c r="J521" i="23"/>
  <c r="J527" i="23"/>
  <c r="J537" i="23"/>
  <c r="J543" i="23"/>
  <c r="J553" i="23"/>
  <c r="J559" i="23"/>
  <c r="J575" i="23"/>
  <c r="J585" i="23"/>
  <c r="J591" i="23"/>
  <c r="J601" i="23"/>
  <c r="J607" i="23"/>
  <c r="J44" i="23"/>
  <c r="J76" i="23"/>
  <c r="J108" i="23"/>
  <c r="J124" i="23"/>
  <c r="J140" i="23"/>
  <c r="J156" i="23"/>
  <c r="J172" i="23"/>
  <c r="J182" i="23"/>
  <c r="J186" i="23"/>
  <c r="J258" i="23"/>
  <c r="J268" i="23"/>
  <c r="J289" i="23"/>
  <c r="J295" i="23"/>
  <c r="J301" i="23"/>
  <c r="J329" i="23"/>
  <c r="J335" i="23"/>
  <c r="J345" i="23"/>
  <c r="J351" i="23"/>
  <c r="J361" i="23"/>
  <c r="J367" i="23"/>
  <c r="J377" i="23"/>
  <c r="J383" i="23"/>
  <c r="J393" i="23"/>
  <c r="J399" i="23"/>
  <c r="J409" i="23"/>
  <c r="J415" i="23"/>
  <c r="J425" i="23"/>
  <c r="J611" i="23"/>
  <c r="J618" i="23"/>
  <c r="J54" i="23"/>
  <c r="J70" i="23"/>
  <c r="J134" i="23"/>
  <c r="J150" i="23"/>
  <c r="J166" i="23"/>
  <c r="J197" i="23"/>
  <c r="J223" i="23"/>
  <c r="J234" i="23"/>
  <c r="J265" i="23"/>
  <c r="J432" i="23"/>
  <c r="J448" i="23"/>
  <c r="J496" i="23"/>
  <c r="J512" i="23"/>
  <c r="J528" i="23"/>
  <c r="J544" i="23"/>
  <c r="J560" i="23"/>
  <c r="J576" i="23"/>
  <c r="J592" i="23"/>
  <c r="J608" i="23"/>
  <c r="J48" i="23"/>
  <c r="J64" i="23"/>
  <c r="J80" i="23"/>
  <c r="J96" i="23"/>
  <c r="J112" i="23"/>
  <c r="J128" i="23"/>
  <c r="J160" i="23"/>
  <c r="J176" i="23"/>
  <c r="J183" i="23"/>
  <c r="J262" i="23"/>
  <c r="J305" i="23"/>
  <c r="J311" i="23"/>
  <c r="J317" i="23"/>
  <c r="J352" i="23"/>
  <c r="J368" i="23"/>
  <c r="J384" i="23"/>
  <c r="J416" i="23"/>
  <c r="J445" i="23"/>
  <c r="J461" i="23"/>
  <c r="J477" i="23"/>
  <c r="J493" i="23"/>
  <c r="J509" i="23"/>
  <c r="J525" i="23"/>
  <c r="J541" i="23"/>
  <c r="J557" i="23"/>
  <c r="J573" i="23"/>
  <c r="J589" i="23"/>
  <c r="J605" i="23"/>
  <c r="J615" i="23"/>
  <c r="M370" i="6" l="1"/>
  <c r="H317" i="23"/>
  <c r="H293" i="23"/>
  <c r="H285" i="23"/>
  <c r="H264" i="23"/>
  <c r="H227" i="23"/>
  <c r="H219" i="23"/>
  <c r="H498" i="23"/>
  <c r="H315" i="23"/>
  <c r="H299" i="23"/>
  <c r="H189" i="23"/>
  <c r="H144" i="23"/>
  <c r="H146" i="23"/>
  <c r="H101" i="23"/>
  <c r="H618" i="23"/>
  <c r="H616" i="23"/>
  <c r="H614" i="23"/>
  <c r="H612" i="23"/>
  <c r="H610" i="23"/>
  <c r="H598" i="23"/>
  <c r="H597" i="23"/>
  <c r="H594" i="23"/>
  <c r="H590" i="23"/>
  <c r="H589" i="23"/>
  <c r="H586" i="23"/>
  <c r="H584" i="23"/>
  <c r="H582" i="23"/>
  <c r="H581" i="23"/>
  <c r="H578" i="23"/>
  <c r="H574" i="23"/>
  <c r="H573" i="23"/>
  <c r="H570" i="23"/>
  <c r="H566" i="23"/>
  <c r="H565" i="23"/>
  <c r="H563" i="23"/>
  <c r="H562" i="23"/>
  <c r="H560" i="23"/>
  <c r="H558" i="23"/>
  <c r="H557" i="23"/>
  <c r="H556" i="23"/>
  <c r="H554" i="23"/>
  <c r="H550" i="23"/>
  <c r="H549" i="23"/>
  <c r="H541" i="23"/>
  <c r="H538" i="23"/>
  <c r="H534" i="23"/>
  <c r="H533" i="23"/>
  <c r="H526" i="23"/>
  <c r="H525" i="23"/>
  <c r="H522" i="23"/>
  <c r="H520" i="23"/>
  <c r="H518" i="23"/>
  <c r="H517" i="23"/>
  <c r="H514" i="23"/>
  <c r="H509" i="23"/>
  <c r="H506" i="23"/>
  <c r="H501" i="23"/>
  <c r="H494" i="23"/>
  <c r="H493" i="23"/>
  <c r="H488" i="23"/>
  <c r="H486" i="23"/>
  <c r="H485" i="23"/>
  <c r="H482" i="23"/>
  <c r="H478" i="23"/>
  <c r="H477" i="23"/>
  <c r="H474" i="23"/>
  <c r="H470" i="23"/>
  <c r="H469" i="23"/>
  <c r="H466" i="23"/>
  <c r="H464" i="23"/>
  <c r="H462" i="23"/>
  <c r="H461" i="23"/>
  <c r="H458" i="23"/>
  <c r="H456" i="23"/>
  <c r="H454" i="23"/>
  <c r="H453" i="23"/>
  <c r="H445" i="23"/>
  <c r="H442" i="23"/>
  <c r="H437" i="23"/>
  <c r="H434" i="23"/>
  <c r="H432" i="23"/>
  <c r="H429" i="23"/>
  <c r="H427" i="23"/>
  <c r="H426" i="23"/>
  <c r="H424" i="23"/>
  <c r="H421" i="23"/>
  <c r="H420" i="23"/>
  <c r="H416" i="23"/>
  <c r="H415" i="23"/>
  <c r="H413" i="23"/>
  <c r="H410" i="23"/>
  <c r="H408" i="23"/>
  <c r="H405" i="23"/>
  <c r="H404" i="23"/>
  <c r="H402" i="23"/>
  <c r="H397" i="23"/>
  <c r="H396" i="23"/>
  <c r="H392" i="23"/>
  <c r="H389" i="23"/>
  <c r="H388" i="23"/>
  <c r="H384" i="23"/>
  <c r="H383" i="23"/>
  <c r="H381" i="23"/>
  <c r="H377" i="23"/>
  <c r="H373" i="23"/>
  <c r="H368" i="23"/>
  <c r="H367" i="23"/>
  <c r="H365" i="23"/>
  <c r="H360" i="23"/>
  <c r="H359" i="23"/>
  <c r="H358" i="23"/>
  <c r="H352" i="23"/>
  <c r="H350" i="23"/>
  <c r="H346" i="23"/>
  <c r="H345" i="23"/>
  <c r="H344" i="23"/>
  <c r="H343" i="23"/>
  <c r="H341" i="23"/>
  <c r="H338" i="23"/>
  <c r="H336" i="23"/>
  <c r="H335" i="23"/>
  <c r="H334" i="23"/>
  <c r="H333" i="23"/>
  <c r="H328" i="23"/>
  <c r="H327" i="23"/>
  <c r="H325" i="23"/>
  <c r="H322" i="23"/>
  <c r="H320" i="23"/>
  <c r="H319" i="23"/>
  <c r="H313" i="23"/>
  <c r="H312" i="23"/>
  <c r="H311" i="23"/>
  <c r="H309" i="23"/>
  <c r="H306" i="23"/>
  <c r="H304" i="23"/>
  <c r="H303" i="23"/>
  <c r="H302" i="23"/>
  <c r="H298" i="23"/>
  <c r="H297" i="23"/>
  <c r="H296" i="23"/>
  <c r="H295" i="23"/>
  <c r="H294" i="23"/>
  <c r="H291" i="23"/>
  <c r="H288" i="23"/>
  <c r="H287" i="23"/>
  <c r="H286" i="23"/>
  <c r="H283" i="23"/>
  <c r="H265" i="23"/>
  <c r="H262" i="23"/>
  <c r="H259" i="23"/>
  <c r="H257" i="23"/>
  <c r="H256" i="23"/>
  <c r="H243" i="23"/>
  <c r="H242" i="23"/>
  <c r="H240" i="23"/>
  <c r="H239" i="23"/>
  <c r="H231" i="23"/>
  <c r="H230" i="23"/>
  <c r="H226" i="23"/>
  <c r="H225" i="23"/>
  <c r="H224" i="23"/>
  <c r="H222" i="23"/>
  <c r="H216" i="23"/>
  <c r="H214" i="23"/>
  <c r="H211" i="23"/>
  <c r="H210" i="23"/>
  <c r="H209" i="23"/>
  <c r="H208" i="23"/>
  <c r="H202" i="23"/>
  <c r="H201" i="23"/>
  <c r="H200" i="23"/>
  <c r="H199" i="23"/>
  <c r="H186" i="23"/>
  <c r="H185" i="23"/>
  <c r="H184" i="23"/>
  <c r="H183" i="23"/>
  <c r="H181" i="23"/>
  <c r="H175" i="23"/>
  <c r="H174" i="23"/>
  <c r="H170" i="23"/>
  <c r="H168" i="23"/>
  <c r="H167" i="23"/>
  <c r="H166" i="23"/>
  <c r="H162" i="23"/>
  <c r="H161" i="23"/>
  <c r="H160" i="23"/>
  <c r="H159" i="23"/>
  <c r="H152" i="23"/>
  <c r="H151" i="23"/>
  <c r="H150" i="23"/>
  <c r="H149" i="23"/>
  <c r="H142" i="23"/>
  <c r="H137" i="23"/>
  <c r="H136" i="23"/>
  <c r="H135" i="23"/>
  <c r="H134" i="23"/>
  <c r="H133" i="23"/>
  <c r="H130" i="23"/>
  <c r="H129" i="23"/>
  <c r="H128" i="23"/>
  <c r="H127" i="23"/>
  <c r="H126" i="23"/>
  <c r="H125" i="23"/>
  <c r="H120" i="23"/>
  <c r="H117" i="23"/>
  <c r="H114" i="23"/>
  <c r="H112" i="23"/>
  <c r="H110" i="23"/>
  <c r="H109" i="23"/>
  <c r="H106" i="23"/>
  <c r="H102" i="23"/>
  <c r="H98" i="23"/>
  <c r="H96" i="23"/>
  <c r="H94" i="23"/>
  <c r="H93" i="23"/>
  <c r="H90" i="23"/>
  <c r="H86" i="23"/>
  <c r="H85" i="23"/>
  <c r="H82" i="23"/>
  <c r="H80" i="23"/>
  <c r="H78" i="23"/>
  <c r="H77" i="23"/>
  <c r="H74" i="23"/>
  <c r="H72" i="23"/>
  <c r="H71" i="23"/>
  <c r="H69" i="23"/>
  <c r="H67" i="23"/>
  <c r="H66" i="23"/>
  <c r="H64" i="23"/>
  <c r="H41" i="23"/>
  <c r="H42" i="23"/>
  <c r="H45" i="23"/>
  <c r="H47" i="23"/>
  <c r="H48" i="23"/>
  <c r="H49" i="23"/>
  <c r="H50" i="23"/>
  <c r="H51" i="23"/>
  <c r="H53" i="23"/>
  <c r="H55" i="23"/>
  <c r="H56" i="23"/>
  <c r="H58" i="23"/>
  <c r="H118" i="23"/>
  <c r="H158" i="23"/>
  <c r="H182" i="23"/>
  <c r="B190" i="23"/>
  <c r="C190" i="23"/>
  <c r="D190" i="23"/>
  <c r="E190" i="23"/>
  <c r="F190" i="23"/>
  <c r="G190" i="23"/>
  <c r="H190" i="23" s="1"/>
  <c r="I190" i="23"/>
  <c r="K190" i="23"/>
  <c r="M190" i="23"/>
  <c r="B191" i="23"/>
  <c r="C191" i="23"/>
  <c r="D191" i="23"/>
  <c r="E191" i="23"/>
  <c r="F191" i="23"/>
  <c r="G191" i="23"/>
  <c r="I191" i="23"/>
  <c r="K191" i="23"/>
  <c r="M191" i="23"/>
  <c r="B229" i="23"/>
  <c r="C229" i="23"/>
  <c r="D229" i="23"/>
  <c r="E229" i="23"/>
  <c r="F229" i="23"/>
  <c r="G229" i="23"/>
  <c r="H229" i="23" s="1"/>
  <c r="I229" i="23"/>
  <c r="K229" i="23"/>
  <c r="M229" i="23"/>
  <c r="B235" i="23"/>
  <c r="C235" i="23"/>
  <c r="D235" i="23"/>
  <c r="E235" i="23"/>
  <c r="F235" i="23"/>
  <c r="G235" i="23"/>
  <c r="H235" i="23" s="1"/>
  <c r="I235" i="23"/>
  <c r="K235" i="23"/>
  <c r="M235" i="23"/>
  <c r="B236" i="23"/>
  <c r="C236" i="23"/>
  <c r="D236" i="23"/>
  <c r="E236" i="23"/>
  <c r="F236" i="23"/>
  <c r="G236" i="23"/>
  <c r="I236" i="23"/>
  <c r="K236" i="23"/>
  <c r="M236" i="23"/>
  <c r="B237" i="23"/>
  <c r="C237" i="23"/>
  <c r="D237" i="23"/>
  <c r="E237" i="23"/>
  <c r="F237" i="23"/>
  <c r="G237" i="23"/>
  <c r="H237" i="23" s="1"/>
  <c r="I237" i="23"/>
  <c r="K237" i="23"/>
  <c r="M237" i="23"/>
  <c r="B238" i="23"/>
  <c r="C238" i="23"/>
  <c r="D238" i="23"/>
  <c r="E238" i="23"/>
  <c r="F238" i="23"/>
  <c r="G238" i="23"/>
  <c r="H238" i="23" s="1"/>
  <c r="I238" i="23"/>
  <c r="K238" i="23"/>
  <c r="M238" i="23"/>
  <c r="B244" i="23"/>
  <c r="C244" i="23"/>
  <c r="D244" i="23"/>
  <c r="E244" i="23"/>
  <c r="F244" i="23"/>
  <c r="G244" i="23"/>
  <c r="I244" i="23"/>
  <c r="K244" i="23"/>
  <c r="M244" i="23"/>
  <c r="B245" i="23"/>
  <c r="C245" i="23"/>
  <c r="D245" i="23"/>
  <c r="E245" i="23"/>
  <c r="F245" i="23"/>
  <c r="G245" i="23"/>
  <c r="H245" i="23" s="1"/>
  <c r="I245" i="23"/>
  <c r="K245" i="23"/>
  <c r="M245" i="23"/>
  <c r="B246" i="23"/>
  <c r="C246" i="23"/>
  <c r="D246" i="23"/>
  <c r="E246" i="23"/>
  <c r="F246" i="23"/>
  <c r="G246" i="23"/>
  <c r="H246" i="23" s="1"/>
  <c r="I246" i="23"/>
  <c r="K246" i="23"/>
  <c r="M246" i="23"/>
  <c r="B247" i="23"/>
  <c r="C247" i="23"/>
  <c r="D247" i="23"/>
  <c r="E247" i="23"/>
  <c r="F247" i="23"/>
  <c r="G247" i="23"/>
  <c r="H247" i="23" s="1"/>
  <c r="I247" i="23"/>
  <c r="K247" i="23"/>
  <c r="M247" i="23"/>
  <c r="B248" i="23"/>
  <c r="C248" i="23"/>
  <c r="D248" i="23"/>
  <c r="E248" i="23"/>
  <c r="F248" i="23"/>
  <c r="G248" i="23"/>
  <c r="H248" i="23" s="1"/>
  <c r="I248" i="23"/>
  <c r="K248" i="23"/>
  <c r="M248" i="23"/>
  <c r="B249" i="23"/>
  <c r="C249" i="23"/>
  <c r="D249" i="23"/>
  <c r="E249" i="23"/>
  <c r="F249" i="23"/>
  <c r="G249" i="23"/>
  <c r="I249" i="23"/>
  <c r="K249" i="23"/>
  <c r="M249" i="23"/>
  <c r="B250" i="23"/>
  <c r="C250" i="23"/>
  <c r="D250" i="23"/>
  <c r="E250" i="23"/>
  <c r="F250" i="23"/>
  <c r="G250" i="23"/>
  <c r="H250" i="23" s="1"/>
  <c r="I250" i="23"/>
  <c r="K250" i="23"/>
  <c r="M250" i="23"/>
  <c r="B252" i="23"/>
  <c r="C252" i="23"/>
  <c r="D252" i="23"/>
  <c r="E252" i="23"/>
  <c r="F252" i="23"/>
  <c r="G252" i="23"/>
  <c r="I252" i="23"/>
  <c r="K252" i="23"/>
  <c r="M252" i="23"/>
  <c r="B253" i="23"/>
  <c r="C253" i="23"/>
  <c r="D253" i="23"/>
  <c r="E253" i="23"/>
  <c r="F253" i="23"/>
  <c r="G253" i="23"/>
  <c r="H253" i="23" s="1"/>
  <c r="I253" i="23"/>
  <c r="K253" i="23"/>
  <c r="M253" i="23"/>
  <c r="B254" i="23"/>
  <c r="C254" i="23"/>
  <c r="D254" i="23"/>
  <c r="E254" i="23"/>
  <c r="F254" i="23"/>
  <c r="G254" i="23"/>
  <c r="I254" i="23"/>
  <c r="K254" i="23"/>
  <c r="M254" i="23"/>
  <c r="B255" i="23"/>
  <c r="C255" i="23"/>
  <c r="D255" i="23"/>
  <c r="E255" i="23"/>
  <c r="F255" i="23"/>
  <c r="G255" i="23"/>
  <c r="H255" i="23" s="1"/>
  <c r="I255" i="23"/>
  <c r="K255" i="23"/>
  <c r="M255" i="23"/>
  <c r="B270" i="23"/>
  <c r="C270" i="23"/>
  <c r="D270" i="23"/>
  <c r="E270" i="23"/>
  <c r="F270" i="23"/>
  <c r="G270" i="23"/>
  <c r="H270" i="23" s="1"/>
  <c r="I270" i="23"/>
  <c r="K270" i="23"/>
  <c r="M270" i="23"/>
  <c r="B271" i="23"/>
  <c r="C271" i="23"/>
  <c r="D271" i="23"/>
  <c r="E271" i="23"/>
  <c r="F271" i="23"/>
  <c r="G271" i="23"/>
  <c r="H271" i="23" s="1"/>
  <c r="I271" i="23"/>
  <c r="K271" i="23"/>
  <c r="M271" i="23"/>
  <c r="B272" i="23"/>
  <c r="C272" i="23"/>
  <c r="D272" i="23"/>
  <c r="E272" i="23"/>
  <c r="F272" i="23"/>
  <c r="G272" i="23"/>
  <c r="H272" i="23" s="1"/>
  <c r="I272" i="23"/>
  <c r="K272" i="23"/>
  <c r="M272" i="23"/>
  <c r="B273" i="23"/>
  <c r="C273" i="23"/>
  <c r="D273" i="23"/>
  <c r="E273" i="23"/>
  <c r="F273" i="23"/>
  <c r="G273" i="23"/>
  <c r="I273" i="23"/>
  <c r="K273" i="23"/>
  <c r="M273" i="23"/>
  <c r="B274" i="23"/>
  <c r="C274" i="23"/>
  <c r="D274" i="23"/>
  <c r="E274" i="23"/>
  <c r="F274" i="23"/>
  <c r="G274" i="23"/>
  <c r="H274" i="23" s="1"/>
  <c r="I274" i="23"/>
  <c r="K274" i="23"/>
  <c r="M274" i="23"/>
  <c r="B275" i="23"/>
  <c r="C275" i="23"/>
  <c r="D275" i="23"/>
  <c r="E275" i="23"/>
  <c r="F275" i="23"/>
  <c r="G275" i="23"/>
  <c r="H275" i="23" s="1"/>
  <c r="I275" i="23"/>
  <c r="K275" i="23"/>
  <c r="M275" i="23"/>
  <c r="B276" i="23"/>
  <c r="C276" i="23"/>
  <c r="D276" i="23"/>
  <c r="E276" i="23"/>
  <c r="F276" i="23"/>
  <c r="G276" i="23"/>
  <c r="I276" i="23"/>
  <c r="K276" i="23"/>
  <c r="M276" i="23"/>
  <c r="B277" i="23"/>
  <c r="C277" i="23"/>
  <c r="D277" i="23"/>
  <c r="E277" i="23"/>
  <c r="F277" i="23"/>
  <c r="G277" i="23"/>
  <c r="H277" i="23" s="1"/>
  <c r="I277" i="23"/>
  <c r="K277" i="23"/>
  <c r="M277" i="23"/>
  <c r="B278" i="23"/>
  <c r="C278" i="23"/>
  <c r="D278" i="23"/>
  <c r="E278" i="23"/>
  <c r="F278" i="23"/>
  <c r="G278" i="23"/>
  <c r="H278" i="23" s="1"/>
  <c r="I278" i="23"/>
  <c r="K278" i="23"/>
  <c r="M278" i="23"/>
  <c r="B279" i="23"/>
  <c r="C279" i="23"/>
  <c r="D279" i="23"/>
  <c r="E279" i="23"/>
  <c r="F279" i="23"/>
  <c r="G279" i="23"/>
  <c r="H279" i="23" s="1"/>
  <c r="I279" i="23"/>
  <c r="K279" i="23"/>
  <c r="M279" i="23"/>
  <c r="B280" i="23"/>
  <c r="C280" i="23"/>
  <c r="D280" i="23"/>
  <c r="E280" i="23"/>
  <c r="F280" i="23"/>
  <c r="G280" i="23"/>
  <c r="H280" i="23" s="1"/>
  <c r="I280" i="23"/>
  <c r="K280" i="23"/>
  <c r="M280" i="23"/>
  <c r="H329" i="23"/>
  <c r="H351" i="23"/>
  <c r="H375" i="23"/>
  <c r="H376" i="23"/>
  <c r="H387" i="23"/>
  <c r="H391" i="23"/>
  <c r="H395" i="23"/>
  <c r="H407" i="23"/>
  <c r="H411" i="23"/>
  <c r="H412" i="23"/>
  <c r="H419" i="23"/>
  <c r="H423" i="23"/>
  <c r="H428" i="23"/>
  <c r="H431" i="23"/>
  <c r="H435" i="23"/>
  <c r="H439" i="23"/>
  <c r="H443" i="23"/>
  <c r="H447" i="23"/>
  <c r="H450" i="23"/>
  <c r="H451" i="23"/>
  <c r="H452" i="23"/>
  <c r="H455" i="23"/>
  <c r="H459" i="23"/>
  <c r="H463" i="23"/>
  <c r="H467" i="23"/>
  <c r="H471" i="23"/>
  <c r="H475" i="23"/>
  <c r="H479" i="23"/>
  <c r="H483" i="23"/>
  <c r="H487" i="23"/>
  <c r="H491" i="23"/>
  <c r="H492" i="23"/>
  <c r="H495" i="23"/>
  <c r="H499" i="23"/>
  <c r="H503" i="23"/>
  <c r="H507" i="23"/>
  <c r="H510" i="23"/>
  <c r="H511" i="23"/>
  <c r="H515" i="23"/>
  <c r="H519" i="23"/>
  <c r="H523" i="23"/>
  <c r="H527" i="23"/>
  <c r="H531" i="23"/>
  <c r="H535" i="23"/>
  <c r="H539" i="23"/>
  <c r="H542" i="23"/>
  <c r="H543" i="23"/>
  <c r="H547" i="23"/>
  <c r="H548" i="23"/>
  <c r="H551" i="23"/>
  <c r="H552" i="23"/>
  <c r="H555" i="23"/>
  <c r="H559" i="23"/>
  <c r="H567" i="23"/>
  <c r="H571" i="23"/>
  <c r="H572" i="23"/>
  <c r="H575" i="23"/>
  <c r="H579" i="23"/>
  <c r="H580" i="23"/>
  <c r="H583" i="23"/>
  <c r="H587" i="23"/>
  <c r="H588" i="23"/>
  <c r="H591" i="23"/>
  <c r="H592" i="23"/>
  <c r="H595" i="23"/>
  <c r="H599" i="23"/>
  <c r="H602" i="23"/>
  <c r="H603" i="23"/>
  <c r="H604" i="23"/>
  <c r="H607" i="23"/>
  <c r="H611" i="23"/>
  <c r="H615" i="23"/>
  <c r="H619" i="23"/>
  <c r="H620" i="23"/>
  <c r="H622" i="23"/>
  <c r="H63" i="23" l="1"/>
  <c r="H187" i="23"/>
  <c r="H400" i="23"/>
  <c r="H357" i="23"/>
  <c r="H369" i="23"/>
  <c r="H155" i="23"/>
  <c r="H179" i="23"/>
  <c r="H147" i="23"/>
  <c r="H171" i="23"/>
  <c r="H163" i="23"/>
  <c r="H621" i="23"/>
  <c r="H613" i="23"/>
  <c r="H605" i="23"/>
  <c r="H139" i="23"/>
  <c r="H131" i="23"/>
  <c r="J279" i="23"/>
  <c r="H88" i="23"/>
  <c r="H355" i="23"/>
  <c r="H301" i="23"/>
  <c r="H532" i="23"/>
  <c r="H516" i="23"/>
  <c r="H500" i="23"/>
  <c r="H460" i="23"/>
  <c r="H444" i="23"/>
  <c r="H356" i="23"/>
  <c r="H372" i="23"/>
  <c r="H476" i="23"/>
  <c r="H371" i="23"/>
  <c r="H524" i="23"/>
  <c r="H436" i="23"/>
  <c r="H348" i="23"/>
  <c r="H540" i="23"/>
  <c r="H508" i="23"/>
  <c r="H364" i="23"/>
  <c r="H75" i="23"/>
  <c r="H380" i="23"/>
  <c r="H339" i="23"/>
  <c r="H331" i="23"/>
  <c r="J235" i="23"/>
  <c r="H323" i="23"/>
  <c r="H363" i="23"/>
  <c r="H269" i="23"/>
  <c r="J249" i="23"/>
  <c r="H347" i="23"/>
  <c r="J191" i="23"/>
  <c r="H606" i="23"/>
  <c r="H263" i="23"/>
  <c r="H221" i="23"/>
  <c r="H104" i="23"/>
  <c r="H438" i="23"/>
  <c r="H261" i="23"/>
  <c r="H197" i="23"/>
  <c r="J254" i="23"/>
  <c r="H213" i="23"/>
  <c r="H194" i="23"/>
  <c r="H176" i="23"/>
  <c r="H122" i="23"/>
  <c r="H232" i="23"/>
  <c r="H251" i="23"/>
  <c r="H446" i="23"/>
  <c r="H422" i="23"/>
  <c r="H406" i="23"/>
  <c r="H43" i="23"/>
  <c r="H141" i="23"/>
  <c r="H157" i="23"/>
  <c r="H165" i="23"/>
  <c r="H173" i="23"/>
  <c r="H267" i="23"/>
  <c r="H546" i="23"/>
  <c r="H490" i="23"/>
  <c r="H484" i="23"/>
  <c r="H59" i="23"/>
  <c r="J247" i="23"/>
  <c r="J273" i="23"/>
  <c r="H530" i="23"/>
  <c r="H502" i="23"/>
  <c r="H468" i="23"/>
  <c r="H528" i="23"/>
  <c r="H496" i="23"/>
  <c r="H273" i="23"/>
  <c r="J255" i="23"/>
  <c r="H596" i="23"/>
  <c r="H564" i="23"/>
  <c r="H307" i="23"/>
  <c r="J272" i="23"/>
  <c r="H600" i="23"/>
  <c r="H568" i="23"/>
  <c r="H536" i="23"/>
  <c r="H504" i="23"/>
  <c r="H472" i="23"/>
  <c r="H440" i="23"/>
  <c r="H430" i="23"/>
  <c r="H414" i="23"/>
  <c r="H382" i="23"/>
  <c r="H354" i="23"/>
  <c r="H318" i="23"/>
  <c r="H266" i="23"/>
  <c r="H249" i="23"/>
  <c r="J248" i="23"/>
  <c r="H608" i="23"/>
  <c r="H576" i="23"/>
  <c r="H544" i="23"/>
  <c r="H512" i="23"/>
  <c r="H480" i="23"/>
  <c r="H448" i="23"/>
  <c r="H418" i="23"/>
  <c r="H386" i="23"/>
  <c r="H282" i="23"/>
  <c r="H154" i="23"/>
  <c r="H394" i="23"/>
  <c r="H390" i="23"/>
  <c r="H366" i="23"/>
  <c r="J280" i="23"/>
  <c r="J275" i="23"/>
  <c r="J271" i="23"/>
  <c r="H258" i="23"/>
  <c r="H254" i="23"/>
  <c r="J250" i="23"/>
  <c r="J246" i="23"/>
  <c r="H191" i="23"/>
  <c r="H178" i="23"/>
  <c r="H145" i="23"/>
  <c r="H123" i="23"/>
  <c r="H119" i="23"/>
  <c r="H115" i="23"/>
  <c r="H111" i="23"/>
  <c r="H107" i="23"/>
  <c r="H103" i="23"/>
  <c r="H99" i="23"/>
  <c r="H95" i="23"/>
  <c r="H91" i="23"/>
  <c r="H87" i="23"/>
  <c r="H83" i="23"/>
  <c r="H79" i="23"/>
  <c r="H70" i="23"/>
  <c r="H46" i="23"/>
  <c r="J190" i="23"/>
  <c r="H403" i="23"/>
  <c r="H314" i="23"/>
  <c r="H310" i="23"/>
  <c r="J274" i="23"/>
  <c r="H234" i="23"/>
  <c r="H215" i="23"/>
  <c r="H193" i="23"/>
  <c r="H143" i="23"/>
  <c r="H138" i="23"/>
  <c r="H121" i="23"/>
  <c r="H113" i="23"/>
  <c r="H105" i="23"/>
  <c r="H97" i="23"/>
  <c r="H89" i="23"/>
  <c r="H81" i="23"/>
  <c r="J238" i="23"/>
  <c r="H379" i="23"/>
  <c r="H362" i="23"/>
  <c r="H353" i="23"/>
  <c r="H330" i="23"/>
  <c r="H326" i="23"/>
  <c r="H321" i="23"/>
  <c r="H290" i="23"/>
  <c r="H281" i="23"/>
  <c r="H223" i="23"/>
  <c r="H218" i="23"/>
  <c r="H62" i="23"/>
  <c r="H54" i="23"/>
  <c r="H617" i="23"/>
  <c r="H609" i="23"/>
  <c r="H601" i="23"/>
  <c r="H593" i="23"/>
  <c r="H585" i="23"/>
  <c r="H577" i="23"/>
  <c r="H569" i="23"/>
  <c r="H561" i="23"/>
  <c r="H553" i="23"/>
  <c r="H545" i="23"/>
  <c r="H537" i="23"/>
  <c r="H529" i="23"/>
  <c r="H521" i="23"/>
  <c r="H513" i="23"/>
  <c r="H505" i="23"/>
  <c r="H497" i="23"/>
  <c r="H489" i="23"/>
  <c r="H481" i="23"/>
  <c r="H473" i="23"/>
  <c r="H465" i="23"/>
  <c r="H457" i="23"/>
  <c r="H449" i="23"/>
  <c r="H441" i="23"/>
  <c r="H433" i="23"/>
  <c r="H425" i="23"/>
  <c r="H417" i="23"/>
  <c r="H409" i="23"/>
  <c r="H401" i="23"/>
  <c r="H393" i="23"/>
  <c r="H385" i="23"/>
  <c r="H370" i="23"/>
  <c r="H305" i="23"/>
  <c r="H292" i="23"/>
  <c r="H241" i="23"/>
  <c r="H228" i="23"/>
  <c r="H177" i="23"/>
  <c r="H164" i="23"/>
  <c r="H73" i="23"/>
  <c r="H57" i="23"/>
  <c r="J236" i="23"/>
  <c r="H236" i="23"/>
  <c r="H172" i="23"/>
  <c r="H308" i="23"/>
  <c r="J244" i="23"/>
  <c r="H244" i="23"/>
  <c r="H180" i="23"/>
  <c r="H76" i="23"/>
  <c r="H68" i="23"/>
  <c r="H316" i="23"/>
  <c r="J270" i="23"/>
  <c r="J252" i="23"/>
  <c r="H252" i="23"/>
  <c r="H188" i="23"/>
  <c r="H124" i="23"/>
  <c r="H116" i="23"/>
  <c r="H108" i="23"/>
  <c r="H100" i="23"/>
  <c r="H92" i="23"/>
  <c r="H84" i="23"/>
  <c r="H60" i="23"/>
  <c r="H378" i="23"/>
  <c r="H361" i="23"/>
  <c r="H337" i="23"/>
  <c r="H324" i="23"/>
  <c r="J278" i="23"/>
  <c r="H260" i="23"/>
  <c r="H132" i="23"/>
  <c r="H52" i="23"/>
  <c r="H44" i="23"/>
  <c r="H300" i="23"/>
  <c r="H349" i="23"/>
  <c r="H332" i="23"/>
  <c r="H268" i="23"/>
  <c r="H217" i="23"/>
  <c r="H153" i="23"/>
  <c r="H140" i="23"/>
  <c r="H374" i="23"/>
  <c r="H340" i="23"/>
  <c r="H289" i="23"/>
  <c r="J276" i="23"/>
  <c r="H276" i="23"/>
  <c r="H212" i="23"/>
  <c r="H148" i="23"/>
  <c r="H284" i="23"/>
  <c r="H233" i="23"/>
  <c r="H220" i="23"/>
  <c r="H169" i="23"/>
  <c r="H156" i="23"/>
  <c r="H65" i="23"/>
  <c r="J277" i="23"/>
  <c r="J253" i="23"/>
  <c r="J245" i="23"/>
  <c r="J237" i="23"/>
  <c r="J229" i="23"/>
  <c r="B593" i="6"/>
  <c r="J593" i="6"/>
  <c r="L593" i="6"/>
  <c r="H398" i="23" l="1"/>
  <c r="A594" i="6"/>
  <c r="B625" i="23" s="1"/>
  <c r="H399" i="23" l="1"/>
  <c r="F40" i="23"/>
  <c r="B84" i="39" l="1"/>
  <c r="B85" i="39"/>
  <c r="C40" i="23" l="1"/>
  <c r="A19" i="24" l="1"/>
  <c r="D14" i="24"/>
  <c r="C14" i="24"/>
  <c r="B40" i="23" l="1"/>
  <c r="C4" i="39" l="1"/>
  <c r="C5" i="39"/>
  <c r="C6" i="39"/>
  <c r="C7" i="39"/>
  <c r="C8" i="39"/>
  <c r="C9" i="39"/>
  <c r="C10" i="39"/>
  <c r="C11" i="39"/>
  <c r="C12" i="39"/>
  <c r="C13" i="39"/>
  <c r="C14" i="39"/>
  <c r="C15" i="39"/>
  <c r="C16" i="39"/>
  <c r="C17" i="39"/>
  <c r="C18" i="39"/>
  <c r="C19" i="39"/>
  <c r="C20" i="39"/>
  <c r="C21" i="39"/>
  <c r="C22" i="39"/>
  <c r="C23" i="39"/>
  <c r="C24" i="39"/>
  <c r="C25" i="39"/>
  <c r="C26" i="39"/>
  <c r="C27" i="39"/>
  <c r="C28" i="39"/>
  <c r="C29" i="39"/>
  <c r="C30" i="39"/>
  <c r="C31" i="39"/>
  <c r="C32" i="39"/>
  <c r="C33" i="39"/>
  <c r="C34" i="39"/>
  <c r="C36" i="39"/>
  <c r="C37" i="39"/>
  <c r="C38" i="39"/>
  <c r="C39" i="39"/>
  <c r="C35" i="39"/>
  <c r="C41" i="39"/>
  <c r="C42" i="39"/>
  <c r="C43" i="39"/>
  <c r="C44" i="39"/>
  <c r="C45" i="39"/>
  <c r="C46" i="39"/>
  <c r="C47" i="39"/>
  <c r="C48" i="39"/>
  <c r="C49" i="39"/>
  <c r="C50" i="39"/>
  <c r="C51" i="39"/>
  <c r="C40" i="39"/>
  <c r="C53" i="39"/>
  <c r="C54" i="39"/>
  <c r="C55" i="39"/>
  <c r="C56" i="39"/>
  <c r="C57" i="39"/>
  <c r="C58" i="39"/>
  <c r="C59" i="39"/>
  <c r="C60" i="39"/>
  <c r="C61" i="39"/>
  <c r="C62" i="39"/>
  <c r="C63" i="39"/>
  <c r="C64" i="39"/>
  <c r="C65" i="39"/>
  <c r="C66" i="39"/>
  <c r="C67" i="39"/>
  <c r="C68" i="39"/>
  <c r="C69" i="39"/>
  <c r="C70" i="39"/>
  <c r="C71" i="39"/>
  <c r="C72" i="39"/>
  <c r="C73" i="39"/>
  <c r="C74" i="39"/>
  <c r="C75" i="39"/>
  <c r="C76" i="39"/>
  <c r="C77" i="39"/>
  <c r="C78" i="39"/>
  <c r="C79" i="39"/>
  <c r="C80" i="39"/>
  <c r="C52" i="39"/>
  <c r="C3" i="39"/>
  <c r="E161" i="39"/>
  <c r="D161" i="39"/>
  <c r="C161" i="39"/>
  <c r="E160" i="39"/>
  <c r="D160" i="39"/>
  <c r="C160" i="39"/>
  <c r="E159" i="39"/>
  <c r="D159" i="39"/>
  <c r="C159" i="39"/>
  <c r="E158" i="39"/>
  <c r="D158" i="39"/>
  <c r="C158" i="39"/>
  <c r="E157" i="39"/>
  <c r="D157" i="39"/>
  <c r="C157" i="39"/>
  <c r="E156" i="39"/>
  <c r="D156" i="39"/>
  <c r="C156" i="39"/>
  <c r="E155" i="39"/>
  <c r="D155" i="39"/>
  <c r="C155" i="39"/>
  <c r="E154" i="39"/>
  <c r="D154" i="39"/>
  <c r="C154" i="39"/>
  <c r="E153" i="39"/>
  <c r="D153" i="39"/>
  <c r="C153" i="39"/>
  <c r="E152" i="39"/>
  <c r="D152" i="39"/>
  <c r="C152" i="39"/>
  <c r="E151" i="39"/>
  <c r="D151" i="39"/>
  <c r="C151" i="39"/>
  <c r="E150" i="39"/>
  <c r="D150" i="39"/>
  <c r="C150" i="39"/>
  <c r="E149" i="39"/>
  <c r="D149" i="39"/>
  <c r="C149" i="39"/>
  <c r="E148" i="39"/>
  <c r="D148" i="39"/>
  <c r="C148" i="39"/>
  <c r="E147" i="39"/>
  <c r="D147" i="39"/>
  <c r="C147" i="39"/>
  <c r="E146" i="39"/>
  <c r="D146" i="39"/>
  <c r="C146" i="39"/>
  <c r="E145" i="39"/>
  <c r="D145" i="39"/>
  <c r="C145" i="39"/>
  <c r="E144" i="39"/>
  <c r="D144" i="39"/>
  <c r="C144" i="39"/>
  <c r="E143" i="39"/>
  <c r="D143" i="39"/>
  <c r="C143" i="39"/>
  <c r="E142" i="39"/>
  <c r="D142" i="39"/>
  <c r="C142" i="39"/>
  <c r="E141" i="39"/>
  <c r="D141" i="39"/>
  <c r="C141" i="39"/>
  <c r="E140" i="39"/>
  <c r="D140" i="39"/>
  <c r="C140" i="39"/>
  <c r="E139" i="39"/>
  <c r="D139" i="39"/>
  <c r="C139" i="39"/>
  <c r="E138" i="39"/>
  <c r="D138" i="39"/>
  <c r="C138" i="39"/>
  <c r="E137" i="39"/>
  <c r="D137" i="39"/>
  <c r="C137" i="39"/>
  <c r="E136" i="39"/>
  <c r="D136" i="39"/>
  <c r="C136" i="39"/>
  <c r="E135" i="39"/>
  <c r="D135" i="39"/>
  <c r="C135" i="39"/>
  <c r="E134" i="39"/>
  <c r="D134" i="39"/>
  <c r="C134" i="39"/>
  <c r="E133" i="39"/>
  <c r="D133" i="39"/>
  <c r="C133" i="39"/>
  <c r="E132" i="39"/>
  <c r="D132" i="39"/>
  <c r="C132" i="39"/>
  <c r="E131" i="39"/>
  <c r="D131" i="39"/>
  <c r="C131" i="39"/>
  <c r="E130" i="39"/>
  <c r="D130" i="39"/>
  <c r="C130" i="39"/>
  <c r="E129" i="39"/>
  <c r="D129" i="39"/>
  <c r="C129" i="39"/>
  <c r="E128" i="39"/>
  <c r="D128" i="39"/>
  <c r="C128" i="39"/>
  <c r="E127" i="39"/>
  <c r="D127" i="39"/>
  <c r="C127" i="39"/>
  <c r="E126" i="39"/>
  <c r="D126" i="39"/>
  <c r="C126" i="39"/>
  <c r="E125" i="39"/>
  <c r="D125" i="39"/>
  <c r="C125" i="39"/>
  <c r="E124" i="39"/>
  <c r="D124" i="39"/>
  <c r="C124" i="39"/>
  <c r="E123" i="39"/>
  <c r="D123" i="39"/>
  <c r="C123" i="39"/>
  <c r="E122" i="39"/>
  <c r="D122" i="39"/>
  <c r="C122" i="39"/>
  <c r="E121" i="39"/>
  <c r="D121" i="39"/>
  <c r="C121" i="39"/>
  <c r="E120" i="39"/>
  <c r="D120" i="39"/>
  <c r="C120" i="39"/>
  <c r="E119" i="39"/>
  <c r="D119" i="39"/>
  <c r="C119" i="39"/>
  <c r="E118" i="39"/>
  <c r="D118" i="39"/>
  <c r="C118" i="39"/>
  <c r="E117" i="39"/>
  <c r="D117" i="39"/>
  <c r="C117" i="39"/>
  <c r="E116" i="39"/>
  <c r="D116" i="39"/>
  <c r="C116" i="39"/>
  <c r="E115" i="39"/>
  <c r="D115" i="39"/>
  <c r="C115" i="39"/>
  <c r="C83" i="39"/>
  <c r="D83" i="39"/>
  <c r="E83" i="39"/>
  <c r="C84" i="39"/>
  <c r="D84" i="39"/>
  <c r="E84" i="39"/>
  <c r="C85" i="39"/>
  <c r="D85" i="39"/>
  <c r="E85" i="39"/>
  <c r="C86" i="39"/>
  <c r="D86" i="39"/>
  <c r="E86" i="39"/>
  <c r="C87" i="39"/>
  <c r="D87" i="39"/>
  <c r="E87" i="39"/>
  <c r="C88" i="39"/>
  <c r="D88" i="39"/>
  <c r="E88" i="39"/>
  <c r="C89" i="39"/>
  <c r="D89" i="39"/>
  <c r="E89" i="39"/>
  <c r="C90" i="39"/>
  <c r="D90" i="39"/>
  <c r="E90" i="39"/>
  <c r="C91" i="39"/>
  <c r="D91" i="39"/>
  <c r="E91" i="39"/>
  <c r="C92" i="39"/>
  <c r="D92" i="39"/>
  <c r="E92" i="39"/>
  <c r="C93" i="39"/>
  <c r="D93" i="39"/>
  <c r="E93" i="39"/>
  <c r="C94" i="39"/>
  <c r="D94" i="39"/>
  <c r="E94" i="39"/>
  <c r="C95" i="39"/>
  <c r="D95" i="39"/>
  <c r="E95" i="39"/>
  <c r="C96" i="39"/>
  <c r="D96" i="39"/>
  <c r="E96" i="39"/>
  <c r="C97" i="39"/>
  <c r="D97" i="39"/>
  <c r="E97" i="39"/>
  <c r="C98" i="39"/>
  <c r="D98" i="39"/>
  <c r="E98" i="39"/>
  <c r="C99" i="39"/>
  <c r="D99" i="39"/>
  <c r="E99" i="39"/>
  <c r="C100" i="39"/>
  <c r="D100" i="39"/>
  <c r="E100" i="39"/>
  <c r="C101" i="39"/>
  <c r="D101" i="39"/>
  <c r="E101" i="39"/>
  <c r="C102" i="39"/>
  <c r="D102" i="39"/>
  <c r="E102" i="39"/>
  <c r="C103" i="39"/>
  <c r="D103" i="39"/>
  <c r="E103" i="39"/>
  <c r="C104" i="39"/>
  <c r="D104" i="39"/>
  <c r="E104" i="39"/>
  <c r="C105" i="39"/>
  <c r="D105" i="39"/>
  <c r="E105" i="39"/>
  <c r="C106" i="39"/>
  <c r="D106" i="39"/>
  <c r="E106" i="39"/>
  <c r="C107" i="39"/>
  <c r="D107" i="39"/>
  <c r="E107" i="39"/>
  <c r="C108" i="39"/>
  <c r="D108" i="39"/>
  <c r="E108" i="39"/>
  <c r="C109" i="39"/>
  <c r="D109" i="39"/>
  <c r="E109" i="39"/>
  <c r="C110" i="39"/>
  <c r="D110" i="39"/>
  <c r="E110" i="39"/>
  <c r="C111" i="39"/>
  <c r="D111" i="39"/>
  <c r="E111" i="39"/>
  <c r="C112" i="39"/>
  <c r="D112" i="39"/>
  <c r="E112" i="39"/>
  <c r="C113" i="39"/>
  <c r="D113" i="39"/>
  <c r="E113" i="39"/>
  <c r="C114" i="39"/>
  <c r="D114" i="39"/>
  <c r="E114" i="39"/>
  <c r="B23" i="39"/>
  <c r="B11" i="39"/>
  <c r="B12" i="39"/>
  <c r="B13" i="39"/>
  <c r="B14" i="39"/>
  <c r="B15" i="39"/>
  <c r="B16" i="39"/>
  <c r="B17" i="39"/>
  <c r="B18" i="39"/>
  <c r="B19" i="39"/>
  <c r="B20" i="39"/>
  <c r="B21" i="39"/>
  <c r="B22" i="39"/>
  <c r="B3" i="39"/>
  <c r="B4" i="39"/>
  <c r="B5" i="39"/>
  <c r="B6" i="39"/>
  <c r="B7" i="39"/>
  <c r="B8" i="39"/>
  <c r="B9" i="39"/>
  <c r="B10" i="39"/>
  <c r="B24" i="39"/>
  <c r="B25" i="39"/>
  <c r="B26" i="39"/>
  <c r="B27" i="39"/>
  <c r="B28" i="39"/>
  <c r="B29" i="39"/>
  <c r="B30" i="39"/>
  <c r="B31" i="39"/>
  <c r="B32" i="39"/>
  <c r="B33" i="39"/>
  <c r="B34" i="39"/>
  <c r="D81" i="39" l="1"/>
  <c r="F81" i="39"/>
  <c r="J81" i="39"/>
  <c r="I81" i="39"/>
  <c r="G81" i="39"/>
  <c r="B81" i="39"/>
  <c r="E81" i="39"/>
  <c r="H81" i="39"/>
  <c r="M4" i="6" l="1"/>
  <c r="D40" i="23"/>
  <c r="H61" i="23" l="1"/>
  <c r="H342" i="23"/>
  <c r="C623" i="23"/>
  <c r="H198" i="23" l="1"/>
  <c r="H207" i="23"/>
  <c r="H206" i="23"/>
  <c r="H195" i="23"/>
  <c r="H196" i="23"/>
  <c r="H203" i="23"/>
  <c r="H205" i="23"/>
  <c r="H204" i="23"/>
  <c r="H192" i="23"/>
  <c r="E593" i="6"/>
  <c r="M593" i="6" l="1"/>
  <c r="I2" i="23" l="1"/>
  <c r="I40" i="23" l="1"/>
  <c r="I623" i="23" s="1"/>
  <c r="G40" i="23"/>
  <c r="M40" i="23"/>
  <c r="K40" i="23"/>
  <c r="E40" i="23"/>
  <c r="H40" i="23" l="1"/>
  <c r="G623" i="23"/>
  <c r="J40" i="23"/>
  <c r="J623" i="23" s="1"/>
  <c r="F623" i="23"/>
  <c r="C2" i="23" l="1"/>
  <c r="P648" i="55"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LinkedTable_EquipmentTable" type="102" refreshedVersion="6" minRefreshableVersion="5">
    <extLst>
      <ext xmlns:x15="http://schemas.microsoft.com/office/spreadsheetml/2010/11/main" uri="{DE250136-89BD-433C-8126-D09CA5730AF9}">
        <x15:connection id="EquipmentTable">
          <x15:rangePr sourceName="_xlcn.LinkedTable_EquipmentTable"/>
        </x15:connection>
      </ext>
    </extLst>
  </connection>
  <connection id="2" xr16:uid="{00000000-0015-0000-FFFF-FFFF01000000}" keepAlive="1" name="Query - SlicerSelections" description="Connection to the 'SlicerSelections' query in the workbook." type="5" refreshedVersion="6" background="1" saveData="1">
    <dbPr connection="Provider=Microsoft.Mashup.OleDb.1;Data Source=$Workbook$;Location=SlicerSelections;Extended Properties=&quot;&quot;" command="SELECT * FROM [SlicerSelections]"/>
  </connection>
  <connection id="3" xr16:uid="{00000000-0015-0000-FFFF-FFFF02000000}" keepAlive="1" name="Query - Table14" description="Connection to the 'Table14' query in the workbook." type="5" refreshedVersion="0" background="1">
    <dbPr connection="Provider=Microsoft.Mashup.OleDb.1;Data Source=$Workbook$;Location=Table14" command="SELECT * FROM [Table14]"/>
  </connection>
  <connection id="4" xr16:uid="{00000000-0015-0000-FFFF-FFFF03000000}"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<sst xmlns="http://schemas.openxmlformats.org/spreadsheetml/2006/main" count="27397" uniqueCount="2575">
  <si>
    <t>TOTALS</t>
  </si>
  <si>
    <t>Unit
 Price</t>
  </si>
  <si>
    <t>Price</t>
  </si>
  <si>
    <t>Units</t>
  </si>
  <si>
    <t>Vendor</t>
  </si>
  <si>
    <t>SparkFun</t>
  </si>
  <si>
    <t>Equipment Category Lookup</t>
  </si>
  <si>
    <t>Power Supply</t>
  </si>
  <si>
    <t>Bluetooth</t>
  </si>
  <si>
    <t>WiFi</t>
  </si>
  <si>
    <t>Proximity/Distance</t>
  </si>
  <si>
    <t>Touch/Vibration</t>
  </si>
  <si>
    <t>Interface/Level/Logic Conversion</t>
  </si>
  <si>
    <t>Tools</t>
  </si>
  <si>
    <t>Misc. Breakouts/Sensors/Components</t>
  </si>
  <si>
    <t>DATE:</t>
  </si>
  <si>
    <t>Link</t>
  </si>
  <si>
    <t>Item/Description</t>
  </si>
  <si>
    <t>Equipment Category</t>
  </si>
  <si>
    <t>Thumbnail</t>
  </si>
  <si>
    <t>SKU</t>
  </si>
  <si>
    <t>URL</t>
  </si>
  <si>
    <t>Thumbnail Image</t>
  </si>
  <si>
    <t>Name</t>
  </si>
  <si>
    <t>RoHS Compliance</t>
  </si>
  <si>
    <t>Price (USD)</t>
  </si>
  <si>
    <t>DEV-11061</t>
  </si>
  <si>
    <t>https://www.sparkfun.com/products/11061</t>
  </si>
  <si>
    <t>https://cdn.sparkfun.com/r/92-92/assets/parts/6/4/3/3/11061-01c.jpg</t>
  </si>
  <si>
    <t>Arduino Mega 2560 R3</t>
  </si>
  <si>
    <t>DEV-13158</t>
  </si>
  <si>
    <t>https://www.sparkfun.com/products/13158</t>
  </si>
  <si>
    <t>https://cdn.sparkfun.com/r/92-92/assets/parts/1/0/2/7/0/13158-01.jpg</t>
  </si>
  <si>
    <t>SparkFun LiPower Shield</t>
  </si>
  <si>
    <t>PRT-12711</t>
  </si>
  <si>
    <t>https://www.sparkfun.com/products/12711</t>
  </si>
  <si>
    <t>https://cdn.sparkfun.com/r/92-92/assets/parts/9/4/5/6/12711-01.jpg</t>
  </si>
  <si>
    <t>SparkFun USB LiPoly Charger - Single Cell</t>
  </si>
  <si>
    <t>PRT-13032</t>
  </si>
  <si>
    <t>https://www.sparkfun.com/products/13032</t>
  </si>
  <si>
    <t>https://cdn.sparkfun.com/r/92-92/assets/parts/1/0/0/3/2/13032-01.jpg</t>
  </si>
  <si>
    <t>SparkFun Breadboard Power Supply Stick - 5V/3.3V</t>
  </si>
  <si>
    <t>PRT-13777</t>
  </si>
  <si>
    <t>https://www.sparkfun.com/products/13777</t>
  </si>
  <si>
    <t>https://cdn.sparkfun.com/r/92-92/assets/parts/1/1/3/3/1/13777-01.jpg</t>
  </si>
  <si>
    <t>SparkFun Battery Babysitter - LiPo Battery Manager</t>
  </si>
  <si>
    <t>PRT-13856</t>
  </si>
  <si>
    <t>https://www.sparkfun.com/products/13856</t>
  </si>
  <si>
    <t>https://cdn.sparkfun.com/r/92-92/assets/parts/1/1/4/6/3/13856-01.jpg</t>
  </si>
  <si>
    <t>Lithium Ion Battery - 6Ah</t>
  </si>
  <si>
    <t>WRL-11373</t>
  </si>
  <si>
    <t>https://www.sparkfun.com/products/11373</t>
  </si>
  <si>
    <t>https://cdn.sparkfun.com/r/92-92/assets/parts/7/1/1/5/11373-01.jpg</t>
  </si>
  <si>
    <t>SparkFun XBee Explorer Regulated</t>
  </si>
  <si>
    <t>WRL-11697</t>
  </si>
  <si>
    <t>https://www.sparkfun.com/products/11697</t>
  </si>
  <si>
    <t>https://cdn.sparkfun.com/r/92-92/assets/parts/7/8/6/5/11697-01b.jpg</t>
  </si>
  <si>
    <t>SparkFun XBee Explorer Dongle</t>
  </si>
  <si>
    <t>WRL-09434</t>
  </si>
  <si>
    <t>https://www.sparkfun.com/products/9434</t>
  </si>
  <si>
    <t>https://cdn.sparkfun.com/r/92-92/assets/parts/3/1/0/7/09434-03.jpg</t>
  </si>
  <si>
    <t>Bluetooth USB Module Mini</t>
  </si>
  <si>
    <t>WRL-11601</t>
  </si>
  <si>
    <t>https://www.sparkfun.com/products/11601</t>
  </si>
  <si>
    <t>https://cdn.sparkfun.com/r/92-92/assets/parts/7/6/1/7/11601-01.jpg</t>
  </si>
  <si>
    <t>RN42-XV Bluetooth Module - PCB Antenna</t>
  </si>
  <si>
    <t>SEN-00246</t>
  </si>
  <si>
    <t>https://www.sparkfun.com/products/246</t>
  </si>
  <si>
    <t>https://cdn.sparkfun.com/r/92-92/assets/parts/1/8/8/00246a-01.jpg</t>
  </si>
  <si>
    <t>Optical Detector / Phototransistor - QRD1114</t>
  </si>
  <si>
    <t>SEN-00241</t>
  </si>
  <si>
    <t>https://www.sparkfun.com/products/241</t>
  </si>
  <si>
    <t>https://cdn.sparkfun.com/r/92-92/assets/parts/1/8/3/00241-02.jpg</t>
  </si>
  <si>
    <t>Infrared Emitters and Detectors</t>
  </si>
  <si>
    <t>SEN-13968</t>
  </si>
  <si>
    <t>https://www.sparkfun.com/products/13968</t>
  </si>
  <si>
    <t>https://cdn.sparkfun.com/r/92-92/assets/parts/1/1/7/0/6/13968-01.jpg</t>
  </si>
  <si>
    <t>SparkFun OpenPIR</t>
  </si>
  <si>
    <t>SEN-13959</t>
  </si>
  <si>
    <t>https://www.sparkfun.com/products/13959</t>
  </si>
  <si>
    <t>https://cdn.sparkfun.com/r/92-92/assets/parts/1/1/6/6/8/13959-01a.jpg</t>
  </si>
  <si>
    <t>Ultrasonic Sensor - HC-SR04</t>
  </si>
  <si>
    <t>SEN-12785</t>
  </si>
  <si>
    <t>https://www.sparkfun.com/products/12785</t>
  </si>
  <si>
    <t>https://cdn.sparkfun.com/r/92-92/assets/parts/9/5/9/7/12785-01.jpg</t>
  </si>
  <si>
    <t>SparkFun ToF Range Finder Sensor - VL6180</t>
  </si>
  <si>
    <t>SEN-13162</t>
  </si>
  <si>
    <t>https://www.sparkfun.com/products/13162</t>
  </si>
  <si>
    <t>https://cdn.sparkfun.com/r/92-92/assets/parts/1/0/2/7/9/13162-01a.jpg</t>
  </si>
  <si>
    <t>ZX Distance and Gesture Sensor</t>
  </si>
  <si>
    <t>SEN-12787</t>
  </si>
  <si>
    <t>https://www.sparkfun.com/products/12787</t>
  </si>
  <si>
    <t>https://cdn.sparkfun.com/r/92-92/assets/parts/9/6/0/3/12787-01.jpg</t>
  </si>
  <si>
    <t>SparkFun RGB and Gesture Sensor - APDS-9960</t>
  </si>
  <si>
    <t>SPX-14343</t>
  </si>
  <si>
    <t>https://www.sparkfun.com/products/14343</t>
  </si>
  <si>
    <t>https://cdn.sparkfun.com/r/92-92/assets/parts/1/2/3/1/9/ToFQuarter.jpg</t>
  </si>
  <si>
    <t>Qwiic Distance Sensor - RFD77402</t>
  </si>
  <si>
    <t>SEN-00242</t>
  </si>
  <si>
    <t>https://www.sparkfun.com/products/242</t>
  </si>
  <si>
    <t>https://cdn.sparkfun.com/r/92-92/assets/parts/1/8/4/00242-1.jpg</t>
  </si>
  <si>
    <t>Infrared Proximity Sensor - Sharp GP2Y0A21YK</t>
  </si>
  <si>
    <t>SEN-09196</t>
  </si>
  <si>
    <t>https://www.sparkfun.com/products/9196</t>
  </si>
  <si>
    <t>https://cdn.sparkfun.com/r/92-92/assets/parts/2/6/4/2/09196-03-L.jpg</t>
  </si>
  <si>
    <t>Piezo Vibration Sensor - Large</t>
  </si>
  <si>
    <t>COM-14111</t>
  </si>
  <si>
    <t>https://www.sparkfun.com/products/14111</t>
  </si>
  <si>
    <t>https://cdn.sparkfun.com/r/92-92/assets/parts/1/1/9/9/4/14111-01.jpg</t>
  </si>
  <si>
    <t>EeonTex Pressure Sensing Fabric</t>
  </si>
  <si>
    <t>DEV-13293</t>
  </si>
  <si>
    <t>https://www.sparkfun.com/products/13293</t>
  </si>
  <si>
    <t>https://cdn.sparkfun.com/r/92-92/assets/parts/1/0/5/4/6/13293-01.jpg</t>
  </si>
  <si>
    <t>LCD Button Shield V2</t>
  </si>
  <si>
    <t>COM-12661</t>
  </si>
  <si>
    <t>https://www.sparkfun.com/products/12661</t>
  </si>
  <si>
    <t>https://cdn.sparkfun.com/r/92-92/assets/parts/9/3/7/2/12661-01a.jpg</t>
  </si>
  <si>
    <t>NeoPixel Stick - 8 x WS2812 5050 RGB LED</t>
  </si>
  <si>
    <t>COM-09637</t>
  </si>
  <si>
    <t>https://www.sparkfun.com/products/9637</t>
  </si>
  <si>
    <t>https://cdn.sparkfun.com/r/92-92/assets/parts/3/4/8/3/09637-01.jpg</t>
  </si>
  <si>
    <t>Luxeon Rebel High Power LED - Warm White</t>
  </si>
  <si>
    <t>COM-09906</t>
  </si>
  <si>
    <t>https://www.sparkfun.com/products/9906</t>
  </si>
  <si>
    <t>https://cdn.sparkfun.com/r/92-92/assets/parts/4/0/0/3/09906-01a.jpg</t>
  </si>
  <si>
    <t>Laser Module - Green</t>
  </si>
  <si>
    <t>COM-08674</t>
  </si>
  <si>
    <t>https://www.sparkfun.com/products/8674</t>
  </si>
  <si>
    <t>https://cdn.sparkfun.com/r/92-92/assets/parts/1/8/3/1/08674-03-L.jpg</t>
  </si>
  <si>
    <t>Laser Module Mount</t>
  </si>
  <si>
    <t>WIG-13660</t>
  </si>
  <si>
    <t>https://www.sparkfun.com/products/13660</t>
  </si>
  <si>
    <t>https://cdn.sparkfun.com/r/92-92/assets/parts/1/1/0/7/3/12897-02.jpg</t>
  </si>
  <si>
    <t>WAV Trigger</t>
  </si>
  <si>
    <t>DEV-11711</t>
  </si>
  <si>
    <t>https://www.sparkfun.com/products/11711</t>
  </si>
  <si>
    <t>https://cdn.sparkfun.com/r/92-92/assets/parts/7/8/9/4/11711-01.jpg</t>
  </si>
  <si>
    <t>Text-to-Speech Module - Emic 2</t>
  </si>
  <si>
    <t>SEN-12642</t>
  </si>
  <si>
    <t>https://www.sparkfun.com/products/12642</t>
  </si>
  <si>
    <t>https://cdn.sparkfun.com/r/92-92/assets/parts/9/3/3/0/12642-01.jpg</t>
  </si>
  <si>
    <t>SparkFun Sound Detector</t>
  </si>
  <si>
    <t>COM-14023</t>
  </si>
  <si>
    <t>https://www.sparkfun.com/products/14023</t>
  </si>
  <si>
    <t>https://cdn.sparkfun.com/r/92-92/assets/parts/1/1/8/3/1/14023-01.jpg</t>
  </si>
  <si>
    <t>Hamburger Mini Speaker</t>
  </si>
  <si>
    <t>COM-09151</t>
  </si>
  <si>
    <t>https://www.sparkfun.com/products/9151</t>
  </si>
  <si>
    <t>https://cdn.sparkfun.com/r/92-92/assets/parts/2/5/7/0/09151-03-L.jpg</t>
  </si>
  <si>
    <t>Speaker - 0.5W (8 Ohm)</t>
  </si>
  <si>
    <t>COM-11145</t>
  </si>
  <si>
    <t>https://www.sparkfun.com/products/11145</t>
  </si>
  <si>
    <t>https://cdn.sparkfun.com/r/92-92/assets/parts/6/6/0/6/11145-01.jpg</t>
  </si>
  <si>
    <t>Speaker Terminal - 4 Spring</t>
  </si>
  <si>
    <t>Thumb URL</t>
  </si>
  <si>
    <t>Item SKU</t>
  </si>
  <si>
    <t>Category</t>
  </si>
  <si>
    <t>Cost</t>
  </si>
  <si>
    <t>2-2.5m</t>
  </si>
  <si>
    <t>5m</t>
  </si>
  <si>
    <t>2cm - 4m</t>
  </si>
  <si>
    <t>ToF</t>
  </si>
  <si>
    <t>Z-Axis Recognition</t>
  </si>
  <si>
    <t>12 inches (~30cm)</t>
  </si>
  <si>
    <t>X-Axis Recognition</t>
  </si>
  <si>
    <t>6 inches (~15cm)</t>
  </si>
  <si>
    <t>up to 10cm</t>
  </si>
  <si>
    <t>up to 25cm</t>
  </si>
  <si>
    <t>SparkFun ToF Range Finder Breakout - VL6180</t>
  </si>
  <si>
    <t>4 to 8 inches (10 to 20 cm)</t>
  </si>
  <si>
    <t>3.1V at 10cm to 0.4V at 80cm</t>
  </si>
  <si>
    <t>Infrared Proximity Sensor Long Range - Sharp GP2Y0A02YK0F</t>
  </si>
  <si>
    <t>2.8V at 15cm to 0.4V at 150cm</t>
  </si>
  <si>
    <t>Infrared Proximity Sensor Short Range - Sharp GP2Y0A41SK0F</t>
  </si>
  <si>
    <t>3.1V at 4cm to 0.3V at 30cm</t>
  </si>
  <si>
    <t>up to ~5ft</t>
  </si>
  <si>
    <t>0.5-1.0cm</t>
  </si>
  <si>
    <t>Detection Axis</t>
  </si>
  <si>
    <t>Nominal Range</t>
  </si>
  <si>
    <t>User Purported Range</t>
  </si>
  <si>
    <t>Detection Method</t>
  </si>
  <si>
    <t>45cm (150cm w/ prev ver)</t>
  </si>
  <si>
    <t>Comments/Notes</t>
  </si>
  <si>
    <t>Object Detection Component</t>
  </si>
  <si>
    <t>N/A</t>
  </si>
  <si>
    <t>Header Pin #s</t>
  </si>
  <si>
    <t>5, 5, 6</t>
  </si>
  <si>
    <t>JST</t>
  </si>
  <si>
    <t>2x4, 2x8, 2x8, 6</t>
  </si>
  <si>
    <t>Pre-Populated</t>
  </si>
  <si>
    <t>5, 5, 6, 8</t>
  </si>
  <si>
    <t>SparkFun Logomatic v2 - Serial SD Datalogger (FAT32)</t>
  </si>
  <si>
    <t>Component</t>
  </si>
  <si>
    <t>Header/Pin Configs</t>
  </si>
  <si>
    <t>Yes</t>
  </si>
  <si>
    <t>No</t>
  </si>
  <si>
    <t>SparkFun SD/MMC Card Breakout</t>
  </si>
  <si>
    <t>SD Sniffer</t>
  </si>
  <si>
    <t>SparkFun microSD Sniffer</t>
  </si>
  <si>
    <t>M</t>
  </si>
  <si>
    <t>M/F</t>
  </si>
  <si>
    <t>SparkFun Logic Level Converter - Bi-Directional </t>
  </si>
  <si>
    <t>6, 6</t>
  </si>
  <si>
    <t>SparkFun USB UART Serial Breakout - CY7C65213</t>
  </si>
  <si>
    <t>4, 4, 6, 8, 8</t>
  </si>
  <si>
    <t>SparkFun Luminosity Sensor Breakout - TSL2561</t>
  </si>
  <si>
    <t>SparkFun I2C DAC Breakout - MCP4725</t>
  </si>
  <si>
    <t>SparkFun Opto-isolator Breakout</t>
  </si>
  <si>
    <t>4, 4</t>
  </si>
  <si>
    <t>SparkFun Voltage-Level Translator Breakout - TXB0104</t>
  </si>
  <si>
    <t>7, 7</t>
  </si>
  <si>
    <t>SparkFun Analog/Digital MUX Breakout - CD74HC4067</t>
  </si>
  <si>
    <t>8, 8, 8</t>
  </si>
  <si>
    <t>SparkFun Ambient Light Sensor Breakout - TEMT6000</t>
  </si>
  <si>
    <t>SparkFun Shift-In Breakout - SN74HC165</t>
  </si>
  <si>
    <t>6, 6, 8</t>
  </si>
  <si>
    <t>SparkFun Level Shifting microSD Breakout</t>
  </si>
  <si>
    <t>SparkFun Serial Basic Breakout - CH340G</t>
  </si>
  <si>
    <t>F</t>
  </si>
  <si>
    <t>JST-PH (4-pin)</t>
  </si>
  <si>
    <t>~5cm to 200cm</t>
  </si>
  <si>
    <t>+/-10%</t>
  </si>
  <si>
    <t>Precision</t>
  </si>
  <si>
    <t>WIG-12772</t>
  </si>
  <si>
    <t>https://www.sparkfun.com/products/12772</t>
  </si>
  <si>
    <t>https://cdn.sparkfun.com/r/92-92/assets/parts/9/5/4/5/12772-01.jpg</t>
  </si>
  <si>
    <t>TOL-09419</t>
  </si>
  <si>
    <t>https://www.sparkfun.com/products/9419</t>
  </si>
  <si>
    <t>https://cdn.sparkfun.com/r/92-92/assets/parts/3/0/5/9/09419-01a.jpg</t>
  </si>
  <si>
    <t>PRT-14425</t>
  </si>
  <si>
    <t>https://www.sparkfun.com/products/14425</t>
  </si>
  <si>
    <t>https://cdn.sparkfun.com/r/92-92/assets/parts/1/2/4/5/1/14425-01.jpg</t>
  </si>
  <si>
    <t>Qwiic Cable - Breadboard Jumper (4-pin)</t>
  </si>
  <si>
    <t>SPX-14291</t>
  </si>
  <si>
    <t>https://www.sparkfun.com/products/14291</t>
  </si>
  <si>
    <t>https://cdn.sparkfun.com/r/92-92/assets/parts/1/2/2/5/0/1Wire_to_Qwiic_Bridge_DS28E17_05.jpg</t>
  </si>
  <si>
    <t>1-Wire to Qwiic Bridge - DS28E17</t>
  </si>
  <si>
    <t>CAB-12977</t>
  </si>
  <si>
    <t>https://www.sparkfun.com/products/12977</t>
  </si>
  <si>
    <t>https://cdn.sparkfun.com/r/92-92/assets/parts/9/9/1/8/12977-00.jpg</t>
  </si>
  <si>
    <t>USB to TTL Serial Cable</t>
  </si>
  <si>
    <t>CAB-11579</t>
  </si>
  <si>
    <t>https://www.sparkfun.com/products/11579</t>
  </si>
  <si>
    <t>https://cdn.sparkfun.com/r/92-92/assets/parts/7/5/6/8/11579-01.jpg</t>
  </si>
  <si>
    <t>SparkFun Hydra Power Cable - 6ft</t>
  </si>
  <si>
    <t>CAB-12016</t>
  </si>
  <si>
    <t>https://www.sparkfun.com/products/12016</t>
  </si>
  <si>
    <t>https://cdn.sparkfun.com/r/92-92/assets/parts/8/5/3/9/12016-01.jpg</t>
  </si>
  <si>
    <t>SparkFun Cerberus USB Cable - 6ft</t>
  </si>
  <si>
    <t>WRL-13677</t>
  </si>
  <si>
    <t>https://www.sparkfun.com/products/13677</t>
  </si>
  <si>
    <t>https://cdn.sparkfun.com/r/92-92/assets/parts/1/1/1/2/7/13677-01.jpg</t>
  </si>
  <si>
    <t>Edimax WiFi Adapter (EW-7811UN)</t>
  </si>
  <si>
    <t>WRL-13678</t>
  </si>
  <si>
    <t>https://www.sparkfun.com/products/13678</t>
  </si>
  <si>
    <t>https://cdn.sparkfun.com/r/92-92/assets/parts/1/1/1/2/9/13678-01.jpg</t>
  </si>
  <si>
    <t>WiFi Module - ESP8266</t>
  </si>
  <si>
    <t>BOB-12009</t>
  </si>
  <si>
    <t>https://www.sparkfun.com/products/12009</t>
  </si>
  <si>
    <t>https://cdn.sparkfun.com/r/92-92/assets/parts/8/5/2/2/12009-06.jpg</t>
  </si>
  <si>
    <t>SparkFun Logic Level Converter - Bi-Directional</t>
  </si>
  <si>
    <t>PRT-14428</t>
  </si>
  <si>
    <t>https://www.sparkfun.com/products/14428</t>
  </si>
  <si>
    <t>https://cdn.sparkfun.com/r/92-92/assets/parts/1/2/4/5/4/14428-01.jpg</t>
  </si>
  <si>
    <t>Qwiic Cable - 200mm</t>
  </si>
  <si>
    <t>PRT-14426</t>
  </si>
  <si>
    <t>https://www.sparkfun.com/products/14426</t>
  </si>
  <si>
    <t>https://cdn.sparkfun.com/r/92-92/assets/parts/1/2/4/5/2/14426-01.jpg</t>
  </si>
  <si>
    <t>Qwiic Cable - 50mm</t>
  </si>
  <si>
    <t>PRT-14427</t>
  </si>
  <si>
    <t>https://www.sparkfun.com/products/14427</t>
  </si>
  <si>
    <t>https://cdn.sparkfun.com/r/92-92/assets/parts/1/2/4/5/3/14427-01.jpg</t>
  </si>
  <si>
    <t>Qwiic Cable - 100mm</t>
  </si>
  <si>
    <t>DEV-14050</t>
  </si>
  <si>
    <t>https://www.sparkfun.com/products/14050</t>
  </si>
  <si>
    <t>https://cdn.sparkfun.com/r/92-92/assets/parts/1/1/8/8/8/14050-01.jpg</t>
  </si>
  <si>
    <t>BOB-13830</t>
  </si>
  <si>
    <t>https://www.sparkfun.com/products/13830</t>
  </si>
  <si>
    <t>https://cdn.sparkfun.com/r/92-92/assets/parts/1/1/4/2/7/13830-01.jpg</t>
  </si>
  <si>
    <t>BOB-12941</t>
  </si>
  <si>
    <t>https://www.sparkfun.com/products/12941</t>
  </si>
  <si>
    <t>https://cdn.sparkfun.com/r/92-92/assets/parts/9/8/7/2/12941-01.jpg</t>
  </si>
  <si>
    <t>SEN-10289</t>
  </si>
  <si>
    <t>https://www.sparkfun.com/products/10289</t>
  </si>
  <si>
    <t>https://cdn.sparkfun.com/r/92-92/assets/parts/4/6/8/5/10289-01.jpg</t>
  </si>
  <si>
    <t>Tilt Sensor - AT407</t>
  </si>
  <si>
    <t>BOB-11955</t>
  </si>
  <si>
    <t>https://www.sparkfun.com/products/11955</t>
  </si>
  <si>
    <t>https://cdn.sparkfun.com/r/92-92/assets/parts/8/4/3/0/11955-01.jpg</t>
  </si>
  <si>
    <t>SparkFun Level Translator Breakout - PCA9306</t>
  </si>
  <si>
    <t>BOB-11771</t>
  </si>
  <si>
    <t>https://www.sparkfun.com/products/11771</t>
  </si>
  <si>
    <t>https://cdn.sparkfun.com/r/92-92/assets/parts/8/0/0/6/11771-01.jpg</t>
  </si>
  <si>
    <t>DEV-13097</t>
  </si>
  <si>
    <t>https://www.sparkfun.com/products/13097</t>
  </si>
  <si>
    <t>https://cdn.sparkfun.com/r/92-92/assets/parts/1/0/1/3/9/13097-06.jpg</t>
  </si>
  <si>
    <t>IntelÂ® Edison and Arduino Breakout Kit</t>
  </si>
  <si>
    <t>DEV-13727</t>
  </si>
  <si>
    <t>https://www.sparkfun.com/products/13727</t>
  </si>
  <si>
    <t>https://cdn.sparkfun.com/r/92-92/assets/parts/1/1/2/3/7/13727-01.jpg</t>
  </si>
  <si>
    <t>SparkFun Block for IntelÂ® Edison - Power</t>
  </si>
  <si>
    <t>DEV-13038</t>
  </si>
  <si>
    <t>https://www.sparkfun.com/products/13038</t>
  </si>
  <si>
    <t>https://cdn.sparkfun.com/r/92-92/assets/parts/1/0/0/3/9/13038-04.jpg</t>
  </si>
  <si>
    <t>SparkFun Block for IntelÂ® Edison - GPIO</t>
  </si>
  <si>
    <t>DEV-13034</t>
  </si>
  <si>
    <t>https://www.sparkfun.com/products/13034</t>
  </si>
  <si>
    <t>https://cdn.sparkfun.com/r/92-92/assets/parts/1/0/0/3/5/13034-01_1.jpg</t>
  </si>
  <si>
    <t>SparkFun Block for IntelÂ® Edison - I2C</t>
  </si>
  <si>
    <t>DEV-13041</t>
  </si>
  <si>
    <t>https://www.sparkfun.com/products/13041</t>
  </si>
  <si>
    <t>https://cdn.sparkfun.com/r/92-92/assets/parts/1/0/0/4/2/13041-01.jpg</t>
  </si>
  <si>
    <t>SparkFun Block for IntelÂ® Edison - microSD</t>
  </si>
  <si>
    <t>DEV-13045</t>
  </si>
  <si>
    <t>https://www.sparkfun.com/products/13045</t>
  </si>
  <si>
    <t>https://cdn.sparkfun.com/r/92-92/assets/parts/1/0/0/4/7/13045-01.jpg</t>
  </si>
  <si>
    <t>SparkFun Block for IntelÂ® Edison - Base</t>
  </si>
  <si>
    <t>DEV-12923</t>
  </si>
  <si>
    <t>https://www.sparkfun.com/products/12923</t>
  </si>
  <si>
    <t>https://cdn.sparkfun.com/r/92-92/assets/parts/9/8/4/5/12923-01.jpg</t>
  </si>
  <si>
    <t>SparkFun MicroView - OLED Arduino Module</t>
  </si>
  <si>
    <t>DEV-12924</t>
  </si>
  <si>
    <t>https://www.sparkfun.com/products/12924</t>
  </si>
  <si>
    <t>https://cdn.sparkfun.com/r/92-92/assets/parts/9/8/4/6/12924-01.jpg</t>
  </si>
  <si>
    <t>SparkFun MicroView - USB Programmer</t>
  </si>
  <si>
    <t>DEV-11643</t>
  </si>
  <si>
    <t>https://www.sparkfun.com/products/11643</t>
  </si>
  <si>
    <t>https://cdn.sparkfun.com/r/92-92/assets/parts/7/7/1/7/11643-01.jpg</t>
  </si>
  <si>
    <t>XMEGA Xprotolab</t>
  </si>
  <si>
    <t>DEV-11695</t>
  </si>
  <si>
    <t>https://www.sparkfun.com/products/11695</t>
  </si>
  <si>
    <t>https://cdn.sparkfun.com/r/92-92/assets/parts/7/8/5/9/11695-01.jpg</t>
  </si>
  <si>
    <t>mbed Application Board</t>
  </si>
  <si>
    <t>DEV-09564</t>
  </si>
  <si>
    <t>https://www.sparkfun.com/products/9564</t>
  </si>
  <si>
    <t>https://cdn.sparkfun.com/r/92-92/assets/parts/3/3/3/6/09564-05.jpg</t>
  </si>
  <si>
    <t>mbed - LPC1768 (Cortex-M3)</t>
  </si>
  <si>
    <t>BOB-12918</t>
  </si>
  <si>
    <t>https://www.sparkfun.com/products/12918</t>
  </si>
  <si>
    <t>https://cdn.sparkfun.com/r/92-92/assets/parts/9/8/3/2/12918-01.jpg</t>
  </si>
  <si>
    <t>COM-13004</t>
  </si>
  <si>
    <t>https://www.sparkfun.com/products/13004</t>
  </si>
  <si>
    <t>https://cdn.sparkfun.com/r/92-92/assets/parts/9/9/5/8/13004-01.jpg</t>
  </si>
  <si>
    <t>microSD USB Reader</t>
  </si>
  <si>
    <t>WRL-14280</t>
  </si>
  <si>
    <t>https://www.sparkfun.com/products/14280</t>
  </si>
  <si>
    <t>https://cdn.sparkfun.com/r/92-92/assets/parts/1/2/2/3/6/14280-01.jpg</t>
  </si>
  <si>
    <t>Realtek Ameba Board</t>
  </si>
  <si>
    <t>DEV-13613</t>
  </si>
  <si>
    <t>https://www.sparkfun.com/products/13613</t>
  </si>
  <si>
    <t>https://cdn.sparkfun.com/r/92-92/assets/parts/1/0/9/8/3/13613-01.jpg</t>
  </si>
  <si>
    <t>IOIO-OTG - V2.2</t>
  </si>
  <si>
    <t>DEV-14135</t>
  </si>
  <si>
    <t>https://www.sparkfun.com/products/14135</t>
  </si>
  <si>
    <t>https://cdn.sparkfun.com/r/92-92/assets/parts/1/2/0/3/4/14135-03.jpg</t>
  </si>
  <si>
    <t>Arduino Tian</t>
  </si>
  <si>
    <t>SPX-14286</t>
  </si>
  <si>
    <t>https://www.sparkfun.com/products/14286</t>
  </si>
  <si>
    <t>https://cdn.sparkfun.com/r/92-92/assets/parts/1/2/2/4/5/Qwiic_Shield_for_Arduino_X1.1_04.jpg</t>
  </si>
  <si>
    <t>Qwiic Shield for Arduino</t>
  </si>
  <si>
    <t>KIT-13973</t>
  </si>
  <si>
    <t>https://www.sparkfun.com/products/13973</t>
  </si>
  <si>
    <t>https://cdn.sparkfun.com/r/92-92/assets/parts/1/1/7/1/5/13973-05.jpg</t>
  </si>
  <si>
    <t>SparkFun Beginner Parts Kit</t>
  </si>
  <si>
    <t>COM-10969</t>
  </si>
  <si>
    <t>https://www.sparkfun.com/products/10969</t>
  </si>
  <si>
    <t>https://cdn.sparkfun.com/r/92-92/assets/parts/6/1/7/1/10969-01.jpg</t>
  </si>
  <si>
    <t>Resistor Kit - 1/4W (500 total)</t>
  </si>
  <si>
    <t>KIT-13698</t>
  </si>
  <si>
    <t>https://www.sparkfun.com/products/13698</t>
  </si>
  <si>
    <t>https://cdn.sparkfun.com/r/92-92/assets/parts/1/1/1/7/0/13698-02.jpg</t>
  </si>
  <si>
    <t>SparkFun Capacitor Kit</t>
  </si>
  <si>
    <t>COM-00526</t>
  </si>
  <si>
    <t>https://www.sparkfun.com/products/526</t>
  </si>
  <si>
    <t>https://cdn.sparkfun.com/r/92-92/assets/parts/3/0/2/00526-03-L.jpg</t>
  </si>
  <si>
    <t>Voltage Regulator - 3.3V</t>
  </si>
  <si>
    <t>COM-00527</t>
  </si>
  <si>
    <t>https://www.sparkfun.com/products/527</t>
  </si>
  <si>
    <t>https://cdn.sparkfun.com/r/92-92/assets/parts/3/5/8/LM317.jpg</t>
  </si>
  <si>
    <t>Voltage Regulator - Adjustable</t>
  </si>
  <si>
    <t>COM-11707</t>
  </si>
  <si>
    <t>https://www.sparkfun.com/products/11707</t>
  </si>
  <si>
    <t>https://cdn.sparkfun.com/r/92-92/assets/parts/7/8/8/8/11707-01.jpg</t>
  </si>
  <si>
    <t>Barrel Jack Extension Cable - M-F (6 ft)</t>
  </si>
  <si>
    <t>COM-11078</t>
  </si>
  <si>
    <t>https://www.sparkfun.com/products/11078</t>
  </si>
  <si>
    <t>https://cdn.sparkfun.com/r/92-92/assets/parts/6/4/6/8/11078-01.jpg</t>
  </si>
  <si>
    <t>TL431 - Voltage Reference</t>
  </si>
  <si>
    <t>COM-00107</t>
  </si>
  <si>
    <t>https://www.sparkfun.com/products/107</t>
  </si>
  <si>
    <t>https://cdn.sparkfun.com/r/92-92/assets/parts/9/9/00107-1.jpg</t>
  </si>
  <si>
    <t>Voltage Regulator - 5V</t>
  </si>
  <si>
    <t>COM-08636</t>
  </si>
  <si>
    <t>https://www.sparkfun.com/products/8636</t>
  </si>
  <si>
    <t>https://cdn.sparkfun.com/r/92-92/assets/parts/1/7/7/0/08636-03-L.jpg</t>
  </si>
  <si>
    <t>Analog to Digital Converter - MCP3002</t>
  </si>
  <si>
    <t>COM-09273</t>
  </si>
  <si>
    <t>https://www.sparkfun.com/products/9273</t>
  </si>
  <si>
    <t>https://cdn.sparkfun.com/r/92-92/assets/parts/2/7/9/0/09273-1.jpg</t>
  </si>
  <si>
    <t>555 Timer</t>
  </si>
  <si>
    <t>COM-13699</t>
  </si>
  <si>
    <t>https://www.sparkfun.com/products/13699</t>
  </si>
  <si>
    <t>https://cdn.sparkfun.com/r/92-92/assets/parts/1/1/1/7/5/13699-01.jpg</t>
  </si>
  <si>
    <t>Shift Register 8-Bit - SN74HC595</t>
  </si>
  <si>
    <t>BOB-11733</t>
  </si>
  <si>
    <t>https://www.sparkfun.com/products/11733</t>
  </si>
  <si>
    <t>https://cdn.sparkfun.com/r/92-92/assets/parts/7/9/4/5/11733-01a.jpg</t>
  </si>
  <si>
    <t>DEV-13743</t>
  </si>
  <si>
    <t>https://www.sparkfun.com/products/13743</t>
  </si>
  <si>
    <t>https://cdn.sparkfun.com/r/92-92/assets/parts/1/1/2/6/7/13743-01.jpg</t>
  </si>
  <si>
    <t>PRT-00124</t>
  </si>
  <si>
    <t>https://www.sparkfun.com/products/124</t>
  </si>
  <si>
    <t>https://cdn.sparkfun.com/r/92-92/assets/parts/1/1/2/00124-04.jpg</t>
  </si>
  <si>
    <t>Jumper Wire Kit</t>
  </si>
  <si>
    <t>COM-10301</t>
  </si>
  <si>
    <t>https://www.sparkfun.com/products/10301</t>
  </si>
  <si>
    <t>https://cdn.sparkfun.com/r/92-92/assets/parts/4/7/0/4/10301-01.jpg</t>
  </si>
  <si>
    <t>Zener Diode - 5.1V 1W</t>
  </si>
  <si>
    <t>COM-08589</t>
  </si>
  <si>
    <t>https://www.sparkfun.com/products/8589</t>
  </si>
  <si>
    <t>https://cdn.sparkfun.com/r/92-92/assets/parts/1/5/7/8/08588-02-L.jpg</t>
  </si>
  <si>
    <t>Diode Rectifier - 1A 50V</t>
  </si>
  <si>
    <t>COM-08588</t>
  </si>
  <si>
    <t>https://www.sparkfun.com/products/8588</t>
  </si>
  <si>
    <t>https://cdn.sparkfun.com/r/92-92/assets/parts/1/5/6/7/08589-03-L.jpg</t>
  </si>
  <si>
    <t>Diode Small Signal - 1N4148</t>
  </si>
  <si>
    <t>COM-08034</t>
  </si>
  <si>
    <t>https://www.sparkfun.com/products/8034</t>
  </si>
  <si>
    <t>https://cdn.sparkfun.com/r/92-92/assets/parts/6/5/0/08034-1.jpg</t>
  </si>
  <si>
    <t>DIP Switch - 8 Position</t>
  </si>
  <si>
    <t>COM-10856</t>
  </si>
  <si>
    <t>https://www.sparkfun.com/products/10856</t>
  </si>
  <si>
    <t>https://cdn.sparkfun.com/r/92-92/assets/parts/5/8/6/9/10856-01a.jpg</t>
  </si>
  <si>
    <t>Resistor Network - 10K Ohm (6-pin bussed)</t>
  </si>
  <si>
    <t>COM-10855</t>
  </si>
  <si>
    <t>https://www.sparkfun.com/products/10855</t>
  </si>
  <si>
    <t>https://cdn.sparkfun.com/r/92-92/assets/parts/5/8/6/8/10855-01d.jpg</t>
  </si>
  <si>
    <t>Resistor Network - 330 Ohm (6-pin bussed)</t>
  </si>
  <si>
    <t>PRT-09749</t>
  </si>
  <si>
    <t>https://www.sparkfun.com/products/9749</t>
  </si>
  <si>
    <t>https://cdn.sparkfun.com/r/92-92/assets/parts/3/7/0/9/09749-01.jpg</t>
  </si>
  <si>
    <t>JST Right-Angle Connector - Through-Hole 2-Pin</t>
  </si>
  <si>
    <t>PRT-08077</t>
  </si>
  <si>
    <t>https://www.sparkfun.com/products/8077</t>
  </si>
  <si>
    <t>https://cdn.sparkfun.com/r/92-92/assets/parts/6/5/6/08077-01.jpg</t>
  </si>
  <si>
    <t>Spring Terminals - PCB Mount (6-Pin)</t>
  </si>
  <si>
    <t>PRT-08075</t>
  </si>
  <si>
    <t>https://www.sparkfun.com/products/8075</t>
  </si>
  <si>
    <t>https://cdn.sparkfun.com/r/92-92/assets/parts/6/5/4/08075-01.jpg</t>
  </si>
  <si>
    <t>Spring Terminals - PCB Mount (4-Pin)</t>
  </si>
  <si>
    <t>PRT-10571</t>
  </si>
  <si>
    <t>https://www.sparkfun.com/products/10571</t>
  </si>
  <si>
    <t>https://cdn.sparkfun.com/r/92-92/assets/parts/5/2/0/4/10571-01.jpg</t>
  </si>
  <si>
    <t>Screw Terminals 2.54mm Pitch (2-Pin)</t>
  </si>
  <si>
    <t>TOL-08639</t>
  </si>
  <si>
    <t>https://www.sparkfun.com/products/8639</t>
  </si>
  <si>
    <t>https://cdn.sparkfun.com/r/92-92/assets/parts/1/7/7/8/08639-01.jpg</t>
  </si>
  <si>
    <t>Barrel Jack Adapter - USB to 5.5mm</t>
  </si>
  <si>
    <t>PRT-08672</t>
  </si>
  <si>
    <t>https://www.sparkfun.com/products/8672</t>
  </si>
  <si>
    <t>https://cdn.sparkfun.com/r/92-92/assets/parts/1/8/2/8/08672-03-L.jpg</t>
  </si>
  <si>
    <t>Jumper Wire - PTH Black White</t>
  </si>
  <si>
    <t>PRT-08614</t>
  </si>
  <si>
    <t>https://www.sparkfun.com/products/8614</t>
  </si>
  <si>
    <t>https://cdn.sparkfun.com/r/92-92/assets/parts/1/6/9/8/08614-03-L.jpg</t>
  </si>
  <si>
    <t>Jumper Wire - Female to Female Connector</t>
  </si>
  <si>
    <t>PRT-12693</t>
  </si>
  <si>
    <t>https://www.sparkfun.com/products/12693</t>
  </si>
  <si>
    <t>https://cdn.sparkfun.com/r/92-92/assets/parts/9/4/2/7/12693-02.jpg</t>
  </si>
  <si>
    <t>Break Away Headers - 40-pin Male (Long Centered, PTH, 0.1\")</t>
  </si>
  <si>
    <t>PRT-13925</t>
  </si>
  <si>
    <t>https://www.sparkfun.com/products/13925</t>
  </si>
  <si>
    <t>https://cdn.sparkfun.com/r/92-92/assets/parts/1/1/5/9/7/13925-01.jpg</t>
  </si>
  <si>
    <t>Teensy Header Kit</t>
  </si>
  <si>
    <t>PRT-14322</t>
  </si>
  <si>
    <t>https://www.sparkfun.com/products/14322</t>
  </si>
  <si>
    <t>https://cdn.sparkfun.com/r/92-92/assets/parts/1/0/6/5/6/14322-02.jpg</t>
  </si>
  <si>
    <t>Photon Stackable Header - 12 Pin</t>
  </si>
  <si>
    <t>PRT-09916</t>
  </si>
  <si>
    <t>https://www.sparkfun.com/products/9916</t>
  </si>
  <si>
    <t>https://cdn.sparkfun.com/r/92-92/assets/parts/4/0/2/2/09916-02b.jpg</t>
  </si>
  <si>
    <t>JST Jumper 4 Wire Assembly</t>
  </si>
  <si>
    <t>PRT-10158</t>
  </si>
  <si>
    <t>https://www.sparkfun.com/products/10158</t>
  </si>
  <si>
    <t>https://cdn.sparkfun.com/r/92-92/assets/parts/4/4/5/2/10158-01.jpg</t>
  </si>
  <si>
    <t>Break Away Headers - Long</t>
  </si>
  <si>
    <t>BOB-09056</t>
  </si>
  <si>
    <t>https://www.sparkfun.com/products/9056</t>
  </si>
  <si>
    <t>https://cdn.sparkfun.com/r/92-92/assets/parts/2/4/2/0/09056-01.jpg</t>
  </si>
  <si>
    <t>BOB-09118</t>
  </si>
  <si>
    <t>https://www.sparkfun.com/products/9118</t>
  </si>
  <si>
    <t>https://cdn.sparkfun.com/r/92-92/assets/parts/2/5/2/2/09118-02.jpg</t>
  </si>
  <si>
    <t>PRT-10369</t>
  </si>
  <si>
    <t>https://www.sparkfun.com/products/10369</t>
  </si>
  <si>
    <t>https://cdn.sparkfun.com/r/92-92/assets/parts/4/8/2/1/10369-01.jpg</t>
  </si>
  <si>
    <t>Jumper Wire - 0.1\", 4-pin, 6\"</t>
  </si>
  <si>
    <t>PRT-10376</t>
  </si>
  <si>
    <t>https://www.sparkfun.com/products/10376</t>
  </si>
  <si>
    <t>https://cdn.sparkfun.com/r/92-92/assets/parts/4/8/2/8/10376-01.jpg</t>
  </si>
  <si>
    <t>Jumper Wire - 0.1\", 6-pin, 12\"</t>
  </si>
  <si>
    <t>PRT-10371</t>
  </si>
  <si>
    <t>https://www.sparkfun.com/products/10371</t>
  </si>
  <si>
    <t>https://cdn.sparkfun.com/r/92-92/assets/parts/4/8/2/3/10371-01.jpg</t>
  </si>
  <si>
    <t>Jumper Wire - 0.1\", 6-pin, 6\"</t>
  </si>
  <si>
    <t>PRT-09914</t>
  </si>
  <si>
    <t>https://www.sparkfun.com/products/9914</t>
  </si>
  <si>
    <t>https://cdn.sparkfun.com/r/92-92/assets/parts/4/0/2/0/09914-02b.jpg</t>
  </si>
  <si>
    <t>JST Jumper 2 Wire Assembly</t>
  </si>
  <si>
    <t>PRT-13156</t>
  </si>
  <si>
    <t>https://www.sparkfun.com/products/13156</t>
  </si>
  <si>
    <t>https://cdn.sparkfun.com/r/92-92/assets/parts/5/6/1/7/13156-01.jpg</t>
  </si>
  <si>
    <t xml:space="preserve">Header - 2x8 (Male, 0.1\") </t>
  </si>
  <si>
    <t>CAB-13685</t>
  </si>
  <si>
    <t>https://www.sparkfun.com/products/13685</t>
  </si>
  <si>
    <t>https://cdn.sparkfun.com/r/92-92/assets/parts/1/1/1/4/7/13685-01.jpg</t>
  </si>
  <si>
    <t>JST to Breadboard Jumper (3-pin)</t>
  </si>
  <si>
    <t>PRT-10007</t>
  </si>
  <si>
    <t>https://www.sparkfun.com/products/10007</t>
  </si>
  <si>
    <t>https://cdn.sparkfun.com/r/92-92/assets/parts/4/1/6/6/10007-01.jpg</t>
  </si>
  <si>
    <t>Arduino Stackable Header Kit</t>
  </si>
  <si>
    <t>PRT-11376</t>
  </si>
  <si>
    <t>https://www.sparkfun.com/products/11376</t>
  </si>
  <si>
    <t>https://cdn.sparkfun.com/r/92-92/assets/parts/7/1/2/2/11376-01a.jpg</t>
  </si>
  <si>
    <t>Arduino Stackable Header - 10 Pin</t>
  </si>
  <si>
    <t>COM-08837</t>
  </si>
  <si>
    <t>https://www.sparkfun.com/products/8837</t>
  </si>
  <si>
    <t>https://cdn.sparkfun.com/r/92-92/assets/parts/1/8/4/7/08837-03-L.jpg</t>
  </si>
  <si>
    <t>Rocker Switch - SPST (right-angle)</t>
  </si>
  <si>
    <t>PRT-10370</t>
  </si>
  <si>
    <t>https://www.sparkfun.com/products/10370</t>
  </si>
  <si>
    <t>https://cdn.sparkfun.com/r/92-92/assets/parts/4/8/2/2/10370-01.jpg</t>
  </si>
  <si>
    <t>Jumper Wire - 0.1\", 5-pin, 6\"</t>
  </si>
  <si>
    <t>PRT-13164</t>
  </si>
  <si>
    <t>https://www.sparkfun.com/products/13164</t>
  </si>
  <si>
    <t>https://cdn.sparkfun.com/r/92-92/assets/parts/1/0/2/8/5/13164-01.jpg</t>
  </si>
  <si>
    <t>Jumper Wire - 0.1\", 3-pin, 6\" (Black, Red, White)</t>
  </si>
  <si>
    <t>PRT-14284</t>
  </si>
  <si>
    <t>https://www.sparkfun.com/products/14284</t>
  </si>
  <si>
    <t>https://cdn.sparkfun.com/r/92-92/assets/parts/1/2/2/4/2/13870-01.jpg</t>
  </si>
  <si>
    <t>Jumper Wires Premium 4\" M/M - 26 AWG (30 Pack)</t>
  </si>
  <si>
    <t>PRT-12796</t>
  </si>
  <si>
    <t>https://www.sparkfun.com/products/12796</t>
  </si>
  <si>
    <t>https://cdn.sparkfun.com/r/92-92/assets/parts/9/6/1/4/12796-00.jpg</t>
  </si>
  <si>
    <t>Jumper Wires - Connected 6\" (F/F, 20 pack)</t>
  </si>
  <si>
    <t>PRT-11710</t>
  </si>
  <si>
    <t>https://www.sparkfun.com/products/11710</t>
  </si>
  <si>
    <t>https://cdn.sparkfun.com/r/92-92/assets/parts/7/8/9/3/11710-01.jpg</t>
  </si>
  <si>
    <t>Jumper Wires Premium 6\" F/F - 20 AWG (10 Pack)</t>
  </si>
  <si>
    <t>PRT-11026</t>
  </si>
  <si>
    <t>https://www.sparkfun.com/products/11026</t>
  </si>
  <si>
    <t>https://cdn.sparkfun.com/r/92-92/assets/parts/3/7/0/4/11026-02.jpg</t>
  </si>
  <si>
    <t>Jumper Wires Standard 7\" M/M - 30 AWG (30 Pack)</t>
  </si>
  <si>
    <t>PRT-09140</t>
  </si>
  <si>
    <t>https://www.sparkfun.com/products/9140</t>
  </si>
  <si>
    <t>https://cdn.sparkfun.com/r/92-92/assets/parts/2/5/5/7/09140-02-L.jpg</t>
  </si>
  <si>
    <t>Jumper Wires Premium 6\" M/F Pack of 10</t>
  </si>
  <si>
    <t>PRT-08431</t>
  </si>
  <si>
    <t>https://www.sparkfun.com/products/8431</t>
  </si>
  <si>
    <t>https://cdn.sparkfun.com/r/92-92/assets/parts/1/1/8/1/JumperWire-Male-01-L.jpg</t>
  </si>
  <si>
    <t>Jumper Wires Premium 6\" M/M Pack of 10</t>
  </si>
  <si>
    <t>PRT-09385</t>
  </si>
  <si>
    <t>https://www.sparkfun.com/products/9385</t>
  </si>
  <si>
    <t>https://cdn.sparkfun.com/r/92-92/assets/parts/2/9/8/7/09385-03.jpg</t>
  </si>
  <si>
    <t>Jumper Wires Premium 12\" M/F Pack of 10</t>
  </si>
  <si>
    <t>PRT-10811</t>
  </si>
  <si>
    <t>https://www.sparkfun.com/products/10811</t>
  </si>
  <si>
    <t>https://cdn.sparkfun.com/r/92-92/assets/parts/5/8/0/3/10811-01.jpg</t>
  </si>
  <si>
    <t>DC Barrel Jack Adapter - Breadboard Compatible</t>
  </si>
  <si>
    <t>PRT-10373</t>
  </si>
  <si>
    <t>https://www.sparkfun.com/products/10373</t>
  </si>
  <si>
    <t>https://cdn.sparkfun.com/r/92-92/assets/parts/4/8/2/5/10373-02.jpg</t>
  </si>
  <si>
    <t>Jumper Wire - 0.1\", 3-pin, 12\"</t>
  </si>
  <si>
    <t>PRT-14311</t>
  </si>
  <si>
    <t>https://www.sparkfun.com/products/14311</t>
  </si>
  <si>
    <t>https://cdn.sparkfun.com/r/92-92/assets/parts/1/2/2/7/9/14311-01.jpg</t>
  </si>
  <si>
    <t>ESP32 Thing Stackable Header Set</t>
  </si>
  <si>
    <t>PRT-08599</t>
  </si>
  <si>
    <t>https://www.sparkfun.com/products/8599</t>
  </si>
  <si>
    <t>https://cdn.sparkfun.com/r/92-92/assets/parts/1/6/4/1/08599-03-L.jpg</t>
  </si>
  <si>
    <t>Jumper Wire - JST to Female Connector</t>
  </si>
  <si>
    <t>PRT-10367</t>
  </si>
  <si>
    <t>https://www.sparkfun.com/products/10367</t>
  </si>
  <si>
    <t>https://cdn.sparkfun.com/r/92-92/assets/parts/4/8/1/9/10367-01.jpg</t>
  </si>
  <si>
    <t>Jumper Wire - 0.1\", 2-pin, 6\"</t>
  </si>
  <si>
    <t>PRT-08670</t>
  </si>
  <si>
    <t>https://www.sparkfun.com/products/8670</t>
  </si>
  <si>
    <t>https://cdn.sparkfun.com/r/92-92/assets/parts/1/8/2/6/08670-03-L.jpg</t>
  </si>
  <si>
    <t>Jumper Wire - JST Black Red</t>
  </si>
  <si>
    <t>PRT-08671</t>
  </si>
  <si>
    <t>https://www.sparkfun.com/products/8671</t>
  </si>
  <si>
    <t>https://cdn.sparkfun.com/r/92-92/assets/parts/1/8/2/7/08671-03-L.jpg</t>
  </si>
  <si>
    <t>Jumper Wire - JST Black Blue</t>
  </si>
  <si>
    <t>PRT-09389</t>
  </si>
  <si>
    <t>https://www.sparkfun.com/products/9389</t>
  </si>
  <si>
    <t>https://cdn.sparkfun.com/r/92-92/assets/parts/2/9/9/1/09389-01.jpg</t>
  </si>
  <si>
    <t>Jumper Wires Premium 12\" F/F Pack of 10</t>
  </si>
  <si>
    <t>COM-10443</t>
  </si>
  <si>
    <t>https://www.sparkfun.com/products/10443</t>
  </si>
  <si>
    <t>https://cdn.sparkfun.com/r/92-92/assets/parts/4/9/3/1/10443-01.jpg</t>
  </si>
  <si>
    <t>LED Tactile Button - Blue</t>
  </si>
  <si>
    <t>COM-10440</t>
  </si>
  <si>
    <t>https://www.sparkfun.com/products/10440</t>
  </si>
  <si>
    <t>https://cdn.sparkfun.com/r/92-92/assets/parts/4/9/2/8/10440-01.jpg</t>
  </si>
  <si>
    <t>LED Tactile Button - Green</t>
  </si>
  <si>
    <t>COM-09806</t>
  </si>
  <si>
    <t>https://www.sparkfun.com/products/9806</t>
  </si>
  <si>
    <t>https://cdn.sparkfun.com/r/92-92/assets/parts/3/8/2/3/09806-01.jpg</t>
  </si>
  <si>
    <t>Trimpot 10K with Knob</t>
  </si>
  <si>
    <t>COM-00097</t>
  </si>
  <si>
    <t>https://www.sparkfun.com/products/97</t>
  </si>
  <si>
    <t>https://cdn.sparkfun.com/r/92-92/assets/parts/9/0/00097-03-L.jpg</t>
  </si>
  <si>
    <t>Mini Pushbutton Switch</t>
  </si>
  <si>
    <t>COM-10791</t>
  </si>
  <si>
    <t>https://www.sparkfun.com/products/10791</t>
  </si>
  <si>
    <t>https://cdn.sparkfun.com/r/92-92/assets/parts/5/7/7/6/10791-01.jpg</t>
  </si>
  <si>
    <t>Right Angle Tactile Button</t>
  </si>
  <si>
    <t>COM-09190</t>
  </si>
  <si>
    <t>https://www.sparkfun.com/products/9190</t>
  </si>
  <si>
    <t>https://cdn.sparkfun.com/r/92-92/assets/parts/2/6/2/9/09190-03-L.jpg</t>
  </si>
  <si>
    <t>Momentary Pushbutton Switch - 12mm Square</t>
  </si>
  <si>
    <t>COM-08605</t>
  </si>
  <si>
    <t>https://www.sparkfun.com/products/8605</t>
  </si>
  <si>
    <t>https://cdn.sparkfun.com/r/92-92/assets/parts/1/6/7/9/08605-04-L.jpg</t>
  </si>
  <si>
    <t>Mini Pushbutton Switch - Tall</t>
  </si>
  <si>
    <t>COM-00102</t>
  </si>
  <si>
    <t>https://www.sparkfun.com/products/102</t>
  </si>
  <si>
    <t>https://cdn.sparkfun.com/r/92-92/assets/parts/9/5/00102-02-L.jpg</t>
  </si>
  <si>
    <t>SPDT Mini Power Switch</t>
  </si>
  <si>
    <t>COM-13833</t>
  </si>
  <si>
    <t>https://www.sparkfun.com/products/13833</t>
  </si>
  <si>
    <t>https://cdn.sparkfun.com/r/92-92/assets/parts/1/1/4/3/0/13833-02.jpg</t>
  </si>
  <si>
    <t>microSD Card with Adapter - 16GB (Class 10)</t>
  </si>
  <si>
    <t>PRT-11366</t>
  </si>
  <si>
    <t>https://www.sparkfun.com/products/11366</t>
  </si>
  <si>
    <t>https://cdn.sparkfun.com/r/92-92/assets/parts/7/1/0/7/11366-01.jpg</t>
  </si>
  <si>
    <t>Big Red Box - Enclosure</t>
  </si>
  <si>
    <t>PRT-11796</t>
  </si>
  <si>
    <t>https://www.sparkfun.com/products/11796</t>
  </si>
  <si>
    <t>https://cdn.sparkfun.com/r/92-92/assets/parts/8/0/8/2/10315_03b.jpg</t>
  </si>
  <si>
    <t>Standoff - Nylon (4-40; 3/4\"; 10 pack)</t>
  </si>
  <si>
    <t>COM-10594</t>
  </si>
  <si>
    <t>https://www.sparkfun.com/products/10594</t>
  </si>
  <si>
    <t>https://cdn.sparkfun.com/r/92-92/assets/parts/5/1/6/0/10594-01.jpg</t>
  </si>
  <si>
    <t>Silicone Bumpers - Large (10x16.5mm, 4 pack)</t>
  </si>
  <si>
    <t>PRT-10927</t>
  </si>
  <si>
    <t>https://www.sparkfun.com/products/10927</t>
  </si>
  <si>
    <t>https://cdn.sparkfun.com/r/92-92/assets/parts/6/0/7/1/10927-03.jpg</t>
  </si>
  <si>
    <t>Standoff - Nylon (4-40; 3/8\"; 10 pack)</t>
  </si>
  <si>
    <t>PRT-10230</t>
  </si>
  <si>
    <t>https://www.sparkfun.com/products/10230</t>
  </si>
  <si>
    <t>https://cdn.sparkfun.com/r/92-92/assets/parts/4/5/8/0/10230-01a.jpg</t>
  </si>
  <si>
    <t>Silicone Bumpers - Small, Clear (8x2mm, 5 pack)</t>
  </si>
  <si>
    <t>PRT-10088</t>
  </si>
  <si>
    <t>https://www.sparkfun.com/products/10088</t>
  </si>
  <si>
    <t>https://cdn.sparkfun.com/r/92-92/assets/parts/4/3/1/1/10088-01.jpg</t>
  </si>
  <si>
    <t>Arduino Project Enclosure</t>
  </si>
  <si>
    <t>COM-09456</t>
  </si>
  <si>
    <t>https://www.sparkfun.com/products/9456</t>
  </si>
  <si>
    <t>https://cdn.sparkfun.com/r/92-92/assets/parts/2/7/8/8/09456-01.jpg</t>
  </si>
  <si>
    <t>Op-Amp (Through-Hole) - LM358</t>
  </si>
  <si>
    <t>ROB-08449</t>
  </si>
  <si>
    <t>https://www.sparkfun.com/products/8449</t>
  </si>
  <si>
    <t>https://cdn.sparkfun.com/r/92-92/assets/parts/8/8/6/VibrationMotor-01-L.jpg</t>
  </si>
  <si>
    <t>Vibration Motor</t>
  </si>
  <si>
    <t>COM-10926</t>
  </si>
  <si>
    <t>https://www.sparkfun.com/products/10926</t>
  </si>
  <si>
    <t>https://cdn.sparkfun.com/r/92-92/assets/parts/6/0/6/0/10926-01b.jpg</t>
  </si>
  <si>
    <t>Schottky Diode</t>
  </si>
  <si>
    <t>SEN-09376</t>
  </si>
  <si>
    <t>https://www.sparkfun.com/products/9376</t>
  </si>
  <si>
    <t>https://cdn.sparkfun.com/r/92-92/assets/parts/2/9/6/8/09376-1.jpg</t>
  </si>
  <si>
    <t>Force Sensitive Resistor - Square</t>
  </si>
  <si>
    <t>COM-00525</t>
  </si>
  <si>
    <t>https://www.sparkfun.com/products/525</t>
  </si>
  <si>
    <t>https://cdn.sparkfun.com/r/92-92/assets/parts/3/0/5/EEPROM.jpg</t>
  </si>
  <si>
    <t>I2C EEPROM - 256kbit</t>
  </si>
  <si>
    <t>SEN-14348</t>
  </si>
  <si>
    <t>https://www.sparkfun.com/products/14348</t>
  </si>
  <si>
    <t>https://cdn.sparkfun.com/r/92-92/assets/parts/1/2/3/2/9/14348-01.jpg</t>
  </si>
  <si>
    <t>SparkFun Environmental Combo Breakout - CCS811/BME280 (Qwiic)</t>
  </si>
  <si>
    <t>SEN-14045</t>
  </si>
  <si>
    <t>https://www.sparkfun.com/products/14045</t>
  </si>
  <si>
    <t>https://cdn.sparkfun.com/r/92-92/assets/parts/1/1/8/7/4/14045-01.jpg</t>
  </si>
  <si>
    <t>SparkFun Particle Sensor Breakout - MAX30105</t>
  </si>
  <si>
    <t>BOB-08891</t>
  </si>
  <si>
    <t>https://www.sparkfun.com/products/8891</t>
  </si>
  <si>
    <t>https://cdn.sparkfun.com/r/92-92/assets/parts/2/1/6/8/08891-01.jpg</t>
  </si>
  <si>
    <t>Gas Sensor Breakout</t>
  </si>
  <si>
    <t>SEN-09403</t>
  </si>
  <si>
    <t>https://www.sparkfun.com/products/9403</t>
  </si>
  <si>
    <t>https://cdn.sparkfun.com/r/92-92/assets/parts/3/0/1/8/09403-01.jpg</t>
  </si>
  <si>
    <t>Carbon Monoxide Sensor - MQ-7</t>
  </si>
  <si>
    <t>COM-14195</t>
  </si>
  <si>
    <t>https://www.sparkfun.com/products/14195</t>
  </si>
  <si>
    <t>https://cdn.sparkfun.com/r/92-92/assets/parts/1/2/1/3/4/14195-01.jpg</t>
  </si>
  <si>
    <t>Amphenol FCI Clincher Connector (2 Position, Male)</t>
  </si>
  <si>
    <t>COM-14194</t>
  </si>
  <si>
    <t>https://www.sparkfun.com/products/14194</t>
  </si>
  <si>
    <t>https://cdn.sparkfun.com/r/92-92/assets/parts/1/2/1/3/3/14194-01.jpg</t>
  </si>
  <si>
    <t>Amphenol FCI Clincher Connector (2 Position, Female)</t>
  </si>
  <si>
    <t>PRT-10453</t>
  </si>
  <si>
    <t>https://www.sparkfun.com/products/10453</t>
  </si>
  <si>
    <t>https://cdn.sparkfun.com/r/92-92/assets/parts/4/9/4/7/10453-01.jpg</t>
  </si>
  <si>
    <t>Screw - Phillips Head (1/4\", 4-40, 10 pack)</t>
  </si>
  <si>
    <t>SEN-00250</t>
  </si>
  <si>
    <t>https://www.sparkfun.com/products/250</t>
  </si>
  <si>
    <t>https://cdn.sparkfun.com/r/92-92/assets/parts/1/9/2/thermistor.jpg</t>
  </si>
  <si>
    <t>Thermistor 10K</t>
  </si>
  <si>
    <t>COM-00746</t>
  </si>
  <si>
    <t>https://www.sparkfun.com/products/746</t>
  </si>
  <si>
    <t>https://cdn.sparkfun.com/r/92-92/assets/parts/5/1/9/SuperCap.jpg</t>
  </si>
  <si>
    <t>Super Capacitor - 10F/2.5V</t>
  </si>
  <si>
    <t>SEN-10293</t>
  </si>
  <si>
    <t>https://www.sparkfun.com/products/10293</t>
  </si>
  <si>
    <t>https://cdn.sparkfun.com/r/92-92/assets/parts/4/6/8/9/10293_01.jpg</t>
  </si>
  <si>
    <t>Piezo Element</t>
  </si>
  <si>
    <t>COM-00523</t>
  </si>
  <si>
    <t>https://www.sparkfun.com/products/523</t>
  </si>
  <si>
    <t>https://cdn.sparkfun.com/r/92-92/assets/parts/3/0/0/00523-02-L.jpg</t>
  </si>
  <si>
    <t>Electrolytic Decoupling Capacitors - 10uF/25V</t>
  </si>
  <si>
    <t>COM-00096</t>
  </si>
  <si>
    <t>https://www.sparkfun.com/products/96</t>
  </si>
  <si>
    <t>https://cdn.sparkfun.com/r/92-92/assets/parts/8/9/00096-03-L.jpg</t>
  </si>
  <si>
    <t>Electrolytic Decoupling Capacitors - 100uF/25V</t>
  </si>
  <si>
    <t>COM-10002</t>
  </si>
  <si>
    <t>https://www.sparkfun.com/products/10002</t>
  </si>
  <si>
    <t>https://cdn.sparkfun.com/r/92-92/assets/parts/4/1/4/6/10002-01.jpg</t>
  </si>
  <si>
    <t>Black Metal Knob - 14x24mm</t>
  </si>
  <si>
    <t>SPX-14323</t>
  </si>
  <si>
    <t>https://www.sparkfun.com/products/14323</t>
  </si>
  <si>
    <t>https://cdn.sparkfun.com/r/92-92/assets/parts/1/2/2/8/9/Qwiic_Connector_SMD-Black-1.jpg</t>
  </si>
  <si>
    <t>Qwiic Connector SMD - Black 10 Pcs</t>
  </si>
  <si>
    <t>COM-11143</t>
  </si>
  <si>
    <t>https://www.sparkfun.com/products/11143</t>
  </si>
  <si>
    <t>https://cdn.sparkfun.com/r/92-92/assets/parts/6/6/0/4/11143-01.jpg</t>
  </si>
  <si>
    <t>Audio Plug - 3.5mm</t>
  </si>
  <si>
    <t>PRT-08032</t>
  </si>
  <si>
    <t>https://www.sparkfun.com/products/8032</t>
  </si>
  <si>
    <t>https://cdn.sparkfun.com/r/92-92/assets/parts/1/5/8/2/Audio-3.5mm.jpg</t>
  </si>
  <si>
    <t>Audio Jack 3.5mm</t>
  </si>
  <si>
    <t>COM-11154</t>
  </si>
  <si>
    <t>https://www.sparkfun.com/products/11154</t>
  </si>
  <si>
    <t>https://cdn.sparkfun.com/r/92-92/assets/parts/6/6/1/5/11154-01.jpg</t>
  </si>
  <si>
    <t>Audio Jack - 3.5mm (Panel Mount)</t>
  </si>
  <si>
    <t>PRT-09044</t>
  </si>
  <si>
    <t>https://www.sparkfun.com/products/9044</t>
  </si>
  <si>
    <t>https://cdn.sparkfun.com/r/92-92/assets/parts/2/4/0/7/09044-02-L.jpg</t>
  </si>
  <si>
    <t>Jumper - 2 Pin</t>
  </si>
  <si>
    <t>PRT-00116</t>
  </si>
  <si>
    <t>https://www.sparkfun.com/products/116</t>
  </si>
  <si>
    <t>https://cdn.sparkfun.com/r/92-92/assets/parts/1/0/6/00116-02-L.jpg</t>
  </si>
  <si>
    <t>Break Away Headers - Straight</t>
  </si>
  <si>
    <t>PRT-00553</t>
  </si>
  <si>
    <t>https://www.sparkfun.com/products/553</t>
  </si>
  <si>
    <t>https://cdn.sparkfun.com/r/92-92/assets/parts/3/7/8/00553-03-L.jpg</t>
  </si>
  <si>
    <t>Break Away Male Headers - Right Angle</t>
  </si>
  <si>
    <t>COM-12792</t>
  </si>
  <si>
    <t>https://www.sparkfun.com/products/12792</t>
  </si>
  <si>
    <t>https://cdn.sparkfun.com/r/92-92/assets/parts/9/6/1/0/12792-01.jpg</t>
  </si>
  <si>
    <t>Break Away Headers - Right Angle 2x40</t>
  </si>
  <si>
    <t>PRT-13010</t>
  </si>
  <si>
    <t>https://www.sparkfun.com/products/13010</t>
  </si>
  <si>
    <t>https://cdn.sparkfun.com/r/92-92/assets/parts/8/1/2/1/13010-01a.jpg</t>
  </si>
  <si>
    <t>Header - 2x3 (Female, 0.1\")</t>
  </si>
  <si>
    <t>PRT-12807</t>
  </si>
  <si>
    <t>https://www.sparkfun.com/products/12807</t>
  </si>
  <si>
    <t>https://cdn.sparkfun.com/r/92-92/assets/parts/3/8/1/2/12807-02.jpg</t>
  </si>
  <si>
    <t>Header - 2x3 (Male, 0.1\")</t>
  </si>
  <si>
    <t>PRT-13875</t>
  </si>
  <si>
    <t>https://www.sparkfun.com/products/13875</t>
  </si>
  <si>
    <t>https://cdn.sparkfun.com/r/92-92/assets/parts/1/1/3/2/7/13875-02.jpg</t>
  </si>
  <si>
    <t>Stackable Header - 3 Pin (Female, 0.1\")</t>
  </si>
  <si>
    <t>PRT-08272</t>
  </si>
  <si>
    <t>https://www.sparkfun.com/products/8272</t>
  </si>
  <si>
    <t>https://cdn.sparkfun.com/r/92-92/assets/parts/1/8/8/1/2mmSocket-01-L.jpg</t>
  </si>
  <si>
    <t>2mm 10pin XBee Socket</t>
  </si>
  <si>
    <t>PRT-10112</t>
  </si>
  <si>
    <t>https://www.sparkfun.com/products/10112</t>
  </si>
  <si>
    <t>https://cdn.sparkfun.com/r/92-92/assets/parts/4/3/6/0/10112-01.jpg</t>
  </si>
  <si>
    <t>2mm 10pin XBee Header</t>
  </si>
  <si>
    <t>PRT-12614</t>
  </si>
  <si>
    <t>https://www.sparkfun.com/products/12614</t>
  </si>
  <si>
    <t>https://cdn.sparkfun.com/r/92-92/assets/parts/9/2/8/1/12614-01.jpg</t>
  </si>
  <si>
    <t>Breadboard - Giant</t>
  </si>
  <si>
    <t>TOL-12889</t>
  </si>
  <si>
    <t>https://www.sparkfun.com/products/12889</t>
  </si>
  <si>
    <t>https://cdn.sparkfun.com/r/92-92/assets/parts/9/7/8/1/12889-01.jpg</t>
  </si>
  <si>
    <t>Wall Adapter Power Supply - 5V DC 2A (Barrel Jack)</t>
  </si>
  <si>
    <t>PRT-13855</t>
  </si>
  <si>
    <t>https://www.sparkfun.com/products/13855</t>
  </si>
  <si>
    <t>https://cdn.sparkfun.com/r/92-92/assets/parts/1/1/4/6/2/13855-01.jpg</t>
  </si>
  <si>
    <t>Lithium Ion Battery - 2Ah</t>
  </si>
  <si>
    <t>COM-13187</t>
  </si>
  <si>
    <t>https://www.sparkfun.com/products/13187</t>
  </si>
  <si>
    <t>https://cdn.sparkfun.com/r/92-92/assets/parts/1/0/3/2/4/13187-01.jpg</t>
  </si>
  <si>
    <t>IntelÂ® Edison Hardware Pack</t>
  </si>
  <si>
    <t>TOL-08734</t>
  </si>
  <si>
    <t>https://www.sparkfun.com/products/8734</t>
  </si>
  <si>
    <t>https://cdn.sparkfun.com/r/92-92/assets/parts/1/9/2/1/08734-03-L.jpg</t>
  </si>
  <si>
    <t>Barrel Jack to 2-pin JST</t>
  </si>
  <si>
    <t>PRT-11214</t>
  </si>
  <si>
    <t>https://www.sparkfun.com/products/11214</t>
  </si>
  <si>
    <t>https://cdn.sparkfun.com/r/92-92/assets/parts/6/7/9/7/11214-02.jpg</t>
  </si>
  <si>
    <t>SparkFun MOSFET Power Controller</t>
  </si>
  <si>
    <t>COM-11705</t>
  </si>
  <si>
    <t>https://www.sparkfun.com/products/11705</t>
  </si>
  <si>
    <t>https://cdn.sparkfun.com/r/92-92/assets/parts/7/8/8/6/11705-01.jpg</t>
  </si>
  <si>
    <t>Barrel Jack Power Switch - M-F (3\")</t>
  </si>
  <si>
    <t>PRT-10287</t>
  </si>
  <si>
    <t>https://www.sparkfun.com/products/10287</t>
  </si>
  <si>
    <t>https://cdn.sparkfun.com/r/92-92/assets/parts/4/6/8/3/10287-01.jpg</t>
  </si>
  <si>
    <t>DC Barrel Jack Adapter - Male</t>
  </si>
  <si>
    <t>COM-14085</t>
  </si>
  <si>
    <t>https://www.sparkfun.com/products/14085</t>
  </si>
  <si>
    <t>https://cdn.sparkfun.com/r/92-92/assets/parts/1/1/9/5/0/14085-03.jpg</t>
  </si>
  <si>
    <t>Flip-Pin (8-pins)</t>
  </si>
  <si>
    <t>COM-14087</t>
  </si>
  <si>
    <t>https://www.sparkfun.com/products/14087</t>
  </si>
  <si>
    <t>https://cdn.sparkfun.com/r/92-92/assets/parts/1/1/9/5/2/14087-03.jpg</t>
  </si>
  <si>
    <t>Flip-Pin (20-pins)</t>
  </si>
  <si>
    <t>SEN-12055</t>
  </si>
  <si>
    <t>https://www.sparkfun.com/products/12055</t>
  </si>
  <si>
    <t>https://cdn.sparkfun.com/r/92-92/assets/parts/8/6/4/4/12055-01.jpg</t>
  </si>
  <si>
    <t>BOB-08688</t>
  </si>
  <si>
    <t>https://www.sparkfun.com/products/8688</t>
  </si>
  <si>
    <t>https://cdn.sparkfun.com/r/92-92/assets/parts/1/8/5/9/08688-01.jpg</t>
  </si>
  <si>
    <t>TOL-13114</t>
  </si>
  <si>
    <t>https://www.sparkfun.com/products/13114</t>
  </si>
  <si>
    <t>https://cdn.sparkfun.com/r/92-92/assets/parts/1/0/1/6/6/13114-01.jpg</t>
  </si>
  <si>
    <t>Resistor Lead Bending Tool</t>
  </si>
  <si>
    <t>TOL-11060</t>
  </si>
  <si>
    <t>https://www.sparkfun.com/products/11060</t>
  </si>
  <si>
    <t>https://cdn.sparkfun.com/r/92-92/assets/parts/6/4/3/2/11060-01.jpg</t>
  </si>
  <si>
    <t>Multimeter Probes - Tweezers</t>
  </si>
  <si>
    <t>TOL-08794</t>
  </si>
  <si>
    <t>https://www.sparkfun.com/products/8794</t>
  </si>
  <si>
    <t>https://cdn.sparkfun.com/r/92-92/assets/parts/2/0/3/4/08794-03-L.jpg</t>
  </si>
  <si>
    <t>Diagonal Cutters</t>
  </si>
  <si>
    <t>TOL-12572</t>
  </si>
  <si>
    <t>https://www.sparkfun.com/products/12572</t>
  </si>
  <si>
    <t>https://cdn.sparkfun.com/r/92-92/assets/parts/9/2/2/2/12572-01.jpg</t>
  </si>
  <si>
    <t>Tweezers - Curved (cross-lock, ESD Safe)</t>
  </si>
  <si>
    <t>TOL-10326</t>
  </si>
  <si>
    <t>https://www.sparkfun.com/products/10326</t>
  </si>
  <si>
    <t>https://cdn.sparkfun.com/r/92-92/assets/parts/4/7/3/4/10326-02.jpg</t>
  </si>
  <si>
    <t>Heaterizer XL-3000 Heat Gun</t>
  </si>
  <si>
    <t>TOL-09317</t>
  </si>
  <si>
    <t>https://www.sparkfun.com/products/9317</t>
  </si>
  <si>
    <t>https://cdn.sparkfun.com/r/92-92/assets/parts/2/8/5/8/09317-01.jpg</t>
  </si>
  <si>
    <t>Third Hand</t>
  </si>
  <si>
    <t>TOL-10706</t>
  </si>
  <si>
    <t>https://www.sparkfun.com/products/10706</t>
  </si>
  <si>
    <t>https://cdn.sparkfun.com/r/92-92/assets/parts/5/5/3/8/10706-02.jpg</t>
  </si>
  <si>
    <t>Hot-air Rework Station - 303D</t>
  </si>
  <si>
    <t>TOL-10602</t>
  </si>
  <si>
    <t>https://www.sparkfun.com/products/10602</t>
  </si>
  <si>
    <t>https://cdn.sparkfun.com/r/92-92/assets/parts/5/2/4/5/10602-01.jpg</t>
  </si>
  <si>
    <t>Tweezers - Curved (ESD Safe)</t>
  </si>
  <si>
    <t>TOL-09200</t>
  </si>
  <si>
    <t>https://www.sparkfun.com/products/9200</t>
  </si>
  <si>
    <t>https://cdn.sparkfun.com/r/92-92/assets/parts/2/6/4/6/09200-03.jpg</t>
  </si>
  <si>
    <t>Hobby Knife</t>
  </si>
  <si>
    <t>TOL-12573</t>
  </si>
  <si>
    <t>https://www.sparkfun.com/products/12573</t>
  </si>
  <si>
    <t>https://cdn.sparkfun.com/r/92-92/assets/parts/9/2/2/3/12573-02.jpg</t>
  </si>
  <si>
    <t>Tweezers - Straight (cross-lock, ESD Safe)</t>
  </si>
  <si>
    <t>TOL-09316</t>
  </si>
  <si>
    <t>https://www.sparkfun.com/products/9316</t>
  </si>
  <si>
    <t>https://cdn.sparkfun.com/r/92-92/assets/parts/2/8/5/7/09316-1.jpg</t>
  </si>
  <si>
    <t>Monocle Magnifier - Illuminated</t>
  </si>
  <si>
    <t>TOL-11952</t>
  </si>
  <si>
    <t>https://www.sparkfun.com/products/11952</t>
  </si>
  <si>
    <t>https://cdn.sparkfun.com/r/92-92/assets/parts/8/4/2/2/11952-01.jpg</t>
  </si>
  <si>
    <t>Flush Cutters - Hakko</t>
  </si>
  <si>
    <t>TOL-10410</t>
  </si>
  <si>
    <t>https://www.sparkfun.com/products/10410</t>
  </si>
  <si>
    <t>https://cdn.sparkfun.com/r/92-92/assets/parts/4/8/8/1/10410-01.jpg</t>
  </si>
  <si>
    <t>Panavise Jr. - Vacuum Base</t>
  </si>
  <si>
    <t>Connectors/Sockets/Terminals</t>
  </si>
  <si>
    <t>Servos/Motors/Actuators</t>
  </si>
  <si>
    <t>Visual Notification/Queuing</t>
  </si>
  <si>
    <t>Audible Notification/Queuing</t>
  </si>
  <si>
    <t>Home Base Station</t>
  </si>
  <si>
    <t>Hardware Components/Accessories</t>
  </si>
  <si>
    <t>Buttons/Switches/Knobs</t>
  </si>
  <si>
    <t>Location/Bearing</t>
  </si>
  <si>
    <t>Type</t>
  </si>
  <si>
    <t>Primary Component</t>
  </si>
  <si>
    <t>Secondary Component</t>
  </si>
  <si>
    <t>Hardware Component</t>
  </si>
  <si>
    <t>Low-Level Electronics</t>
  </si>
  <si>
    <t>Vitals/Environment Sensing</t>
  </si>
  <si>
    <t>QWIIC System/Components</t>
  </si>
  <si>
    <t>PRT-08432</t>
  </si>
  <si>
    <t>https://www.sparkfun.com/products/8432</t>
  </si>
  <si>
    <t>https://cdn.sparkfun.com/r/92-92/assets/parts/1/3/6/5/2PinScrewTerminal-01-L.jpg</t>
  </si>
  <si>
    <t>Screw Terminals 5mm Pitch (2-Pin)</t>
  </si>
  <si>
    <t>PRT-10588</t>
  </si>
  <si>
    <t>https://www.sparkfun.com/products/10588</t>
  </si>
  <si>
    <t>https://cdn.sparkfun.com/r/92-92/assets/parts/5/2/2/9/10588-01a.jpg</t>
  </si>
  <si>
    <t>SparkFun Audio Jack Breakout</t>
  </si>
  <si>
    <t>PRT-10738</t>
  </si>
  <si>
    <t>https://www.sparkfun.com/products/10738</t>
  </si>
  <si>
    <t>https://cdn.sparkfun.com/r/92-92/assets/parts/5/6/4/4/10738-01.jpg</t>
  </si>
  <si>
    <t>Standoff - Metal (1\", 4-40, 10 pack)</t>
  </si>
  <si>
    <t>PRT-10450</t>
  </si>
  <si>
    <t>https://www.sparkfun.com/products/10450</t>
  </si>
  <si>
    <t>https://cdn.sparkfun.com/r/92-92/assets/parts/4/9/3/9/10450-02.jpg</t>
  </si>
  <si>
    <t>Screw - Phillips Head (1\", 4-40, 10 pack)</t>
  </si>
  <si>
    <t>SEN-13284</t>
  </si>
  <si>
    <t>https://www.sparkfun.com/products/13284</t>
  </si>
  <si>
    <t>https://cdn.sparkfun.com/r/92-92/assets/parts/1/0/5/3/3/13284-02.jpg</t>
  </si>
  <si>
    <t>SparkFun 9DoF IMU Breakout - LSM9DS1</t>
  </si>
  <si>
    <t>SEN-13762</t>
  </si>
  <si>
    <t>https://www.sparkfun.com/products/13762</t>
  </si>
  <si>
    <t>https://cdn.sparkfun.com/r/92-92/assets/parts/1/1/3/0/6/13762-00a.jpg</t>
  </si>
  <si>
    <t>SparkFun IMU Breakout - MPU-9250</t>
  </si>
  <si>
    <t>BOB-10160</t>
  </si>
  <si>
    <t>https://www.sparkfun.com/products/10160</t>
  </si>
  <si>
    <t>https://cdn.sparkfun.com/r/92-92/assets/parts/4/4/5/5/10160b-01.jpg</t>
  </si>
  <si>
    <t>SparkFun DeadOn RTC Breakout - DS3234</t>
  </si>
  <si>
    <t>BOB-12731</t>
  </si>
  <si>
    <t>https://www.sparkfun.com/products/12731</t>
  </si>
  <si>
    <t>https://cdn.sparkfun.com/r/92-92/assets/parts/9/4/9/6/12731-01.jpg</t>
  </si>
  <si>
    <t>SparkFun USB to Serial Breakout - FT232RL</t>
  </si>
  <si>
    <t>PRT-12699</t>
  </si>
  <si>
    <t>https://www.sparkfun.com/products/12699</t>
  </si>
  <si>
    <t>https://cdn.sparkfun.com/r/92-92/assets/parts/9/4/3/9/12699-02.jpg</t>
  </si>
  <si>
    <t>SparkFun Solder-able Breadboard - Large</t>
  </si>
  <si>
    <t>PRT-10463</t>
  </si>
  <si>
    <t>https://www.sparkfun.com/products/10463</t>
  </si>
  <si>
    <t>https://cdn.sparkfun.com/r/92-92/assets/parts/4/9/5/4/10463-01.jpg</t>
  </si>
  <si>
    <t>Standoff - Metal Hex (4-40; 3/8\"; 10 pack)</t>
  </si>
  <si>
    <t>DEV-13317</t>
  </si>
  <si>
    <t>https://www.sparkfun.com/products/13317</t>
  </si>
  <si>
    <t>https://cdn.sparkfun.com/r/92-92/assets/parts/1/0/6/0/3/13317-01.jpg</t>
  </si>
  <si>
    <t>SparkFun Big Red Box Proto Board</t>
  </si>
  <si>
    <t>PRT-13268</t>
  </si>
  <si>
    <t>https://www.sparkfun.com/products/13268</t>
  </si>
  <si>
    <t>https://cdn.sparkfun.com/r/92-92/assets/parts/1/0/4/8/9/13268-01.jpg</t>
  </si>
  <si>
    <t>SparkFun Snappable Protoboard</t>
  </si>
  <si>
    <t>GPS-00177</t>
  </si>
  <si>
    <t>https://www.sparkfun.com/products/177</t>
  </si>
  <si>
    <t>https://cdn.sparkfun.com/r/92-92/assets/parts/1/4/7/00177-01.jpg</t>
  </si>
  <si>
    <t>Antenna GPS Embedded SMA</t>
  </si>
  <si>
    <t>GPS-10920</t>
  </si>
  <si>
    <t>https://www.sparkfun.com/products/10920</t>
  </si>
  <si>
    <t>https://cdn.sparkfun.com/r/92-92/assets/parts/6/0/5/3/10920-01a.jpg</t>
  </si>
  <si>
    <t>SparkFun Venus GPS Logger - SMA Connector</t>
  </si>
  <si>
    <t>CAB-14043</t>
  </si>
  <si>
    <t>https://www.sparkfun.com/products/14043</t>
  </si>
  <si>
    <t>https://cdn.sparkfun.com/r/92-92/assets/parts/1/1/8/7/0/14043-01.jpg</t>
  </si>
  <si>
    <t>LIDAR-Lite Accessory Cable</t>
  </si>
  <si>
    <t>COM-10613</t>
  </si>
  <si>
    <t>https://www.sparkfun.com/products/10613</t>
  </si>
  <si>
    <t>https://cdn.sparkfun.com/r/92-92/assets/parts/5/2/6/9/10613-01.jpg</t>
  </si>
  <si>
    <t>Digital Potentiometer - 10K</t>
  </si>
  <si>
    <t>PRT-13126</t>
  </si>
  <si>
    <t>https://www.sparkfun.com/products/13126</t>
  </si>
  <si>
    <t>https://cdn.sparkfun.com/r/92-92/assets/parts/1/0/1/9/0/13126-01.jpg</t>
  </si>
  <si>
    <t>DC Barrel Jack Plug - Female</t>
  </si>
  <si>
    <t>SPX-14416</t>
  </si>
  <si>
    <t>https://www.sparkfun.com/products/14416</t>
  </si>
  <si>
    <t>https://cdn.sparkfun.com/r/92-92/assets/parts/1/2/4/4/2/20170801_112457_Scaled.jpg</t>
  </si>
  <si>
    <t>GeoFence - GPS Boundary Widget</t>
  </si>
  <si>
    <t>SEN-14117</t>
  </si>
  <si>
    <t>https://www.sparkfun.com/products/14117</t>
  </si>
  <si>
    <t>https://cdn.sparkfun.com/r/92-92/assets/parts/1/2/0/0/3/14117-04a.jpg</t>
  </si>
  <si>
    <t>Scanse Sweep</t>
  </si>
  <si>
    <t>COM-13316</t>
  </si>
  <si>
    <t>https://www.sparkfun.com/products/13316</t>
  </si>
  <si>
    <t>https://cdn.sparkfun.com/r/92-92/assets/parts/1/0/6/0/0/13316-01a.jpg</t>
  </si>
  <si>
    <t>EasyVR Shield 3.0 - Voice Recognition Shield</t>
  </si>
  <si>
    <t>DEV-14022</t>
  </si>
  <si>
    <t>https://www.sparkfun.com/products/14022</t>
  </si>
  <si>
    <t>https://cdn.sparkfun.com/r/92-92/assets/parts/1/1/8/2/8/14022-01a.jpg</t>
  </si>
  <si>
    <t>BITalino (r)evolution Board Kit</t>
  </si>
  <si>
    <t>LCD-12725</t>
  </si>
  <si>
    <t>https://www.sparkfun.com/products/12725</t>
  </si>
  <si>
    <t>https://cdn.sparkfun.com/r/92-92/assets/parts/9/4/8/2/12725-01.jpg</t>
  </si>
  <si>
    <t>Display Module - 7\" Touchscreen LCD</t>
  </si>
  <si>
    <t>GPS-13750</t>
  </si>
  <si>
    <t>https://www.sparkfun.com/products/13750</t>
  </si>
  <si>
    <t>https://cdn.sparkfun.com/r/92-92/assets/parts/1/1/2/8/4/13750-01.jpg</t>
  </si>
  <si>
    <t>SparkFun GPS Logger Shield</t>
  </si>
  <si>
    <t>Movement/IMU</t>
  </si>
  <si>
    <t>Breadboard/Protoboard</t>
  </si>
  <si>
    <t>Standoffs/Screws</t>
  </si>
  <si>
    <t>COM-09940</t>
  </si>
  <si>
    <t>https://www.sparkfun.com/products/9940</t>
  </si>
  <si>
    <t>https://cdn.sparkfun.com/r/92-92/assets/parts/4/0/5/0/09940-01.jpg</t>
  </si>
  <si>
    <t>Rotary Potentiometer - 10k Ohm, Logarithmic</t>
  </si>
  <si>
    <t>COM-09939</t>
  </si>
  <si>
    <t>https://www.sparkfun.com/products/9939</t>
  </si>
  <si>
    <t>https://cdn.sparkfun.com/r/92-92/assets/parts/4/0/4/9/09939-01.jpg</t>
  </si>
  <si>
    <t>Rotary Potentiometer - 10k Ohm, Linear</t>
  </si>
  <si>
    <t>COM-09288</t>
  </si>
  <si>
    <t>https://www.sparkfun.com/products/9288</t>
  </si>
  <si>
    <t>https://cdn.sparkfun.com/r/92-92/assets/parts/2/7/9/4/09288-1.jpg</t>
  </si>
  <si>
    <t>Rotary Potentiometer - Linear (10k ohm)</t>
  </si>
  <si>
    <t>COM-09117</t>
  </si>
  <si>
    <t>https://www.sparkfun.com/products/9117</t>
  </si>
  <si>
    <t>https://cdn.sparkfun.com/r/92-92/assets/parts/2/5/2/0/09117-03-L.jpg</t>
  </si>
  <si>
    <t>Rotary Encoder</t>
  </si>
  <si>
    <t>Passive Components</t>
  </si>
  <si>
    <t>GPS Logging/Fencing</t>
  </si>
  <si>
    <t>Lidar</t>
  </si>
  <si>
    <t>BOB-13263</t>
  </si>
  <si>
    <t>https://www.sparkfun.com/products/13263</t>
  </si>
  <si>
    <t>https://cdn.sparkfun.com/r/92-92/assets/parts/1/0/4/6/9/13263-01.jpg</t>
  </si>
  <si>
    <t>SparkFun FT231X Breakout</t>
  </si>
  <si>
    <t>DEV-12935</t>
  </si>
  <si>
    <t>https://www.sparkfun.com/products/12935</t>
  </si>
  <si>
    <t>https://cdn.sparkfun.com/r/92-92/assets/parts/9/8/6/1/12935-01.jpg</t>
  </si>
  <si>
    <t>SparkFun FTDI SmartBasic</t>
  </si>
  <si>
    <t>PRT-11476</t>
  </si>
  <si>
    <t>https://www.sparkfun.com/products/11476</t>
  </si>
  <si>
    <t>https://cdn.sparkfun.com/r/92-92/assets/parts/7/3/6/3/11476-01.jpg</t>
  </si>
  <si>
    <t>DC Barrel Jack Plug - Male</t>
  </si>
  <si>
    <t>PRT-10288</t>
  </si>
  <si>
    <t>https://www.sparkfun.com/products/10288</t>
  </si>
  <si>
    <t>https://cdn.sparkfun.com/r/92-92/assets/parts/4/6/8/4/10288-02.jpg</t>
  </si>
  <si>
    <t>DC Barrel Jack Adapter - Female</t>
  </si>
  <si>
    <t xml:space="preserve">Slip Ring - 6 Wire (2A) </t>
  </si>
  <si>
    <t>ROB-13064</t>
  </si>
  <si>
    <t>https://cdn.sparkfun.com/r/92-92/assets/parts/1/0/0/9/5/13064-01.jpg</t>
  </si>
  <si>
    <t>https://www.sparkfun.com/products/13064</t>
  </si>
  <si>
    <t>Equipment Classification Filtering</t>
  </si>
  <si>
    <t>Equipment Types</t>
  </si>
  <si>
    <t>Reminder Walker Functions</t>
  </si>
  <si>
    <t>Movement/Gesture Sensing</t>
  </si>
  <si>
    <t>User Queuing/Notification</t>
  </si>
  <si>
    <t xml:space="preserve">Processing/Control Unit </t>
  </si>
  <si>
    <t>Datalogging</t>
  </si>
  <si>
    <t>mBed Platform Base Station</t>
  </si>
  <si>
    <t>Intel Edison Iot/Base Station</t>
  </si>
  <si>
    <t>Java incorporating into Windows,Linux, OSX &amp; Android/iPhone</t>
  </si>
  <si>
    <t>Ethernet, C++ supporting Windows,Linux, OSX</t>
  </si>
  <si>
    <t>Smart-Home/IoT Network Integration (Fixed)</t>
  </si>
  <si>
    <t>Smart-Home/IoT Network Integration (Portable)</t>
  </si>
  <si>
    <t>Ethernet,Wifi,USB+DDR2/Flash/uSD; MIPS CPU &amp; WAP: Linux LEDE(OpenWRT) &amp; C/C++,Python,NodeJS,Rust,Ruby,PHP,Perl,GoLang</t>
  </si>
  <si>
    <t>Ethernet, WiFi, NFC, USB OTG+ROM/SDRAM/SRAM, SDIO/SD control, ; 32-bit ARM: Windows/OSX &amp; Arduino IDE</t>
  </si>
  <si>
    <t>WiFi, BT4.0,USB OTG+1 GB LPDDR3/4GB eMMC  SD; Intel CPU+MCU (Atom/Quark): Yocto Linux, Arduino, C/C++, Python, Node.js, Wolfram,HTML5</t>
  </si>
  <si>
    <t>Ethernet, WiFi, BT4.0 + 4GB eMMC; MIPS CPU+ARM MCU: Linino (OpenWRT Linux derivative) &amp; Arduino IDE</t>
  </si>
  <si>
    <t>OLED+Flash; MCU: Arduino IDE</t>
  </si>
  <si>
    <t>Used to define a bounded region of space and raises an alert when the object of interest crosses over its boundary</t>
  </si>
  <si>
    <t xml:space="preserve">Maintain a record of GPS location </t>
  </si>
  <si>
    <t>Acquire detailed object/environment mapping</t>
  </si>
  <si>
    <t>Measuring user movement, accumulating then helps assess user activity level and patterns and potentially detect falls/etc.</t>
  </si>
  <si>
    <t>Touchscreen for easier interaction with walker system: set user preferences, access local/remote data, family/doctor FaceTime/Skype calls, etc.</t>
  </si>
  <si>
    <t>Make some features particularly emergency services able to be initiated via voice commands alone, perhaps some features restricted only to user voice</t>
  </si>
  <si>
    <t xml:space="preserve">System/kit of vitals/health status sensors measuring EMG/ECG/EEG, EDA; requires electrodes/biomedical sensor pads be attached to user body </t>
  </si>
  <si>
    <t>Antenna to be attached to GPS devices' SMA connectors</t>
  </si>
  <si>
    <t>Allows full/continuous Lidar rotation</t>
  </si>
  <si>
    <t>Required for Scanse Sweep</t>
  </si>
  <si>
    <t>MicroView Watch/Relay</t>
  </si>
  <si>
    <t>Realtek Ameba Handheld</t>
  </si>
  <si>
    <t>Linux + Arduino Home Base Station</t>
  </si>
  <si>
    <t>Advanced &amp; Optional Components</t>
  </si>
  <si>
    <t>Vitals/Health Status Sensing</t>
  </si>
  <si>
    <t>Remote/Home IoT Communication</t>
  </si>
  <si>
    <t>User-System Interaction: Access/Control</t>
  </si>
  <si>
    <t>Successful Queuing Verification/Response</t>
  </si>
  <si>
    <t>Onion Omega2+ Handheld</t>
  </si>
  <si>
    <t>DEV-14439</t>
  </si>
  <si>
    <t>https://www.sparkfun.com/products/14439</t>
  </si>
  <si>
    <t>https://cdn.sparkfun.com/r/92-92/assets/parts/1/2/4/6/9/14439-03.jpg</t>
  </si>
  <si>
    <t>Expansion Dock for Onion Omega</t>
  </si>
  <si>
    <t>PRT-09771</t>
  </si>
  <si>
    <t>https://www.sparkfun.com/products/9771</t>
  </si>
  <si>
    <t>https://cdn.sparkfun.com/r/92-92/assets/parts/3/7/4/5/09771-04.jpg</t>
  </si>
  <si>
    <t>Theragrip Thermal Tape</t>
  </si>
  <si>
    <t>PRT-00121</t>
  </si>
  <si>
    <t>https://www.sparkfun.com/products/121</t>
  </si>
  <si>
    <t>https://cdn.sparkfun.com/r/92-92/assets/parts/1/1/0/00121-02.jpg</t>
  </si>
  <si>
    <t>Heatsink TO-220</t>
  </si>
  <si>
    <t>PRT-11510</t>
  </si>
  <si>
    <t>https://www.sparkfun.com/products/11510</t>
  </si>
  <si>
    <t>https://cdn.sparkfun.com/r/92-92/assets/parts/5/7/0/4/10746-02a.jpg</t>
  </si>
  <si>
    <t>Small Heatsink</t>
  </si>
  <si>
    <t>SEN-08733</t>
  </si>
  <si>
    <t>https://www.sparkfun.com/products/8733</t>
  </si>
  <si>
    <t>https://cdn.sparkfun.com/r/92-92/assets/parts/1/9/2/0/08733-03-L.jpg</t>
  </si>
  <si>
    <t>Infrared Sensor Jumper Wire - 3-Pin JST</t>
  </si>
  <si>
    <t>COM-00317</t>
  </si>
  <si>
    <t>https://www.sparkfun.com/products/317</t>
  </si>
  <si>
    <t>https://cdn.sparkfun.com/r/92-92/assets/parts/2/5/3/dc_dc_regulator.jpg</t>
  </si>
  <si>
    <t>Step Up/Down Inverting Switching Regulator</t>
  </si>
  <si>
    <t>PRT-12044</t>
  </si>
  <si>
    <t>https://www.sparkfun.com/products/12044</t>
  </si>
  <si>
    <t>https://cdn.sparkfun.com/r/92-92/assets/parts/8/6/2/7/12044-01.jpg</t>
  </si>
  <si>
    <t>Breadboard - Mini Modular (Red)</t>
  </si>
  <si>
    <t>DEV-11632</t>
  </si>
  <si>
    <t>https://www.sparkfun.com/products/11632</t>
  </si>
  <si>
    <t>https://cdn.sparkfun.com/r/92-92/assets/parts/7/6/8/8/11632-01.jpg</t>
  </si>
  <si>
    <t>IOIO and Breadboard Holder</t>
  </si>
  <si>
    <t>DEV-11723</t>
  </si>
  <si>
    <t>https://www.sparkfun.com/products/11723</t>
  </si>
  <si>
    <t>https://cdn.sparkfun.com/r/92-92/assets/parts/7/9/3/4/11723-01.jpg</t>
  </si>
  <si>
    <t>Mux Shield II</t>
  </si>
  <si>
    <t>TOL-12890</t>
  </si>
  <si>
    <t>https://www.sparkfun.com/products/12890</t>
  </si>
  <si>
    <t>https://cdn.sparkfun.com/r/92-92/assets/parts/9/7/8/2/12890-01.jpg</t>
  </si>
  <si>
    <t>Wall Adapter Power Supply - 5V DC 2A (USB Micro-B)</t>
  </si>
  <si>
    <t>BOB-13098</t>
  </si>
  <si>
    <t>https://www.sparkfun.com/products/13098</t>
  </si>
  <si>
    <t>https://cdn.sparkfun.com/r/92-92/assets/parts/1/0/1/4/0/13098-03.jpg</t>
  </si>
  <si>
    <t>SparkFun Rotary Switch Breakout</t>
  </si>
  <si>
    <t>COM-13253</t>
  </si>
  <si>
    <t>https://www.sparkfun.com/products/13253</t>
  </si>
  <si>
    <t>https://cdn.sparkfun.com/r/92-92/assets/parts/9/8/3/4/13253-01.jpg</t>
  </si>
  <si>
    <t>Rotary Switch - 10 Position</t>
  </si>
  <si>
    <t>BOB-13099</t>
  </si>
  <si>
    <t>https://www.sparkfun.com/products/13099</t>
  </si>
  <si>
    <t>https://cdn.sparkfun.com/r/92-92/assets/parts/1/0/1/4/1/13099-01.jpg</t>
  </si>
  <si>
    <t>SparkFun Rotary Switch Potentiometer Breakout</t>
  </si>
  <si>
    <t>DEV-13035</t>
  </si>
  <si>
    <t>https://www.sparkfun.com/products/13035</t>
  </si>
  <si>
    <t>https://cdn.sparkfun.com/r/92-92/assets/parts/1/0/0/3/6/13035-01.jpg</t>
  </si>
  <si>
    <t>SparkFun Block for IntelÂ® Edison - OLED</t>
  </si>
  <si>
    <t>BOB-13884</t>
  </si>
  <si>
    <t>https://www.sparkfun.com/products/13884</t>
  </si>
  <si>
    <t>https://cdn.sparkfun.com/r/92-92/assets/parts/1/1/5/2/0/13884-02.jpg</t>
  </si>
  <si>
    <t xml:space="preserve">SparkFun LED Driver Breakout - LP55231 </t>
  </si>
  <si>
    <t>BOB-13282</t>
  </si>
  <si>
    <t>https://www.sparkfun.com/products/13282</t>
  </si>
  <si>
    <t>https://cdn.sparkfun.com/r/92-92/assets/parts/1/0/5/2/2/13282-03.jpg</t>
  </si>
  <si>
    <t>SparkFun RGB LED Breakout - WS2812B</t>
  </si>
  <si>
    <t>COM-12014</t>
  </si>
  <si>
    <t>https://www.sparkfun.com/products/12014</t>
  </si>
  <si>
    <t>https://cdn.sparkfun.com/r/92-92/assets/parts/8/5/3/5/12014-01.jpg</t>
  </si>
  <si>
    <t>LED Light Bar - White (SMD)</t>
  </si>
  <si>
    <t>TOL-11784</t>
  </si>
  <si>
    <t>https://www.sparkfun.com/products/11784</t>
  </si>
  <si>
    <t>https://cdn.sparkfun.com/r/92-92/assets/parts/8/0/3/1/11784-05.jpg</t>
  </si>
  <si>
    <t>SparkFun Third Hand Kit</t>
  </si>
  <si>
    <t>DEV-13770</t>
  </si>
  <si>
    <t>https://www.sparkfun.com/products/13770</t>
  </si>
  <si>
    <t>https://cdn.sparkfun.com/r/92-92/assets/parts/1/1/3/2/1/13770-00.jpg</t>
  </si>
  <si>
    <t>SparkFun Block for Intel Edison - ADC</t>
  </si>
  <si>
    <t>DEV-14431</t>
  </si>
  <si>
    <t>https://www.sparkfun.com/products/14431</t>
  </si>
  <si>
    <t>https://cdn.sparkfun.com/r/92-92/assets/parts/1/2/4/6/1/14431-01.jpg</t>
  </si>
  <si>
    <t>Onion Omega2+ IoT Computer</t>
  </si>
  <si>
    <t>DEV-14443</t>
  </si>
  <si>
    <t>https://www.sparkfun.com/products/14443</t>
  </si>
  <si>
    <t>https://cdn.sparkfun.com/r/92-92/assets/parts/1/2/4/7/3/14443-01.jpg</t>
  </si>
  <si>
    <t>Proto Expansion Board for Onion Omega</t>
  </si>
  <si>
    <t>DEV-14446</t>
  </si>
  <si>
    <t>https://www.sparkfun.com/products/14446</t>
  </si>
  <si>
    <t>https://cdn.sparkfun.com/r/92-92/assets/parts/1/2/4/7/6/14446-01.jpg</t>
  </si>
  <si>
    <t>GPS Expansion Board for Onion Omega</t>
  </si>
  <si>
    <t>DEV-14442</t>
  </si>
  <si>
    <t>https://www.sparkfun.com/products/14442</t>
  </si>
  <si>
    <t>https://cdn.sparkfun.com/r/92-92/assets/parts/1/2/4/7/2/14442-01.jpg</t>
  </si>
  <si>
    <t>OLED Expansion Board for Onion Omega</t>
  </si>
  <si>
    <t>DEV-14441</t>
  </si>
  <si>
    <t>https://www.sparkfun.com/products/14441</t>
  </si>
  <si>
    <t>https://cdn.sparkfun.com/r/92-92/assets/parts/1/2/4/7/1/14441-02.jpg</t>
  </si>
  <si>
    <t>Ethernet Expansion Board for Onion Omega</t>
  </si>
  <si>
    <t>DEV-14438</t>
  </si>
  <si>
    <t>https://www.sparkfun.com/products/14438</t>
  </si>
  <si>
    <t>https://cdn.sparkfun.com/r/92-92/assets/parts/1/2/4/6/8/14438-01.jpg</t>
  </si>
  <si>
    <t>Arduino Dock R2 for Onion Omega</t>
  </si>
  <si>
    <t>TOL-10325</t>
  </si>
  <si>
    <t>https://www.sparkfun.com/products/10325</t>
  </si>
  <si>
    <t>https://cdn.sparkfun.com/r/92-92/assets/parts/4/7/3/3/10325-02.jpg</t>
  </si>
  <si>
    <t>Hobby Knife Replacement Blades</t>
  </si>
  <si>
    <t>Onion Omega2+ + Arduino Base Station</t>
  </si>
  <si>
    <t>LCD-00710</t>
  </si>
  <si>
    <t>https://www.sparkfun.com/products/710</t>
  </si>
  <si>
    <t>https://cdn.sparkfun.com/r/92-92/assets/parts/4/9/2/00710-01.jpg</t>
  </si>
  <si>
    <t>Graphic LCD 128x64 STN LED Backlight</t>
  </si>
  <si>
    <t>SPX-14257</t>
  </si>
  <si>
    <t>https://www.sparkfun.com/products/14257</t>
  </si>
  <si>
    <t>https://cdn.sparkfun.com/r/92-92/assets/parts/1/2/2/0/5/Qwiic_Mux_Shield_Arduino_04.jpg</t>
  </si>
  <si>
    <t>Qwiic Mux Shield for Arduino - PCA9548A</t>
  </si>
  <si>
    <t>SPX-14293</t>
  </si>
  <si>
    <t>https://www.sparkfun.com/products/14293</t>
  </si>
  <si>
    <t>https://cdn.sparkfun.com/r/92-92/assets/parts/1/2/2/5/2/Qwiic-Mux-PCA9548A-3.jpg</t>
  </si>
  <si>
    <t>Qwiic Mux - PCA9548A</t>
  </si>
  <si>
    <t>KIT-11734</t>
  </si>
  <si>
    <t>https://www.sparkfun.com/products/11734</t>
  </si>
  <si>
    <t>https://cdn.sparkfun.com/r/92-92/assets/parts/7/9/4/6/11734-01.jpg</t>
  </si>
  <si>
    <t>SparkFun BigTime Watch Kit</t>
  </si>
  <si>
    <t>TOL-13086</t>
  </si>
  <si>
    <t>https://www.sparkfun.com/products/13086</t>
  </si>
  <si>
    <t>https://cdn.sparkfun.com/r/92-92/assets/parts/1/0/1/2/0/13086-02.jpg</t>
  </si>
  <si>
    <t>Tool Kit - Beginner</t>
  </si>
  <si>
    <t>KIT-11488</t>
  </si>
  <si>
    <t>https://www.sparkfun.com/products/11488</t>
  </si>
  <si>
    <t>https://cdn.sparkfun.com/r/92-92/assets/parts/7/3/7/9/11488-04b.jpg</t>
  </si>
  <si>
    <t>Solder : Time II Watch Kit</t>
  </si>
  <si>
    <t>PRT-00114</t>
  </si>
  <si>
    <t>https://www.sparkfun.com/products/114</t>
  </si>
  <si>
    <t>https://cdn.sparkfun.com/r/92-92/assets/parts/1/0/4/00114-05.jpg</t>
  </si>
  <si>
    <t>SparkFun Breadboard Power Supply 5V/3.3V</t>
  </si>
  <si>
    <t>Comes in "Tool Kit - Beginner" TOL-13086</t>
  </si>
  <si>
    <t>For Luxeon Rebel High Power LED COM-09637</t>
  </si>
  <si>
    <t># &gt; 0 ? T/F</t>
  </si>
  <si>
    <t>COM-10994</t>
  </si>
  <si>
    <t>https://www.sparkfun.com/products/10994</t>
  </si>
  <si>
    <t>https://cdn.sparkfun.com/r/92-92/assets/parts/6/2/3/7/10994-01b.jpg</t>
  </si>
  <si>
    <t>Bare Conductive - Electric Paint (50ml)</t>
  </si>
  <si>
    <t>SEN-12041</t>
  </si>
  <si>
    <t>https://www.sparkfun.com/products/12041</t>
  </si>
  <si>
    <t>https://cdn.sparkfun.com/r/92-92/assets/parts/8/6/1/8/12041-01a.jpg</t>
  </si>
  <si>
    <t>SparkFun Capacitive Touch Breakout - AT42QT1010</t>
  </si>
  <si>
    <t>PRT-13144</t>
  </si>
  <si>
    <t>https://www.sparkfun.com/products/13144</t>
  </si>
  <si>
    <t>https://cdn.sparkfun.com/r/92-92/assets/parts/1/0/2/1/8/13144-02.jpg</t>
  </si>
  <si>
    <t>SparkFun Touch Potentiometer</t>
  </si>
  <si>
    <t>DEV-13298</t>
  </si>
  <si>
    <t>https://www.sparkfun.com/products/13298</t>
  </si>
  <si>
    <t>https://cdn.sparkfun.com/r/92-92/assets/parts/1/0/5/5/4/13298-02.jpg</t>
  </si>
  <si>
    <t>Bare Conductive Touch Board</t>
  </si>
  <si>
    <t>COM-13254</t>
  </si>
  <si>
    <t>https://www.sparkfun.com/products/13254</t>
  </si>
  <si>
    <t>https://cdn.sparkfun.com/r/92-92/assets/parts/1/0/4/5/5/13254-01.jpg</t>
  </si>
  <si>
    <t>Circuit Scribe Conductive Ink Pen</t>
  </si>
  <si>
    <t>PRT-13828</t>
  </si>
  <si>
    <t>https://www.sparkfun.com/products/13828</t>
  </si>
  <si>
    <t>https://cdn.sparkfun.com/r/92-92/assets/parts/1/1/4/2/3/13828-01.jpg</t>
  </si>
  <si>
    <t>Copper Tape - Conductive Adhesive, 2\" (50ft)</t>
  </si>
  <si>
    <t>PRT-11081</t>
  </si>
  <si>
    <t>https://www.sparkfun.com/products/11081</t>
  </si>
  <si>
    <t>https://cdn.sparkfun.com/r/92-92/assets/parts/6/4/7/1/11081-02.jpg</t>
  </si>
  <si>
    <t>Copper Tape - 2\" (50ft)</t>
  </si>
  <si>
    <t>PRT-10561</t>
  </si>
  <si>
    <t>https://www.sparkfun.com/products/10561</t>
  </si>
  <si>
    <t>https://cdn.sparkfun.com/r/92-92/assets/parts/5/1/8/1/10561-01.jpg</t>
  </si>
  <si>
    <t>Copper Tape - 5mm (50ft)</t>
  </si>
  <si>
    <t>PRT-13827</t>
  </si>
  <si>
    <t>https://www.sparkfun.com/products/13827</t>
  </si>
  <si>
    <t>https://cdn.sparkfun.com/r/92-92/assets/parts/1/1/4/2/2/13827-01.jpg</t>
  </si>
  <si>
    <t>Copper Tape - Conductive Adhesive, 5mm (50ft)</t>
  </si>
  <si>
    <t>PRT-09353</t>
  </si>
  <si>
    <t>https://www.sparkfun.com/products/9353</t>
  </si>
  <si>
    <t>https://cdn.sparkfun.com/r/92-92/assets/parts/2/9/2/3/09353-01.jpg</t>
  </si>
  <si>
    <t>Heat Shrink Kit</t>
  </si>
  <si>
    <t>COM-11521</t>
  </si>
  <si>
    <t>https://www.sparkfun.com/products/11521</t>
  </si>
  <si>
    <t>https://cdn.sparkfun.com/r/92-92/assets/parts/7/4/4/1/11521-02_1.jpg</t>
  </si>
  <si>
    <t>Bare Conductive - Electric Paint Pen (10ml)</t>
  </si>
  <si>
    <t>TOL-10951</t>
  </si>
  <si>
    <t>https://www.sparkfun.com/products/10951</t>
  </si>
  <si>
    <t>https://cdn.sparkfun.com/r/92-92/assets/parts/6/1/2/8/10951-01a.jpg</t>
  </si>
  <si>
    <t>Polymorph - 1000g</t>
  </si>
  <si>
    <t>TOL-10950</t>
  </si>
  <si>
    <t>https://www.sparkfun.com/products/10950</t>
  </si>
  <si>
    <t>https://cdn.sparkfun.com/r/92-92/assets/parts/6/1/2/7/10950-01.jpg</t>
  </si>
  <si>
    <t>Polymorph - 250g</t>
  </si>
  <si>
    <t>PRT-09599</t>
  </si>
  <si>
    <t>https://www.sparkfun.com/products/9599</t>
  </si>
  <si>
    <t>https://cdn.sparkfun.com/r/92-92/assets/parts/3/4/2/2/09599-01.jpg</t>
  </si>
  <si>
    <t>Heatsink Compound</t>
  </si>
  <si>
    <t>PRT-14340</t>
  </si>
  <si>
    <t>https://www.sparkfun.com/products/14340</t>
  </si>
  <si>
    <t>https://cdn.sparkfun.com/r/92-92/assets/parts/1/2/3/1/6/14340-01.jpg</t>
  </si>
  <si>
    <t>Medium Heatsink</t>
  </si>
  <si>
    <t>COM-12766</t>
  </si>
  <si>
    <t>https://www.sparkfun.com/products/12766</t>
  </si>
  <si>
    <t>https://cdn.sparkfun.com/r/92-92/assets/parts/4/4/2/4/12766-01.jpg</t>
  </si>
  <si>
    <t>Voltage Regulator - 12V</t>
  </si>
  <si>
    <t>COM-10827</t>
  </si>
  <si>
    <t>https://www.sparkfun.com/products/10827</t>
  </si>
  <si>
    <t>https://cdn.sparkfun.com/r/92-92/assets/parts/3/0/2/2/10827-02.jpg</t>
  </si>
  <si>
    <t>Voltage Regulator - BD10KA5W (500mA)</t>
  </si>
  <si>
    <t>BOB-00717</t>
  </si>
  <si>
    <t>https://www.sparkfun.com/products/717</t>
  </si>
  <si>
    <t>https://cdn.sparkfun.com/r/92-92/assets/parts/4/7/9/00717-01.jpg</t>
  </si>
  <si>
    <t>SparkFun SOT23 to DIP Adapter</t>
  </si>
  <si>
    <t>COM-10828</t>
  </si>
  <si>
    <t>https://www.sparkfun.com/products/10828</t>
  </si>
  <si>
    <t>https://cdn.sparkfun.com/r/92-92/assets/parts/3/0/2/1/10828-00.jpg</t>
  </si>
  <si>
    <t>Voltage Detector - NCP303</t>
  </si>
  <si>
    <t>COM-00595</t>
  </si>
  <si>
    <t>https://www.sparkfun.com/products/595</t>
  </si>
  <si>
    <t>https://cdn.sparkfun.com/r/92-92/assets/parts/4/1/4/LM1117.jpg</t>
  </si>
  <si>
    <t>Voltage Regulator - Adjustable LM1117 SMD</t>
  </si>
  <si>
    <t>COM-10442</t>
  </si>
  <si>
    <t>LED Tactile Button - Red</t>
  </si>
  <si>
    <t>BOB-10467</t>
  </si>
  <si>
    <t>https://www.sparkfun.com/products/10467</t>
  </si>
  <si>
    <t>https://cdn.sparkfun.com/r/92-92/assets/parts/4/9/5/9/10467-01.jpg</t>
  </si>
  <si>
    <t>LED Tactile Button Breakout</t>
  </si>
  <si>
    <t>https://www.sparkfun.com/products/10442</t>
  </si>
  <si>
    <t>https://cdn.sparkfun.com/r/92-92/assets/parts/4/9/3/0/10442-01.jpg</t>
  </si>
  <si>
    <t>Enclosures/Mounts</t>
  </si>
  <si>
    <t>Heat Insulation/Dissipation</t>
  </si>
  <si>
    <t>Trace/Shielding Construction</t>
  </si>
  <si>
    <t>COM-10095</t>
  </si>
  <si>
    <t>https://www.sparkfun.com/products/10095</t>
  </si>
  <si>
    <t>https://cdn.sparkfun.com/r/92-92/assets/parts/4/3/1/9/10095-01.jpg</t>
  </si>
  <si>
    <t>Break Away Headers - Right Angle 3x40</t>
  </si>
  <si>
    <t>Not needed if purchasing Hat-air Rework Station TOL-10706</t>
  </si>
  <si>
    <t>47 x 35 x 10mm</t>
  </si>
  <si>
    <t>PRT-12047</t>
  </si>
  <si>
    <t>https://www.sparkfun.com/products/12047</t>
  </si>
  <si>
    <t>https://cdn.sparkfun.com/r/92-92/assets/parts/8/6/3/0/12047-01.jpg</t>
  </si>
  <si>
    <t>Breadboard - Mini Modular (Black)</t>
  </si>
  <si>
    <t>PRT-12842</t>
  </si>
  <si>
    <t>https://www.sparkfun.com/products/12842</t>
  </si>
  <si>
    <t>https://cdn.sparkfun.com/r/92-92/assets/parts/9/6/9/2/12842-01.jpg</t>
  </si>
  <si>
    <t>BeagleBone Black Enclosure - Clear Plastic</t>
  </si>
  <si>
    <t>DEV-12774</t>
  </si>
  <si>
    <t>https://www.sparkfun.com/products/12774</t>
  </si>
  <si>
    <t>https://cdn.sparkfun.com/r/92-92/assets/parts/9/5/5/9/12774-02.jpg</t>
  </si>
  <si>
    <t>SparkFun BeagleBone Black Proto Cape</t>
  </si>
  <si>
    <t>DEV-12086</t>
  </si>
  <si>
    <t>https://www.sparkfun.com/products/12086</t>
  </si>
  <si>
    <t>https://cdn.sparkfun.com/r/92-92/assets/parts/8/7/1/8/12086-01.jpg</t>
  </si>
  <si>
    <t>BeagleBone Black Cape - LCD (7.0\")</t>
  </si>
  <si>
    <t>DEV-12085</t>
  </si>
  <si>
    <t>https://www.sparkfun.com/products/12085</t>
  </si>
  <si>
    <t>https://cdn.sparkfun.com/r/92-92/assets/parts/8/7/1/7/12085-01.jpg</t>
  </si>
  <si>
    <t>BeagleBone Black Cape - LCD (4.3\")</t>
  </si>
  <si>
    <t>DEV-14162</t>
  </si>
  <si>
    <t>https://www.sparkfun.com/products/14162</t>
  </si>
  <si>
    <t>https://cdn.sparkfun.com/r/92-92/assets/parts/1/2/0/7/6/14162-02.jpg</t>
  </si>
  <si>
    <t>BeagleBone Black Wireless</t>
  </si>
  <si>
    <t>COM-09609</t>
  </si>
  <si>
    <t>https://www.sparkfun.com/products/9609</t>
  </si>
  <si>
    <t>https://cdn.sparkfun.com/r/92-92/assets/parts/3/4/3/1/09609-01.jpg</t>
  </si>
  <si>
    <t>SPDT Slide Switch</t>
  </si>
  <si>
    <t>SEN-09197</t>
  </si>
  <si>
    <t>https://www.sparkfun.com/products/9197</t>
  </si>
  <si>
    <t>https://cdn.sparkfun.com/r/92-92/assets/parts/2/6/4/3/09197-02-L.jpg</t>
  </si>
  <si>
    <t>Piezo Vibration Sensor - Large with Mass</t>
  </si>
  <si>
    <t>SEN-09198</t>
  </si>
  <si>
    <t>https://www.sparkfun.com/products/9198</t>
  </si>
  <si>
    <t>https://cdn.sparkfun.com/r/92-92/assets/parts/2/6/4/4/09198-03-L.jpg</t>
  </si>
  <si>
    <t>Piezo Vibration Sensor - Small Horizontal</t>
  </si>
  <si>
    <t>SEN-09199</t>
  </si>
  <si>
    <t>https://www.sparkfun.com/products/9199</t>
  </si>
  <si>
    <t>https://cdn.sparkfun.com/r/92-92/assets/parts/2/6/4/5/09199-03-L.jpg</t>
  </si>
  <si>
    <t>Piezo Vibration Sensor - Small Vertical</t>
  </si>
  <si>
    <t xml:space="preserve">WiFi, BT4.0,USB,HDMI+512MB DDR3/4GB eMMC  SD,3D; 1GHz ARM+2xPRU 32b-MCU: Debian/Android + WinCE/Ubuntu/Yocto/Linaro/TI/Fedora &amp; Node.js + C/C++,HTML, CSS, PHP, Java, Ruby </t>
  </si>
  <si>
    <t>Jumper Wires Premium 6\" M/M - 20 AWG (10 Pack)</t>
  </si>
  <si>
    <t>PRT-11709</t>
  </si>
  <si>
    <t>PRT-09915</t>
  </si>
  <si>
    <t>https://www.sparkfun.com/products/9915</t>
  </si>
  <si>
    <t>https://cdn.sparkfun.com/r/92-92/assets/parts/4/0/2/1/09915-02b.jpg</t>
  </si>
  <si>
    <t>JST Jumper 3 Wire Assembly</t>
  </si>
  <si>
    <t>PRT-08097</t>
  </si>
  <si>
    <t>https://www.sparkfun.com/products/8097</t>
  </si>
  <si>
    <t>https://cdn.sparkfun.com/r/92-92/assets/parts/6/6/3/Connectors.jpg</t>
  </si>
  <si>
    <t>Polarized Connectors - Housing (4-Pin)</t>
  </si>
  <si>
    <t>PRT-10501</t>
  </si>
  <si>
    <t>https://www.sparkfun.com/products/10501</t>
  </si>
  <si>
    <t>https://cdn.sparkfun.com/r/92-92/assets/parts/5/0/3/5/10501-01.jpg</t>
  </si>
  <si>
    <t>JST RCY Connector - Male/Female Set (2-pin)</t>
  </si>
  <si>
    <t>PRT-08233</t>
  </si>
  <si>
    <t>https://www.sparkfun.com/products/8233</t>
  </si>
  <si>
    <t>https://cdn.sparkfun.com/r/92-92/assets/parts/5/5/8/Connectors.jpg</t>
  </si>
  <si>
    <t>Polarized Connectors - Header (2-Pin)</t>
  </si>
  <si>
    <t>PRT-08231</t>
  </si>
  <si>
    <t>https://www.sparkfun.com/products/8231</t>
  </si>
  <si>
    <t>https://cdn.sparkfun.com/r/92-92/assets/parts/4/9/9/Connectors.jpg</t>
  </si>
  <si>
    <t>Polarized Connectors - Header (4-Pin)</t>
  </si>
  <si>
    <t>PRT-08095</t>
  </si>
  <si>
    <t>https://www.sparkfun.com/products/8095</t>
  </si>
  <si>
    <t>https://cdn.sparkfun.com/r/92-92/assets/parts/6/6/1/08095-03-L.jpg</t>
  </si>
  <si>
    <t>Polarized Connectors - Housing (2-Pin)</t>
  </si>
  <si>
    <t>PRT-08073</t>
  </si>
  <si>
    <t>https://www.sparkfun.com/products/8073</t>
  </si>
  <si>
    <t>https://cdn.sparkfun.com/r/92-92/assets/parts/6/5/2/08073-01.jpg</t>
  </si>
  <si>
    <t>Spring Terminals - PCB Mount (2-Pin)</t>
  </si>
  <si>
    <t>PRT-08232</t>
  </si>
  <si>
    <t>https://www.sparkfun.com/products/8232</t>
  </si>
  <si>
    <t>https://cdn.sparkfun.com/r/92-92/assets/parts/1/7/0/8/Connectors.jpg</t>
  </si>
  <si>
    <t>Polarized Connectors - Header (3-Pin)</t>
  </si>
  <si>
    <t>PRT-08096</t>
  </si>
  <si>
    <t>https://www.sparkfun.com/products/8096</t>
  </si>
  <si>
    <t>https://cdn.sparkfun.com/r/92-92/assets/parts/6/6/2/Connectors.jpg</t>
  </si>
  <si>
    <t>Polarized Connectors - Housing (3-Pin)</t>
  </si>
  <si>
    <t>PRT-08026</t>
  </si>
  <si>
    <t>https://www.sparkfun.com/products/8026</t>
  </si>
  <si>
    <t>https://cdn.sparkfun.com/r/92-92/assets/parts/6/4/6/08026-01.jpg</t>
  </si>
  <si>
    <t>Hook-up Wire - White (22 AWG)</t>
  </si>
  <si>
    <t>PRT-08024</t>
  </si>
  <si>
    <t>https://www.sparkfun.com/products/8024</t>
  </si>
  <si>
    <t>https://cdn.sparkfun.com/r/92-92/assets/parts/6/4/4/08024-01a.jpg</t>
  </si>
  <si>
    <t>Hook-up Wire - Yellow (22 AWG)</t>
  </si>
  <si>
    <t>PRT-08022</t>
  </si>
  <si>
    <t>https://www.sparkfun.com/products/8022</t>
  </si>
  <si>
    <t>https://cdn.sparkfun.com/r/92-92/assets/parts/6/4/2/08022-01.jpg</t>
  </si>
  <si>
    <t>Hook-up Wire - Black (22 AWG)</t>
  </si>
  <si>
    <t>PRT-08023</t>
  </si>
  <si>
    <t>https://www.sparkfun.com/products/8023</t>
  </si>
  <si>
    <t>https://cdn.sparkfun.com/r/92-92/assets/parts/6/4/3/08023-01.jpg</t>
  </si>
  <si>
    <t>Hook-up Wire - Red (22 AWG)</t>
  </si>
  <si>
    <t>SEN-12916</t>
  </si>
  <si>
    <t>https://www.sparkfun.com/products/12916</t>
  </si>
  <si>
    <t>https://cdn.sparkfun.com/r/92-92/assets/parts/9/8/2/8/12916-01.jpg</t>
  </si>
  <si>
    <t>SparkFun HMC6343 Breakout</t>
  </si>
  <si>
    <t>BeagleBone Black Iot/Base Station</t>
  </si>
  <si>
    <t>Wall/Breadboard Power Supply</t>
  </si>
  <si>
    <t>Total</t>
  </si>
  <si>
    <t>Total Price</t>
  </si>
  <si>
    <t>PRT-08433</t>
  </si>
  <si>
    <t>https://www.sparkfun.com/products/8433</t>
  </si>
  <si>
    <t>https://cdn.sparkfun.com/r/92-92/assets/parts/1/3/6/4/3PinScrewTerminal-01-L.jpg</t>
  </si>
  <si>
    <t>Screw Terminals 5mm Pitch (3-Pin)</t>
  </si>
  <si>
    <t>PRT-08074</t>
  </si>
  <si>
    <t>https://www.sparkfun.com/products/8074</t>
  </si>
  <si>
    <t>https://cdn.sparkfun.com/r/92-92/assets/parts/6/5/3/08074-01.jpg</t>
  </si>
  <si>
    <t>Spring Terminals - PCB Mount (3-Pin)</t>
  </si>
  <si>
    <t>SEN-09375</t>
  </si>
  <si>
    <t>https://www.sparkfun.com/products/9375</t>
  </si>
  <si>
    <t>https://cdn.sparkfun.com/r/92-92/assets/parts/2/9/6/7/09375-1.jpg</t>
  </si>
  <si>
    <t>Force Sensitive Resistor 0.5\"</t>
  </si>
  <si>
    <t>SEN-08606</t>
  </si>
  <si>
    <t>https://www.sparkfun.com/products/8606</t>
  </si>
  <si>
    <t>https://cdn.sparkfun.com/r/92-92/assets/parts/1/6/8/6/08606-03-L.jpg</t>
  </si>
  <si>
    <t>Flex Sensor 4.5\"</t>
  </si>
  <si>
    <t>SEN-09674</t>
  </si>
  <si>
    <t>https://www.sparkfun.com/products/9674</t>
  </si>
  <si>
    <t>https://cdn.sparkfun.com/r/92-92/assets/parts/3/5/3/8/09674-01.jpg</t>
  </si>
  <si>
    <t>Force Sensitive Resistor - Long</t>
  </si>
  <si>
    <t>SEN-09673</t>
  </si>
  <si>
    <t>https://www.sparkfun.com/products/9673</t>
  </si>
  <si>
    <t>https://cdn.sparkfun.com/r/92-92/assets/parts/3/5/3/7/09673-01.jpg</t>
  </si>
  <si>
    <t>Force Sensitive Resistor - Small</t>
  </si>
  <si>
    <t>Voice Recognition</t>
  </si>
  <si>
    <t>Touchscreen</t>
  </si>
  <si>
    <t>High-Precision Compass</t>
  </si>
  <si>
    <t>Equipment PO List</t>
  </si>
  <si>
    <t>TOL-12878</t>
  </si>
  <si>
    <t>https://www.sparkfun.com/products/12878</t>
  </si>
  <si>
    <t>https://cdn.sparkfun.com/r/92-92/assets/parts/9/7/6/3/12878-01.jpg</t>
  </si>
  <si>
    <t>Solder Paste - 50g (Lead Free)</t>
  </si>
  <si>
    <t>COM-09938</t>
  </si>
  <si>
    <t>https://www.sparkfun.com/products/9938</t>
  </si>
  <si>
    <t>https://cdn.sparkfun.com/r/92-92/assets/parts/3/9/3/1/09935-01.jpg</t>
  </si>
  <si>
    <t>10 Segment LED Bar Graph - Green</t>
  </si>
  <si>
    <t>COM-00312</t>
  </si>
  <si>
    <t>https://www.sparkfun.com/products/312</t>
  </si>
  <si>
    <t>https://cdn.sparkfun.com/r/92-92/assets/parts/2/4/7/ULN2803A.jpg</t>
  </si>
  <si>
    <t>Darlington Driver 8-Channel ULN2803 DIP</t>
  </si>
  <si>
    <t>COM-13885</t>
  </si>
  <si>
    <t>https://www.sparkfun.com/products/13885</t>
  </si>
  <si>
    <t>https://cdn.sparkfun.com/r/92-92/assets/parts/1/1/5/2/2/13885-01.jpg</t>
  </si>
  <si>
    <t>Transistor Array - ULN2803 (3 Pack)</t>
  </si>
  <si>
    <t>BOB-13655</t>
  </si>
  <si>
    <t>https://www.sparkfun.com/products/13655</t>
  </si>
  <si>
    <t>https://cdn.sparkfun.com/r/92-92/assets/parts/1/1/0/6/6/13655-01.jpg</t>
  </si>
  <si>
    <t>SparkFun SOIC to DIP Adapter - 8-Pin</t>
  </si>
  <si>
    <t>BOB-00495</t>
  </si>
  <si>
    <t>https://www.sparkfun.com/products/495</t>
  </si>
  <si>
    <t>https://cdn.sparkfun.com/r/92-92/assets/parts/2/8/1/00495-01.jpg</t>
  </si>
  <si>
    <t>SparkFun SOIC to DIP Adapter - 20-Pin</t>
  </si>
  <si>
    <t>BOB-13994</t>
  </si>
  <si>
    <t>https://www.sparkfun.com/products/13994</t>
  </si>
  <si>
    <t>https://cdn.sparkfun.com/r/92-92/assets/parts/1/1/7/6/7/13994-01.jpg</t>
  </si>
  <si>
    <t>SparkFun SSOP to DIP Adapter - 16-Pin</t>
  </si>
  <si>
    <t>BOB-00497</t>
  </si>
  <si>
    <t>https://www.sparkfun.com/products/497</t>
  </si>
  <si>
    <t>https://cdn.sparkfun.com/r/92-92/assets/parts/2/8/2/00497-01b.jpg</t>
  </si>
  <si>
    <t>SparkFun SSOP to DIP Adapter - 8-Pin</t>
  </si>
  <si>
    <t>BOB-00500</t>
  </si>
  <si>
    <t>https://www.sparkfun.com/products/500</t>
  </si>
  <si>
    <t>https://cdn.sparkfun.com/r/92-92/assets/parts/3/4/0/00500-01.jpg</t>
  </si>
  <si>
    <t>SparkFun SSOP to DIP Adapter - 28-Pin</t>
  </si>
  <si>
    <t>BOB-00496</t>
  </si>
  <si>
    <t>https://www.sparkfun.com/products/496</t>
  </si>
  <si>
    <t>https://cdn.sparkfun.com/r/92-92/assets/parts/1/6/2/00496-1.jpg</t>
  </si>
  <si>
    <t>SparkFun SOIC to DIP Adapter - 28-Pin</t>
  </si>
  <si>
    <t>COM-11107</t>
  </si>
  <si>
    <t>https://www.sparkfun.com/products/11107</t>
  </si>
  <si>
    <t>https://cdn.sparkfun.com/r/92-92/assets/parts/9/1/1/11107-01.jpg</t>
  </si>
  <si>
    <t>MSP430 SMD IC</t>
  </si>
  <si>
    <t>BOB-00499</t>
  </si>
  <si>
    <t>https://www.sparkfun.com/products/499</t>
  </si>
  <si>
    <t>https://cdn.sparkfun.com/r/92-92/assets/parts/2/8/3/00499-01.jpg</t>
  </si>
  <si>
    <t>SparkFun SSOP to DIP Adapter - 20-Pin</t>
  </si>
  <si>
    <t>Play .wav files from uSD, drives speakers</t>
  </si>
  <si>
    <t>WRL-11924</t>
  </si>
  <si>
    <t>https://www.sparkfun.com/products/11924</t>
  </si>
  <si>
    <t>https://cdn.sparkfun.com/r/92-92/assets/parts/8/3/8/0/11924-01.jpg</t>
  </si>
  <si>
    <t>SparkFun Purpletooth Jamboree - BC127 Development Board</t>
  </si>
  <si>
    <t>WRL-11927</t>
  </si>
  <si>
    <t>https://www.sparkfun.com/products/11927</t>
  </si>
  <si>
    <t>https://cdn.sparkfun.com/r/92-92/assets/parts/8/3/8/7/11927-01.jpg</t>
  </si>
  <si>
    <t>SparkFun Bluetooth Audio Breakout - BC127</t>
  </si>
  <si>
    <t>BOB-09868</t>
  </si>
  <si>
    <t>https://www.sparkfun.com/products/9868</t>
  </si>
  <si>
    <t>https://cdn.sparkfun.com/r/92-92/assets/parts/3/9/5/1/09868-01a.jpg</t>
  </si>
  <si>
    <t>SparkFun MEMS Microphone Breakout - INMP401 (ADMP401)</t>
  </si>
  <si>
    <t>CAB-11604</t>
  </si>
  <si>
    <t>https://www.sparkfun.com/products/11604</t>
  </si>
  <si>
    <t>https://cdn.sparkfun.com/r/92-92/assets/parts/7/6/2/8/11604-01.jpg</t>
  </si>
  <si>
    <t>USB OTG Cable - Female A to Micro A - 4\"</t>
  </si>
  <si>
    <t>CAB-10215</t>
  </si>
  <si>
    <t>https://www.sparkfun.com/products/10215</t>
  </si>
  <si>
    <t>https://cdn.sparkfun.com/r/92-92/assets/parts/4/5/5/8/10215-01.jpg</t>
  </si>
  <si>
    <t>USB micro-B Cable - 6 Foot</t>
  </si>
  <si>
    <t>CAB-13244</t>
  </si>
  <si>
    <t>https://www.sparkfun.com/products/13244</t>
  </si>
  <si>
    <t>https://cdn.sparkfun.com/r/92-92/assets/parts/1/0/4/3/0/13244-01.jpg</t>
  </si>
  <si>
    <t>USB Micro-B Cable - 6\"</t>
  </si>
  <si>
    <t>CAB-14276</t>
  </si>
  <si>
    <t>https://www.sparkfun.com/products/14276</t>
  </si>
  <si>
    <t>https://cdn.sparkfun.com/r/92-92/assets/parts/1/2/2/3/1/14276-01.jpg</t>
  </si>
  <si>
    <t>USB OTG Cable - Female A to Micro B - 5in</t>
  </si>
  <si>
    <t>COM-08635</t>
  </si>
  <si>
    <t>https://www.sparkfun.com/products/8635</t>
  </si>
  <si>
    <t>https://cdn.sparkfun.com/r/92-92/assets/parts/1/7/6/9/08635-03-L.jpg</t>
  </si>
  <si>
    <t>Electret Microphone</t>
  </si>
  <si>
    <t>LCD-09568</t>
  </si>
  <si>
    <t>https://www.sparkfun.com/products/9568</t>
  </si>
  <si>
    <t>https://cdn.sparkfun.com/r/92-92/assets/parts/3/3/4/6/09568Actiona.jpg</t>
  </si>
  <si>
    <t>Serial Enabled 20x4 LCD - Black on Green 5V</t>
  </si>
  <si>
    <t>PRT-12885</t>
  </si>
  <si>
    <t>https://www.sparkfun.com/products/12885</t>
  </si>
  <si>
    <t>https://cdn.sparkfun.com/r/92-92/assets/parts/9/7/7/2/12885-01.jpg</t>
  </si>
  <si>
    <t>SparkFun Sunny Buddy - MPPT Solar Charger</t>
  </si>
  <si>
    <t>PRT-08535</t>
  </si>
  <si>
    <t>https://www.sparkfun.com/products/8535</t>
  </si>
  <si>
    <t>https://cdn.sparkfun.com/r/92-92/assets/parts/1/2/4/8/CAB-08535-03-L.jpg</t>
  </si>
  <si>
    <t>2x5 Pin IDC Ribbon Cable</t>
  </si>
  <si>
    <t>PRT-10877</t>
  </si>
  <si>
    <t>https://www.sparkfun.com/products/10877</t>
  </si>
  <si>
    <t>https://cdn.sparkfun.com/r/92-92/assets/parts/5/9/3/3/10877-01b.jpg</t>
  </si>
  <si>
    <t>2x3 Pin Shrouded Header</t>
  </si>
  <si>
    <t>PRT-08506</t>
  </si>
  <si>
    <t>https://www.sparkfun.com/products/8506</t>
  </si>
  <si>
    <t>https://cdn.sparkfun.com/r/92-92/assets/parts/1/1/7/4/08506-02.jpg</t>
  </si>
  <si>
    <t>2x5 Pin Shrouded Header</t>
  </si>
  <si>
    <t>DEV-09215</t>
  </si>
  <si>
    <t>https://www.sparkfun.com/products/9215</t>
  </si>
  <si>
    <t>https://cdn.sparkfun.com/r/92-92/assets/parts/2/6/7/5/09215-3.jpg</t>
  </si>
  <si>
    <t>AVR Programming Cable</t>
  </si>
  <si>
    <t>KIT-11591</t>
  </si>
  <si>
    <t>https://www.sparkfun.com/products/11591</t>
  </si>
  <si>
    <t>https://cdn.sparkfun.com/r/92-92/assets/parts/7/5/9/7/11591-02.jpg</t>
  </si>
  <si>
    <t>SparkFun ISP Pogo Adapter</t>
  </si>
  <si>
    <t>PRT-09739</t>
  </si>
  <si>
    <t>https://www.sparkfun.com/products/9739</t>
  </si>
  <si>
    <t>https://cdn.sparkfun.com/r/92-92/assets/parts/3/6/9/3/09739-01.jpg</t>
  </si>
  <si>
    <t>Binding Post - Red</t>
  </si>
  <si>
    <t>COM-08928</t>
  </si>
  <si>
    <t>https://www.sparkfun.com/products/8928</t>
  </si>
  <si>
    <t>https://cdn.sparkfun.com/r/92-92/assets/parts/2/2/0/7/08928-03-L.jpg</t>
  </si>
  <si>
    <t>Transistor - NPN (BC547)</t>
  </si>
  <si>
    <t>COM-10213</t>
  </si>
  <si>
    <t>https://www.sparkfun.com/products/10213</t>
  </si>
  <si>
    <t>https://cdn.sparkfun.com/r/92-92/assets/parts/4/5/5/5/10213-01.jpg</t>
  </si>
  <si>
    <t>N-Channel MOSFET 60V 30A</t>
  </si>
  <si>
    <t>COM-10349</t>
  </si>
  <si>
    <t>https://www.sparkfun.com/products/10349</t>
  </si>
  <si>
    <t>https://cdn.sparkfun.com/r/92-92/assets/parts/4/7/7/8/10349-01.jpg</t>
  </si>
  <si>
    <t>P-Channel MOSFET 60V 27A</t>
  </si>
  <si>
    <t>COM-00522</t>
  </si>
  <si>
    <t>https://www.sparkfun.com/products/522</t>
  </si>
  <si>
    <t>https://cdn.sparkfun.com/r/92-92/assets/parts/1/6/5/00522-1.jpg</t>
  </si>
  <si>
    <t>Transistor - PNP (2N3906)</t>
  </si>
  <si>
    <t>COM-00521</t>
  </si>
  <si>
    <t>https://www.sparkfun.com/products/521</t>
  </si>
  <si>
    <t>https://cdn.sparkfun.com/r/92-92/assets/parts/2/9/9/00521-1.jpg</t>
  </si>
  <si>
    <t>Transistor - NPN (2N3904)</t>
  </si>
  <si>
    <t>COM-12901</t>
  </si>
  <si>
    <t>https://www.sparkfun.com/products/12901</t>
  </si>
  <si>
    <t>https://cdn.sparkfun.com/r/92-92/assets/parts/9/8/0/2/12901-01.jpg</t>
  </si>
  <si>
    <t>P-Channel MOSFET 20V 24A - low Vgs(th)</t>
  </si>
  <si>
    <t>PRT-09740</t>
  </si>
  <si>
    <t>https://www.sparkfun.com/products/9740</t>
  </si>
  <si>
    <t>https://cdn.sparkfun.com/r/92-92/assets/parts/3/6/9/4/09740-01.jpg</t>
  </si>
  <si>
    <t>Binding Post - Black</t>
  </si>
  <si>
    <t>PRT-10650</t>
  </si>
  <si>
    <t>https://www.sparkfun.com/products/10650</t>
  </si>
  <si>
    <t>https://cdn.sparkfun.com/r/92-92/assets/parts/5/4/2/5/10650-02.jpg</t>
  </si>
  <si>
    <t>Ribbon Crimp Connector - 10-pin (2x5, Female)</t>
  </si>
  <si>
    <t>PRT-10651</t>
  </si>
  <si>
    <t>https://www.sparkfun.com/products/10651</t>
  </si>
  <si>
    <t>https://cdn.sparkfun.com/r/92-92/assets/parts/5/4/2/6/10651-02.jpg</t>
  </si>
  <si>
    <t>Ribbon Crimp Connector - 6-pin (2x3, Female)</t>
  </si>
  <si>
    <t>CAB-10649</t>
  </si>
  <si>
    <t>https://www.sparkfun.com/products/10649</t>
  </si>
  <si>
    <t>https://cdn.sparkfun.com/r/92-92/assets/parts/5/4/2/4/10649-01.jpg</t>
  </si>
  <si>
    <t>Ribbon Cable - 10 wire (3ft)</t>
  </si>
  <si>
    <t>CAB-10646</t>
  </si>
  <si>
    <t>https://www.sparkfun.com/products/10646</t>
  </si>
  <si>
    <t>https://cdn.sparkfun.com/r/92-92/assets/parts/5/4/2/1/10646-02.jpg</t>
  </si>
  <si>
    <t>Ribbon Cable - 6 wire (15ft)</t>
  </si>
  <si>
    <t>CAB-10647</t>
  </si>
  <si>
    <t>https://www.sparkfun.com/products/10647</t>
  </si>
  <si>
    <t>https://cdn.sparkfun.com/r/92-92/assets/parts/5/4/2/2/10647-04.jpg</t>
  </si>
  <si>
    <t>Ribbon Cable - 10 wire (15ft)</t>
  </si>
  <si>
    <t>Energy Harvesting</t>
  </si>
  <si>
    <t>USB/Serial Interface Breakouts</t>
  </si>
  <si>
    <t>Communication/Power Cables</t>
  </si>
  <si>
    <t>AVR/ISP Programmer Adapters/Cables</t>
  </si>
  <si>
    <t>Signal Multiplexing/Conditioning</t>
  </si>
  <si>
    <t>Jumper Wires, PTH</t>
  </si>
  <si>
    <t>Jumper Wires, JST</t>
  </si>
  <si>
    <t>Ribbon Cables</t>
  </si>
  <si>
    <t>Jumper Wires, Mixed</t>
  </si>
  <si>
    <t>Solid/Stranded Hookup Wire</t>
  </si>
  <si>
    <t>Hand Tools</t>
  </si>
  <si>
    <t>Solder/SMD Rework Tools</t>
  </si>
  <si>
    <t>PCB/Breadboard Work Tools</t>
  </si>
  <si>
    <t>MCU/Development Board</t>
  </si>
  <si>
    <t>DIP/TO-#/SMD Components</t>
  </si>
  <si>
    <t>Phone/Computer App Companion</t>
  </si>
  <si>
    <r>
      <t>Onion Omega2</t>
    </r>
    <r>
      <rPr>
        <vertAlign val="superscript"/>
        <sz val="11"/>
        <color theme="1"/>
        <rFont val="Calibri"/>
        <family val="2"/>
        <scheme val="minor"/>
      </rPr>
      <t>+</t>
    </r>
    <r>
      <rPr>
        <sz val="11"/>
        <color theme="1"/>
        <rFont val="Calibri"/>
        <family val="2"/>
        <scheme val="minor"/>
      </rPr>
      <t xml:space="preserve"> + Arduino Base Station</t>
    </r>
  </si>
  <si>
    <r>
      <t>Onion Omega2</t>
    </r>
    <r>
      <rPr>
        <vertAlign val="superscript"/>
        <sz val="11"/>
        <color theme="1"/>
        <rFont val="Calibri"/>
        <family val="2"/>
        <scheme val="minor"/>
      </rPr>
      <t>+</t>
    </r>
    <r>
      <rPr>
        <sz val="11"/>
        <color theme="1"/>
        <rFont val="Calibri"/>
        <family val="2"/>
        <scheme val="minor"/>
      </rPr>
      <t xml:space="preserve"> Handheld</t>
    </r>
  </si>
  <si>
    <t>Description/Comments</t>
  </si>
  <si>
    <t>TOL-08964</t>
  </si>
  <si>
    <t>https://www.sparkfun.com/products/8964</t>
  </si>
  <si>
    <t>https://cdn.sparkfun.com/r/92-92/assets/parts/2/2/6/8/08964-02-L.jpg</t>
  </si>
  <si>
    <t>Brass Sponge</t>
  </si>
  <si>
    <t>TOL-12078</t>
  </si>
  <si>
    <t>https://www.sparkfun.com/products/12078</t>
  </si>
  <si>
    <t>https://cdn.sparkfun.com/r/92-92/assets/parts/8/6/9/5/12078-01.jpg</t>
  </si>
  <si>
    <t>Multimeter Probes - Needle Tipped</t>
  </si>
  <si>
    <t>TOL-11528</t>
  </si>
  <si>
    <t>https://www.sparkfun.com/products/11528</t>
  </si>
  <si>
    <t>https://cdn.sparkfun.com/r/92-92/assets/parts/7/4/5/3/11528-01.jpg</t>
  </si>
  <si>
    <t>Modular Plastic Storage Box - Medium (4 pack)</t>
  </si>
  <si>
    <t>TOL-11527</t>
  </si>
  <si>
    <t>https://www.sparkfun.com/products/11527</t>
  </si>
  <si>
    <t>https://cdn.sparkfun.com/r/92-92/assets/parts/7/4/5/2/11527-01.jpg</t>
  </si>
  <si>
    <t>Modular Plastic Storage Box - Small (10 pack)</t>
  </si>
  <si>
    <t>TOL-07925</t>
  </si>
  <si>
    <t>https://www.sparkfun.com/products/7925</t>
  </si>
  <si>
    <t>https://cdn.sparkfun.com/r/92-92/assets/parts/6/0/7/07925-01.jpg</t>
  </si>
  <si>
    <t>Hot-air Rework Nozzles - Y1126</t>
  </si>
  <si>
    <t>TOL-14226</t>
  </si>
  <si>
    <t>https://www.sparkfun.com/products/14226</t>
  </si>
  <si>
    <t>https://cdn.sparkfun.com/r/92-92/assets/parts/1/2/1/7/1/14226-02.jpg</t>
  </si>
  <si>
    <t>Weller Portasol Butane Soldering Iron Kit</t>
  </si>
  <si>
    <t>TOL-08793</t>
  </si>
  <si>
    <t>https://www.sparkfun.com/products/8793</t>
  </si>
  <si>
    <t>https://cdn.sparkfun.com/r/92-92/assets/parts/2/0/3/3/08793-03-L.jpg</t>
  </si>
  <si>
    <t>Needle Nose Pliers</t>
  </si>
  <si>
    <t>TOL-13203</t>
  </si>
  <si>
    <t>https://www.sparkfun.com/products/13203</t>
  </si>
  <si>
    <t>https://cdn.sparkfun.com/r/92-92/assets/parts/1/0/3/4/4/13203-01.jpg</t>
  </si>
  <si>
    <t>Solder Vacuum</t>
  </si>
  <si>
    <t>Storage/Organization</t>
  </si>
  <si>
    <t>PRT-08025</t>
  </si>
  <si>
    <t>https://www.sparkfun.com/products/8025</t>
  </si>
  <si>
    <t>https://cdn.sparkfun.com/r/92-92/assets/parts/6/4/5/08025-01.jpg</t>
  </si>
  <si>
    <t>Hook-up Wire - Gray (22 AWG)</t>
  </si>
  <si>
    <t>PRT-08027</t>
  </si>
  <si>
    <t>https://www.sparkfun.com/products/8027</t>
  </si>
  <si>
    <t>https://cdn.sparkfun.com/r/92-92/assets/parts/6/4/7/08027-01.jpg</t>
  </si>
  <si>
    <t>Hook-up Wire - Brown (22 AWG)</t>
  </si>
  <si>
    <t>PRT-11367</t>
  </si>
  <si>
    <t>https://www.sparkfun.com/products/11367</t>
  </si>
  <si>
    <t>https://cdn.sparkfun.com/r/92-92/assets/parts/7/1/0/8/11367-04a.jpg</t>
  </si>
  <si>
    <t>Hook-Up Wire - Assortment (Solid Core, 22 AWG)</t>
  </si>
  <si>
    <t>Silver Metal Knob - 14x24mm</t>
  </si>
  <si>
    <t>COM-10001</t>
  </si>
  <si>
    <t>PRT-00139</t>
  </si>
  <si>
    <t>https://www.sparkfun.com/products/139</t>
  </si>
  <si>
    <t>https://cdn.sparkfun.com/r/92-92/assets/parts/1/2/3/00139-03-L.jpg</t>
  </si>
  <si>
    <t>USB Female Type B Connector</t>
  </si>
  <si>
    <t>COM-13999</t>
  </si>
  <si>
    <t>https://www.sparkfun.com/products/13999</t>
  </si>
  <si>
    <t>https://cdn.sparkfun.com/r/92-92/assets/parts/1/1/7/7/2/13999-01.jpg</t>
  </si>
  <si>
    <t>Dual 7-Segment Display - LED (RGB)</t>
  </si>
  <si>
    <t>COM-13834</t>
  </si>
  <si>
    <t>https://www.sparkfun.com/products/13834</t>
  </si>
  <si>
    <t>https://cdn.sparkfun.com/r/92-92/assets/parts/1/1/4/3/1/13834-01.jpg</t>
  </si>
  <si>
    <t>Cherry MX Switch</t>
  </si>
  <si>
    <t>COM-11621</t>
  </si>
  <si>
    <t>https://www.sparkfun.com/products/11621</t>
  </si>
  <si>
    <t>https://cdn.sparkfun.com/r/92-92/assets/parts/7/6/5/5/11621-01.jpg</t>
  </si>
  <si>
    <t>Slide Pot - Medium (10k Linear Taper)</t>
  </si>
  <si>
    <t>COM-10982</t>
  </si>
  <si>
    <t>https://www.sparkfun.com/products/10982</t>
  </si>
  <si>
    <t>https://cdn.sparkfun.com/r/92-92/assets/parts/6/2/1/9/10982-01a.jpg</t>
  </si>
  <si>
    <t>Rotary Encoder - Illuminated (RGB)</t>
  </si>
  <si>
    <t>COM-09426</t>
  </si>
  <si>
    <t>https://www.sparkfun.com/products/9426</t>
  </si>
  <si>
    <t>https://cdn.sparkfun.com/r/92-92/assets/parts/3/0/7/2/09426-01.jpg</t>
  </si>
  <si>
    <t>Thumb Slide Joystick</t>
  </si>
  <si>
    <t>COM-10063</t>
  </si>
  <si>
    <t>https://www.sparkfun.com/products/10063</t>
  </si>
  <si>
    <t>https://cdn.sparkfun.com/r/92-92/assets/parts/4/3/3/7/10063-01.jpg</t>
  </si>
  <si>
    <t>5-way Tactile Switch</t>
  </si>
  <si>
    <t>COM-09120</t>
  </si>
  <si>
    <t>https://www.sparkfun.com/products/9120</t>
  </si>
  <si>
    <t>https://cdn.sparkfun.com/r/92-92/assets/parts/2/5/2/5/09120-03-L.jpg</t>
  </si>
  <si>
    <t>Slide Potentiometer Knob</t>
  </si>
  <si>
    <t>COM-11620</t>
  </si>
  <si>
    <t>https://www.sparkfun.com/products/11620</t>
  </si>
  <si>
    <t>https://cdn.sparkfun.com/r/92-92/assets/parts/7/6/5/4/11620-01.jpg</t>
  </si>
  <si>
    <t>Slide Pot - Small (10k Linear Taper)</t>
  </si>
  <si>
    <t>COM-10596</t>
  </si>
  <si>
    <t>https://www.sparkfun.com/products/10596</t>
  </si>
  <si>
    <t>https://cdn.sparkfun.com/r/92-92/assets/parts/5/2/3/9/10596-01.jpg</t>
  </si>
  <si>
    <t>Rotary Encoder - Illuminated (Red/Green)</t>
  </si>
  <si>
    <t>COM-10441</t>
  </si>
  <si>
    <t>https://www.sparkfun.com/products/10441</t>
  </si>
  <si>
    <t>https://cdn.sparkfun.com/r/92-92/assets/parts/4/9/2/9/10441-01b.jpg</t>
  </si>
  <si>
    <t>LED Tactile Button - Orange</t>
  </si>
  <si>
    <t>COM-10439</t>
  </si>
  <si>
    <t>https://www.sparkfun.com/products/10439</t>
  </si>
  <si>
    <t>https://cdn.sparkfun.com/r/92-92/assets/parts/4/9/2/7/10439-01.jpg</t>
  </si>
  <si>
    <t>LED Tactile Button- White</t>
  </si>
  <si>
    <t>BOB-09966</t>
  </si>
  <si>
    <t>https://www.sparkfun.com/products/9966</t>
  </si>
  <si>
    <t>https://cdn.sparkfun.com/r/92-92/assets/parts/4/0/9/9/09966-01.jpg</t>
  </si>
  <si>
    <t>SparkFun USB Mini-B Breakout</t>
  </si>
  <si>
    <t>BOB-12035</t>
  </si>
  <si>
    <t>https://www.sparkfun.com/products/12035</t>
  </si>
  <si>
    <t>https://cdn.sparkfun.com/r/92-92/assets/parts/8/5/7/8/12035-01.jpg</t>
  </si>
  <si>
    <t>SparkFun microB USB Breakout</t>
  </si>
  <si>
    <t>BOB-10031</t>
  </si>
  <si>
    <t>https://www.sparkfun.com/products/10031</t>
  </si>
  <si>
    <t>https://cdn.sparkfun.com/r/92-92/assets/parts/4/2/1/8/10031-01a.jpg</t>
  </si>
  <si>
    <t>SparkFun USB MicroB Plug Breakout</t>
  </si>
  <si>
    <t>COM-11408</t>
  </si>
  <si>
    <t>https://www.sparkfun.com/products/11408</t>
  </si>
  <si>
    <t>https://cdn.sparkfun.com/r/92-92/assets/parts/7/1/9/9/11408-03.jpg</t>
  </si>
  <si>
    <t>7-Segment Display - 20mm (Blue)</t>
  </si>
  <si>
    <t>BOB-11722</t>
  </si>
  <si>
    <t>https://www.sparkfun.com/products/11722</t>
  </si>
  <si>
    <t>https://cdn.sparkfun.com/r/92-92/assets/parts/7/9/3/3/11722-03.jpg</t>
  </si>
  <si>
    <t>SparkFun Rotary Encoder Breakout - Illuminated (RG/RGB)</t>
  </si>
  <si>
    <r>
      <t>Onion Omega2</t>
    </r>
    <r>
      <rPr>
        <vertAlign val="superscript"/>
        <sz val="11"/>
        <color rgb="FF00B0F0"/>
        <rFont val="Calibri"/>
        <family val="2"/>
        <scheme val="minor"/>
      </rPr>
      <t>+</t>
    </r>
    <r>
      <rPr>
        <sz val="11"/>
        <color rgb="FF00B0F0"/>
        <rFont val="Calibri"/>
        <family val="2"/>
        <scheme val="minor"/>
      </rPr>
      <t xml:space="preserve"> + Arduino Base Station</t>
    </r>
  </si>
  <si>
    <r>
      <t>Onion Omega2</t>
    </r>
    <r>
      <rPr>
        <vertAlign val="superscript"/>
        <sz val="11"/>
        <color rgb="FF00B0F0"/>
        <rFont val="Calibri"/>
        <family val="2"/>
        <scheme val="minor"/>
      </rPr>
      <t>+</t>
    </r>
    <r>
      <rPr>
        <sz val="11"/>
        <color rgb="FF00B0F0"/>
        <rFont val="Calibri"/>
        <family val="2"/>
        <scheme val="minor"/>
      </rPr>
      <t xml:space="preserve"> Handheld</t>
    </r>
  </si>
  <si>
    <t>DEV-14082</t>
  </si>
  <si>
    <t>https://www.sparkfun.com/products/14082</t>
  </si>
  <si>
    <t>https://cdn.sparkfun.com/r/92-92/assets/parts/1/1/9/4/5/14082-01.jpg</t>
  </si>
  <si>
    <t>STEMTera (Black)</t>
  </si>
  <si>
    <t>DEV-11814</t>
  </si>
  <si>
    <t>https://www.sparkfun.com/products/11814</t>
  </si>
  <si>
    <t>https://cdn.sparkfun.com/r/92-92/assets/parts/8/1/4/6/11814-01.jpg</t>
  </si>
  <si>
    <t>USB-to-Serial Bridge - ÂµUSB-PA5</t>
  </si>
  <si>
    <t>LCD-11677</t>
  </si>
  <si>
    <t>https://www.sparkfun.com/products/11677</t>
  </si>
  <si>
    <t>https://cdn.sparkfun.com/r/92-92/assets/parts/7/7/7/7/11677-01.jpg</t>
  </si>
  <si>
    <t>Serial TFT LCD - 3.2\" with Touchscreen (uLCD-32PTU-GFX)</t>
  </si>
  <si>
    <t>PRT-08598</t>
  </si>
  <si>
    <t>https://www.sparkfun.com/products/8598</t>
  </si>
  <si>
    <t>https://cdn.sparkfun.com/r/92-92/assets/parts/1/6/3/9/08598-03-L.jpg</t>
  </si>
  <si>
    <t>Jumper Wire - JST to Molex</t>
  </si>
  <si>
    <t>PRT-09918</t>
  </si>
  <si>
    <t>https://www.sparkfun.com/products/9918</t>
  </si>
  <si>
    <t>https://cdn.sparkfun.com/r/92-92/assets/parts/4/0/2/4/09918-01.jpg</t>
  </si>
  <si>
    <t>Molex Jumper 2 Wire Assembly</t>
  </si>
  <si>
    <t>PRT-08612</t>
  </si>
  <si>
    <t>https://www.sparkfun.com/products/8612</t>
  </si>
  <si>
    <t>https://cdn.sparkfun.com/r/92-92/assets/parts/1/6/9/6/08612-04-L.jpg</t>
  </si>
  <si>
    <t>JST Right Angle Connector - White</t>
  </si>
  <si>
    <t>PRT-08613</t>
  </si>
  <si>
    <t>https://www.sparkfun.com/products/8613</t>
  </si>
  <si>
    <t>https://cdn.sparkfun.com/r/92-92/assets/parts/1/6/9/7/08613-04-L.jpg</t>
  </si>
  <si>
    <t>JST Vertical Connector</t>
  </si>
  <si>
    <t>PRT-09922</t>
  </si>
  <si>
    <t>https://www.sparkfun.com/products/9922</t>
  </si>
  <si>
    <t>https://cdn.sparkfun.com/r/92-92/assets/parts/4/0/2/8/09922-01.jpg</t>
  </si>
  <si>
    <t>Molex Jumper 6 Wire Assembly</t>
  </si>
  <si>
    <t>DEV-07914</t>
  </si>
  <si>
    <t>https://www.sparkfun.com/products/7914</t>
  </si>
  <si>
    <t>https://cdn.sparkfun.com/r/92-92/assets/parts/5/6/3/07914-001.jpg</t>
  </si>
  <si>
    <t>SparkFun ProtoShield Kit</t>
  </si>
  <si>
    <t>PRT-12790</t>
  </si>
  <si>
    <t>https://www.sparkfun.com/products/12790</t>
  </si>
  <si>
    <t>https://cdn.sparkfun.com/r/92-92/assets/parts/9/6/0/8/12790-01.jpg</t>
  </si>
  <si>
    <t>Stackable Header - 2x23 Pin Female</t>
  </si>
  <si>
    <t>TOL-09442</t>
  </si>
  <si>
    <t>https://www.sparkfun.com/products/9442</t>
  </si>
  <si>
    <t>https://cdn.sparkfun.com/r/92-92/assets/parts/3/1/2/4/09442-01.jpg</t>
  </si>
  <si>
    <t>Wall Adapter Power Supply - 12VDC 600mA</t>
  </si>
  <si>
    <t>LCD-11741</t>
  </si>
  <si>
    <t>https://www.sparkfun.com/products/11741</t>
  </si>
  <si>
    <t>https://cdn.sparkfun.com/r/92-92/assets/parts/7/9/6/3/11741-01a.jpg</t>
  </si>
  <si>
    <t>Arduino Display Module - 3.2\" Touchscreen LCD</t>
  </si>
  <si>
    <t>SPX-14269</t>
  </si>
  <si>
    <t>https://www.sparkfun.com/products/14269</t>
  </si>
  <si>
    <t>https://cdn.sparkfun.com/r/92-92/assets/parts/1/2/2/2/4/Qwiic_Micro_OLED_04.jpg</t>
  </si>
  <si>
    <t>Qwiic Micro OLED</t>
  </si>
  <si>
    <t>PRT-12791</t>
  </si>
  <si>
    <t>https://www.sparkfun.com/products/12791</t>
  </si>
  <si>
    <t>https://cdn.sparkfun.com/r/92-92/assets/parts/9/6/0/9/12791-01.jpg</t>
  </si>
  <si>
    <t>Header - 2x23-pin Male (PTH, 0.1\")</t>
  </si>
  <si>
    <t>DEV-11649</t>
  </si>
  <si>
    <t>https://www.sparkfun.com/products/11649</t>
  </si>
  <si>
    <t>https://cdn.sparkfun.com/r/92-92/assets/parts/7/7/2/8/11649-Built_Up.jpg</t>
  </si>
  <si>
    <t>SparkFun Danger Shield</t>
  </si>
  <si>
    <t>COM-11477</t>
  </si>
  <si>
    <t>https://www.sparkfun.com/products/11477</t>
  </si>
  <si>
    <t>https://cdn.sparkfun.com/r/92-92/assets/parts/7/3/6/4/11477-03.jpg</t>
  </si>
  <si>
    <t>Lamp Switch - SPST (inline)</t>
  </si>
  <si>
    <t>PRT-10361</t>
  </si>
  <si>
    <t>https://www.sparkfun.com/products/10361</t>
  </si>
  <si>
    <t>https://cdn.sparkfun.com/r/92-92/assets/parts/4/8/1/3/10361-01.jpg</t>
  </si>
  <si>
    <t>JST SH Jumper 6 Wire Assembly - 8\"</t>
  </si>
  <si>
    <t>SPX-14324</t>
  </si>
  <si>
    <t>https://www.sparkfun.com/products/14324</t>
  </si>
  <si>
    <t>https://cdn.sparkfun.com/r/92-92/assets/parts/1/2/2/9/0/Qwiic_Connector_SMD-White-2.jpg</t>
  </si>
  <si>
    <t>Qwiic Connector SMD - White 10 Pcs</t>
  </si>
  <si>
    <t>GPS-00574</t>
  </si>
  <si>
    <t>https://www.sparkfun.com/products/574</t>
  </si>
  <si>
    <t>https://cdn.sparkfun.com/r/92-92/assets/parts/3/9/3/GPS-Cable.jpg</t>
  </si>
  <si>
    <t>JST SH Jumper 6 Wire  - 1.75\"</t>
  </si>
  <si>
    <t>GPS-09123</t>
  </si>
  <si>
    <t>https://www.sparkfun.com/products/9123</t>
  </si>
  <si>
    <t>https://cdn.sparkfun.com/r/92-92/assets/parts/2/5/3/7/09123-03-L.jpg</t>
  </si>
  <si>
    <t>JST SH Jumper 6 Wire  - 1 Foot</t>
  </si>
  <si>
    <t>PRT-10359</t>
  </si>
  <si>
    <t>https://www.sparkfun.com/products/10359</t>
  </si>
  <si>
    <t>https://cdn.sparkfun.com/r/92-92/assets/parts/4/8/1/1/10359-01.jpg</t>
  </si>
  <si>
    <t>JST SH Jumper 4 Wire Assembly - 8\"</t>
  </si>
  <si>
    <t>PRT-14429</t>
  </si>
  <si>
    <t>https://www.sparkfun.com/products/14429</t>
  </si>
  <si>
    <t>https://cdn.sparkfun.com/r/92-92/assets/parts/1/2/4/5/5/14429-01.jpg</t>
  </si>
  <si>
    <t>Qwiic Cable - 500mm</t>
  </si>
  <si>
    <t>SPX-14289</t>
  </si>
  <si>
    <t>https://www.sparkfun.com/products/14289</t>
  </si>
  <si>
    <t>https://cdn.sparkfun.com/r/92-92/assets/parts/1/2/2/4/8/Qwiic-AK9750-3.jpg</t>
  </si>
  <si>
    <t>Qwiic Human Presence Sensor - AK9750</t>
  </si>
  <si>
    <t>DEV-13712</t>
  </si>
  <si>
    <t>https://www.sparkfun.com/products/13712</t>
  </si>
  <si>
    <t>https://cdn.sparkfun.com/r/92-92/assets/parts/1/1/2/0/2/13712-01a.jpg</t>
  </si>
  <si>
    <t>SparkFun OpenLog</t>
  </si>
  <si>
    <t>COM-09119</t>
  </si>
  <si>
    <t>https://www.sparkfun.com/products/9119</t>
  </si>
  <si>
    <t>https://cdn.sparkfun.com/r/92-92/assets/parts/2/5/2/4/09119-01a.jpg</t>
  </si>
  <si>
    <t>Slide Pot - X-Large (10k Linear Taper)</t>
  </si>
  <si>
    <t>PRT-12070</t>
  </si>
  <si>
    <t>https://www.sparkfun.com/products/12070</t>
  </si>
  <si>
    <t>https://cdn.sparkfun.com/r/92-92/assets/parts/8/6/7/7/12070-01.jpg</t>
  </si>
  <si>
    <t>SparkFun Solder-able Breadboard</t>
  </si>
  <si>
    <t>PRT-07937</t>
  </si>
  <si>
    <t>https://www.sparkfun.com/products/7937</t>
  </si>
  <si>
    <t>https://cdn.sparkfun.com/r/92-92/assets/parts/2/2/4/DIP-8.jpg</t>
  </si>
  <si>
    <t>DIP Sockets Solder Tail - 8-Pin</t>
  </si>
  <si>
    <t>PRT-12702</t>
  </si>
  <si>
    <t>https://www.sparkfun.com/products/12702</t>
  </si>
  <si>
    <t>https://cdn.sparkfun.com/r/92-92/assets/parts/9/4/4/3/12702-01.jpg</t>
  </si>
  <si>
    <t>SparkFun Solder-able Breadboard - Mini</t>
  </si>
  <si>
    <t>BOB-12758</t>
  </si>
  <si>
    <t>https://www.sparkfun.com/products/12758</t>
  </si>
  <si>
    <t>https://cdn.sparkfun.com/r/92-92/assets/parts/9/5/2/0/12758-02.jpg</t>
  </si>
  <si>
    <t>SparkFun Electret Microphone Breakout</t>
  </si>
  <si>
    <t>PRT-09750</t>
  </si>
  <si>
    <t>https://www.sparkfun.com/products/9750</t>
  </si>
  <si>
    <t>https://cdn.sparkfun.com/r/92-92/assets/parts/3/7/1/0/09750-01.jpg</t>
  </si>
  <si>
    <t>JST Right Angle Connector - Through-Hole 3-Pin</t>
  </si>
  <si>
    <t>PRT-12978</t>
  </si>
  <si>
    <t>https://www.sparkfun.com/products/12978</t>
  </si>
  <si>
    <t>https://cdn.sparkfun.com/r/92-92/assets/parts/9/9/1/9/12978-01.jpg</t>
  </si>
  <si>
    <t>Alligator Test Leads - Multicolored (10 Pack)</t>
  </si>
  <si>
    <t>CAB-00509</t>
  </si>
  <si>
    <t>https://www.sparkfun.com/products/509</t>
  </si>
  <si>
    <t>https://cdn.sparkfun.com/r/92-92/assets/parts/3/4/9/00509-1.jpg</t>
  </si>
  <si>
    <t>Banana to Alligator Cable</t>
  </si>
  <si>
    <t>CAB-00506</t>
  </si>
  <si>
    <t>https://www.sparkfun.com/products/506</t>
  </si>
  <si>
    <t>https://cdn.sparkfun.com/r/92-92/assets/parts/3/4/6/00506-02-L.jpg</t>
  </si>
  <si>
    <t>Banana to IC Hook Cables</t>
  </si>
  <si>
    <t>CAB-09486</t>
  </si>
  <si>
    <t>https://www.sparkfun.com/products/9486</t>
  </si>
  <si>
    <t>https://cdn.sparkfun.com/r/92-92/assets/parts/3/2/1/7/09486-01.jpg</t>
  </si>
  <si>
    <t>BNC Probe Kit</t>
  </si>
  <si>
    <t>CAB-00508</t>
  </si>
  <si>
    <t>https://www.sparkfun.com/products/508</t>
  </si>
  <si>
    <t>https://cdn.sparkfun.com/r/92-92/assets/parts/3/4/8/00508-02-L.jpg</t>
  </si>
  <si>
    <t>Banana to Alligator Coax Cable</t>
  </si>
  <si>
    <t>TOL-10829</t>
  </si>
  <si>
    <t>https://www.sparkfun.com/products/10829</t>
  </si>
  <si>
    <t>https://cdn.sparkfun.com/r/92-92/assets/parts/5/8/3/0/10829-01.jpg</t>
  </si>
  <si>
    <t>Smart SMD Tester</t>
  </si>
  <si>
    <t>Jumper Wires, Molex</t>
  </si>
  <si>
    <t>Connectors, JST</t>
  </si>
  <si>
    <t>Connectors, Ribbon Crimp</t>
  </si>
  <si>
    <t>Connectors, Polarized (Molex)</t>
  </si>
  <si>
    <t>Connectors, USB</t>
  </si>
  <si>
    <t>Connectors, Spring/Screw Terminals</t>
  </si>
  <si>
    <t>Connectors/Sockets/Terminals, Other</t>
  </si>
  <si>
    <t>Flip-Pins</t>
  </si>
  <si>
    <t>Headers, Male</t>
  </si>
  <si>
    <t>Headers, Female</t>
  </si>
  <si>
    <t>Headers, Stackable</t>
  </si>
  <si>
    <t>Plugs/Jacks/Adapters, Audio</t>
  </si>
  <si>
    <t>Plugs/Jacks/Adapters, Barrel Jack</t>
  </si>
  <si>
    <t>Data &amp; Signal Logging/Monitoring</t>
  </si>
  <si>
    <t>Vendors</t>
  </si>
  <si>
    <t>Adafruit</t>
  </si>
  <si>
    <t>Seeed Studio</t>
  </si>
  <si>
    <t>DFRobot</t>
  </si>
  <si>
    <t>Arduino</t>
  </si>
  <si>
    <t>RobotShop</t>
  </si>
  <si>
    <t>LynxMotion</t>
  </si>
  <si>
    <t>MCPros</t>
  </si>
  <si>
    <t>Digi-Key</t>
  </si>
  <si>
    <t>Mouser</t>
  </si>
  <si>
    <t>Out of Stock</t>
  </si>
  <si>
    <t>Single Unit Purchase Item</t>
  </si>
  <si>
    <t>Standard Item</t>
  </si>
  <si>
    <t>A</t>
  </si>
  <si>
    <t>B</t>
  </si>
  <si>
    <t>C</t>
  </si>
  <si>
    <t>D</t>
  </si>
  <si>
    <t>E</t>
  </si>
  <si>
    <t>Key :</t>
  </si>
  <si>
    <t>Row Formatting</t>
  </si>
  <si>
    <t>Format Shortcut Tag</t>
  </si>
  <si>
    <t>Tag</t>
  </si>
  <si>
    <t>Per Customer QTY Restriction</t>
  </si>
  <si>
    <t>Format Encoded Info Definitions</t>
  </si>
  <si>
    <r>
      <t xml:space="preserve">Qty = </t>
    </r>
    <r>
      <rPr>
        <b/>
        <sz val="11"/>
        <color theme="0"/>
        <rFont val="Calibri"/>
        <family val="2"/>
      </rPr>
      <t>ƒ(</t>
    </r>
    <r>
      <rPr>
        <b/>
        <sz val="11"/>
        <color theme="0"/>
        <rFont val="Calibri"/>
        <family val="2"/>
        <scheme val="minor"/>
      </rPr>
      <t># Walker Units)</t>
    </r>
  </si>
  <si>
    <t>MAX(Qty.) = 1</t>
  </si>
  <si>
    <t>Qty = 0</t>
  </si>
  <si>
    <t>uSD</t>
  </si>
  <si>
    <t>Pri mary</t>
  </si>
  <si>
    <t>Secondary</t>
  </si>
  <si>
    <t>USB</t>
  </si>
  <si>
    <t>BarrelJack</t>
  </si>
  <si>
    <t>LiPO Battery</t>
  </si>
  <si>
    <t>Column5</t>
  </si>
  <si>
    <t>Column6</t>
  </si>
  <si>
    <t>Column7</t>
  </si>
  <si>
    <t>Column8</t>
  </si>
  <si>
    <t>Column9</t>
  </si>
  <si>
    <t>Column10</t>
  </si>
  <si>
    <t>Column11</t>
  </si>
  <si>
    <t>Column12</t>
  </si>
  <si>
    <t>Column13</t>
  </si>
  <si>
    <t>Column14</t>
  </si>
  <si>
    <t>Column15</t>
  </si>
  <si>
    <t>Column16</t>
  </si>
  <si>
    <t>Column17</t>
  </si>
  <si>
    <t>3.3V/5V</t>
  </si>
  <si>
    <t>OUT</t>
  </si>
  <si>
    <t>Qty</t>
  </si>
  <si>
    <t>CHG</t>
  </si>
  <si>
    <t>Value=Breadboard/Protoboard</t>
  </si>
  <si>
    <t>Value=Buttons/Switches/Knobs</t>
  </si>
  <si>
    <t>Value=Connectors, JST</t>
  </si>
  <si>
    <t>Value=Connectors, Polarized (Molex)</t>
  </si>
  <si>
    <t>Value=Connectors, Ribbon Crimp</t>
  </si>
  <si>
    <t>Value=Connectors, Spring/Screw Terminals</t>
  </si>
  <si>
    <t>Value=Connectors, USB</t>
  </si>
  <si>
    <t>Value=Connectors/Sockets/Terminals, Other</t>
  </si>
  <si>
    <t>Value=DIP/TO-#/SMD Components</t>
  </si>
  <si>
    <t>Value=Enclosures/Mounts</t>
  </si>
  <si>
    <t>Value=Flip-Pins</t>
  </si>
  <si>
    <t>Value=Hardware Components/Accessories</t>
  </si>
  <si>
    <t>Value=Headers, Female</t>
  </si>
  <si>
    <t>Value=Headers, Male</t>
  </si>
  <si>
    <t>Value=Headers, Stackable</t>
  </si>
  <si>
    <t>Value=Heat Insulation/Dissipation</t>
  </si>
  <si>
    <t>Value=Jumper Wires, JST</t>
  </si>
  <si>
    <t>Value=Jumper Wires, Mixed</t>
  </si>
  <si>
    <t>Value=Jumper Wires, Molex</t>
  </si>
  <si>
    <t>Value=Jumper Wires, PTH</t>
  </si>
  <si>
    <t>Value=Passive Components</t>
  </si>
  <si>
    <t>Value=Plugs/Jacks/Adapters, Audio</t>
  </si>
  <si>
    <t>Value=Plugs/Jacks/Adapters, Barrel Jack</t>
  </si>
  <si>
    <t>Value=Ribbon Cables</t>
  </si>
  <si>
    <t>Value=Solid/Stranded Hookup Wire</t>
  </si>
  <si>
    <t>Value=Standoffs/Screws</t>
  </si>
  <si>
    <t>Value=Trace/Shielding Construction</t>
  </si>
  <si>
    <t>Value=Audible Notification/Queuing</t>
  </si>
  <si>
    <t>Value=AVR/ISP Programmer Adapters/Cables</t>
  </si>
  <si>
    <t>Value=BeagleBone Black Iot/Base Station</t>
  </si>
  <si>
    <t>Value=Bluetooth</t>
  </si>
  <si>
    <t>Value=Communication/Power Cables</t>
  </si>
  <si>
    <t>Value=Data &amp; Signal Logging/Monitoring</t>
  </si>
  <si>
    <t>Value=Energy Harvesting</t>
  </si>
  <si>
    <t>Value=GPS Logging/Fencing</t>
  </si>
  <si>
    <t>Value=Hand Tools</t>
  </si>
  <si>
    <t>Value=High-Precision Compass</t>
  </si>
  <si>
    <t>Value=Intel Edison Iot/Base Station</t>
  </si>
  <si>
    <t>Value=Interface/Level/Logic Conversion</t>
  </si>
  <si>
    <t>Value=Lidar</t>
  </si>
  <si>
    <t>Value=Linux + Arduino Home Base Station</t>
  </si>
  <si>
    <t>Value=mBed Platform Base Station</t>
  </si>
  <si>
    <t>Value=MCU/Development Board</t>
  </si>
  <si>
    <t>Value=MicroView Watch/Relay</t>
  </si>
  <si>
    <t>Value=Movement/IMU</t>
  </si>
  <si>
    <t>Value=Onion Omega2+ + Arduino Base Station</t>
  </si>
  <si>
    <t>Value=Onion Omega2+ Handheld</t>
  </si>
  <si>
    <t>Value=PCB/Breadboard Work Tools</t>
  </si>
  <si>
    <t>Value=Phone/Computer App Companion</t>
  </si>
  <si>
    <t>Value=Power Supply</t>
  </si>
  <si>
    <t>Value=Proximity/Distance</t>
  </si>
  <si>
    <t>Value=QWIIC System/Components</t>
  </si>
  <si>
    <t>Value=Realtek Ameba Handheld</t>
  </si>
  <si>
    <t>Value=Signal Multiplexing/Conditioning</t>
  </si>
  <si>
    <t>Value=Solder/SMD Rework Tools</t>
  </si>
  <si>
    <t>Value=Storage/Organization</t>
  </si>
  <si>
    <t>Value=Touch/Vibration</t>
  </si>
  <si>
    <t>Value=Touchscreen</t>
  </si>
  <si>
    <t>Value=USB/Serial Interface Breakouts</t>
  </si>
  <si>
    <t>Value=Visual Notification/Queuing</t>
  </si>
  <si>
    <t>Value=Vitals/Environment Sensing</t>
  </si>
  <si>
    <t>Value=Vitals/Health Status Sensing</t>
  </si>
  <si>
    <t>Value=Voice Recognition</t>
  </si>
  <si>
    <t>Value=Wall/Breadboard Power Supply</t>
  </si>
  <si>
    <t>Value=WiFi</t>
  </si>
  <si>
    <t>Equipment Type</t>
  </si>
  <si>
    <t>PogoPins</t>
  </si>
  <si>
    <t>Wireless Charging</t>
  </si>
  <si>
    <t>Ribbon/IDC Cables</t>
  </si>
  <si>
    <t>Jumper Wires, DIY</t>
  </si>
  <si>
    <t>Plastics Fabrication</t>
  </si>
  <si>
    <t>Connectors, IDC</t>
  </si>
  <si>
    <t>User Interface, Touchscreen</t>
  </si>
  <si>
    <t>User Interface, Keypad</t>
  </si>
  <si>
    <t>LED Indicators/Lighting</t>
  </si>
  <si>
    <t>User Interface, IO</t>
  </si>
  <si>
    <t>Signal Manipulation, Mux/ADC/DAC/Conditioning</t>
  </si>
  <si>
    <t>Rotary Potentiometers/Encoders/Switches</t>
  </si>
  <si>
    <t>Power Supply, Breadboard</t>
  </si>
  <si>
    <t>Power Supply, Control/Switch</t>
  </si>
  <si>
    <t>Power Supply, USB Cables</t>
  </si>
  <si>
    <t>Power Supply, DIY Cables</t>
  </si>
  <si>
    <t>Power Supply, Barrel Jack Wall Wart</t>
  </si>
  <si>
    <t>Power Supply, LiPO Battery Supply/Management</t>
  </si>
  <si>
    <t>USB Cables/Adapters</t>
  </si>
  <si>
    <t>Power Supply, Barrel Jack Cables/Adapters</t>
  </si>
  <si>
    <t>Power Supply, Barrel Jack Plugs/Terminations</t>
  </si>
  <si>
    <t>Power Supply, USB Wall Wart</t>
  </si>
  <si>
    <t>+</t>
  </si>
  <si>
    <t>-</t>
  </si>
  <si>
    <t>Group</t>
  </si>
  <si>
    <t>Power Supply, Breadboard Connectors</t>
  </si>
  <si>
    <t>IoT Network Components</t>
  </si>
  <si>
    <t>User Input &amp; Control</t>
  </si>
  <si>
    <t>Power Supply, Supplemental</t>
  </si>
  <si>
    <t>Base Functionality</t>
  </si>
  <si>
    <t>Supplemental Functionality</t>
  </si>
  <si>
    <t>DIY Components</t>
  </si>
  <si>
    <t>Protection</t>
  </si>
  <si>
    <t>Breadboard Connections</t>
  </si>
  <si>
    <t>Design Dependent</t>
  </si>
  <si>
    <t>Power Supply, Wall Warts/LiPO</t>
  </si>
  <si>
    <t>Construction Materials</t>
  </si>
  <si>
    <t>Construction Tools</t>
  </si>
  <si>
    <t>Breadboard Components</t>
  </si>
  <si>
    <t>Jumper Wires/Cables</t>
  </si>
  <si>
    <t>Power Supply, USB + Barrel Jack</t>
  </si>
  <si>
    <t>GSM/Cellular Communication</t>
  </si>
  <si>
    <t>Location/Movement Info</t>
  </si>
  <si>
    <t>Verbal Communication</t>
  </si>
  <si>
    <t>Slim Sticker-type GSM/Cellular Quad-Band Antenna - 3dBi uFL</t>
  </si>
  <si>
    <t>1991</t>
  </si>
  <si>
    <t>GSM 2G SIM Card from Ting &amp; Adafruit - Data/Voice/Text USA Only</t>
  </si>
  <si>
    <t>2505</t>
  </si>
  <si>
    <t>Adafruit FONA 800 Shield - Voice/Data Cellular GSM for Arduino</t>
  </si>
  <si>
    <t>2468</t>
  </si>
  <si>
    <t>Standard LCD 20x4 + extras - white on blue</t>
  </si>
  <si>
    <t>198</t>
  </si>
  <si>
    <t>Tiny Modular Snap Boxes - SMD component storage - 10 pack - White</t>
  </si>
  <si>
    <t>431</t>
  </si>
  <si>
    <t>Pogo Pin Probe Clip</t>
  </si>
  <si>
    <t>1969</t>
  </si>
  <si>
    <t>Small Modular Snap Boxes - SMD component storage - 3 pack - Green</t>
  </si>
  <si>
    <t>432</t>
  </si>
  <si>
    <t>Tiny Modular Snap Boxes - SMD component storage - 10 pack - Blue</t>
  </si>
  <si>
    <t>427</t>
  </si>
  <si>
    <t>Medium Modular Snap Boxes - SMD component storage - 2 pack - Pink</t>
  </si>
  <si>
    <t>433</t>
  </si>
  <si>
    <t>Latching 5-Compartment Storage Box</t>
  </si>
  <si>
    <t>2938</t>
  </si>
  <si>
    <t>Waterproof DC Power Cable Set - 5.5/2.1mm</t>
  </si>
  <si>
    <t>743</t>
  </si>
  <si>
    <t>Extruded Aluminum Enclosure Box - 94mm x 83mm x 30mm</t>
  </si>
  <si>
    <t>2230</t>
  </si>
  <si>
    <t>Extruded Aluminum Enclosure Box - 100mm x 67mm x 26mm</t>
  </si>
  <si>
    <t>2229</t>
  </si>
  <si>
    <t>1272</t>
  </si>
  <si>
    <t>Adafruit Ultimate GPS Logger Shield - Includes GPS Module</t>
  </si>
  <si>
    <t>2090</t>
  </si>
  <si>
    <t>2.8" TFT LCD with Cap Touch Breakout Board w/MicroSD Socket</t>
  </si>
  <si>
    <t>1947</t>
  </si>
  <si>
    <t>2.8" TFT Touch Shield for Arduino w/Capacitive Touch</t>
  </si>
  <si>
    <t>2077</t>
  </si>
  <si>
    <t>Adafruit Proto Shield for Arduino Kit - Stackable Version R3</t>
  </si>
  <si>
    <t>443</t>
  </si>
  <si>
    <t>Large Solderless Breadboard</t>
  </si>
  <si>
    <t>192</t>
  </si>
  <si>
    <t>Mega protoshield for Arduino</t>
  </si>
  <si>
    <t>2017</t>
  </si>
  <si>
    <t>Mini Solderless Breadboard - 2x4 Points</t>
  </si>
  <si>
    <t>2018</t>
  </si>
  <si>
    <t>Mini Solderless Breadboard - 2x8 Points</t>
  </si>
  <si>
    <t>2463</t>
  </si>
  <si>
    <t>Mini Solderless Breadboard - 4x4 Points</t>
  </si>
  <si>
    <t>196</t>
  </si>
  <si>
    <t>Proto-Screwshield (Wingshield) R3 Kit for Arduino</t>
  </si>
  <si>
    <t>65</t>
  </si>
  <si>
    <t>Tiny breadboard</t>
  </si>
  <si>
    <t>550</t>
  </si>
  <si>
    <t xml:space="preserve">Little Rubber Bumper Feet - Pack of 4 </t>
  </si>
  <si>
    <t>977</t>
  </si>
  <si>
    <t xml:space="preserve">TO-220 Clip-On Heatsink </t>
  </si>
  <si>
    <t>2504</t>
  </si>
  <si>
    <t>Hand-Moldable Plastic - Low Temperature Thermoplastic - 100g Bag</t>
  </si>
  <si>
    <t>437</t>
  </si>
  <si>
    <t>Sugru - Black and White Pack</t>
  </si>
  <si>
    <t>3105</t>
  </si>
  <si>
    <t xml:space="preserve">Mini Illuminated Momentary Pushbutton - Blue Power Symbol </t>
  </si>
  <si>
    <t>3104</t>
  </si>
  <si>
    <t>Mini Illuminated Momentary Pushbutton - Red Power Symbol</t>
  </si>
  <si>
    <t>2047</t>
  </si>
  <si>
    <t xml:space="preserve">Potentiometer Knob - Soft Touch T18 - White </t>
  </si>
  <si>
    <t>2055</t>
  </si>
  <si>
    <t xml:space="preserve">Scrubber Knob for Rotary Encoder - 35mm </t>
  </si>
  <si>
    <t>2058</t>
  </si>
  <si>
    <t xml:space="preserve">Slim Metal Potentiometer Knob - 10mm Diameter x 10mm - T18 </t>
  </si>
  <si>
    <t>2056</t>
  </si>
  <si>
    <t xml:space="preserve">Solid Machined Metal Knob - 1" Diameter </t>
  </si>
  <si>
    <t>1119</t>
  </si>
  <si>
    <t xml:space="preserve">Tactile Switch Buttons (12mm square, 6mm tall) x 10 pack </t>
  </si>
  <si>
    <t>2103</t>
  </si>
  <si>
    <t xml:space="preserve">IDC Breakout Helper - 2x16 (32 pin) </t>
  </si>
  <si>
    <t>2270</t>
  </si>
  <si>
    <t>IDC Breakout Helper - 2x20 (40 pin)</t>
  </si>
  <si>
    <t>2102</t>
  </si>
  <si>
    <t>IDC Breakout Helper - 2x5 (10 pin)</t>
  </si>
  <si>
    <t>1862</t>
  </si>
  <si>
    <t xml:space="preserve">JST-PH 2-Pin SMT Right Angle Breakout Board </t>
  </si>
  <si>
    <t>1769</t>
  </si>
  <si>
    <t xml:space="preserve">JST-PH 2-Pin SMT Right Angle Connector </t>
  </si>
  <si>
    <t>1863</t>
  </si>
  <si>
    <t xml:space="preserve">Switched JST-PH 2-Pin SMT Right Angle Breakout Board </t>
  </si>
  <si>
    <t xml:space="preserve">Jumper Shunt with Handle (0.1" / 2.54mm) – 10 Pack </t>
  </si>
  <si>
    <t>1787</t>
  </si>
  <si>
    <t xml:space="preserve">74AHCT125 - Quad Level-Shifter (3V to 5V) - 74AHCT125 </t>
  </si>
  <si>
    <t>2975</t>
  </si>
  <si>
    <t>Adafruit Parts Pal</t>
  </si>
  <si>
    <t>935</t>
  </si>
  <si>
    <t xml:space="preserve">MCP4725 Breakout Board - 12-Bit DAC w/I2C Interface </t>
  </si>
  <si>
    <t>2823</t>
  </si>
  <si>
    <t xml:space="preserve">0.1" 2x20-pin Strip Right Angle Female Header </t>
  </si>
  <si>
    <t>1543</t>
  </si>
  <si>
    <t>0.1" 2x36-pin Strip Right-Angle Socket (Female) Header (5 pack)</t>
  </si>
  <si>
    <t>1544</t>
  </si>
  <si>
    <t>0.1" 2x36-pin Strip Straight Socket (Female) Header (5 pack)</t>
  </si>
  <si>
    <t>1542</t>
  </si>
  <si>
    <t>0.1" 36-pin Strip Right-Angle Female/Socket Header (5 pack)</t>
  </si>
  <si>
    <t>366</t>
  </si>
  <si>
    <t>2mm 10 pin Socket Headers (for XBee) - Pack of 2</t>
  </si>
  <si>
    <t>2672</t>
  </si>
  <si>
    <t>2mm Pitch 25-Pin Female Socket Headers - Pack of 5</t>
  </si>
  <si>
    <t>3342</t>
  </si>
  <si>
    <t xml:space="preserve">2x40 Right Angle Edge Connector for micro:bit </t>
  </si>
  <si>
    <t>598</t>
  </si>
  <si>
    <t>36-pin 0.1" Female header - pack of 5!</t>
  </si>
  <si>
    <t>3008</t>
  </si>
  <si>
    <t xml:space="preserve">36-pin 0.1" Short Female Header - Pack of 5 </t>
  </si>
  <si>
    <t>3366</t>
  </si>
  <si>
    <t>36-pin Stacking header - pack of 5!</t>
  </si>
  <si>
    <t>2886</t>
  </si>
  <si>
    <t xml:space="preserve">Feather Header Kit - 12-pin and 16-pin Female Header Set </t>
  </si>
  <si>
    <t>2671</t>
  </si>
  <si>
    <t>2mm Pitch 40-Pin Break-apart Male Headers - Pack of 5</t>
  </si>
  <si>
    <t>3009</t>
  </si>
  <si>
    <t xml:space="preserve">36-pin 0.1" Short Break-away Male Header - Pack of 10 </t>
  </si>
  <si>
    <t>2822</t>
  </si>
  <si>
    <t>Break-away 0.1" 2x20-pin Strip Dual Male Header</t>
  </si>
  <si>
    <t>1539</t>
  </si>
  <si>
    <t>Break-away 0.1" 2x36-pin strip dual male header (10 pieces)</t>
  </si>
  <si>
    <t>1541</t>
  </si>
  <si>
    <t xml:space="preserve">Break-away 0.1" 2x36-pin strip right-angle male header (5 pack) </t>
  </si>
  <si>
    <t>392</t>
  </si>
  <si>
    <t>Break-away 0.1" 36-pin strip male header (10 pieces)</t>
  </si>
  <si>
    <t>1540</t>
  </si>
  <si>
    <t xml:space="preserve">Break-away 0.1" 36-pin strip right-angle male header (10 pack) </t>
  </si>
  <si>
    <t>85</t>
  </si>
  <si>
    <t>Shield stacking headers for Arduino (R3 Compatible)</t>
  </si>
  <si>
    <t>3144</t>
  </si>
  <si>
    <t>Large Dual Row Wire Housing Pack for DIY Jumper Cables</t>
  </si>
  <si>
    <t>3146</t>
  </si>
  <si>
    <t>Large Single Row Housing Pack for DIY Jumper Cables</t>
  </si>
  <si>
    <t>3141</t>
  </si>
  <si>
    <t>Premium Female/Female Raw Custom Jumper Wires - 40 x 6" (150mm)</t>
  </si>
  <si>
    <t>3142</t>
  </si>
  <si>
    <t>Premium Male/Male Raw Jumper Wires - 40 x 6" (150mm)</t>
  </si>
  <si>
    <t>3143</t>
  </si>
  <si>
    <t>Small Dual Row Wire Housing Pack for DIY Jumper Cables</t>
  </si>
  <si>
    <t>3145</t>
  </si>
  <si>
    <t>Small Single Row Wire Housing Pack for DIY Jumper Cables</t>
  </si>
  <si>
    <t>578</t>
  </si>
  <si>
    <t xml:space="preserve">4-pin JST SM Plug + Receptacle Cable Set </t>
  </si>
  <si>
    <t>3064</t>
  </si>
  <si>
    <t xml:space="preserve">JST 2-pin Extension Cable with On/Off Switch - JST PH2 </t>
  </si>
  <si>
    <t>3568</t>
  </si>
  <si>
    <t>STEMMA Cable - 150mm/6" Long 4 Pin JST-PH Cable–Female/Female</t>
  </si>
  <si>
    <t>2911</t>
  </si>
  <si>
    <t xml:space="preserve">1/4" (6.35mm) Stereo Plug Terminal Block </t>
  </si>
  <si>
    <t>2791</t>
  </si>
  <si>
    <t xml:space="preserve">3.5mm (1/8") Stereo Audio Jack Terminal Block </t>
  </si>
  <si>
    <t>2790</t>
  </si>
  <si>
    <t xml:space="preserve">3.5mm (1/8") Stereo Audio Plug Terminal Block </t>
  </si>
  <si>
    <t>1699</t>
  </si>
  <si>
    <t xml:space="preserve">Breadboard-Friendly 3.5mm Stereo Headphone Jack </t>
  </si>
  <si>
    <t>373</t>
  </si>
  <si>
    <t xml:space="preserve">Breadboard-friendly 2.1mm DC barrel jack </t>
  </si>
  <si>
    <t>368</t>
  </si>
  <si>
    <t>Female DC Power adapter - 2.1mm jack to screw terminal block</t>
  </si>
  <si>
    <t>369</t>
  </si>
  <si>
    <t>Male DC Power adapter - 2.1mm plug to screw terminal block</t>
  </si>
  <si>
    <t>2429</t>
  </si>
  <si>
    <t xml:space="preserve">Pogo Pins "Crown Head" (10 pack) - P75-H2 </t>
  </si>
  <si>
    <t>2428</t>
  </si>
  <si>
    <t xml:space="preserve">Pogo Pins "Cupped Head" (10 pack) - P75-A2 </t>
  </si>
  <si>
    <t>2430</t>
  </si>
  <si>
    <t>Pogo Pins "Needle Head" (10 pack) - P75-B1</t>
  </si>
  <si>
    <t>394</t>
  </si>
  <si>
    <t xml:space="preserve">Pogo Pins "Spear Head" (10 pack) - P75-LM3 </t>
  </si>
  <si>
    <t>370</t>
  </si>
  <si>
    <t xml:space="preserve">10-pin Socket/Socket IDC cable - 6" </t>
  </si>
  <si>
    <t>2925</t>
  </si>
  <si>
    <t xml:space="preserve">Mini 8-Way Rotary Selector Switch - SP8T </t>
  </si>
  <si>
    <t>3392</t>
  </si>
  <si>
    <t xml:space="preserve">Panel Mount 10K Dual Linear Potentiometer - 10K Dual Linear </t>
  </si>
  <si>
    <t>3393</t>
  </si>
  <si>
    <t xml:space="preserve">Panel Mount 10K Dual Linear Potentiometer w/ On-Off Switch - 10K Dual Linear w/ Switch </t>
  </si>
  <si>
    <t>562</t>
  </si>
  <si>
    <t xml:space="preserve">Panel Mount 10K potentiometer (Breadboard Friendly) - 10K Linear </t>
  </si>
  <si>
    <t>1789</t>
  </si>
  <si>
    <t xml:space="preserve">Panel Mount 1K potentiometer (Breadboard Friendly) - 1K Linear </t>
  </si>
  <si>
    <t>3395</t>
  </si>
  <si>
    <t xml:space="preserve">Panel Mount Right Angle 10K Linear Potentiometer w/On-Off Switch - 10K Linear w/ Switch </t>
  </si>
  <si>
    <t>377</t>
  </si>
  <si>
    <t xml:space="preserve">Rotary Encoder + Extras </t>
  </si>
  <si>
    <t>94</t>
  </si>
  <si>
    <t xml:space="preserve">Adafruit Wave Shield for Arduino Kit - v1.1 </t>
  </si>
  <si>
    <t>3369</t>
  </si>
  <si>
    <t xml:space="preserve">Mini External USB Stereo Speaker </t>
  </si>
  <si>
    <t>3367</t>
  </si>
  <si>
    <t xml:space="preserve">Mini USB Microphone </t>
  </si>
  <si>
    <t>3351</t>
  </si>
  <si>
    <t xml:space="preserve">Mono Enclosed Speaker - 3W 4 Ohm </t>
  </si>
  <si>
    <t>1314</t>
  </si>
  <si>
    <t xml:space="preserve">Speaker - 3" Diameter - 4 Ohm 3 Watt </t>
  </si>
  <si>
    <t>1313</t>
  </si>
  <si>
    <t xml:space="preserve">Speaker - 3" Diameter - 8 Ohm 1 Watt </t>
  </si>
  <si>
    <t>1669</t>
  </si>
  <si>
    <t xml:space="preserve">Stereo Enclosed Speaker Set - 3W 4 Ohm </t>
  </si>
  <si>
    <t>1363</t>
  </si>
  <si>
    <t xml:space="preserve">USB Powered Speakers </t>
  </si>
  <si>
    <t>102</t>
  </si>
  <si>
    <t xml:space="preserve">4GB Blank SD/MicroSD Memory Card </t>
  </si>
  <si>
    <t>2693</t>
  </si>
  <si>
    <t xml:space="preserve">SD/MicroSD Memory Card - 16GB Class 10 - Adapter Included </t>
  </si>
  <si>
    <t>1294</t>
  </si>
  <si>
    <t xml:space="preserve">SD/MicroSD Memory Card (8 GB SDHC) </t>
  </si>
  <si>
    <t>327</t>
  </si>
  <si>
    <t>2.1mm female/male barrel jack extension cable - 1.5m / 5 ft</t>
  </si>
  <si>
    <t>411</t>
  </si>
  <si>
    <t>2.1mm to 1.7mm DC jack adapter</t>
  </si>
  <si>
    <t>2897</t>
  </si>
  <si>
    <t>2.1mm to 2.5mm DC Barrel Plug Adapter</t>
  </si>
  <si>
    <t>2788</t>
  </si>
  <si>
    <t>3.5 / 1.3mm or 3.8 / 1.1mm to 5.5 / 2.1mm DC Jack Adapter Cable</t>
  </si>
  <si>
    <t>1125</t>
  </si>
  <si>
    <t>In-line power switch for 2.1mm barrel jack</t>
  </si>
  <si>
    <t>276</t>
  </si>
  <si>
    <t>5V 2A (2000mA) switching power supply - UL Listed</t>
  </si>
  <si>
    <t>1448</t>
  </si>
  <si>
    <t>Compact Switching Power Supply - Selectable Output 3-12VDC</t>
  </si>
  <si>
    <t>184</t>
  </si>
  <si>
    <t>Adjustable breadboard power supply kit - v1.0</t>
  </si>
  <si>
    <t>1829</t>
  </si>
  <si>
    <t>USB DIY Connector - MicroB Female Plug</t>
  </si>
  <si>
    <t>1388</t>
  </si>
  <si>
    <t>USB DIY Connector Shell - Type A Socket</t>
  </si>
  <si>
    <t>1390</t>
  </si>
  <si>
    <t>USB DIY Connector Shell - Type Micro-B Plug</t>
  </si>
  <si>
    <t>1389</t>
  </si>
  <si>
    <t>USB DIY Connector Shell - Type Mini-B Plug</t>
  </si>
  <si>
    <t>1827</t>
  </si>
  <si>
    <t>USB DIY Slim Connector Shell - A-M Plug</t>
  </si>
  <si>
    <t>1826</t>
  </si>
  <si>
    <t>USB DIY Slim Connector Shell - MicroB Plug</t>
  </si>
  <si>
    <t>2727</t>
  </si>
  <si>
    <t>MicroUSB Plug to 5.5/2.1mm DC Barrel Jack Adapter</t>
  </si>
  <si>
    <t>988</t>
  </si>
  <si>
    <t>USB A Jack to 5.5/2.1mm jack adapter</t>
  </si>
  <si>
    <t>2778</t>
  </si>
  <si>
    <t>USB to 2.1mm DC Booster Cable - 12V</t>
  </si>
  <si>
    <t>2777</t>
  </si>
  <si>
    <t>USB to 2.1mm DC Booster Cable - 9V</t>
  </si>
  <si>
    <t>2697</t>
  </si>
  <si>
    <t>USB to 2.1mm Male Barrel Jack Cable - 22AWG &amp; 1 meter</t>
  </si>
  <si>
    <t>2789</t>
  </si>
  <si>
    <t>MicroUSB to 5.5/2.1mm DC Barrel Jack Adapter</t>
  </si>
  <si>
    <t>501</t>
  </si>
  <si>
    <t>5V 1A (1000mA) USB port power supply - UL Listed</t>
  </si>
  <si>
    <t>1994</t>
  </si>
  <si>
    <t>5V 2A Switching Power Supply w/ USB-A Connector</t>
  </si>
  <si>
    <t>3538</t>
  </si>
  <si>
    <t xml:space="preserve">Adafruit AMG8833 IR Thermal Camera Breakout </t>
  </si>
  <si>
    <t>3317</t>
  </si>
  <si>
    <t>Adafruit VL53L0X Time of Flight Distance Sensor - ~30 to 1000mm</t>
  </si>
  <si>
    <t>3316</t>
  </si>
  <si>
    <t>Adafruit VL6180X Time of Flight Distance Ranging Sensor (VL6180)</t>
  </si>
  <si>
    <t>1568</t>
  </si>
  <si>
    <t>IR Distance Sensor - Includes Cable (100cm-500cm) - GP2Y0A710K0F</t>
  </si>
  <si>
    <t>164</t>
  </si>
  <si>
    <t>IR distance sensor includes cable (10cm-80cm) - GP2Y0A21YK0F</t>
  </si>
  <si>
    <t>1031</t>
  </si>
  <si>
    <t>IR distance sensor includes cable (20cm-150cm) - GP2Y0A02YK</t>
  </si>
  <si>
    <t>1917</t>
  </si>
  <si>
    <t>DIY Sensor Film Kit - 4x6" Small Kit</t>
  </si>
  <si>
    <t>1071</t>
  </si>
  <si>
    <t xml:space="preserve">Extra-long force-sensitive resistor (FSR) - Interlink 408 </t>
  </si>
  <si>
    <t>1739</t>
  </si>
  <si>
    <t xml:space="preserve">Large Enclosed Piezo Element w/Wires </t>
  </si>
  <si>
    <t>1361</t>
  </si>
  <si>
    <t>Pressure-Sensitive Conductive Sheet (Velostat/Linqstat)</t>
  </si>
  <si>
    <t>1075</t>
  </si>
  <si>
    <t>Square Force-Sensitive Resistor (FSR) - Interlink 406</t>
  </si>
  <si>
    <t>1168</t>
  </si>
  <si>
    <t>Woven Conductive Fabric - 20cm square</t>
  </si>
  <si>
    <t>3330</t>
  </si>
  <si>
    <t xml:space="preserve">Liquid Crystal Light Valve - LCD Controllable Shutter Glass </t>
  </si>
  <si>
    <t>1621</t>
  </si>
  <si>
    <t xml:space="preserve">White LED Backlight Module - Large 45mm x 86mm </t>
  </si>
  <si>
    <t>1622</t>
  </si>
  <si>
    <t xml:space="preserve">White LED Backlight Module - Medium 23mm x 75mm </t>
  </si>
  <si>
    <t>1407</t>
  </si>
  <si>
    <t>Inductive Charging Set - 5V @ 500mA max</t>
  </si>
  <si>
    <t>2116</t>
  </si>
  <si>
    <t xml:space="preserve">Universal Qi Wireless Charging Module - 20mm Forward MicroUSB </t>
  </si>
  <si>
    <t>2162</t>
  </si>
  <si>
    <t xml:space="preserve">Universal Qi Wireless Charging Transmitter </t>
  </si>
  <si>
    <t>1901</t>
  </si>
  <si>
    <t>Universal Qi Wireless Receiver Module</t>
  </si>
  <si>
    <t>1895</t>
  </si>
  <si>
    <t xml:space="preserve">Adafruit I2C Non-Volatile FRAM Breakout - 256Kbit / 32KByte </t>
  </si>
  <si>
    <t>1897</t>
  </si>
  <si>
    <t xml:space="preserve">Adafruit SPI Non-Volatile FRAM Breakout - 64Kbit / 8KByte </t>
  </si>
  <si>
    <t>1085</t>
  </si>
  <si>
    <t xml:space="preserve">ADS1115 16-Bit ADC - 4 Channel with Programmable Gain Amplifier </t>
  </si>
  <si>
    <t>856</t>
  </si>
  <si>
    <t xml:space="preserve">MCP3008 - 8-Channel 10-Bit ADC With SPI Interface </t>
  </si>
  <si>
    <t>2717</t>
  </si>
  <si>
    <t xml:space="preserve">TCA9548A I2C Multiplexer </t>
  </si>
  <si>
    <t>2910</t>
  </si>
  <si>
    <t>Tiny OTG Adapter - USB Micro to USB</t>
  </si>
  <si>
    <t>1620</t>
  </si>
  <si>
    <t>USB Cable with Switch</t>
  </si>
  <si>
    <t>1099</t>
  </si>
  <si>
    <t>USB OTG Host Cable - MicroB OTG male to A female</t>
  </si>
  <si>
    <t>1332</t>
  </si>
  <si>
    <t xml:space="preserve">Membrane 1x4 Keypad + Extras </t>
  </si>
  <si>
    <t>419</t>
  </si>
  <si>
    <t xml:space="preserve">Membrane 3x4 Matrix Keypad + extras - 3x4 </t>
  </si>
  <si>
    <t>3396</t>
  </si>
  <si>
    <t>4.3" LCD Capacitive Touchscreen Display Cape for BeagleBone</t>
  </si>
  <si>
    <t>1555</t>
  </si>
  <si>
    <t>Adafruit BBB Case - Enclosure for Beagle Bone Black</t>
  </si>
  <si>
    <t>699</t>
  </si>
  <si>
    <t>Adafruit Bone Box - Enclosure for Beagle Bone/Beagle Bone Black</t>
  </si>
  <si>
    <t>572</t>
  </si>
  <si>
    <t>Adafruit Proto Cape Kit for Beagle Bone &amp; Beagle Bone Black</t>
  </si>
  <si>
    <t>702</t>
  </si>
  <si>
    <t>Adafruit Proto Plate for Beagle Bone &amp; Beagle Bone Black</t>
  </si>
  <si>
    <t>2627</t>
  </si>
  <si>
    <t>Anidees Beaglebone Black Case - Black Aluminum with Smoke Top</t>
  </si>
  <si>
    <t>2628</t>
  </si>
  <si>
    <t>Anidees BeagleBoneBlack Case - Silver Aluminum with Crystal Top</t>
  </si>
  <si>
    <t>1810</t>
  </si>
  <si>
    <t>uniBBB - Unibody Aluminum Case for BeagleBone Black</t>
  </si>
  <si>
    <t>1869</t>
  </si>
  <si>
    <t xml:space="preserve">Hot Air Soldering Rework Station w/ Three Nozzles - Quick 957D </t>
  </si>
  <si>
    <t>3019</t>
  </si>
  <si>
    <t>Third Hand Pana Hand Workstation Add-On for Panavise</t>
  </si>
  <si>
    <t>3536</t>
  </si>
  <si>
    <t>Insulated Silicone Rework Mat - 34cm x 23cm x 4mm Work Surface</t>
  </si>
  <si>
    <t>SH</t>
  </si>
  <si>
    <t>PH</t>
  </si>
  <si>
    <t>Column1</t>
  </si>
  <si>
    <t>SF</t>
  </si>
  <si>
    <t>Ada</t>
  </si>
  <si>
    <t xml:space="preserve">3V at 10 cm to 0.4V at 80 cm </t>
  </si>
  <si>
    <t>Good linearity</t>
  </si>
  <si>
    <t>3-100cm</t>
  </si>
  <si>
    <t>Long R Mode: up to 1.2-1.5m</t>
  </si>
  <si>
    <t>3 to 12% (D up/% down)</t>
  </si>
  <si>
    <t>5mm to 100mm</t>
  </si>
  <si>
    <t>PTH</t>
  </si>
  <si>
    <t xml:space="preserve">3V at  100cm to 1.4V at 500cm </t>
  </si>
  <si>
    <t>Non-Linear, 1/L for 100cm-500cm</t>
  </si>
  <si>
    <t>3V  at 20 cm to 0.4V at 150 cm</t>
  </si>
  <si>
    <t>Non-Linear L &amp; 1/L</t>
  </si>
  <si>
    <t>@ 80 cm: ±10 cm</t>
  </si>
  <si>
    <t>Non-Linear L</t>
  </si>
  <si>
    <t>up to 150-200mm</t>
  </si>
  <si>
    <t>small!</t>
  </si>
  <si>
    <t>6 PTH</t>
  </si>
  <si>
    <t>5 PTH</t>
  </si>
  <si>
    <t>up tp 3mm</t>
  </si>
  <si>
    <t>User Interface, Display</t>
  </si>
  <si>
    <t>PRT-11474</t>
  </si>
  <si>
    <t>https://www.sparkfun.com/products/11474</t>
  </si>
  <si>
    <t>https://cdn.sparkfun.com/r/92-92/assets/parts/7/3/6/1/11474-01.jpg</t>
  </si>
  <si>
    <t>Car Adapter Plug - Red LED</t>
  </si>
  <si>
    <t>PRT-08100</t>
  </si>
  <si>
    <t>https://www.sparkfun.com/products/8100</t>
  </si>
  <si>
    <t>https://cdn.sparkfun.com/r/92-92/assets/parts/6/6/6/08100-01a.jpg</t>
  </si>
  <si>
    <t>Polarized Connectors - Crimp Pins</t>
  </si>
  <si>
    <t>PRT-10853</t>
  </si>
  <si>
    <t>https://www.sparkfun.com/products/10853</t>
  </si>
  <si>
    <t>https://cdn.sparkfun.com/r/92-92/assets/parts/5/8/6/5/10853-01b.jpg</t>
  </si>
  <si>
    <t>Mega Pro Mini Cable - 8\" (8-wire)</t>
  </si>
  <si>
    <t>Jumper Wires, JST-PH</t>
  </si>
  <si>
    <t>Jumper Wires, JST-SH</t>
  </si>
  <si>
    <t>Jumper Wires, JST-SM</t>
  </si>
  <si>
    <t>DEV-14437</t>
  </si>
  <si>
    <t>https://www.sparkfun.com/products/14437</t>
  </si>
  <si>
    <t>https://cdn.sparkfun.com/r/92-92/assets/parts/1/2/4/6/7/14437-01.jpg</t>
  </si>
  <si>
    <t>Mini Dock for Onion Omega</t>
  </si>
  <si>
    <t>DEV-14436</t>
  </si>
  <si>
    <t>https://www.sparkfun.com/products/14436</t>
  </si>
  <si>
    <t>https://cdn.sparkfun.com/r/92-92/assets/parts/1/2/4/6/6/14436-01.jpg</t>
  </si>
  <si>
    <t>Breadboard Dock for Onion Omega</t>
  </si>
  <si>
    <t>TOL-12630</t>
  </si>
  <si>
    <t>https://www.sparkfun.com/products/12630</t>
  </si>
  <si>
    <t>https://cdn.sparkfun.com/r/92-92/assets/parts/9/3/1/2/12630-01.jpg</t>
  </si>
  <si>
    <t>Wire Strippers - 30AWG (Hakko)</t>
  </si>
  <si>
    <t>2-pin JST SM Plug + Receptacle Cable Set</t>
  </si>
  <si>
    <t>2880</t>
  </si>
  <si>
    <t>JST 2-pin cable</t>
  </si>
  <si>
    <t>261</t>
  </si>
  <si>
    <t>JST-PH 2-Pin SMT Right Angle Connector</t>
  </si>
  <si>
    <t>10-pin 2x5 Socket-Socket 1.27mm IDC (SWD) Cable - 150mm long</t>
  </si>
  <si>
    <t>1675</t>
  </si>
  <si>
    <t>10-pin IDC Socket Rainbow Breakout Cable</t>
  </si>
  <si>
    <t>1199</t>
  </si>
  <si>
    <t>10-pin Socket/Socket IDC cable - Short 1.5"</t>
  </si>
  <si>
    <t>556</t>
  </si>
  <si>
    <t>6-pin Socket/Socket IDC cable - 6"</t>
  </si>
  <si>
    <t>371</t>
  </si>
  <si>
    <t>4-pin AT/ATX/IDE power cable</t>
  </si>
  <si>
    <t>425</t>
  </si>
  <si>
    <t>Ladyada's Electronics Toolkit</t>
  </si>
  <si>
    <t>136</t>
  </si>
  <si>
    <t>Hook-up Wire Spool Set - 22AWG Solid Core - 10 x 25ft</t>
  </si>
  <si>
    <t>3174</t>
  </si>
  <si>
    <t>Half Size Breadboard + 78 Piece 22AWG Jumper Wire Bundle</t>
  </si>
  <si>
    <t>3314</t>
  </si>
  <si>
    <t>Hakko Professsional Quality 20-30 AWG Wire Strippers - CSP-30-1</t>
  </si>
  <si>
    <t>527</t>
  </si>
  <si>
    <t>Professional IC Extraction Tool</t>
  </si>
  <si>
    <t>1598</t>
  </si>
  <si>
    <t>Hakko Precision Flat Pliers</t>
  </si>
  <si>
    <t>1368</t>
  </si>
  <si>
    <t>IC Socket - for 8-pin 0.3" Chips - Pack of 3</t>
  </si>
  <si>
    <t>2202</t>
  </si>
  <si>
    <t>Heat Shrink Pack</t>
  </si>
  <si>
    <t>344</t>
  </si>
  <si>
    <t>Adafruit 6-pin AVR ISP Breadboard Adapter Mini Kit</t>
  </si>
  <si>
    <t>1465</t>
  </si>
  <si>
    <t>Extra-long break-away 0.1" 16-pin strip male header (5 pieces)</t>
  </si>
  <si>
    <t>400</t>
  </si>
  <si>
    <t>Mega Components</t>
  </si>
  <si>
    <t>Mega Components/Shields</t>
  </si>
  <si>
    <t>Full Equipment              List</t>
  </si>
  <si>
    <t>G</t>
  </si>
  <si>
    <t>Retired</t>
  </si>
  <si>
    <t>Not Available for Backorder</t>
  </si>
  <si>
    <t>H</t>
  </si>
  <si>
    <t>CAB-00512</t>
  </si>
  <si>
    <t>https://www.sparkfun.com/products/512</t>
  </si>
  <si>
    <t>https://cdn.sparkfun.com/r/92-92/assets/parts/2/7/7/00512-1.jpg</t>
  </si>
  <si>
    <t>USB Cable A to B - 6 Foot</t>
  </si>
  <si>
    <t>CAB-11301</t>
  </si>
  <si>
    <t>https://www.sparkfun.com/products/11301</t>
  </si>
  <si>
    <t>https://cdn.sparkfun.com/r/92-92/assets/parts/6/9/8/0/11301-01.jpg</t>
  </si>
  <si>
    <t>SparkFun USB Mini-B Cable - 6 Foot</t>
  </si>
  <si>
    <t>CAB-13243</t>
  </si>
  <si>
    <t>https://www.sparkfun.com/products/13243</t>
  </si>
  <si>
    <t>https://cdn.sparkfun.com/r/92-92/assets/parts/1/0/4/2/9/13243-01.jpg</t>
  </si>
  <si>
    <t>USB Mini-B Cable - 6\"</t>
  </si>
  <si>
    <t>CAB-10177</t>
  </si>
  <si>
    <t>https://www.sparkfun.com/products/10177</t>
  </si>
  <si>
    <t>https://cdn.sparkfun.com/r/92-92/assets/parts/4/4/8/3/10177-01.jpg</t>
  </si>
  <si>
    <t>Panel Mount USB to 4-pin Female Header Cable - 6\'</t>
  </si>
  <si>
    <t>DEV-12761</t>
  </si>
  <si>
    <t>https://www.sparkfun.com/products/12761</t>
  </si>
  <si>
    <t>https://cdn.sparkfun.com/r/92-92/assets/parts/9/5/2/8/12761-05.jpg</t>
  </si>
  <si>
    <t>SparkFun microSD Shield</t>
  </si>
  <si>
    <t>Power</t>
  </si>
  <si>
    <t>Communication</t>
  </si>
  <si>
    <t>Charging</t>
  </si>
  <si>
    <t>Micro-B</t>
  </si>
  <si>
    <t>Bootloading</t>
  </si>
  <si>
    <t>Barrel Jack</t>
  </si>
  <si>
    <t>Barrel Jack
+Micro-B</t>
  </si>
  <si>
    <t>Host/Peripherals</t>
  </si>
  <si>
    <t>USB A</t>
  </si>
  <si>
    <t xml:space="preserve">Barrel Jack+Micro-B
</t>
  </si>
  <si>
    <t>WiFi+Micro-B</t>
  </si>
  <si>
    <t xml:space="preserve"> Micro-B</t>
  </si>
  <si>
    <t>JST+PTH</t>
  </si>
  <si>
    <t>WiFi+BT</t>
  </si>
  <si>
    <t>Mini-B+USB A</t>
  </si>
  <si>
    <t>Mini-B+PTH</t>
  </si>
  <si>
    <t xml:space="preserve">Barrel Jack+Mini-B
</t>
  </si>
  <si>
    <t>3.5mm</t>
  </si>
  <si>
    <t>WRL-12579</t>
  </si>
  <si>
    <t>https://www.sparkfun.com/products/12579</t>
  </si>
  <si>
    <t>https://cdn.sparkfun.com/r/92-92/assets/parts/9/2/3/1/10559-01.jpg</t>
  </si>
  <si>
    <t>SparkFun Bluetooth Module Breakout - Roving Networks (RN-41 v6.15)</t>
  </si>
  <si>
    <t>WRL-11048</t>
  </si>
  <si>
    <t>https://www.sparkfun.com/products/11048</t>
  </si>
  <si>
    <t>https://cdn.sparkfun.com/r/92-92/assets/parts/6/4/1/0/11048-01.jpg</t>
  </si>
  <si>
    <t>RN-XV WiFly Module - U.FL Connector</t>
  </si>
  <si>
    <t>WRL-11320</t>
  </si>
  <si>
    <t>https://www.sparkfun.com/products/11320</t>
  </si>
  <si>
    <t>https://cdn.sparkfun.com/r/92-92/assets/parts/7/0/1/7/11320-01.jpg</t>
  </si>
  <si>
    <t>2.4GHz Antenna - Adhesive (U.FL Connector)</t>
  </si>
  <si>
    <t>WRL-13287</t>
  </si>
  <si>
    <t>https://www.sparkfun.com/products/13287</t>
  </si>
  <si>
    <t>https://cdn.sparkfun.com/r/92-92/assets/parts/1/0/5/3/8/13287-01.jpg</t>
  </si>
  <si>
    <t>SparkFun WiFi Shield - ESP8266</t>
  </si>
  <si>
    <t>List #</t>
  </si>
  <si>
    <t>Qty.</t>
  </si>
  <si>
    <t>53L0-SATEL-I1</t>
  </si>
  <si>
    <t>STMicroelectronics</t>
  </si>
  <si>
    <t>Satellite: mini-PCB with VL53L0X</t>
  </si>
  <si>
    <t>ST Microelectronics</t>
  </si>
  <si>
    <t>Mouser SKU Prefix</t>
  </si>
  <si>
    <t>474-</t>
  </si>
  <si>
    <t>485-</t>
  </si>
  <si>
    <t>511-</t>
  </si>
  <si>
    <t>Mouser SKU</t>
  </si>
  <si>
    <r>
      <t>Onion Omega2</t>
    </r>
    <r>
      <rPr>
        <vertAlign val="superscript"/>
        <sz val="11"/>
        <rFont val="Calibri"/>
        <family val="2"/>
        <scheme val="minor"/>
      </rPr>
      <t>+</t>
    </r>
    <r>
      <rPr>
        <sz val="11"/>
        <rFont val="Calibri"/>
        <family val="2"/>
        <scheme val="minor"/>
      </rPr>
      <t xml:space="preserve"> + Arduino Base Station</t>
    </r>
  </si>
  <si>
    <r>
      <t>Onion Omega2</t>
    </r>
    <r>
      <rPr>
        <vertAlign val="superscript"/>
        <sz val="11"/>
        <rFont val="Calibri"/>
        <family val="2"/>
        <scheme val="minor"/>
      </rPr>
      <t>+</t>
    </r>
    <r>
      <rPr>
        <sz val="11"/>
        <rFont val="Calibri"/>
        <family val="2"/>
        <scheme val="minor"/>
      </rPr>
      <t xml:space="preserve"> Handheld</t>
    </r>
  </si>
  <si>
    <t># Walker Testing Units (Initial/Total):</t>
  </si>
  <si>
    <t>Supplier</t>
  </si>
  <si>
    <t>Extra Initial</t>
  </si>
  <si>
    <t>Extra</t>
  </si>
  <si>
    <t># Left</t>
  </si>
  <si>
    <t># Initial</t>
  </si>
  <si>
    <t>Tot #</t>
  </si>
  <si>
    <t>#/Unit</t>
  </si>
  <si>
    <t>Mini USB WiFi Module - RTL8188eu - 802.11b/g/n</t>
  </si>
  <si>
    <t>Bluetooth / WiFi Combination USB Dongle</t>
  </si>
  <si>
    <t>USB WIFI DONGLE BL-WN2210</t>
  </si>
  <si>
    <t>AAEON UP</t>
  </si>
  <si>
    <t>OPT-UP-WF-002</t>
  </si>
  <si>
    <t>409-</t>
  </si>
  <si>
    <t>100m indoor, 300m outdoor transmission range</t>
  </si>
  <si>
    <t>8m  transmission range</t>
  </si>
  <si>
    <t>300m transmission range</t>
  </si>
  <si>
    <t xml:space="preserve">Mini Power Switch - SPDT </t>
  </si>
  <si>
    <t>RGB LCD Shield Kit w/ 16x2 Character Display - Only 2 pins used! - POSITIVE DISPLAY</t>
  </si>
  <si>
    <t>LCD Shield Kit w/ 16x2 Character Display - Only 2 pins used! - BLUE AND WHITE</t>
  </si>
  <si>
    <t>$/Unit</t>
  </si>
  <si>
    <t>Total $</t>
  </si>
  <si>
    <t>Cost Breakdown</t>
  </si>
  <si>
    <t>Initial Order</t>
  </si>
  <si>
    <t>Total Order</t>
  </si>
  <si>
    <t>Supplier SKU</t>
  </si>
  <si>
    <t>Total Price (USD)</t>
  </si>
  <si>
    <t xml:space="preserve">        Mouser Purchase Order</t>
  </si>
  <si>
    <t>IoT 3D Time Of Flight Sensor Shield</t>
  </si>
  <si>
    <t>975-RFD77306</t>
  </si>
  <si>
    <t>485-3317</t>
  </si>
  <si>
    <t>474-BOB-12009</t>
  </si>
  <si>
    <t>474-BOB-11955</t>
  </si>
  <si>
    <t>474-BOB-11771</t>
  </si>
  <si>
    <t>474-PRT-13268</t>
  </si>
  <si>
    <t>474-COM-14085</t>
  </si>
  <si>
    <t>COM-14086</t>
  </si>
  <si>
    <t>Flip-Pin (14-pins)</t>
  </si>
  <si>
    <t xml:space="preserve">Panavise Jr. </t>
  </si>
  <si>
    <t>RF Digital</t>
  </si>
  <si>
    <t>975-</t>
  </si>
  <si>
    <t xml:space="preserve">                                                                                                                                                                                                                                                                                                                                                                                                                                     </t>
  </si>
  <si>
    <t>Initial Order List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</si>
</sst>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7" formatCode="&quot;$&quot;#,##0.00_);\(&quot;$&quot;#,##0.00\)"/>
    <numFmt numFmtId="164" formatCode="[&lt;=9999999]###\-####;\(###\)\ ###\-####"/>
    <numFmt numFmtId="165" formatCode="0_);\(0\)"/>
    <numFmt numFmtId="166" formatCode="&quot;$&quot;#,##0.00"/>
    <numFmt numFmtId="167" formatCode="_([$$-409]* #,##0.00_);_([$$-409]* \(#,##0.00\);_([$$-409]* &quot;-&quot;??_);_(@_)"/>
  </numFmts>
  <fonts count="32" x14ac:knownFonts="1">
    <font>
      <sz val="11"/>
      <color theme="1"/>
      <name val="Calibri"/>
      <family val="2"/>
      <scheme val="minor"/>
    </font>
    <font>
      <b/>
      <sz val="11"/>
      <color theme="1"/>
      <name val="Calibri"/>
      <family val="2"/>
      <scheme val="minor"/>
    </font>
    <font>
      <sz val="11"/>
      <color theme="3" tint="-0.499984740745262"/>
      <name val="Calibri"/>
      <family val="2"/>
      <scheme val="minor"/>
    </font>
    <font>
      <b/>
      <sz val="16"/>
      <color theme="4"/>
      <name val="Calibri"/>
      <family val="2"/>
      <scheme val="minor"/>
    </font>
    <font>
      <sz val="11"/>
      <color theme="1"/>
      <name val="Calibri"/>
      <family val="2"/>
      <scheme val="minor"/>
    </font>
    <font>
      <sz val="26"/>
      <color theme="2" tint="-0.499984740745262"/>
      <name val="Corbel"/>
      <family val="2"/>
      <scheme val="major"/>
    </font>
    <font>
      <b/>
      <sz val="16"/>
      <color theme="2" tint="-0.749961851863155"/>
      <name val="Corbel"/>
      <family val="2"/>
      <scheme val="major"/>
    </font>
    <font>
      <b/>
      <sz val="11"/>
      <color theme="2" tint="-0.749961851863155"/>
      <name val="Corbel"/>
      <family val="2"/>
      <scheme val="major"/>
    </font>
    <font>
      <sz val="11"/>
      <color theme="0"/>
      <name val="Calibri"/>
      <family val="2"/>
      <scheme val="minor"/>
    </font>
    <font>
      <b/>
      <sz val="26"/>
      <color theme="3"/>
      <name val="Corbel"/>
      <family val="2"/>
      <scheme val="major"/>
    </font>
    <font>
      <u/>
      <sz val="11"/>
      <color theme="10"/>
      <name val="Calibri"/>
      <family val="2"/>
      <scheme val="minor"/>
    </font>
    <font>
      <b/>
      <sz val="11"/>
      <color theme="0"/>
      <name val="Calibri"/>
      <family val="2"/>
      <scheme val="minor"/>
    </font>
    <font>
      <b/>
      <sz val="16"/>
      <color theme="0"/>
      <name val="Calibri"/>
      <family val="2"/>
      <scheme val="minor"/>
    </font>
    <font>
      <sz val="16"/>
      <color theme="1"/>
      <name val="Calibri"/>
      <family val="2"/>
      <scheme val="minor"/>
    </font>
    <font>
      <sz val="16"/>
      <color rgb="FF555555"/>
      <name val="Calibri"/>
      <family val="2"/>
      <scheme val="minor"/>
    </font>
    <font>
      <sz val="16"/>
      <color rgb="FF333333"/>
      <name val="Calibri"/>
      <family val="2"/>
      <scheme val="minor"/>
    </font>
    <font>
      <sz val="14"/>
      <color rgb="FF555555"/>
      <name val="Arial"/>
      <family val="2"/>
    </font>
    <font>
      <sz val="14"/>
      <color theme="1"/>
      <name val="Calibri"/>
      <family val="2"/>
      <scheme val="minor"/>
    </font>
    <font>
      <vertAlign val="superscript"/>
      <sz val="11"/>
      <color theme="1"/>
      <name val="Calibri"/>
      <family val="2"/>
      <scheme val="minor"/>
    </font>
    <font>
      <b/>
      <sz val="18"/>
      <color rgb="FFFF0000"/>
      <name val="Corbel"/>
      <family val="2"/>
      <scheme val="major"/>
    </font>
    <font>
      <sz val="11"/>
      <color rgb="FF00B0F0"/>
      <name val="Calibri"/>
      <family val="2"/>
      <scheme val="minor"/>
    </font>
    <font>
      <vertAlign val="superscript"/>
      <sz val="11"/>
      <color rgb="FF00B0F0"/>
      <name val="Calibri"/>
      <family val="2"/>
      <scheme val="minor"/>
    </font>
    <font>
      <sz val="10"/>
      <color rgb="FF00B0F0"/>
      <name val="Arial"/>
      <family val="2"/>
    </font>
    <font>
      <sz val="11"/>
      <color rgb="FFFF0000"/>
      <name val="Calibri"/>
      <family val="2"/>
      <scheme val="minor"/>
    </font>
    <font>
      <b/>
      <sz val="14"/>
      <color theme="0"/>
      <name val="Calibri"/>
      <family val="2"/>
      <scheme val="minor"/>
    </font>
    <font>
      <b/>
      <sz val="11"/>
      <color theme="0"/>
      <name val="Calibri"/>
      <family val="2"/>
    </font>
    <font>
      <b/>
      <sz val="14"/>
      <color theme="0"/>
      <name val="Forte"/>
      <family val="4"/>
    </font>
    <font>
      <b/>
      <sz val="11"/>
      <name val="Calibri"/>
      <family val="2"/>
      <scheme val="minor"/>
    </font>
    <font>
      <sz val="11"/>
      <name val="Calibri"/>
      <family val="2"/>
      <scheme val="minor"/>
    </font>
    <font>
      <sz val="10"/>
      <name val="Arial"/>
      <family val="2"/>
    </font>
    <font>
      <vertAlign val="superscript"/>
      <sz val="11"/>
      <name val="Calibri"/>
      <family val="2"/>
      <scheme val="minor"/>
    </font>
    <font>
      <b/>
      <sz val="12"/>
      <name val="Corbel"/>
      <family val="2"/>
      <scheme val="major"/>
    </font>
  </fonts>
  <fills count="17">
    <fill>
      <patternFill patternType="none"/>
    </fill>
    <fill>
      <patternFill patternType="gray125"/>
    </fill>
    <fill>
      <patternFill patternType="solid">
        <fgColor theme="2"/>
        <bgColor indexed="64"/>
      </patternFill>
    </fill>
    <fill>
      <patternFill patternType="solid">
        <fgColor theme="0" tint="-4.9989318521683403E-2"/>
        <bgColor indexed="64"/>
      </patternFill>
    </fill>
    <fill>
      <patternFill patternType="solid">
        <fgColor theme="3" tint="-0.499984740745262"/>
        <bgColor indexed="64"/>
      </patternFill>
    </fill>
    <fill>
      <patternFill patternType="solid">
        <fgColor theme="2" tint="-0.749961851863155"/>
        <bgColor theme="5"/>
      </patternFill>
    </fill>
    <fill>
      <patternFill patternType="solid">
        <fgColor rgb="FF1F4E49"/>
        <bgColor indexed="64"/>
      </patternFill>
    </fill>
    <fill>
      <patternFill patternType="solid">
        <fgColor rgb="FFFF0000"/>
        <bgColor indexed="64"/>
      </patternFill>
    </fill>
    <fill>
      <patternFill patternType="solid">
        <fgColor theme="8" tint="0.59999389629810485"/>
        <bgColor indexed="64"/>
      </patternFill>
    </fill>
    <fill>
      <patternFill patternType="solid">
        <fgColor rgb="FF00B050"/>
        <bgColor indexed="64"/>
      </patternFill>
    </fill>
    <fill>
      <patternFill patternType="solid">
        <fgColor rgb="FF00B0F0"/>
        <bgColor indexed="64"/>
      </patternFill>
    </fill>
    <fill>
      <patternFill patternType="solid">
        <fgColor rgb="FF002060"/>
        <bgColor indexed="64"/>
      </patternFill>
    </fill>
    <fill>
      <patternFill patternType="solid">
        <fgColor rgb="FFF3AE03"/>
        <bgColor indexed="64"/>
      </patternFill>
    </fill>
    <fill>
      <patternFill patternType="solid">
        <fgColor theme="3"/>
        <bgColor indexed="64"/>
      </patternFill>
    </fill>
    <fill>
      <patternFill patternType="solid">
        <fgColor theme="0" tint="-4.9989318521683403E-2"/>
        <bgColor theme="5" tint="0.79992065187536243"/>
      </patternFill>
    </fill>
    <fill>
      <patternFill patternType="solid">
        <fgColor theme="9" tint="-0.499984740745262"/>
        <bgColor indexed="64"/>
      </patternFill>
    </fill>
    <fill>
      <patternFill patternType="solid">
        <fgColor rgb="FFFF4F4F"/>
        <bgColor indexed="64"/>
      </patternFill>
    </fill>
  </fills>
  <borders count="18">
    <border>
      <left/>
      <right/>
      <top/>
      <bottom/>
      <diagonal/>
    </border>
    <border>
      <left/>
      <right/>
      <top style="thin">
        <color theme="3" tint="-0.24994659260841701"/>
      </top>
      <bottom style="double">
        <color theme="3" tint="-0.24994659260841701"/>
      </bottom>
      <diagonal/>
    </border>
    <border>
      <left/>
      <right/>
      <top/>
      <bottom style="thick">
        <color theme="0"/>
      </bottom>
      <diagonal/>
    </border>
    <border>
      <left style="thick">
        <color theme="2" tint="-0.749961851863155"/>
      </left>
      <right style="thick">
        <color theme="2" tint="-0.749961851863155"/>
      </right>
      <top style="thick">
        <color theme="2" tint="-0.749961851863155"/>
      </top>
      <bottom style="thick">
        <color theme="2" tint="-0.749961851863155"/>
      </bottom>
      <diagonal/>
    </border>
    <border>
      <left style="thin">
        <color theme="3"/>
      </left>
      <right/>
      <top/>
      <bottom/>
      <diagonal/>
    </border>
    <border>
      <left/>
      <right style="thin">
        <color theme="3"/>
      </right>
      <top/>
      <bottom/>
      <diagonal/>
    </border>
    <border>
      <left style="thick">
        <color theme="3" tint="-0.499984740745262"/>
      </left>
      <right/>
      <top/>
      <bottom/>
      <diagonal/>
    </border>
    <border>
      <left/>
      <right/>
      <top style="thick">
        <color theme="3" tint="-0.499984740745262"/>
      </top>
      <bottom/>
      <diagonal/>
    </border>
    <border>
      <left style="thick">
        <color theme="2" tint="-0.749961851863155"/>
      </left>
      <right/>
      <top style="thick">
        <color theme="2" tint="-0.749961851863155"/>
      </top>
      <bottom style="thick">
        <color theme="2" tint="-0.749961851863155"/>
      </bottom>
      <diagonal/>
    </border>
    <border>
      <left/>
      <right style="thick">
        <color theme="2" tint="-0.749961851863155"/>
      </right>
      <top style="thick">
        <color theme="2" tint="-0.749961851863155"/>
      </top>
      <bottom style="thick">
        <color theme="2" tint="-0.749961851863155"/>
      </bottom>
      <diagonal/>
    </border>
    <border>
      <left style="thick">
        <color theme="2" tint="-0.89996032593768116"/>
      </left>
      <right/>
      <top style="thick">
        <color theme="2" tint="-0.89996032593768116"/>
      </top>
      <bottom style="thick">
        <color theme="2" tint="-0.89996032593768116"/>
      </bottom>
      <diagonal/>
    </border>
    <border>
      <left/>
      <right/>
      <top style="thick">
        <color theme="2" tint="-0.89996032593768116"/>
      </top>
      <bottom style="thick">
        <color theme="2" tint="-0.89996032593768116"/>
      </bottom>
      <diagonal/>
    </border>
    <border>
      <left/>
      <right style="thick">
        <color theme="2" tint="-0.89996032593768116"/>
      </right>
      <top style="thick">
        <color theme="2" tint="-0.89996032593768116"/>
      </top>
      <bottom style="thick">
        <color theme="2" tint="-0.89996032593768116"/>
      </bottom>
      <diagonal/>
    </border>
    <border>
      <left/>
      <right/>
      <top style="thick">
        <color theme="2" tint="-0.749961851863155"/>
      </top>
      <bottom/>
      <diagonal/>
    </border>
    <border>
      <left/>
      <right style="thick">
        <color theme="2" tint="-0.749961851863155"/>
      </right>
      <top style="thick">
        <color theme="2" tint="-0.89996032593768116"/>
      </top>
      <bottom style="thick">
        <color theme="2" tint="-0.89996032593768116"/>
      </bottom>
      <diagonal/>
    </border>
    <border>
      <left style="thick">
        <color theme="2" tint="-0.749961851863155"/>
      </left>
      <right style="thick">
        <color theme="2" tint="-0.749961851863155"/>
      </right>
      <top style="thick">
        <color theme="2" tint="-0.749961851863155"/>
      </top>
      <bottom/>
      <diagonal/>
    </border>
    <border>
      <left style="thick">
        <color theme="2" tint="-0.749961851863155"/>
      </left>
      <right/>
      <top style="thick">
        <color theme="2" tint="-0.749961851863155"/>
      </top>
      <bottom/>
      <diagonal/>
    </border>
    <border>
      <left/>
      <right/>
      <top/>
      <bottom style="thick">
        <color theme="2" tint="-0.749961851863155"/>
      </bottom>
      <diagonal/>
    </border>
  </borders>
  <cellStyleXfs count="21">
    <xf numFmtId="0" fontId="0" fillId="0" borderId="0" applyFill="0" applyBorder="0">
      <alignment horizontal="left" vertical="center" wrapText="1" indent="1"/>
    </xf>
    <xf numFmtId="0" fontId="6" fillId="2" borderId="2" applyAlignment="0">
      <alignment horizontal="left" vertical="center" indent="1"/>
    </xf>
    <xf numFmtId="0" fontId="6" fillId="2" borderId="2">
      <alignment horizontal="right" vertical="center"/>
    </xf>
    <xf numFmtId="0" fontId="7" fillId="3" borderId="2" applyAlignment="0">
      <alignment horizontal="left" vertical="center" indent="1"/>
    </xf>
    <xf numFmtId="0" fontId="1" fillId="0" borderId="1" applyNumberFormat="0" applyFill="0" applyAlignment="0" applyProtection="0"/>
    <xf numFmtId="0" fontId="9" fillId="0" borderId="0" applyFill="0" applyBorder="0">
      <alignment vertical="center" wrapText="1"/>
    </xf>
    <xf numFmtId="0" fontId="7" fillId="0" borderId="0">
      <alignment horizontal="right" vertical="center" indent="1"/>
    </xf>
    <xf numFmtId="165" fontId="4" fillId="0" borderId="0" applyFont="0" applyFill="0" applyBorder="0" applyProtection="0">
      <alignment horizontal="center" vertical="center"/>
    </xf>
    <xf numFmtId="7" fontId="3" fillId="2" borderId="0" applyFill="0" applyBorder="0">
      <alignment horizontal="right" vertical="center"/>
    </xf>
    <xf numFmtId="7" fontId="4" fillId="0" borderId="0" applyFont="0" applyFill="0" applyBorder="0" applyProtection="0">
      <alignment horizontal="right" vertical="center" indent="1"/>
    </xf>
    <xf numFmtId="0" fontId="2" fillId="3" borderId="2" applyAlignment="0">
      <alignment horizontal="left" vertical="center" wrapText="1" indent="1"/>
    </xf>
    <xf numFmtId="0" fontId="5" fillId="0" borderId="0">
      <alignment horizontal="left" vertical="center"/>
    </xf>
    <xf numFmtId="14" fontId="3" fillId="0" borderId="0" applyFill="0" applyBorder="0" applyAlignment="0">
      <alignment horizontal="right" vertical="center"/>
    </xf>
    <xf numFmtId="164" fontId="4" fillId="0" borderId="0" applyFont="0" applyFill="0" applyBorder="0" applyAlignment="0">
      <alignment wrapText="1"/>
    </xf>
    <xf numFmtId="14" fontId="4" fillId="0" borderId="0" applyFont="0" applyFill="0" applyBorder="0">
      <alignment horizontal="center" vertical="center" wrapText="1"/>
    </xf>
    <xf numFmtId="49" fontId="4" fillId="0" borderId="0" applyFont="0" applyFill="0" applyBorder="0">
      <alignment horizontal="center" vertical="center" wrapText="1"/>
    </xf>
    <xf numFmtId="0" fontId="2" fillId="2" borderId="0">
      <alignment horizontal="left" vertical="center" wrapText="1"/>
    </xf>
    <xf numFmtId="0" fontId="8" fillId="4" borderId="0" applyBorder="0">
      <alignment horizontal="center" vertical="center"/>
    </xf>
    <xf numFmtId="0" fontId="8" fillId="0" borderId="0">
      <alignment vertical="center" wrapText="1"/>
    </xf>
    <xf numFmtId="0" fontId="10" fillId="0" borderId="0" applyNumberFormat="0" applyFill="0" applyBorder="0" applyAlignment="0" applyProtection="0">
      <alignment horizontal="left" vertical="center" wrapText="1" indent="1"/>
    </xf>
    <xf numFmtId="0" fontId="4" fillId="0" borderId="0" applyFill="0" applyBorder="0">
      <alignment horizontal="left" vertical="center" wrapText="1" indent="1"/>
    </xf>
  </cellStyleXfs>
  <cellXfs count="173">
    <xf numFmtId="0" fontId="0" fillId="0" borderId="0" xfId="0">
      <alignment horizontal="left" vertical="center" wrapText="1" indent="1"/>
    </xf>
    <xf numFmtId="0" fontId="0" fillId="0" borderId="0" xfId="0" applyFont="1">
      <alignment horizontal="left" vertical="center" wrapText="1" indent="1"/>
    </xf>
    <xf numFmtId="0" fontId="0" fillId="0" borderId="0" xfId="0" applyFont="1" applyFill="1">
      <alignment horizontal="left" vertical="center" wrapText="1" indent="1"/>
    </xf>
    <xf numFmtId="0" fontId="0" fillId="0" borderId="0" xfId="0" applyFill="1" applyBorder="1">
      <alignment horizontal="left" vertical="center" wrapText="1" indent="1"/>
    </xf>
    <xf numFmtId="0" fontId="0" fillId="0" borderId="0" xfId="0" applyFill="1">
      <alignment horizontal="left" vertical="center" wrapText="1" indent="1"/>
    </xf>
    <xf numFmtId="0" fontId="2" fillId="2" borderId="0" xfId="16">
      <alignment horizontal="left" vertical="center" wrapText="1"/>
    </xf>
    <xf numFmtId="0" fontId="0" fillId="0" borderId="0" xfId="0" applyFont="1" applyFill="1" applyBorder="1">
      <alignment horizontal="left" vertical="center" wrapText="1" indent="1"/>
    </xf>
    <xf numFmtId="0" fontId="9" fillId="0" borderId="0" xfId="5">
      <alignment vertical="center" wrapText="1"/>
    </xf>
    <xf numFmtId="0" fontId="8" fillId="0" borderId="0" xfId="18">
      <alignment vertical="center" wrapText="1"/>
    </xf>
    <xf numFmtId="1" fontId="0" fillId="0" borderId="0" xfId="0" applyNumberFormat="1" applyFill="1" applyBorder="1">
      <alignment horizontal="left" vertical="center" wrapText="1" indent="1"/>
    </xf>
    <xf numFmtId="0" fontId="0" fillId="0" borderId="0" xfId="0" applyAlignment="1"/>
    <xf numFmtId="166" fontId="0" fillId="0" borderId="0" xfId="0" applyNumberFormat="1" applyAlignment="1"/>
    <xf numFmtId="0" fontId="11" fillId="5" borderId="4" xfId="0" applyFont="1" applyFill="1" applyBorder="1">
      <alignment horizontal="left" vertical="center" wrapText="1" indent="1"/>
    </xf>
    <xf numFmtId="0" fontId="0" fillId="0" borderId="0" xfId="0" applyAlignment="1">
      <alignment horizontal="left" wrapText="1"/>
    </xf>
    <xf numFmtId="7" fontId="0" fillId="0" borderId="0" xfId="9" applyNumberFormat="1" applyFont="1" applyAlignment="1">
      <alignment horizontal="right"/>
    </xf>
    <xf numFmtId="0" fontId="11" fillId="0" borderId="0" xfId="18" applyFont="1">
      <alignment vertical="center" wrapText="1"/>
    </xf>
    <xf numFmtId="0" fontId="2" fillId="2" borderId="7" xfId="16" applyBorder="1">
      <alignment horizontal="left" vertical="center" wrapText="1"/>
    </xf>
    <xf numFmtId="0" fontId="13" fillId="0" borderId="0" xfId="0" applyFont="1" applyAlignment="1"/>
    <xf numFmtId="0" fontId="13" fillId="0" borderId="0" xfId="0" applyFont="1" applyAlignment="1">
      <alignment horizontal="left"/>
    </xf>
    <xf numFmtId="0" fontId="15" fillId="0" borderId="0" xfId="0" applyFont="1" applyAlignment="1">
      <alignment horizontal="left"/>
    </xf>
    <xf numFmtId="0" fontId="14" fillId="0" borderId="0" xfId="0" applyFont="1" applyAlignment="1">
      <alignment horizontal="left" vertical="center" wrapText="1"/>
    </xf>
    <xf numFmtId="0" fontId="15" fillId="0" borderId="0" xfId="0" applyFont="1" applyAlignment="1">
      <alignment horizontal="left" wrapText="1"/>
    </xf>
    <xf numFmtId="0" fontId="17" fillId="0" borderId="0" xfId="0" applyFont="1">
      <alignment horizontal="left" vertical="center" wrapText="1" indent="1"/>
    </xf>
    <xf numFmtId="0" fontId="13" fillId="0" borderId="0" xfId="0" applyFont="1">
      <alignment horizontal="left" vertical="center" wrapText="1" indent="1"/>
    </xf>
    <xf numFmtId="166" fontId="13" fillId="0" borderId="0" xfId="0" applyNumberFormat="1" applyFont="1" applyAlignment="1">
      <alignment horizontal="right"/>
    </xf>
    <xf numFmtId="166" fontId="15" fillId="0" borderId="0" xfId="0" applyNumberFormat="1" applyFont="1" applyAlignment="1">
      <alignment horizontal="right"/>
    </xf>
    <xf numFmtId="166" fontId="14" fillId="0" borderId="0" xfId="0" applyNumberFormat="1" applyFont="1" applyAlignment="1">
      <alignment horizontal="right" vertical="center" wrapText="1"/>
    </xf>
    <xf numFmtId="0" fontId="16" fillId="0" borderId="0" xfId="0" applyFont="1" applyAlignment="1">
      <alignment horizontal="left" vertical="center" wrapText="1" indent="1"/>
    </xf>
    <xf numFmtId="0" fontId="10" fillId="0" borderId="0" xfId="19" applyAlignment="1">
      <alignment horizontal="left" vertical="center" wrapText="1" indent="1"/>
    </xf>
    <xf numFmtId="0" fontId="0" fillId="0" borderId="0" xfId="0" applyAlignment="1">
      <alignment horizontal="left" vertical="center" indent="1"/>
    </xf>
    <xf numFmtId="0" fontId="0" fillId="0" borderId="0" xfId="0" applyAlignment="1">
      <alignment vertical="center" wrapText="1"/>
    </xf>
    <xf numFmtId="0" fontId="0" fillId="0" borderId="0" xfId="0" applyFont="1" applyAlignment="1"/>
    <xf numFmtId="0" fontId="11" fillId="5" borderId="0" xfId="0" applyFont="1" applyFill="1" applyBorder="1" applyAlignment="1">
      <alignment horizontal="left" wrapText="1" indent="1"/>
    </xf>
    <xf numFmtId="0" fontId="11" fillId="5" borderId="0" xfId="0" applyFont="1" applyFill="1" applyBorder="1" applyAlignment="1"/>
    <xf numFmtId="166" fontId="11" fillId="5" borderId="5" xfId="0" applyNumberFormat="1" applyFont="1" applyFill="1" applyBorder="1" applyAlignment="1"/>
    <xf numFmtId="166" fontId="11" fillId="5" borderId="0" xfId="0" applyNumberFormat="1" applyFont="1" applyFill="1" applyBorder="1" applyAlignment="1"/>
    <xf numFmtId="166" fontId="0" fillId="0" borderId="0" xfId="0" applyNumberFormat="1" applyAlignment="1">
      <alignment horizontal="left" vertical="center" indent="1"/>
    </xf>
    <xf numFmtId="166" fontId="0" fillId="0" borderId="0" xfId="0" applyNumberFormat="1">
      <alignment horizontal="left" vertical="center" wrapText="1" indent="1"/>
    </xf>
    <xf numFmtId="0" fontId="9" fillId="0" borderId="0" xfId="5" applyAlignment="1">
      <alignment vertical="center" wrapText="1"/>
    </xf>
    <xf numFmtId="0" fontId="0" fillId="0" borderId="0" xfId="0" applyAlignment="1">
      <alignment horizontal="left" vertical="center" wrapText="1" indent="1"/>
    </xf>
    <xf numFmtId="0" fontId="8" fillId="6" borderId="6" xfId="0" applyFont="1" applyFill="1" applyBorder="1" applyAlignment="1">
      <alignment horizontal="center" vertical="center" wrapText="1"/>
    </xf>
    <xf numFmtId="7" fontId="3" fillId="2" borderId="9" xfId="8" applyBorder="1" applyAlignment="1">
      <alignment horizontal="center" vertical="center"/>
    </xf>
    <xf numFmtId="0" fontId="9" fillId="0" borderId="0" xfId="5" applyAlignment="1">
      <alignment horizontal="left" vertical="center" wrapText="1"/>
    </xf>
    <xf numFmtId="0" fontId="0" fillId="0" borderId="0" xfId="0" applyFill="1" applyAlignment="1"/>
    <xf numFmtId="0" fontId="12" fillId="4" borderId="12" xfId="17" applyNumberFormat="1" applyFont="1" applyFill="1" applyBorder="1" applyAlignment="1">
      <alignment horizontal="center" vertical="center"/>
    </xf>
    <xf numFmtId="0" fontId="2" fillId="2" borderId="13" xfId="16" applyBorder="1">
      <alignment horizontal="left" vertical="center" wrapText="1"/>
    </xf>
    <xf numFmtId="0" fontId="0" fillId="8" borderId="0" xfId="0" applyFill="1" applyAlignment="1"/>
    <xf numFmtId="0" fontId="19" fillId="2" borderId="3" xfId="1" applyFont="1" applyBorder="1" applyAlignment="1">
      <alignment horizontal="center" vertical="center"/>
    </xf>
    <xf numFmtId="0" fontId="20" fillId="0" borderId="0" xfId="0" applyFont="1" applyAlignment="1"/>
    <xf numFmtId="0" fontId="20" fillId="0" borderId="0" xfId="0" applyFont="1">
      <alignment horizontal="left" vertical="center" wrapText="1" indent="1"/>
    </xf>
    <xf numFmtId="0" fontId="22" fillId="0" borderId="0" xfId="0" applyFont="1" applyAlignment="1">
      <alignment horizontal="left" vertical="center" wrapText="1"/>
    </xf>
    <xf numFmtId="0" fontId="11" fillId="7" borderId="0" xfId="0" applyFont="1" applyFill="1">
      <alignment horizontal="left" vertical="center" wrapText="1" indent="1"/>
    </xf>
    <xf numFmtId="0" fontId="11" fillId="10" borderId="0" xfId="0" applyFont="1" applyFill="1">
      <alignment horizontal="left" vertical="center" wrapText="1" indent="1"/>
    </xf>
    <xf numFmtId="0" fontId="11" fillId="11" borderId="0" xfId="0" applyFont="1" applyFill="1">
      <alignment horizontal="left" vertical="center" wrapText="1" indent="1"/>
    </xf>
    <xf numFmtId="0" fontId="11" fillId="9" borderId="0" xfId="0" applyFont="1" applyFill="1">
      <alignment horizontal="left" vertical="center" wrapText="1" indent="1"/>
    </xf>
    <xf numFmtId="0" fontId="11" fillId="12" borderId="0" xfId="0" applyFont="1" applyFill="1">
      <alignment horizontal="left" vertical="center" wrapText="1" indent="1"/>
    </xf>
    <xf numFmtId="0" fontId="26" fillId="13" borderId="0" xfId="0" applyFont="1" applyFill="1">
      <alignment horizontal="left" vertical="center" wrapText="1" indent="1"/>
    </xf>
    <xf numFmtId="0" fontId="24" fillId="13" borderId="0" xfId="0" applyFont="1" applyFill="1">
      <alignment horizontal="left" vertical="center" wrapText="1" indent="1"/>
    </xf>
    <xf numFmtId="0" fontId="23" fillId="0" borderId="0" xfId="0" applyFont="1">
      <alignment horizontal="left" vertical="center" wrapText="1" indent="1"/>
    </xf>
    <xf numFmtId="0" fontId="12" fillId="4" borderId="11" xfId="17" applyNumberFormat="1" applyFont="1" applyFill="1" applyBorder="1" applyAlignment="1">
      <alignment horizontal="center" vertical="center"/>
    </xf>
    <xf numFmtId="0" fontId="0" fillId="0" borderId="0" xfId="0" applyAlignment="1">
      <alignment horizontal="left" vertical="center" wrapText="1"/>
    </xf>
    <xf numFmtId="0" fontId="2" fillId="14" borderId="0" xfId="0" applyFont="1" applyFill="1">
      <alignment horizontal="left" vertical="center" wrapText="1" indent="1"/>
    </xf>
    <xf numFmtId="0" fontId="0" fillId="0" borderId="0" xfId="0" applyFill="1" applyAlignment="1">
      <alignment horizontal="left"/>
    </xf>
    <xf numFmtId="0" fontId="0" fillId="0" borderId="0" xfId="0" applyAlignment="1">
      <alignment horizontal="left"/>
    </xf>
    <xf numFmtId="0" fontId="0" fillId="0" borderId="0" xfId="0" applyAlignment="1">
      <alignment horizontal="right"/>
    </xf>
    <xf numFmtId="0" fontId="0" fillId="0" borderId="0" xfId="0" applyFill="1" applyAlignment="1">
      <alignment vertical="center" wrapText="1"/>
    </xf>
    <xf numFmtId="0" fontId="0" fillId="8" borderId="0" xfId="0" applyFill="1" applyAlignment="1">
      <alignment horizontal="left"/>
    </xf>
    <xf numFmtId="0" fontId="2" fillId="0" borderId="0" xfId="0" applyFont="1" applyBorder="1" applyAlignment="1">
      <alignment vertical="center" wrapText="1"/>
    </xf>
    <xf numFmtId="0" fontId="0" fillId="8" borderId="0" xfId="0" applyFill="1" applyAlignment="1">
      <alignment horizontal="right"/>
    </xf>
    <xf numFmtId="0" fontId="0" fillId="8" borderId="0" xfId="0" applyFill="1" applyAlignment="1">
      <alignment horizontal="left" vertical="center" wrapText="1"/>
    </xf>
    <xf numFmtId="0" fontId="0" fillId="0" borderId="0" xfId="0" applyAlignment="1">
      <alignment horizontal="right" vertical="center" wrapText="1"/>
    </xf>
    <xf numFmtId="0" fontId="0" fillId="0" borderId="0" xfId="0" applyFont="1" applyAlignment="1">
      <alignment vertical="center" wrapText="1"/>
    </xf>
    <xf numFmtId="0" fontId="0" fillId="0" borderId="0" xfId="0" applyAlignment="1">
      <alignment wrapText="1"/>
    </xf>
    <xf numFmtId="0" fontId="20" fillId="0" borderId="0" xfId="0" applyFont="1" applyAlignment="1">
      <alignment horizontal="right"/>
    </xf>
    <xf numFmtId="0" fontId="20" fillId="0" borderId="0" xfId="0" applyFont="1" applyAlignment="1">
      <alignment vertical="center" wrapText="1"/>
    </xf>
    <xf numFmtId="0" fontId="20" fillId="0" borderId="0" xfId="0" applyFont="1" applyBorder="1" applyAlignment="1">
      <alignment vertical="center" wrapText="1"/>
    </xf>
    <xf numFmtId="0" fontId="20" fillId="0" borderId="0" xfId="0" applyFont="1" applyAlignment="1">
      <alignment wrapText="1"/>
    </xf>
    <xf numFmtId="0" fontId="28" fillId="0" borderId="0" xfId="0" applyFont="1" applyFill="1" applyAlignment="1">
      <alignment vertical="center" wrapText="1"/>
    </xf>
    <xf numFmtId="0" fontId="28" fillId="0" borderId="0" xfId="0" applyFont="1" applyFill="1" applyAlignment="1"/>
    <xf numFmtId="0" fontId="28" fillId="0" borderId="0" xfId="0" applyFont="1" applyFill="1" applyAlignment="1">
      <alignment horizontal="right"/>
    </xf>
    <xf numFmtId="0" fontId="28" fillId="0" borderId="0" xfId="0" applyFont="1" applyFill="1">
      <alignment horizontal="left" vertical="center" wrapText="1" indent="1"/>
    </xf>
    <xf numFmtId="0" fontId="28" fillId="0" borderId="0" xfId="0" applyFont="1" applyFill="1" applyAlignment="1">
      <alignment horizontal="left"/>
    </xf>
    <xf numFmtId="0" fontId="28" fillId="0" borderId="0" xfId="0" applyFont="1" applyFill="1" applyAlignment="1">
      <alignment horizontal="left" vertical="center" wrapText="1"/>
    </xf>
    <xf numFmtId="0" fontId="2" fillId="2" borderId="13" xfId="16" applyBorder="1" applyAlignment="1">
      <alignment vertical="center" wrapText="1"/>
    </xf>
    <xf numFmtId="49" fontId="13" fillId="0" borderId="0" xfId="0" applyNumberFormat="1" applyFont="1" applyAlignment="1"/>
    <xf numFmtId="0" fontId="28" fillId="0" borderId="0" xfId="0" applyFont="1" applyFill="1" applyAlignment="1">
      <alignment horizontal="right" vertical="center" wrapText="1"/>
    </xf>
    <xf numFmtId="0" fontId="0" fillId="0" borderId="0" xfId="0" applyAlignment="1">
      <alignment vertical="top" wrapText="1"/>
    </xf>
    <xf numFmtId="0" fontId="0" fillId="0" borderId="0" xfId="0" applyAlignment="1">
      <alignment horizontal="left" vertical="top" wrapText="1"/>
    </xf>
    <xf numFmtId="0" fontId="0" fillId="0" borderId="0" xfId="0" applyAlignment="1">
      <alignment horizontal="right" vertical="top" wrapText="1"/>
    </xf>
    <xf numFmtId="0" fontId="27" fillId="0" borderId="0" xfId="0" applyFont="1" applyFill="1" applyAlignment="1"/>
    <xf numFmtId="0" fontId="28" fillId="0" borderId="0" xfId="0" applyFont="1" applyFill="1" applyBorder="1" applyAlignment="1">
      <alignment vertical="center" wrapText="1"/>
    </xf>
    <xf numFmtId="0" fontId="28" fillId="0" borderId="0" xfId="0" applyFont="1" applyFill="1" applyAlignment="1">
      <alignment vertical="top" wrapText="1"/>
    </xf>
    <xf numFmtId="0" fontId="28" fillId="0" borderId="0" xfId="0" applyFont="1" applyFill="1" applyAlignment="1">
      <alignment horizontal="right" vertical="top" wrapText="1"/>
    </xf>
    <xf numFmtId="0" fontId="28" fillId="0" borderId="0" xfId="0" applyFont="1" applyFill="1" applyAlignment="1">
      <alignment horizontal="left" vertical="top" wrapText="1"/>
    </xf>
    <xf numFmtId="0" fontId="28" fillId="0" borderId="0" xfId="0" applyNumberFormat="1" applyFont="1" applyFill="1" applyAlignment="1"/>
    <xf numFmtId="0" fontId="11" fillId="15" borderId="0" xfId="0" applyFont="1" applyFill="1">
      <alignment horizontal="left" vertical="center" wrapText="1" indent="1"/>
    </xf>
    <xf numFmtId="0" fontId="11" fillId="16" borderId="0" xfId="0" applyFont="1" applyFill="1">
      <alignment horizontal="left" vertical="center" wrapText="1" indent="1"/>
    </xf>
    <xf numFmtId="0" fontId="28" fillId="0" borderId="0" xfId="0" applyFont="1" applyFill="1" applyAlignment="1">
      <alignment vertical="center"/>
    </xf>
    <xf numFmtId="0" fontId="28" fillId="0" borderId="0" xfId="0" applyFont="1" applyFill="1" applyAlignment="1">
      <alignment vertical="top"/>
    </xf>
    <xf numFmtId="7" fontId="3" fillId="0" borderId="0" xfId="8" applyFill="1" applyBorder="1" applyAlignment="1">
      <alignment horizontal="center" vertical="center"/>
    </xf>
    <xf numFmtId="0" fontId="28" fillId="0" borderId="0" xfId="0" applyFont="1" applyFill="1" applyAlignment="1">
      <alignment horizontal="right" wrapText="1"/>
    </xf>
    <xf numFmtId="0" fontId="0" fillId="0" borderId="0" xfId="0" applyAlignment="1">
      <alignment vertical="center"/>
    </xf>
    <xf numFmtId="167" fontId="28" fillId="0" borderId="0" xfId="8" applyNumberFormat="1" applyFont="1" applyFill="1" applyAlignment="1">
      <alignment horizontal="right"/>
    </xf>
    <xf numFmtId="0" fontId="0" fillId="0" borderId="0" xfId="0" applyAlignment="1">
      <alignment horizontal="right" wrapText="1"/>
    </xf>
    <xf numFmtId="0" fontId="0" fillId="0" borderId="0" xfId="0" applyAlignment="1">
      <alignment horizontal="left" vertical="center"/>
    </xf>
    <xf numFmtId="0" fontId="0" fillId="0" borderId="0" xfId="0" applyFill="1" applyAlignment="1">
      <alignment horizontal="right"/>
    </xf>
    <xf numFmtId="0" fontId="28" fillId="0" borderId="0" xfId="0" applyFont="1" applyFill="1" applyAlignment="1">
      <alignment horizontal="left" vertical="center"/>
    </xf>
    <xf numFmtId="0" fontId="9" fillId="0" borderId="0" xfId="5" applyAlignment="1">
      <alignment wrapText="1"/>
    </xf>
    <xf numFmtId="0" fontId="20" fillId="0" borderId="0" xfId="0" applyFont="1" applyBorder="1" applyAlignment="1"/>
    <xf numFmtId="0" fontId="20" fillId="0" borderId="0" xfId="0" applyFont="1" applyAlignment="1">
      <alignment horizontal="left"/>
    </xf>
    <xf numFmtId="0" fontId="2" fillId="0" borderId="0" xfId="0" applyFont="1" applyBorder="1" applyAlignment="1"/>
    <xf numFmtId="0" fontId="20" fillId="0" borderId="0" xfId="0" applyFont="1" applyAlignment="1">
      <alignment horizontal="left" vertical="center"/>
    </xf>
    <xf numFmtId="0" fontId="28" fillId="0" borderId="0" xfId="0" applyFont="1" applyFill="1" applyBorder="1" applyAlignment="1"/>
    <xf numFmtId="0" fontId="28" fillId="0" borderId="0" xfId="0" applyFont="1" applyFill="1" applyAlignment="1">
      <alignment horizontal="left" vertical="top"/>
    </xf>
    <xf numFmtId="0" fontId="2" fillId="2" borderId="0" xfId="16" applyBorder="1">
      <alignment horizontal="left" vertical="center" wrapText="1"/>
    </xf>
    <xf numFmtId="0" fontId="28" fillId="0" borderId="0" xfId="0" applyFont="1" applyFill="1" applyBorder="1" applyAlignment="1">
      <alignment vertical="center"/>
    </xf>
    <xf numFmtId="0" fontId="29" fillId="0" borderId="0" xfId="0" applyFont="1" applyFill="1" applyAlignment="1">
      <alignment horizontal="left"/>
    </xf>
    <xf numFmtId="166" fontId="28" fillId="0" borderId="0" xfId="0" applyNumberFormat="1" applyFont="1" applyFill="1" applyAlignment="1">
      <alignment horizontal="right"/>
    </xf>
    <xf numFmtId="166" fontId="28" fillId="0" borderId="0" xfId="0" applyNumberFormat="1" applyFont="1" applyFill="1" applyAlignment="1">
      <alignment horizontal="right" vertical="center"/>
    </xf>
    <xf numFmtId="166" fontId="28" fillId="0" borderId="0" xfId="0" applyNumberFormat="1" applyFont="1" applyFill="1" applyAlignment="1">
      <alignment horizontal="right" vertical="top"/>
    </xf>
    <xf numFmtId="0" fontId="28" fillId="0" borderId="0" xfId="0" applyNumberFormat="1" applyFont="1" applyFill="1" applyAlignment="1">
      <alignment horizontal="left"/>
    </xf>
    <xf numFmtId="0" fontId="31" fillId="0" borderId="3" xfId="1" applyFont="1" applyFill="1" applyBorder="1" applyAlignment="1">
      <alignment horizontal="left" vertical="center"/>
    </xf>
    <xf numFmtId="166" fontId="31" fillId="0" borderId="8" xfId="1" applyNumberFormat="1" applyFont="1" applyFill="1" applyBorder="1" applyAlignment="1">
      <alignment horizontal="right" vertical="center" indent="1"/>
    </xf>
    <xf numFmtId="166" fontId="31" fillId="0" borderId="8" xfId="1" applyNumberFormat="1" applyFont="1" applyFill="1" applyBorder="1" applyAlignment="1">
      <alignment horizontal="right" vertical="center"/>
    </xf>
    <xf numFmtId="0" fontId="31" fillId="0" borderId="15" xfId="1" applyFont="1" applyFill="1" applyBorder="1" applyAlignment="1">
      <alignment horizontal="left" vertical="center"/>
    </xf>
    <xf numFmtId="166" fontId="31" fillId="0" borderId="16" xfId="1" applyNumberFormat="1" applyFont="1" applyFill="1" applyBorder="1" applyAlignment="1">
      <alignment horizontal="right" vertical="center"/>
    </xf>
    <xf numFmtId="0" fontId="24" fillId="0" borderId="11" xfId="17" applyNumberFormat="1" applyFont="1" applyFill="1" applyBorder="1" applyAlignment="1">
      <alignment horizontal="center" vertical="center"/>
    </xf>
    <xf numFmtId="0" fontId="24" fillId="0" borderId="0" xfId="17" applyNumberFormat="1" applyFont="1" applyFill="1" applyBorder="1" applyAlignment="1">
      <alignment horizontal="center" vertical="center"/>
    </xf>
    <xf numFmtId="166" fontId="24" fillId="0" borderId="11" xfId="17" applyNumberFormat="1" applyFont="1" applyFill="1" applyBorder="1" applyAlignment="1">
      <alignment horizontal="right" vertical="center"/>
    </xf>
    <xf numFmtId="166" fontId="24" fillId="0" borderId="0" xfId="17" applyNumberFormat="1" applyFont="1" applyFill="1" applyBorder="1" applyAlignment="1">
      <alignment horizontal="right" vertical="center"/>
    </xf>
    <xf numFmtId="166" fontId="28" fillId="0" borderId="0" xfId="0" applyNumberFormat="1" applyFont="1" applyFill="1" applyAlignment="1"/>
    <xf numFmtId="0" fontId="28" fillId="0" borderId="0" xfId="0" applyFont="1" applyFill="1" applyAlignment="1">
      <alignment horizontal="center"/>
    </xf>
    <xf numFmtId="0" fontId="10" fillId="0" borderId="0" xfId="19" applyFill="1" applyAlignment="1">
      <alignment horizontal="left" vertical="center"/>
    </xf>
    <xf numFmtId="0" fontId="10" fillId="0" borderId="0" xfId="19" applyNumberFormat="1" applyFill="1" applyAlignment="1"/>
    <xf numFmtId="0" fontId="20" fillId="0" borderId="0" xfId="0" applyFont="1" applyFill="1" applyAlignment="1">
      <alignment vertical="center" wrapText="1"/>
    </xf>
    <xf numFmtId="0" fontId="20" fillId="0" borderId="0" xfId="0" applyNumberFormat="1" applyFont="1" applyFill="1" applyAlignment="1"/>
    <xf numFmtId="0" fontId="28" fillId="0" borderId="0" xfId="19" applyNumberFormat="1" applyFont="1" applyFill="1" applyAlignment="1"/>
    <xf numFmtId="0" fontId="28" fillId="0" borderId="0" xfId="0" applyFont="1" applyAlignment="1"/>
    <xf numFmtId="0" fontId="28" fillId="14" borderId="0" xfId="0" applyFont="1" applyFill="1" applyAlignment="1"/>
    <xf numFmtId="0" fontId="28" fillId="0" borderId="0" xfId="0" applyFont="1" applyAlignment="1">
      <alignment horizontal="center"/>
    </xf>
    <xf numFmtId="166" fontId="28" fillId="0" borderId="0" xfId="0" applyNumberFormat="1" applyFont="1" applyAlignment="1"/>
    <xf numFmtId="166" fontId="27" fillId="0" borderId="0" xfId="0" applyNumberFormat="1" applyFont="1" applyAlignment="1"/>
    <xf numFmtId="0" fontId="28" fillId="14" borderId="0" xfId="0" applyFont="1" applyFill="1" applyAlignment="1">
      <alignment horizontal="center"/>
    </xf>
    <xf numFmtId="166" fontId="28" fillId="14" borderId="0" xfId="0" applyNumberFormat="1" applyFont="1" applyFill="1" applyAlignment="1"/>
    <xf numFmtId="166" fontId="27" fillId="14" borderId="0" xfId="0" applyNumberFormat="1" applyFont="1" applyFill="1" applyAlignment="1"/>
    <xf numFmtId="0" fontId="27" fillId="0" borderId="0" xfId="0" applyFont="1" applyAlignment="1"/>
    <xf numFmtId="0" fontId="0" fillId="0" borderId="0" xfId="0">
      <alignment horizontal="left" vertical="center" wrapText="1" indent="1"/>
    </xf>
    <xf numFmtId="0" fontId="0" fillId="0" borderId="0" xfId="0" applyAlignment="1"/>
    <xf numFmtId="166" fontId="0" fillId="0" borderId="0" xfId="0" applyNumberFormat="1" applyAlignment="1"/>
    <xf numFmtId="0" fontId="0" fillId="0" borderId="0" xfId="0" applyAlignment="1">
      <alignment vertical="center" wrapText="1"/>
    </xf>
    <xf numFmtId="0" fontId="28" fillId="0" borderId="0" xfId="0" applyFont="1" applyFill="1" applyAlignment="1"/>
    <xf numFmtId="0" fontId="28" fillId="0" borderId="0" xfId="0" applyFont="1" applyFill="1" applyAlignment="1">
      <alignment horizontal="left"/>
    </xf>
    <xf numFmtId="0" fontId="28" fillId="0" borderId="0" xfId="0" applyNumberFormat="1" applyFont="1" applyFill="1" applyAlignment="1"/>
    <xf numFmtId="0" fontId="28" fillId="0" borderId="0" xfId="0" applyFont="1" applyFill="1" applyAlignment="1">
      <alignment horizontal="left" vertical="center"/>
    </xf>
    <xf numFmtId="166" fontId="28" fillId="0" borderId="0" xfId="0" applyNumberFormat="1" applyFont="1" applyFill="1" applyAlignment="1">
      <alignment horizontal="right"/>
    </xf>
    <xf numFmtId="166" fontId="28" fillId="0" borderId="0" xfId="0" applyNumberFormat="1" applyFont="1" applyFill="1" applyAlignment="1"/>
    <xf numFmtId="0" fontId="28" fillId="0" borderId="0" xfId="0" applyFont="1" applyFill="1" applyAlignment="1">
      <alignment horizontal="center"/>
    </xf>
    <xf numFmtId="0" fontId="10" fillId="0" borderId="0" xfId="19" applyNumberFormat="1" applyFill="1" applyAlignment="1"/>
    <xf numFmtId="0" fontId="28" fillId="0" borderId="0" xfId="0" applyFont="1" applyAlignment="1">
      <alignment horizontal="left" vertical="center"/>
    </xf>
    <xf numFmtId="0" fontId="2" fillId="14" borderId="0" xfId="0" applyFont="1" applyFill="1" applyBorder="1">
      <alignment horizontal="left" vertical="center" wrapText="1" indent="1"/>
    </xf>
    <xf numFmtId="0" fontId="2" fillId="0" borderId="0" xfId="0" applyFont="1" applyBorder="1">
      <alignment horizontal="left" vertical="center" wrapText="1" indent="1"/>
    </xf>
    <xf numFmtId="0" fontId="28" fillId="0" borderId="0" xfId="0" applyNumberFormat="1" applyFont="1" applyFill="1" applyAlignment="1">
      <alignment horizontal="center"/>
    </xf>
    <xf numFmtId="0" fontId="28" fillId="0" borderId="0" xfId="0" applyNumberFormat="1" applyFont="1" applyFill="1" applyAlignment="1">
      <alignment horizontal="right"/>
    </xf>
    <xf numFmtId="0" fontId="9" fillId="0" borderId="17" xfId="5" applyBorder="1" applyAlignment="1">
      <alignment horizontal="left" vertical="center" wrapText="1"/>
    </xf>
    <xf numFmtId="0" fontId="9" fillId="0" borderId="0" xfId="5" applyAlignment="1">
      <alignment horizontal="left" vertical="center" wrapText="1"/>
    </xf>
    <xf numFmtId="0" fontId="12" fillId="4" borderId="10" xfId="17" applyNumberFormat="1" applyFont="1" applyFill="1" applyBorder="1" applyAlignment="1">
      <alignment horizontal="center" vertical="center"/>
    </xf>
    <xf numFmtId="0" fontId="12" fillId="4" borderId="11" xfId="17" applyNumberFormat="1" applyFont="1" applyFill="1" applyBorder="1" applyAlignment="1">
      <alignment horizontal="center" vertical="center"/>
    </xf>
    <xf numFmtId="0" fontId="12" fillId="4" borderId="14" xfId="17" applyNumberFormat="1" applyFont="1" applyFill="1" applyBorder="1" applyAlignment="1">
      <alignment horizontal="center" vertical="center"/>
    </xf>
    <xf numFmtId="0" fontId="5" fillId="0" borderId="0" xfId="11" applyAlignment="1">
      <alignment horizontal="left" vertical="center" wrapText="1"/>
    </xf>
    <xf numFmtId="14" fontId="3" fillId="2" borderId="8" xfId="8" applyNumberFormat="1" applyBorder="1" applyAlignment="1">
      <alignment horizontal="center" vertical="center"/>
    </xf>
    <xf numFmtId="14" fontId="3" fillId="2" borderId="9" xfId="8" applyNumberFormat="1" applyBorder="1" applyAlignment="1">
      <alignment horizontal="center" vertical="center"/>
    </xf>
    <xf numFmtId="0" fontId="9" fillId="0" borderId="0" xfId="5" applyAlignment="1">
      <alignment horizontal="left" vertical="center"/>
    </xf>
    <xf numFmtId="0" fontId="26" fillId="13" borderId="0" xfId="0" applyFont="1" applyFill="1" applyAlignment="1">
      <alignment horizontal="center" vertical="center" wrapText="1"/>
    </xf>
  </cellXfs>
  <cellStyles count="21">
    <cellStyle name="Comma" xfId="7" builtinId="3" customBuiltin="1"/>
    <cellStyle name="Currency" xfId="8" builtinId="4" customBuiltin="1"/>
    <cellStyle name="Currency [0]" xfId="9" builtinId="7" customBuiltin="1"/>
    <cellStyle name="Date" xfId="14" xr:uid="{00000000-0005-0000-0000-000003000000}"/>
    <cellStyle name="Heading 1" xfId="1" builtinId="16" customBuiltin="1"/>
    <cellStyle name="Heading 2" xfId="2" builtinId="17" customBuiltin="1"/>
    <cellStyle name="Heading 3" xfId="3" builtinId="18" customBuiltin="1"/>
    <cellStyle name="Heading 4" xfId="6" builtinId="19" customBuiltin="1"/>
    <cellStyle name="Hyperlink" xfId="19" builtinId="8"/>
    <cellStyle name="Input" xfId="10" builtinId="20" customBuiltin="1"/>
    <cellStyle name="Inventory Date" xfId="12" xr:uid="{00000000-0005-0000-0000-000009000000}"/>
    <cellStyle name="Item table heading" xfId="17" xr:uid="{00000000-0005-0000-0000-00000A000000}"/>
    <cellStyle name="Normal" xfId="0" builtinId="0" customBuiltin="1"/>
    <cellStyle name="Normal 2" xfId="20" xr:uid="{C4116A06-986C-4F0A-B557-54CD146D83C5}"/>
    <cellStyle name="Note" xfId="16" builtinId="10" customBuiltin="1"/>
    <cellStyle name="Phone" xfId="13" xr:uid="{00000000-0005-0000-0000-00000D000000}"/>
    <cellStyle name="Seriel Number" xfId="15" xr:uid="{00000000-0005-0000-0000-00000E000000}"/>
    <cellStyle name="Title" xfId="5" builtinId="15" customBuiltin="1"/>
    <cellStyle name="Title 2" xfId="11" xr:uid="{00000000-0005-0000-0000-000010000000}"/>
    <cellStyle name="Total" xfId="4" builtinId="25" customBuiltin="1"/>
    <cellStyle name="z Hidden Text" xfId="18" xr:uid="{00000000-0005-0000-0000-000012000000}"/>
  </cellStyles>
  <dxfs count="1362">
    <dxf>
      <font>
        <b val="0"/>
        <i val="0"/>
        <strike val="0"/>
        <condense val="0"/>
        <extend val="0"/>
        <outline val="0"/>
        <shadow val="0"/>
        <u val="none"/>
        <vertAlign val="baseline"/>
        <sz val="14"/>
        <color theme="1"/>
        <name val="Calibri"/>
        <family val="2"/>
        <scheme val="minor"/>
      </font>
    </dxf>
    <dxf>
      <font>
        <b val="0"/>
        <i val="0"/>
        <strike val="0"/>
        <condense val="0"/>
        <extend val="0"/>
        <outline val="0"/>
        <shadow val="0"/>
        <u val="none"/>
        <vertAlign val="baseline"/>
        <sz val="14"/>
        <color theme="1"/>
        <name val="Calibri"/>
        <family val="2"/>
        <scheme val="minor"/>
      </font>
    </dxf>
    <dxf>
      <font>
        <b val="0"/>
        <i val="0"/>
        <strike val="0"/>
        <condense val="0"/>
        <extend val="0"/>
        <outline val="0"/>
        <shadow val="0"/>
        <u val="none"/>
        <vertAlign val="baseline"/>
        <sz val="14"/>
        <color theme="1"/>
        <name val="Calibri"/>
        <family val="2"/>
        <scheme val="minor"/>
      </font>
    </dxf>
    <dxf>
      <font>
        <b val="0"/>
        <i val="0"/>
        <strike val="0"/>
        <condense val="0"/>
        <extend val="0"/>
        <outline val="0"/>
        <shadow val="0"/>
        <u val="none"/>
        <vertAlign val="baseline"/>
        <sz val="14"/>
        <color rgb="FF555555"/>
        <name val="Arial"/>
        <family val="2"/>
        <scheme val="none"/>
      </font>
      <alignment horizontal="left" vertical="center" textRotation="0" wrapText="1" indent="1" justifyLastLine="0" shrinkToFit="0" readingOrder="0"/>
    </dxf>
    <dxf>
      <font>
        <b val="0"/>
        <i val="0"/>
        <strike val="0"/>
        <condense val="0"/>
        <extend val="0"/>
        <outline val="0"/>
        <shadow val="0"/>
        <u val="none"/>
        <vertAlign val="baseline"/>
        <sz val="14"/>
        <color theme="1"/>
        <name val="Calibri"/>
        <family val="2"/>
        <scheme val="minor"/>
      </font>
    </dxf>
    <dxf>
      <font>
        <b val="0"/>
        <i val="0"/>
        <strike val="0"/>
        <condense val="0"/>
        <extend val="0"/>
        <outline val="0"/>
        <shadow val="0"/>
        <u val="none"/>
        <vertAlign val="baseline"/>
        <sz val="14"/>
        <color theme="1"/>
        <name val="Calibri"/>
        <family val="2"/>
        <scheme val="minor"/>
      </font>
    </dxf>
    <dxf>
      <font>
        <b val="0"/>
        <i val="0"/>
        <strike val="0"/>
        <condense val="0"/>
        <extend val="0"/>
        <outline val="0"/>
        <shadow val="0"/>
        <u val="none"/>
        <vertAlign val="baseline"/>
        <sz val="16"/>
        <color theme="1"/>
        <name val="Calibri"/>
        <family val="2"/>
        <scheme val="minor"/>
      </font>
    </dxf>
    <dxf>
      <font>
        <b val="0"/>
        <i val="0"/>
        <strike val="0"/>
        <condense val="0"/>
        <extend val="0"/>
        <outline val="0"/>
        <shadow val="0"/>
        <u val="none"/>
        <vertAlign val="baseline"/>
        <sz val="16"/>
        <color theme="1"/>
        <name val="Calibri"/>
        <family val="2"/>
        <scheme val="minor"/>
      </font>
    </dxf>
    <dxf>
      <font>
        <b val="0"/>
        <i val="0"/>
        <strike val="0"/>
        <condense val="0"/>
        <extend val="0"/>
        <outline val="0"/>
        <shadow val="0"/>
        <u val="none"/>
        <vertAlign val="baseline"/>
        <sz val="16"/>
        <color theme="1"/>
        <name val="Calibri"/>
        <family val="2"/>
        <scheme val="minor"/>
      </font>
      <alignment horizontal="general" vertical="bottom" textRotation="0" wrapText="0" indent="0" justifyLastLine="0" shrinkToFit="0" readingOrder="0"/>
    </dxf>
    <dxf>
      <font>
        <b val="0"/>
        <i val="0"/>
        <strike val="0"/>
        <condense val="0"/>
        <extend val="0"/>
        <outline val="0"/>
        <shadow val="0"/>
        <u val="none"/>
        <vertAlign val="baseline"/>
        <sz val="16"/>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6"/>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6"/>
        <color rgb="FF333333"/>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6"/>
        <color rgb="FF555555"/>
        <name val="Calibri"/>
        <family val="2"/>
        <scheme val="minor"/>
      </font>
      <alignment horizontal="left" vertical="center" textRotation="0" wrapText="1" indent="0" justifyLastLine="0" shrinkToFit="0" readingOrder="0"/>
    </dxf>
    <dxf>
      <font>
        <b val="0"/>
        <i val="0"/>
        <strike val="0"/>
        <condense val="0"/>
        <extend val="0"/>
        <outline val="0"/>
        <shadow val="0"/>
        <u val="none"/>
        <vertAlign val="baseline"/>
        <sz val="16"/>
        <color rgb="FF555555"/>
        <name val="Calibri"/>
        <family val="2"/>
        <scheme val="minor"/>
      </font>
      <alignment horizontal="left" vertical="center" textRotation="0" wrapText="1" indent="0" justifyLastLine="0" shrinkToFit="0" readingOrder="0"/>
    </dxf>
    <dxf>
      <font>
        <b val="0"/>
        <i val="0"/>
        <strike val="0"/>
        <condense val="0"/>
        <extend val="0"/>
        <outline val="0"/>
        <shadow val="0"/>
        <u val="none"/>
        <vertAlign val="baseline"/>
        <sz val="16"/>
        <color rgb="FF555555"/>
        <name val="Calibri"/>
        <family val="2"/>
        <scheme val="minor"/>
      </font>
      <numFmt numFmtId="166" formatCode="&quot;$&quot;#,##0.00"/>
      <alignment horizontal="right" vertical="center" textRotation="0" wrapText="1" indent="0" justifyLastLine="0" shrinkToFit="0" readingOrder="0"/>
    </dxf>
    <dxf>
      <font>
        <b val="0"/>
        <i val="0"/>
        <strike val="0"/>
        <condense val="0"/>
        <extend val="0"/>
        <outline val="0"/>
        <shadow val="0"/>
        <u val="none"/>
        <vertAlign val="baseline"/>
        <sz val="16"/>
        <color rgb="FF555555"/>
        <name val="Calibri"/>
        <family val="2"/>
        <scheme val="minor"/>
      </font>
      <numFmt numFmtId="166" formatCode="&quot;$&quot;#,##0.00"/>
      <alignment horizontal="right" vertical="center" textRotation="0" wrapText="1" indent="0" justifyLastLine="0" shrinkToFit="0" readingOrder="0"/>
    </dxf>
    <dxf>
      <font>
        <b val="0"/>
        <i val="0"/>
        <strike val="0"/>
        <condense val="0"/>
        <extend val="0"/>
        <outline val="0"/>
        <shadow val="0"/>
        <u val="none"/>
        <vertAlign val="baseline"/>
        <sz val="16"/>
        <color theme="1"/>
        <name val="Calibri"/>
        <family val="2"/>
        <scheme val="minor"/>
      </font>
      <alignment horizontal="general" vertical="bottom" textRotation="0" wrapText="0" indent="0" justifyLastLine="0" shrinkToFit="0" readingOrder="0"/>
    </dxf>
    <dxf>
      <font>
        <b/>
        <i val="0"/>
        <color theme="0"/>
      </font>
      <fill>
        <patternFill>
          <bgColor rgb="FF00B0F0"/>
        </patternFill>
      </fill>
    </dxf>
    <dxf>
      <font>
        <b/>
        <i val="0"/>
        <color theme="0"/>
      </font>
      <fill>
        <patternFill>
          <bgColor rgb="FFFFC000"/>
        </patternFill>
      </fill>
    </dxf>
    <dxf>
      <font>
        <b/>
        <i val="0"/>
        <color theme="0"/>
      </font>
      <fill>
        <patternFill>
          <bgColor rgb="FF002060"/>
        </patternFill>
      </fill>
    </dxf>
    <dxf>
      <font>
        <b/>
        <i val="0"/>
        <color theme="0"/>
      </font>
      <fill>
        <patternFill>
          <bgColor rgb="FFFFC000"/>
        </patternFill>
      </fill>
    </dxf>
    <dxf>
      <font>
        <b/>
        <i val="0"/>
        <color theme="0"/>
      </font>
      <fill>
        <patternFill>
          <bgColor rgb="FF002060"/>
        </patternFill>
      </fill>
    </dxf>
    <dxf>
      <font>
        <b/>
        <i val="0"/>
        <color theme="0"/>
      </font>
      <fill>
        <patternFill>
          <bgColor rgb="FF00B0F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theme="9" tint="-0.499984740745262"/>
        </patternFill>
      </fill>
    </dxf>
    <dxf>
      <font>
        <b/>
        <i val="0"/>
        <color theme="0"/>
      </font>
      <fill>
        <patternFill>
          <bgColor rgb="FF00B0F0"/>
        </patternFill>
      </fill>
    </dxf>
    <dxf>
      <font>
        <b/>
        <i val="0"/>
        <color theme="0"/>
      </font>
      <fill>
        <patternFill>
          <bgColor rgb="FFFFC000"/>
        </patternFill>
      </fill>
    </dxf>
    <dxf>
      <font>
        <b/>
        <i val="0"/>
        <color theme="0"/>
      </font>
      <fill>
        <patternFill>
          <bgColor rgb="FF002060"/>
        </patternFill>
      </fill>
    </dxf>
    <dxf>
      <font>
        <b/>
        <i val="0"/>
        <color theme="0"/>
      </font>
      <fill>
        <patternFill>
          <bgColor rgb="FFFFC000"/>
        </patternFill>
      </fill>
    </dxf>
    <dxf>
      <font>
        <b/>
        <i val="0"/>
        <color theme="0"/>
      </font>
      <fill>
        <patternFill>
          <bgColor rgb="FF002060"/>
        </patternFill>
      </fill>
    </dxf>
    <dxf>
      <font>
        <b/>
        <i val="0"/>
        <color theme="0"/>
      </font>
      <fill>
        <patternFill>
          <bgColor rgb="FF00B0F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theme="9" tint="-0.499984740745262"/>
        </patternFill>
      </fill>
    </dxf>
    <dxf>
      <font>
        <b/>
        <i val="0"/>
        <color theme="0"/>
      </font>
      <fill>
        <patternFill>
          <bgColor rgb="FF00B0F0"/>
        </patternFill>
      </fill>
    </dxf>
    <dxf>
      <font>
        <b/>
        <i val="0"/>
        <color theme="0"/>
      </font>
      <fill>
        <patternFill>
          <bgColor rgb="FFFFC000"/>
        </patternFill>
      </fill>
    </dxf>
    <dxf>
      <font>
        <b/>
        <i val="0"/>
        <color theme="0"/>
      </font>
      <fill>
        <patternFill>
          <bgColor rgb="FF002060"/>
        </patternFill>
      </fill>
    </dxf>
    <dxf>
      <font>
        <b/>
        <i val="0"/>
        <color theme="0"/>
      </font>
      <fill>
        <patternFill>
          <bgColor rgb="FFFFC000"/>
        </patternFill>
      </fill>
    </dxf>
    <dxf>
      <font>
        <b/>
        <i val="0"/>
        <color theme="0"/>
      </font>
      <fill>
        <patternFill>
          <bgColor rgb="FF002060"/>
        </patternFill>
      </fill>
    </dxf>
    <dxf>
      <font>
        <b/>
        <i val="0"/>
        <color theme="0"/>
      </font>
      <fill>
        <patternFill>
          <bgColor rgb="FF00B0F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theme="9" tint="-0.499984740745262"/>
        </patternFill>
      </fill>
    </dxf>
    <dxf>
      <font>
        <b/>
        <i val="0"/>
        <color theme="0"/>
      </font>
      <fill>
        <patternFill>
          <bgColor rgb="FF00B0F0"/>
        </patternFill>
      </fill>
    </dxf>
    <dxf>
      <font>
        <b/>
        <i val="0"/>
        <color theme="0"/>
      </font>
      <fill>
        <patternFill>
          <bgColor rgb="FFFFC000"/>
        </patternFill>
      </fill>
    </dxf>
    <dxf>
      <font>
        <b/>
        <i val="0"/>
        <color theme="0"/>
      </font>
      <fill>
        <patternFill>
          <bgColor rgb="FF002060"/>
        </patternFill>
      </fill>
    </dxf>
    <dxf>
      <font>
        <b/>
        <i val="0"/>
        <color theme="0"/>
      </font>
      <fill>
        <patternFill>
          <bgColor rgb="FFFFC000"/>
        </patternFill>
      </fill>
    </dxf>
    <dxf>
      <font>
        <b/>
        <i val="0"/>
        <color theme="0"/>
      </font>
      <fill>
        <patternFill>
          <bgColor rgb="FF002060"/>
        </patternFill>
      </fill>
    </dxf>
    <dxf>
      <font>
        <b/>
        <i val="0"/>
        <color theme="0"/>
      </font>
      <fill>
        <patternFill>
          <bgColor rgb="FF00B0F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theme="9" tint="-0.499984740745262"/>
        </patternFill>
      </fill>
    </dxf>
    <dxf>
      <font>
        <b/>
        <i val="0"/>
        <color theme="0"/>
      </font>
      <fill>
        <patternFill>
          <bgColor rgb="FF00B0F0"/>
        </patternFill>
      </fill>
    </dxf>
    <dxf>
      <font>
        <b/>
        <i val="0"/>
        <color theme="0"/>
      </font>
      <fill>
        <patternFill>
          <bgColor rgb="FFFFC000"/>
        </patternFill>
      </fill>
    </dxf>
    <dxf>
      <font>
        <b/>
        <i val="0"/>
        <color theme="0"/>
      </font>
      <fill>
        <patternFill>
          <bgColor rgb="FF002060"/>
        </patternFill>
      </fill>
    </dxf>
    <dxf>
      <font>
        <b/>
        <i val="0"/>
        <color theme="0"/>
      </font>
      <fill>
        <patternFill>
          <bgColor rgb="FFFFC000"/>
        </patternFill>
      </fill>
    </dxf>
    <dxf>
      <font>
        <b/>
        <i val="0"/>
        <color theme="0"/>
      </font>
      <fill>
        <patternFill>
          <bgColor rgb="FF002060"/>
        </patternFill>
      </fill>
    </dxf>
    <dxf>
      <font>
        <b/>
        <i val="0"/>
        <color theme="0"/>
      </font>
      <fill>
        <patternFill>
          <bgColor rgb="FF00B0F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theme="9" tint="-0.499984740745262"/>
        </patternFill>
      </fill>
    </dxf>
    <dxf>
      <font>
        <b/>
        <i val="0"/>
        <color theme="0"/>
      </font>
      <fill>
        <patternFill>
          <bgColor rgb="FF00B0F0"/>
        </patternFill>
      </fill>
    </dxf>
    <dxf>
      <font>
        <b/>
        <i val="0"/>
        <color theme="0"/>
      </font>
      <fill>
        <patternFill>
          <bgColor rgb="FFFFC000"/>
        </patternFill>
      </fill>
    </dxf>
    <dxf>
      <font>
        <b/>
        <i val="0"/>
        <color theme="0"/>
      </font>
      <fill>
        <patternFill>
          <bgColor rgb="FF002060"/>
        </patternFill>
      </fill>
    </dxf>
    <dxf>
      <font>
        <b/>
        <i val="0"/>
        <color theme="0"/>
      </font>
      <fill>
        <patternFill>
          <bgColor rgb="FFFFC000"/>
        </patternFill>
      </fill>
    </dxf>
    <dxf>
      <font>
        <b/>
        <i val="0"/>
        <color theme="0"/>
      </font>
      <fill>
        <patternFill>
          <bgColor rgb="FF002060"/>
        </patternFill>
      </fill>
    </dxf>
    <dxf>
      <font>
        <b/>
        <i val="0"/>
        <color theme="0"/>
      </font>
      <fill>
        <patternFill>
          <bgColor rgb="FF00B0F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theme="9" tint="-0.499984740745262"/>
        </patternFill>
      </fill>
    </dxf>
    <dxf>
      <font>
        <b/>
        <i val="0"/>
        <color theme="0"/>
      </font>
      <fill>
        <patternFill>
          <bgColor rgb="FF00B0F0"/>
        </patternFill>
      </fill>
    </dxf>
    <dxf>
      <font>
        <b/>
        <i val="0"/>
        <color theme="0"/>
      </font>
      <fill>
        <patternFill>
          <bgColor rgb="FFFFC000"/>
        </patternFill>
      </fill>
    </dxf>
    <dxf>
      <font>
        <b/>
        <i val="0"/>
        <color theme="0"/>
      </font>
      <fill>
        <patternFill>
          <bgColor rgb="FF002060"/>
        </patternFill>
      </fill>
    </dxf>
    <dxf>
      <font>
        <b/>
        <i val="0"/>
        <color theme="0"/>
      </font>
      <fill>
        <patternFill>
          <bgColor rgb="FFFFC000"/>
        </patternFill>
      </fill>
    </dxf>
    <dxf>
      <font>
        <b/>
        <i val="0"/>
        <color theme="0"/>
      </font>
      <fill>
        <patternFill>
          <bgColor rgb="FF002060"/>
        </patternFill>
      </fill>
    </dxf>
    <dxf>
      <font>
        <b/>
        <i val="0"/>
        <color theme="0"/>
      </font>
      <fill>
        <patternFill>
          <bgColor rgb="FF00B0F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theme="9" tint="-0.499984740745262"/>
        </patternFill>
      </fill>
    </dxf>
    <dxf>
      <font>
        <b/>
        <i val="0"/>
        <color theme="0"/>
      </font>
      <fill>
        <patternFill>
          <bgColor rgb="FF00B0F0"/>
        </patternFill>
      </fill>
    </dxf>
    <dxf>
      <font>
        <b/>
        <i val="0"/>
        <color theme="0"/>
      </font>
      <fill>
        <patternFill>
          <bgColor rgb="FFFFC000"/>
        </patternFill>
      </fill>
    </dxf>
    <dxf>
      <font>
        <b/>
        <i val="0"/>
        <color theme="0"/>
      </font>
      <fill>
        <patternFill>
          <bgColor rgb="FF002060"/>
        </patternFill>
      </fill>
    </dxf>
    <dxf>
      <font>
        <b/>
        <i val="0"/>
        <color theme="0"/>
      </font>
      <fill>
        <patternFill>
          <bgColor rgb="FFFFC000"/>
        </patternFill>
      </fill>
    </dxf>
    <dxf>
      <font>
        <b/>
        <i val="0"/>
        <color theme="0"/>
      </font>
      <fill>
        <patternFill>
          <bgColor rgb="FF002060"/>
        </patternFill>
      </fill>
    </dxf>
    <dxf>
      <font>
        <b/>
        <i val="0"/>
        <color theme="0"/>
      </font>
      <fill>
        <patternFill>
          <bgColor rgb="FF00B0F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theme="9" tint="-0.499984740745262"/>
        </patternFill>
      </fill>
    </dxf>
    <dxf>
      <font>
        <b/>
        <i val="0"/>
        <color theme="0"/>
      </font>
      <fill>
        <patternFill>
          <bgColor rgb="FF00B0F0"/>
        </patternFill>
      </fill>
    </dxf>
    <dxf>
      <font>
        <b/>
        <i val="0"/>
        <color theme="0"/>
      </font>
      <fill>
        <patternFill>
          <bgColor rgb="FFFFC000"/>
        </patternFill>
      </fill>
    </dxf>
    <dxf>
      <font>
        <b/>
        <i val="0"/>
        <color theme="0"/>
      </font>
      <fill>
        <patternFill>
          <bgColor rgb="FF002060"/>
        </patternFill>
      </fill>
    </dxf>
    <dxf>
      <font>
        <b/>
        <i val="0"/>
        <color theme="0"/>
      </font>
      <fill>
        <patternFill>
          <bgColor rgb="FFFFC000"/>
        </patternFill>
      </fill>
    </dxf>
    <dxf>
      <font>
        <b/>
        <i val="0"/>
        <color theme="0"/>
      </font>
      <fill>
        <patternFill>
          <bgColor rgb="FF002060"/>
        </patternFill>
      </fill>
    </dxf>
    <dxf>
      <font>
        <b/>
        <i val="0"/>
        <color theme="0"/>
      </font>
      <fill>
        <patternFill>
          <bgColor rgb="FF00B0F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theme="9" tint="-0.499984740745262"/>
        </patternFill>
      </fill>
    </dxf>
    <dxf>
      <font>
        <b/>
        <i val="0"/>
        <color theme="0"/>
      </font>
      <fill>
        <patternFill>
          <bgColor rgb="FF00B0F0"/>
        </patternFill>
      </fill>
    </dxf>
    <dxf>
      <font>
        <b/>
        <i val="0"/>
        <color theme="0"/>
      </font>
      <fill>
        <patternFill>
          <bgColor rgb="FFFFC000"/>
        </patternFill>
      </fill>
    </dxf>
    <dxf>
      <font>
        <b/>
        <i val="0"/>
        <color theme="0"/>
      </font>
      <fill>
        <patternFill>
          <bgColor rgb="FF002060"/>
        </patternFill>
      </fill>
    </dxf>
    <dxf>
      <font>
        <b/>
        <i val="0"/>
        <color theme="0"/>
      </font>
      <fill>
        <patternFill>
          <bgColor rgb="FFFFC000"/>
        </patternFill>
      </fill>
    </dxf>
    <dxf>
      <font>
        <b/>
        <i val="0"/>
        <color theme="0"/>
      </font>
      <fill>
        <patternFill>
          <bgColor rgb="FF002060"/>
        </patternFill>
      </fill>
    </dxf>
    <dxf>
      <font>
        <b/>
        <i val="0"/>
        <color theme="0"/>
      </font>
      <fill>
        <patternFill>
          <bgColor rgb="FF00B0F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theme="9" tint="-0.499984740745262"/>
        </patternFill>
      </fill>
    </dxf>
    <dxf>
      <font>
        <b/>
        <i val="0"/>
        <color theme="0"/>
      </font>
      <fill>
        <patternFill>
          <bgColor rgb="FF00B0F0"/>
        </patternFill>
      </fill>
    </dxf>
    <dxf>
      <font>
        <b/>
        <i val="0"/>
        <color theme="0"/>
      </font>
      <fill>
        <patternFill>
          <bgColor rgb="FFFFC000"/>
        </patternFill>
      </fill>
    </dxf>
    <dxf>
      <font>
        <b/>
        <i val="0"/>
        <color theme="0"/>
      </font>
      <fill>
        <patternFill>
          <bgColor rgb="FF002060"/>
        </patternFill>
      </fill>
    </dxf>
    <dxf>
      <font>
        <b/>
        <i val="0"/>
        <color theme="0"/>
      </font>
      <fill>
        <patternFill>
          <bgColor rgb="FFFFC000"/>
        </patternFill>
      </fill>
    </dxf>
    <dxf>
      <font>
        <b/>
        <i val="0"/>
        <color theme="0"/>
      </font>
      <fill>
        <patternFill>
          <bgColor rgb="FF002060"/>
        </patternFill>
      </fill>
    </dxf>
    <dxf>
      <font>
        <b/>
        <i val="0"/>
        <color theme="0"/>
      </font>
      <fill>
        <patternFill>
          <bgColor rgb="FF00B0F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theme="9" tint="-0.499984740745262"/>
        </patternFill>
      </fill>
    </dxf>
    <dxf>
      <font>
        <b/>
        <i val="0"/>
        <color theme="0"/>
      </font>
      <fill>
        <patternFill>
          <bgColor rgb="FF00B0F0"/>
        </patternFill>
      </fill>
    </dxf>
    <dxf>
      <font>
        <b/>
        <i val="0"/>
        <color theme="0"/>
      </font>
      <fill>
        <patternFill>
          <bgColor rgb="FFFFC000"/>
        </patternFill>
      </fill>
    </dxf>
    <dxf>
      <font>
        <b/>
        <i val="0"/>
        <color theme="0"/>
      </font>
      <fill>
        <patternFill>
          <bgColor rgb="FF002060"/>
        </patternFill>
      </fill>
    </dxf>
    <dxf>
      <font>
        <b/>
        <i val="0"/>
        <color theme="0"/>
      </font>
      <fill>
        <patternFill>
          <bgColor rgb="FFFFC000"/>
        </patternFill>
      </fill>
    </dxf>
    <dxf>
      <font>
        <b/>
        <i val="0"/>
        <color theme="0"/>
      </font>
      <fill>
        <patternFill>
          <bgColor rgb="FF002060"/>
        </patternFill>
      </fill>
    </dxf>
    <dxf>
      <font>
        <b/>
        <i val="0"/>
        <color theme="0"/>
      </font>
      <fill>
        <patternFill>
          <bgColor rgb="FF00B0F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theme="9" tint="-0.499984740745262"/>
        </patternFill>
      </fill>
    </dxf>
    <dxf>
      <font>
        <b/>
        <i val="0"/>
        <color theme="0"/>
      </font>
      <fill>
        <patternFill>
          <bgColor rgb="FF00B0F0"/>
        </patternFill>
      </fill>
    </dxf>
    <dxf>
      <font>
        <b/>
        <i val="0"/>
        <color theme="0"/>
      </font>
      <fill>
        <patternFill>
          <bgColor rgb="FFFFC000"/>
        </patternFill>
      </fill>
    </dxf>
    <dxf>
      <font>
        <b/>
        <i val="0"/>
        <color theme="0"/>
      </font>
      <fill>
        <patternFill>
          <bgColor rgb="FF002060"/>
        </patternFill>
      </fill>
    </dxf>
    <dxf>
      <font>
        <b/>
        <i val="0"/>
        <color theme="0"/>
      </font>
      <fill>
        <patternFill>
          <bgColor rgb="FFFFC000"/>
        </patternFill>
      </fill>
    </dxf>
    <dxf>
      <font>
        <b/>
        <i val="0"/>
        <color theme="0"/>
      </font>
      <fill>
        <patternFill>
          <bgColor rgb="FF002060"/>
        </patternFill>
      </fill>
    </dxf>
    <dxf>
      <font>
        <b/>
        <i val="0"/>
        <color theme="0"/>
      </font>
      <fill>
        <patternFill>
          <bgColor rgb="FF00B0F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theme="9" tint="-0.499984740745262"/>
        </patternFill>
      </fill>
    </dxf>
    <dxf>
      <font>
        <b/>
        <i val="0"/>
        <color theme="0"/>
      </font>
      <fill>
        <patternFill>
          <bgColor rgb="FF00B0F0"/>
        </patternFill>
      </fill>
    </dxf>
    <dxf>
      <font>
        <b/>
        <i val="0"/>
        <color theme="0"/>
      </font>
      <fill>
        <patternFill>
          <bgColor rgb="FFFFC000"/>
        </patternFill>
      </fill>
    </dxf>
    <dxf>
      <font>
        <b/>
        <i val="0"/>
        <color theme="0"/>
      </font>
      <fill>
        <patternFill>
          <bgColor rgb="FF002060"/>
        </patternFill>
      </fill>
    </dxf>
    <dxf>
      <font>
        <b/>
        <i val="0"/>
        <color theme="0"/>
      </font>
      <fill>
        <patternFill>
          <bgColor rgb="FFFFC000"/>
        </patternFill>
      </fill>
    </dxf>
    <dxf>
      <font>
        <b/>
        <i val="0"/>
        <color theme="0"/>
      </font>
      <fill>
        <patternFill>
          <bgColor rgb="FF002060"/>
        </patternFill>
      </fill>
    </dxf>
    <dxf>
      <font>
        <b/>
        <i val="0"/>
        <color theme="0"/>
      </font>
      <fill>
        <patternFill>
          <bgColor rgb="FF00B0F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theme="9" tint="-0.499984740745262"/>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ndense val="0"/>
        <extend val="0"/>
        <outline val="0"/>
        <shadow val="0"/>
        <u val="none"/>
        <vertAlign val="baseline"/>
        <sz val="14"/>
        <color theme="0"/>
        <name val="Calibri"/>
        <family val="2"/>
        <scheme val="minor"/>
      </font>
      <numFmt numFmtId="166" formatCode="&quot;$&quot;#,##0.00"/>
      <fill>
        <patternFill patternType="none">
          <fgColor indexed="64"/>
          <bgColor indexed="65"/>
        </patternFill>
      </fill>
      <alignment horizontal="right" vertical="center" textRotation="0" wrapText="0" indent="0" justifyLastLine="0" shrinkToFit="0" readingOrder="0"/>
      <border diagonalUp="0" diagonalDown="0" outline="0">
        <left/>
        <right/>
        <top/>
        <bottom/>
      </border>
    </dxf>
    <dxf>
      <numFmt numFmtId="166" formatCode="&quot;$&quot;#,##0.00"/>
    </dxf>
    <dxf>
      <font>
        <b/>
        <i val="0"/>
        <strike val="0"/>
        <condense val="0"/>
        <extend val="0"/>
        <outline val="0"/>
        <shadow val="0"/>
        <u val="none"/>
        <vertAlign val="baseline"/>
        <sz val="14"/>
        <color theme="0"/>
        <name val="Calibri"/>
        <family val="2"/>
        <scheme val="minor"/>
      </font>
      <numFmt numFmtId="166" formatCode="&quot;$&quot;#,##0.00"/>
      <fill>
        <patternFill patternType="none">
          <fgColor indexed="64"/>
          <bgColor indexed="65"/>
        </patternFill>
      </fill>
      <alignment horizontal="right" vertical="center" textRotation="0" wrapText="0" indent="0" justifyLastLine="0" shrinkToFit="0" readingOrder="0"/>
      <border diagonalUp="0" diagonalDown="0" outline="0">
        <left/>
        <right/>
        <top style="thick">
          <color theme="2" tint="-0.89996032593768116"/>
        </top>
        <bottom style="thick">
          <color theme="2" tint="-0.89996032593768116"/>
        </bottom>
      </border>
    </dxf>
    <dxf>
      <numFmt numFmtId="166" formatCode="&quot;$&quot;#,##0.00"/>
      <border outline="0">
        <left style="thick">
          <color theme="2" tint="-0.749961851863155"/>
        </left>
      </border>
    </dxf>
    <dxf>
      <font>
        <b/>
        <i val="0"/>
        <strike val="0"/>
        <condense val="0"/>
        <extend val="0"/>
        <outline val="0"/>
        <shadow val="0"/>
        <u val="none"/>
        <vertAlign val="baseline"/>
        <sz val="14"/>
        <color theme="0"/>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ck">
          <color theme="2" tint="-0.89996032593768116"/>
        </top>
        <bottom style="thick">
          <color theme="2" tint="-0.89996032593768116"/>
        </bottom>
      </border>
    </dxf>
    <dxf>
      <font>
        <b/>
        <i val="0"/>
        <strike val="0"/>
        <condense val="0"/>
        <extend val="0"/>
        <outline val="0"/>
        <shadow val="0"/>
        <u val="none"/>
        <vertAlign val="baseline"/>
        <sz val="12"/>
        <color auto="1"/>
        <name val="Corbel"/>
        <family val="2"/>
        <scheme val="major"/>
      </font>
      <fill>
        <patternFill patternType="none">
          <fgColor indexed="64"/>
          <bgColor auto="1"/>
        </patternFill>
      </fill>
      <alignment horizontal="left" vertical="center" textRotation="0" wrapText="0" indent="0" justifyLastLine="0" shrinkToFit="0" readingOrder="0"/>
      <border diagonalUp="0" diagonalDown="0" outline="0">
        <left style="thick">
          <color theme="2" tint="-0.749961851863155"/>
        </left>
        <right style="thick">
          <color theme="2" tint="-0.749961851863155"/>
        </right>
        <top style="thick">
          <color theme="2" tint="-0.749961851863155"/>
        </top>
        <bottom style="thick">
          <color theme="2" tint="-0.749961851863155"/>
        </bottom>
      </border>
    </dxf>
    <dxf>
      <border outline="0">
        <bottom style="thick">
          <color rgb="FF1F4E49"/>
        </bottom>
      </border>
    </dxf>
    <dxf>
      <font>
        <strike val="0"/>
        <outline val="0"/>
        <shadow val="0"/>
        <u val="none"/>
        <vertAlign val="baseline"/>
        <sz val="12"/>
        <color auto="1"/>
        <name val="Corbel"/>
        <family val="2"/>
        <scheme val="none"/>
      </font>
    </dxf>
    <dxf>
      <font>
        <strike val="0"/>
        <outline val="0"/>
        <shadow val="0"/>
        <u val="none"/>
        <vertAlign val="baseline"/>
        <sz val="14"/>
        <color theme="0"/>
        <name val="Calibri"/>
        <family val="2"/>
        <scheme val="minor"/>
      </font>
      <fill>
        <patternFill patternType="none">
          <fgColor indexed="64"/>
          <bgColor auto="1"/>
        </patternFill>
      </fill>
    </dxf>
    <dxf>
      <numFmt numFmtId="166" formatCode="&quot;$&quot;#,##0.00"/>
      <alignment horizontal="general" vertical="bottom" textRotation="0" wrapText="0" indent="0" justifyLastLine="0" shrinkToFit="0" readingOrder="0"/>
    </dxf>
    <dxf>
      <font>
        <strike val="0"/>
        <outline val="0"/>
        <shadow val="0"/>
        <u val="none"/>
        <color auto="1"/>
      </font>
      <numFmt numFmtId="0" formatCode="General"/>
      <fill>
        <patternFill patternType="none">
          <fgColor rgb="FF000000"/>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0" formatCode="General"/>
      <fill>
        <patternFill patternType="none">
          <fgColor rgb="FF000000"/>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0" formatCode="General"/>
      <fill>
        <patternFill patternType="none">
          <fgColor rgb="FF000000"/>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0" formatCode="General"/>
      <fill>
        <patternFill patternType="none">
          <fgColor rgb="FF000000"/>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0" formatCode="General"/>
      <fill>
        <patternFill patternType="none">
          <fgColor rgb="FF000000"/>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fill>
        <patternFill patternType="none">
          <fgColor indexed="64"/>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fill>
        <patternFill patternType="none">
          <fgColor indexed="64"/>
          <bgColor auto="1"/>
        </patternFill>
      </fill>
      <alignment horizontal="left" vertical="bottom" textRotation="0" wrapText="0" indent="0" justifyLastLine="0" shrinkToFit="0" readingOrder="0"/>
    </dxf>
    <dxf>
      <numFmt numFmtId="166" formatCode="&quot;$&quot;#,##0.00"/>
      <alignment horizontal="general" vertical="bottom" textRotation="0" wrapText="0" indent="0" justifyLastLine="0" shrinkToFit="0" readingOrder="0"/>
    </dxf>
    <dxf>
      <font>
        <strike val="0"/>
        <outline val="0"/>
        <shadow val="0"/>
        <u val="none"/>
        <color auto="1"/>
      </font>
      <numFmt numFmtId="166" formatCode="&quot;$&quot;#,##0.00"/>
      <fill>
        <patternFill patternType="none">
          <fgColor indexed="64"/>
          <bgColor auto="1"/>
        </patternFill>
      </fill>
      <alignment horizontal="right"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fill>
        <patternFill patternType="none">
          <fgColor indexed="64"/>
          <bgColor auto="1"/>
        </patternFill>
      </fill>
      <alignment horizontal="general" vertical="bottom" textRotation="0" wrapText="0" indent="0" justifyLastLine="0" shrinkToFit="0" readingOrder="0"/>
    </dxf>
    <dxf>
      <numFmt numFmtId="166" formatCode="&quot;$&quot;#,##0.00"/>
      <alignment horizontal="general"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dxf>
    <dxf>
      <numFmt numFmtId="166" formatCode="&quot;$&quot;#,##0.00"/>
      <alignment horizontal="general" vertical="bottom" textRotation="0" wrapText="0" indent="0" justifyLastLine="0" shrinkToFit="0" readingOrder="0"/>
    </dxf>
    <dxf>
      <font>
        <strike val="0"/>
        <outline val="0"/>
        <shadow val="0"/>
        <u val="none"/>
        <color auto="1"/>
      </font>
      <numFmt numFmtId="166" formatCode="&quot;$&quot;#,##0.00"/>
      <fill>
        <patternFill patternType="none">
          <fgColor indexed="64"/>
          <bgColor auto="1"/>
        </patternFill>
      </fill>
      <alignment horizontal="right"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fill>
        <patternFill patternType="none">
          <fgColor indexed="64"/>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fill>
        <patternFill patternType="none">
          <fgColor indexed="64"/>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fill>
        <patternFill patternType="none">
          <fgColor indexed="64"/>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fill>
        <patternFill patternType="none">
          <fgColor indexed="64"/>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auto="1"/>
        </patternFill>
      </fill>
      <alignment horizontal="left" vertical="bottom" textRotation="0" wrapText="0" indent="0" justifyLastLine="0" shrinkToFit="0" readingOrder="0"/>
    </dxf>
    <dxf>
      <alignment horizontal="general"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general" textRotation="0" wrapText="0" indent="0" justifyLastLine="0" shrinkToFit="0" readingOrder="0"/>
    </dxf>
    <dxf>
      <alignment horizontal="general" vertical="center" textRotation="0" wrapText="1" indent="0" justifyLastLine="0" shrinkToFit="0" readingOrder="0"/>
    </dxf>
    <dxf>
      <font>
        <strike val="0"/>
        <outline val="0"/>
        <shadow val="0"/>
        <u val="none"/>
        <color auto="1"/>
      </font>
      <fill>
        <patternFill patternType="none">
          <fgColor indexed="64"/>
          <bgColor auto="1"/>
        </patternFill>
      </fill>
      <alignment horizontal="general" textRotation="0" wrapText="0" indent="0" justifyLastLine="0" shrinkToFit="0" readingOrder="0"/>
    </dxf>
    <dxf>
      <alignment horizontal="general" vertical="center" textRotation="0" wrapText="1" indent="0" justifyLastLine="0" shrinkToFit="0" readingOrder="0"/>
    </dxf>
    <dxf>
      <font>
        <strike val="0"/>
        <outline val="0"/>
        <shadow val="0"/>
        <u val="none"/>
        <color auto="1"/>
      </font>
      <fill>
        <patternFill patternType="none">
          <fgColor indexed="64"/>
          <bgColor auto="1"/>
        </patternFill>
      </fill>
      <alignment horizontal="general" textRotation="0" wrapText="0" indent="0" justifyLastLine="0" shrinkToFit="0" readingOrder="0"/>
    </dxf>
    <dxf>
      <font>
        <strike val="0"/>
        <outline val="0"/>
        <shadow val="0"/>
        <u val="none"/>
        <color auto="1"/>
      </font>
      <fill>
        <patternFill patternType="none">
          <fgColor rgb="FF000000"/>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rgb="FFEC6E6E"/>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rgb="FFEC6E6E"/>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rgb="FFEC6E6E"/>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ndense val="0"/>
        <extend val="0"/>
        <outline val="0"/>
        <shadow val="0"/>
        <u val="none"/>
        <vertAlign val="baseline"/>
        <sz val="14"/>
        <color theme="0"/>
        <name val="Calibri"/>
        <family val="2"/>
        <scheme val="minor"/>
      </font>
      <numFmt numFmtId="166" formatCode="&quot;$&quot;#,##0.00"/>
      <fill>
        <patternFill patternType="none">
          <fgColor indexed="64"/>
          <bgColor indexed="65"/>
        </patternFill>
      </fill>
      <alignment horizontal="right" vertical="center" textRotation="0" wrapText="0" indent="0" justifyLastLine="0" shrinkToFit="0" readingOrder="0"/>
      <border diagonalUp="0" diagonalDown="0" outline="0">
        <left/>
        <right/>
        <top/>
        <bottom/>
      </border>
    </dxf>
    <dxf>
      <numFmt numFmtId="166" formatCode="&quot;$&quot;#,##0.00"/>
    </dxf>
    <dxf>
      <font>
        <b/>
        <i val="0"/>
        <strike val="0"/>
        <condense val="0"/>
        <extend val="0"/>
        <outline val="0"/>
        <shadow val="0"/>
        <u val="none"/>
        <vertAlign val="baseline"/>
        <sz val="14"/>
        <color theme="0"/>
        <name val="Calibri"/>
        <family val="2"/>
        <scheme val="minor"/>
      </font>
      <numFmt numFmtId="166" formatCode="&quot;$&quot;#,##0.00"/>
      <fill>
        <patternFill patternType="none">
          <fgColor indexed="64"/>
          <bgColor indexed="65"/>
        </patternFill>
      </fill>
      <alignment horizontal="right" vertical="center" textRotation="0" wrapText="0" indent="0" justifyLastLine="0" shrinkToFit="0" readingOrder="0"/>
      <border diagonalUp="0" diagonalDown="0" outline="0">
        <left/>
        <right/>
        <top style="thick">
          <color theme="2" tint="-0.89996032593768116"/>
        </top>
        <bottom style="thick">
          <color theme="2" tint="-0.89996032593768116"/>
        </bottom>
      </border>
    </dxf>
    <dxf>
      <numFmt numFmtId="166" formatCode="&quot;$&quot;#,##0.00"/>
      <border outline="0">
        <left style="thick">
          <color theme="2" tint="-0.749961851863155"/>
        </left>
      </border>
    </dxf>
    <dxf>
      <font>
        <b/>
        <i val="0"/>
        <strike val="0"/>
        <condense val="0"/>
        <extend val="0"/>
        <outline val="0"/>
        <shadow val="0"/>
        <u val="none"/>
        <vertAlign val="baseline"/>
        <sz val="14"/>
        <color theme="0"/>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ck">
          <color theme="2" tint="-0.89996032593768116"/>
        </top>
        <bottom style="thick">
          <color theme="2" tint="-0.89996032593768116"/>
        </bottom>
      </border>
    </dxf>
    <dxf>
      <font>
        <b/>
        <i val="0"/>
        <strike val="0"/>
        <condense val="0"/>
        <extend val="0"/>
        <outline val="0"/>
        <shadow val="0"/>
        <u val="none"/>
        <vertAlign val="baseline"/>
        <sz val="12"/>
        <color auto="1"/>
        <name val="Corbel"/>
        <family val="2"/>
        <scheme val="major"/>
      </font>
      <fill>
        <patternFill patternType="none">
          <fgColor indexed="64"/>
          <bgColor auto="1"/>
        </patternFill>
      </fill>
      <alignment horizontal="left" vertical="center" textRotation="0" wrapText="0" indent="0" justifyLastLine="0" shrinkToFit="0" readingOrder="0"/>
      <border diagonalUp="0" diagonalDown="0" outline="0">
        <left style="thick">
          <color theme="2" tint="-0.749961851863155"/>
        </left>
        <right style="thick">
          <color theme="2" tint="-0.749961851863155"/>
        </right>
        <top style="thick">
          <color theme="2" tint="-0.749961851863155"/>
        </top>
        <bottom style="thick">
          <color theme="2" tint="-0.749961851863155"/>
        </bottom>
      </border>
    </dxf>
    <dxf>
      <border outline="0">
        <bottom style="thick">
          <color rgb="FF1F4E49"/>
        </bottom>
      </border>
    </dxf>
    <dxf>
      <font>
        <strike val="0"/>
        <outline val="0"/>
        <shadow val="0"/>
        <u val="none"/>
        <vertAlign val="baseline"/>
        <sz val="12"/>
        <color auto="1"/>
        <name val="Corbel"/>
        <family val="2"/>
        <scheme val="none"/>
      </font>
    </dxf>
    <dxf>
      <font>
        <strike val="0"/>
        <outline val="0"/>
        <shadow val="0"/>
        <u val="none"/>
        <vertAlign val="baseline"/>
        <sz val="14"/>
        <color theme="0"/>
        <name val="Calibri"/>
        <family val="2"/>
        <scheme val="minor"/>
      </font>
      <fill>
        <patternFill patternType="none">
          <fgColor indexed="64"/>
          <bgColor auto="1"/>
        </patternFill>
      </fill>
    </dxf>
    <dxf>
      <numFmt numFmtId="166" formatCode="&quot;$&quot;#,##0.00"/>
      <alignment horizontal="general" vertical="bottom" textRotation="0" wrapText="0" indent="0" justifyLastLine="0" shrinkToFit="0" readingOrder="0"/>
    </dxf>
    <dxf>
      <font>
        <strike val="0"/>
        <outline val="0"/>
        <shadow val="0"/>
        <u val="none"/>
        <color auto="1"/>
      </font>
      <numFmt numFmtId="0" formatCode="General"/>
      <fill>
        <patternFill patternType="none">
          <fgColor rgb="FF000000"/>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0" formatCode="General"/>
      <fill>
        <patternFill patternType="none">
          <fgColor rgb="FF000000"/>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0" formatCode="General"/>
      <fill>
        <patternFill patternType="none">
          <fgColor rgb="FF000000"/>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0" formatCode="General"/>
      <fill>
        <patternFill patternType="none">
          <fgColor rgb="FF000000"/>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0" formatCode="General"/>
      <fill>
        <patternFill patternType="none">
          <fgColor rgb="FF000000"/>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fill>
        <patternFill patternType="none">
          <fgColor indexed="64"/>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fill>
        <patternFill patternType="none">
          <fgColor indexed="64"/>
          <bgColor auto="1"/>
        </patternFill>
      </fill>
      <alignment horizontal="left" vertical="bottom" textRotation="0" wrapText="0" indent="0" justifyLastLine="0" shrinkToFit="0" readingOrder="0"/>
    </dxf>
    <dxf>
      <numFmt numFmtId="166" formatCode="&quot;$&quot;#,##0.00"/>
      <alignment horizontal="general" vertical="bottom" textRotation="0" wrapText="0" indent="0" justifyLastLine="0" shrinkToFit="0" readingOrder="0"/>
    </dxf>
    <dxf>
      <font>
        <strike val="0"/>
        <outline val="0"/>
        <shadow val="0"/>
        <u val="none"/>
        <color auto="1"/>
      </font>
      <numFmt numFmtId="166" formatCode="&quot;$&quot;#,##0.00"/>
      <fill>
        <patternFill patternType="none">
          <fgColor indexed="64"/>
          <bgColor auto="1"/>
        </patternFill>
      </fill>
      <alignment horizontal="right"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fill>
        <patternFill patternType="none">
          <fgColor indexed="64"/>
          <bgColor auto="1"/>
        </patternFill>
      </fill>
      <alignment horizontal="general" vertical="bottom" textRotation="0" wrapText="0" indent="0" justifyLastLine="0" shrinkToFit="0" readingOrder="0"/>
    </dxf>
    <dxf>
      <numFmt numFmtId="166" formatCode="&quot;$&quot;#,##0.00"/>
      <alignment horizontal="general"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dxf>
    <dxf>
      <numFmt numFmtId="166" formatCode="&quot;$&quot;#,##0.00"/>
      <alignment horizontal="general" vertical="bottom" textRotation="0" wrapText="0" indent="0" justifyLastLine="0" shrinkToFit="0" readingOrder="0"/>
    </dxf>
    <dxf>
      <font>
        <strike val="0"/>
        <outline val="0"/>
        <shadow val="0"/>
        <u val="none"/>
        <color auto="1"/>
      </font>
      <numFmt numFmtId="166" formatCode="&quot;$&quot;#,##0.00"/>
      <fill>
        <patternFill patternType="none">
          <fgColor indexed="64"/>
          <bgColor auto="1"/>
        </patternFill>
      </fill>
      <alignment horizontal="right"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fill>
        <patternFill patternType="none">
          <fgColor indexed="64"/>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fill>
        <patternFill patternType="none">
          <fgColor indexed="64"/>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fill>
        <patternFill patternType="none">
          <fgColor indexed="64"/>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fill>
        <patternFill patternType="none">
          <fgColor indexed="64"/>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auto="1"/>
        </patternFill>
      </fill>
      <alignment horizontal="left" vertical="bottom" textRotation="0" wrapText="0" indent="0" justifyLastLine="0" shrinkToFit="0" readingOrder="0"/>
    </dxf>
    <dxf>
      <alignment horizontal="general"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general" textRotation="0" wrapText="0" indent="0" justifyLastLine="0" shrinkToFit="0" readingOrder="0"/>
    </dxf>
    <dxf>
      <alignment horizontal="general" vertical="center" textRotation="0" wrapText="1" indent="0" justifyLastLine="0" shrinkToFit="0" readingOrder="0"/>
    </dxf>
    <dxf>
      <font>
        <strike val="0"/>
        <outline val="0"/>
        <shadow val="0"/>
        <u val="none"/>
        <color auto="1"/>
      </font>
      <fill>
        <patternFill patternType="none">
          <fgColor indexed="64"/>
          <bgColor auto="1"/>
        </patternFill>
      </fill>
      <alignment horizontal="general" textRotation="0" wrapText="0" indent="0" justifyLastLine="0" shrinkToFit="0" readingOrder="0"/>
    </dxf>
    <dxf>
      <alignment horizontal="general" vertical="center" textRotation="0" wrapText="1" indent="0" justifyLastLine="0" shrinkToFit="0" readingOrder="0"/>
    </dxf>
    <dxf>
      <font>
        <strike val="0"/>
        <outline val="0"/>
        <shadow val="0"/>
        <u val="none"/>
        <color auto="1"/>
      </font>
      <fill>
        <patternFill patternType="none">
          <fgColor indexed="64"/>
          <bgColor auto="1"/>
        </patternFill>
      </fill>
      <alignment horizontal="general" textRotation="0" wrapText="0" indent="0" justifyLastLine="0" shrinkToFit="0" readingOrder="0"/>
    </dxf>
    <dxf>
      <font>
        <strike val="0"/>
        <outline val="0"/>
        <shadow val="0"/>
        <u val="none"/>
        <color auto="1"/>
      </font>
      <fill>
        <patternFill patternType="none">
          <fgColor rgb="FF000000"/>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rgb="FFEC6E6E"/>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rgb="FFEC6E6E"/>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rgb="FFEC6E6E"/>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ndense val="0"/>
        <extend val="0"/>
        <outline val="0"/>
        <shadow val="0"/>
        <u val="none"/>
        <vertAlign val="baseline"/>
        <sz val="14"/>
        <color theme="0"/>
        <name val="Calibri"/>
        <family val="2"/>
        <scheme val="minor"/>
      </font>
      <numFmt numFmtId="166" formatCode="&quot;$&quot;#,##0.00"/>
      <fill>
        <patternFill patternType="none">
          <fgColor indexed="64"/>
          <bgColor indexed="65"/>
        </patternFill>
      </fill>
      <alignment horizontal="right" vertical="center" textRotation="0" wrapText="0" indent="0" justifyLastLine="0" shrinkToFit="0" readingOrder="0"/>
      <border diagonalUp="0" diagonalDown="0" outline="0">
        <left/>
        <right/>
        <top/>
        <bottom/>
      </border>
    </dxf>
    <dxf>
      <numFmt numFmtId="166" formatCode="&quot;$&quot;#,##0.00"/>
    </dxf>
    <dxf>
      <font>
        <b/>
        <i val="0"/>
        <strike val="0"/>
        <condense val="0"/>
        <extend val="0"/>
        <outline val="0"/>
        <shadow val="0"/>
        <u val="none"/>
        <vertAlign val="baseline"/>
        <sz val="14"/>
        <color theme="0"/>
        <name val="Calibri"/>
        <family val="2"/>
        <scheme val="minor"/>
      </font>
      <numFmt numFmtId="166" formatCode="&quot;$&quot;#,##0.00"/>
      <fill>
        <patternFill patternType="none">
          <fgColor indexed="64"/>
          <bgColor indexed="65"/>
        </patternFill>
      </fill>
      <alignment horizontal="right" vertical="center" textRotation="0" wrapText="0" indent="0" justifyLastLine="0" shrinkToFit="0" readingOrder="0"/>
      <border diagonalUp="0" diagonalDown="0" outline="0">
        <left/>
        <right/>
        <top style="thick">
          <color theme="2" tint="-0.89996032593768116"/>
        </top>
        <bottom style="thick">
          <color theme="2" tint="-0.89996032593768116"/>
        </bottom>
      </border>
    </dxf>
    <dxf>
      <numFmt numFmtId="166" formatCode="&quot;$&quot;#,##0.00"/>
      <border outline="0">
        <left style="thick">
          <color theme="2" tint="-0.749961851863155"/>
        </left>
      </border>
    </dxf>
    <dxf>
      <font>
        <b/>
        <i val="0"/>
        <strike val="0"/>
        <condense val="0"/>
        <extend val="0"/>
        <outline val="0"/>
        <shadow val="0"/>
        <u val="none"/>
        <vertAlign val="baseline"/>
        <sz val="14"/>
        <color theme="0"/>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ck">
          <color theme="2" tint="-0.89996032593768116"/>
        </top>
        <bottom style="thick">
          <color theme="2" tint="-0.89996032593768116"/>
        </bottom>
      </border>
    </dxf>
    <dxf>
      <font>
        <b/>
        <i val="0"/>
        <strike val="0"/>
        <condense val="0"/>
        <extend val="0"/>
        <outline val="0"/>
        <shadow val="0"/>
        <u val="none"/>
        <vertAlign val="baseline"/>
        <sz val="12"/>
        <color auto="1"/>
        <name val="Corbel"/>
        <family val="2"/>
        <scheme val="major"/>
      </font>
      <fill>
        <patternFill patternType="none">
          <fgColor indexed="64"/>
          <bgColor auto="1"/>
        </patternFill>
      </fill>
      <alignment horizontal="left" vertical="center" textRotation="0" wrapText="0" indent="0" justifyLastLine="0" shrinkToFit="0" readingOrder="0"/>
      <border diagonalUp="0" diagonalDown="0" outline="0">
        <left style="thick">
          <color theme="2" tint="-0.749961851863155"/>
        </left>
        <right style="thick">
          <color theme="2" tint="-0.749961851863155"/>
        </right>
        <top style="thick">
          <color theme="2" tint="-0.749961851863155"/>
        </top>
        <bottom style="thick">
          <color theme="2" tint="-0.749961851863155"/>
        </bottom>
      </border>
    </dxf>
    <dxf>
      <border outline="0">
        <bottom style="thick">
          <color rgb="FF1F4E49"/>
        </bottom>
      </border>
    </dxf>
    <dxf>
      <font>
        <strike val="0"/>
        <outline val="0"/>
        <shadow val="0"/>
        <u val="none"/>
        <vertAlign val="baseline"/>
        <sz val="12"/>
        <color auto="1"/>
        <name val="Corbel"/>
        <family val="2"/>
        <scheme val="none"/>
      </font>
    </dxf>
    <dxf>
      <font>
        <strike val="0"/>
        <outline val="0"/>
        <shadow val="0"/>
        <u val="none"/>
        <vertAlign val="baseline"/>
        <sz val="14"/>
        <color theme="0"/>
        <name val="Calibri"/>
        <family val="2"/>
        <scheme val="minor"/>
      </font>
      <fill>
        <patternFill patternType="none">
          <fgColor indexed="64"/>
          <bgColor auto="1"/>
        </patternFill>
      </fill>
    </dxf>
    <dxf>
      <numFmt numFmtId="166" formatCode="&quot;$&quot;#,##0.00"/>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fill>
        <patternFill patternType="none">
          <fgColor indexed="64"/>
          <bgColor indexed="65"/>
        </patternFill>
      </fill>
      <alignment horizontal="left" vertical="bottom" textRotation="0" wrapText="0" indent="0" justifyLastLine="0" shrinkToFit="0" readingOrder="0"/>
    </dxf>
    <dxf>
      <numFmt numFmtId="166" formatCode="&quot;$&quot;#,##0.00"/>
      <alignment horizontal="general" vertical="bottom" textRotation="0" wrapText="0" indent="0" justifyLastLine="0" shrinkToFit="0" readingOrder="0"/>
    </dxf>
    <dxf>
      <font>
        <strike val="0"/>
        <outline val="0"/>
        <shadow val="0"/>
        <u val="none"/>
        <color auto="1"/>
      </font>
      <numFmt numFmtId="166" formatCode="&quot;$&quot;#,##0.00"/>
      <fill>
        <patternFill patternType="none">
          <fgColor indexed="64"/>
          <bgColor indexed="65"/>
        </patternFill>
      </fill>
      <alignment horizontal="right"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fill>
        <patternFill patternType="none">
          <fgColor indexed="64"/>
          <bgColor indexed="65"/>
        </patternFill>
      </fill>
      <alignment horizontal="left" vertical="bottom" textRotation="0" wrapText="0" indent="0" justifyLastLine="0" shrinkToFit="0" readingOrder="0"/>
    </dxf>
    <dxf>
      <numFmt numFmtId="166" formatCode="&quot;$&quot;#,##0.00"/>
      <alignment horizontal="general"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dxf>
    <dxf>
      <numFmt numFmtId="166" formatCode="&quot;$&quot;#,##0.00"/>
      <alignment horizontal="general" vertical="bottom" textRotation="0" wrapText="0" indent="0" justifyLastLine="0" shrinkToFit="0" readingOrder="0"/>
    </dxf>
    <dxf>
      <font>
        <strike val="0"/>
        <outline val="0"/>
        <shadow val="0"/>
        <u val="none"/>
        <color auto="1"/>
      </font>
      <numFmt numFmtId="166" formatCode="&quot;$&quot;#,##0.00"/>
      <fill>
        <patternFill patternType="none">
          <fgColor indexed="64"/>
          <bgColor indexed="65"/>
        </patternFill>
      </fill>
      <alignment horizontal="right"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fill>
        <patternFill patternType="none">
          <fgColor indexed="64"/>
          <bgColor indexed="65"/>
        </patternFill>
      </fill>
      <alignment horizontal="left" vertical="center"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indexed="65"/>
        </patternFill>
      </fill>
      <alignment horizontal="left" vertical="bottom" textRotation="0" wrapText="0" indent="0" justifyLastLine="0" shrinkToFit="0" readingOrder="0"/>
    </dxf>
    <dxf>
      <alignment horizontal="general"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general" vertical="bottom" textRotation="0" wrapText="0" indent="0" justifyLastLine="0" shrinkToFit="0" readingOrder="0"/>
    </dxf>
    <dxf>
      <alignment horizontal="general" vertical="center" textRotation="0" wrapText="1" indent="0" justifyLastLine="0" shrinkToFit="0" readingOrder="0"/>
    </dxf>
    <dxf>
      <font>
        <strike val="0"/>
        <outline val="0"/>
        <shadow val="0"/>
        <u val="none"/>
        <color auto="1"/>
      </font>
      <fill>
        <patternFill patternType="none">
          <fgColor indexed="64"/>
          <bgColor indexed="65"/>
        </patternFill>
      </fill>
      <alignment horizontal="general" vertical="bottom" textRotation="0" wrapText="0" indent="0" justifyLastLine="0" shrinkToFit="0" readingOrder="0"/>
    </dxf>
    <dxf>
      <alignment horizontal="general" vertical="center" textRotation="0" wrapText="1" indent="0" justifyLastLine="0" shrinkToFit="0" readingOrder="0"/>
    </dxf>
    <dxf>
      <font>
        <strike val="0"/>
        <outline val="0"/>
        <shadow val="0"/>
        <u val="none"/>
        <color auto="1"/>
      </font>
      <fill>
        <patternFill patternType="none">
          <fgColor indexed="64"/>
          <bgColor indexed="65"/>
        </patternFill>
      </fill>
      <alignment horizontal="general" vertical="bottom" textRotation="0" wrapText="0" indent="0" justifyLastLine="0" shrinkToFit="0" readingOrder="0"/>
    </dxf>
    <dxf>
      <font>
        <strike val="0"/>
        <outline val="0"/>
        <shadow val="0"/>
        <u val="none"/>
        <color auto="1"/>
      </font>
      <fill>
        <patternFill patternType="none">
          <fgColor rgb="FF000000"/>
          <bgColor rgb="FFFFFFFF"/>
        </patternFill>
      </fill>
      <alignment horizontal="general" vertical="bottom" textRotation="0" wrapText="0" indent="0" justifyLastLine="0" shrinkToFit="0" readingOrder="0"/>
    </dxf>
    <dxf>
      <alignment horizontal="general" vertical="bottom" textRotation="0" wrapText="0" indent="0" justifyLastLine="0" shrinkToFit="0" readingOrder="0"/>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rgb="FFEC6E6E"/>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rgb="FFEC6E6E"/>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rgb="FFEC6E6E"/>
        </patternFill>
      </fill>
    </dxf>
    <dxf>
      <font>
        <b/>
        <i val="0"/>
        <color theme="0"/>
      </font>
      <fill>
        <patternFill>
          <bgColor theme="9" tint="-0.499984740745262"/>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ndense val="0"/>
        <extend val="0"/>
        <outline val="0"/>
        <shadow val="0"/>
        <u val="none"/>
        <vertAlign val="baseline"/>
        <sz val="14"/>
        <color theme="0"/>
        <name val="Calibri"/>
        <family val="2"/>
        <scheme val="minor"/>
      </font>
      <numFmt numFmtId="166" formatCode="&quot;$&quot;#,##0.00"/>
      <fill>
        <patternFill patternType="none">
          <fgColor indexed="64"/>
          <bgColor indexed="65"/>
        </patternFill>
      </fill>
      <alignment horizontal="right" vertical="center" textRotation="0" wrapText="0" indent="0" justifyLastLine="0" shrinkToFit="0" readingOrder="0"/>
      <border diagonalUp="0" diagonalDown="0" outline="0">
        <left/>
        <right/>
        <top/>
        <bottom/>
      </border>
    </dxf>
    <dxf>
      <numFmt numFmtId="166" formatCode="&quot;$&quot;#,##0.00"/>
    </dxf>
    <dxf>
      <font>
        <b/>
        <i val="0"/>
        <strike val="0"/>
        <condense val="0"/>
        <extend val="0"/>
        <outline val="0"/>
        <shadow val="0"/>
        <u val="none"/>
        <vertAlign val="baseline"/>
        <sz val="14"/>
        <color theme="0"/>
        <name val="Calibri"/>
        <family val="2"/>
        <scheme val="minor"/>
      </font>
      <numFmt numFmtId="166" formatCode="&quot;$&quot;#,##0.00"/>
      <fill>
        <patternFill patternType="none">
          <fgColor indexed="64"/>
          <bgColor indexed="65"/>
        </patternFill>
      </fill>
      <alignment horizontal="right" vertical="center" textRotation="0" wrapText="0" indent="0" justifyLastLine="0" shrinkToFit="0" readingOrder="0"/>
      <border diagonalUp="0" diagonalDown="0" outline="0">
        <left/>
        <right/>
        <top style="thick">
          <color theme="2" tint="-0.89996032593768116"/>
        </top>
        <bottom style="thick">
          <color theme="2" tint="-0.89996032593768116"/>
        </bottom>
      </border>
    </dxf>
    <dxf>
      <numFmt numFmtId="166" formatCode="&quot;$&quot;#,##0.00"/>
      <border outline="0">
        <left style="thick">
          <color theme="2" tint="-0.749961851863155"/>
        </left>
      </border>
    </dxf>
    <dxf>
      <font>
        <b/>
        <i val="0"/>
        <strike val="0"/>
        <condense val="0"/>
        <extend val="0"/>
        <outline val="0"/>
        <shadow val="0"/>
        <u val="none"/>
        <vertAlign val="baseline"/>
        <sz val="14"/>
        <color theme="0"/>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ck">
          <color theme="2" tint="-0.89996032593768116"/>
        </top>
        <bottom style="thick">
          <color theme="2" tint="-0.89996032593768116"/>
        </bottom>
      </border>
    </dxf>
    <dxf>
      <font>
        <b/>
        <i val="0"/>
        <strike val="0"/>
        <condense val="0"/>
        <extend val="0"/>
        <outline val="0"/>
        <shadow val="0"/>
        <u val="none"/>
        <vertAlign val="baseline"/>
        <sz val="12"/>
        <color auto="1"/>
        <name val="Corbel"/>
        <family val="2"/>
        <scheme val="major"/>
      </font>
      <fill>
        <patternFill patternType="none">
          <fgColor indexed="64"/>
          <bgColor auto="1"/>
        </patternFill>
      </fill>
      <alignment horizontal="left" vertical="center" textRotation="0" wrapText="0" indent="0" justifyLastLine="0" shrinkToFit="0" readingOrder="0"/>
      <border diagonalUp="0" diagonalDown="0" outline="0">
        <left style="thick">
          <color theme="2" tint="-0.749961851863155"/>
        </left>
        <right style="thick">
          <color theme="2" tint="-0.749961851863155"/>
        </right>
        <top style="thick">
          <color theme="2" tint="-0.749961851863155"/>
        </top>
        <bottom style="thick">
          <color theme="2" tint="-0.749961851863155"/>
        </bottom>
      </border>
    </dxf>
    <dxf>
      <border outline="0">
        <bottom style="thick">
          <color rgb="FF1F4E49"/>
        </bottom>
      </border>
    </dxf>
    <dxf>
      <font>
        <strike val="0"/>
        <outline val="0"/>
        <shadow val="0"/>
        <u val="none"/>
        <vertAlign val="baseline"/>
        <sz val="12"/>
        <color auto="1"/>
        <name val="Corbel"/>
        <family val="2"/>
        <scheme val="none"/>
      </font>
    </dxf>
    <dxf>
      <font>
        <strike val="0"/>
        <outline val="0"/>
        <shadow val="0"/>
        <u val="none"/>
        <vertAlign val="baseline"/>
        <sz val="14"/>
        <color theme="0"/>
        <name val="Calibri"/>
        <family val="2"/>
        <scheme val="minor"/>
      </font>
      <fill>
        <patternFill patternType="none">
          <fgColor indexed="64"/>
          <bgColor auto="1"/>
        </patternFill>
      </fill>
    </dxf>
    <dxf>
      <numFmt numFmtId="166" formatCode="&quot;$&quot;#,##0.00"/>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fill>
        <patternFill patternType="none">
          <fgColor indexed="64"/>
          <bgColor indexed="65"/>
        </patternFill>
      </fill>
      <alignment horizontal="left" vertical="bottom" textRotation="0" wrapText="0" indent="0" justifyLastLine="0" shrinkToFit="0" readingOrder="0"/>
    </dxf>
    <dxf>
      <numFmt numFmtId="166" formatCode="&quot;$&quot;#,##0.00"/>
      <alignment horizontal="general" vertical="bottom" textRotation="0" wrapText="0" indent="0" justifyLastLine="0" shrinkToFit="0" readingOrder="0"/>
    </dxf>
    <dxf>
      <font>
        <strike val="0"/>
        <outline val="0"/>
        <shadow val="0"/>
        <u val="none"/>
        <color auto="1"/>
      </font>
      <numFmt numFmtId="166" formatCode="&quot;$&quot;#,##0.00"/>
      <fill>
        <patternFill patternType="none">
          <fgColor indexed="64"/>
          <bgColor indexed="65"/>
        </patternFill>
      </fill>
      <alignment horizontal="right"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fill>
        <patternFill patternType="none">
          <fgColor indexed="64"/>
          <bgColor indexed="65"/>
        </patternFill>
      </fill>
      <alignment horizontal="left" vertical="bottom" textRotation="0" wrapText="0" indent="0" justifyLastLine="0" shrinkToFit="0" readingOrder="0"/>
    </dxf>
    <dxf>
      <numFmt numFmtId="166" formatCode="&quot;$&quot;#,##0.00"/>
      <alignment horizontal="general"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dxf>
    <dxf>
      <numFmt numFmtId="166" formatCode="&quot;$&quot;#,##0.00"/>
      <alignment horizontal="general" vertical="bottom" textRotation="0" wrapText="0" indent="0" justifyLastLine="0" shrinkToFit="0" readingOrder="0"/>
    </dxf>
    <dxf>
      <font>
        <strike val="0"/>
        <outline val="0"/>
        <shadow val="0"/>
        <u val="none"/>
        <color auto="1"/>
      </font>
      <numFmt numFmtId="166" formatCode="&quot;$&quot;#,##0.00"/>
      <fill>
        <patternFill patternType="none">
          <fgColor indexed="64"/>
          <bgColor indexed="65"/>
        </patternFill>
      </fill>
      <alignment horizontal="right"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fill>
        <patternFill patternType="none">
          <fgColor indexed="64"/>
          <bgColor indexed="65"/>
        </patternFill>
      </fill>
      <alignment horizontal="left" vertical="center"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indexed="65"/>
        </patternFill>
      </fill>
      <alignment horizontal="left" vertical="bottom" textRotation="0" wrapText="0" indent="0" justifyLastLine="0" shrinkToFit="0" readingOrder="0"/>
    </dxf>
    <dxf>
      <alignment horizontal="general"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general" vertical="bottom" textRotation="0" wrapText="0" indent="0" justifyLastLine="0" shrinkToFit="0" readingOrder="0"/>
    </dxf>
    <dxf>
      <alignment horizontal="general" vertical="center" textRotation="0" wrapText="1" indent="0" justifyLastLine="0" shrinkToFit="0" readingOrder="0"/>
    </dxf>
    <dxf>
      <font>
        <strike val="0"/>
        <outline val="0"/>
        <shadow val="0"/>
        <u val="none"/>
        <color auto="1"/>
      </font>
      <fill>
        <patternFill patternType="none">
          <fgColor indexed="64"/>
          <bgColor indexed="65"/>
        </patternFill>
      </fill>
      <alignment horizontal="general" vertical="bottom" textRotation="0" wrapText="0" indent="0" justifyLastLine="0" shrinkToFit="0" readingOrder="0"/>
    </dxf>
    <dxf>
      <alignment horizontal="general" vertical="center" textRotation="0" wrapText="1" indent="0" justifyLastLine="0" shrinkToFit="0" readingOrder="0"/>
    </dxf>
    <dxf>
      <font>
        <strike val="0"/>
        <outline val="0"/>
        <shadow val="0"/>
        <u val="none"/>
        <color auto="1"/>
      </font>
      <fill>
        <patternFill patternType="none">
          <fgColor indexed="64"/>
          <bgColor indexed="65"/>
        </patternFill>
      </fill>
      <alignment horizontal="general" vertical="bottom" textRotation="0" wrapText="0" indent="0" justifyLastLine="0" shrinkToFit="0" readingOrder="0"/>
    </dxf>
    <dxf>
      <font>
        <strike val="0"/>
        <outline val="0"/>
        <shadow val="0"/>
        <u val="none"/>
        <color auto="1"/>
      </font>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rgb="FFEC6E6E"/>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rgb="FFEC6E6E"/>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rgb="FFEC6E6E"/>
        </patternFill>
      </fill>
    </dxf>
    <dxf>
      <font>
        <b/>
        <i val="0"/>
        <color theme="0"/>
      </font>
      <fill>
        <patternFill>
          <bgColor theme="9" tint="-0.499984740745262"/>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ndense val="0"/>
        <extend val="0"/>
        <outline val="0"/>
        <shadow val="0"/>
        <u val="none"/>
        <vertAlign val="baseline"/>
        <sz val="14"/>
        <color theme="0"/>
        <name val="Calibri"/>
        <family val="2"/>
        <scheme val="minor"/>
      </font>
      <numFmt numFmtId="166" formatCode="&quot;$&quot;#,##0.00"/>
      <fill>
        <patternFill patternType="none">
          <fgColor indexed="64"/>
          <bgColor indexed="65"/>
        </patternFill>
      </fill>
      <alignment horizontal="right" vertical="center" textRotation="0" wrapText="0" indent="0" justifyLastLine="0" shrinkToFit="0" readingOrder="0"/>
      <border diagonalUp="0" diagonalDown="0" outline="0">
        <left/>
        <right/>
        <top/>
        <bottom/>
      </border>
    </dxf>
    <dxf>
      <numFmt numFmtId="166" formatCode="&quot;$&quot;#,##0.00"/>
    </dxf>
    <dxf>
      <font>
        <b/>
        <i val="0"/>
        <strike val="0"/>
        <condense val="0"/>
        <extend val="0"/>
        <outline val="0"/>
        <shadow val="0"/>
        <u val="none"/>
        <vertAlign val="baseline"/>
        <sz val="14"/>
        <color theme="0"/>
        <name val="Calibri"/>
        <family val="2"/>
        <scheme val="minor"/>
      </font>
      <numFmt numFmtId="166" formatCode="&quot;$&quot;#,##0.00"/>
      <fill>
        <patternFill patternType="none">
          <fgColor indexed="64"/>
          <bgColor indexed="65"/>
        </patternFill>
      </fill>
      <alignment horizontal="right" vertical="center" textRotation="0" wrapText="0" indent="0" justifyLastLine="0" shrinkToFit="0" readingOrder="0"/>
      <border diagonalUp="0" diagonalDown="0" outline="0">
        <left/>
        <right/>
        <top style="thick">
          <color theme="2" tint="-0.89996032593768116"/>
        </top>
        <bottom style="thick">
          <color theme="2" tint="-0.89996032593768116"/>
        </bottom>
      </border>
    </dxf>
    <dxf>
      <numFmt numFmtId="166" formatCode="&quot;$&quot;#,##0.00"/>
      <border outline="0">
        <left style="thick">
          <color theme="2" tint="-0.749961851863155"/>
        </left>
      </border>
    </dxf>
    <dxf>
      <font>
        <b/>
        <i val="0"/>
        <strike val="0"/>
        <condense val="0"/>
        <extend val="0"/>
        <outline val="0"/>
        <shadow val="0"/>
        <u val="none"/>
        <vertAlign val="baseline"/>
        <sz val="14"/>
        <color theme="0"/>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ck">
          <color theme="2" tint="-0.89996032593768116"/>
        </top>
        <bottom style="thick">
          <color theme="2" tint="-0.89996032593768116"/>
        </bottom>
      </border>
    </dxf>
    <dxf>
      <font>
        <b/>
        <i val="0"/>
        <strike val="0"/>
        <condense val="0"/>
        <extend val="0"/>
        <outline val="0"/>
        <shadow val="0"/>
        <u val="none"/>
        <vertAlign val="baseline"/>
        <sz val="12"/>
        <color auto="1"/>
        <name val="Corbel"/>
        <family val="2"/>
        <scheme val="major"/>
      </font>
      <fill>
        <patternFill patternType="none">
          <fgColor indexed="64"/>
          <bgColor auto="1"/>
        </patternFill>
      </fill>
      <alignment horizontal="left" vertical="center" textRotation="0" wrapText="0" indent="0" justifyLastLine="0" shrinkToFit="0" readingOrder="0"/>
      <border diagonalUp="0" diagonalDown="0" outline="0">
        <left style="thick">
          <color theme="2" tint="-0.749961851863155"/>
        </left>
        <right style="thick">
          <color theme="2" tint="-0.749961851863155"/>
        </right>
        <top style="thick">
          <color theme="2" tint="-0.749961851863155"/>
        </top>
        <bottom style="thick">
          <color theme="2" tint="-0.749961851863155"/>
        </bottom>
      </border>
    </dxf>
    <dxf>
      <border outline="0">
        <bottom style="thick">
          <color theme="2" tint="-0.749961851863155"/>
        </bottom>
      </border>
    </dxf>
    <dxf>
      <font>
        <strike val="0"/>
        <outline val="0"/>
        <shadow val="0"/>
        <u val="none"/>
        <vertAlign val="baseline"/>
        <sz val="12"/>
        <color auto="1"/>
        <name val="Corbel"/>
        <family val="2"/>
        <scheme val="major"/>
      </font>
    </dxf>
    <dxf>
      <font>
        <strike val="0"/>
        <outline val="0"/>
        <shadow val="0"/>
        <u val="none"/>
        <vertAlign val="baseline"/>
        <sz val="14"/>
        <color theme="0"/>
        <name val="Calibri"/>
        <family val="2"/>
        <scheme val="minor"/>
      </font>
      <fill>
        <patternFill patternType="none">
          <fgColor indexed="64"/>
          <bgColor auto="1"/>
        </patternFill>
      </fill>
    </dxf>
    <dxf>
      <numFmt numFmtId="166" formatCode="&quot;$&quot;#,##0.00"/>
      <alignment horizontal="general" vertical="bottom" textRotation="0" wrapText="0" indent="0" justifyLastLine="0" shrinkToFit="0" readingOrder="0"/>
    </dxf>
    <dxf>
      <font>
        <strike val="0"/>
        <outline val="0"/>
        <shadow val="0"/>
        <u val="none"/>
        <color auto="1"/>
      </font>
      <numFmt numFmtId="0" formatCode="General"/>
      <fill>
        <patternFill patternType="none">
          <fgColor rgb="FF000000"/>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0" formatCode="General"/>
      <fill>
        <patternFill patternType="none">
          <fgColor rgb="FF000000"/>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0" formatCode="General"/>
      <fill>
        <patternFill patternType="none">
          <fgColor rgb="FF000000"/>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0" formatCode="General"/>
      <fill>
        <patternFill patternType="none">
          <fgColor rgb="FF000000"/>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0" formatCode="General"/>
      <fill>
        <patternFill patternType="none">
          <fgColor rgb="FF000000"/>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fill>
        <patternFill patternType="none">
          <fgColor indexed="64"/>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fill>
        <patternFill patternType="none">
          <fgColor indexed="64"/>
          <bgColor auto="1"/>
        </patternFill>
      </fill>
      <alignment horizontal="left" vertical="bottom" textRotation="0" wrapText="0" indent="0" justifyLastLine="0" shrinkToFit="0" readingOrder="0"/>
    </dxf>
    <dxf>
      <numFmt numFmtId="166" formatCode="&quot;$&quot;#,##0.00"/>
      <alignment horizontal="general" vertical="bottom" textRotation="0" wrapText="0" indent="0" justifyLastLine="0" shrinkToFit="0" readingOrder="0"/>
    </dxf>
    <dxf>
      <font>
        <strike val="0"/>
        <outline val="0"/>
        <shadow val="0"/>
        <u val="none"/>
        <color auto="1"/>
      </font>
      <numFmt numFmtId="166" formatCode="&quot;$&quot;#,##0.00"/>
      <fill>
        <patternFill patternType="none">
          <fgColor indexed="64"/>
          <bgColor auto="1"/>
        </patternFill>
      </fill>
      <alignment horizontal="right"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fill>
        <patternFill patternType="none">
          <fgColor indexed="64"/>
          <bgColor auto="1"/>
        </patternFill>
      </fill>
      <alignment horizontal="general" vertical="bottom" textRotation="0" wrapText="0" indent="0" justifyLastLine="0" shrinkToFit="0" readingOrder="0"/>
    </dxf>
    <dxf>
      <numFmt numFmtId="166" formatCode="&quot;$&quot;#,##0.00"/>
      <alignment horizontal="general"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dxf>
    <dxf>
      <numFmt numFmtId="166" formatCode="&quot;$&quot;#,##0.00"/>
      <alignment horizontal="general" vertical="bottom" textRotation="0" wrapText="0" indent="0" justifyLastLine="0" shrinkToFit="0" readingOrder="0"/>
    </dxf>
    <dxf>
      <font>
        <strike val="0"/>
        <outline val="0"/>
        <shadow val="0"/>
        <u val="none"/>
        <color auto="1"/>
      </font>
      <numFmt numFmtId="166" formatCode="&quot;$&quot;#,##0.00"/>
      <fill>
        <patternFill patternType="none">
          <fgColor indexed="64"/>
          <bgColor auto="1"/>
        </patternFill>
      </fill>
      <alignment horizontal="right"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fill>
        <patternFill patternType="none">
          <fgColor indexed="64"/>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fill>
        <patternFill patternType="none">
          <fgColor indexed="64"/>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fill>
        <patternFill patternType="none">
          <fgColor indexed="64"/>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fill>
        <patternFill patternType="none">
          <fgColor indexed="64"/>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auto="1"/>
        </patternFill>
      </fill>
      <alignment horizontal="left" vertical="bottom" textRotation="0" wrapText="0" indent="0" justifyLastLine="0" shrinkToFit="0" readingOrder="0"/>
    </dxf>
    <dxf>
      <alignment horizontal="general"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general" textRotation="0" wrapText="0" indent="0" justifyLastLine="0" shrinkToFit="0" readingOrder="0"/>
    </dxf>
    <dxf>
      <alignment horizontal="general" vertical="center" textRotation="0" wrapText="1" indent="0" justifyLastLine="0" shrinkToFit="0" readingOrder="0"/>
    </dxf>
    <dxf>
      <font>
        <strike val="0"/>
        <outline val="0"/>
        <shadow val="0"/>
        <u val="none"/>
        <color auto="1"/>
      </font>
      <fill>
        <patternFill patternType="none">
          <fgColor indexed="64"/>
          <bgColor auto="1"/>
        </patternFill>
      </fill>
      <alignment horizontal="general" textRotation="0" wrapText="0" indent="0" justifyLastLine="0" shrinkToFit="0" readingOrder="0"/>
    </dxf>
    <dxf>
      <alignment horizontal="general" vertical="center" textRotation="0" wrapText="1" indent="0" justifyLastLine="0" shrinkToFit="0" readingOrder="0"/>
    </dxf>
    <dxf>
      <font>
        <strike val="0"/>
        <outline val="0"/>
        <shadow val="0"/>
        <u val="none"/>
        <color auto="1"/>
      </font>
      <fill>
        <patternFill patternType="none">
          <fgColor indexed="64"/>
          <bgColor auto="1"/>
        </patternFill>
      </fill>
      <alignment horizontal="general" textRotation="0" wrapText="0" indent="0" justifyLastLine="0" shrinkToFit="0" readingOrder="0"/>
    </dxf>
    <dxf>
      <font>
        <strike val="0"/>
        <outline val="0"/>
        <shadow val="0"/>
        <u val="none"/>
        <color auto="1"/>
      </font>
      <fill>
        <patternFill patternType="none">
          <fgColor rgb="FF000000"/>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rgb="FFEC6E6E"/>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rgb="FFEC6E6E"/>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rgb="FFEC6E6E"/>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166" formatCode="&quot;$&quot;#,##0.00"/>
      <alignment horizontal="general" vertical="bottom" textRotation="0" wrapText="0" indent="0" justifyLastLine="0" shrinkToFit="0" readingOrder="0"/>
    </dxf>
    <dxf>
      <font>
        <b val="0"/>
        <i val="0"/>
        <strike val="0"/>
        <condense val="0"/>
        <extend val="0"/>
        <outline val="0"/>
        <shadow val="0"/>
        <u val="none"/>
        <vertAlign val="baseline"/>
        <sz val="11"/>
        <color rgb="FF00B0F0"/>
        <name val="Calibri"/>
        <family val="2"/>
        <scheme val="minor"/>
      </font>
      <numFmt numFmtId="0" formatCode="General"/>
      <alignment horizontal="general" vertical="bottom" textRotation="0" wrapText="0" indent="0" justifyLastLine="0" shrinkToFit="0" readingOrder="0"/>
    </dxf>
    <dxf>
      <numFmt numFmtId="166" formatCode="&quot;$&quot;#,##0.00"/>
      <alignment horizontal="general" vertical="bottom" textRotation="0" wrapText="0" indent="0" justifyLastLine="0" shrinkToFit="0" readingOrder="0"/>
    </dxf>
    <dxf>
      <alignment horizontal="right"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right"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center" textRotation="0" wrapText="1" indent="0" justifyLastLine="0" shrinkToFit="0" readingOrder="0"/>
    </dxf>
    <dxf>
      <font>
        <b val="0"/>
        <i val="0"/>
        <strike val="0"/>
        <condense val="0"/>
        <extend val="0"/>
        <outline val="0"/>
        <shadow val="0"/>
        <u val="none"/>
        <vertAlign val="baseline"/>
        <sz val="11"/>
        <color rgb="FF00B0F0"/>
        <name val="Calibri"/>
        <family val="2"/>
        <scheme val="minor"/>
      </font>
      <alignment horizontal="general" textRotation="0" indent="0" justifyLastLine="0" shrinkToFit="0" readingOrder="0"/>
    </dxf>
    <dxf>
      <alignment horizontal="general" vertical="center" textRotation="0" wrapText="1" indent="0" justifyLastLine="0" shrinkToFit="0" readingOrder="0"/>
    </dxf>
    <dxf>
      <alignment horizontal="general" textRotation="0" indent="0" justifyLastLine="0" shrinkToFit="0" readingOrder="0"/>
    </dxf>
    <dxf>
      <alignment horizontal="general" vertical="center" textRotation="0" wrapText="1" indent="0" justifyLastLine="0" shrinkToFit="0" readingOrder="0"/>
    </dxf>
    <dxf>
      <alignment horizontal="general" textRotation="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font>
        <b/>
        <i val="0"/>
        <color theme="0"/>
      </font>
      <fill>
        <patternFill>
          <bgColor rgb="FF00B0F0"/>
        </patternFill>
      </fill>
    </dxf>
    <dxf>
      <font>
        <b/>
        <i val="0"/>
        <color theme="0"/>
      </font>
      <fill>
        <patternFill>
          <bgColor rgb="FFFFC000"/>
        </patternFill>
      </fill>
    </dxf>
    <dxf>
      <font>
        <b/>
        <i val="0"/>
        <color theme="0"/>
      </font>
      <fill>
        <patternFill>
          <bgColor rgb="FF002060"/>
        </patternFill>
      </fill>
    </dxf>
    <dxf>
      <font>
        <b/>
        <i val="0"/>
        <color theme="0"/>
      </font>
      <fill>
        <patternFill>
          <bgColor rgb="FFFFC000"/>
        </patternFill>
      </fill>
    </dxf>
    <dxf>
      <font>
        <b/>
        <i val="0"/>
        <color theme="0"/>
      </font>
      <fill>
        <patternFill>
          <bgColor rgb="FF002060"/>
        </patternFill>
      </fill>
    </dxf>
    <dxf>
      <font>
        <b/>
        <i val="0"/>
        <color theme="0"/>
      </font>
      <fill>
        <patternFill>
          <bgColor rgb="FF00B0F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theme="9" tint="-0.499984740745262"/>
        </patternFill>
      </fill>
    </dxf>
    <dxf>
      <font>
        <b/>
        <i val="0"/>
        <color theme="0"/>
      </font>
      <fill>
        <patternFill>
          <bgColor rgb="FF00B0F0"/>
        </patternFill>
      </fill>
    </dxf>
    <dxf>
      <font>
        <b/>
        <i val="0"/>
        <color theme="0"/>
      </font>
      <fill>
        <patternFill>
          <bgColor rgb="FFFFC000"/>
        </patternFill>
      </fill>
    </dxf>
    <dxf>
      <font>
        <b/>
        <i val="0"/>
        <color theme="0"/>
      </font>
      <fill>
        <patternFill>
          <bgColor rgb="FF002060"/>
        </patternFill>
      </fill>
    </dxf>
    <dxf>
      <font>
        <b/>
        <i val="0"/>
        <color theme="0"/>
      </font>
      <fill>
        <patternFill>
          <bgColor rgb="FFFFC000"/>
        </patternFill>
      </fill>
    </dxf>
    <dxf>
      <font>
        <b/>
        <i val="0"/>
        <color theme="0"/>
      </font>
      <fill>
        <patternFill>
          <bgColor rgb="FF002060"/>
        </patternFill>
      </fill>
    </dxf>
    <dxf>
      <font>
        <b/>
        <i val="0"/>
        <color theme="0"/>
      </font>
      <fill>
        <patternFill>
          <bgColor rgb="FF00B0F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theme="9" tint="-0.499984740745262"/>
        </patternFill>
      </fill>
    </dxf>
    <dxf>
      <font>
        <b/>
        <i val="0"/>
        <color theme="0"/>
      </font>
      <fill>
        <patternFill>
          <bgColor rgb="FF00B0F0"/>
        </patternFill>
      </fill>
    </dxf>
    <dxf>
      <font>
        <b/>
        <i val="0"/>
        <color theme="0"/>
      </font>
      <fill>
        <patternFill>
          <bgColor rgb="FFFFC000"/>
        </patternFill>
      </fill>
    </dxf>
    <dxf>
      <font>
        <b/>
        <i val="0"/>
        <color theme="0"/>
      </font>
      <fill>
        <patternFill>
          <bgColor rgb="FF00206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rgb="FF00B0F0"/>
        </patternFill>
      </fill>
    </dxf>
    <dxf>
      <font>
        <b/>
        <i val="0"/>
        <color theme="0"/>
      </font>
      <fill>
        <patternFill>
          <bgColor rgb="FFFFC000"/>
        </patternFill>
      </fill>
    </dxf>
    <dxf>
      <font>
        <b/>
        <i val="0"/>
        <color theme="0"/>
      </font>
      <fill>
        <patternFill>
          <bgColor rgb="FF002060"/>
        </patternFill>
      </fill>
    </dxf>
    <dxf>
      <font>
        <b/>
        <i val="0"/>
        <color theme="0"/>
      </font>
      <fill>
        <patternFill>
          <bgColor rgb="FFFFC000"/>
        </patternFill>
      </fill>
    </dxf>
    <dxf>
      <font>
        <b/>
        <i val="0"/>
        <color theme="0"/>
      </font>
      <fill>
        <patternFill>
          <bgColor rgb="FF002060"/>
        </patternFill>
      </fill>
    </dxf>
    <dxf>
      <font>
        <b/>
        <i val="0"/>
        <color theme="0"/>
      </font>
      <fill>
        <patternFill>
          <bgColor rgb="FF00B0F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theme="9" tint="-0.499984740745262"/>
        </patternFill>
      </fill>
    </dxf>
    <dxf>
      <font>
        <b/>
        <i val="0"/>
        <color theme="0"/>
      </font>
      <fill>
        <patternFill>
          <bgColor rgb="FF00B0F0"/>
        </patternFill>
      </fill>
    </dxf>
    <dxf>
      <font>
        <b/>
        <i val="0"/>
        <color theme="0"/>
      </font>
      <fill>
        <patternFill>
          <bgColor rgb="FFFFC000"/>
        </patternFill>
      </fill>
    </dxf>
    <dxf>
      <font>
        <b/>
        <i val="0"/>
        <color theme="0"/>
      </font>
      <fill>
        <patternFill>
          <bgColor rgb="FF002060"/>
        </patternFill>
      </fill>
    </dxf>
    <dxf>
      <font>
        <b/>
        <i val="0"/>
        <color theme="0"/>
      </font>
      <fill>
        <patternFill>
          <bgColor rgb="FFFFC000"/>
        </patternFill>
      </fill>
    </dxf>
    <dxf>
      <font>
        <b/>
        <i val="0"/>
        <color theme="0"/>
      </font>
      <fill>
        <patternFill>
          <bgColor rgb="FF002060"/>
        </patternFill>
      </fill>
    </dxf>
    <dxf>
      <font>
        <b/>
        <i val="0"/>
        <color theme="0"/>
      </font>
      <fill>
        <patternFill>
          <bgColor rgb="FF00B0F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theme="9" tint="-0.499984740745262"/>
        </patternFill>
      </fill>
    </dxf>
    <dxf>
      <font>
        <b/>
        <i val="0"/>
        <color theme="0"/>
      </font>
      <fill>
        <patternFill>
          <bgColor rgb="FF00B0F0"/>
        </patternFill>
      </fill>
    </dxf>
    <dxf>
      <font>
        <b/>
        <i val="0"/>
        <color theme="0"/>
      </font>
      <fill>
        <patternFill>
          <bgColor rgb="FF002060"/>
        </patternFill>
      </fill>
    </dxf>
    <dxf>
      <font>
        <b/>
        <i val="0"/>
        <color theme="0"/>
      </font>
      <fill>
        <patternFill>
          <bgColor rgb="FF00B0F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theme="9" tint="-0.499984740745262"/>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auto="1"/>
      </font>
      <fill>
        <patternFill patternType="none">
          <bgColor auto="1"/>
        </patternFill>
      </fill>
    </dxf>
    <dxf>
      <font>
        <b/>
        <i val="0"/>
        <color theme="0"/>
      </font>
      <fill>
        <patternFill>
          <bgColor rgb="FF002060"/>
        </patternFill>
      </fill>
    </dxf>
    <dxf>
      <font>
        <b/>
        <i val="0"/>
        <color theme="0"/>
      </font>
      <fill>
        <patternFill>
          <bgColor rgb="FF002060"/>
        </patternFill>
      </fill>
    </dxf>
    <dxf>
      <font>
        <b/>
        <i val="0"/>
        <color theme="0"/>
      </font>
      <fill>
        <patternFill>
          <bgColor rgb="FFFF0000"/>
        </patternFill>
      </fill>
    </dxf>
    <dxf>
      <font>
        <b/>
        <i val="0"/>
        <color theme="0"/>
      </font>
      <fill>
        <patternFill>
          <bgColor rgb="FFFF0000"/>
        </patternFill>
      </fill>
    </dxf>
    <dxf>
      <font>
        <b/>
        <i val="0"/>
        <color theme="0"/>
      </font>
      <fill>
        <patternFill>
          <bgColor rgb="FFFFA401"/>
        </patternFill>
      </fill>
    </dxf>
    <dxf>
      <font>
        <b/>
        <i val="0"/>
        <color theme="0"/>
      </font>
      <fill>
        <patternFill>
          <bgColor rgb="FFFFB805"/>
        </patternFill>
      </fill>
    </dxf>
    <dxf>
      <font>
        <b/>
        <i val="0"/>
        <color theme="0"/>
      </font>
      <fill>
        <patternFill>
          <bgColor rgb="FF00B0F0"/>
        </patternFill>
      </fill>
    </dxf>
    <dxf>
      <font>
        <b/>
        <i val="0"/>
        <color theme="0"/>
      </font>
      <fill>
        <patternFill>
          <bgColor rgb="FF00B0F0"/>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center" textRotation="0" wrapText="0" indent="1" justifyLastLine="0" shrinkToFit="0" readingOrder="0"/>
    </dxf>
    <dxf>
      <alignment horizontal="left" vertical="center" textRotation="0" wrapText="0" indent="1" justifyLastLine="0" shrinkToFit="0" readingOrder="0"/>
    </dxf>
    <dxf>
      <alignment horizontal="left" vertical="center" textRotation="0" wrapText="0" indent="1" justifyLastLine="0" shrinkToFit="0" readingOrder="0"/>
    </dxf>
    <dxf>
      <alignment horizontal="left" vertical="center" textRotation="0" wrapText="0" indent="1" justifyLastLine="0" shrinkToFit="0" readingOrder="0"/>
    </dxf>
    <dxf>
      <alignment horizontal="left" vertical="center" textRotation="0" wrapText="0" indent="1" justifyLastLine="0" shrinkToFit="0" readingOrder="0"/>
    </dxf>
    <dxf>
      <alignment horizontal="left" vertical="center" textRotation="0" wrapText="0" indent="1" justifyLastLine="0" shrinkToFit="0" readingOrder="0"/>
    </dxf>
    <dxf>
      <numFmt numFmtId="166" formatCode="&quot;$&quot;#,##0.00"/>
      <alignment horizontal="left" vertical="center" textRotation="0" wrapText="0" indent="1" justifyLastLine="0" shrinkToFit="0" readingOrder="0"/>
    </dxf>
    <dxf>
      <numFmt numFmtId="166" formatCode="&quot;$&quot;#,##0.00"/>
      <alignment horizontal="left" vertical="center" textRotation="0" wrapText="0" indent="1" justifyLastLine="0" shrinkToFit="0" readingOrder="0"/>
    </dxf>
    <dxf>
      <numFmt numFmtId="166" formatCode="&quot;$&quot;#,##0.00"/>
      <alignment horizontal="left" vertical="center" textRotation="0" wrapText="0" indent="1" justifyLastLine="0" shrinkToFit="0" readingOrder="0"/>
    </dxf>
    <dxf>
      <numFmt numFmtId="166" formatCode="&quot;$&quot;#,##0.00"/>
      <alignment horizontal="left" vertical="center" textRotation="0" wrapText="0" indent="1" justifyLastLine="0" shrinkToFit="0" readingOrder="0"/>
    </dxf>
    <dxf>
      <alignment horizontal="left" vertical="center" textRotation="0" wrapText="1" indent="1" justifyLastLine="0" shrinkToFit="0" readingOrder="0"/>
    </dxf>
    <dxf>
      <numFmt numFmtId="0" formatCode="General"/>
      <alignment horizontal="left" vertical="center" textRotation="0" wrapText="0" indent="1" justifyLastLine="0" shrinkToFit="0" readingOrder="0"/>
    </dxf>
    <dxf>
      <alignment horizontal="left" vertical="center" textRotation="0" wrapText="1" indent="1" justifyLastLine="0" shrinkToFit="0" readingOrder="0"/>
    </dxf>
    <dxf>
      <alignment horizontal="general" vertical="center" textRotation="0" wrapText="0" indent="0" justifyLastLine="0" shrinkToFit="0" readingOrder="0"/>
    </dxf>
    <dxf>
      <alignment horizontal="left" vertical="center" textRotation="0" wrapText="1" indent="1" justifyLastLine="0" shrinkToFit="0" readingOrder="0"/>
    </dxf>
    <dxf>
      <alignment horizontal="left" vertical="center" textRotation="0" wrapText="0" indent="1" justifyLastLine="0" shrinkToFit="0" readingOrder="0"/>
    </dxf>
    <dxf>
      <alignment horizontal="left" vertical="center" textRotation="0" wrapText="0" indent="1" justifyLastLine="0" shrinkToFit="0" readingOrder="0"/>
    </dxf>
    <dxf>
      <alignment horizontal="left" vertical="center" textRotation="0" wrapText="0" indent="1" justifyLastLine="0" shrinkToFit="0" readingOrder="0"/>
    </dxf>
    <dxf>
      <alignment horizontal="left" vertical="center" textRotation="0" wrapText="0" indent="1" justifyLastLine="0" shrinkToFit="0" readingOrder="0"/>
    </dxf>
    <dxf>
      <numFmt numFmtId="0" formatCode="General"/>
      <alignment horizontal="left" vertical="center" textRotation="0" wrapText="0" indent="1" justifyLastLine="0" shrinkToFit="0" readingOrder="0"/>
    </dxf>
    <dxf>
      <alignment horizontal="left" vertical="center" textRotation="0" wrapText="0" indent="1" justifyLastLine="0" shrinkToFit="0" readingOrder="0"/>
    </dxf>
    <dxf>
      <alignment horizontal="left" vertical="center" textRotation="0" wrapText="0" indent="1"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indexed="64"/>
          <bgColor rgb="FF1F4E49"/>
        </patternFill>
      </fill>
      <alignment horizontal="center" vertical="center" textRotation="0" wrapText="1" indent="0" justifyLastLine="0" shrinkToFit="0" readingOrder="0"/>
      <border diagonalUp="0" diagonalDown="0" outline="0">
        <left style="thick">
          <color theme="3" tint="-0.499984740745262"/>
        </left>
        <right/>
        <top/>
        <bottom/>
      </border>
    </dxf>
    <dxf>
      <alignment horizontal="left" vertical="center" textRotation="0" wrapText="0" indent="1" justifyLastLine="0" shrinkToFit="0" readingOrder="0"/>
    </dxf>
    <dxf>
      <alignment horizontal="left" vertical="center" textRotation="0" wrapText="0" indent="1" justifyLastLine="0" shrinkToFit="0" readingOrder="0"/>
    </dxf>
    <dxf>
      <font>
        <b/>
        <i val="0"/>
        <strike val="0"/>
        <condense val="0"/>
        <extend val="0"/>
        <outline val="0"/>
        <shadow val="0"/>
        <u val="none"/>
        <vertAlign val="baseline"/>
        <sz val="11"/>
        <color theme="0"/>
        <name val="Calibri"/>
        <family val="2"/>
        <scheme val="minor"/>
      </font>
      <fill>
        <patternFill patternType="solid">
          <fgColor theme="5"/>
          <bgColor theme="2" tint="-0.749961851863155"/>
        </patternFill>
      </fill>
      <alignment horizontal="general" vertical="bottom" textRotation="0" wrapText="0" indent="0" justifyLastLine="0" shrinkToFit="0" readingOrder="0"/>
    </dxf>
    <dxf>
      <numFmt numFmtId="166" formatCode="&quot;$&quot;#,##0.00"/>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auto="1"/>
        </patternFill>
      </fill>
      <alignment horizontal="right" vertical="bottom" textRotation="0" wrapText="0" indent="0" justifyLastLine="0" shrinkToFit="0" readingOrder="0"/>
    </dxf>
    <dxf>
      <numFmt numFmtId="166" formatCode="&quot;$&quot;#,##0.00"/>
      <alignment horizontal="general" vertical="bottom" textRotation="0" wrapText="0" indent="0" justifyLastLine="0" shrinkToFit="0" readingOrder="0"/>
    </dxf>
    <dxf>
      <font>
        <strike val="0"/>
        <outline val="0"/>
        <shadow val="0"/>
        <u val="none"/>
        <color auto="1"/>
      </font>
      <numFmt numFmtId="166" formatCode="&quot;$&quot;#,##0.00"/>
      <fill>
        <patternFill patternType="none">
          <fgColor indexed="64"/>
          <bgColor auto="1"/>
        </patternFill>
      </fill>
      <alignment horizontal="right"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fill>
        <patternFill patternType="none">
          <fgColor indexed="64"/>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auto="1"/>
        </patternFill>
      </fill>
      <alignment horizontal="left"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strike val="0"/>
        <outline val="0"/>
        <shadow val="0"/>
        <u val="none"/>
        <color auto="1"/>
      </font>
      <fill>
        <patternFill patternType="none">
          <fgColor rgb="FF000000"/>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color theme="1"/>
      </font>
      <border>
        <bottom style="thin">
          <color theme="8"/>
        </bottom>
        <vertical/>
        <horizontal/>
      </border>
    </dxf>
    <dxf>
      <font>
        <color theme="1"/>
      </font>
      <border>
        <left style="thick">
          <color theme="8"/>
        </left>
        <right style="thick">
          <color theme="8"/>
        </right>
        <top style="thick">
          <color theme="8"/>
        </top>
        <bottom style="thick">
          <color theme="8"/>
        </bottom>
        <vertical/>
        <horizontal/>
      </border>
    </dxf>
    <dxf>
      <font>
        <b/>
        <i val="0"/>
      </font>
    </dxf>
    <dxf>
      <font>
        <b/>
        <i val="0"/>
      </font>
      <border>
        <left style="thick">
          <color auto="1"/>
        </left>
        <right style="thick">
          <color auto="1"/>
        </right>
        <top style="thick">
          <color auto="1"/>
        </top>
        <bottom style="thick">
          <color auto="1"/>
        </bottom>
      </border>
    </dxf>
    <dxf>
      <font>
        <b/>
        <i val="0"/>
        <color theme="0"/>
      </font>
      <fill>
        <patternFill>
          <bgColor theme="2" tint="-0.749961851863155"/>
        </patternFill>
      </fill>
    </dxf>
    <dxf>
      <fill>
        <patternFill>
          <bgColor theme="2" tint="-9.9948118533890809E-2"/>
        </patternFill>
      </fill>
    </dxf>
    <dxf>
      <fill>
        <patternFill patternType="solid">
          <fgColor theme="5" tint="0.79995117038483843"/>
          <bgColor theme="2" tint="-9.9948118533890809E-2"/>
        </patternFill>
      </fill>
    </dxf>
    <dxf>
      <fill>
        <patternFill patternType="solid">
          <fgColor theme="5" tint="0.79992065187536243"/>
          <bgColor theme="0" tint="-4.9989318521683403E-2"/>
        </patternFill>
      </fill>
    </dxf>
    <dxf>
      <font>
        <b/>
        <color theme="1"/>
      </font>
    </dxf>
    <dxf>
      <font>
        <b/>
        <i val="0"/>
        <color theme="0"/>
      </font>
      <fill>
        <patternFill>
          <bgColor theme="2" tint="-0.749961851863155"/>
        </patternFill>
      </fill>
    </dxf>
    <dxf>
      <font>
        <b/>
        <i val="0"/>
        <color theme="0" tint="-4.9989318521683403E-2"/>
      </font>
      <fill>
        <patternFill>
          <bgColor theme="2" tint="-0.749961851863155"/>
        </patternFill>
      </fill>
      <border diagonalUp="0" diagonalDown="0">
        <left/>
        <right/>
        <top/>
        <bottom/>
        <vertical/>
        <horizontal/>
      </border>
    </dxf>
    <dxf>
      <font>
        <b/>
        <i val="0"/>
        <color theme="0"/>
      </font>
      <fill>
        <patternFill patternType="solid">
          <fgColor theme="5"/>
          <bgColor theme="2" tint="-0.749961851863155"/>
        </patternFill>
      </fill>
      <border>
        <left style="thin">
          <color theme="3"/>
        </left>
        <right style="thin">
          <color theme="3"/>
        </right>
      </border>
    </dxf>
    <dxf>
      <font>
        <color theme="3" tint="-0.499984740745262"/>
      </font>
    </dxf>
    <dxf>
      <font>
        <b/>
        <i val="0"/>
        <color theme="2" tint="-0.749961851863155"/>
      </font>
      <border>
        <bottom style="thin">
          <color theme="2" tint="-0.499984740745262"/>
        </bottom>
        <vertical/>
        <horizontal/>
      </border>
    </dxf>
    <dxf>
      <font>
        <b val="0"/>
        <i val="0"/>
        <sz val="11"/>
        <color theme="1"/>
      </font>
      <border diagonalUp="0" diagonalDown="0">
        <left style="thick">
          <color theme="1"/>
        </left>
        <right style="thick">
          <color theme="1"/>
        </right>
        <top style="thick">
          <color theme="1"/>
        </top>
        <bottom style="thick">
          <color theme="1"/>
        </bottom>
        <vertical/>
        <horizontal/>
      </border>
    </dxf>
    <dxf>
      <font>
        <b/>
        <i val="0"/>
        <color theme="0"/>
      </font>
      <fill>
        <patternFill>
          <bgColor theme="2" tint="-0.749961851863155"/>
        </patternFill>
      </fill>
    </dxf>
    <dxf>
      <fill>
        <patternFill patternType="solid">
          <fgColor theme="5" tint="0.79995117038483843"/>
          <bgColor theme="2" tint="-9.9948118533890809E-2"/>
        </patternFill>
      </fill>
    </dxf>
    <dxf>
      <fill>
        <patternFill patternType="solid">
          <fgColor theme="5" tint="0.79992065187536243"/>
          <bgColor theme="0" tint="-4.9989318521683403E-2"/>
        </patternFill>
      </fill>
    </dxf>
    <dxf>
      <font>
        <b/>
        <color theme="1"/>
      </font>
    </dxf>
    <dxf>
      <font>
        <b/>
        <i val="0"/>
        <color auto="1"/>
      </font>
      <fill>
        <patternFill>
          <bgColor theme="2"/>
        </patternFill>
      </fill>
      <border diagonalUp="0" diagonalDown="0">
        <left/>
        <right/>
        <top/>
        <bottom/>
        <vertical/>
        <horizontal/>
      </border>
    </dxf>
    <dxf>
      <font>
        <b/>
        <i val="0"/>
        <color theme="0"/>
      </font>
      <fill>
        <patternFill patternType="solid">
          <fgColor theme="5"/>
          <bgColor theme="2" tint="-0.749961851863155"/>
        </patternFill>
      </fill>
      <border>
        <left style="thin">
          <color theme="3"/>
        </left>
        <right style="thin">
          <color theme="3"/>
        </right>
      </border>
    </dxf>
    <dxf>
      <font>
        <color theme="3" tint="-0.499984740745262"/>
      </font>
    </dxf>
    <dxf>
      <font>
        <b/>
        <i val="0"/>
        <color theme="0"/>
      </font>
      <fill>
        <patternFill>
          <bgColor theme="2" tint="-0.749961851863155"/>
        </patternFill>
      </fill>
    </dxf>
    <dxf>
      <fill>
        <patternFill patternType="solid">
          <fgColor theme="5" tint="0.79995117038483843"/>
          <bgColor theme="2" tint="-9.9948118533890809E-2"/>
        </patternFill>
      </fill>
    </dxf>
    <dxf>
      <fill>
        <patternFill patternType="solid">
          <fgColor theme="5" tint="0.79992065187536243"/>
          <bgColor theme="0" tint="-4.9989318521683403E-2"/>
        </patternFill>
      </fill>
    </dxf>
    <dxf>
      <font>
        <b/>
        <color theme="1"/>
      </font>
    </dxf>
    <dxf>
      <font>
        <b/>
        <i val="0"/>
        <color auto="1"/>
      </font>
      <fill>
        <patternFill>
          <bgColor theme="2"/>
        </patternFill>
      </fill>
      <border diagonalUp="0" diagonalDown="0">
        <left/>
        <right/>
        <top/>
        <bottom/>
        <vertical/>
        <horizontal/>
      </border>
    </dxf>
    <dxf>
      <font>
        <b/>
        <i val="0"/>
        <color theme="0"/>
      </font>
      <fill>
        <patternFill patternType="solid">
          <fgColor theme="5"/>
          <bgColor theme="2" tint="-0.749961851863155"/>
        </patternFill>
      </fill>
      <border>
        <left style="thin">
          <color theme="3"/>
        </left>
        <right style="thin">
          <color theme="3"/>
        </right>
      </border>
    </dxf>
    <dxf>
      <font>
        <color theme="3" tint="-0.499984740745262"/>
      </font>
    </dxf>
    <dxf>
      <font>
        <b/>
        <i val="0"/>
        <color theme="0"/>
      </font>
      <fill>
        <patternFill>
          <bgColor theme="2" tint="-0.749961851863155"/>
        </patternFill>
      </fill>
    </dxf>
    <dxf>
      <fill>
        <patternFill>
          <bgColor theme="2" tint="-9.9948118533890809E-2"/>
        </patternFill>
      </fill>
    </dxf>
    <dxf>
      <fill>
        <patternFill patternType="solid">
          <fgColor theme="5" tint="0.79995117038483843"/>
          <bgColor theme="2" tint="-9.9948118533890809E-2"/>
        </patternFill>
      </fill>
    </dxf>
    <dxf>
      <fill>
        <patternFill patternType="solid">
          <fgColor theme="5" tint="0.79992065187536243"/>
          <bgColor theme="0" tint="-4.9989318521683403E-2"/>
        </patternFill>
      </fill>
    </dxf>
    <dxf>
      <font>
        <b/>
        <color theme="1"/>
      </font>
    </dxf>
    <dxf>
      <font>
        <b/>
        <i val="0"/>
        <color theme="0" tint="-4.9989318521683403E-2"/>
      </font>
      <fill>
        <patternFill>
          <bgColor theme="2" tint="-0.749961851863155"/>
        </patternFill>
      </fill>
      <border diagonalUp="0" diagonalDown="0">
        <left/>
        <right/>
        <top/>
        <bottom/>
        <vertical/>
        <horizontal/>
      </border>
    </dxf>
    <dxf>
      <font>
        <b/>
        <i val="0"/>
        <color theme="0"/>
      </font>
      <fill>
        <patternFill patternType="solid">
          <fgColor theme="5"/>
          <bgColor theme="2" tint="-0.749961851863155"/>
        </patternFill>
      </fill>
      <border>
        <left style="thin">
          <color theme="3"/>
        </left>
        <right style="thin">
          <color theme="3"/>
        </right>
      </border>
    </dxf>
    <dxf>
      <font>
        <color theme="3" tint="-0.499984740745262"/>
      </font>
    </dxf>
  </dxfs>
  <tableStyles count="7" defaultTableStyle="Home Inventory" defaultPivotStyle="PivotStyleLight16">
    <tableStyle name="Home Inventory" pivot="0" count="8" xr9:uid="{00000000-0011-0000-FFFF-FFFF00000000}">
      <tableStyleElement type="wholeTable" dxfId="1361"/>
      <tableStyleElement type="headerRow" dxfId="1360"/>
      <tableStyleElement type="totalRow" dxfId="1359"/>
      <tableStyleElement type="lastColumn" dxfId="1358"/>
      <tableStyleElement type="firstRowStripe" dxfId="1357"/>
      <tableStyleElement type="firstColumnStripe" dxfId="1356"/>
      <tableStyleElement type="secondColumnStripe" dxfId="1355"/>
      <tableStyleElement type="firstTotalCell" dxfId="1354"/>
    </tableStyle>
    <tableStyle name="Home Inventory 2" pivot="0" count="7" xr9:uid="{00000000-0011-0000-FFFF-FFFF00000000}">
      <tableStyleElement type="wholeTable" dxfId="1353"/>
      <tableStyleElement type="headerRow" dxfId="1352"/>
      <tableStyleElement type="totalRow" dxfId="1351"/>
      <tableStyleElement type="lastColumn" dxfId="1350"/>
      <tableStyleElement type="firstRowStripe" dxfId="1349"/>
      <tableStyleElement type="firstColumnStripe" dxfId="1348"/>
      <tableStyleElement type="firstTotalCell" dxfId="1347"/>
    </tableStyle>
    <tableStyle name="Home Inventory 3" pivot="0" count="7" xr9:uid="{00000000-0011-0000-FFFF-FFFF00000000}">
      <tableStyleElement type="wholeTable" dxfId="1346"/>
      <tableStyleElement type="headerRow" dxfId="1345"/>
      <tableStyleElement type="totalRow" dxfId="1344"/>
      <tableStyleElement type="lastColumn" dxfId="1343"/>
      <tableStyleElement type="firstRowStripe" dxfId="1342"/>
      <tableStyleElement type="firstColumnStripe" dxfId="1341"/>
      <tableStyleElement type="firstTotalCell" dxfId="1340"/>
    </tableStyle>
    <tableStyle name="Home Inventory Slicer" pivot="0" table="0" count="10" xr9:uid="{00000000-0011-0000-FFFF-FFFF01000000}">
      <tableStyleElement type="wholeTable" dxfId="1339"/>
      <tableStyleElement type="headerRow" dxfId="1338"/>
    </tableStyle>
    <tableStyle name="Purchase Ordering" pivot="0" count="9" xr9:uid="{534FAD0B-6121-450B-BA78-6BB16DADB835}">
      <tableStyleElement type="wholeTable" dxfId="1337"/>
      <tableStyleElement type="headerRow" dxfId="1336"/>
      <tableStyleElement type="totalRow" dxfId="1335"/>
      <tableStyleElement type="firstColumn" dxfId="1334"/>
      <tableStyleElement type="lastColumn" dxfId="1333"/>
      <tableStyleElement type="firstRowStripe" dxfId="1332"/>
      <tableStyleElement type="firstColumnStripe" dxfId="1331"/>
      <tableStyleElement type="secondColumnStripe" dxfId="1330"/>
      <tableStyleElement type="firstTotalCell" dxfId="1329"/>
    </tableStyle>
    <tableStyle name="Slicer Style 1" pivot="0" table="0" count="10" xr9:uid="{26D1C38F-D7E5-4B1B-A74C-C56E1B20981A}">
      <tableStyleElement type="wholeTable" dxfId="1328"/>
      <tableStyleElement type="headerRow" dxfId="1327"/>
    </tableStyle>
    <tableStyle name="SlicerStyleLight5 2" pivot="0" table="0" count="10" xr9:uid="{3F9EA4BD-B9B2-419A-8889-9CF049ACAF41}">
      <tableStyleElement type="wholeTable" dxfId="1326"/>
      <tableStyleElement type="headerRow" dxfId="1325"/>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006666"/>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F0EAB0"/>
      <rgbColor rgb="00EAEAEA"/>
      <rgbColor rgb="0099CCFF"/>
      <rgbColor rgb="00F2F8EA"/>
      <rgbColor rgb="00CC99FF"/>
      <rgbColor rgb="00BDDABA"/>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6F608"/>
      <color rgb="FFEC6E6E"/>
      <color rgb="FFFF4F4F"/>
      <color rgb="FFFFA401"/>
      <color rgb="FFFFC301"/>
      <color rgb="FFF3AE03"/>
      <color rgb="FFFCB504"/>
      <color rgb="FFFFB805"/>
      <color rgb="FFFBC825"/>
      <color rgb="FFEE7D00"/>
    </mruColors>
  </colors>
  <extLst>
    <ext xmlns:x14="http://schemas.microsoft.com/office/spreadsheetml/2009/9/main" uri="{46F421CA-312F-682f-3DD2-61675219B42D}">
      <x14:dxfs count="24">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0"/>
          </font>
          <fill>
            <patternFill patternType="solid">
              <fgColor auto="1"/>
              <bgColor rgb="FF55A127"/>
            </pattern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8" tint="0.79998168889431442"/>
              <bgColor theme="8"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8" tint="0.59999389629810485"/>
              <bgColor rgb="FFD3E6BC"/>
            </patternFill>
          </fill>
          <border>
            <left style="medium">
              <color rgb="FF999999"/>
            </left>
            <right style="medium">
              <color rgb="FF999999"/>
            </right>
            <top style="medium">
              <color rgb="FF999999"/>
            </top>
            <bottom style="medium">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ill>
            <patternFill>
              <bgColor rgb="FFB5F030"/>
            </patternFill>
          </fill>
        </dxf>
        <dxf>
          <fill>
            <patternFill>
              <bgColor rgb="FFFF4747"/>
            </patternFill>
          </fill>
        </dxf>
        <dxf>
          <fill>
            <patternFill>
              <bgColor rgb="FF00EE6C"/>
            </patternFill>
          </fill>
        </dxf>
        <dxf>
          <fill>
            <patternFill>
              <bgColor rgb="FFFF8C01"/>
            </patternFill>
          </fill>
        </dxf>
        <dxf>
          <font>
            <color theme="0"/>
          </font>
          <fill>
            <patternFill>
              <bgColor rgb="FF92D050"/>
            </patternFill>
          </fill>
        </dxf>
        <dxf>
          <font>
            <color theme="0"/>
          </font>
          <fill>
            <patternFill>
              <bgColor rgb="FF00B050"/>
            </patternFill>
          </fill>
        </dxf>
        <dxf>
          <font>
            <color theme="0"/>
          </font>
          <fill>
            <patternFill>
              <bgColor rgb="FFC00000"/>
            </patternFill>
          </fill>
        </dxf>
        <dxf>
          <font>
            <color theme="0"/>
          </font>
          <fill>
            <patternFill>
              <bgColor rgb="FFFF0000"/>
            </patternFill>
          </fill>
        </dxf>
        <dxf>
          <font>
            <color theme="1"/>
          </font>
          <fill>
            <patternFill patternType="solid">
              <fgColor auto="1"/>
              <bgColor theme="0" tint="-0.34998626667073579"/>
            </patternFill>
          </fill>
          <border>
            <left style="thin">
              <color rgb="FF999999"/>
            </left>
            <right style="thin">
              <color rgb="FF999999"/>
            </right>
            <top style="thin">
              <color rgb="FF999999"/>
            </top>
            <bottom style="thin">
              <color rgb="FF999999"/>
            </bottom>
            <vertical/>
            <horizontal/>
          </border>
        </dxf>
        <dxf>
          <font>
            <b/>
            <i val="0"/>
            <color theme="0"/>
          </font>
          <fill>
            <patternFill patternType="solid">
              <fgColor auto="1"/>
              <bgColor rgb="FFF27F00"/>
            </patternFill>
          </fill>
          <border>
            <left style="medium">
              <color rgb="FF999999"/>
            </left>
            <right style="medium">
              <color rgb="FF999999"/>
            </right>
            <top style="medium">
              <color rgb="FF999999"/>
            </top>
            <bottom style="medium">
              <color rgb="FF999999"/>
            </bottom>
            <vertical/>
            <horizontal/>
          </border>
        </dxf>
        <dxf>
          <font>
            <b/>
            <i val="0"/>
            <color theme="0"/>
          </font>
          <fill>
            <patternFill patternType="solid">
              <fgColor auto="1"/>
              <bgColor rgb="FFEE7D00"/>
            </patternFill>
          </fill>
          <border diagonalUp="0" diagonalDown="0">
            <left style="medium">
              <color auto="1"/>
            </left>
            <right style="medium">
              <color auto="1"/>
            </right>
            <top style="medium">
              <color auto="1"/>
            </top>
            <bottom style="medium">
              <color auto="1"/>
            </bottom>
            <vertical/>
            <horizontal/>
          </border>
        </dxf>
        <dxf>
          <font>
            <b/>
            <i val="0"/>
            <color theme="0"/>
          </font>
          <fill>
            <patternFill patternType="solid">
              <fgColor auto="1"/>
              <bgColor rgb="FFF27F00"/>
            </patternFill>
          </fill>
          <border>
            <left style="medium">
              <color theme="3"/>
            </left>
            <right style="medium">
              <color theme="3"/>
            </right>
            <top style="medium">
              <color theme="3"/>
            </top>
            <bottom style="medium">
              <color theme="3"/>
            </bottom>
            <vertical/>
            <horizontal/>
          </border>
        </dxf>
        <dxf>
          <font>
            <b/>
            <i val="0"/>
            <color rgb="FF828282"/>
          </font>
          <fill>
            <patternFill patternType="solid">
              <fgColor auto="1"/>
              <bgColor theme="0" tint="-0.14996795556505021"/>
            </patternFill>
          </fill>
          <border>
            <left style="thin">
              <color theme="3"/>
            </left>
            <right style="thin">
              <color theme="3"/>
            </right>
            <top style="thin">
              <color theme="3"/>
            </top>
            <bottom style="thin">
              <color theme="3"/>
            </bottom>
            <vertical/>
            <horizontal/>
          </border>
        </dxf>
        <dxf>
          <font>
            <b/>
            <i val="0"/>
            <color theme="1"/>
          </font>
          <fill>
            <patternFill patternType="solid">
              <fgColor auto="1"/>
              <bgColor rgb="FFFFBE77"/>
            </patternFill>
          </fill>
          <border diagonalUp="0" diagonalDown="0">
            <left style="medium">
              <color auto="1"/>
            </left>
            <right style="medium">
              <color auto="1"/>
            </right>
            <top style="medium">
              <color auto="1"/>
            </top>
            <bottom style="medium">
              <color auto="1"/>
            </bottom>
            <vertical/>
            <horizontal/>
          </border>
        </dxf>
        <dxf>
          <font>
            <color rgb="FF828282"/>
          </font>
          <fill>
            <patternFill patternType="solid">
              <fgColor auto="1"/>
              <bgColor theme="0" tint="-0.14996795556505021"/>
            </patternFill>
          </fill>
          <border>
            <left style="thin">
              <color rgb="FFE0E0E0"/>
            </left>
            <right style="thin">
              <color rgb="FFE0E0E0"/>
            </right>
            <top style="thin">
              <color rgb="FFE0E0E0"/>
            </top>
            <bottom style="thin">
              <color rgb="FFE0E0E0"/>
            </bottom>
            <vertical/>
            <horizontal/>
          </border>
        </dxf>
        <dxf>
          <font>
            <b/>
            <i val="0"/>
            <color theme="1"/>
          </font>
          <fill>
            <patternFill patternType="solid">
              <fgColor auto="1"/>
              <bgColor rgb="FFF3F0ED"/>
            </patternFill>
          </fill>
          <border>
            <left style="medium">
              <color auto="1"/>
            </left>
            <right style="medium">
              <color auto="1"/>
            </right>
            <top style="medium">
              <color auto="1"/>
            </top>
            <bottom style="medium">
              <color auto="1"/>
            </bottom>
            <vertical/>
            <horizontal/>
          </border>
        </dxf>
      </x14:dxfs>
    </ext>
    <ext xmlns:x14="http://schemas.microsoft.com/office/spreadsheetml/2009/9/main" uri="{EB79DEF2-80B8-43e5-95BD-54CBDDF9020C}">
      <x14:slicerStyles defaultSlicerStyle="Home Inventory Slicer">
        <x14:slicerStyle name="Home Inventory Slicer">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 Style 1">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5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microsoft.com/office/2007/relationships/slicerCache" Target="slicerCaches/slicerCache1.xml"/><Relationship Id="rId26" Type="http://schemas.microsoft.com/office/2007/relationships/slicerCache" Target="slicerCaches/slicerCache9.xml"/><Relationship Id="rId39" Type="http://schemas.microsoft.com/office/2007/relationships/slicerCache" Target="slicerCaches/slicerCache22.xml"/><Relationship Id="rId21" Type="http://schemas.microsoft.com/office/2007/relationships/slicerCache" Target="slicerCaches/slicerCache4.xml"/><Relationship Id="rId34" Type="http://schemas.microsoft.com/office/2007/relationships/slicerCache" Target="slicerCaches/slicerCache17.xml"/><Relationship Id="rId42" Type="http://schemas.microsoft.com/office/2007/relationships/slicerCache" Target="slicerCaches/slicerCache25.xml"/><Relationship Id="rId47" Type="http://schemas.microsoft.com/office/2007/relationships/slicerCache" Target="slicerCaches/slicerCache30.xml"/><Relationship Id="rId50" Type="http://schemas.microsoft.com/office/2007/relationships/slicerCache" Target="slicerCaches/slicerCache33.xml"/><Relationship Id="rId55" Type="http://schemas.microsoft.com/office/2007/relationships/slicerCache" Target="slicerCaches/slicerCache38.xml"/><Relationship Id="rId63" Type="http://schemas.openxmlformats.org/officeDocument/2006/relationships/calcChain" Target="calcChain.xml"/><Relationship Id="rId68" Type="http://schemas.openxmlformats.org/officeDocument/2006/relationships/customXml" Target="../customXml/item5.xml"/><Relationship Id="rId76" Type="http://schemas.openxmlformats.org/officeDocument/2006/relationships/customXml" Target="../customXml/item13.xml"/><Relationship Id="rId7" Type="http://schemas.openxmlformats.org/officeDocument/2006/relationships/worksheet" Target="worksheets/sheet7.xml"/><Relationship Id="rId71" Type="http://schemas.openxmlformats.org/officeDocument/2006/relationships/customXml" Target="../customXml/item8.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12.xml"/><Relationship Id="rId11" Type="http://schemas.openxmlformats.org/officeDocument/2006/relationships/worksheet" Target="worksheets/sheet11.xml"/><Relationship Id="rId24" Type="http://schemas.microsoft.com/office/2007/relationships/slicerCache" Target="slicerCaches/slicerCache7.xml"/><Relationship Id="rId32" Type="http://schemas.microsoft.com/office/2007/relationships/slicerCache" Target="slicerCaches/slicerCache15.xml"/><Relationship Id="rId37" Type="http://schemas.microsoft.com/office/2007/relationships/slicerCache" Target="slicerCaches/slicerCache20.xml"/><Relationship Id="rId40" Type="http://schemas.microsoft.com/office/2007/relationships/slicerCache" Target="slicerCaches/slicerCache23.xml"/><Relationship Id="rId45" Type="http://schemas.microsoft.com/office/2007/relationships/slicerCache" Target="slicerCaches/slicerCache28.xml"/><Relationship Id="rId53" Type="http://schemas.microsoft.com/office/2007/relationships/slicerCache" Target="slicerCaches/slicerCache36.xml"/><Relationship Id="rId58" Type="http://schemas.openxmlformats.org/officeDocument/2006/relationships/theme" Target="theme/theme1.xml"/><Relationship Id="rId66" Type="http://schemas.openxmlformats.org/officeDocument/2006/relationships/customXml" Target="../customXml/item3.xml"/><Relationship Id="rId74" Type="http://schemas.openxmlformats.org/officeDocument/2006/relationships/customXml" Target="../customXml/item11.xml"/><Relationship Id="rId79" Type="http://schemas.openxmlformats.org/officeDocument/2006/relationships/customXml" Target="../customXml/item16.xml"/><Relationship Id="rId5" Type="http://schemas.openxmlformats.org/officeDocument/2006/relationships/worksheet" Target="worksheets/sheet5.xml"/><Relationship Id="rId61" Type="http://schemas.openxmlformats.org/officeDocument/2006/relationships/sharedStrings" Target="sharedStrings.xml"/><Relationship Id="rId82" Type="http://schemas.openxmlformats.org/officeDocument/2006/relationships/customXml" Target="../customXml/item19.xml"/><Relationship Id="rId10" Type="http://schemas.openxmlformats.org/officeDocument/2006/relationships/worksheet" Target="worksheets/sheet10.xml"/><Relationship Id="rId19" Type="http://schemas.microsoft.com/office/2007/relationships/slicerCache" Target="slicerCaches/slicerCache2.xml"/><Relationship Id="rId31" Type="http://schemas.microsoft.com/office/2007/relationships/slicerCache" Target="slicerCaches/slicerCache14.xml"/><Relationship Id="rId44" Type="http://schemas.microsoft.com/office/2007/relationships/slicerCache" Target="slicerCaches/slicerCache27.xml"/><Relationship Id="rId52" Type="http://schemas.microsoft.com/office/2007/relationships/slicerCache" Target="slicerCaches/slicerCache35.xml"/><Relationship Id="rId60" Type="http://schemas.openxmlformats.org/officeDocument/2006/relationships/styles" Target="styles.xml"/><Relationship Id="rId65" Type="http://schemas.openxmlformats.org/officeDocument/2006/relationships/customXml" Target="../customXml/item2.xml"/><Relationship Id="rId73" Type="http://schemas.openxmlformats.org/officeDocument/2006/relationships/customXml" Target="../customXml/item10.xml"/><Relationship Id="rId78" Type="http://schemas.openxmlformats.org/officeDocument/2006/relationships/customXml" Target="../customXml/item15.xml"/><Relationship Id="rId81" Type="http://schemas.openxmlformats.org/officeDocument/2006/relationships/customXml" Target="../customXml/item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5.xml"/><Relationship Id="rId27" Type="http://schemas.microsoft.com/office/2007/relationships/slicerCache" Target="slicerCaches/slicerCache10.xml"/><Relationship Id="rId30" Type="http://schemas.microsoft.com/office/2007/relationships/slicerCache" Target="slicerCaches/slicerCache13.xml"/><Relationship Id="rId35" Type="http://schemas.microsoft.com/office/2007/relationships/slicerCache" Target="slicerCaches/slicerCache18.xml"/><Relationship Id="rId43" Type="http://schemas.microsoft.com/office/2007/relationships/slicerCache" Target="slicerCaches/slicerCache26.xml"/><Relationship Id="rId48" Type="http://schemas.microsoft.com/office/2007/relationships/slicerCache" Target="slicerCaches/slicerCache31.xml"/><Relationship Id="rId56" Type="http://schemas.microsoft.com/office/2007/relationships/slicerCache" Target="slicerCaches/slicerCache39.xml"/><Relationship Id="rId64" Type="http://schemas.openxmlformats.org/officeDocument/2006/relationships/customXml" Target="../customXml/item1.xml"/><Relationship Id="rId69" Type="http://schemas.openxmlformats.org/officeDocument/2006/relationships/customXml" Target="../customXml/item6.xml"/><Relationship Id="rId77" Type="http://schemas.openxmlformats.org/officeDocument/2006/relationships/customXml" Target="../customXml/item14.xml"/><Relationship Id="rId8" Type="http://schemas.openxmlformats.org/officeDocument/2006/relationships/worksheet" Target="worksheets/sheet8.xml"/><Relationship Id="rId51" Type="http://schemas.microsoft.com/office/2007/relationships/slicerCache" Target="slicerCaches/slicerCache34.xml"/><Relationship Id="rId72" Type="http://schemas.openxmlformats.org/officeDocument/2006/relationships/customXml" Target="../customXml/item9.xml"/><Relationship Id="rId80" Type="http://schemas.openxmlformats.org/officeDocument/2006/relationships/customXml" Target="../customXml/item17.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microsoft.com/office/2007/relationships/slicerCache" Target="slicerCaches/slicerCache8.xml"/><Relationship Id="rId33" Type="http://schemas.microsoft.com/office/2007/relationships/slicerCache" Target="slicerCaches/slicerCache16.xml"/><Relationship Id="rId38" Type="http://schemas.microsoft.com/office/2007/relationships/slicerCache" Target="slicerCaches/slicerCache21.xml"/><Relationship Id="rId46" Type="http://schemas.microsoft.com/office/2007/relationships/slicerCache" Target="slicerCaches/slicerCache29.xml"/><Relationship Id="rId59" Type="http://schemas.openxmlformats.org/officeDocument/2006/relationships/connections" Target="connections.xml"/><Relationship Id="rId67" Type="http://schemas.openxmlformats.org/officeDocument/2006/relationships/customXml" Target="../customXml/item4.xml"/><Relationship Id="rId20" Type="http://schemas.microsoft.com/office/2007/relationships/slicerCache" Target="slicerCaches/slicerCache3.xml"/><Relationship Id="rId41" Type="http://schemas.microsoft.com/office/2007/relationships/slicerCache" Target="slicerCaches/slicerCache24.xml"/><Relationship Id="rId54" Type="http://schemas.microsoft.com/office/2007/relationships/slicerCache" Target="slicerCaches/slicerCache37.xml"/><Relationship Id="rId62" Type="http://schemas.openxmlformats.org/officeDocument/2006/relationships/powerPivotData" Target="model/item.data"/><Relationship Id="rId70" Type="http://schemas.openxmlformats.org/officeDocument/2006/relationships/customXml" Target="../customXml/item7.xml"/><Relationship Id="rId75" Type="http://schemas.openxmlformats.org/officeDocument/2006/relationships/customXml" Target="../customXml/item12.xml"/><Relationship Id="rId83"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microsoft.com/office/2007/relationships/slicerCache" Target="slicerCaches/slicerCache6.xml"/><Relationship Id="rId28" Type="http://schemas.microsoft.com/office/2007/relationships/slicerCache" Target="slicerCaches/slicerCache11.xml"/><Relationship Id="rId36" Type="http://schemas.microsoft.com/office/2007/relationships/slicerCache" Target="slicerCaches/slicerCache19.xml"/><Relationship Id="rId49" Type="http://schemas.microsoft.com/office/2007/relationships/slicerCache" Target="slicerCaches/slicerCache32.xml"/><Relationship Id="rId57" Type="http://schemas.microsoft.com/office/2007/relationships/slicerCache" Target="slicerCaches/slicerCache40.xml"/></Relationships>
</file>

<file path=xl/drawings/_rels/drawing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svg"/><Relationship Id="rId1" Type="http://schemas.openxmlformats.org/officeDocument/2006/relationships/image" Target="../media/image3.png"/><Relationship Id="rId4" Type="http://schemas.openxmlformats.org/officeDocument/2006/relationships/image" Target="../media/image6.svg"/></Relationships>
</file>

<file path=xl/drawings/_rels/drawing2.xml.rels><?xml version="1.0" encoding="UTF-8" standalone="yes"?>
<Relationships xmlns="http://schemas.openxmlformats.org/package/2006/relationships"><Relationship Id="rId8" Type="http://schemas.openxmlformats.org/officeDocument/2006/relationships/image" Target="../media/image14.svg"/><Relationship Id="rId3" Type="http://schemas.openxmlformats.org/officeDocument/2006/relationships/image" Target="../media/image9.png"/><Relationship Id="rId7" Type="http://schemas.openxmlformats.org/officeDocument/2006/relationships/image" Target="../media/image13.png"/><Relationship Id="rId2" Type="http://schemas.openxmlformats.org/officeDocument/2006/relationships/image" Target="../media/image8.svg"/><Relationship Id="rId1" Type="http://schemas.openxmlformats.org/officeDocument/2006/relationships/image" Target="../media/image7.png"/><Relationship Id="rId6" Type="http://schemas.openxmlformats.org/officeDocument/2006/relationships/image" Target="../media/image12.svg"/><Relationship Id="rId5" Type="http://schemas.openxmlformats.org/officeDocument/2006/relationships/image" Target="../media/image11.png"/><Relationship Id="rId4" Type="http://schemas.openxmlformats.org/officeDocument/2006/relationships/image" Target="../media/image10.svg"/></Relationships>
</file>

<file path=xl/drawings/_rels/drawing3.xml.rels><?xml version="1.0" encoding="UTF-8" standalone="yes"?>
<Relationships xmlns="http://schemas.openxmlformats.org/package/2006/relationships"><Relationship Id="rId3" Type="http://schemas.openxmlformats.org/officeDocument/2006/relationships/image" Target="../media/image17.png"/><Relationship Id="rId2" Type="http://schemas.openxmlformats.org/officeDocument/2006/relationships/image" Target="../media/image16.svg"/><Relationship Id="rId1" Type="http://schemas.openxmlformats.org/officeDocument/2006/relationships/image" Target="../media/image15.png"/><Relationship Id="rId4" Type="http://schemas.openxmlformats.org/officeDocument/2006/relationships/image" Target="../media/image18.svg"/></Relationships>
</file>

<file path=xl/drawings/_rels/drawing4.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image" Target="../media/image18.svg"/><Relationship Id="rId1" Type="http://schemas.openxmlformats.org/officeDocument/2006/relationships/image" Target="../media/image17.png"/><Relationship Id="rId4" Type="http://schemas.openxmlformats.org/officeDocument/2006/relationships/image" Target="../media/image20.svg"/></Relationships>
</file>

<file path=xl/drawings/_rels/drawing5.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svg"/><Relationship Id="rId1" Type="http://schemas.openxmlformats.org/officeDocument/2006/relationships/image" Target="../media/image3.png"/><Relationship Id="rId6" Type="http://schemas.openxmlformats.org/officeDocument/2006/relationships/image" Target="../media/image10.svg"/><Relationship Id="rId5" Type="http://schemas.openxmlformats.org/officeDocument/2006/relationships/image" Target="../media/image9.png"/><Relationship Id="rId4" Type="http://schemas.openxmlformats.org/officeDocument/2006/relationships/image" Target="../media/image6.svg"/></Relationships>
</file>

<file path=xl/drawings/_rels/drawing6.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svg"/><Relationship Id="rId1" Type="http://schemas.openxmlformats.org/officeDocument/2006/relationships/image" Target="../media/image3.png"/><Relationship Id="rId6" Type="http://schemas.openxmlformats.org/officeDocument/2006/relationships/image" Target="../media/image10.svg"/><Relationship Id="rId5" Type="http://schemas.openxmlformats.org/officeDocument/2006/relationships/image" Target="../media/image9.png"/><Relationship Id="rId4" Type="http://schemas.openxmlformats.org/officeDocument/2006/relationships/image" Target="../media/image6.svg"/></Relationships>
</file>

<file path=xl/drawings/_rels/drawing7.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svg"/><Relationship Id="rId1" Type="http://schemas.openxmlformats.org/officeDocument/2006/relationships/image" Target="../media/image3.png"/><Relationship Id="rId6" Type="http://schemas.openxmlformats.org/officeDocument/2006/relationships/image" Target="../media/image10.svg"/><Relationship Id="rId5" Type="http://schemas.openxmlformats.org/officeDocument/2006/relationships/image" Target="../media/image9.png"/><Relationship Id="rId4" Type="http://schemas.openxmlformats.org/officeDocument/2006/relationships/image" Target="../media/image6.svg"/></Relationships>
</file>

<file path=xl/drawings/_rels/drawing8.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svg"/><Relationship Id="rId1" Type="http://schemas.openxmlformats.org/officeDocument/2006/relationships/image" Target="../media/image3.png"/><Relationship Id="rId6" Type="http://schemas.openxmlformats.org/officeDocument/2006/relationships/image" Target="../media/image10.svg"/><Relationship Id="rId5" Type="http://schemas.openxmlformats.org/officeDocument/2006/relationships/image" Target="../media/image9.png"/><Relationship Id="rId4" Type="http://schemas.openxmlformats.org/officeDocument/2006/relationships/image" Target="../media/image6.svg"/></Relationships>
</file>

<file path=xl/drawings/_rels/drawing9.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svg"/><Relationship Id="rId1" Type="http://schemas.openxmlformats.org/officeDocument/2006/relationships/image" Target="../media/image3.png"/><Relationship Id="rId6" Type="http://schemas.openxmlformats.org/officeDocument/2006/relationships/image" Target="../media/image10.svg"/><Relationship Id="rId5" Type="http://schemas.openxmlformats.org/officeDocument/2006/relationships/image" Target="../media/image9.png"/><Relationship Id="rId4" Type="http://schemas.openxmlformats.org/officeDocument/2006/relationships/image" Target="../media/image6.svg"/></Relationships>
</file>

<file path=xl/drawings/_rels/drawing10.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svg"/><Relationship Id="rId1" Type="http://schemas.openxmlformats.org/officeDocument/2006/relationships/image" Target="../media/image3.png"/><Relationship Id="rId6" Type="http://schemas.openxmlformats.org/officeDocument/2006/relationships/image" Target="../media/image10.svg"/><Relationship Id="rId5" Type="http://schemas.openxmlformats.org/officeDocument/2006/relationships/image" Target="../media/image9.png"/><Relationship Id="rId4" Type="http://schemas.openxmlformats.org/officeDocument/2006/relationships/image" Target="../media/image6.svg"/></Relationships>
</file>

<file path=xl/drawings/drawing1.xml><?xml version="1.0" encoding="utf-8"?>
<xdr:wsDr xmlns:xdr="http://schemas.openxmlformats.org/drawingml/2006/spreadsheetDrawing" xmlns:a="http://schemas.openxmlformats.org/drawingml/2006/main">
  <xdr:twoCellAnchor editAs="oneCell">
    <xdr:from>
      <xdr:col>0</xdr:col>
      <xdr:colOff>8965</xdr:colOff>
      <xdr:row>10</xdr:row>
      <xdr:rowOff>241695</xdr:rowOff>
    </xdr:from>
    <xdr:to>
      <xdr:col>0</xdr:col>
      <xdr:colOff>504265</xdr:colOff>
      <xdr:row>10</xdr:row>
      <xdr:rowOff>648637</xdr:rowOff>
    </xdr:to>
    <xdr:pic>
      <xdr:nvPicPr>
        <xdr:cNvPr id="2" name="Graphic 1" descr="List">
          <a:extLst>
            <a:ext uri="{FF2B5EF4-FFF2-40B4-BE49-F238E27FC236}">
              <a16:creationId xmlns:a16="http://schemas.microsoft.com/office/drawing/2014/main" id="{B968F4C2-10D4-4FA0-BE9D-D49F095BDC0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965" y="2680095"/>
          <a:ext cx="495300" cy="406942"/>
        </a:xfrm>
        <a:prstGeom prst="rect">
          <a:avLst/>
        </a:prstGeom>
      </xdr:spPr>
    </xdr:pic>
    <xdr:clientData/>
  </xdr:twoCellAnchor>
  <xdr:twoCellAnchor editAs="oneCell">
    <xdr:from>
      <xdr:col>5</xdr:col>
      <xdr:colOff>507822</xdr:colOff>
      <xdr:row>10</xdr:row>
      <xdr:rowOff>153296</xdr:rowOff>
    </xdr:from>
    <xdr:to>
      <xdr:col>5</xdr:col>
      <xdr:colOff>1172583</xdr:colOff>
      <xdr:row>10</xdr:row>
      <xdr:rowOff>815816</xdr:rowOff>
    </xdr:to>
    <xdr:pic>
      <xdr:nvPicPr>
        <xdr:cNvPr id="3" name="Graphic 2" descr="World">
          <a:extLst>
            <a:ext uri="{FF2B5EF4-FFF2-40B4-BE49-F238E27FC236}">
              <a16:creationId xmlns:a16="http://schemas.microsoft.com/office/drawing/2014/main" id="{FB143BB5-6234-4F81-8819-A53AE893609E}"/>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4299893" y="2591696"/>
          <a:ext cx="664761" cy="662520"/>
        </a:xfrm>
        <a:prstGeom prst="rect">
          <a:avLst/>
        </a:prstGeom>
      </xdr:spPr>
    </xdr:pic>
    <xdr:clientData/>
  </xdr:twoCellAnchor>
  <xdr:absoluteAnchor>
    <xdr:pos x="8966" y="0"/>
    <xdr:ext cx="5074022" cy="2958352"/>
    <mc:AlternateContent xmlns:mc="http://schemas.openxmlformats.org/markup-compatibility/2006" xmlns:sle15="http://schemas.microsoft.com/office/drawing/2012/slicer">
      <mc:Choice Requires="sle15">
        <xdr:graphicFrame macro="">
          <xdr:nvGraphicFramePr>
            <xdr:cNvPr id="10" name="Initial 2">
              <a:extLst>
                <a:ext uri="{FF2B5EF4-FFF2-40B4-BE49-F238E27FC236}">
                  <a16:creationId xmlns:a16="http://schemas.microsoft.com/office/drawing/2014/main" id="{247775FE-3CD2-4B53-84A5-35C000E6E70A}"/>
                </a:ext>
              </a:extLst>
            </xdr:cNvPr>
            <xdr:cNvGraphicFramePr/>
          </xdr:nvGraphicFramePr>
          <xdr:xfrm>
            <a:off x="0" y="0"/>
            <a:ext cx="0" cy="0"/>
          </xdr:xfrm>
          <a:graphic>
            <a:graphicData uri="http://schemas.microsoft.com/office/drawing/2010/slicer">
              <sle:slicer xmlns:sle="http://schemas.microsoft.com/office/drawing/2010/slicer" name="Initial 2"/>
            </a:graphicData>
          </a:graphic>
        </xdr:graphicFrame>
      </mc:Choice>
      <mc:Fallback xmlns="">
        <xdr:sp macro="" textlink="">
          <xdr:nvSpPr>
            <xdr:cNvPr id="0" name=""/>
            <xdr:cNvSpPr>
              <a:spLocks noTextEdit="1"/>
            </xdr:cNvSpPr>
          </xdr:nvSpPr>
          <xdr:spPr>
            <a:xfrm>
              <a:off x="8966" y="0"/>
              <a:ext cx="5074022" cy="2689412"/>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wsDr>
</file>

<file path=xl/drawings/drawing2.xml><?xml version="1.0" encoding="utf-8"?>
<xdr:wsDr xmlns:xdr="http://schemas.openxmlformats.org/drawingml/2006/spreadsheetDrawing" xmlns:a="http://schemas.openxmlformats.org/drawingml/2006/main">
  <xdr:twoCellAnchor editAs="absolute">
    <xdr:from>
      <xdr:col>0</xdr:col>
      <xdr:colOff>264242</xdr:colOff>
      <xdr:row>8</xdr:row>
      <xdr:rowOff>89977</xdr:rowOff>
    </xdr:from>
    <xdr:to>
      <xdr:col>8</xdr:col>
      <xdr:colOff>737716</xdr:colOff>
      <xdr:row>31</xdr:row>
      <xdr:rowOff>22860</xdr:rowOff>
    </xdr:to>
    <mc:AlternateContent xmlns:mc="http://schemas.openxmlformats.org/markup-compatibility/2006" xmlns:sle15="http://schemas.microsoft.com/office/drawing/2012/slicer">
      <mc:Choice Requires="sle15">
        <xdr:graphicFrame macro="">
          <xdr:nvGraphicFramePr>
            <xdr:cNvPr id="6" name="Equipment Category">
              <a:extLst>
                <a:ext uri="{FF2B5EF4-FFF2-40B4-BE49-F238E27FC236}">
                  <a16:creationId xmlns:a16="http://schemas.microsoft.com/office/drawing/2014/main" id="{F5AF0997-8BFA-416F-BD1C-A8F40DEA0A40}"/>
                </a:ext>
              </a:extLst>
            </xdr:cNvPr>
            <xdr:cNvGraphicFramePr/>
          </xdr:nvGraphicFramePr>
          <xdr:xfrm>
            <a:off x="0" y="0"/>
            <a:ext cx="0" cy="0"/>
          </xdr:xfrm>
          <a:graphic>
            <a:graphicData uri="http://schemas.microsoft.com/office/drawing/2010/slicer">
              <sle:slicer xmlns:sle="http://schemas.microsoft.com/office/drawing/2010/slicer" name="Equipment Category"/>
            </a:graphicData>
          </a:graphic>
        </xdr:graphicFrame>
      </mc:Choice>
      <mc:Fallback xmlns="">
        <xdr:sp macro="" textlink="">
          <xdr:nvSpPr>
            <xdr:cNvPr id="0" name=""/>
            <xdr:cNvSpPr>
              <a:spLocks noTextEdit="1"/>
            </xdr:cNvSpPr>
          </xdr:nvSpPr>
          <xdr:spPr>
            <a:xfrm>
              <a:off x="264242" y="2840797"/>
              <a:ext cx="13914257" cy="4139123"/>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1</xdr:col>
      <xdr:colOff>13250</xdr:colOff>
      <xdr:row>2</xdr:row>
      <xdr:rowOff>7621</xdr:rowOff>
    </xdr:from>
    <xdr:to>
      <xdr:col>4</xdr:col>
      <xdr:colOff>2904114</xdr:colOff>
      <xdr:row>2</xdr:row>
      <xdr:rowOff>617221</xdr:rowOff>
    </xdr:to>
    <mc:AlternateContent xmlns:mc="http://schemas.openxmlformats.org/markup-compatibility/2006" xmlns:sle15="http://schemas.microsoft.com/office/drawing/2012/slicer">
      <mc:Choice Requires="sle15">
        <xdr:graphicFrame macro="">
          <xdr:nvGraphicFramePr>
            <xdr:cNvPr id="15" name="# &gt; 0 ? T/F">
              <a:extLst>
                <a:ext uri="{FF2B5EF4-FFF2-40B4-BE49-F238E27FC236}">
                  <a16:creationId xmlns:a16="http://schemas.microsoft.com/office/drawing/2014/main" id="{38A9B331-2126-49F2-AF90-3AAEB415FE44}"/>
                </a:ext>
              </a:extLst>
            </xdr:cNvPr>
            <xdr:cNvGraphicFramePr/>
          </xdr:nvGraphicFramePr>
          <xdr:xfrm>
            <a:off x="0" y="0"/>
            <a:ext cx="0" cy="0"/>
          </xdr:xfrm>
          <a:graphic>
            <a:graphicData uri="http://schemas.microsoft.com/office/drawing/2010/slicer">
              <sle:slicer xmlns:sle="http://schemas.microsoft.com/office/drawing/2010/slicer" name="# &gt; 0 ? T/F"/>
            </a:graphicData>
          </a:graphic>
        </xdr:graphicFrame>
      </mc:Choice>
      <mc:Fallback xmlns="">
        <xdr:sp macro="" textlink="">
          <xdr:nvSpPr>
            <xdr:cNvPr id="0" name=""/>
            <xdr:cNvSpPr>
              <a:spLocks noTextEdit="1"/>
            </xdr:cNvSpPr>
          </xdr:nvSpPr>
          <xdr:spPr>
            <a:xfrm>
              <a:off x="279950" y="1211581"/>
              <a:ext cx="9900367" cy="6096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oneCell">
    <xdr:from>
      <xdr:col>9</xdr:col>
      <xdr:colOff>210960</xdr:colOff>
      <xdr:row>0</xdr:row>
      <xdr:rowOff>190500</xdr:rowOff>
    </xdr:from>
    <xdr:to>
      <xdr:col>9</xdr:col>
      <xdr:colOff>693420</xdr:colOff>
      <xdr:row>0</xdr:row>
      <xdr:rowOff>672960</xdr:rowOff>
    </xdr:to>
    <xdr:pic>
      <xdr:nvPicPr>
        <xdr:cNvPr id="5" name="Graphic 4" descr="Shopping cart">
          <a:extLst>
            <a:ext uri="{FF2B5EF4-FFF2-40B4-BE49-F238E27FC236}">
              <a16:creationId xmlns:a16="http://schemas.microsoft.com/office/drawing/2014/main" id="{7F4A6835-80D4-495D-9C88-1A77DCDAD86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2905880" y="190500"/>
          <a:ext cx="482460" cy="482460"/>
        </a:xfrm>
        <a:prstGeom prst="rect">
          <a:avLst/>
        </a:prstGeom>
      </xdr:spPr>
    </xdr:pic>
    <xdr:clientData/>
  </xdr:twoCellAnchor>
  <xdr:twoCellAnchor editAs="oneCell">
    <xdr:from>
      <xdr:col>2</xdr:col>
      <xdr:colOff>726720</xdr:colOff>
      <xdr:row>0</xdr:row>
      <xdr:rowOff>71400</xdr:rowOff>
    </xdr:from>
    <xdr:to>
      <xdr:col>2</xdr:col>
      <xdr:colOff>1310640</xdr:colOff>
      <xdr:row>0</xdr:row>
      <xdr:rowOff>655320</xdr:rowOff>
    </xdr:to>
    <xdr:pic>
      <xdr:nvPicPr>
        <xdr:cNvPr id="10" name="Graphic 9" descr="Fire">
          <a:extLst>
            <a:ext uri="{FF2B5EF4-FFF2-40B4-BE49-F238E27FC236}">
              <a16:creationId xmlns:a16="http://schemas.microsoft.com/office/drawing/2014/main" id="{83063594-529B-473A-ABC0-8A14B36260BE}"/>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729000" y="71400"/>
          <a:ext cx="583920" cy="583920"/>
        </a:xfrm>
        <a:prstGeom prst="rect">
          <a:avLst/>
        </a:prstGeom>
      </xdr:spPr>
    </xdr:pic>
    <xdr:clientData/>
  </xdr:twoCellAnchor>
  <xdr:twoCellAnchor editAs="oneCell">
    <xdr:from>
      <xdr:col>2</xdr:col>
      <xdr:colOff>79020</xdr:colOff>
      <xdr:row>1</xdr:row>
      <xdr:rowOff>18060</xdr:rowOff>
    </xdr:from>
    <xdr:to>
      <xdr:col>2</xdr:col>
      <xdr:colOff>449580</xdr:colOff>
      <xdr:row>2</xdr:row>
      <xdr:rowOff>7620</xdr:rowOff>
    </xdr:to>
    <xdr:pic>
      <xdr:nvPicPr>
        <xdr:cNvPr id="21" name="Graphic 20" descr="Money">
          <a:extLst>
            <a:ext uri="{FF2B5EF4-FFF2-40B4-BE49-F238E27FC236}">
              <a16:creationId xmlns:a16="http://schemas.microsoft.com/office/drawing/2014/main" id="{DADE051D-4D47-48A2-B0D9-F0A2CF007CF6}"/>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081300" y="841020"/>
          <a:ext cx="370560" cy="370560"/>
        </a:xfrm>
        <a:prstGeom prst="rect">
          <a:avLst/>
        </a:prstGeom>
      </xdr:spPr>
    </xdr:pic>
    <xdr:clientData/>
  </xdr:twoCellAnchor>
  <xdr:twoCellAnchor editAs="oneCell">
    <xdr:from>
      <xdr:col>8</xdr:col>
      <xdr:colOff>22860</xdr:colOff>
      <xdr:row>1</xdr:row>
      <xdr:rowOff>45720</xdr:rowOff>
    </xdr:from>
    <xdr:to>
      <xdr:col>8</xdr:col>
      <xdr:colOff>335280</xdr:colOff>
      <xdr:row>1</xdr:row>
      <xdr:rowOff>358140</xdr:rowOff>
    </xdr:to>
    <xdr:pic>
      <xdr:nvPicPr>
        <xdr:cNvPr id="22" name="Graphic 21" descr="Daily Calendar">
          <a:extLst>
            <a:ext uri="{FF2B5EF4-FFF2-40B4-BE49-F238E27FC236}">
              <a16:creationId xmlns:a16="http://schemas.microsoft.com/office/drawing/2014/main" id="{0677CF76-6B92-4273-A20A-8071DD7A2A17}"/>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1666220" y="868680"/>
          <a:ext cx="312420" cy="312420"/>
        </a:xfrm>
        <a:prstGeom prst="rect">
          <a:avLst/>
        </a:prstGeom>
      </xdr:spPr>
    </xdr:pic>
    <xdr:clientData/>
  </xdr:twoCellAnchor>
  <xdr:twoCellAnchor editAs="absolute">
    <xdr:from>
      <xdr:col>0</xdr:col>
      <xdr:colOff>265040</xdr:colOff>
      <xdr:row>3</xdr:row>
      <xdr:rowOff>44065</xdr:rowOff>
    </xdr:from>
    <xdr:to>
      <xdr:col>8</xdr:col>
      <xdr:colOff>791386</xdr:colOff>
      <xdr:row>8</xdr:row>
      <xdr:rowOff>25560</xdr:rowOff>
    </xdr:to>
    <mc:AlternateContent xmlns:mc="http://schemas.openxmlformats.org/markup-compatibility/2006" xmlns:sle15="http://schemas.microsoft.com/office/drawing/2012/slicer">
      <mc:Choice Requires="sle15">
        <xdr:graphicFrame macro="">
          <xdr:nvGraphicFramePr>
            <xdr:cNvPr id="3" name="Equipment Type">
              <a:extLst>
                <a:ext uri="{FF2B5EF4-FFF2-40B4-BE49-F238E27FC236}">
                  <a16:creationId xmlns:a16="http://schemas.microsoft.com/office/drawing/2014/main" id="{2DA0DA67-0259-4209-BE77-46567C81937C}"/>
                </a:ext>
              </a:extLst>
            </xdr:cNvPr>
            <xdr:cNvGraphicFramePr/>
          </xdr:nvGraphicFramePr>
          <xdr:xfrm>
            <a:off x="0" y="0"/>
            <a:ext cx="0" cy="0"/>
          </xdr:xfrm>
          <a:graphic>
            <a:graphicData uri="http://schemas.microsoft.com/office/drawing/2010/slicer">
              <sle:slicer xmlns:sle="http://schemas.microsoft.com/office/drawing/2010/slicer" name="Equipment Type"/>
            </a:graphicData>
          </a:graphic>
        </xdr:graphicFrame>
      </mc:Choice>
      <mc:Fallback xmlns="">
        <xdr:sp macro="" textlink="">
          <xdr:nvSpPr>
            <xdr:cNvPr id="0" name=""/>
            <xdr:cNvSpPr>
              <a:spLocks noTextEdit="1"/>
            </xdr:cNvSpPr>
          </xdr:nvSpPr>
          <xdr:spPr>
            <a:xfrm>
              <a:off x="265040" y="1880485"/>
              <a:ext cx="13967129" cy="89589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1</xdr:col>
      <xdr:colOff>2317</xdr:colOff>
      <xdr:row>31</xdr:row>
      <xdr:rowOff>68580</xdr:rowOff>
    </xdr:from>
    <xdr:to>
      <xdr:col>8</xdr:col>
      <xdr:colOff>732417</xdr:colOff>
      <xdr:row>36</xdr:row>
      <xdr:rowOff>152401</xdr:rowOff>
    </xdr:to>
    <mc:AlternateContent xmlns:mc="http://schemas.openxmlformats.org/markup-compatibility/2006" xmlns:sle15="http://schemas.microsoft.com/office/drawing/2012/slicer">
      <mc:Choice Requires="sle15">
        <xdr:graphicFrame macro="">
          <xdr:nvGraphicFramePr>
            <xdr:cNvPr id="4" name="Vendor">
              <a:extLst>
                <a:ext uri="{FF2B5EF4-FFF2-40B4-BE49-F238E27FC236}">
                  <a16:creationId xmlns:a16="http://schemas.microsoft.com/office/drawing/2014/main" id="{9463A3B5-A3C9-4A27-A0F1-1FE8CC92FE13}"/>
                </a:ext>
              </a:extLst>
            </xdr:cNvPr>
            <xdr:cNvGraphicFramePr/>
          </xdr:nvGraphicFramePr>
          <xdr:xfrm>
            <a:off x="0" y="0"/>
            <a:ext cx="0" cy="0"/>
          </xdr:xfrm>
          <a:graphic>
            <a:graphicData uri="http://schemas.microsoft.com/office/drawing/2010/slicer">
              <sle:slicer xmlns:sle="http://schemas.microsoft.com/office/drawing/2010/slicer" name="Vendor"/>
            </a:graphicData>
          </a:graphic>
        </xdr:graphicFrame>
      </mc:Choice>
      <mc:Fallback xmlns="">
        <xdr:sp macro="" textlink="">
          <xdr:nvSpPr>
            <xdr:cNvPr id="0" name=""/>
            <xdr:cNvSpPr>
              <a:spLocks noTextEdit="1"/>
            </xdr:cNvSpPr>
          </xdr:nvSpPr>
          <xdr:spPr>
            <a:xfrm>
              <a:off x="269017" y="7025640"/>
              <a:ext cx="13904183" cy="998221"/>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1153020</xdr:colOff>
      <xdr:row>0</xdr:row>
      <xdr:rowOff>332460</xdr:rowOff>
    </xdr:from>
    <xdr:to>
      <xdr:col>1</xdr:col>
      <xdr:colOff>1712100</xdr:colOff>
      <xdr:row>1</xdr:row>
      <xdr:rowOff>38100</xdr:rowOff>
    </xdr:to>
    <xdr:pic>
      <xdr:nvPicPr>
        <xdr:cNvPr id="2" name="Graphic 1" descr="Newspaper">
          <a:extLst>
            <a:ext uri="{FF2B5EF4-FFF2-40B4-BE49-F238E27FC236}">
              <a16:creationId xmlns:a16="http://schemas.microsoft.com/office/drawing/2014/main" id="{AEC139CF-3FCE-410F-918F-6C31925FA57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815960" y="332460"/>
          <a:ext cx="559080" cy="559080"/>
        </a:xfrm>
        <a:prstGeom prst="rect">
          <a:avLst/>
        </a:prstGeom>
      </xdr:spPr>
    </xdr:pic>
    <xdr:clientData/>
  </xdr:twoCellAnchor>
  <xdr:twoCellAnchor editAs="oneCell">
    <xdr:from>
      <xdr:col>3</xdr:col>
      <xdr:colOff>1775460</xdr:colOff>
      <xdr:row>0</xdr:row>
      <xdr:rowOff>175260</xdr:rowOff>
    </xdr:from>
    <xdr:to>
      <xdr:col>3</xdr:col>
      <xdr:colOff>2407920</xdr:colOff>
      <xdr:row>0</xdr:row>
      <xdr:rowOff>807720</xdr:rowOff>
    </xdr:to>
    <xdr:pic>
      <xdr:nvPicPr>
        <xdr:cNvPr id="9" name="Graphic 8" descr="Gears">
          <a:extLst>
            <a:ext uri="{FF2B5EF4-FFF2-40B4-BE49-F238E27FC236}">
              <a16:creationId xmlns:a16="http://schemas.microsoft.com/office/drawing/2014/main" id="{DED1CF44-0627-4AD4-84E6-DD37128F521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8420100" y="175260"/>
          <a:ext cx="632460" cy="63246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3</xdr:col>
      <xdr:colOff>2523060</xdr:colOff>
      <xdr:row>0</xdr:row>
      <xdr:rowOff>121920</xdr:rowOff>
    </xdr:from>
    <xdr:ext cx="677340" cy="677340"/>
    <xdr:pic>
      <xdr:nvPicPr>
        <xdr:cNvPr id="10" name="Graphic 9" descr="Gears">
          <a:extLst>
            <a:ext uri="{FF2B5EF4-FFF2-40B4-BE49-F238E27FC236}">
              <a16:creationId xmlns:a16="http://schemas.microsoft.com/office/drawing/2014/main" id="{7F1479FB-CD0B-478E-939F-26FE40DD335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9434400" y="121920"/>
          <a:ext cx="677340" cy="677340"/>
        </a:xfrm>
        <a:prstGeom prst="rect">
          <a:avLst/>
        </a:prstGeom>
      </xdr:spPr>
    </xdr:pic>
    <xdr:clientData/>
  </xdr:oneCellAnchor>
  <xdr:twoCellAnchor editAs="oneCell">
    <xdr:from>
      <xdr:col>0</xdr:col>
      <xdr:colOff>1409700</xdr:colOff>
      <xdr:row>0</xdr:row>
      <xdr:rowOff>365760</xdr:rowOff>
    </xdr:from>
    <xdr:to>
      <xdr:col>0</xdr:col>
      <xdr:colOff>1907400</xdr:colOff>
      <xdr:row>1</xdr:row>
      <xdr:rowOff>10543</xdr:rowOff>
    </xdr:to>
    <xdr:pic>
      <xdr:nvPicPr>
        <xdr:cNvPr id="11" name="Graphic 10" descr="Hierarchy">
          <a:extLst>
            <a:ext uri="{FF2B5EF4-FFF2-40B4-BE49-F238E27FC236}">
              <a16:creationId xmlns:a16="http://schemas.microsoft.com/office/drawing/2014/main" id="{A9E8CA37-FC84-44DB-84BD-67B1329D0565}"/>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409700" y="365760"/>
          <a:ext cx="497700" cy="50584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653994</xdr:colOff>
      <xdr:row>0</xdr:row>
      <xdr:rowOff>2286994</xdr:rowOff>
    </xdr:from>
    <xdr:to>
      <xdr:col>0</xdr:col>
      <xdr:colOff>1149294</xdr:colOff>
      <xdr:row>0</xdr:row>
      <xdr:rowOff>2693936</xdr:rowOff>
    </xdr:to>
    <xdr:pic>
      <xdr:nvPicPr>
        <xdr:cNvPr id="4" name="Graphic 3" descr="List">
          <a:extLst>
            <a:ext uri="{FF2B5EF4-FFF2-40B4-BE49-F238E27FC236}">
              <a16:creationId xmlns:a16="http://schemas.microsoft.com/office/drawing/2014/main" id="{DC3559AB-168E-4AC3-A37D-FF4E33F3EB2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53994" y="2286994"/>
          <a:ext cx="495300" cy="406942"/>
        </a:xfrm>
        <a:prstGeom prst="rect">
          <a:avLst/>
        </a:prstGeom>
      </xdr:spPr>
    </xdr:pic>
    <xdr:clientData/>
  </xdr:twoCellAnchor>
  <xdr:twoCellAnchor editAs="oneCell">
    <xdr:from>
      <xdr:col>11</xdr:col>
      <xdr:colOff>815760</xdr:colOff>
      <xdr:row>0</xdr:row>
      <xdr:rowOff>198120</xdr:rowOff>
    </xdr:from>
    <xdr:to>
      <xdr:col>11</xdr:col>
      <xdr:colOff>1478280</xdr:colOff>
      <xdr:row>0</xdr:row>
      <xdr:rowOff>860640</xdr:rowOff>
    </xdr:to>
    <xdr:pic>
      <xdr:nvPicPr>
        <xdr:cNvPr id="13" name="Graphic 12" descr="World">
          <a:extLst>
            <a:ext uri="{FF2B5EF4-FFF2-40B4-BE49-F238E27FC236}">
              <a16:creationId xmlns:a16="http://schemas.microsoft.com/office/drawing/2014/main" id="{00A9ACF3-8BA1-4E19-A536-CCA3B4A1F62F}"/>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2672480" y="198120"/>
          <a:ext cx="662520" cy="662520"/>
        </a:xfrm>
        <a:prstGeom prst="rect">
          <a:avLst/>
        </a:prstGeom>
      </xdr:spPr>
    </xdr:pic>
    <xdr:clientData/>
  </xdr:twoCellAnchor>
  <xdr:twoCellAnchor editAs="oneCell">
    <xdr:from>
      <xdr:col>1</xdr:col>
      <xdr:colOff>924840</xdr:colOff>
      <xdr:row>596</xdr:row>
      <xdr:rowOff>223800</xdr:rowOff>
    </xdr:from>
    <xdr:to>
      <xdr:col>1</xdr:col>
      <xdr:colOff>1508760</xdr:colOff>
      <xdr:row>599</xdr:row>
      <xdr:rowOff>15240</xdr:rowOff>
    </xdr:to>
    <xdr:pic>
      <xdr:nvPicPr>
        <xdr:cNvPr id="5" name="Graphic 4" descr="Fire">
          <a:extLst>
            <a:ext uri="{FF2B5EF4-FFF2-40B4-BE49-F238E27FC236}">
              <a16:creationId xmlns:a16="http://schemas.microsoft.com/office/drawing/2014/main" id="{210041FA-4F36-417A-9A3E-4369DD927615}"/>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4102380" y="108069660"/>
          <a:ext cx="583920" cy="583920"/>
        </a:xfrm>
        <a:prstGeom prst="rect">
          <a:avLst/>
        </a:prstGeom>
      </xdr:spPr>
    </xdr:pic>
    <xdr:clientData/>
  </xdr:twoCellAnchor>
  <xdr:twoCellAnchor editAs="absolute">
    <xdr:from>
      <xdr:col>0</xdr:col>
      <xdr:colOff>0</xdr:colOff>
      <xdr:row>0</xdr:row>
      <xdr:rowOff>0</xdr:rowOff>
    </xdr:from>
    <xdr:to>
      <xdr:col>1</xdr:col>
      <xdr:colOff>259080</xdr:colOff>
      <xdr:row>0</xdr:row>
      <xdr:rowOff>624839</xdr:rowOff>
    </xdr:to>
    <mc:AlternateContent xmlns:mc="http://schemas.openxmlformats.org/markup-compatibility/2006" xmlns:sle15="http://schemas.microsoft.com/office/drawing/2012/slicer">
      <mc:Choice Requires="sle15">
        <xdr:graphicFrame macro="">
          <xdr:nvGraphicFramePr>
            <xdr:cNvPr id="2" name="Type 2">
              <a:extLst>
                <a:ext uri="{FF2B5EF4-FFF2-40B4-BE49-F238E27FC236}">
                  <a16:creationId xmlns:a16="http://schemas.microsoft.com/office/drawing/2014/main" id="{BD6352C7-8B81-40BF-B935-7FDE5003E377}"/>
                </a:ext>
              </a:extLst>
            </xdr:cNvPr>
            <xdr:cNvGraphicFramePr/>
          </xdr:nvGraphicFramePr>
          <xdr:xfrm>
            <a:off x="0" y="0"/>
            <a:ext cx="0" cy="0"/>
          </xdr:xfrm>
          <a:graphic>
            <a:graphicData uri="http://schemas.microsoft.com/office/drawing/2010/slicer">
              <sle:slicer xmlns:sle="http://schemas.microsoft.com/office/drawing/2010/slicer" name="Type 2"/>
            </a:graphicData>
          </a:graphic>
        </xdr:graphicFrame>
      </mc:Choice>
      <mc:Fallback xmlns="">
        <xdr:sp macro="" textlink="">
          <xdr:nvSpPr>
            <xdr:cNvPr id="0" name=""/>
            <xdr:cNvSpPr>
              <a:spLocks noTextEdit="1"/>
            </xdr:cNvSpPr>
          </xdr:nvSpPr>
          <xdr:spPr>
            <a:xfrm>
              <a:off x="0" y="0"/>
              <a:ext cx="3368040" cy="62483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1</xdr:col>
      <xdr:colOff>259080</xdr:colOff>
      <xdr:row>0</xdr:row>
      <xdr:rowOff>0</xdr:rowOff>
    </xdr:from>
    <xdr:to>
      <xdr:col>7</xdr:col>
      <xdr:colOff>4122420</xdr:colOff>
      <xdr:row>0</xdr:row>
      <xdr:rowOff>617220</xdr:rowOff>
    </xdr:to>
    <mc:AlternateContent xmlns:mc="http://schemas.openxmlformats.org/markup-compatibility/2006" xmlns:sle15="http://schemas.microsoft.com/office/drawing/2012/slicer">
      <mc:Choice Requires="sle15">
        <xdr:graphicFrame macro="">
          <xdr:nvGraphicFramePr>
            <xdr:cNvPr id="3" name="Category 1">
              <a:extLst>
                <a:ext uri="{FF2B5EF4-FFF2-40B4-BE49-F238E27FC236}">
                  <a16:creationId xmlns:a16="http://schemas.microsoft.com/office/drawing/2014/main" id="{896156B8-8991-4FDE-A05B-F987FB74A0D1}"/>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3368040" y="0"/>
              <a:ext cx="9441180" cy="61722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0</xdr:row>
      <xdr:rowOff>617221</xdr:rowOff>
    </xdr:from>
    <xdr:to>
      <xdr:col>0</xdr:col>
      <xdr:colOff>1798320</xdr:colOff>
      <xdr:row>0</xdr:row>
      <xdr:rowOff>1775460</xdr:rowOff>
    </xdr:to>
    <mc:AlternateContent xmlns:mc="http://schemas.openxmlformats.org/markup-compatibility/2006" xmlns:sle15="http://schemas.microsoft.com/office/drawing/2012/slicer">
      <mc:Choice Requires="sle15">
        <xdr:graphicFrame macro="">
          <xdr:nvGraphicFramePr>
            <xdr:cNvPr id="6" name="Vendor 2">
              <a:extLst>
                <a:ext uri="{FF2B5EF4-FFF2-40B4-BE49-F238E27FC236}">
                  <a16:creationId xmlns:a16="http://schemas.microsoft.com/office/drawing/2014/main" id="{E4B79C47-DDCE-4451-8F24-6FC9E59BA549}"/>
                </a:ext>
              </a:extLst>
            </xdr:cNvPr>
            <xdr:cNvGraphicFramePr/>
          </xdr:nvGraphicFramePr>
          <xdr:xfrm>
            <a:off x="0" y="0"/>
            <a:ext cx="0" cy="0"/>
          </xdr:xfrm>
          <a:graphic>
            <a:graphicData uri="http://schemas.microsoft.com/office/drawing/2010/slicer">
              <sle:slicer xmlns:sle="http://schemas.microsoft.com/office/drawing/2010/slicer" name="Vendor 2"/>
            </a:graphicData>
          </a:graphic>
        </xdr:graphicFrame>
      </mc:Choice>
      <mc:Fallback xmlns="">
        <xdr:sp macro="" textlink="">
          <xdr:nvSpPr>
            <xdr:cNvPr id="0" name=""/>
            <xdr:cNvSpPr>
              <a:spLocks noTextEdit="1"/>
            </xdr:cNvSpPr>
          </xdr:nvSpPr>
          <xdr:spPr>
            <a:xfrm>
              <a:off x="0" y="617221"/>
              <a:ext cx="1798320" cy="115823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1790700</xdr:colOff>
      <xdr:row>0</xdr:row>
      <xdr:rowOff>617221</xdr:rowOff>
    </xdr:from>
    <xdr:to>
      <xdr:col>7</xdr:col>
      <xdr:colOff>4122420</xdr:colOff>
      <xdr:row>0</xdr:row>
      <xdr:rowOff>1775460</xdr:rowOff>
    </xdr:to>
    <mc:AlternateContent xmlns:mc="http://schemas.openxmlformats.org/markup-compatibility/2006" xmlns:sle15="http://schemas.microsoft.com/office/drawing/2012/slicer">
      <mc:Choice Requires="sle15">
        <xdr:graphicFrame macro="">
          <xdr:nvGraphicFramePr>
            <xdr:cNvPr id="7" name="Quantity 1">
              <a:extLst>
                <a:ext uri="{FF2B5EF4-FFF2-40B4-BE49-F238E27FC236}">
                  <a16:creationId xmlns:a16="http://schemas.microsoft.com/office/drawing/2014/main" id="{50F4E6BB-2F6E-4808-9491-615CDE14904B}"/>
                </a:ext>
              </a:extLst>
            </xdr:cNvPr>
            <xdr:cNvGraphicFramePr/>
          </xdr:nvGraphicFramePr>
          <xdr:xfrm>
            <a:off x="0" y="0"/>
            <a:ext cx="0" cy="0"/>
          </xdr:xfrm>
          <a:graphic>
            <a:graphicData uri="http://schemas.microsoft.com/office/drawing/2010/slicer">
              <sle:slicer xmlns:sle="http://schemas.microsoft.com/office/drawing/2010/slicer" name="Quantity 1"/>
            </a:graphicData>
          </a:graphic>
        </xdr:graphicFrame>
      </mc:Choice>
      <mc:Fallback xmlns="">
        <xdr:sp macro="" textlink="">
          <xdr:nvSpPr>
            <xdr:cNvPr id="0" name=""/>
            <xdr:cNvSpPr>
              <a:spLocks noTextEdit="1"/>
            </xdr:cNvSpPr>
          </xdr:nvSpPr>
          <xdr:spPr>
            <a:xfrm>
              <a:off x="1790700" y="617221"/>
              <a:ext cx="11018520" cy="115823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7</xdr:col>
      <xdr:colOff>4114800</xdr:colOff>
      <xdr:row>0</xdr:row>
      <xdr:rowOff>7620</xdr:rowOff>
    </xdr:from>
    <xdr:to>
      <xdr:col>7</xdr:col>
      <xdr:colOff>5021580</xdr:colOff>
      <xdr:row>0</xdr:row>
      <xdr:rowOff>2263140</xdr:rowOff>
    </xdr:to>
    <mc:AlternateContent xmlns:mc="http://schemas.openxmlformats.org/markup-compatibility/2006" xmlns:sle15="http://schemas.microsoft.com/office/drawing/2012/slicer">
      <mc:Choice Requires="sle15">
        <xdr:graphicFrame macro="">
          <xdr:nvGraphicFramePr>
            <xdr:cNvPr id="8" name="Tag 1">
              <a:extLst>
                <a:ext uri="{FF2B5EF4-FFF2-40B4-BE49-F238E27FC236}">
                  <a16:creationId xmlns:a16="http://schemas.microsoft.com/office/drawing/2014/main" id="{2D245333-F6B2-47CC-8568-0A5BA3332987}"/>
                </a:ext>
              </a:extLst>
            </xdr:cNvPr>
            <xdr:cNvGraphicFramePr/>
          </xdr:nvGraphicFramePr>
          <xdr:xfrm>
            <a:off x="0" y="0"/>
            <a:ext cx="0" cy="0"/>
          </xdr:xfrm>
          <a:graphic>
            <a:graphicData uri="http://schemas.microsoft.com/office/drawing/2010/slicer">
              <sle:slicer xmlns:sle="http://schemas.microsoft.com/office/drawing/2010/slicer" name="Tag 1"/>
            </a:graphicData>
          </a:graphic>
        </xdr:graphicFrame>
      </mc:Choice>
      <mc:Fallback xmlns="">
        <xdr:sp macro="" textlink="">
          <xdr:nvSpPr>
            <xdr:cNvPr id="0" name=""/>
            <xdr:cNvSpPr>
              <a:spLocks noTextEdit="1"/>
            </xdr:cNvSpPr>
          </xdr:nvSpPr>
          <xdr:spPr>
            <a:xfrm>
              <a:off x="12801600" y="7620"/>
              <a:ext cx="906780" cy="225552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669234</xdr:colOff>
      <xdr:row>10</xdr:row>
      <xdr:rowOff>465814</xdr:rowOff>
    </xdr:from>
    <xdr:to>
      <xdr:col>0</xdr:col>
      <xdr:colOff>1164534</xdr:colOff>
      <xdr:row>10</xdr:row>
      <xdr:rowOff>872756</xdr:rowOff>
    </xdr:to>
    <xdr:pic>
      <xdr:nvPicPr>
        <xdr:cNvPr id="2" name="Graphic 1" descr="List">
          <a:extLst>
            <a:ext uri="{FF2B5EF4-FFF2-40B4-BE49-F238E27FC236}">
              <a16:creationId xmlns:a16="http://schemas.microsoft.com/office/drawing/2014/main" id="{19D216F3-B569-4865-A309-4DBD62DC6A9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69234" y="2294614"/>
          <a:ext cx="495300" cy="406942"/>
        </a:xfrm>
        <a:prstGeom prst="rect">
          <a:avLst/>
        </a:prstGeom>
      </xdr:spPr>
    </xdr:pic>
    <xdr:clientData/>
  </xdr:twoCellAnchor>
  <xdr:twoCellAnchor editAs="oneCell">
    <xdr:from>
      <xdr:col>11</xdr:col>
      <xdr:colOff>815760</xdr:colOff>
      <xdr:row>10</xdr:row>
      <xdr:rowOff>198120</xdr:rowOff>
    </xdr:from>
    <xdr:to>
      <xdr:col>12</xdr:col>
      <xdr:colOff>661659</xdr:colOff>
      <xdr:row>10</xdr:row>
      <xdr:rowOff>860640</xdr:rowOff>
    </xdr:to>
    <xdr:pic>
      <xdr:nvPicPr>
        <xdr:cNvPr id="3" name="Graphic 2" descr="World">
          <a:extLst>
            <a:ext uri="{FF2B5EF4-FFF2-40B4-BE49-F238E27FC236}">
              <a16:creationId xmlns:a16="http://schemas.microsoft.com/office/drawing/2014/main" id="{9446F9D3-D247-4A16-BF1D-C34723B43F18}"/>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5720480" y="2026920"/>
          <a:ext cx="662520" cy="662520"/>
        </a:xfrm>
        <a:prstGeom prst="rect">
          <a:avLst/>
        </a:prstGeom>
      </xdr:spPr>
    </xdr:pic>
    <xdr:clientData/>
  </xdr:twoCellAnchor>
  <xdr:twoCellAnchor editAs="oneCell">
    <xdr:from>
      <xdr:col>1</xdr:col>
      <xdr:colOff>1346117</xdr:colOff>
      <xdr:row>660</xdr:row>
      <xdr:rowOff>53983</xdr:rowOff>
    </xdr:from>
    <xdr:to>
      <xdr:col>1</xdr:col>
      <xdr:colOff>1930037</xdr:colOff>
      <xdr:row>662</xdr:row>
      <xdr:rowOff>19596</xdr:rowOff>
    </xdr:to>
    <xdr:pic>
      <xdr:nvPicPr>
        <xdr:cNvPr id="4" name="Graphic 3" descr="Fire">
          <a:extLst>
            <a:ext uri="{FF2B5EF4-FFF2-40B4-BE49-F238E27FC236}">
              <a16:creationId xmlns:a16="http://schemas.microsoft.com/office/drawing/2014/main" id="{CEB9E415-BEFE-4D2C-B3AE-BAAC6D0ACD0B}"/>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936917" y="115986840"/>
          <a:ext cx="583920" cy="586098"/>
        </a:xfrm>
        <a:prstGeom prst="rect">
          <a:avLst/>
        </a:prstGeom>
      </xdr:spPr>
    </xdr:pic>
    <xdr:clientData/>
  </xdr:twoCellAnchor>
  <xdr:twoCellAnchor editAs="absolute">
    <xdr:from>
      <xdr:col>0</xdr:col>
      <xdr:colOff>22860</xdr:colOff>
      <xdr:row>0</xdr:row>
      <xdr:rowOff>38100</xdr:rowOff>
    </xdr:from>
    <xdr:to>
      <xdr:col>0</xdr:col>
      <xdr:colOff>2545080</xdr:colOff>
      <xdr:row>3</xdr:row>
      <xdr:rowOff>106680</xdr:rowOff>
    </xdr:to>
    <mc:AlternateContent xmlns:mc="http://schemas.openxmlformats.org/markup-compatibility/2006" xmlns:sle15="http://schemas.microsoft.com/office/drawing/2012/slicer">
      <mc:Choice Requires="sle15">
        <xdr:graphicFrame macro="">
          <xdr:nvGraphicFramePr>
            <xdr:cNvPr id="5" name="Type 3">
              <a:extLst>
                <a:ext uri="{FF2B5EF4-FFF2-40B4-BE49-F238E27FC236}">
                  <a16:creationId xmlns:a16="http://schemas.microsoft.com/office/drawing/2014/main" id="{820807B3-8738-484F-B890-08802577FA82}"/>
                </a:ext>
              </a:extLst>
            </xdr:cNvPr>
            <xdr:cNvGraphicFramePr/>
          </xdr:nvGraphicFramePr>
          <xdr:xfrm>
            <a:off x="0" y="0"/>
            <a:ext cx="0" cy="0"/>
          </xdr:xfrm>
          <a:graphic>
            <a:graphicData uri="http://schemas.microsoft.com/office/drawing/2010/slicer">
              <sle:slicer xmlns:sle="http://schemas.microsoft.com/office/drawing/2010/slicer" name="Type 3"/>
            </a:graphicData>
          </a:graphic>
        </xdr:graphicFrame>
      </mc:Choice>
      <mc:Fallback xmlns="">
        <xdr:sp macro="" textlink="">
          <xdr:nvSpPr>
            <xdr:cNvPr id="0" name=""/>
            <xdr:cNvSpPr>
              <a:spLocks noTextEdit="1"/>
            </xdr:cNvSpPr>
          </xdr:nvSpPr>
          <xdr:spPr>
            <a:xfrm>
              <a:off x="22860" y="38100"/>
              <a:ext cx="2522220" cy="606462"/>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2545080</xdr:colOff>
      <xdr:row>0</xdr:row>
      <xdr:rowOff>30481</xdr:rowOff>
    </xdr:from>
    <xdr:to>
      <xdr:col>7</xdr:col>
      <xdr:colOff>4144383</xdr:colOff>
      <xdr:row>3</xdr:row>
      <xdr:rowOff>106680</xdr:rowOff>
    </xdr:to>
    <mc:AlternateContent xmlns:mc="http://schemas.openxmlformats.org/markup-compatibility/2006" xmlns:sle15="http://schemas.microsoft.com/office/drawing/2012/slicer">
      <mc:Choice Requires="sle15">
        <xdr:graphicFrame macro="">
          <xdr:nvGraphicFramePr>
            <xdr:cNvPr id="6" name="Category 2">
              <a:extLst>
                <a:ext uri="{FF2B5EF4-FFF2-40B4-BE49-F238E27FC236}">
                  <a16:creationId xmlns:a16="http://schemas.microsoft.com/office/drawing/2014/main" id="{7C0531B6-D715-4A61-B99E-3494AAB4B2B8}"/>
                </a:ext>
              </a:extLst>
            </xdr:cNvPr>
            <xdr:cNvGraphicFramePr/>
          </xdr:nvGraphicFramePr>
          <xdr:xfrm>
            <a:off x="0" y="0"/>
            <a:ext cx="0" cy="0"/>
          </xdr:xfrm>
          <a:graphic>
            <a:graphicData uri="http://schemas.microsoft.com/office/drawing/2010/slicer">
              <sle:slicer xmlns:sle="http://schemas.microsoft.com/office/drawing/2010/slicer" name="Category 2"/>
            </a:graphicData>
          </a:graphic>
        </xdr:graphicFrame>
      </mc:Choice>
      <mc:Fallback xmlns="">
        <xdr:sp macro="" textlink="">
          <xdr:nvSpPr>
            <xdr:cNvPr id="0" name=""/>
            <xdr:cNvSpPr>
              <a:spLocks noTextEdit="1"/>
            </xdr:cNvSpPr>
          </xdr:nvSpPr>
          <xdr:spPr>
            <a:xfrm>
              <a:off x="2545080" y="30481"/>
              <a:ext cx="10716409" cy="614081"/>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45720</xdr:colOff>
      <xdr:row>3</xdr:row>
      <xdr:rowOff>106680</xdr:rowOff>
    </xdr:from>
    <xdr:to>
      <xdr:col>0</xdr:col>
      <xdr:colOff>1943100</xdr:colOff>
      <xdr:row>9</xdr:row>
      <xdr:rowOff>167639</xdr:rowOff>
    </xdr:to>
    <mc:AlternateContent xmlns:mc="http://schemas.openxmlformats.org/markup-compatibility/2006" xmlns:sle15="http://schemas.microsoft.com/office/drawing/2012/slicer">
      <mc:Choice Requires="sle15">
        <xdr:graphicFrame macro="">
          <xdr:nvGraphicFramePr>
            <xdr:cNvPr id="7" name="Vendor 3">
              <a:extLst>
                <a:ext uri="{FF2B5EF4-FFF2-40B4-BE49-F238E27FC236}">
                  <a16:creationId xmlns:a16="http://schemas.microsoft.com/office/drawing/2014/main" id="{FAC381C8-46E0-43C2-AC3C-F4C79A30106B}"/>
                </a:ext>
              </a:extLst>
            </xdr:cNvPr>
            <xdr:cNvGraphicFramePr/>
          </xdr:nvGraphicFramePr>
          <xdr:xfrm>
            <a:off x="0" y="0"/>
            <a:ext cx="0" cy="0"/>
          </xdr:xfrm>
          <a:graphic>
            <a:graphicData uri="http://schemas.microsoft.com/office/drawing/2010/slicer">
              <sle:slicer xmlns:sle="http://schemas.microsoft.com/office/drawing/2010/slicer" name="Vendor 3"/>
            </a:graphicData>
          </a:graphic>
        </xdr:graphicFrame>
      </mc:Choice>
      <mc:Fallback xmlns="">
        <xdr:sp macro="" textlink="">
          <xdr:nvSpPr>
            <xdr:cNvPr id="0" name=""/>
            <xdr:cNvSpPr>
              <a:spLocks noTextEdit="1"/>
            </xdr:cNvSpPr>
          </xdr:nvSpPr>
          <xdr:spPr>
            <a:xfrm>
              <a:off x="45720" y="644562"/>
              <a:ext cx="1897380" cy="1136724"/>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1950720</xdr:colOff>
      <xdr:row>3</xdr:row>
      <xdr:rowOff>106680</xdr:rowOff>
    </xdr:from>
    <xdr:to>
      <xdr:col>7</xdr:col>
      <xdr:colOff>4136763</xdr:colOff>
      <xdr:row>9</xdr:row>
      <xdr:rowOff>167640</xdr:rowOff>
    </xdr:to>
    <mc:AlternateContent xmlns:mc="http://schemas.openxmlformats.org/markup-compatibility/2006" xmlns:sle15="http://schemas.microsoft.com/office/drawing/2012/slicer">
      <mc:Choice Requires="sle15">
        <xdr:graphicFrame macro="">
          <xdr:nvGraphicFramePr>
            <xdr:cNvPr id="8" name="Quantity 2">
              <a:extLst>
                <a:ext uri="{FF2B5EF4-FFF2-40B4-BE49-F238E27FC236}">
                  <a16:creationId xmlns:a16="http://schemas.microsoft.com/office/drawing/2014/main" id="{C9693A7D-7E75-4809-B1C5-58AEA4373E43}"/>
                </a:ext>
              </a:extLst>
            </xdr:cNvPr>
            <xdr:cNvGraphicFramePr/>
          </xdr:nvGraphicFramePr>
          <xdr:xfrm>
            <a:off x="0" y="0"/>
            <a:ext cx="0" cy="0"/>
          </xdr:xfrm>
          <a:graphic>
            <a:graphicData uri="http://schemas.microsoft.com/office/drawing/2010/slicer">
              <sle:slicer xmlns:sle="http://schemas.microsoft.com/office/drawing/2010/slicer" name="Quantity 2"/>
            </a:graphicData>
          </a:graphic>
        </xdr:graphicFrame>
      </mc:Choice>
      <mc:Fallback xmlns="">
        <xdr:sp macro="" textlink="">
          <xdr:nvSpPr>
            <xdr:cNvPr id="0" name=""/>
            <xdr:cNvSpPr>
              <a:spLocks noTextEdit="1"/>
            </xdr:cNvSpPr>
          </xdr:nvSpPr>
          <xdr:spPr>
            <a:xfrm>
              <a:off x="1950720" y="644562"/>
              <a:ext cx="11303149" cy="113672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7</xdr:col>
      <xdr:colOff>4136763</xdr:colOff>
      <xdr:row>0</xdr:row>
      <xdr:rowOff>0</xdr:rowOff>
    </xdr:from>
    <xdr:to>
      <xdr:col>7</xdr:col>
      <xdr:colOff>5056094</xdr:colOff>
      <xdr:row>10</xdr:row>
      <xdr:rowOff>403860</xdr:rowOff>
    </xdr:to>
    <mc:AlternateContent xmlns:mc="http://schemas.openxmlformats.org/markup-compatibility/2006" xmlns:sle15="http://schemas.microsoft.com/office/drawing/2012/slicer">
      <mc:Choice Requires="sle15">
        <xdr:graphicFrame macro="">
          <xdr:nvGraphicFramePr>
            <xdr:cNvPr id="9" name="Tag 2">
              <a:extLst>
                <a:ext uri="{FF2B5EF4-FFF2-40B4-BE49-F238E27FC236}">
                  <a16:creationId xmlns:a16="http://schemas.microsoft.com/office/drawing/2014/main" id="{6E825A07-1287-405D-A922-B2502F676030}"/>
                </a:ext>
              </a:extLst>
            </xdr:cNvPr>
            <xdr:cNvGraphicFramePr/>
          </xdr:nvGraphicFramePr>
          <xdr:xfrm>
            <a:off x="0" y="0"/>
            <a:ext cx="0" cy="0"/>
          </xdr:xfrm>
          <a:graphic>
            <a:graphicData uri="http://schemas.microsoft.com/office/drawing/2010/slicer">
              <sle:slicer xmlns:sle="http://schemas.microsoft.com/office/drawing/2010/slicer" name="Tag 2"/>
            </a:graphicData>
          </a:graphic>
        </xdr:graphicFrame>
      </mc:Choice>
      <mc:Fallback xmlns="">
        <xdr:sp macro="" textlink="">
          <xdr:nvSpPr>
            <xdr:cNvPr id="0" name=""/>
            <xdr:cNvSpPr>
              <a:spLocks noTextEdit="1"/>
            </xdr:cNvSpPr>
          </xdr:nvSpPr>
          <xdr:spPr>
            <a:xfrm>
              <a:off x="13253869" y="0"/>
              <a:ext cx="914400" cy="2196801"/>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absoluteAnchor>
    <xdr:pos x="3125993" y="1781288"/>
    <xdr:ext cx="10127876" cy="918434"/>
    <mc:AlternateContent xmlns:mc="http://schemas.openxmlformats.org/markup-compatibility/2006" xmlns:sle15="http://schemas.microsoft.com/office/drawing/2012/slicer">
      <mc:Choice Requires="sle15">
        <xdr:graphicFrame macro="">
          <xdr:nvGraphicFramePr>
            <xdr:cNvPr id="10" name="Initial 1">
              <a:extLst>
                <a:ext uri="{FF2B5EF4-FFF2-40B4-BE49-F238E27FC236}">
                  <a16:creationId xmlns:a16="http://schemas.microsoft.com/office/drawing/2014/main" id="{DC047861-0983-4209-8092-12886DB4B194}"/>
                </a:ext>
              </a:extLst>
            </xdr:cNvPr>
            <xdr:cNvGraphicFramePr/>
          </xdr:nvGraphicFramePr>
          <xdr:xfrm>
            <a:off x="0" y="0"/>
            <a:ext cx="0" cy="0"/>
          </xdr:xfrm>
          <a:graphic>
            <a:graphicData uri="http://schemas.microsoft.com/office/drawing/2010/slicer">
              <sle:slicer xmlns:sle="http://schemas.microsoft.com/office/drawing/2010/slicer" name="Initial 1"/>
            </a:graphicData>
          </a:graphic>
        </xdr:graphicFrame>
      </mc:Choice>
      <mc:Fallback xmlns="">
        <xdr:sp macro="" textlink="">
          <xdr:nvSpPr>
            <xdr:cNvPr id="0" name=""/>
            <xdr:cNvSpPr>
              <a:spLocks noTextEdit="1"/>
            </xdr:cNvSpPr>
          </xdr:nvSpPr>
          <xdr:spPr>
            <a:xfrm>
              <a:off x="3125993" y="1781288"/>
              <a:ext cx="10127876" cy="918434"/>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wsDr>
</file>

<file path=xl/drawings/drawing7.xml><?xml version="1.0" encoding="utf-8"?>
<xdr:wsDr xmlns:xdr="http://schemas.openxmlformats.org/drawingml/2006/spreadsheetDrawing" xmlns:a="http://schemas.openxmlformats.org/drawingml/2006/main">
  <xdr:twoCellAnchor editAs="oneCell">
    <xdr:from>
      <xdr:col>0</xdr:col>
      <xdr:colOff>2391738</xdr:colOff>
      <xdr:row>10</xdr:row>
      <xdr:rowOff>241056</xdr:rowOff>
    </xdr:from>
    <xdr:to>
      <xdr:col>0</xdr:col>
      <xdr:colOff>2887038</xdr:colOff>
      <xdr:row>10</xdr:row>
      <xdr:rowOff>647998</xdr:rowOff>
    </xdr:to>
    <xdr:pic>
      <xdr:nvPicPr>
        <xdr:cNvPr id="2" name="Graphic 1" descr="List">
          <a:extLst>
            <a:ext uri="{FF2B5EF4-FFF2-40B4-BE49-F238E27FC236}">
              <a16:creationId xmlns:a16="http://schemas.microsoft.com/office/drawing/2014/main" id="{F0E3E701-E094-4FE9-8086-72C9CCFECB8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391738" y="2897170"/>
          <a:ext cx="495300" cy="406942"/>
        </a:xfrm>
        <a:prstGeom prst="rect">
          <a:avLst/>
        </a:prstGeom>
      </xdr:spPr>
    </xdr:pic>
    <xdr:clientData/>
  </xdr:twoCellAnchor>
  <xdr:twoCellAnchor editAs="oneCell">
    <xdr:from>
      <xdr:col>11</xdr:col>
      <xdr:colOff>815760</xdr:colOff>
      <xdr:row>10</xdr:row>
      <xdr:rowOff>198120</xdr:rowOff>
    </xdr:from>
    <xdr:to>
      <xdr:col>13</xdr:col>
      <xdr:colOff>661659</xdr:colOff>
      <xdr:row>10</xdr:row>
      <xdr:rowOff>860640</xdr:rowOff>
    </xdr:to>
    <xdr:pic>
      <xdr:nvPicPr>
        <xdr:cNvPr id="3" name="Graphic 2" descr="World">
          <a:extLst>
            <a:ext uri="{FF2B5EF4-FFF2-40B4-BE49-F238E27FC236}">
              <a16:creationId xmlns:a16="http://schemas.microsoft.com/office/drawing/2014/main" id="{6D95968F-A8ED-451A-A5D5-3FC75D8F204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4440320" y="2026920"/>
          <a:ext cx="661239" cy="662520"/>
        </a:xfrm>
        <a:prstGeom prst="rect">
          <a:avLst/>
        </a:prstGeom>
      </xdr:spPr>
    </xdr:pic>
    <xdr:clientData/>
  </xdr:twoCellAnchor>
  <xdr:twoCellAnchor editAs="oneCell">
    <xdr:from>
      <xdr:col>1</xdr:col>
      <xdr:colOff>1346117</xdr:colOff>
      <xdr:row>658</xdr:row>
      <xdr:rowOff>53983</xdr:rowOff>
    </xdr:from>
    <xdr:to>
      <xdr:col>1</xdr:col>
      <xdr:colOff>1930037</xdr:colOff>
      <xdr:row>660</xdr:row>
      <xdr:rowOff>19596</xdr:rowOff>
    </xdr:to>
    <xdr:pic>
      <xdr:nvPicPr>
        <xdr:cNvPr id="4" name="Graphic 3" descr="Fire">
          <a:extLst>
            <a:ext uri="{FF2B5EF4-FFF2-40B4-BE49-F238E27FC236}">
              <a16:creationId xmlns:a16="http://schemas.microsoft.com/office/drawing/2014/main" id="{42378B6D-9007-4644-B9F5-037A594CE7F2}"/>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936917" y="121806343"/>
          <a:ext cx="583920" cy="582833"/>
        </a:xfrm>
        <a:prstGeom prst="rect">
          <a:avLst/>
        </a:prstGeom>
      </xdr:spPr>
    </xdr:pic>
    <xdr:clientData/>
  </xdr:twoCellAnchor>
  <xdr:twoCellAnchor editAs="absolute">
    <xdr:from>
      <xdr:col>0</xdr:col>
      <xdr:colOff>22860</xdr:colOff>
      <xdr:row>0</xdr:row>
      <xdr:rowOff>38100</xdr:rowOff>
    </xdr:from>
    <xdr:to>
      <xdr:col>0</xdr:col>
      <xdr:colOff>2545080</xdr:colOff>
      <xdr:row>0</xdr:row>
      <xdr:rowOff>656221</xdr:rowOff>
    </xdr:to>
    <mc:AlternateContent xmlns:mc="http://schemas.openxmlformats.org/markup-compatibility/2006" xmlns:sle15="http://schemas.microsoft.com/office/drawing/2012/slicer">
      <mc:Choice Requires="sle15">
        <xdr:graphicFrame macro="">
          <xdr:nvGraphicFramePr>
            <xdr:cNvPr id="5" name="Type 4">
              <a:extLst>
                <a:ext uri="{FF2B5EF4-FFF2-40B4-BE49-F238E27FC236}">
                  <a16:creationId xmlns:a16="http://schemas.microsoft.com/office/drawing/2014/main" id="{CA1C80CF-EA03-4639-A79B-205DCA63FC6D}"/>
                </a:ext>
              </a:extLst>
            </xdr:cNvPr>
            <xdr:cNvGraphicFramePr/>
          </xdr:nvGraphicFramePr>
          <xdr:xfrm>
            <a:off x="0" y="0"/>
            <a:ext cx="0" cy="0"/>
          </xdr:xfrm>
          <a:graphic>
            <a:graphicData uri="http://schemas.microsoft.com/office/drawing/2010/slicer">
              <sle:slicer xmlns:sle="http://schemas.microsoft.com/office/drawing/2010/slicer" name="Type 4"/>
            </a:graphicData>
          </a:graphic>
        </xdr:graphicFrame>
      </mc:Choice>
      <mc:Fallback xmlns="">
        <xdr:sp macro="" textlink="">
          <xdr:nvSpPr>
            <xdr:cNvPr id="0" name=""/>
            <xdr:cNvSpPr>
              <a:spLocks noTextEdit="1"/>
            </xdr:cNvSpPr>
          </xdr:nvSpPr>
          <xdr:spPr>
            <a:xfrm>
              <a:off x="22860" y="38100"/>
              <a:ext cx="2522220" cy="620373"/>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2545080</xdr:colOff>
      <xdr:row>0</xdr:row>
      <xdr:rowOff>30481</xdr:rowOff>
    </xdr:from>
    <xdr:to>
      <xdr:col>8</xdr:col>
      <xdr:colOff>2688700</xdr:colOff>
      <xdr:row>0</xdr:row>
      <xdr:rowOff>656221</xdr:rowOff>
    </xdr:to>
    <mc:AlternateContent xmlns:mc="http://schemas.openxmlformats.org/markup-compatibility/2006" xmlns:sle15="http://schemas.microsoft.com/office/drawing/2012/slicer">
      <mc:Choice Requires="sle15">
        <xdr:graphicFrame macro="">
          <xdr:nvGraphicFramePr>
            <xdr:cNvPr id="6" name="Category 3">
              <a:extLst>
                <a:ext uri="{FF2B5EF4-FFF2-40B4-BE49-F238E27FC236}">
                  <a16:creationId xmlns:a16="http://schemas.microsoft.com/office/drawing/2014/main" id="{935E0959-F3E0-4861-AD4E-A013273A4C2C}"/>
                </a:ext>
              </a:extLst>
            </xdr:cNvPr>
            <xdr:cNvGraphicFramePr/>
          </xdr:nvGraphicFramePr>
          <xdr:xfrm>
            <a:off x="0" y="0"/>
            <a:ext cx="0" cy="0"/>
          </xdr:xfrm>
          <a:graphic>
            <a:graphicData uri="http://schemas.microsoft.com/office/drawing/2010/slicer">
              <sle:slicer xmlns:sle="http://schemas.microsoft.com/office/drawing/2010/slicer" name="Category 3"/>
            </a:graphicData>
          </a:graphic>
        </xdr:graphicFrame>
      </mc:Choice>
      <mc:Fallback xmlns="">
        <xdr:sp macro="" textlink="">
          <xdr:nvSpPr>
            <xdr:cNvPr id="0" name=""/>
            <xdr:cNvSpPr>
              <a:spLocks noTextEdit="1"/>
            </xdr:cNvSpPr>
          </xdr:nvSpPr>
          <xdr:spPr>
            <a:xfrm>
              <a:off x="2545080" y="30481"/>
              <a:ext cx="10717027" cy="627992"/>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45720</xdr:colOff>
      <xdr:row>0</xdr:row>
      <xdr:rowOff>656220</xdr:rowOff>
    </xdr:from>
    <xdr:to>
      <xdr:col>0</xdr:col>
      <xdr:colOff>1943100</xdr:colOff>
      <xdr:row>9</xdr:row>
      <xdr:rowOff>174172</xdr:rowOff>
    </xdr:to>
    <mc:AlternateContent xmlns:mc="http://schemas.openxmlformats.org/markup-compatibility/2006" xmlns:sle15="http://schemas.microsoft.com/office/drawing/2012/slicer">
      <mc:Choice Requires="sle15">
        <xdr:graphicFrame macro="">
          <xdr:nvGraphicFramePr>
            <xdr:cNvPr id="7" name="Vendor 4">
              <a:extLst>
                <a:ext uri="{FF2B5EF4-FFF2-40B4-BE49-F238E27FC236}">
                  <a16:creationId xmlns:a16="http://schemas.microsoft.com/office/drawing/2014/main" id="{158387AA-C60D-43C6-AC51-470E63BD2EEB}"/>
                </a:ext>
              </a:extLst>
            </xdr:cNvPr>
            <xdr:cNvGraphicFramePr/>
          </xdr:nvGraphicFramePr>
          <xdr:xfrm>
            <a:off x="0" y="0"/>
            <a:ext cx="0" cy="0"/>
          </xdr:xfrm>
          <a:graphic>
            <a:graphicData uri="http://schemas.microsoft.com/office/drawing/2010/slicer">
              <sle:slicer xmlns:sle="http://schemas.microsoft.com/office/drawing/2010/slicer" name="Vendor 4"/>
            </a:graphicData>
          </a:graphic>
        </xdr:graphicFrame>
      </mc:Choice>
      <mc:Fallback xmlns="">
        <xdr:sp macro="" textlink="">
          <xdr:nvSpPr>
            <xdr:cNvPr id="0" name=""/>
            <xdr:cNvSpPr>
              <a:spLocks noTextEdit="1"/>
            </xdr:cNvSpPr>
          </xdr:nvSpPr>
          <xdr:spPr>
            <a:xfrm>
              <a:off x="45720" y="658472"/>
              <a:ext cx="1897380" cy="20145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2897776</xdr:colOff>
      <xdr:row>10</xdr:row>
      <xdr:rowOff>13965</xdr:rowOff>
    </xdr:from>
    <xdr:to>
      <xdr:col>8</xdr:col>
      <xdr:colOff>1491342</xdr:colOff>
      <xdr:row>10</xdr:row>
      <xdr:rowOff>881743</xdr:rowOff>
    </xdr:to>
    <mc:AlternateContent xmlns:mc="http://schemas.openxmlformats.org/markup-compatibility/2006" xmlns:sle15="http://schemas.microsoft.com/office/drawing/2012/slicer">
      <mc:Choice Requires="sle15">
        <xdr:graphicFrame macro="">
          <xdr:nvGraphicFramePr>
            <xdr:cNvPr id="8" name="Quantity 3">
              <a:extLst>
                <a:ext uri="{FF2B5EF4-FFF2-40B4-BE49-F238E27FC236}">
                  <a16:creationId xmlns:a16="http://schemas.microsoft.com/office/drawing/2014/main" id="{02B7AD5D-2E74-4F4D-A5BF-086EA980A74B}"/>
                </a:ext>
              </a:extLst>
            </xdr:cNvPr>
            <xdr:cNvGraphicFramePr/>
          </xdr:nvGraphicFramePr>
          <xdr:xfrm>
            <a:off x="0" y="0"/>
            <a:ext cx="0" cy="0"/>
          </xdr:xfrm>
          <a:graphic>
            <a:graphicData uri="http://schemas.microsoft.com/office/drawing/2010/slicer">
              <sle:slicer xmlns:sle="http://schemas.microsoft.com/office/drawing/2010/slicer" name="Quantity 3"/>
            </a:graphicData>
          </a:graphic>
        </xdr:graphicFrame>
      </mc:Choice>
      <mc:Fallback xmlns="">
        <xdr:sp macro="" textlink="">
          <xdr:nvSpPr>
            <xdr:cNvPr id="0" name=""/>
            <xdr:cNvSpPr>
              <a:spLocks noTextEdit="1"/>
            </xdr:cNvSpPr>
          </xdr:nvSpPr>
          <xdr:spPr>
            <a:xfrm>
              <a:off x="2897776" y="2670079"/>
              <a:ext cx="9163595" cy="867778"/>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8</xdr:col>
      <xdr:colOff>1505423</xdr:colOff>
      <xdr:row>0</xdr:row>
      <xdr:rowOff>653143</xdr:rowOff>
    </xdr:from>
    <xdr:to>
      <xdr:col>8</xdr:col>
      <xdr:colOff>2677885</xdr:colOff>
      <xdr:row>10</xdr:row>
      <xdr:rowOff>870857</xdr:rowOff>
    </xdr:to>
    <mc:AlternateContent xmlns:mc="http://schemas.openxmlformats.org/markup-compatibility/2006" xmlns:sle15="http://schemas.microsoft.com/office/drawing/2012/slicer">
      <mc:Choice Requires="sle15">
        <xdr:graphicFrame macro="">
          <xdr:nvGraphicFramePr>
            <xdr:cNvPr id="9" name="Tag 3">
              <a:extLst>
                <a:ext uri="{FF2B5EF4-FFF2-40B4-BE49-F238E27FC236}">
                  <a16:creationId xmlns:a16="http://schemas.microsoft.com/office/drawing/2014/main" id="{B830D873-E31C-441B-8327-D9A5B78C493B}"/>
                </a:ext>
              </a:extLst>
            </xdr:cNvPr>
            <xdr:cNvGraphicFramePr/>
          </xdr:nvGraphicFramePr>
          <xdr:xfrm>
            <a:off x="0" y="0"/>
            <a:ext cx="0" cy="0"/>
          </xdr:xfrm>
          <a:graphic>
            <a:graphicData uri="http://schemas.microsoft.com/office/drawing/2010/slicer">
              <sle:slicer xmlns:sle="http://schemas.microsoft.com/office/drawing/2010/slicer" name="Tag 3"/>
            </a:graphicData>
          </a:graphic>
        </xdr:graphicFrame>
      </mc:Choice>
      <mc:Fallback xmlns="">
        <xdr:sp macro="" textlink="">
          <xdr:nvSpPr>
            <xdr:cNvPr id="0" name=""/>
            <xdr:cNvSpPr>
              <a:spLocks noTextEdit="1"/>
            </xdr:cNvSpPr>
          </xdr:nvSpPr>
          <xdr:spPr>
            <a:xfrm>
              <a:off x="12075452" y="653143"/>
              <a:ext cx="1172462" cy="2873828"/>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absoluteAnchor>
    <xdr:pos x="1939450" y="660059"/>
    <xdr:ext cx="10127876" cy="1996056"/>
    <mc:AlternateContent xmlns:mc="http://schemas.openxmlformats.org/markup-compatibility/2006" xmlns:sle15="http://schemas.microsoft.com/office/drawing/2012/slicer">
      <mc:Choice Requires="sle15">
        <xdr:graphicFrame macro="">
          <xdr:nvGraphicFramePr>
            <xdr:cNvPr id="10" name="Initial 3">
              <a:extLst>
                <a:ext uri="{FF2B5EF4-FFF2-40B4-BE49-F238E27FC236}">
                  <a16:creationId xmlns:a16="http://schemas.microsoft.com/office/drawing/2014/main" id="{54CD3E69-8788-426A-8933-520DB38315CA}"/>
                </a:ext>
              </a:extLst>
            </xdr:cNvPr>
            <xdr:cNvGraphicFramePr/>
          </xdr:nvGraphicFramePr>
          <xdr:xfrm>
            <a:off x="0" y="0"/>
            <a:ext cx="0" cy="0"/>
          </xdr:xfrm>
          <a:graphic>
            <a:graphicData uri="http://schemas.microsoft.com/office/drawing/2010/slicer">
              <sle:slicer xmlns:sle="http://schemas.microsoft.com/office/drawing/2010/slicer" name="Initial 3"/>
            </a:graphicData>
          </a:graphic>
        </xdr:graphicFrame>
      </mc:Choice>
      <mc:Fallback xmlns="">
        <xdr:sp macro="" textlink="">
          <xdr:nvSpPr>
            <xdr:cNvPr id="0" name=""/>
            <xdr:cNvSpPr>
              <a:spLocks noTextEdit="1"/>
            </xdr:cNvSpPr>
          </xdr:nvSpPr>
          <xdr:spPr>
            <a:xfrm>
              <a:off x="1939450" y="660059"/>
              <a:ext cx="10127876" cy="1996056"/>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wsDr>
</file>

<file path=xl/drawings/drawing8.xml><?xml version="1.0" encoding="utf-8"?>
<xdr:wsDr xmlns:xdr="http://schemas.openxmlformats.org/drawingml/2006/spreadsheetDrawing" xmlns:a="http://schemas.openxmlformats.org/drawingml/2006/main">
  <xdr:twoCellAnchor editAs="oneCell">
    <xdr:from>
      <xdr:col>0</xdr:col>
      <xdr:colOff>2391738</xdr:colOff>
      <xdr:row>10</xdr:row>
      <xdr:rowOff>241056</xdr:rowOff>
    </xdr:from>
    <xdr:to>
      <xdr:col>0</xdr:col>
      <xdr:colOff>2887038</xdr:colOff>
      <xdr:row>10</xdr:row>
      <xdr:rowOff>647998</xdr:rowOff>
    </xdr:to>
    <xdr:pic>
      <xdr:nvPicPr>
        <xdr:cNvPr id="2" name="Graphic 1" descr="List">
          <a:extLst>
            <a:ext uri="{FF2B5EF4-FFF2-40B4-BE49-F238E27FC236}">
              <a16:creationId xmlns:a16="http://schemas.microsoft.com/office/drawing/2014/main" id="{D607B00F-CE12-4EE2-9F60-70DFE0643E1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391738" y="2877576"/>
          <a:ext cx="495300" cy="406942"/>
        </a:xfrm>
        <a:prstGeom prst="rect">
          <a:avLst/>
        </a:prstGeom>
      </xdr:spPr>
    </xdr:pic>
    <xdr:clientData/>
  </xdr:twoCellAnchor>
  <xdr:twoCellAnchor editAs="oneCell">
    <xdr:from>
      <xdr:col>11</xdr:col>
      <xdr:colOff>815760</xdr:colOff>
      <xdr:row>10</xdr:row>
      <xdr:rowOff>198120</xdr:rowOff>
    </xdr:from>
    <xdr:to>
      <xdr:col>13</xdr:col>
      <xdr:colOff>661659</xdr:colOff>
      <xdr:row>10</xdr:row>
      <xdr:rowOff>860640</xdr:rowOff>
    </xdr:to>
    <xdr:pic>
      <xdr:nvPicPr>
        <xdr:cNvPr id="3" name="Graphic 2" descr="World">
          <a:extLst>
            <a:ext uri="{FF2B5EF4-FFF2-40B4-BE49-F238E27FC236}">
              <a16:creationId xmlns:a16="http://schemas.microsoft.com/office/drawing/2014/main" id="{70555B87-D238-45AC-B06F-1DE1FBDCD4F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5888120" y="2834640"/>
          <a:ext cx="661239" cy="662520"/>
        </a:xfrm>
        <a:prstGeom prst="rect">
          <a:avLst/>
        </a:prstGeom>
      </xdr:spPr>
    </xdr:pic>
    <xdr:clientData/>
  </xdr:twoCellAnchor>
  <xdr:twoCellAnchor editAs="oneCell">
    <xdr:from>
      <xdr:col>1</xdr:col>
      <xdr:colOff>1346117</xdr:colOff>
      <xdr:row>658</xdr:row>
      <xdr:rowOff>53983</xdr:rowOff>
    </xdr:from>
    <xdr:to>
      <xdr:col>1</xdr:col>
      <xdr:colOff>1930037</xdr:colOff>
      <xdr:row>660</xdr:row>
      <xdr:rowOff>19596</xdr:rowOff>
    </xdr:to>
    <xdr:pic>
      <xdr:nvPicPr>
        <xdr:cNvPr id="4" name="Graphic 3" descr="Fire">
          <a:extLst>
            <a:ext uri="{FF2B5EF4-FFF2-40B4-BE49-F238E27FC236}">
              <a16:creationId xmlns:a16="http://schemas.microsoft.com/office/drawing/2014/main" id="{D8E689D9-C216-4A68-908C-E782EAA15154}"/>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4683677" y="122446423"/>
          <a:ext cx="583920" cy="582833"/>
        </a:xfrm>
        <a:prstGeom prst="rect">
          <a:avLst/>
        </a:prstGeom>
      </xdr:spPr>
    </xdr:pic>
    <xdr:clientData/>
  </xdr:twoCellAnchor>
  <xdr:twoCellAnchor editAs="absolute">
    <xdr:from>
      <xdr:col>0</xdr:col>
      <xdr:colOff>22860</xdr:colOff>
      <xdr:row>0</xdr:row>
      <xdr:rowOff>38100</xdr:rowOff>
    </xdr:from>
    <xdr:to>
      <xdr:col>0</xdr:col>
      <xdr:colOff>2545080</xdr:colOff>
      <xdr:row>0</xdr:row>
      <xdr:rowOff>656221</xdr:rowOff>
    </xdr:to>
    <mc:AlternateContent xmlns:mc="http://schemas.openxmlformats.org/markup-compatibility/2006" xmlns:sle15="http://schemas.microsoft.com/office/drawing/2012/slicer">
      <mc:Choice Requires="sle15">
        <xdr:graphicFrame macro="">
          <xdr:nvGraphicFramePr>
            <xdr:cNvPr id="5" name="Type 7">
              <a:extLst>
                <a:ext uri="{FF2B5EF4-FFF2-40B4-BE49-F238E27FC236}">
                  <a16:creationId xmlns:a16="http://schemas.microsoft.com/office/drawing/2014/main" id="{60910776-6771-4CF2-87E4-6B35B670F313}"/>
                </a:ext>
              </a:extLst>
            </xdr:cNvPr>
            <xdr:cNvGraphicFramePr/>
          </xdr:nvGraphicFramePr>
          <xdr:xfrm>
            <a:off x="0" y="0"/>
            <a:ext cx="0" cy="0"/>
          </xdr:xfrm>
          <a:graphic>
            <a:graphicData uri="http://schemas.microsoft.com/office/drawing/2010/slicer">
              <sle:slicer xmlns:sle="http://schemas.microsoft.com/office/drawing/2010/slicer" name="Type 7"/>
            </a:graphicData>
          </a:graphic>
        </xdr:graphicFrame>
      </mc:Choice>
      <mc:Fallback xmlns="">
        <xdr:sp macro="" textlink="">
          <xdr:nvSpPr>
            <xdr:cNvPr id="0" name=""/>
            <xdr:cNvSpPr>
              <a:spLocks noTextEdit="1"/>
            </xdr:cNvSpPr>
          </xdr:nvSpPr>
          <xdr:spPr>
            <a:xfrm>
              <a:off x="22860" y="38100"/>
              <a:ext cx="2522220" cy="618121"/>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2545080</xdr:colOff>
      <xdr:row>0</xdr:row>
      <xdr:rowOff>30481</xdr:rowOff>
    </xdr:from>
    <xdr:to>
      <xdr:col>8</xdr:col>
      <xdr:colOff>2688700</xdr:colOff>
      <xdr:row>0</xdr:row>
      <xdr:rowOff>656221</xdr:rowOff>
    </xdr:to>
    <mc:AlternateContent xmlns:mc="http://schemas.openxmlformats.org/markup-compatibility/2006" xmlns:sle15="http://schemas.microsoft.com/office/drawing/2012/slicer">
      <mc:Choice Requires="sle15">
        <xdr:graphicFrame macro="">
          <xdr:nvGraphicFramePr>
            <xdr:cNvPr id="6" name="Category 6">
              <a:extLst>
                <a:ext uri="{FF2B5EF4-FFF2-40B4-BE49-F238E27FC236}">
                  <a16:creationId xmlns:a16="http://schemas.microsoft.com/office/drawing/2014/main" id="{4D71EBF3-536A-457E-A79C-FCC93B59D100}"/>
                </a:ext>
              </a:extLst>
            </xdr:cNvPr>
            <xdr:cNvGraphicFramePr/>
          </xdr:nvGraphicFramePr>
          <xdr:xfrm>
            <a:off x="0" y="0"/>
            <a:ext cx="0" cy="0"/>
          </xdr:xfrm>
          <a:graphic>
            <a:graphicData uri="http://schemas.microsoft.com/office/drawing/2010/slicer">
              <sle:slicer xmlns:sle="http://schemas.microsoft.com/office/drawing/2010/slicer" name="Category 6"/>
            </a:graphicData>
          </a:graphic>
        </xdr:graphicFrame>
      </mc:Choice>
      <mc:Fallback xmlns="">
        <xdr:sp macro="" textlink="">
          <xdr:nvSpPr>
            <xdr:cNvPr id="0" name=""/>
            <xdr:cNvSpPr>
              <a:spLocks noTextEdit="1"/>
            </xdr:cNvSpPr>
          </xdr:nvSpPr>
          <xdr:spPr>
            <a:xfrm>
              <a:off x="2545080" y="30481"/>
              <a:ext cx="10713649" cy="62574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45720</xdr:colOff>
      <xdr:row>0</xdr:row>
      <xdr:rowOff>656220</xdr:rowOff>
    </xdr:from>
    <xdr:to>
      <xdr:col>0</xdr:col>
      <xdr:colOff>1943100</xdr:colOff>
      <xdr:row>9</xdr:row>
      <xdr:rowOff>174172</xdr:rowOff>
    </xdr:to>
    <mc:AlternateContent xmlns:mc="http://schemas.openxmlformats.org/markup-compatibility/2006" xmlns:sle15="http://schemas.microsoft.com/office/drawing/2012/slicer">
      <mc:Choice Requires="sle15">
        <xdr:graphicFrame macro="">
          <xdr:nvGraphicFramePr>
            <xdr:cNvPr id="7" name="Vendor 7">
              <a:extLst>
                <a:ext uri="{FF2B5EF4-FFF2-40B4-BE49-F238E27FC236}">
                  <a16:creationId xmlns:a16="http://schemas.microsoft.com/office/drawing/2014/main" id="{DB90566D-C7D5-47F7-A0A4-A49A0AD9EFDD}"/>
                </a:ext>
              </a:extLst>
            </xdr:cNvPr>
            <xdr:cNvGraphicFramePr/>
          </xdr:nvGraphicFramePr>
          <xdr:xfrm>
            <a:off x="0" y="0"/>
            <a:ext cx="0" cy="0"/>
          </xdr:xfrm>
          <a:graphic>
            <a:graphicData uri="http://schemas.microsoft.com/office/drawing/2010/slicer">
              <sle:slicer xmlns:sle="http://schemas.microsoft.com/office/drawing/2010/slicer" name="Vendor 7"/>
            </a:graphicData>
          </a:graphic>
        </xdr:graphicFrame>
      </mc:Choice>
      <mc:Fallback xmlns="">
        <xdr:sp macro="" textlink="">
          <xdr:nvSpPr>
            <xdr:cNvPr id="0" name=""/>
            <xdr:cNvSpPr>
              <a:spLocks noTextEdit="1"/>
            </xdr:cNvSpPr>
          </xdr:nvSpPr>
          <xdr:spPr>
            <a:xfrm>
              <a:off x="45720" y="656220"/>
              <a:ext cx="1897380" cy="198900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2897776</xdr:colOff>
      <xdr:row>10</xdr:row>
      <xdr:rowOff>13965</xdr:rowOff>
    </xdr:from>
    <xdr:to>
      <xdr:col>8</xdr:col>
      <xdr:colOff>1491342</xdr:colOff>
      <xdr:row>10</xdr:row>
      <xdr:rowOff>881743</xdr:rowOff>
    </xdr:to>
    <mc:AlternateContent xmlns:mc="http://schemas.openxmlformats.org/markup-compatibility/2006" xmlns:sle15="http://schemas.microsoft.com/office/drawing/2012/slicer">
      <mc:Choice Requires="sle15">
        <xdr:graphicFrame macro="">
          <xdr:nvGraphicFramePr>
            <xdr:cNvPr id="8" name="Quantity 6">
              <a:extLst>
                <a:ext uri="{FF2B5EF4-FFF2-40B4-BE49-F238E27FC236}">
                  <a16:creationId xmlns:a16="http://schemas.microsoft.com/office/drawing/2014/main" id="{539671DB-AB5E-4224-A30D-4455B44A1DFE}"/>
                </a:ext>
              </a:extLst>
            </xdr:cNvPr>
            <xdr:cNvGraphicFramePr/>
          </xdr:nvGraphicFramePr>
          <xdr:xfrm>
            <a:off x="0" y="0"/>
            <a:ext cx="0" cy="0"/>
          </xdr:xfrm>
          <a:graphic>
            <a:graphicData uri="http://schemas.microsoft.com/office/drawing/2010/slicer">
              <sle:slicer xmlns:sle="http://schemas.microsoft.com/office/drawing/2010/slicer" name="Quantity 6"/>
            </a:graphicData>
          </a:graphic>
        </xdr:graphicFrame>
      </mc:Choice>
      <mc:Fallback xmlns="">
        <xdr:sp macro="" textlink="">
          <xdr:nvSpPr>
            <xdr:cNvPr id="0" name=""/>
            <xdr:cNvSpPr>
              <a:spLocks noTextEdit="1"/>
            </xdr:cNvSpPr>
          </xdr:nvSpPr>
          <xdr:spPr>
            <a:xfrm>
              <a:off x="2897776" y="2670079"/>
              <a:ext cx="9163595" cy="867778"/>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8</xdr:col>
      <xdr:colOff>1505423</xdr:colOff>
      <xdr:row>0</xdr:row>
      <xdr:rowOff>653143</xdr:rowOff>
    </xdr:from>
    <xdr:to>
      <xdr:col>8</xdr:col>
      <xdr:colOff>2677885</xdr:colOff>
      <xdr:row>10</xdr:row>
      <xdr:rowOff>870857</xdr:rowOff>
    </xdr:to>
    <mc:AlternateContent xmlns:mc="http://schemas.openxmlformats.org/markup-compatibility/2006" xmlns:sle15="http://schemas.microsoft.com/office/drawing/2012/slicer">
      <mc:Choice Requires="sle15">
        <xdr:graphicFrame macro="">
          <xdr:nvGraphicFramePr>
            <xdr:cNvPr id="9" name="Tag 6">
              <a:extLst>
                <a:ext uri="{FF2B5EF4-FFF2-40B4-BE49-F238E27FC236}">
                  <a16:creationId xmlns:a16="http://schemas.microsoft.com/office/drawing/2014/main" id="{DB1F07DF-A61F-4561-B8DE-90043999B5D3}"/>
                </a:ext>
              </a:extLst>
            </xdr:cNvPr>
            <xdr:cNvGraphicFramePr/>
          </xdr:nvGraphicFramePr>
          <xdr:xfrm>
            <a:off x="0" y="0"/>
            <a:ext cx="0" cy="0"/>
          </xdr:xfrm>
          <a:graphic>
            <a:graphicData uri="http://schemas.microsoft.com/office/drawing/2010/slicer">
              <sle:slicer xmlns:sle="http://schemas.microsoft.com/office/drawing/2010/slicer" name="Tag 6"/>
            </a:graphicData>
          </a:graphic>
        </xdr:graphicFrame>
      </mc:Choice>
      <mc:Fallback xmlns="">
        <xdr:sp macro="" textlink="">
          <xdr:nvSpPr>
            <xdr:cNvPr id="0" name=""/>
            <xdr:cNvSpPr>
              <a:spLocks noTextEdit="1"/>
            </xdr:cNvSpPr>
          </xdr:nvSpPr>
          <xdr:spPr>
            <a:xfrm>
              <a:off x="12075452" y="653143"/>
              <a:ext cx="1172462" cy="2873828"/>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absoluteAnchor>
    <xdr:pos x="1939450" y="660059"/>
    <xdr:ext cx="10127876" cy="1996056"/>
    <mc:AlternateContent xmlns:mc="http://schemas.openxmlformats.org/markup-compatibility/2006" xmlns:sle15="http://schemas.microsoft.com/office/drawing/2012/slicer">
      <mc:Choice Requires="sle15">
        <xdr:graphicFrame macro="">
          <xdr:nvGraphicFramePr>
            <xdr:cNvPr id="10" name="Initial 6">
              <a:extLst>
                <a:ext uri="{FF2B5EF4-FFF2-40B4-BE49-F238E27FC236}">
                  <a16:creationId xmlns:a16="http://schemas.microsoft.com/office/drawing/2014/main" id="{E7688B96-BD85-43AF-B99D-9ABE3B52DE6A}"/>
                </a:ext>
              </a:extLst>
            </xdr:cNvPr>
            <xdr:cNvGraphicFramePr/>
          </xdr:nvGraphicFramePr>
          <xdr:xfrm>
            <a:off x="0" y="0"/>
            <a:ext cx="0" cy="0"/>
          </xdr:xfrm>
          <a:graphic>
            <a:graphicData uri="http://schemas.microsoft.com/office/drawing/2010/slicer">
              <sle:slicer xmlns:sle="http://schemas.microsoft.com/office/drawing/2010/slicer" name="Initial 6"/>
            </a:graphicData>
          </a:graphic>
        </xdr:graphicFrame>
      </mc:Choice>
      <mc:Fallback xmlns="">
        <xdr:sp macro="" textlink="">
          <xdr:nvSpPr>
            <xdr:cNvPr id="0" name=""/>
            <xdr:cNvSpPr>
              <a:spLocks noTextEdit="1"/>
            </xdr:cNvSpPr>
          </xdr:nvSpPr>
          <xdr:spPr>
            <a:xfrm>
              <a:off x="1939450" y="660059"/>
              <a:ext cx="10127876" cy="1996056"/>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wsDr>
</file>

<file path=xl/drawings/drawing9.xml><?xml version="1.0" encoding="utf-8"?>
<xdr:wsDr xmlns:xdr="http://schemas.openxmlformats.org/drawingml/2006/spreadsheetDrawing" xmlns:a="http://schemas.openxmlformats.org/drawingml/2006/main">
  <xdr:twoCellAnchor editAs="oneCell">
    <xdr:from>
      <xdr:col>0</xdr:col>
      <xdr:colOff>2282881</xdr:colOff>
      <xdr:row>10</xdr:row>
      <xdr:rowOff>295485</xdr:rowOff>
    </xdr:from>
    <xdr:to>
      <xdr:col>1</xdr:col>
      <xdr:colOff>187381</xdr:colOff>
      <xdr:row>10</xdr:row>
      <xdr:rowOff>702427</xdr:rowOff>
    </xdr:to>
    <xdr:pic>
      <xdr:nvPicPr>
        <xdr:cNvPr id="2" name="Graphic 1" descr="List">
          <a:extLst>
            <a:ext uri="{FF2B5EF4-FFF2-40B4-BE49-F238E27FC236}">
              <a16:creationId xmlns:a16="http://schemas.microsoft.com/office/drawing/2014/main" id="{F62E7DA5-702A-4D7C-A2BF-1FCD7799D54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282881" y="2124285"/>
          <a:ext cx="495300" cy="406942"/>
        </a:xfrm>
        <a:prstGeom prst="rect">
          <a:avLst/>
        </a:prstGeom>
      </xdr:spPr>
    </xdr:pic>
    <xdr:clientData/>
  </xdr:twoCellAnchor>
  <xdr:twoCellAnchor editAs="oneCell">
    <xdr:from>
      <xdr:col>11</xdr:col>
      <xdr:colOff>815760</xdr:colOff>
      <xdr:row>10</xdr:row>
      <xdr:rowOff>198120</xdr:rowOff>
    </xdr:from>
    <xdr:to>
      <xdr:col>13</xdr:col>
      <xdr:colOff>661659</xdr:colOff>
      <xdr:row>10</xdr:row>
      <xdr:rowOff>860640</xdr:rowOff>
    </xdr:to>
    <xdr:pic>
      <xdr:nvPicPr>
        <xdr:cNvPr id="3" name="Graphic 2" descr="World">
          <a:extLst>
            <a:ext uri="{FF2B5EF4-FFF2-40B4-BE49-F238E27FC236}">
              <a16:creationId xmlns:a16="http://schemas.microsoft.com/office/drawing/2014/main" id="{6E97D84B-AF22-40AE-8345-BD17E256634A}"/>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4440320" y="2026920"/>
          <a:ext cx="661239" cy="662520"/>
        </a:xfrm>
        <a:prstGeom prst="rect">
          <a:avLst/>
        </a:prstGeom>
      </xdr:spPr>
    </xdr:pic>
    <xdr:clientData/>
  </xdr:twoCellAnchor>
  <xdr:twoCellAnchor editAs="oneCell">
    <xdr:from>
      <xdr:col>1</xdr:col>
      <xdr:colOff>1346117</xdr:colOff>
      <xdr:row>158</xdr:row>
      <xdr:rowOff>53983</xdr:rowOff>
    </xdr:from>
    <xdr:to>
      <xdr:col>1</xdr:col>
      <xdr:colOff>1930037</xdr:colOff>
      <xdr:row>160</xdr:row>
      <xdr:rowOff>19596</xdr:rowOff>
    </xdr:to>
    <xdr:pic>
      <xdr:nvPicPr>
        <xdr:cNvPr id="4" name="Graphic 3" descr="Fire">
          <a:extLst>
            <a:ext uri="{FF2B5EF4-FFF2-40B4-BE49-F238E27FC236}">
              <a16:creationId xmlns:a16="http://schemas.microsoft.com/office/drawing/2014/main" id="{EDF2439F-18CA-4C96-AE69-BC78401076FF}"/>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936917" y="39845623"/>
          <a:ext cx="583920" cy="582834"/>
        </a:xfrm>
        <a:prstGeom prst="rect">
          <a:avLst/>
        </a:prstGeom>
      </xdr:spPr>
    </xdr:pic>
    <xdr:clientData/>
  </xdr:twoCellAnchor>
  <xdr:twoCellAnchor editAs="absolute">
    <xdr:from>
      <xdr:col>0</xdr:col>
      <xdr:colOff>22860</xdr:colOff>
      <xdr:row>0</xdr:row>
      <xdr:rowOff>38100</xdr:rowOff>
    </xdr:from>
    <xdr:to>
      <xdr:col>0</xdr:col>
      <xdr:colOff>2545080</xdr:colOff>
      <xdr:row>3</xdr:row>
      <xdr:rowOff>106680</xdr:rowOff>
    </xdr:to>
    <mc:AlternateContent xmlns:mc="http://schemas.openxmlformats.org/markup-compatibility/2006" xmlns:sle15="http://schemas.microsoft.com/office/drawing/2012/slicer">
      <mc:Choice Requires="sle15">
        <xdr:graphicFrame macro="">
          <xdr:nvGraphicFramePr>
            <xdr:cNvPr id="5" name="Type 5">
              <a:extLst>
                <a:ext uri="{FF2B5EF4-FFF2-40B4-BE49-F238E27FC236}">
                  <a16:creationId xmlns:a16="http://schemas.microsoft.com/office/drawing/2014/main" id="{8DF6C6C1-C5B3-4FD4-BBC9-D6C3521FE342}"/>
                </a:ext>
              </a:extLst>
            </xdr:cNvPr>
            <xdr:cNvGraphicFramePr/>
          </xdr:nvGraphicFramePr>
          <xdr:xfrm>
            <a:off x="0" y="0"/>
            <a:ext cx="0" cy="0"/>
          </xdr:xfrm>
          <a:graphic>
            <a:graphicData uri="http://schemas.microsoft.com/office/drawing/2010/slicer">
              <sle:slicer xmlns:sle="http://schemas.microsoft.com/office/drawing/2010/slicer" name="Type 5"/>
            </a:graphicData>
          </a:graphic>
        </xdr:graphicFrame>
      </mc:Choice>
      <mc:Fallback xmlns="">
        <xdr:sp macro="" textlink="">
          <xdr:nvSpPr>
            <xdr:cNvPr id="0" name=""/>
            <xdr:cNvSpPr>
              <a:spLocks noTextEdit="1"/>
            </xdr:cNvSpPr>
          </xdr:nvSpPr>
          <xdr:spPr>
            <a:xfrm>
              <a:off x="22860" y="38100"/>
              <a:ext cx="2522220" cy="606462"/>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2545080</xdr:colOff>
      <xdr:row>0</xdr:row>
      <xdr:rowOff>30481</xdr:rowOff>
    </xdr:from>
    <xdr:to>
      <xdr:col>8</xdr:col>
      <xdr:colOff>4144383</xdr:colOff>
      <xdr:row>3</xdr:row>
      <xdr:rowOff>106680</xdr:rowOff>
    </xdr:to>
    <mc:AlternateContent xmlns:mc="http://schemas.openxmlformats.org/markup-compatibility/2006" xmlns:sle15="http://schemas.microsoft.com/office/drawing/2012/slicer">
      <mc:Choice Requires="sle15">
        <xdr:graphicFrame macro="">
          <xdr:nvGraphicFramePr>
            <xdr:cNvPr id="6" name="Category 4">
              <a:extLst>
                <a:ext uri="{FF2B5EF4-FFF2-40B4-BE49-F238E27FC236}">
                  <a16:creationId xmlns:a16="http://schemas.microsoft.com/office/drawing/2014/main" id="{73A68850-D34A-4E07-9878-9188FE69905F}"/>
                </a:ext>
              </a:extLst>
            </xdr:cNvPr>
            <xdr:cNvGraphicFramePr/>
          </xdr:nvGraphicFramePr>
          <xdr:xfrm>
            <a:off x="0" y="0"/>
            <a:ext cx="0" cy="0"/>
          </xdr:xfrm>
          <a:graphic>
            <a:graphicData uri="http://schemas.microsoft.com/office/drawing/2010/slicer">
              <sle:slicer xmlns:sle="http://schemas.microsoft.com/office/drawing/2010/slicer" name="Category 4"/>
            </a:graphicData>
          </a:graphic>
        </xdr:graphicFrame>
      </mc:Choice>
      <mc:Fallback xmlns="">
        <xdr:sp macro="" textlink="">
          <xdr:nvSpPr>
            <xdr:cNvPr id="0" name=""/>
            <xdr:cNvSpPr>
              <a:spLocks noTextEdit="1"/>
            </xdr:cNvSpPr>
          </xdr:nvSpPr>
          <xdr:spPr>
            <a:xfrm>
              <a:off x="2545080" y="30481"/>
              <a:ext cx="10716409" cy="614081"/>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45720</xdr:colOff>
      <xdr:row>3</xdr:row>
      <xdr:rowOff>106679</xdr:rowOff>
    </xdr:from>
    <xdr:to>
      <xdr:col>0</xdr:col>
      <xdr:colOff>1943100</xdr:colOff>
      <xdr:row>10</xdr:row>
      <xdr:rowOff>833717</xdr:rowOff>
    </xdr:to>
    <mc:AlternateContent xmlns:mc="http://schemas.openxmlformats.org/markup-compatibility/2006" xmlns:sle15="http://schemas.microsoft.com/office/drawing/2012/slicer">
      <mc:Choice Requires="sle15">
        <xdr:graphicFrame macro="">
          <xdr:nvGraphicFramePr>
            <xdr:cNvPr id="7" name="Vendor 5">
              <a:extLst>
                <a:ext uri="{FF2B5EF4-FFF2-40B4-BE49-F238E27FC236}">
                  <a16:creationId xmlns:a16="http://schemas.microsoft.com/office/drawing/2014/main" id="{3CA5D4E1-2FB1-4D02-8830-1680B12BEA50}"/>
                </a:ext>
              </a:extLst>
            </xdr:cNvPr>
            <xdr:cNvGraphicFramePr/>
          </xdr:nvGraphicFramePr>
          <xdr:xfrm>
            <a:off x="0" y="0"/>
            <a:ext cx="0" cy="0"/>
          </xdr:xfrm>
          <a:graphic>
            <a:graphicData uri="http://schemas.microsoft.com/office/drawing/2010/slicer">
              <sle:slicer xmlns:sle="http://schemas.microsoft.com/office/drawing/2010/slicer" name="Vendor 5"/>
            </a:graphicData>
          </a:graphic>
        </xdr:graphicFrame>
      </mc:Choice>
      <mc:Fallback xmlns="">
        <xdr:sp macro="" textlink="">
          <xdr:nvSpPr>
            <xdr:cNvPr id="0" name=""/>
            <xdr:cNvSpPr>
              <a:spLocks noTextEdit="1"/>
            </xdr:cNvSpPr>
          </xdr:nvSpPr>
          <xdr:spPr>
            <a:xfrm>
              <a:off x="45720" y="644561"/>
              <a:ext cx="1897380" cy="1982097"/>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1950720</xdr:colOff>
      <xdr:row>3</xdr:row>
      <xdr:rowOff>106680</xdr:rowOff>
    </xdr:from>
    <xdr:to>
      <xdr:col>8</xdr:col>
      <xdr:colOff>4136763</xdr:colOff>
      <xdr:row>9</xdr:row>
      <xdr:rowOff>167640</xdr:rowOff>
    </xdr:to>
    <mc:AlternateContent xmlns:mc="http://schemas.openxmlformats.org/markup-compatibility/2006" xmlns:sle15="http://schemas.microsoft.com/office/drawing/2012/slicer">
      <mc:Choice Requires="sle15">
        <xdr:graphicFrame macro="">
          <xdr:nvGraphicFramePr>
            <xdr:cNvPr id="8" name="Quantity 4">
              <a:extLst>
                <a:ext uri="{FF2B5EF4-FFF2-40B4-BE49-F238E27FC236}">
                  <a16:creationId xmlns:a16="http://schemas.microsoft.com/office/drawing/2014/main" id="{D9531983-40AF-41C8-9E3A-4464A80F5E33}"/>
                </a:ext>
              </a:extLst>
            </xdr:cNvPr>
            <xdr:cNvGraphicFramePr/>
          </xdr:nvGraphicFramePr>
          <xdr:xfrm>
            <a:off x="0" y="0"/>
            <a:ext cx="0" cy="0"/>
          </xdr:xfrm>
          <a:graphic>
            <a:graphicData uri="http://schemas.microsoft.com/office/drawing/2010/slicer">
              <sle:slicer xmlns:sle="http://schemas.microsoft.com/office/drawing/2010/slicer" name="Quantity 4"/>
            </a:graphicData>
          </a:graphic>
        </xdr:graphicFrame>
      </mc:Choice>
      <mc:Fallback xmlns="">
        <xdr:sp macro="" textlink="">
          <xdr:nvSpPr>
            <xdr:cNvPr id="0" name=""/>
            <xdr:cNvSpPr>
              <a:spLocks noTextEdit="1"/>
            </xdr:cNvSpPr>
          </xdr:nvSpPr>
          <xdr:spPr>
            <a:xfrm>
              <a:off x="1950720" y="644562"/>
              <a:ext cx="11303149" cy="113672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8</xdr:col>
      <xdr:colOff>4136763</xdr:colOff>
      <xdr:row>0</xdr:row>
      <xdr:rowOff>0</xdr:rowOff>
    </xdr:from>
    <xdr:to>
      <xdr:col>11</xdr:col>
      <xdr:colOff>71718</xdr:colOff>
      <xdr:row>10</xdr:row>
      <xdr:rowOff>403860</xdr:rowOff>
    </xdr:to>
    <mc:AlternateContent xmlns:mc="http://schemas.openxmlformats.org/markup-compatibility/2006" xmlns:sle15="http://schemas.microsoft.com/office/drawing/2012/slicer">
      <mc:Choice Requires="sle15">
        <xdr:graphicFrame macro="">
          <xdr:nvGraphicFramePr>
            <xdr:cNvPr id="9" name="Tag 4">
              <a:extLst>
                <a:ext uri="{FF2B5EF4-FFF2-40B4-BE49-F238E27FC236}">
                  <a16:creationId xmlns:a16="http://schemas.microsoft.com/office/drawing/2014/main" id="{8729B14B-CAC2-4EA8-9268-8204B46055B4}"/>
                </a:ext>
              </a:extLst>
            </xdr:cNvPr>
            <xdr:cNvGraphicFramePr/>
          </xdr:nvGraphicFramePr>
          <xdr:xfrm>
            <a:off x="0" y="0"/>
            <a:ext cx="0" cy="0"/>
          </xdr:xfrm>
          <a:graphic>
            <a:graphicData uri="http://schemas.microsoft.com/office/drawing/2010/slicer">
              <sle:slicer xmlns:sle="http://schemas.microsoft.com/office/drawing/2010/slicer" name="Tag 4"/>
            </a:graphicData>
          </a:graphic>
        </xdr:graphicFrame>
      </mc:Choice>
      <mc:Fallback xmlns="">
        <xdr:sp macro="" textlink="">
          <xdr:nvSpPr>
            <xdr:cNvPr id="0" name=""/>
            <xdr:cNvSpPr>
              <a:spLocks noTextEdit="1"/>
            </xdr:cNvSpPr>
          </xdr:nvSpPr>
          <xdr:spPr>
            <a:xfrm>
              <a:off x="13253869" y="0"/>
              <a:ext cx="919331" cy="2196801"/>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absoluteAnchor>
    <xdr:pos x="3125993" y="1781288"/>
    <xdr:ext cx="10127876" cy="918434"/>
    <mc:AlternateContent xmlns:mc="http://schemas.openxmlformats.org/markup-compatibility/2006" xmlns:sle15="http://schemas.microsoft.com/office/drawing/2012/slicer">
      <mc:Choice Requires="sle15">
        <xdr:graphicFrame macro="">
          <xdr:nvGraphicFramePr>
            <xdr:cNvPr id="10" name="Initial 4">
              <a:extLst>
                <a:ext uri="{FF2B5EF4-FFF2-40B4-BE49-F238E27FC236}">
                  <a16:creationId xmlns:a16="http://schemas.microsoft.com/office/drawing/2014/main" id="{7E0F9FAD-B190-4727-A7D7-D26C42B11BBB}"/>
                </a:ext>
              </a:extLst>
            </xdr:cNvPr>
            <xdr:cNvGraphicFramePr/>
          </xdr:nvGraphicFramePr>
          <xdr:xfrm>
            <a:off x="0" y="0"/>
            <a:ext cx="0" cy="0"/>
          </xdr:xfrm>
          <a:graphic>
            <a:graphicData uri="http://schemas.microsoft.com/office/drawing/2010/slicer">
              <sle:slicer xmlns:sle="http://schemas.microsoft.com/office/drawing/2010/slicer" name="Initial 4"/>
            </a:graphicData>
          </a:graphic>
        </xdr:graphicFrame>
      </mc:Choice>
      <mc:Fallback xmlns="">
        <xdr:sp macro="" textlink="">
          <xdr:nvSpPr>
            <xdr:cNvPr id="0" name=""/>
            <xdr:cNvSpPr>
              <a:spLocks noTextEdit="1"/>
            </xdr:cNvSpPr>
          </xdr:nvSpPr>
          <xdr:spPr>
            <a:xfrm>
              <a:off x="3125993" y="1781288"/>
              <a:ext cx="10127876" cy="918434"/>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wsDr>
</file>

<file path=xl/drawings/drawing10.xml><?xml version="1.0" encoding="utf-8"?>
<xdr:wsDr xmlns:xdr="http://schemas.openxmlformats.org/drawingml/2006/spreadsheetDrawing" xmlns:a="http://schemas.openxmlformats.org/drawingml/2006/main">
  <xdr:twoCellAnchor editAs="oneCell">
    <xdr:from>
      <xdr:col>0</xdr:col>
      <xdr:colOff>2282881</xdr:colOff>
      <xdr:row>10</xdr:row>
      <xdr:rowOff>295485</xdr:rowOff>
    </xdr:from>
    <xdr:to>
      <xdr:col>1</xdr:col>
      <xdr:colOff>187381</xdr:colOff>
      <xdr:row>10</xdr:row>
      <xdr:rowOff>702427</xdr:rowOff>
    </xdr:to>
    <xdr:pic>
      <xdr:nvPicPr>
        <xdr:cNvPr id="2" name="Graphic 1" descr="List">
          <a:extLst>
            <a:ext uri="{FF2B5EF4-FFF2-40B4-BE49-F238E27FC236}">
              <a16:creationId xmlns:a16="http://schemas.microsoft.com/office/drawing/2014/main" id="{C1BEF906-8EF9-49B5-8D50-05BF7937433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282881" y="2124285"/>
          <a:ext cx="495300" cy="406942"/>
        </a:xfrm>
        <a:prstGeom prst="rect">
          <a:avLst/>
        </a:prstGeom>
      </xdr:spPr>
    </xdr:pic>
    <xdr:clientData/>
  </xdr:twoCellAnchor>
  <xdr:twoCellAnchor editAs="oneCell">
    <xdr:from>
      <xdr:col>11</xdr:col>
      <xdr:colOff>815760</xdr:colOff>
      <xdr:row>10</xdr:row>
      <xdr:rowOff>198120</xdr:rowOff>
    </xdr:from>
    <xdr:to>
      <xdr:col>13</xdr:col>
      <xdr:colOff>661659</xdr:colOff>
      <xdr:row>10</xdr:row>
      <xdr:rowOff>860640</xdr:rowOff>
    </xdr:to>
    <xdr:pic>
      <xdr:nvPicPr>
        <xdr:cNvPr id="3" name="Graphic 2" descr="World">
          <a:extLst>
            <a:ext uri="{FF2B5EF4-FFF2-40B4-BE49-F238E27FC236}">
              <a16:creationId xmlns:a16="http://schemas.microsoft.com/office/drawing/2014/main" id="{21945F47-B83C-4FCA-9C4B-914F999638B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4440320" y="2026920"/>
          <a:ext cx="661239" cy="662520"/>
        </a:xfrm>
        <a:prstGeom prst="rect">
          <a:avLst/>
        </a:prstGeom>
      </xdr:spPr>
    </xdr:pic>
    <xdr:clientData/>
  </xdr:twoCellAnchor>
  <xdr:twoCellAnchor editAs="oneCell">
    <xdr:from>
      <xdr:col>1</xdr:col>
      <xdr:colOff>1346117</xdr:colOff>
      <xdr:row>212</xdr:row>
      <xdr:rowOff>53983</xdr:rowOff>
    </xdr:from>
    <xdr:to>
      <xdr:col>1</xdr:col>
      <xdr:colOff>1930037</xdr:colOff>
      <xdr:row>214</xdr:row>
      <xdr:rowOff>19597</xdr:rowOff>
    </xdr:to>
    <xdr:pic>
      <xdr:nvPicPr>
        <xdr:cNvPr id="4" name="Graphic 3" descr="Fire">
          <a:extLst>
            <a:ext uri="{FF2B5EF4-FFF2-40B4-BE49-F238E27FC236}">
              <a16:creationId xmlns:a16="http://schemas.microsoft.com/office/drawing/2014/main" id="{AC53FEFF-B016-4F3B-9ABE-A71EF19E5588}"/>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936917" y="39845623"/>
          <a:ext cx="583920" cy="582834"/>
        </a:xfrm>
        <a:prstGeom prst="rect">
          <a:avLst/>
        </a:prstGeom>
      </xdr:spPr>
    </xdr:pic>
    <xdr:clientData/>
  </xdr:twoCellAnchor>
  <xdr:twoCellAnchor editAs="absolute">
    <xdr:from>
      <xdr:col>0</xdr:col>
      <xdr:colOff>22860</xdr:colOff>
      <xdr:row>0</xdr:row>
      <xdr:rowOff>38100</xdr:rowOff>
    </xdr:from>
    <xdr:to>
      <xdr:col>0</xdr:col>
      <xdr:colOff>2545080</xdr:colOff>
      <xdr:row>3</xdr:row>
      <xdr:rowOff>106680</xdr:rowOff>
    </xdr:to>
    <mc:AlternateContent xmlns:mc="http://schemas.openxmlformats.org/markup-compatibility/2006" xmlns:sle15="http://schemas.microsoft.com/office/drawing/2012/slicer">
      <mc:Choice Requires="sle15">
        <xdr:graphicFrame macro="">
          <xdr:nvGraphicFramePr>
            <xdr:cNvPr id="5" name="Type 6">
              <a:extLst>
                <a:ext uri="{FF2B5EF4-FFF2-40B4-BE49-F238E27FC236}">
                  <a16:creationId xmlns:a16="http://schemas.microsoft.com/office/drawing/2014/main" id="{803F47AE-E360-40FD-A307-15214F3E119C}"/>
                </a:ext>
              </a:extLst>
            </xdr:cNvPr>
            <xdr:cNvGraphicFramePr/>
          </xdr:nvGraphicFramePr>
          <xdr:xfrm>
            <a:off x="0" y="0"/>
            <a:ext cx="0" cy="0"/>
          </xdr:xfrm>
          <a:graphic>
            <a:graphicData uri="http://schemas.microsoft.com/office/drawing/2010/slicer">
              <sle:slicer xmlns:sle="http://schemas.microsoft.com/office/drawing/2010/slicer" name="Type 6"/>
            </a:graphicData>
          </a:graphic>
        </xdr:graphicFrame>
      </mc:Choice>
      <mc:Fallback xmlns="">
        <xdr:sp macro="" textlink="">
          <xdr:nvSpPr>
            <xdr:cNvPr id="0" name=""/>
            <xdr:cNvSpPr>
              <a:spLocks noTextEdit="1"/>
            </xdr:cNvSpPr>
          </xdr:nvSpPr>
          <xdr:spPr>
            <a:xfrm>
              <a:off x="22860" y="38100"/>
              <a:ext cx="2522220" cy="61722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2545080</xdr:colOff>
      <xdr:row>0</xdr:row>
      <xdr:rowOff>30481</xdr:rowOff>
    </xdr:from>
    <xdr:to>
      <xdr:col>8</xdr:col>
      <xdr:colOff>4144383</xdr:colOff>
      <xdr:row>3</xdr:row>
      <xdr:rowOff>106680</xdr:rowOff>
    </xdr:to>
    <mc:AlternateContent xmlns:mc="http://schemas.openxmlformats.org/markup-compatibility/2006" xmlns:sle15="http://schemas.microsoft.com/office/drawing/2012/slicer">
      <mc:Choice Requires="sle15">
        <xdr:graphicFrame macro="">
          <xdr:nvGraphicFramePr>
            <xdr:cNvPr id="6" name="Category 5">
              <a:extLst>
                <a:ext uri="{FF2B5EF4-FFF2-40B4-BE49-F238E27FC236}">
                  <a16:creationId xmlns:a16="http://schemas.microsoft.com/office/drawing/2014/main" id="{A21118F6-3993-4F3E-9BE4-6928CDAA479C}"/>
                </a:ext>
              </a:extLst>
            </xdr:cNvPr>
            <xdr:cNvGraphicFramePr/>
          </xdr:nvGraphicFramePr>
          <xdr:xfrm>
            <a:off x="0" y="0"/>
            <a:ext cx="0" cy="0"/>
          </xdr:xfrm>
          <a:graphic>
            <a:graphicData uri="http://schemas.microsoft.com/office/drawing/2010/slicer">
              <sle:slicer xmlns:sle="http://schemas.microsoft.com/office/drawing/2010/slicer" name="Category 5"/>
            </a:graphicData>
          </a:graphic>
        </xdr:graphicFrame>
      </mc:Choice>
      <mc:Fallback xmlns="">
        <xdr:sp macro="" textlink="">
          <xdr:nvSpPr>
            <xdr:cNvPr id="0" name=""/>
            <xdr:cNvSpPr>
              <a:spLocks noTextEdit="1"/>
            </xdr:cNvSpPr>
          </xdr:nvSpPr>
          <xdr:spPr>
            <a:xfrm>
              <a:off x="2545080" y="30481"/>
              <a:ext cx="10712823" cy="62483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45720</xdr:colOff>
      <xdr:row>3</xdr:row>
      <xdr:rowOff>106679</xdr:rowOff>
    </xdr:from>
    <xdr:to>
      <xdr:col>0</xdr:col>
      <xdr:colOff>1943100</xdr:colOff>
      <xdr:row>10</xdr:row>
      <xdr:rowOff>833717</xdr:rowOff>
    </xdr:to>
    <mc:AlternateContent xmlns:mc="http://schemas.openxmlformats.org/markup-compatibility/2006" xmlns:sle15="http://schemas.microsoft.com/office/drawing/2012/slicer">
      <mc:Choice Requires="sle15">
        <xdr:graphicFrame macro="">
          <xdr:nvGraphicFramePr>
            <xdr:cNvPr id="7" name="Vendor 6">
              <a:extLst>
                <a:ext uri="{FF2B5EF4-FFF2-40B4-BE49-F238E27FC236}">
                  <a16:creationId xmlns:a16="http://schemas.microsoft.com/office/drawing/2014/main" id="{56FBD995-0A50-4035-B11E-5DCC96FB0B40}"/>
                </a:ext>
              </a:extLst>
            </xdr:cNvPr>
            <xdr:cNvGraphicFramePr/>
          </xdr:nvGraphicFramePr>
          <xdr:xfrm>
            <a:off x="0" y="0"/>
            <a:ext cx="0" cy="0"/>
          </xdr:xfrm>
          <a:graphic>
            <a:graphicData uri="http://schemas.microsoft.com/office/drawing/2010/slicer">
              <sle:slicer xmlns:sle="http://schemas.microsoft.com/office/drawing/2010/slicer" name="Vendor 6"/>
            </a:graphicData>
          </a:graphic>
        </xdr:graphicFrame>
      </mc:Choice>
      <mc:Fallback xmlns="">
        <xdr:sp macro="" textlink="">
          <xdr:nvSpPr>
            <xdr:cNvPr id="0" name=""/>
            <xdr:cNvSpPr>
              <a:spLocks noTextEdit="1"/>
            </xdr:cNvSpPr>
          </xdr:nvSpPr>
          <xdr:spPr>
            <a:xfrm>
              <a:off x="45720" y="655319"/>
              <a:ext cx="1897380" cy="2007198"/>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1950720</xdr:colOff>
      <xdr:row>3</xdr:row>
      <xdr:rowOff>106680</xdr:rowOff>
    </xdr:from>
    <xdr:to>
      <xdr:col>8</xdr:col>
      <xdr:colOff>4136763</xdr:colOff>
      <xdr:row>9</xdr:row>
      <xdr:rowOff>167640</xdr:rowOff>
    </xdr:to>
    <mc:AlternateContent xmlns:mc="http://schemas.openxmlformats.org/markup-compatibility/2006" xmlns:sle15="http://schemas.microsoft.com/office/drawing/2012/slicer">
      <mc:Choice Requires="sle15">
        <xdr:graphicFrame macro="">
          <xdr:nvGraphicFramePr>
            <xdr:cNvPr id="8" name="Quantity 5">
              <a:extLst>
                <a:ext uri="{FF2B5EF4-FFF2-40B4-BE49-F238E27FC236}">
                  <a16:creationId xmlns:a16="http://schemas.microsoft.com/office/drawing/2014/main" id="{0C05C9EF-7757-43A3-BC1F-7F2EAD318AFA}"/>
                </a:ext>
              </a:extLst>
            </xdr:cNvPr>
            <xdr:cNvGraphicFramePr/>
          </xdr:nvGraphicFramePr>
          <xdr:xfrm>
            <a:off x="0" y="0"/>
            <a:ext cx="0" cy="0"/>
          </xdr:xfrm>
          <a:graphic>
            <a:graphicData uri="http://schemas.microsoft.com/office/drawing/2010/slicer">
              <sle:slicer xmlns:sle="http://schemas.microsoft.com/office/drawing/2010/slicer" name="Quantity 5"/>
            </a:graphicData>
          </a:graphic>
        </xdr:graphicFrame>
      </mc:Choice>
      <mc:Fallback xmlns="">
        <xdr:sp macro="" textlink="">
          <xdr:nvSpPr>
            <xdr:cNvPr id="0" name=""/>
            <xdr:cNvSpPr>
              <a:spLocks noTextEdit="1"/>
            </xdr:cNvSpPr>
          </xdr:nvSpPr>
          <xdr:spPr>
            <a:xfrm>
              <a:off x="1950720" y="655320"/>
              <a:ext cx="11299563" cy="115824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8</xdr:col>
      <xdr:colOff>4136763</xdr:colOff>
      <xdr:row>0</xdr:row>
      <xdr:rowOff>0</xdr:rowOff>
    </xdr:from>
    <xdr:to>
      <xdr:col>11</xdr:col>
      <xdr:colOff>71718</xdr:colOff>
      <xdr:row>10</xdr:row>
      <xdr:rowOff>403860</xdr:rowOff>
    </xdr:to>
    <mc:AlternateContent xmlns:mc="http://schemas.openxmlformats.org/markup-compatibility/2006" xmlns:sle15="http://schemas.microsoft.com/office/drawing/2012/slicer">
      <mc:Choice Requires="sle15">
        <xdr:graphicFrame macro="">
          <xdr:nvGraphicFramePr>
            <xdr:cNvPr id="9" name="Tag 5">
              <a:extLst>
                <a:ext uri="{FF2B5EF4-FFF2-40B4-BE49-F238E27FC236}">
                  <a16:creationId xmlns:a16="http://schemas.microsoft.com/office/drawing/2014/main" id="{6E69A5AC-6687-489C-ADC1-54702F1F59FC}"/>
                </a:ext>
              </a:extLst>
            </xdr:cNvPr>
            <xdr:cNvGraphicFramePr/>
          </xdr:nvGraphicFramePr>
          <xdr:xfrm>
            <a:off x="0" y="0"/>
            <a:ext cx="0" cy="0"/>
          </xdr:xfrm>
          <a:graphic>
            <a:graphicData uri="http://schemas.microsoft.com/office/drawing/2010/slicer">
              <sle:slicer xmlns:sle="http://schemas.microsoft.com/office/drawing/2010/slicer" name="Tag 5"/>
            </a:graphicData>
          </a:graphic>
        </xdr:graphicFrame>
      </mc:Choice>
      <mc:Fallback xmlns="">
        <xdr:sp macro="" textlink="">
          <xdr:nvSpPr>
            <xdr:cNvPr id="0" name=""/>
            <xdr:cNvSpPr>
              <a:spLocks noTextEdit="1"/>
            </xdr:cNvSpPr>
          </xdr:nvSpPr>
          <xdr:spPr>
            <a:xfrm>
              <a:off x="13250283" y="0"/>
              <a:ext cx="918435" cy="223266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absoluteAnchor>
    <xdr:pos x="3125993" y="1781288"/>
    <xdr:ext cx="10127876" cy="918434"/>
    <mc:AlternateContent xmlns:mc="http://schemas.openxmlformats.org/markup-compatibility/2006" xmlns:sle15="http://schemas.microsoft.com/office/drawing/2012/slicer">
      <mc:Choice Requires="sle15">
        <xdr:graphicFrame macro="">
          <xdr:nvGraphicFramePr>
            <xdr:cNvPr id="10" name="Initial 5">
              <a:extLst>
                <a:ext uri="{FF2B5EF4-FFF2-40B4-BE49-F238E27FC236}">
                  <a16:creationId xmlns:a16="http://schemas.microsoft.com/office/drawing/2014/main" id="{5E4951C6-2BB4-497B-B58D-F644C64FD786}"/>
                </a:ext>
              </a:extLst>
            </xdr:cNvPr>
            <xdr:cNvGraphicFramePr/>
          </xdr:nvGraphicFramePr>
          <xdr:xfrm>
            <a:off x="0" y="0"/>
            <a:ext cx="0" cy="0"/>
          </xdr:xfrm>
          <a:graphic>
            <a:graphicData uri="http://schemas.microsoft.com/office/drawing/2010/slicer">
              <sle:slicer xmlns:sle="http://schemas.microsoft.com/office/drawing/2010/slicer" name="Initial 5"/>
            </a:graphicData>
          </a:graphic>
        </xdr:graphicFrame>
      </mc:Choice>
      <mc:Fallback xmlns="">
        <xdr:sp macro="" textlink="">
          <xdr:nvSpPr>
            <xdr:cNvPr id="0" name=""/>
            <xdr:cNvSpPr>
              <a:spLocks noTextEdit="1"/>
            </xdr:cNvSpPr>
          </xdr:nvSpPr>
          <xdr:spPr>
            <a:xfrm>
              <a:off x="3125993" y="1781288"/>
              <a:ext cx="10127876" cy="918434"/>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Blake\AppData\Roaming\Microsoft\AddIns\CustomTools.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countIfEqual"/>
      <definedName name="nonzeroQtys"/>
      <definedName name="nonzeroQtysList"/>
      <definedName name="nonzeroQtysOfList"/>
      <definedName name="nonzeroQtysOfRow"/>
      <definedName name="nthNonzeroMemberOf"/>
      <definedName name="QtyZeros"/>
      <definedName name="TextFormula"/>
    </definedNames>
    <sheetDataSet>
      <sheetData sheetId="0"/>
    </sheetDataSet>
  </externalBook>
</externalLink>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quipment_Category" xr10:uid="{DB0860DA-3634-44D0-A696-62A7AE4CEAF2}" sourceName="Equipment Category">
  <extLst>
    <x:ext xmlns:x15="http://schemas.microsoft.com/office/spreadsheetml/2010/11/main" uri="{2F2917AC-EB37-4324-AD4E-5DD8C200BD13}">
      <x15:tableSlicerCache tableId="8" column="2" crossFilter="show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____0_?_T_F" xr10:uid="{0AF9388F-9828-49C5-A2DD-B2A96DB5E5B9}" sourceName="# &gt; 0 ? T/F">
  <extLst>
    <x:ext xmlns:x15="http://schemas.microsoft.com/office/spreadsheetml/2010/11/main" uri="{2F2917AC-EB37-4324-AD4E-5DD8C200BD13}">
      <x15:tableSlicerCache tableId="8" column="8"/>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quipment_Type" xr10:uid="{0EDBC8CF-C8CB-4818-B61E-C1FA6D4C7508}" sourceName="Equipment Type">
  <extLst>
    <x:ext xmlns:x15="http://schemas.microsoft.com/office/spreadsheetml/2010/11/main" uri="{2F2917AC-EB37-4324-AD4E-5DD8C200BD13}">
      <x15:tableSlicerCache tableId="8"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ndor" xr10:uid="{675FB6A3-8312-4476-A1D4-99ADC24DE8E2}" sourceName="Vendor">
  <extLst>
    <x:ext xmlns:x15="http://schemas.microsoft.com/office/spreadsheetml/2010/11/main" uri="{2F2917AC-EB37-4324-AD4E-5DD8C200BD13}">
      <x15:tableSlicerCache tableId="8" column="12"/>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2" xr10:uid="{520A1FFE-6CF4-4A65-86A3-BD8295A29B47}" sourceName="Type">
  <extLst>
    <x:ext xmlns:x15="http://schemas.microsoft.com/office/spreadsheetml/2010/11/main" uri="{2F2917AC-EB37-4324-AD4E-5DD8C200BD13}">
      <x15:tableSlicerCache tableId="7" column="1"/>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1" xr10:uid="{E19B40D5-3D2A-4B9A-B979-4B539998EA44}" sourceName="Category">
  <extLst>
    <x:ext xmlns:x15="http://schemas.microsoft.com/office/spreadsheetml/2010/11/main" uri="{2F2917AC-EB37-4324-AD4E-5DD8C200BD13}">
      <x15:tableSlicerCache tableId="7" column="2"/>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ndor2" xr10:uid="{47885F50-E3A7-4397-909B-A6C239FE175D}" sourceName="Vendor">
  <extLst>
    <x:ext xmlns:x15="http://schemas.microsoft.com/office/spreadsheetml/2010/11/main" uri="{2F2917AC-EB37-4324-AD4E-5DD8C200BD13}">
      <x15:tableSlicerCache tableId="7" column="12"/>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ntity1" xr10:uid="{091DB74B-5CB7-4130-8A1D-18B95C1B7BE5}" sourceName="Qty.">
  <extLst>
    <x:ext xmlns:x15="http://schemas.microsoft.com/office/spreadsheetml/2010/11/main" uri="{2F2917AC-EB37-4324-AD4E-5DD8C200BD13}">
      <x15:tableSlicerCache tableId="7" column="4"/>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g1" xr10:uid="{F59F1D60-32B6-4BE1-818F-3C675A268B84}" sourceName="Tag">
  <extLst>
    <x:ext xmlns:x15="http://schemas.microsoft.com/office/spreadsheetml/2010/11/main" uri="{2F2917AC-EB37-4324-AD4E-5DD8C200BD13}">
      <x15:tableSlicerCache tableId="7" column="13"/>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11" xr10:uid="{4BA117DA-7F23-446A-987B-1DFC68CB847B}" sourceName="Type">
  <extLst>
    <x:ext xmlns:x15="http://schemas.microsoft.com/office/spreadsheetml/2010/11/main" uri="{2F2917AC-EB37-4324-AD4E-5DD8C200BD13}">
      <x15:tableSlicerCache tableId="11" column="1" crossFilter="show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2" xr10:uid="{48D9CF97-C612-4F7D-9491-222CA414BD7B}" sourceName="Category">
  <extLst>
    <x:ext xmlns:x15="http://schemas.microsoft.com/office/spreadsheetml/2010/11/main" uri="{2F2917AC-EB37-4324-AD4E-5DD8C200BD13}">
      <x15:tableSlicerCache tableId="11" column="2" crossFilter="show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ndor11" xr10:uid="{C573BC22-F1D2-47D0-A19A-A06E47A3F219}" sourceName="Vendor">
  <extLst>
    <x:ext xmlns:x15="http://schemas.microsoft.com/office/spreadsheetml/2010/11/main" uri="{2F2917AC-EB37-4324-AD4E-5DD8C200BD13}">
      <x15:tableSlicerCache tableId="11" column="12" crossFilter="show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ntity2" xr10:uid="{E93CD1D3-7FEE-41A9-BC99-1CA6E57F2CE4}" sourceName="# Left">
  <extLst>
    <x:ext xmlns:x15="http://schemas.microsoft.com/office/spreadsheetml/2010/11/main" uri="{2F2917AC-EB37-4324-AD4E-5DD8C200BD13}">
      <x15:tableSlicerCache tableId="11" column="4" crossFilter="show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g2" xr10:uid="{E80FE09C-40BC-4611-995E-650AA1C51BC1}" sourceName="Tag">
  <extLst>
    <x:ext xmlns:x15="http://schemas.microsoft.com/office/spreadsheetml/2010/11/main" uri="{2F2917AC-EB37-4324-AD4E-5DD8C200BD13}">
      <x15:tableSlicerCache tableId="11" column="13" crossFilter="showItemsWithNoData"/>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itial1" xr10:uid="{1B7975BA-BCE7-4F6B-9CB0-8A0B7EB74BAB}" sourceName="# Initial">
  <extLst>
    <x:ext xmlns:x15="http://schemas.microsoft.com/office/spreadsheetml/2010/11/main" uri="{2F2917AC-EB37-4324-AD4E-5DD8C200BD13}">
      <x15:tableSlicerCache tableId="11" column="19" crossFilter="showItemsWithNoData"/>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itial11" xr10:uid="{73B0BC6F-00B5-429E-9129-9536C1FBE331}" sourceName="Qty.">
  <extLst>
    <x:ext xmlns:x15="http://schemas.microsoft.com/office/spreadsheetml/2010/11/main" uri="{2F2917AC-EB37-4324-AD4E-5DD8C200BD13}">
      <x15:tableSlicerCache tableId="14" column="19" crossFilter="showItemsWithNoData"/>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111" xr10:uid="{4F55CDAB-2758-4A23-BC73-7EBA5E6B1033}" sourceName="Type">
  <extLst>
    <x:ext xmlns:x15="http://schemas.microsoft.com/office/spreadsheetml/2010/11/main" uri="{2F2917AC-EB37-4324-AD4E-5DD8C200BD13}">
      <x15:tableSlicerCache tableId="3" column="1" crossFilter="showItemsWithNoData"/>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21" xr10:uid="{633B2C5E-63FE-4616-85C9-69405685FE4C}" sourceName="Category">
  <extLst>
    <x:ext xmlns:x15="http://schemas.microsoft.com/office/spreadsheetml/2010/11/main" uri="{2F2917AC-EB37-4324-AD4E-5DD8C200BD13}">
      <x15:tableSlicerCache tableId="3" column="2" crossFilter="showItemsWithNoData"/>
    </x:ext>
  </extLst>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ndor111" xr10:uid="{41D427D5-6A2D-4A36-8AE3-30510070DA17}" sourceName="Vendor">
  <extLst>
    <x:ext xmlns:x15="http://schemas.microsoft.com/office/spreadsheetml/2010/11/main" uri="{2F2917AC-EB37-4324-AD4E-5DD8C200BD13}">
      <x15:tableSlicerCache tableId="3" column="12" crossFilter="showItemsWithNoData"/>
    </x:ext>
  </extLst>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ntity21" xr10:uid="{50DF3167-58CF-4947-A8D8-DC2F9954DE59}" sourceName="# Left">
  <extLst>
    <x:ext xmlns:x15="http://schemas.microsoft.com/office/spreadsheetml/2010/11/main" uri="{2F2917AC-EB37-4324-AD4E-5DD8C200BD13}">
      <x15:tableSlicerCache tableId="3" column="4" crossFilter="showItemsWithNoData"/>
    </x:ext>
  </extLst>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g21" xr10:uid="{736FF886-97DC-4BDD-B3A0-931CC6DE330C}" sourceName="Tag">
  <extLst>
    <x:ext xmlns:x15="http://schemas.microsoft.com/office/spreadsheetml/2010/11/main" uri="{2F2917AC-EB37-4324-AD4E-5DD8C200BD13}">
      <x15:tableSlicerCache tableId="3" column="13" crossFilter="showItemsWithNoData"/>
    </x:ext>
  </extLst>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itial12" xr10:uid="{5621A2F5-EF87-47FD-BD6F-DE3BA3F9FCFE}" sourceName="# Initial">
  <extLst>
    <x:ext xmlns:x15="http://schemas.microsoft.com/office/spreadsheetml/2010/11/main" uri="{2F2917AC-EB37-4324-AD4E-5DD8C200BD13}">
      <x15:tableSlicerCache tableId="3" column="19" crossFilter="showItemsWithNoData"/>
    </x:ext>
  </extLst>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1111" xr10:uid="{159DAA84-598C-4142-B188-EA6464867347}" sourceName="Type">
  <extLst>
    <x:ext xmlns:x15="http://schemas.microsoft.com/office/spreadsheetml/2010/11/main" uri="{2F2917AC-EB37-4324-AD4E-5DD8C200BD13}">
      <x15:tableSlicerCache tableId="19" column="1" crossFilter="showItemsWithNoData"/>
    </x:ext>
  </extLst>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211" xr10:uid="{6A46CB9A-65FC-4E20-9542-9C047F4BEE11}" sourceName="Category">
  <extLst>
    <x:ext xmlns:x15="http://schemas.microsoft.com/office/spreadsheetml/2010/11/main" uri="{2F2917AC-EB37-4324-AD4E-5DD8C200BD13}">
      <x15:tableSlicerCache tableId="19" column="2" crossFilter="showItemsWithNoData"/>
    </x:ext>
  </extLst>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ndor1111" xr10:uid="{50EC9BBD-27F9-45C3-B4A8-79FC642C3508}" sourceName="Vendor">
  <extLst>
    <x:ext xmlns:x15="http://schemas.microsoft.com/office/spreadsheetml/2010/11/main" uri="{2F2917AC-EB37-4324-AD4E-5DD8C200BD13}">
      <x15:tableSlicerCache tableId="19" column="12" crossFilter="showItemsWithNoData"/>
    </x:ext>
  </extLst>
</slicerCacheDefinition>
</file>

<file path=xl/slicerCaches/slicerCache2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ntity211" xr10:uid="{2BE2B68C-7C49-49F4-8A1C-5F81E1B109D2}" sourceName="# Left">
  <extLst>
    <x:ext xmlns:x15="http://schemas.microsoft.com/office/spreadsheetml/2010/11/main" uri="{2F2917AC-EB37-4324-AD4E-5DD8C200BD13}">
      <x15:tableSlicerCache tableId="19" column="4" crossFilter="showItemsWithNoData"/>
    </x:ext>
  </extLst>
</slicerCacheDefinition>
</file>

<file path=xl/slicerCaches/slicerCache2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g211" xr10:uid="{9093661D-A981-4BE7-9AF8-D2CA8A4FA9E1}" sourceName="Tag">
  <extLst>
    <x:ext xmlns:x15="http://schemas.microsoft.com/office/spreadsheetml/2010/11/main" uri="{2F2917AC-EB37-4324-AD4E-5DD8C200BD13}">
      <x15:tableSlicerCache tableId="19" column="13" crossFilter="showItemsWithNoData"/>
    </x:ext>
  </extLst>
</slicerCacheDefinition>
</file>

<file path=xl/slicerCaches/slicerCache2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itial121" xr10:uid="{E951C85A-119B-4C48-9C49-256BEB4992FB}" sourceName="# Initial">
  <extLst>
    <x:ext xmlns:x15="http://schemas.microsoft.com/office/spreadsheetml/2010/11/main" uri="{2F2917AC-EB37-4324-AD4E-5DD8C200BD13}">
      <x15:tableSlicerCache tableId="19" column="19" crossFilter="showItemsWithNoData"/>
    </x:ext>
  </extLst>
</slicerCacheDefinition>
</file>

<file path=xl/slicerCaches/slicerCache2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1112" xr10:uid="{49712AF9-104A-404A-B0F6-A706E7798E97}" sourceName="Type">
  <extLst>
    <x:ext xmlns:x15="http://schemas.microsoft.com/office/spreadsheetml/2010/11/main" uri="{2F2917AC-EB37-4324-AD4E-5DD8C200BD13}">
      <x15:tableSlicerCache tableId="25" column="1" crossFilter="showItemsWithNoData"/>
    </x:ext>
  </extLst>
</slicerCacheDefinition>
</file>

<file path=xl/slicerCaches/slicerCache3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212" xr10:uid="{72F3090C-2A96-49F0-A46E-E8365997DC45}" sourceName="Category">
  <extLst>
    <x:ext xmlns:x15="http://schemas.microsoft.com/office/spreadsheetml/2010/11/main" uri="{2F2917AC-EB37-4324-AD4E-5DD8C200BD13}">
      <x15:tableSlicerCache tableId="25" column="2" crossFilter="showItemsWithNoData"/>
    </x:ext>
  </extLst>
</slicerCacheDefinition>
</file>

<file path=xl/slicerCaches/slicerCache3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ndor1112" xr10:uid="{62B315DB-5B84-49A0-817E-E0472AFB20FB}" sourceName="Vendor">
  <extLst>
    <x:ext xmlns:x15="http://schemas.microsoft.com/office/spreadsheetml/2010/11/main" uri="{2F2917AC-EB37-4324-AD4E-5DD8C200BD13}">
      <x15:tableSlicerCache tableId="25" column="12" crossFilter="showItemsWithNoData"/>
    </x:ext>
  </extLst>
</slicerCacheDefinition>
</file>

<file path=xl/slicerCaches/slicerCache3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ntity212" xr10:uid="{76C443D9-A85C-4CA0-BA25-236BA4DA3284}" sourceName="# Left">
  <extLst>
    <x:ext xmlns:x15="http://schemas.microsoft.com/office/spreadsheetml/2010/11/main" uri="{2F2917AC-EB37-4324-AD4E-5DD8C200BD13}">
      <x15:tableSlicerCache tableId="25" column="4" crossFilter="showItemsWithNoData"/>
    </x:ext>
  </extLst>
</slicerCacheDefinition>
</file>

<file path=xl/slicerCaches/slicerCache3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g212" xr10:uid="{8CA21D69-7EF5-4ABF-87D1-6860C0884B3E}" sourceName="Tag">
  <extLst>
    <x:ext xmlns:x15="http://schemas.microsoft.com/office/spreadsheetml/2010/11/main" uri="{2F2917AC-EB37-4324-AD4E-5DD8C200BD13}">
      <x15:tableSlicerCache tableId="25" column="13" crossFilter="showItemsWithNoData"/>
    </x:ext>
  </extLst>
</slicerCacheDefinition>
</file>

<file path=xl/slicerCaches/slicerCache3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itial122" xr10:uid="{347C98B8-A216-471D-A346-D16F7ECBF687}" sourceName="# Initial">
  <extLst>
    <x:ext xmlns:x15="http://schemas.microsoft.com/office/spreadsheetml/2010/11/main" uri="{2F2917AC-EB37-4324-AD4E-5DD8C200BD13}">
      <x15:tableSlicerCache tableId="25" column="19" crossFilter="showItemsWithNoData"/>
    </x:ext>
  </extLst>
</slicerCacheDefinition>
</file>

<file path=xl/slicerCaches/slicerCache3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1113" xr10:uid="{BF1DD470-571F-453E-9DB9-D43F6274E531}" sourceName="Type">
  <extLst>
    <x:ext xmlns:x15="http://schemas.microsoft.com/office/spreadsheetml/2010/11/main" uri="{2F2917AC-EB37-4324-AD4E-5DD8C200BD13}">
      <x15:tableSlicerCache tableId="1" column="1" crossFilter="showItemsWithNoData"/>
    </x:ext>
  </extLst>
</slicerCacheDefinition>
</file>

<file path=xl/slicerCaches/slicerCache3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213" xr10:uid="{1D9D19E2-6A1A-43F2-BB92-4EA2AC05FDF9}" sourceName="Category">
  <extLst>
    <x:ext xmlns:x15="http://schemas.microsoft.com/office/spreadsheetml/2010/11/main" uri="{2F2917AC-EB37-4324-AD4E-5DD8C200BD13}">
      <x15:tableSlicerCache tableId="1" column="2" crossFilter="showItemsWithNoData"/>
    </x:ext>
  </extLst>
</slicerCacheDefinition>
</file>

<file path=xl/slicerCaches/slicerCache3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ndor1113" xr10:uid="{16CEE4D6-89F1-4456-B34B-11D03AD4C2D8}" sourceName="Vendor">
  <extLst>
    <x:ext xmlns:x15="http://schemas.microsoft.com/office/spreadsheetml/2010/11/main" uri="{2F2917AC-EB37-4324-AD4E-5DD8C200BD13}">
      <x15:tableSlicerCache tableId="1" column="12" crossFilter="showItemsWithNoData"/>
    </x:ext>
  </extLst>
</slicerCacheDefinition>
</file>

<file path=xl/slicerCaches/slicerCache3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ntity213" xr10:uid="{3AA4D4A0-9233-4DAE-A076-75B5CD3061FE}" sourceName="# Left">
  <extLst>
    <x:ext xmlns:x15="http://schemas.microsoft.com/office/spreadsheetml/2010/11/main" uri="{2F2917AC-EB37-4324-AD4E-5DD8C200BD13}">
      <x15:tableSlicerCache tableId="1" column="4" crossFilter="showItemsWithNoData"/>
    </x:ext>
  </extLst>
</slicerCacheDefinition>
</file>

<file path=xl/slicerCaches/slicerCache3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g213" xr10:uid="{26B0DD03-0C88-454E-87C3-6CC2C64E6175}" sourceName="Tag">
  <extLst>
    <x:ext xmlns:x15="http://schemas.microsoft.com/office/spreadsheetml/2010/11/main" uri="{2F2917AC-EB37-4324-AD4E-5DD8C200BD13}">
      <x15:tableSlicerCache tableId="1" column="13" crossFilter="showItemsWithNoData"/>
    </x:ext>
  </extLst>
</slicerCacheDefinition>
</file>

<file path=xl/slicerCaches/slicerCache4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itial123" xr10:uid="{9B493FBB-8B48-42DB-A197-1CFBFF6E88BC}" sourceName="# Initial">
  <extLst>
    <x:ext xmlns:x15="http://schemas.microsoft.com/office/spreadsheetml/2010/11/main" uri="{2F2917AC-EB37-4324-AD4E-5DD8C200BD13}">
      <x15:tableSlicerCache tableId="1" column="19" crossFilter="show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itial 2" xr10:uid="{81E78DF7-0679-4ED6-8865-4E4CA8C4D9D9}" cache="Slicer_Initial11" caption="Qty."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quipment Category" xr10:uid="{0BBC634B-3A21-46CA-910B-EF4EC7E09136}" cache="Slicer_Equipment_Category" caption="Select equipment Category(s) to display (Hold Ctrl to select multiple equipment categpries)" columnCount="6" rowHeight="234950"/>
  <slicer name="# &gt; 0 ? T/F" xr10:uid="{BFDA3DEC-0419-4830-A02D-08B5AA57E408}" cache="Slicer_____0_?_T_F" caption="Choose if items with # Units = 0 currently planned to be purchased are listed or not (for review/consideration purposes, does not affect total cost value)" columnCount="2" style="Slicer Style 1" rowHeight="234950"/>
  <slicer name="Equipment Type" xr10:uid="{69ED80EE-1D8A-4992-9734-DF0949B2761C}" cache="Slicer_Equipment_Type" caption="Equipment Type" columnCount="4" style="SlicerStyleLight5 2" rowHeight="234950"/>
  <slicer name="Vendor" xr10:uid="{DF7539DE-AF36-4484-8C21-CBB5FAC90B5E}" cache="Slicer_Vendor" caption="Vendor" style="SlicerStyleDark1"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2" xr10:uid="{87798CAE-BB75-47B9-8957-A93AA239DB06}" cache="Slicer_Type2" caption="Type" startItem="7" rowHeight="234950"/>
  <slicer name="Category 1" xr10:uid="{5F81EC29-1E03-4623-B515-A765C630828F}" cache="Slicer_Category1" caption="Category" columnCount="4" rowHeight="234950"/>
  <slicer name="Vendor 2" xr10:uid="{2EA99156-EBDC-42CE-9B59-F1EFD711C87C}" cache="Slicer_Vendor2" caption="Vendor" rowHeight="234950"/>
  <slicer name="Quantity 1" xr10:uid="{059991C7-BEC5-4C99-AA90-574C04B300A8}" cache="Slicer_Quantity1" caption="Qty." columnCount="5" rowHeight="234950"/>
  <slicer name="Tag 1" xr10:uid="{D2ABEC25-3A7E-40C8-8C05-D846E19A794B}" cache="Slicer_Tag1" caption="Tag"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3" xr10:uid="{04C5DDFD-EE45-42AD-B78F-2F4923C81BD4}" cache="Slicer_Type11" caption="Type" rowHeight="234950"/>
  <slicer name="Category 2" xr10:uid="{4B4F1D81-808B-481A-8BBA-D7BE9B5A1798}" cache="Slicer_Category2" caption="Category" startItem="16" columnCount="4" rowHeight="234950"/>
  <slicer name="Vendor 3" xr10:uid="{83430B7B-C095-4D49-9338-079CDB91C2C4}" cache="Slicer_Vendor11" caption="Vendor" rowHeight="234950"/>
  <slicer name="Quantity 2" xr10:uid="{2AB1D93E-09D7-45E5-A968-623BE2C485F6}" cache="Slicer_Quantity2" caption="# Left" columnCount="5" rowHeight="234950"/>
  <slicer name="Tag 2" xr10:uid="{DFECDDCD-95D1-4E68-8223-DCD4DC5D2134}" cache="Slicer_Tag2" caption="Tag" rowHeight="234950"/>
  <slicer name="Initial 1" xr10:uid="{FB1A49E1-2746-4E58-A773-F2B2FD9CF708}" cache="Slicer_Initial1" caption="# Initial" rowHeight="23495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4" xr10:uid="{A9991D87-929C-4AE6-A1AE-39F1BE721E8D}" cache="Slicer_Type111" caption="Type" startItem="2" rowHeight="234950"/>
  <slicer name="Category 3" xr10:uid="{2770199E-8790-4ED3-9D39-6345AB5BB48D}" cache="Slicer_Category21" caption="Category" startItem="24" columnCount="4" rowHeight="234950"/>
  <slicer name="Vendor 4" xr10:uid="{B3320FD4-E312-4A74-885D-26A70934D944}" cache="Slicer_Vendor111" caption="Vendor" rowHeight="234950"/>
  <slicer name="Quantity 3" xr10:uid="{93B812A6-D3B1-4D25-ABCF-1180FADFC76B}" cache="Slicer_Quantity21" caption="# Left" columnCount="5" rowHeight="234950"/>
  <slicer name="Tag 3" xr10:uid="{4DA7B500-50D2-42A9-BB07-E64AE2C9B66C}" cache="Slicer_Tag21" caption="Tag" rowHeight="234950"/>
  <slicer name="Initial 3" xr10:uid="{A5FA6106-E80C-464D-966E-BD9F05481503}" cache="Slicer_Initial12" caption="# Initial" rowHeight="234950"/>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7" xr10:uid="{BDF85ADD-0A53-4572-8FA9-5C3907853431}" cache="Slicer_Type1113" caption="Type" startItem="2" rowHeight="234950"/>
  <slicer name="Category 6" xr10:uid="{04714151-A889-4796-860A-C9738F415174}" cache="Slicer_Category213" caption="Category" startItem="24" columnCount="4" rowHeight="234950"/>
  <slicer name="Vendor 7" xr10:uid="{B098BB4E-12B3-4294-8148-36D12131E9AF}" cache="Slicer_Vendor1113" caption="Vendor" rowHeight="234950"/>
  <slicer name="Quantity 6" xr10:uid="{28A119AF-8406-415A-BBF2-AA6CF2E63AB0}" cache="Slicer_Quantity213" caption="# Left" columnCount="5" rowHeight="234950"/>
  <slicer name="Tag 6" xr10:uid="{0F50ECC4-B4AC-4CA1-A58F-531DCB0F3123}" cache="Slicer_Tag213" caption="Tag" rowHeight="234950"/>
  <slicer name="Initial 6" xr10:uid="{D8158FA9-49ED-41AC-94D4-E4C8FA5BF714}" cache="Slicer_Initial123" caption="# Initial" rowHeight="234950"/>
</slicers>
</file>

<file path=xl/slicers/slicer7.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5" xr10:uid="{1E72B157-B16E-4369-B5E7-1994C487F79C}" cache="Slicer_Type1111" caption="Type" rowHeight="234950"/>
  <slicer name="Category 4" xr10:uid="{C69E3200-485C-411A-AA9B-F937DB473693}" cache="Slicer_Category211" caption="Category" startItem="16" columnCount="4" rowHeight="234950"/>
  <slicer name="Vendor 5" xr10:uid="{245C9172-94A0-41D1-812F-81BAAC9AFD97}" cache="Slicer_Vendor1111" caption="Vendor" rowHeight="234950"/>
  <slicer name="Quantity 4" xr10:uid="{C99DF756-54EC-485C-87AD-3A91F48E8A82}" cache="Slicer_Quantity211" caption="# Left" columnCount="5" rowHeight="234950"/>
  <slicer name="Tag 4" xr10:uid="{54DBB4CF-3917-440E-9157-DA8DAA5CAFBC}" cache="Slicer_Tag211" caption="Tag" rowHeight="234950"/>
  <slicer name="Initial 4" xr10:uid="{B0F69E32-2BE6-4A24-84F9-5F0E89933CA0}" cache="Slicer_Initial121" caption="# Initial" rowHeight="234950"/>
</slicers>
</file>

<file path=xl/slicers/slicer8.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6" xr10:uid="{D4ED0038-C7F0-44A3-B762-F5FD54E4F6F7}" cache="Slicer_Type1112" caption="Type" rowHeight="234950"/>
  <slicer name="Category 5" xr10:uid="{8B0BB954-31AA-4087-94F3-4A7FF3BC6F22}" cache="Slicer_Category212" caption="Category" startItem="16" columnCount="4" rowHeight="234950"/>
  <slicer name="Vendor 6" xr10:uid="{EA929CF9-68F7-4C54-AA90-75921028A767}" cache="Slicer_Vendor1112" caption="Vendor" rowHeight="234950"/>
  <slicer name="Quantity 5" xr10:uid="{D14A9213-6F47-4AED-9CD9-89439B0DACDC}" cache="Slicer_Quantity212" caption="# Left" columnCount="5" rowHeight="234950"/>
  <slicer name="Tag 5" xr10:uid="{837DE72A-8CE2-4C0E-AA93-55A812CA4C73}" cache="Slicer_Tag212" caption="Tag" rowHeight="234950"/>
  <slicer name="Initial 5" xr10:uid="{9431603C-551E-4EF2-870A-78C8C43F778C}" cache="Slicer_Initial122" caption="# Initial"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AE870C3-2112-4205-B92C-FFD9BB59347A}" name="MouserOrderTable" displayName="MouserOrderTable" ref="A13:F647" totalsRowCount="1" headerRowDxfId="1277" dataDxfId="1276">
  <autoFilter ref="A13:F646" xr:uid="{57EB1AFC-8A68-452F-A434-FB6A37C6CCD1}"/>
  <tableColumns count="6">
    <tableColumn id="1" xr3:uid="{47225BD6-745A-4350-AEF8-713C233E7BD6}" name="List #" totalsRowFunction="count" dataDxfId="1275" totalsRowDxfId="1274">
      <calculatedColumnFormula>IF(MouserOrderTable[[#This Row],[Qty.]]&gt;0,IF($A13="List #",1,$A13+1),IF($A13="List #",0,$A13))</calculatedColumnFormula>
    </tableColumn>
    <tableColumn id="3" xr3:uid="{432F4873-2417-457A-A49D-0BD44F22759E}" name="SKU" dataDxfId="1273" totalsRowDxfId="1272">
      <calculatedColumnFormula>MouserListTable[[#This Row],[SKU]]</calculatedColumnFormula>
    </tableColumn>
    <tableColumn id="19" xr3:uid="{9EDEB626-3D7A-408C-82E3-E3ECDABFB0B8}" name="Qty." totalsRowFunction="sum" dataDxfId="1271" totalsRowDxfId="1270">
      <calculatedColumnFormula>MouserListTable[[#This Row],['# Initial]]</calculatedColumnFormula>
    </tableColumn>
    <tableColumn id="7" xr3:uid="{801D5248-0CF0-4733-B703-942E4623FD0D}" name="Name" dataDxfId="1269" totalsRowDxfId="1268"/>
    <tableColumn id="9" xr3:uid="{FFCC6E3F-3DAC-446C-8F55-FB1F7BFD3C86}" name="Price (USD)" dataDxfId="1267" totalsRowDxfId="1266"/>
    <tableColumn id="11" xr3:uid="{E1EEAE46-5C7E-4F1B-97A8-B511D975A666}" name="Total Price (USD)" totalsRowFunction="sum" dataDxfId="1265" totalsRowDxfId="1264">
      <calculatedColumnFormula>MouserListTable[[#This Row],[Total Price]]</calculatedColumnFormula>
    </tableColumn>
  </tableColumns>
  <tableStyleInfo name="Home Inventory" showFirstColumn="1" showLastColumn="1"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F9A74BE-AB7F-41C8-A71E-47D8A56DFEFE}" name="EquipmentTable" displayName="EquipmentTable" ref="B39:M623" totalsRowCount="1" headerRowDxfId="1263" dataDxfId="1262">
  <autoFilter ref="B39:M622" xr:uid="{F634B163-8D95-437B-B2BD-05D41BBB9DC7}">
    <filterColumn colId="0">
      <filters>
        <filter val="Hardware Component"/>
        <filter val="Low-Level Electronics"/>
        <filter val="Primary Component"/>
        <filter val="Secondary Component"/>
        <filter val="Tools"/>
      </filters>
    </filterColumn>
    <filterColumn colId="1">
      <filters>
        <filter val="BeagleBone Black Iot/Base Station"/>
        <filter val="Bluetooth"/>
        <filter val="Breadboard/Protoboard"/>
        <filter val="Buttons/Switches/Knobs"/>
        <filter val="Connectors, IDC"/>
        <filter val="Connectors, JST"/>
        <filter val="Connectors, Polarized (Molex)"/>
        <filter val="Connectors, Ribbon Crimp"/>
        <filter val="Connectors, Spring/Screw Terminals"/>
        <filter val="Connectors, USB"/>
        <filter val="Connectors/Sockets/Terminals, Other"/>
        <filter val="Data &amp; Signal Logging/Monitoring"/>
        <filter val="DIP/TO-#/SMD Components"/>
        <filter val="Enclosures/Mounts"/>
        <filter val="Energy Harvesting"/>
        <filter val="Flip-Pins"/>
        <filter val="GPS Logging/Fencing"/>
        <filter val="GSM/Cellular Communication"/>
        <filter val="Hand Tools"/>
        <filter val="Hardware Components/Accessories"/>
        <filter val="Headers, Female"/>
        <filter val="Headers, Male"/>
        <filter val="Headers, Stackable"/>
        <filter val="Heat Insulation/Dissipation"/>
        <filter val="High-Precision Compass"/>
        <filter val="Intel Edison Iot/Base Station"/>
        <filter val="Interface/Level/Logic Conversion"/>
        <filter val="Jumper Wires, DIY"/>
        <filter val="Jumper Wires, JST-PH"/>
        <filter val="Jumper Wires, Mixed"/>
        <filter val="Jumper Wires, Molex"/>
        <filter val="Jumper Wires, PTH"/>
        <filter val="LED Indicators/Lighting"/>
        <filter val="Lidar"/>
        <filter val="Linux + Arduino Home Base Station"/>
        <filter val="mBed Platform Base Station"/>
        <filter val="MCU/Development Board"/>
        <filter val="MicroView Watch/Relay"/>
        <filter val="Movement/IMU"/>
        <filter val="Onion Omega2+ + Arduino Base Station"/>
        <filter val="Onion Omega2+ Handheld"/>
        <filter val="Passive Components"/>
        <filter val="PCB/Breadboard Work Tools"/>
        <filter val="Phone/Computer App Companion"/>
        <filter val="Plastics Fabrication"/>
        <filter val="Plugs/Jacks/Adapters, Audio"/>
        <filter val="Power Supply, Barrel Jack Cables/Adapters"/>
        <filter val="Power Supply, Barrel Jack Wall Wart"/>
        <filter val="Power Supply, Breadboard"/>
        <filter val="Power Supply, Control/Switch"/>
        <filter val="Power Supply, DIY Cables"/>
        <filter val="Power Supply, LiPO Battery Supply/Management"/>
        <filter val="Power Supply, USB + Barrel Jack"/>
        <filter val="Power Supply, USB Cables"/>
        <filter val="Power Supply, USB Wall Wart"/>
        <filter val="Proximity/Distance"/>
        <filter val="Realtek Ameba Handheld"/>
        <filter val="Ribbon/IDC Cables"/>
        <filter val="Rotary Potentiometers/Encoders/Switches"/>
        <filter val="Signal Multiplexing/Conditioning"/>
        <filter val="Solid/Stranded Hookup Wire"/>
        <filter val="Standoffs/Screws"/>
        <filter val="Storage/Organization"/>
        <filter val="Touch/Vibration"/>
        <filter val="USB Cables/Adapters"/>
        <filter val="USB/Serial Interface Breakouts"/>
        <filter val="User Interface, IO"/>
        <filter val="User Interface, Touchscreen"/>
        <filter val="Vitals/Health Status Sensing"/>
        <filter val="WiFi"/>
        <filter val="Wireless Charging"/>
      </filters>
    </filterColumn>
  </autoFilter>
  <tableColumns count="12">
    <tableColumn id="1" xr3:uid="{A1FE028E-E738-488B-BC96-B57C4A336518}" name="Equipment Type" totalsRowLabel="TOTALS" dataDxfId="1261" totalsRowDxfId="1260">
      <calculatedColumnFormula>RawList!A4</calculatedColumnFormula>
    </tableColumn>
    <tableColumn id="2" xr3:uid="{B5D41210-015E-4DF7-A6B5-F2365DE4BE55}" name="Equipment Category" totalsRowFunction="custom" dataDxfId="1259" totalsRowDxfId="1258">
      <calculatedColumnFormula>RawList!B4</calculatedColumnFormula>
      <totalsRowFormula>SUBTOTAL(103,RawListTable[Category])</totalsRowFormula>
    </tableColumn>
    <tableColumn id="12" xr3:uid="{F18AD8A3-164B-4A1B-8BDA-09D727CB8F84}" name="Vendor" dataDxfId="1257" totalsRowDxfId="1256">
      <calculatedColumnFormula>RawList!C4</calculatedColumnFormula>
    </tableColumn>
    <tableColumn id="7" xr3:uid="{689EC8F1-DB9A-4270-951A-BC4DDB418368}" name="Item/Description" dataDxfId="1255" totalsRowDxfId="1254">
      <calculatedColumnFormula>RawList!H4</calculatedColumnFormula>
    </tableColumn>
    <tableColumn id="3" xr3:uid="{D157A3D8-371F-4DCC-9845-9D754AA96D81}" name="Item SKU" totalsRowFunction="custom" dataDxfId="1253" totalsRowDxfId="1252">
      <calculatedColumnFormula>RawList!D4</calculatedColumnFormula>
      <totalsRowFormula>"TOTAL ITEMS: "&amp;SUBTOTAL(103,EquipmentTable[Item SKU])</totalsRowFormula>
    </tableColumn>
    <tableColumn id="4" xr3:uid="{21148587-C814-4E21-94EA-C0D120B9FCDF}" name="Units" totalsRowFunction="custom" dataDxfId="1251" totalsRowDxfId="1250">
      <calculatedColumnFormula>RawList!E4</calculatedColumnFormula>
      <totalsRowFormula>"TOTAL UNITS: "&amp;SUBTOTAL(109,EquipmentTable[Units])</totalsRowFormula>
    </tableColumn>
    <tableColumn id="8" xr3:uid="{7DD4232F-53FF-4A4C-972B-E565F84F4A10}" name="# &gt; 0 ? T/F" dataDxfId="1249" totalsRowDxfId="1248">
      <calculatedColumnFormula>IF(EquipmentTable[[#This Row],[Units]]&gt;0,"Quantity &gt; 0 Items","Quantity = 0 Items")</calculatedColumnFormula>
    </tableColumn>
    <tableColumn id="9" xr3:uid="{7E09572C-1143-41CE-9940-F65C421A3666}" name="Unit_x000a_ Price" totalsRowFunction="average" dataDxfId="1247" totalsRowDxfId="1246">
      <calculatedColumnFormula>RawList!J4</calculatedColumnFormula>
    </tableColumn>
    <tableColumn id="10" xr3:uid="{CB520CBF-213F-4F27-BE25-317A534B943A}" name="Price" totalsRowFunction="sum" dataDxfId="1245" totalsRowDxfId="1244">
      <calculatedColumnFormula>VALUE(EquipmentTable[[#This Row],[Units]]*EquipmentTable[[#This Row],[Unit
 Price]])</calculatedColumnFormula>
    </tableColumn>
    <tableColumn id="6" xr3:uid="{40D16CA9-8E4D-4A59-8B3C-D64FB690F462}" name="Thumb URL" dataDxfId="1243" totalsRowDxfId="1242">
      <calculatedColumnFormula>RawList!G4</calculatedColumnFormula>
    </tableColumn>
    <tableColumn id="11" xr3:uid="{2C9D1B3D-4917-4F1D-9C2D-0D5876F14226}" name="Thumbnail" dataDxfId="1241" totalsRowDxfId="1240"/>
    <tableColumn id="5" xr3:uid="{B9C076F0-CD7B-4C0E-B3AC-B574905F3588}" name="Link" dataDxfId="1239" totalsRowDxfId="1238">
      <calculatedColumnFormula>RawList!F4</calculatedColumnFormula>
    </tableColumn>
  </tableColumns>
  <tableStyleInfo name="Home Inventory"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CategoryLookup" displayName="CategoryLookup" ref="B3:B97" totalsRowShown="0">
  <autoFilter ref="B3:B97" xr:uid="{00000000-0009-0000-0100-000002000000}"/>
  <sortState ref="B4:B17">
    <sortCondition ref="B3:B17"/>
  </sortState>
  <tableColumns count="1">
    <tableColumn id="1" xr3:uid="{00000000-0010-0000-0100-000001000000}" name="Category"/>
  </tableColumns>
  <tableStyleInfo name="Home Inventory" showFirstColumn="0" showLastColumn="0" showRowStripes="1" showColumnStripes="0"/>
  <extLst>
    <ext xmlns:x14="http://schemas.microsoft.com/office/spreadsheetml/2009/9/main" uri="{504A1905-F514-4f6f-8877-14C23A59335A}">
      <x14:table altTextSummary="A table containing rooms or areas of a home"/>
    </ext>
  </extLst>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F824908-205B-404D-90DB-C39591A77049}" name="TypeLookup" displayName="TypeLookup" ref="C3:C97" totalsRowShown="0" dataDxfId="1237">
  <autoFilter ref="C3:C97" xr:uid="{26050C89-0597-4FB9-81FF-E98C2765AB8A}"/>
  <tableColumns count="1">
    <tableColumn id="1" xr3:uid="{1A61E9AB-7223-4CCC-8BCD-E6A532E578BD}" name="Type" dataDxfId="1236"/>
  </tableColumns>
  <tableStyleInfo name="Home Inventory"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E2D3B98-9021-481E-87FB-EA4142D8760A}" name="CategoryTypeDescriptions" displayName="CategoryTypeDescriptions" ref="D3:D97" totalsRowShown="0" dataDxfId="1235">
  <autoFilter ref="D3:D97" xr:uid="{19D753C1-BA1E-4F86-BE2C-23B5F96A9F24}"/>
  <tableColumns count="1">
    <tableColumn id="1" xr3:uid="{FA53BD13-DD8A-4B33-A845-E2F5921164A0}" name="Group" dataDxfId="1234"/>
  </tableColumns>
  <tableStyleInfo name="Home Inventory"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6DF8E228-BA46-49F4-BFC2-1666F7E78678}" name="EquipmentTypesTable" displayName="EquipmentTypesTable" ref="C5:C14" totalsRowCount="1">
  <autoFilter ref="C5:C13" xr:uid="{F20EDCB9-D8D1-4DEF-B1D1-AE41CECA3AE1}"/>
  <tableColumns count="1">
    <tableColumn id="1" xr3:uid="{8D95758C-97D3-4079-A56E-37A5237E3253}" name="Equipment Types" totalsRowFunction="count"/>
  </tableColumns>
  <tableStyleInfo name="Home Inventory" showFirstColumn="1" showLastColumn="0" showRowStripes="1" showColumnStripes="1"/>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39BCD53F-5F3C-44E3-8F4D-8AC6E469DBE0}" name="FunctionsTable" displayName="FunctionsTable" ref="D5:D14" totalsRowCount="1">
  <autoFilter ref="D5:D13" xr:uid="{03D5268C-D8D5-4300-AB80-4DBE465B5EC6}"/>
  <tableColumns count="1">
    <tableColumn id="1" xr3:uid="{0FB918AC-F065-4737-8C4E-E78BC8D7E96B}" name="Reminder Walker Functions" totalsRowFunction="count"/>
  </tableColumns>
  <tableStyleInfo name="Home Inventory" showFirstColumn="1" showLastColumn="0" showRowStripes="1" showColumnStripes="1"/>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350C8F4B-0A62-468F-881B-530D2B8197A3}" name="VendorList" displayName="VendorList" ref="A5:A19" totalsRowCount="1">
  <autoFilter ref="A5:A18" xr:uid="{A46B29EF-0855-4CBD-9023-4C69E5B4EFDB}"/>
  <tableColumns count="1">
    <tableColumn id="1" xr3:uid="{F421CABF-5C81-41C7-8CFC-169C324E9A95}" name="Vendors" totalsRowFunction="count"/>
  </tableColumns>
  <tableStyleInfo name="Home Inventory" showFirstColumn="1" showLastColumn="0" showRowStripes="1" showColumnStripes="1"/>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FD8BA6A9-C31E-43FE-AA17-4F370A5C5749}" name="FormatKey" displayName="FormatKey" ref="E5:F13" totalsRowShown="0">
  <autoFilter ref="E5:F13" xr:uid="{4E5635C7-2C38-49CC-8C86-8D8094A14A79}"/>
  <tableColumns count="2">
    <tableColumn id="1" xr3:uid="{D47A58D5-663E-4F28-B51B-881F87029E64}" name="Format Encoded Info Definitions"/>
    <tableColumn id="2" xr3:uid="{6294C83A-8E93-4EA2-A260-94F09A8F0A87}" name="Format Shortcut Tag"/>
  </tableColumns>
  <tableStyleInfo name="Home Inventory"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0CF2B24-0DC6-422D-88F0-8C4735B61FEE}" name="VendorList5" displayName="VendorList5" ref="B5:B19" totalsRowCount="1">
  <autoFilter ref="B5:B18" xr:uid="{8EAE8841-92AC-4F91-BD39-51311F30EA1B}"/>
  <tableColumns count="1">
    <tableColumn id="1" xr3:uid="{99BFCA31-EF2C-4855-AECB-FAB50F055F8D}" name="Mouser SKU Prefix" totalsRowFunction="count"/>
  </tableColumns>
  <tableStyleInfo name="Home Inventory" showFirstColumn="1" showLastColumn="0" showRowStripes="1" showColumnStripes="1"/>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F0D1121-6D2E-4127-AFFC-4497DAD9010E}" name="RawListTable" displayName="RawListTable" ref="A3:N593" totalsRowCount="1" headerRowDxfId="1166" dataDxfId="1165">
  <autoFilter ref="A3:N592" xr:uid="{57EB1AFC-8A68-452F-A434-FB6A37C6CCD1}">
    <filterColumn colId="0">
      <filters>
        <filter val="Hardware Component"/>
        <filter val="Low-Level Electronics"/>
        <filter val="Primary Component"/>
        <filter val="Secondary Component"/>
        <filter val="Tools"/>
      </filters>
    </filterColumn>
    <filterColumn colId="1">
      <filters>
        <filter val="Audible Notification/Queuing"/>
        <filter val="BeagleBone Black Iot/Base Station"/>
        <filter val="Bluetooth"/>
        <filter val="Breadboard/Protoboard"/>
        <filter val="Buttons/Switches/Knobs"/>
        <filter val="Connectors, IDC"/>
        <filter val="Connectors, JST"/>
        <filter val="Connectors, Polarized (Molex)"/>
        <filter val="Connectors, Ribbon Crimp"/>
        <filter val="Connectors, Spring/Screw Terminals"/>
        <filter val="Connectors, USB"/>
        <filter val="Connectors/Sockets/Terminals, Other"/>
        <filter val="Data &amp; Signal Logging/Monitoring"/>
        <filter val="DIP/TO-#/SMD Components"/>
        <filter val="Enclosures/Mounts"/>
        <filter val="Energy Harvesting"/>
        <filter val="Flip-Pins"/>
        <filter val="GPS Logging/Fencing"/>
        <filter val="GSM/Cellular Communication"/>
        <filter val="Hand Tools"/>
        <filter val="Hardware Components/Accessories"/>
        <filter val="Headers, Female"/>
        <filter val="Headers, Male"/>
        <filter val="Headers, Stackable"/>
        <filter val="Heat Insulation/Dissipation"/>
        <filter val="High-Precision Compass"/>
        <filter val="Intel Edison Iot/Base Station"/>
        <filter val="Interface/Level/Logic Conversion"/>
        <filter val="Jumper Wires, DIY"/>
        <filter val="Jumper Wires, JST-PH"/>
        <filter val="Jumper Wires, JST-SH"/>
        <filter val="Jumper Wires, JST-SM"/>
        <filter val="Jumper Wires, Mixed"/>
        <filter val="Jumper Wires, Molex"/>
        <filter val="Jumper Wires, PTH"/>
        <filter val="LED Indicators/Lighting"/>
        <filter val="Lidar"/>
        <filter val="Linux + Arduino Home Base Station"/>
        <filter val="mBed Platform Base Station"/>
        <filter val="MCU/Development Board"/>
        <filter val="MicroView Watch/Relay"/>
        <filter val="Movement/IMU"/>
        <filter val="Onion Omega2+ + Arduino Base Station"/>
        <filter val="Onion Omega2+ Handheld"/>
        <filter val="Passive Components"/>
        <filter val="PCB/Breadboard Work Tools"/>
        <filter val="Phone/Computer App Companion"/>
        <filter val="Plastics Fabrication"/>
        <filter val="Plugs/Jacks/Adapters, Audio"/>
        <filter val="PogoPins"/>
        <filter val="Power Supply, Barrel Jack Cables/Adapters"/>
        <filter val="Power Supply, Barrel Jack Wall Wart"/>
        <filter val="Power Supply, Breadboard"/>
        <filter val="Power Supply, Control/Switch"/>
        <filter val="Power Supply, DIY Cables"/>
        <filter val="Power Supply, LiPO Battery Supply/Management"/>
        <filter val="Power Supply, USB + Barrel Jack"/>
        <filter val="Power Supply, USB Cables"/>
        <filter val="Power Supply, USB Wall Wart"/>
        <filter val="Proximity/Distance"/>
        <filter val="QWIIC System/Components"/>
        <filter val="Realtek Ameba Handheld"/>
        <filter val="Ribbon/IDC Cables"/>
        <filter val="Rotary Potentiometers/Encoders/Switches"/>
        <filter val="Signal Multiplexing/Conditioning"/>
        <filter val="Solder/SMD Rework Tools"/>
        <filter val="Solid/Stranded Hookup Wire"/>
        <filter val="Standoffs/Screws"/>
        <filter val="Storage/Organization"/>
        <filter val="Touch/Vibration"/>
        <filter val="Trace/Shielding Construction"/>
        <filter val="USB Cables/Adapters"/>
        <filter val="USB/Serial Interface Breakouts"/>
        <filter val="User Interface, IO"/>
        <filter val="User Interface, Touchscreen"/>
        <filter val="Vitals/Environment Sensing"/>
        <filter val="Vitals/Health Status Sensing"/>
        <filter val="Voice Recognition"/>
        <filter val="WiFi"/>
        <filter val="Wireless Charging"/>
      </filters>
    </filterColumn>
    <filterColumn colId="4">
      <filters>
        <filter val="1"/>
        <filter val="10"/>
        <filter val="15"/>
        <filter val="2"/>
        <filter val="20"/>
        <filter val="3"/>
        <filter val="4"/>
        <filter val="5"/>
        <filter val="6"/>
        <filter val="7"/>
        <filter val="8"/>
        <filter val="9"/>
      </filters>
    </filterColumn>
  </autoFilter>
  <tableColumns count="14">
    <tableColumn id="1" xr3:uid="{817B328E-4994-477E-9AED-000A65191FB6}" name="Type" totalsRowLabel="Total" dataDxfId="1164" totalsRowDxfId="1163"/>
    <tableColumn id="2" xr3:uid="{C2A2CFCE-5B87-4CD3-9427-5EA3B144A063}" name="Category" totalsRowFunction="count" dataDxfId="1162" totalsRowDxfId="1161"/>
    <tableColumn id="12" xr3:uid="{9AE831AF-1851-412A-9597-09EE0AF94F14}" name="Vendor" dataDxfId="1160" totalsRowDxfId="1159"/>
    <tableColumn id="3" xr3:uid="{6BBDFDBD-BE22-4E69-BCD3-1A37409DBF7D}" name="SKU" dataDxfId="1158" totalsRowDxfId="1157"/>
    <tableColumn id="4" xr3:uid="{9C75188B-DA5C-4F75-8E8D-2A79F55CC0E6}" name="Qty." totalsRowFunction="sum" dataDxfId="1156" totalsRowDxfId="1155"/>
    <tableColumn id="5" xr3:uid="{893C4050-D5DE-4677-AA49-DCD67FD4AABD}" name="URL" dataDxfId="1154" totalsRowDxfId="1153"/>
    <tableColumn id="6" xr3:uid="{3BB7C1C4-3FE0-4349-86B4-E5DC82BD7446}" name="Thumbnail Image" dataDxfId="1152" totalsRowDxfId="1151"/>
    <tableColumn id="7" xr3:uid="{D902478C-81DF-4B35-A9E9-5B17692980BE}" name="Name" dataDxfId="1150" totalsRowDxfId="1149"/>
    <tableColumn id="8" xr3:uid="{B882339A-4644-415E-A739-2D7282494845}" name="RoHS Compliance" dataDxfId="1148" totalsRowDxfId="1147"/>
    <tableColumn id="9" xr3:uid="{3F49A931-0D6B-4327-B869-CA4E8B5771C7}" name="Price (USD)" totalsRowFunction="average" dataDxfId="1146" totalsRowDxfId="1145"/>
    <tableColumn id="13" xr3:uid="{C4079F38-3586-4683-BA01-45EC5716FD50}" name="Tag" dataDxfId="1144" totalsRowDxfId="1143">
      <calculatedColumnFormula>#REF!</calculatedColumnFormula>
    </tableColumn>
    <tableColumn id="10" xr3:uid="{72A69442-6C68-4294-B2C6-7988F6101C7E}" name="Description/Comments" totalsRowFunction="count" dataDxfId="1142" totalsRowDxfId="1141"/>
    <tableColumn id="11" xr3:uid="{61A93700-664B-44C1-B6D0-A47E4ADC4B00}" name="Total Price" totalsRowFunction="sum" dataDxfId="1140" totalsRowDxfId="1139">
      <calculatedColumnFormula>E4*J4</calculatedColumnFormula>
    </tableColumn>
    <tableColumn id="14" xr3:uid="{0F0C3D8C-55FB-4408-8369-766E8796EBC4}" name="List #" totalsRowFunction="count" dataDxfId="1138" totalsRowDxfId="1137">
      <calculatedColumnFormula>IF($N3="List #",1,$N3+1)</calculatedColumnFormula>
    </tableColumn>
  </tableColumns>
  <tableStyleInfo name="Home Inventory" showFirstColumn="1" showLastColumn="1"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B229423-4E1F-414A-A0B3-679F69832E83}" name="MouserListTable" displayName="MouserListTable" ref="A13:Y648" totalsRowCount="1" headerRowDxfId="959" dataDxfId="958">
  <autoFilter ref="A13:Y647" xr:uid="{57EB1AFC-8A68-452F-A434-FB6A37C6CCD1}"/>
  <tableColumns count="25">
    <tableColumn id="1" xr3:uid="{96F92A1A-3779-4AA7-ACA7-F290E44AAD82}" name="Type" totalsRowLabel="Total" dataDxfId="957" totalsRowDxfId="956"/>
    <tableColumn id="2" xr3:uid="{5CC344E8-E6CC-4ADB-896E-26A3C4FFE79A}" name="Category" totalsRowFunction="count" dataDxfId="955" totalsRowDxfId="954"/>
    <tableColumn id="12" xr3:uid="{5416F2AE-182D-404A-B126-FE9D871097F0}" name="Vendor" dataDxfId="953" totalsRowDxfId="952"/>
    <tableColumn id="3" xr3:uid="{1AF7E4FC-0769-4D61-91A3-5E358BC64891}" name="SKU" dataDxfId="951" totalsRowDxfId="950">
      <calculatedColumnFormula>IF(MouserListTable[[#This Row],[Vendor]]=FilterSpecs!$A$8,MouserListTable[[#This Row],[Mouser SKU]], MouserListTable[[#This Row],[Supplier SKU]])</calculatedColumnFormula>
    </tableColumn>
    <tableColumn id="4" xr3:uid="{34F0A8B8-CCF3-4F52-8355-243E5166B0E4}" name="# Left" totalsRowFunction="sum" dataDxfId="949" totalsRowDxfId="948">
      <calculatedColumnFormula>MouserListTable[[#This Row],[Tot '#]]-MouserListTable[[#This Row],['# Initial]]</calculatedColumnFormula>
    </tableColumn>
    <tableColumn id="19" xr3:uid="{E29BD363-C542-4687-86D3-72C38867DF9D}" name="# Initial" dataDxfId="947" totalsRowDxfId="946">
      <calculatedColumnFormula>IF(AND(MouserListTable[[#This Row],[Tag]]&lt;&gt;FilterSpecs!$F$12, MouserListTable[[#This Row],[Tag]]&lt;&gt;FilterSpecs!$F$9), MouserListTable[[#This Row],['#/Unit]]*FilterSpecs!$B$3+MouserListTable[[#This Row],[Extra Initial]],0)</calculatedColumnFormula>
    </tableColumn>
    <tableColumn id="5" xr3:uid="{93E49FE3-0B18-4377-932B-17B2BDB77624}" name="URL" dataDxfId="945" totalsRowDxfId="944"/>
    <tableColumn id="6" xr3:uid="{5FF3ED26-80FB-410A-8900-C0CB453C113D}" name="Thumbnail Image" dataDxfId="943" totalsRowDxfId="942"/>
    <tableColumn id="7" xr3:uid="{A76FB469-81AD-4F64-8F8F-FF8EB7045804}" name="Name" dataDxfId="941" totalsRowDxfId="940"/>
    <tableColumn id="8" xr3:uid="{DA645A51-9EE0-420D-97AF-93B883C60F5F}" name="RoHS Compliance" dataDxfId="939" totalsRowDxfId="938"/>
    <tableColumn id="9" xr3:uid="{DF5DCB91-AC13-4004-BA13-665B698C4998}" name="Price (USD)" totalsRowFunction="average" dataDxfId="937" totalsRowDxfId="936"/>
    <tableColumn id="13" xr3:uid="{CBC54524-D441-465D-9B0F-C0D85FDA44D3}" name="Tag" dataDxfId="935" totalsRowDxfId="934">
      <calculatedColumnFormula>#REF!</calculatedColumnFormula>
    </tableColumn>
    <tableColumn id="10" xr3:uid="{9CB617C5-523C-4AAD-A2A1-3A0142461544}" name="Description/Comments" totalsRowFunction="count" dataDxfId="933" totalsRowDxfId="932"/>
    <tableColumn id="11" xr3:uid="{42CB7044-5E6E-4336-9AB4-BC97D2C948A0}" name="Total Price" totalsRowFunction="sum" dataDxfId="931" totalsRowDxfId="930">
      <calculatedColumnFormula>MouserListTable[[#This Row],['# Initial]]*MouserListTable[[#This Row],[Price (USD)]]</calculatedColumnFormula>
    </tableColumn>
    <tableColumn id="15" xr3:uid="{52FE682D-7148-4B04-BB71-2D5F54A9ACC5}" name="Supplier SKU" totalsRowFunction="count" dataDxfId="929" totalsRowDxfId="928"/>
    <tableColumn id="17" xr3:uid="{41B570B7-57D0-442B-97A7-00ABB990D83F}" name="List #" totalsRowFunction="max" dataDxfId="927" totalsRowDxfId="926">
      <calculatedColumnFormula>IF($P13="List #",1,$P13+1)</calculatedColumnFormula>
    </tableColumn>
    <tableColumn id="14" xr3:uid="{76EF8363-36F3-4B77-90B1-D640A2BF9C8E}" name="Supplier" dataDxfId="925" totalsRowDxfId="924"/>
    <tableColumn id="20" xr3:uid="{150A8BC2-1B29-4C2C-9121-930221899E0E}" name="Mouser SKU" dataDxfId="923" totalsRowDxfId="922">
      <calculatedColumnFormula>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calculatedColumnFormula>
    </tableColumn>
    <tableColumn id="16" xr3:uid="{041266D5-EE64-4177-8BB1-B1ABE7DE1DFB}" name="Column1" dataDxfId="921" totalsRowDxfId="920">
      <calculatedColumnFormula>HYPERLINK("https://www.mouser.com/ProductDetail/" &amp;MouserListTable[[#This Row],[Mouser SKU]])</calculatedColumnFormula>
    </tableColumn>
    <tableColumn id="22" xr3:uid="{695F525D-7304-4AF4-8FA9-C84455865511}" name="#/Unit" dataDxfId="919" totalsRowDxfId="918"/>
    <tableColumn id="23" xr3:uid="{AB09758A-497F-46C5-8D06-A8BA09533026}" name="Extra" dataDxfId="917" totalsRowDxfId="916"/>
    <tableColumn id="26" xr3:uid="{A1902C37-AD2D-4A47-8409-9A2489E93A26}" name="Extra Initial" dataDxfId="915" totalsRowDxfId="914"/>
    <tableColumn id="27" xr3:uid="{EBE042F8-1A36-4459-90C5-6116B231F7FC}" name="Tot #" dataDxfId="913" totalsRowDxfId="912">
      <calculatedColumnFormula>MouserListTable[[#This Row],['#/Unit]]*FilterSpecs!$C$3+MouserListTable[[#This Row],[Extra]]</calculatedColumnFormula>
    </tableColumn>
    <tableColumn id="28" xr3:uid="{F7248F43-2557-4412-8BEF-599E0C160EF4}" name="$/Unit" totalsRowFunction="sum" dataDxfId="911" totalsRowDxfId="910">
      <calculatedColumnFormula>IF(MouserListTable[[#This Row],[Tag]]=FilterSpecs!$F$7,MouserListTable[[#This Row],['#/Unit]]*MouserListTable[[#This Row],[Price (USD)]],0)</calculatedColumnFormula>
    </tableColumn>
    <tableColumn id="29" xr3:uid="{281DD742-64B3-4128-B34C-240F0FBDD8B8}" name="Total $" totalsRowFunction="sum" dataDxfId="909" totalsRowDxfId="908">
      <calculatedColumnFormula>MouserListTable[[#This Row],[Tot '#]]*MouserListTable[[#This Row],[Price (USD)]]</calculatedColumnFormula>
    </tableColumn>
  </tableColumns>
  <tableStyleInfo name="Home Inventory" showFirstColumn="1" showLastColumn="1"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37053E4-9A19-4B6C-854B-D30E96D35970}" name="Table12" displayName="Table12" ref="A651:C660" totalsRowCount="1" headerRowDxfId="907" dataDxfId="906" tableBorderDxfId="905">
  <autoFilter ref="A651:C659" xr:uid="{B02009A6-E19B-4996-8A7A-F9E6B408B03E}"/>
  <tableColumns count="3">
    <tableColumn id="1" xr3:uid="{F4C33379-D6E9-4EBE-920E-D5D7AE09B29B}" name="Cost Breakdown" totalsRowFunction="count" dataDxfId="904" totalsRowDxfId="903" dataCellStyle="Heading 1" totalsRowCellStyle="Item table heading">
      <calculatedColumnFormula>FilterSpecs!C6</calculatedColumnFormula>
    </tableColumn>
    <tableColumn id="2" xr3:uid="{F65F03DE-4605-4C1F-AD90-B905CFCD69A2}" name="Initial Order" totalsRowFunction="sum" dataDxfId="902" totalsRowDxfId="901" dataCellStyle="Heading 1" totalsRowCellStyle="Item table heading">
      <calculatedColumnFormula>SUMIF(MouserListTable[Type],"=" &amp; FilterSpecs!$C6,MouserListTable[Total Price])</calculatedColumnFormula>
    </tableColumn>
    <tableColumn id="3" xr3:uid="{1202E549-D89C-41A0-85DC-3482D97E1145}" name="Total Order" totalsRowFunction="sum" dataDxfId="900" totalsRowDxfId="899" dataCellStyle="Heading 1" totalsRowCellStyle="Item table heading">
      <calculatedColumnFormula>SUMIF(MouserListTable[Type],"=" &amp; FilterSpecs!$C6,MouserListTable[Total $])</calculatedColumnFormula>
    </tableColumn>
  </tableColumns>
  <tableStyleInfo name="Home Inventory" showFirstColumn="1" showLastColumn="0" showRowStripes="1" showColumnStripes="1"/>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17972EC-18B5-4471-B63B-98416F9D7C42}" name="InitialOrderTable" displayName="InitialOrderTable" ref="A13:Y648" totalsRowCount="1" headerRowDxfId="705" dataDxfId="704">
  <autoFilter ref="A13:Y647" xr:uid="{57EB1AFC-8A68-452F-A434-FB6A37C6CCD1}"/>
  <tableColumns count="25">
    <tableColumn id="1" xr3:uid="{46AA4E0B-92AB-4817-B4BB-FF0FB529F8F1}" name="Type" totalsRowLabel="Total" dataDxfId="703" totalsRowDxfId="702"/>
    <tableColumn id="2" xr3:uid="{415EAF50-7C36-42CB-B1AD-F60999D8D1BA}" name="Category" totalsRowFunction="count" dataDxfId="701" totalsRowDxfId="700"/>
    <tableColumn id="12" xr3:uid="{1D5192E2-7EE1-4860-9B69-07AE26126057}" name="Vendor" dataDxfId="699" totalsRowDxfId="698"/>
    <tableColumn id="3" xr3:uid="{76C675AB-0E96-4338-A06D-AB95444D6130}" name="SKU" dataDxfId="697" totalsRowDxfId="696">
      <calculatedColumnFormula>IF(MouserListTable[[#This Row],[Vendor]]=FilterSpecs!$A$8,MouserListTable[[#This Row],[Mouser SKU]], MouserListTable[[#This Row],[Supplier SKU]])</calculatedColumnFormula>
    </tableColumn>
    <tableColumn id="4" xr3:uid="{A91D9491-3FFE-4B6F-9918-902AC1EFBAD9}" name="# Left" totalsRowFunction="sum" dataDxfId="695" totalsRowDxfId="694">
      <calculatedColumnFormula>MouserListTable[[#This Row],[Tot '#]]-MouserListTable[[#This Row],['# Initial]]</calculatedColumnFormula>
    </tableColumn>
    <tableColumn id="19" xr3:uid="{F333A665-3CAF-4312-8F48-4FAFA50926E0}" name="# Initial" dataDxfId="693" totalsRowDxfId="692"/>
    <tableColumn id="5" xr3:uid="{8348621B-156F-44CF-8A06-1E250616D8DD}" name="URL" dataDxfId="691" totalsRowDxfId="690"/>
    <tableColumn id="6" xr3:uid="{16C58633-7FAB-4FD0-92D7-2F15CFE3F1E1}" name="Thumbnail Image" dataDxfId="689" totalsRowDxfId="688"/>
    <tableColumn id="7" xr3:uid="{C08F202B-648D-49F1-951D-67BDD0DEF58F}" name="Name" dataDxfId="687" totalsRowDxfId="686"/>
    <tableColumn id="8" xr3:uid="{845C9EE4-CC28-4F9E-9C87-BD99EC89474A}" name="RoHS Compliance" dataDxfId="685" totalsRowDxfId="684"/>
    <tableColumn id="9" xr3:uid="{1D7D2837-0D37-409C-BAE0-3ED4649519B1}" name="Price (USD)" totalsRowFunction="average" dataDxfId="683" totalsRowDxfId="682"/>
    <tableColumn id="13" xr3:uid="{3C750568-B220-40D5-8F93-FD26F41C61F5}" name="Tag" dataDxfId="681" totalsRowDxfId="680"/>
    <tableColumn id="10" xr3:uid="{3210AE88-77B1-4AE0-996A-1207FB849D82}" name="Description/Comments" totalsRowFunction="count" dataDxfId="679" totalsRowDxfId="678"/>
    <tableColumn id="11" xr3:uid="{3B4A7034-D7DC-4B20-8E28-0746E0277AD1}" name="Total Price" totalsRowFunction="sum" dataDxfId="677" totalsRowDxfId="676">
      <calculatedColumnFormula>MouserListTable[[#This Row],['# Initial]]*MouserListTable[[#This Row],[Price (USD)]]</calculatedColumnFormula>
    </tableColumn>
    <tableColumn id="15" xr3:uid="{811383D1-FF9C-4AE9-BA60-5AE7656E2C66}" name="Supplier SKU" totalsRowFunction="count" dataDxfId="675" totalsRowDxfId="674"/>
    <tableColumn id="17" xr3:uid="{989962BD-4178-4DA4-89C8-5DFBA36CED8B}" name="List #" totalsRowFunction="max" dataDxfId="673" totalsRowDxfId="672"/>
    <tableColumn id="14" xr3:uid="{0CEF39FD-75B9-40BD-A7EB-191C5873AFCF}" name="Supplier" dataDxfId="671" totalsRowDxfId="670"/>
    <tableColumn id="20" xr3:uid="{A9911914-83DE-4447-8430-DA6853E87CE9}" name="Mouser SKU" dataDxfId="669" totalsRowDxfId="668">
      <calculatedColumnFormula>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calculatedColumnFormula>
    </tableColumn>
    <tableColumn id="16" xr3:uid="{5720EEF7-3C16-4459-BB2E-26431D2B011B}" name="Column1" dataDxfId="667" totalsRowDxfId="666" dataCellStyle="Hyperlink">
      <calculatedColumnFormula>HYPERLINK("https://www.mouser.com/ProductDetail/" &amp;MouserListTable[[#This Row],[Mouser SKU]])</calculatedColumnFormula>
    </tableColumn>
    <tableColumn id="22" xr3:uid="{437589C7-44F8-402C-A41E-DE78D9EDFB03}" name="#/Unit" dataDxfId="665" totalsRowDxfId="664"/>
    <tableColumn id="23" xr3:uid="{D92736CE-D290-4098-8F8C-A7449F1ACAE9}" name="Extra" dataDxfId="663" totalsRowDxfId="662"/>
    <tableColumn id="26" xr3:uid="{1108E55E-13A0-4371-B553-DCD845BADD93}" name="Extra Initial" dataDxfId="661" totalsRowDxfId="660"/>
    <tableColumn id="27" xr3:uid="{AEB7BE18-1D03-4479-94F3-70EDCD8D5D8D}" name="Tot #" dataDxfId="659" totalsRowDxfId="658"/>
    <tableColumn id="28" xr3:uid="{406676BE-5FEB-4D19-ACC2-BCE1E8FC83A9}" name="$/Unit" totalsRowFunction="sum" dataDxfId="657" totalsRowDxfId="656"/>
    <tableColumn id="29" xr3:uid="{BF327A25-B62B-4F4C-99C6-91B95D143BC0}" name="Total $" totalsRowFunction="sum" dataDxfId="655" totalsRowDxfId="654"/>
  </tableColumns>
  <tableStyleInfo name="Home Inventory" showFirstColumn="1" showLastColumn="1"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9EA18FD-F8CD-4928-B82E-38154D7A3EE9}" name="Table1216" displayName="Table1216" ref="A649:C658" totalsRowCount="1" headerRowDxfId="653" dataDxfId="652" tableBorderDxfId="651">
  <autoFilter ref="A649:C657" xr:uid="{B02009A6-E19B-4996-8A7A-F9E6B408B03E}"/>
  <tableColumns count="3">
    <tableColumn id="1" xr3:uid="{BC9CD5F9-4633-4623-B9DD-CFC822E01555}" name="Cost Breakdown" totalsRowFunction="count" dataDxfId="650" totalsRowDxfId="649" dataCellStyle="Heading 1" totalsRowCellStyle="Item table heading"/>
    <tableColumn id="2" xr3:uid="{9712A2DE-E2D0-429B-8E1B-9A7A1A4BB6DE}" name="Initial Order" totalsRowFunction="sum" dataDxfId="648" totalsRowDxfId="647" dataCellStyle="Heading 1" totalsRowCellStyle="Item table heading"/>
    <tableColumn id="3" xr3:uid="{713E3ED5-CB6D-43BA-8077-42FF47E6501F}" name="Total Order" totalsRowFunction="sum" dataDxfId="646" totalsRowDxfId="645" dataCellStyle="Heading 1" totalsRowCellStyle="Item table heading"/>
  </tableColumns>
  <tableStyleInfo name="Home Inventory" showFirstColumn="1" showLastColumn="0" showRowStripes="1" showColumnStripes="1"/>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B87F405-5170-470C-A293-F11A2D584B2F}" name="InitialOrderTable2" displayName="InitialOrderTable2" ref="A13:Y648" totalsRowCount="1" headerRowDxfId="451" dataDxfId="450">
  <autoFilter ref="A13:Y647" xr:uid="{57EB1AFC-8A68-452F-A434-FB6A37C6CCD1}"/>
  <tableColumns count="25">
    <tableColumn id="1" xr3:uid="{1CA57F1B-6302-4814-AEDF-AA7C06AB75FA}" name="Type" totalsRowLabel="Total" dataDxfId="449" totalsRowDxfId="448"/>
    <tableColumn id="2" xr3:uid="{D2C1BD56-811D-45CF-82DA-01507A5BE89D}" name="Category" totalsRowFunction="count" dataDxfId="447" totalsRowDxfId="446"/>
    <tableColumn id="12" xr3:uid="{B9A293A7-63FD-4E7A-BB31-22A8B8E29D31}" name="Vendor" dataDxfId="445" totalsRowDxfId="444"/>
    <tableColumn id="3" xr3:uid="{16AA40B6-59B7-4C3E-9BB4-43D831054DE8}" name="SKU" dataDxfId="443" totalsRowDxfId="442">
      <calculatedColumnFormula>IF(MouserListTable[[#This Row],[Vendor]]=FilterSpecs!$A$8,MouserListTable[[#This Row],[Mouser SKU]], MouserListTable[[#This Row],[Supplier SKU]])</calculatedColumnFormula>
    </tableColumn>
    <tableColumn id="4" xr3:uid="{8FD3D936-22C6-419F-AEFB-FC57464A5A62}" name="# Left" totalsRowFunction="sum" dataDxfId="441" totalsRowDxfId="440">
      <calculatedColumnFormula>MouserListTable[[#This Row],[Tot '#]]-MouserListTable[[#This Row],['# Initial]]</calculatedColumnFormula>
    </tableColumn>
    <tableColumn id="19" xr3:uid="{66341F84-4C1A-4D01-A512-A785EB9D2B1F}" name="# Initial" dataDxfId="439" totalsRowDxfId="438"/>
    <tableColumn id="5" xr3:uid="{90FB7702-916C-4C49-AF5A-7B8D3DE27F45}" name="URL" dataDxfId="437" totalsRowDxfId="436"/>
    <tableColumn id="6" xr3:uid="{1F9650D0-E08B-4647-B430-29E0B37A6207}" name="Thumbnail Image" dataDxfId="435" totalsRowDxfId="434"/>
    <tableColumn id="7" xr3:uid="{0A2EFAA5-1796-469F-BB6A-6506E0DB86EE}" name="Name" dataDxfId="433" totalsRowDxfId="432"/>
    <tableColumn id="8" xr3:uid="{EA6DAA17-1E51-4F8E-B577-5F34ED2EC584}" name="RoHS Compliance" dataDxfId="431" totalsRowDxfId="430"/>
    <tableColumn id="9" xr3:uid="{5644BCD4-A385-4B1A-AF2F-959C4D8B3146}" name="Price (USD)" totalsRowFunction="average" dataDxfId="429" totalsRowDxfId="428"/>
    <tableColumn id="13" xr3:uid="{7CEDA96E-D241-4F3E-87DB-5A957422DA5C}" name="Tag" dataDxfId="427" totalsRowDxfId="426"/>
    <tableColumn id="10" xr3:uid="{FC8C51A5-CDA1-4DD1-AF5A-89C3C30B1B5E}" name="Description/Comments" totalsRowFunction="count" dataDxfId="425" totalsRowDxfId="424"/>
    <tableColumn id="11" xr3:uid="{EBE32B3F-3C3F-4100-B315-1D05AB9D0D0E}" name="Total Price" totalsRowFunction="sum" dataDxfId="423" totalsRowDxfId="422">
      <calculatedColumnFormula>MouserListTable[[#This Row],['# Initial]]*MouserListTable[[#This Row],[Price (USD)]]</calculatedColumnFormula>
    </tableColumn>
    <tableColumn id="15" xr3:uid="{83487122-0244-49CC-B0A5-9904781BA627}" name="Supplier SKU" totalsRowFunction="count" dataDxfId="421" totalsRowDxfId="420"/>
    <tableColumn id="17" xr3:uid="{564FCF52-7D8B-4362-9300-C0EB146D3D14}" name="List #" totalsRowFunction="max" dataDxfId="419" totalsRowDxfId="418"/>
    <tableColumn id="14" xr3:uid="{8ED1E4F3-F93A-49AC-9456-D812A767680A}" name="Supplier" dataDxfId="417" totalsRowDxfId="416"/>
    <tableColumn id="20" xr3:uid="{5072207E-A09A-443C-85E4-D6C06E182855}" name="Mouser SKU" dataDxfId="415" totalsRowDxfId="414">
      <calculatedColumnFormula>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calculatedColumnFormula>
    </tableColumn>
    <tableColumn id="16" xr3:uid="{E75622D4-A9E8-444F-8099-75684E8CADD2}" name="Column1" dataDxfId="413" totalsRowDxfId="412" dataCellStyle="Hyperlink">
      <calculatedColumnFormula>HYPERLINK("https://www.mouser.com/ProductDetail/" &amp;MouserListTable[[#This Row],[Mouser SKU]])</calculatedColumnFormula>
    </tableColumn>
    <tableColumn id="22" xr3:uid="{6F8975AA-DC95-4627-B444-DFFAF919896E}" name="#/Unit" dataDxfId="411" totalsRowDxfId="410"/>
    <tableColumn id="23" xr3:uid="{FF9DC2D4-1E6F-4DE1-B991-65A68B927C14}" name="Extra" dataDxfId="409" totalsRowDxfId="408"/>
    <tableColumn id="26" xr3:uid="{E1B9D7E1-6C9B-4741-9571-585580E4A3D0}" name="Extra Initial" dataDxfId="407" totalsRowDxfId="406"/>
    <tableColumn id="27" xr3:uid="{74E8DC06-E118-4D7C-9F19-F9F61DDB2966}" name="Tot #" dataDxfId="405" totalsRowDxfId="404"/>
    <tableColumn id="28" xr3:uid="{E4EC21F1-A18E-4DF0-9A18-7D0E31E466A0}" name="$/Unit" totalsRowFunction="sum" dataDxfId="403" totalsRowDxfId="402"/>
    <tableColumn id="29" xr3:uid="{DEF1D9D0-95B9-4C86-918F-9C313799C84A}" name="Total $" totalsRowFunction="sum" dataDxfId="401" totalsRowDxfId="400"/>
  </tableColumns>
  <tableStyleInfo name="Home Inventory" showFirstColumn="1" showLastColumn="1"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A940C85-34D9-4761-8C13-30B2102E3191}" name="Table121614" displayName="Table121614" ref="A649:C658" totalsRowCount="1" headerRowDxfId="399" dataDxfId="398" tableBorderDxfId="397">
  <autoFilter ref="A649:C657" xr:uid="{B02009A6-E19B-4996-8A7A-F9E6B408B03E}"/>
  <tableColumns count="3">
    <tableColumn id="1" xr3:uid="{57FF4FA9-889E-4970-9BF8-8C1F397ECE51}" name="Cost Breakdown" totalsRowFunction="count" dataDxfId="396" totalsRowDxfId="395" dataCellStyle="Heading 1" totalsRowCellStyle="Item table heading">
      <calculatedColumnFormula>FilterSpecs!C6</calculatedColumnFormula>
    </tableColumn>
    <tableColumn id="2" xr3:uid="{A174BE56-AE5E-4032-9664-4D965CD17124}" name="Initial Order" totalsRowFunction="sum" dataDxfId="394" totalsRowDxfId="393" dataCellStyle="Heading 1" totalsRowCellStyle="Item table heading">
      <calculatedColumnFormula>SUMIF(InitialOrderTable2[Type],"=" &amp; FilterSpecs!$C6,InitialOrderTable2[Total Price])</calculatedColumnFormula>
    </tableColumn>
    <tableColumn id="3" xr3:uid="{29B68F72-619A-4855-B588-571087362537}" name="Total Order" totalsRowFunction="sum" dataDxfId="392" totalsRowDxfId="391" dataCellStyle="Heading 1" totalsRowCellStyle="Item table heading">
      <calculatedColumnFormula>SUMIF(InitialOrderTable2[Type],"=" &amp; FilterSpecs!$C6,InitialOrderTable2[Total $])</calculatedColumnFormula>
    </tableColumn>
  </tableColumns>
  <tableStyleInfo name="Home Inventory" showFirstColumn="1" showLastColumn="0" showRowStripes="1" showColumnStripes="1"/>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4847A719-EDAB-4407-9000-35BAA40ED4D6}" name="SparkfunListTable" displayName="SparkfunListTable" ref="A13:Y146" totalsRowCount="1" headerRowDxfId="349" dataDxfId="348">
  <autoFilter ref="A13:Y145" xr:uid="{57EB1AFC-8A68-452F-A434-FB6A37C6CCD1}"/>
  <tableColumns count="25">
    <tableColumn id="1" xr3:uid="{81AC419A-2B7D-4CC1-ABDC-5FD8E5FA3B48}" name="Type" totalsRowLabel="Total" dataDxfId="347" totalsRowDxfId="346"/>
    <tableColumn id="2" xr3:uid="{08674502-4566-41BE-9BC2-F1F1A7274734}" name="Category" totalsRowFunction="count" dataDxfId="345" totalsRowDxfId="344"/>
    <tableColumn id="12" xr3:uid="{B00B268E-19D2-4CB8-9268-FCEEA6F499BB}" name="Vendor" dataDxfId="343" totalsRowDxfId="342"/>
    <tableColumn id="3" xr3:uid="{E939B2EE-D1FD-4DDB-AF7A-520D6710CB1B}" name="SKU" dataDxfId="341" totalsRowDxfId="340">
      <calculatedColumnFormula>IF(SparkfunListTable[[#This Row],[Vendor]]=FilterSpecs!$A$8,SparkfunListTable[[#This Row],[Mouser SKU]], SparkfunListTable[[#This Row],[Supplier SKU]])</calculatedColumnFormula>
    </tableColumn>
    <tableColumn id="4" xr3:uid="{18B6E369-A580-450B-808B-58D082C71880}" name="# Left" totalsRowFunction="sum" dataDxfId="339" totalsRowDxfId="338">
      <calculatedColumnFormula>SparkfunListTable[[#This Row],[Tot '#]]-SparkfunListTable[[#This Row],['# Initial]]</calculatedColumnFormula>
    </tableColumn>
    <tableColumn id="19" xr3:uid="{36B37FA0-5D25-4A07-9B35-9E970E4B1D8E}" name="# Initial" dataDxfId="337" totalsRowDxfId="336">
      <calculatedColumnFormula>IF(AND(SparkfunListTable[[#This Row],[Tag]]&lt;&gt;FilterSpecs!$F$12, SparkfunListTable[[#This Row],[Tag]]&lt;&gt;FilterSpecs!$F$9), SparkfunListTable[[#This Row],['#/Unit]]*FilterSpecs!$B$3+SparkfunListTable[[#This Row],[Extra Initial]],0)</calculatedColumnFormula>
    </tableColumn>
    <tableColumn id="5" xr3:uid="{4695BAD2-9C57-40D8-9803-5D4ED6C25DEF}" name="URL" dataDxfId="335" totalsRowDxfId="334"/>
    <tableColumn id="6" xr3:uid="{AD50803E-A74B-4088-BB33-B5C8DCDB1370}" name="Thumbnail Image" dataDxfId="333" totalsRowDxfId="332"/>
    <tableColumn id="7" xr3:uid="{B5A8EBDE-CE7F-48B4-BF3F-DC7DE96E80F6}" name="Name" dataDxfId="331" totalsRowDxfId="330"/>
    <tableColumn id="8" xr3:uid="{5ED1B97B-726D-44B7-A478-41D4EDD573A7}" name="RoHS Compliance" dataDxfId="329" totalsRowDxfId="328"/>
    <tableColumn id="9" xr3:uid="{B96ABB90-6593-47B0-80A4-B8A2CFB19CA8}" name="Price (USD)" totalsRowFunction="average" dataDxfId="327" totalsRowDxfId="326"/>
    <tableColumn id="13" xr3:uid="{D6DEFF5A-0A3B-4677-921A-D6E791BA461E}" name="Tag" dataDxfId="325" totalsRowDxfId="324">
      <calculatedColumnFormula>#REF!</calculatedColumnFormula>
    </tableColumn>
    <tableColumn id="10" xr3:uid="{4FCD25F9-18EC-482B-8BD3-5F03C9F6E3C9}" name="Description/Comments" totalsRowFunction="count" dataDxfId="323" totalsRowDxfId="322"/>
    <tableColumn id="11" xr3:uid="{B289EE90-A2AD-4EB8-A610-41C3D505DC48}" name="Total Price" totalsRowFunction="sum" dataDxfId="321" totalsRowDxfId="320">
      <calculatedColumnFormula>SparkfunListTable[[#This Row],['# Initial]]*SparkfunListTable[[#This Row],[Price (USD)]]</calculatedColumnFormula>
    </tableColumn>
    <tableColumn id="15" xr3:uid="{FD11C40F-6C85-47C1-BE33-3C4DBF0F1423}" name="Supplier SKU" totalsRowFunction="count" dataDxfId="319" totalsRowDxfId="318"/>
    <tableColumn id="17" xr3:uid="{874D5DCC-78B6-423D-8397-14C6D038AC4D}" name="List #" totalsRowFunction="max" dataDxfId="317" totalsRowDxfId="316">
      <calculatedColumnFormula>IF($P13="List #",1,$P13+1)</calculatedColumnFormula>
    </tableColumn>
    <tableColumn id="14" xr3:uid="{CBF37DFA-8C1F-4BA8-8FE7-8E08050AEC46}" name="Supplier" dataDxfId="315" totalsRowDxfId="314"/>
    <tableColumn id="20" xr3:uid="{F84EAD06-7EFA-4B64-8514-430AA04DD4EE}" name="Mouser SKU" dataDxfId="313" totalsRowDxfId="312">
      <calculatedColumnFormula>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calculatedColumnFormula>
    </tableColumn>
    <tableColumn id="16" xr3:uid="{39A4079C-4DB9-44D9-9932-41590D914592}" name="Column1" dataDxfId="311" totalsRowDxfId="310">
      <calculatedColumnFormula>HYPERLINK("https://www.mouser.com/ProductDetail/" &amp;SparkfunListTable[[#This Row],[Mouser SKU]])</calculatedColumnFormula>
    </tableColumn>
    <tableColumn id="22" xr3:uid="{00BB572C-7F71-42A3-8DEC-6BB7CD6EF5E6}" name="#/Unit" dataDxfId="309" totalsRowDxfId="308"/>
    <tableColumn id="23" xr3:uid="{47F58F93-86A4-4E26-B644-ABB7267368F5}" name="Extra" dataDxfId="307" totalsRowDxfId="306"/>
    <tableColumn id="26" xr3:uid="{2178F4AC-1A6E-4D4C-9BE1-97D262ECE426}" name="Extra Initial" dataDxfId="305" totalsRowDxfId="304"/>
    <tableColumn id="27" xr3:uid="{F9740C19-603F-453D-8016-9C41D20C5802}" name="Tot #" dataDxfId="303" totalsRowDxfId="302">
      <calculatedColumnFormula>SparkfunListTable[[#This Row],['#/Unit]]*FilterSpecs!$C$3+SparkfunListTable[[#This Row],[Extra]]</calculatedColumnFormula>
    </tableColumn>
    <tableColumn id="28" xr3:uid="{A5F3DC2D-838B-409C-A2B3-16B198746DD7}" name="$/Unit" totalsRowFunction="sum" dataDxfId="301" totalsRowDxfId="300">
      <calculatedColumnFormula>IF(SparkfunListTable[[#This Row],[Tag]]=FilterSpecs!$F$7,SparkfunListTable[[#This Row],['#/Unit]]*SparkfunListTable[[#This Row],[Price (USD)]],0)</calculatedColumnFormula>
    </tableColumn>
    <tableColumn id="29" xr3:uid="{749B23D2-8A6D-4121-8157-BA94C534D3E1}" name="Total $" totalsRowFunction="sum" dataDxfId="299" totalsRowDxfId="298">
      <calculatedColumnFormula>SparkfunListTable[[#This Row],[Tot '#]]*SparkfunListTable[[#This Row],[Price (USD)]]</calculatedColumnFormula>
    </tableColumn>
  </tableColumns>
  <tableStyleInfo name="Home Inventory" showFirstColumn="1" showLastColumn="1"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794CFD2-8CDA-46FA-A825-7BCA3CAAADF2}" name="Table121625" displayName="Table121625" ref="A149:C158" totalsRowCount="1" headerRowDxfId="297" dataDxfId="296" tableBorderDxfId="295">
  <autoFilter ref="A149:C157" xr:uid="{B02009A6-E19B-4996-8A7A-F9E6B408B03E}"/>
  <tableColumns count="3">
    <tableColumn id="1" xr3:uid="{0FB349ED-29B0-446D-9F65-925AB1792FAA}" name="Cost Breakdown" totalsRowFunction="count" dataDxfId="294" totalsRowDxfId="293" dataCellStyle="Heading 1" totalsRowCellStyle="Item table heading">
      <calculatedColumnFormula>FilterSpecs!C6</calculatedColumnFormula>
    </tableColumn>
    <tableColumn id="2" xr3:uid="{8C83D6B6-B6FE-4D11-9290-B63FAEF481B4}" name="Initial Order" totalsRowFunction="sum" dataDxfId="292" totalsRowDxfId="291" dataCellStyle="Heading 1" totalsRowCellStyle="Item table heading">
      <calculatedColumnFormula>SUMIF(SparkfunListTable[Type],"=" &amp; FilterSpecs!$C6,SparkfunListTable[Total Price])</calculatedColumnFormula>
    </tableColumn>
    <tableColumn id="3" xr3:uid="{E5F65BB1-84E0-4AE1-9EC7-8DE2D8895EF2}" name="Total Order" totalsRowFunction="sum" dataDxfId="290" totalsRowDxfId="289" dataCellStyle="Heading 1" totalsRowCellStyle="Item table heading">
      <calculatedColumnFormula>SUMIF(SparkfunListTable[Type],"=" &amp; FilterSpecs!$C6,SparkfunListTable[Total $])</calculatedColumnFormula>
    </tableColumn>
  </tableColumns>
  <tableStyleInfo name="Home Inventory" showFirstColumn="1" showLastColumn="0" showRowStripes="1" showColumnStripes="1"/>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686D9E79-475F-4359-9288-7BF4888EF0FB}" name="AdafruitListTable" displayName="AdafruitListTable" ref="A13:Y200" totalsRowCount="1" headerRowDxfId="231" dataDxfId="230">
  <autoFilter ref="A13:Y199" xr:uid="{57EB1AFC-8A68-452F-A434-FB6A37C6CCD1}"/>
  <tableColumns count="25">
    <tableColumn id="1" xr3:uid="{C02701FF-EE0D-4268-848E-AB3E4D388869}" name="Type" totalsRowLabel="Total" dataDxfId="229" totalsRowDxfId="228"/>
    <tableColumn id="2" xr3:uid="{9283DD0D-F580-4EAB-AF82-038309EA91F7}" name="Category" totalsRowFunction="count" dataDxfId="227" totalsRowDxfId="226"/>
    <tableColumn id="12" xr3:uid="{2CC98A3B-3F14-4F57-BB1A-6EC12FF325A2}" name="Vendor" dataDxfId="225" totalsRowDxfId="224"/>
    <tableColumn id="3" xr3:uid="{81A19E73-7B3F-407D-B2AA-3703B88B5FB5}" name="SKU" dataDxfId="223" totalsRowDxfId="222">
      <calculatedColumnFormula>IF(AdafruitListTable[[#This Row],[Vendor]]=FilterSpecs!$A$8,AdafruitListTable[[#This Row],[Mouser SKU]], AdafruitListTable[[#This Row],[Supplier SKU]])</calculatedColumnFormula>
    </tableColumn>
    <tableColumn id="4" xr3:uid="{053C1130-80F0-4B52-BB8B-8A910F108298}" name="# Left" totalsRowFunction="sum" dataDxfId="221" totalsRowDxfId="220">
      <calculatedColumnFormula>MouserListTable[[#This Row],[Tot '#]]-MouserListTable[[#This Row],['# Initial]]</calculatedColumnFormula>
    </tableColumn>
    <tableColumn id="19" xr3:uid="{32A103D8-1EBF-4EBE-8941-DEFD6C84E555}" name="# Initial" dataDxfId="219" totalsRowDxfId="218">
      <calculatedColumnFormula>IF(AND(MouserListTable[[#This Row],[Tag]]&lt;&gt;FilterSpecs!$F$12, MouserListTable[[#This Row],[Tag]]&lt;&gt;FilterSpecs!$F$9), MouserListTable[[#This Row],['#/Unit]]*FilterSpecs!$B$3+MouserListTable[[#This Row],[Extra Initial]],0)</calculatedColumnFormula>
    </tableColumn>
    <tableColumn id="5" xr3:uid="{69010CB6-058A-4B77-B569-C62C17BA9D08}" name="URL" dataDxfId="217" totalsRowDxfId="216"/>
    <tableColumn id="6" xr3:uid="{5D7CD3AA-7E63-4A68-99CB-4759F8ACC12A}" name="Thumbnail Image" dataDxfId="215" totalsRowDxfId="214"/>
    <tableColumn id="7" xr3:uid="{7A6A8351-ECD5-45D6-9FE2-8BC2FE896DBD}" name="Name" dataDxfId="213" totalsRowDxfId="212"/>
    <tableColumn id="8" xr3:uid="{ADE866F7-510D-40A1-BC8A-8EAF98374E54}" name="RoHS Compliance" dataDxfId="211" totalsRowDxfId="210"/>
    <tableColumn id="9" xr3:uid="{2BA5ACD6-02CF-4105-8F97-694F2A3F9E00}" name="Price (USD)" totalsRowFunction="average" dataDxfId="209" totalsRowDxfId="208"/>
    <tableColumn id="13" xr3:uid="{52AB31E3-F295-47FE-BC79-A263767C13DE}" name="Tag" dataDxfId="207" totalsRowDxfId="206">
      <calculatedColumnFormula>#REF!</calculatedColumnFormula>
    </tableColumn>
    <tableColumn id="10" xr3:uid="{CA79908A-8702-498A-A106-86A941123930}" name="Description/Comments" totalsRowFunction="count" dataDxfId="205" totalsRowDxfId="204"/>
    <tableColumn id="11" xr3:uid="{F33F1ABB-F1F0-432E-B690-23F9E45739E0}" name="Total Price" totalsRowFunction="sum" dataDxfId="203" totalsRowDxfId="202">
      <calculatedColumnFormula>MouserListTable[[#This Row],['# Initial]]*MouserListTable[[#This Row],[Price (USD)]]</calculatedColumnFormula>
    </tableColumn>
    <tableColumn id="15" xr3:uid="{115A4331-4D47-4AD7-9D38-6E499598FCB5}" name="Supplier SKU" totalsRowFunction="count" dataDxfId="201" totalsRowDxfId="200"/>
    <tableColumn id="17" xr3:uid="{771BC027-9239-4DB8-9512-261AA724C5C3}" name="List #" totalsRowFunction="max" dataDxfId="199" totalsRowDxfId="198">
      <calculatedColumnFormula>IF($P13="List #",1,$P13+1)</calculatedColumnFormula>
    </tableColumn>
    <tableColumn id="14" xr3:uid="{DB3B56EB-13B2-4CA1-B734-E6000A0A2FA1}" name="Supplier" dataDxfId="197" totalsRowDxfId="196"/>
    <tableColumn id="20" xr3:uid="{DE2C870B-9146-4BA5-BCA6-76CB70FF7A8D}" name="Mouser SKU" dataDxfId="195" totalsRowDxfId="194">
      <calculatedColumnFormula>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calculatedColumnFormula>
    </tableColumn>
    <tableColumn id="16" xr3:uid="{5B455A42-2971-4954-8A16-B06BE42DDFA3}" name="Column1" dataDxfId="193" totalsRowDxfId="192">
      <calculatedColumnFormula>HYPERLINK("https://www.mouser.com/ProductDetail/" &amp;MouserListTable[[#This Row],[Mouser SKU]])</calculatedColumnFormula>
    </tableColumn>
    <tableColumn id="22" xr3:uid="{AE1EA31B-C2B9-43B0-B2D7-7E85959A5BCD}" name="#/Unit" dataDxfId="191" totalsRowDxfId="190"/>
    <tableColumn id="23" xr3:uid="{17ADEED2-48D6-4F9A-A920-A7A3A9AEC85D}" name="Extra" dataDxfId="189" totalsRowDxfId="188"/>
    <tableColumn id="26" xr3:uid="{E47AEA4D-6E57-4EF7-9F42-13E368043B3C}" name="Extra Initial" dataDxfId="187" totalsRowDxfId="186"/>
    <tableColumn id="27" xr3:uid="{AABEBD0A-9583-4E1D-9BF6-5CE7C355556A}" name="Tot #" dataDxfId="185" totalsRowDxfId="184">
      <calculatedColumnFormula>MouserListTable[[#This Row],['#/Unit]]*FilterSpecs!$C$3+MouserListTable[[#This Row],[Extra]]</calculatedColumnFormula>
    </tableColumn>
    <tableColumn id="28" xr3:uid="{390107D7-D724-4456-BD65-CA66EA4AB034}" name="$/Unit" totalsRowFunction="sum" dataDxfId="183" totalsRowDxfId="182">
      <calculatedColumnFormula>IF(MouserListTable[[#This Row],[Tag]]=FilterSpecs!$F$7,MouserListTable[[#This Row],['#/Unit]]*MouserListTable[[#This Row],[Price (USD)]],0)</calculatedColumnFormula>
    </tableColumn>
    <tableColumn id="29" xr3:uid="{E2546149-7ACD-4693-85C4-B02F3CEBE299}" name="Total $" totalsRowFunction="sum" dataDxfId="181" totalsRowDxfId="180">
      <calculatedColumnFormula>MouserListTable[[#This Row],[Tot '#]]*MouserListTable[[#This Row],[Price (USD)]]</calculatedColumnFormula>
    </tableColumn>
  </tableColumns>
  <tableStyleInfo name="Home Inventory" showFirstColumn="1" showLastColumn="1"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4A9287E2-F522-4546-8FCC-6149A533BCD8}" name="Table121627" displayName="Table121627" ref="A203:C212" totalsRowCount="1" headerRowDxfId="179" dataDxfId="178" tableBorderDxfId="177">
  <autoFilter ref="A203:C211" xr:uid="{B02009A6-E19B-4996-8A7A-F9E6B408B03E}"/>
  <tableColumns count="3">
    <tableColumn id="1" xr3:uid="{9448FAB0-EAB9-4884-9DE7-A816DBA9E94E}" name="Cost Breakdown" totalsRowFunction="count" dataDxfId="176" totalsRowDxfId="175" dataCellStyle="Heading 1" totalsRowCellStyle="Item table heading">
      <calculatedColumnFormula>FilterSpecs!C6</calculatedColumnFormula>
    </tableColumn>
    <tableColumn id="2" xr3:uid="{97A8D486-17B3-4254-A4E5-DFB2566ED55D}" name="Initial Order" totalsRowFunction="sum" dataDxfId="174" totalsRowDxfId="173" dataCellStyle="Heading 1" totalsRowCellStyle="Item table heading">
      <calculatedColumnFormula>SUMIF(AdafruitListTable[Type],"=" &amp; FilterSpecs!$C6,AdafruitListTable[Total Price])</calculatedColumnFormula>
    </tableColumn>
    <tableColumn id="3" xr3:uid="{70A3E0E3-DD4C-4DE9-8E82-F54049D36F3A}" name="Total Order" totalsRowFunction="sum" dataDxfId="172" totalsRowDxfId="171" dataCellStyle="Heading 1" totalsRowCellStyle="Item table heading">
      <calculatedColumnFormula>SUMIF(AdafruitListTable[Type],"=" &amp; FilterSpecs!$C6,AdafruitListTable[Total $])</calculatedColumnFormula>
    </tableColumn>
  </tableColumns>
  <tableStyleInfo name="Home Inventory" showFirstColumn="1" showLastColumn="0" showRowStripes="1" showColumnStripes="1"/>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1AB43C84-A7F0-4D59-B6D8-79EEC732B9F1}" name="Table16" displayName="Table16" ref="A2:W81" totalsRowCount="1">
  <autoFilter ref="A2:W80" xr:uid="{DF691FD7-187C-4337-BF8D-DFD26896D8E2}"/>
  <tableColumns count="23">
    <tableColumn id="1" xr3:uid="{D24DB0F2-08E4-49AB-A37B-99D57B69AAEB}" name="Type"/>
    <tableColumn id="2" xr3:uid="{4FBD9E19-3D8F-40B8-A1CF-C47FD4715284}" name="Category" totalsRowFunction="custom">
      <totalsRowFormula>COUNTA(B3:B80)</totalsRowFormula>
    </tableColumn>
    <tableColumn id="25" xr3:uid="{9BAB0D84-3250-413B-A048-4C1C5FBE932F}" name="Qty"/>
    <tableColumn id="3" xr3:uid="{894B739A-D496-4384-AE18-CB830AE7A0B0}" name="BarrelJack" totalsRowFunction="custom">
      <totalsRowFormula>SUMPRODUCT(Table16[Qty],Table16[BarrelJack])</totalsRowFormula>
    </tableColumn>
    <tableColumn id="4" xr3:uid="{9114DB9A-DBCB-40B3-B469-83B3D0D72F13}" name="USB" totalsRowFunction="custom">
      <totalsRowFormula>SUMPRODUCT(Table16[Qty],Table16[USB])</totalsRowFormula>
    </tableColumn>
    <tableColumn id="5" xr3:uid="{DB4B9A9D-5753-4163-8E13-361534197529}" name="LiPO Battery" totalsRowFunction="custom">
      <totalsRowFormula>SUMPRODUCT(Table16[Qty],Table16[LiPO Battery])</totalsRowFormula>
    </tableColumn>
    <tableColumn id="24" xr3:uid="{FC9A0C4B-C5DD-43BD-A635-B9AA2A007D89}" name="3.3V/5V" totalsRowFunction="custom">
      <totalsRowFormula>SUMPRODUCT(Table16[Qty],Table16[3.3V/5V])</totalsRowFormula>
    </tableColumn>
    <tableColumn id="8" xr3:uid="{EE291367-FE2E-4551-8ED1-83FA92788085}" name="uSD" totalsRowFunction="custom">
      <totalsRowFormula>SUMPRODUCT(Table16[Qty],Table16[uSD])</totalsRowFormula>
    </tableColumn>
    <tableColumn id="9" xr3:uid="{C3CF0C1B-6279-4E6E-87C5-E7172C292570}" name="WiFi" totalsRowFunction="custom">
      <totalsRowFormula>SUMPRODUCT(Table16[Qty],Table16[WiFi])</totalsRowFormula>
    </tableColumn>
    <tableColumn id="10" xr3:uid="{5B4F817A-C840-4A53-9663-658A716D7642}" name="Bluetooth" totalsRowFunction="custom">
      <totalsRowFormula>SUMPRODUCT(Table16[Qty],Table16[Bluetooth])</totalsRowFormula>
    </tableColumn>
    <tableColumn id="11" xr3:uid="{B9082B10-6994-4889-8629-2762B18F2B98}" name="Column5"/>
    <tableColumn id="12" xr3:uid="{FC53A817-B52F-4F9D-8A1D-64D3C1BA6F8C}" name="Column6"/>
    <tableColumn id="13" xr3:uid="{274B0898-3586-4E15-B1EF-1874512A4D7A}" name="Column7"/>
    <tableColumn id="14" xr3:uid="{6D9FF19E-A32F-44A4-936D-80D62C6FD32D}" name="Column8"/>
    <tableColumn id="15" xr3:uid="{93A236B1-028B-46EF-B287-0068AE09024D}" name="Column9"/>
    <tableColumn id="16" xr3:uid="{E373B686-BFEE-4614-82EC-0BCAAFEA0664}" name="Column10"/>
    <tableColumn id="17" xr3:uid="{2A4C4EBC-93A4-4778-A02D-388B8394F927}" name="Column11"/>
    <tableColumn id="18" xr3:uid="{7B9BD62C-0D28-4EE9-9B10-98D67A2D91D4}" name="Column12"/>
    <tableColumn id="19" xr3:uid="{9A524BE7-176E-4EAD-9BC8-3AEA170A7234}" name="Column13"/>
    <tableColumn id="20" xr3:uid="{638042E7-3E14-4AFC-90B5-F6ED99F03735}" name="Column14"/>
    <tableColumn id="21" xr3:uid="{AAE92B1B-5C64-41C9-9DFD-3D49374BF8EF}" name="Column15"/>
    <tableColumn id="22" xr3:uid="{9B32E269-8119-49CE-B57B-015F21B8F0A0}" name="Column16"/>
    <tableColumn id="23" xr3:uid="{07F39DDC-2F76-4F70-8005-35962056E065}" name="Column17"/>
  </tableColumns>
  <tableStyleInfo name="Home Inventory"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BCCB956-C45C-49FF-9BBA-892896C4E93F}" name="Table9" displayName="Table9" ref="A1:J19" totalsRowShown="0" headerRowDxfId="16">
  <autoFilter ref="A1:J19" xr:uid="{CBF8D447-B235-443D-8CE0-1E2112163157}"/>
  <tableColumns count="10">
    <tableColumn id="1" xr3:uid="{F78A8889-C402-4A37-8708-058A5CBFFBAC}" name="Cost" dataDxfId="15"/>
    <tableColumn id="10" xr3:uid="{D97E43B4-A313-4E84-8285-539E3B56CF8E}" name="Column1" dataDxfId="14"/>
    <tableColumn id="2" xr3:uid="{B6F035D8-87F6-49CA-A416-904E5A839967}" name="Object Detection Component" dataDxfId="13"/>
    <tableColumn id="3" xr3:uid="{0CD9F61D-3BE9-4678-BCC6-A62062BE76D0}" name="Detection Axis" dataDxfId="12"/>
    <tableColumn id="4" xr3:uid="{0019C839-C201-4473-84EB-EB5E8D5118FB}" name="Nominal Range" dataDxfId="11"/>
    <tableColumn id="5" xr3:uid="{9BEB30B9-2AC0-4215-9234-3A7ED928AE19}" name="User Purported Range" dataDxfId="10"/>
    <tableColumn id="6" xr3:uid="{27963C66-F409-409E-8E5C-5117950BA0F9}" name="Precision" dataDxfId="9"/>
    <tableColumn id="7" xr3:uid="{37537BA9-D838-4C15-B5E9-6B7D0B7246F7}" name="Detection Method" dataDxfId="8"/>
    <tableColumn id="8" xr3:uid="{0AB048B2-EF33-4815-B59C-063B4959A642}" name="Header Pin #s" dataDxfId="7"/>
    <tableColumn id="9" xr3:uid="{6C2B27EC-160F-49A9-B1B7-73A7E19655CF}" name="Comments/Notes" dataDxfId="6"/>
  </tableColumns>
  <tableStyleInfo name="Home Inventory"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490C9D7-AEE0-4407-B521-3F0E4EF5C128}" name="Table10" displayName="Table10" ref="C21:F42" totalsRowShown="0" headerRowDxfId="5" dataDxfId="4">
  <autoFilter ref="C21:F42" xr:uid="{70429E11-B104-400C-B525-DB62E9F749FC}"/>
  <tableColumns count="4">
    <tableColumn id="1" xr3:uid="{0C4EAA43-1DEC-467E-BC8C-55107834F54D}" name="Component" dataDxfId="3"/>
    <tableColumn id="2" xr3:uid="{9E2DAA65-0C80-4691-9564-D3C7BF7B1728}" name="Header/Pin Configs" dataDxfId="2"/>
    <tableColumn id="3" xr3:uid="{8D51F1BB-E845-4BFF-A8B6-7E04448FC0D0}" name="Pre-Populated" dataDxfId="1"/>
    <tableColumn id="4" xr3:uid="{752CFF2C-EC3D-4385-8818-F5C1D91822AE}" name="M/F" dataDxfId="0"/>
  </tableColumns>
  <tableStyleInfo name="Home Inventory" showFirstColumn="0" showLastColumn="0" showRowStripes="1" showColumnStripes="0"/>
</table>
</file>

<file path=xl/theme/_rels/theme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theme/theme1.xml><?xml version="1.0" encoding="utf-8"?>
<a:theme xmlns:a="http://schemas.openxmlformats.org/drawingml/2006/main" name="Median">
  <a:themeElements>
    <a:clrScheme name="Home Inventory">
      <a:dk1>
        <a:sysClr val="windowText" lastClr="000000"/>
      </a:dk1>
      <a:lt1>
        <a:sysClr val="window" lastClr="FFFFFF"/>
      </a:lt1>
      <a:dk2>
        <a:srgbClr val="4F998E"/>
      </a:dk2>
      <a:lt2>
        <a:srgbClr val="CCEBE8"/>
      </a:lt2>
      <a:accent1>
        <a:srgbClr val="CC3104"/>
      </a:accent1>
      <a:accent2>
        <a:srgbClr val="FF931E"/>
      </a:accent2>
      <a:accent3>
        <a:srgbClr val="E59881"/>
      </a:accent3>
      <a:accent4>
        <a:srgbClr val="A49B8D"/>
      </a:accent4>
      <a:accent5>
        <a:srgbClr val="A8AD6C"/>
      </a:accent5>
      <a:accent6>
        <a:srgbClr val="CC3104"/>
      </a:accent6>
      <a:hlink>
        <a:srgbClr val="FF931E"/>
      </a:hlink>
      <a:folHlink>
        <a:srgbClr val="FFC000"/>
      </a:folHlink>
    </a:clrScheme>
    <a:fontScheme name="Home Inventory">
      <a:majorFont>
        <a:latin typeface="Corbel"/>
        <a:ea typeface=""/>
        <a:cs typeface=""/>
      </a:majorFont>
      <a:minorFont>
        <a:latin typeface="Calibri"/>
        <a:ea typeface=""/>
        <a:cs typeface=""/>
      </a:minorFont>
    </a:fontScheme>
    <a:fmtScheme name="Median">
      <a:fillStyleLst>
        <a:solidFill>
          <a:schemeClr val="phClr"/>
        </a:solidFill>
        <a:solidFill>
          <a:schemeClr val="phClr">
            <a:tint val="50000"/>
          </a:schemeClr>
        </a:solidFill>
        <a:solidFill>
          <a:schemeClr val="phClr"/>
        </a:solidFill>
      </a:fillStyleLst>
      <a:lnStyleLst>
        <a:ln w="10000" cap="flat" cmpd="sng" algn="ctr">
          <a:solidFill>
            <a:schemeClr val="phClr"/>
          </a:solidFill>
          <a:prstDash val="solid"/>
        </a:ln>
        <a:ln w="19050" cap="flat" cmpd="sng" algn="ctr">
          <a:solidFill>
            <a:schemeClr val="phClr"/>
          </a:solidFill>
          <a:prstDash val="solid"/>
        </a:ln>
        <a:ln w="47625" cap="flat" cmpd="dbl" algn="ctr">
          <a:solidFill>
            <a:schemeClr val="phClr"/>
          </a:solidFill>
          <a:prstDash val="solid"/>
        </a:ln>
      </a:lnStyleLst>
      <a:effectStyleLst>
        <a:effectStyle>
          <a:effectLst>
            <a:outerShdw blurRad="38100" dist="30000" dir="5400000" rotWithShape="0">
              <a:srgbClr val="000000">
                <a:alpha val="45000"/>
              </a:srgbClr>
            </a:outerShdw>
          </a:effectLst>
        </a:effectStyle>
        <a:effectStyle>
          <a:effectLst>
            <a:outerShdw blurRad="38100" dist="30000" dir="5400000" rotWithShape="0">
              <a:srgbClr val="000000">
                <a:alpha val="45000"/>
              </a:srgbClr>
            </a:outerShdw>
          </a:effectLst>
        </a:effectStyle>
        <a:effectStyle>
          <a:effectLst>
            <a:outerShdw blurRad="38100" dist="25400" dir="5400000" rotWithShape="0">
              <a:srgbClr val="000000">
                <a:alpha val="35000"/>
              </a:srgbClr>
            </a:outerShdw>
          </a:effectLst>
          <a:scene3d>
            <a:camera prst="isometricTopDown" fov="0">
              <a:rot lat="0" lon="0" rev="0"/>
            </a:camera>
            <a:lightRig rig="balanced" dir="t">
              <a:rot lat="0" lon="0" rev="13800000"/>
            </a:lightRig>
          </a:scene3d>
          <a:sp3d extrusionH="12700" prstMaterial="plastic">
            <a:bevelT w="38100" h="25400" prst="softRound"/>
            <a:contourClr>
              <a:schemeClr val="phClr"/>
            </a:contourClr>
          </a:sp3d>
        </a:effectStyle>
      </a:effectStyleLst>
      <a:bgFillStyleLst>
        <a:solidFill>
          <a:schemeClr val="phClr"/>
        </a:solidFill>
        <a:blipFill>
          <a:blip xmlns:r="http://schemas.openxmlformats.org/officeDocument/2006/relationships" r:embed="rId1">
            <a:duotone>
              <a:schemeClr val="phClr">
                <a:shade val="90000"/>
                <a:satMod val="140000"/>
              </a:schemeClr>
              <a:schemeClr val="phClr">
                <a:satMod val="120000"/>
              </a:schemeClr>
            </a:duotone>
          </a:blip>
          <a:tile tx="0" ty="0" sx="100000" sy="100000" flip="none" algn="tl"/>
        </a:blipFill>
        <a:blipFill>
          <a:blip xmlns:r="http://schemas.openxmlformats.org/officeDocument/2006/relationships" r:embed="rId2">
            <a:duotone>
              <a:schemeClr val="phClr">
                <a:shade val="90000"/>
                <a:satMod val="140000"/>
              </a:schemeClr>
              <a:schemeClr val="phClr">
                <a:satMod val="12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microsoft.com/office/2007/relationships/slicer" Target="../slicers/slicer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table" Target="../tables/table5.xml"/><Relationship Id="rId4"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drawing" Target="../drawings/drawing4.xml"/><Relationship Id="rId6" Type="http://schemas.openxmlformats.org/officeDocument/2006/relationships/table" Target="../tables/table10.xml"/><Relationship Id="rId5" Type="http://schemas.openxmlformats.org/officeDocument/2006/relationships/table" Target="../tables/table9.xml"/><Relationship Id="rId4" Type="http://schemas.openxmlformats.org/officeDocument/2006/relationships/table" Target="../tables/table8.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table" Target="../tables/table11.x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6.xml"/><Relationship Id="rId1" Type="http://schemas.openxmlformats.org/officeDocument/2006/relationships/printerSettings" Target="../printerSettings/printerSettings5.bin"/><Relationship Id="rId5" Type="http://schemas.microsoft.com/office/2007/relationships/slicer" Target="../slicers/slicer4.xml"/><Relationship Id="rId4" Type="http://schemas.openxmlformats.org/officeDocument/2006/relationships/table" Target="../tables/table13.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7.xml"/><Relationship Id="rId1" Type="http://schemas.openxmlformats.org/officeDocument/2006/relationships/printerSettings" Target="../printerSettings/printerSettings6.bin"/><Relationship Id="rId5" Type="http://schemas.microsoft.com/office/2007/relationships/slicer" Target="../slicers/slicer5.xml"/><Relationship Id="rId4" Type="http://schemas.openxmlformats.org/officeDocument/2006/relationships/table" Target="../tables/table15.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8.xml"/><Relationship Id="rId1" Type="http://schemas.openxmlformats.org/officeDocument/2006/relationships/printerSettings" Target="../printerSettings/printerSettings7.bin"/><Relationship Id="rId5" Type="http://schemas.microsoft.com/office/2007/relationships/slicer" Target="../slicers/slicer6.xml"/><Relationship Id="rId4" Type="http://schemas.openxmlformats.org/officeDocument/2006/relationships/table" Target="../tables/table17.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drawing" Target="../drawings/drawing9.xml"/><Relationship Id="rId1" Type="http://schemas.openxmlformats.org/officeDocument/2006/relationships/printerSettings" Target="../printerSettings/printerSettings8.bin"/><Relationship Id="rId5" Type="http://schemas.microsoft.com/office/2007/relationships/slicer" Target="../slicers/slicer7.xml"/><Relationship Id="rId4" Type="http://schemas.openxmlformats.org/officeDocument/2006/relationships/table" Target="../tables/table19.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drawing" Target="../drawings/drawing10.xml"/><Relationship Id="rId1" Type="http://schemas.openxmlformats.org/officeDocument/2006/relationships/printerSettings" Target="../printerSettings/printerSettings9.bin"/><Relationship Id="rId5" Type="http://schemas.microsoft.com/office/2007/relationships/slicer" Target="../slicers/slicer8.xml"/><Relationship Id="rId4" Type="http://schemas.openxmlformats.org/officeDocument/2006/relationships/table" Target="../tables/table21.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24.xml"/><Relationship Id="rId2" Type="http://schemas.openxmlformats.org/officeDocument/2006/relationships/table" Target="../tables/table23.xml"/><Relationship Id="rId1" Type="http://schemas.openxmlformats.org/officeDocument/2006/relationships/hyperlink" Target="https://www.sparkfun.com/products/12009"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306B7-4A13-4852-B07F-70D31199EBAF}">
  <sheetPr codeName="Sheet25">
    <tabColor rgb="FF92D050"/>
  </sheetPr>
  <dimension ref="A1:B132"/>
  <sheetViews>
    <sheetView zoomScale="145" zoomScaleNormal="145" workbookViewId="0"/>
  </sheetViews>
  <sheetFormatPr defaultColWidth="8.85546875" defaultRowHeight="15" x14ac:dyDescent="0.25"/>
  <cols>
    <col min="1" max="1" width="14.7109375" style="60" bestFit="1" customWidth="1"/>
    <col min="2" max="2" width="20.7109375" style="60" customWidth="1"/>
    <col min="3" max="16384" width="8.85546875" style="146"/>
  </cols>
  <sheetData>
    <row r="1" spans="1:2" s="153" customFormat="1" x14ac:dyDescent="0.25">
      <c r="A1" s="153" t="s">
        <v>50</v>
      </c>
      <c r="B1" s="153">
        <v>5</v>
      </c>
    </row>
    <row r="2" spans="1:2" s="153" customFormat="1" x14ac:dyDescent="0.25">
      <c r="A2" s="153" t="s">
        <v>54</v>
      </c>
      <c r="B2" s="153">
        <v>5</v>
      </c>
    </row>
    <row r="3" spans="1:2" s="153" customFormat="1" x14ac:dyDescent="0.25">
      <c r="A3" s="153" t="s">
        <v>62</v>
      </c>
      <c r="B3" s="153">
        <v>10</v>
      </c>
    </row>
    <row r="4" spans="1:2" x14ac:dyDescent="0.25">
      <c r="A4" s="60" t="s">
        <v>340</v>
      </c>
      <c r="B4" s="153">
        <v>5</v>
      </c>
    </row>
    <row r="5" spans="1:2" x14ac:dyDescent="0.25">
      <c r="A5" s="60" t="s">
        <v>226</v>
      </c>
      <c r="B5" s="60">
        <v>1</v>
      </c>
    </row>
    <row r="6" spans="1:2" x14ac:dyDescent="0.25">
      <c r="A6" s="60" t="s">
        <v>407</v>
      </c>
      <c r="B6" s="60">
        <v>5</v>
      </c>
    </row>
    <row r="7" spans="1:2" x14ac:dyDescent="0.25">
      <c r="A7" s="60" t="s">
        <v>628</v>
      </c>
      <c r="B7" s="60">
        <v>5</v>
      </c>
    </row>
    <row r="8" spans="1:2" x14ac:dyDescent="0.25">
      <c r="A8" s="60" t="s">
        <v>830</v>
      </c>
      <c r="B8" s="60">
        <v>1</v>
      </c>
    </row>
    <row r="9" spans="1:2" x14ac:dyDescent="0.25">
      <c r="A9" s="60" t="s">
        <v>1432</v>
      </c>
      <c r="B9" s="60">
        <v>10</v>
      </c>
    </row>
    <row r="10" spans="1:2" x14ac:dyDescent="0.25">
      <c r="A10" s="60" t="s">
        <v>1120</v>
      </c>
      <c r="B10" s="60">
        <v>5</v>
      </c>
    </row>
    <row r="11" spans="1:2" x14ac:dyDescent="0.25">
      <c r="A11" s="60" t="s">
        <v>380</v>
      </c>
      <c r="B11" s="60">
        <v>5</v>
      </c>
    </row>
    <row r="12" spans="1:2" x14ac:dyDescent="0.25">
      <c r="A12" s="60" t="s">
        <v>796</v>
      </c>
      <c r="B12" s="60">
        <v>5</v>
      </c>
    </row>
    <row r="13" spans="1:2" x14ac:dyDescent="0.25">
      <c r="A13" s="60" t="s">
        <v>454</v>
      </c>
      <c r="B13" s="60">
        <v>5</v>
      </c>
    </row>
    <row r="14" spans="1:2" x14ac:dyDescent="0.25">
      <c r="A14" s="60" t="s">
        <v>804</v>
      </c>
      <c r="B14" s="60">
        <v>5</v>
      </c>
    </row>
    <row r="15" spans="1:2" x14ac:dyDescent="0.25">
      <c r="A15" s="60" t="s">
        <v>2465</v>
      </c>
      <c r="B15" s="60">
        <v>5</v>
      </c>
    </row>
    <row r="16" spans="1:2" x14ac:dyDescent="0.25">
      <c r="A16" s="60" t="s">
        <v>2469</v>
      </c>
      <c r="B16" s="60">
        <v>5</v>
      </c>
    </row>
    <row r="17" spans="1:2" x14ac:dyDescent="0.25">
      <c r="A17" s="60" t="s">
        <v>1493</v>
      </c>
      <c r="B17" s="60">
        <v>5</v>
      </c>
    </row>
    <row r="18" spans="1:2" x14ac:dyDescent="0.25">
      <c r="A18" s="60" t="s">
        <v>30</v>
      </c>
      <c r="B18" s="60">
        <v>5</v>
      </c>
    </row>
    <row r="19" spans="1:2" x14ac:dyDescent="0.25">
      <c r="A19" s="60" t="s">
        <v>34</v>
      </c>
      <c r="B19" s="60">
        <v>5</v>
      </c>
    </row>
    <row r="20" spans="1:2" x14ac:dyDescent="0.25">
      <c r="A20" s="60" t="s">
        <v>46</v>
      </c>
      <c r="B20" s="60">
        <v>5</v>
      </c>
    </row>
    <row r="21" spans="1:2" x14ac:dyDescent="0.25">
      <c r="A21" s="60" t="s">
        <v>38</v>
      </c>
      <c r="B21" s="60">
        <v>5</v>
      </c>
    </row>
    <row r="22" spans="1:2" x14ac:dyDescent="0.25">
      <c r="A22" s="60" t="s">
        <v>564</v>
      </c>
      <c r="B22" s="60">
        <v>5</v>
      </c>
    </row>
    <row r="23" spans="1:2" x14ac:dyDescent="0.25">
      <c r="A23" s="60" t="s">
        <v>800</v>
      </c>
      <c r="B23" s="60">
        <v>5</v>
      </c>
    </row>
    <row r="24" spans="1:2" x14ac:dyDescent="0.25">
      <c r="A24" s="60" t="s">
        <v>1015</v>
      </c>
      <c r="B24" s="60">
        <v>5</v>
      </c>
    </row>
    <row r="25" spans="1:2" x14ac:dyDescent="0.25">
      <c r="A25" s="60" t="s">
        <v>70</v>
      </c>
      <c r="B25" s="60">
        <v>20</v>
      </c>
    </row>
    <row r="26" spans="1:2" x14ac:dyDescent="0.25">
      <c r="A26" s="60" t="s">
        <v>74</v>
      </c>
      <c r="B26" s="60">
        <v>5</v>
      </c>
    </row>
    <row r="27" spans="1:2" x14ac:dyDescent="0.25">
      <c r="A27" s="60" t="s">
        <v>78</v>
      </c>
      <c r="B27" s="60">
        <v>5</v>
      </c>
    </row>
    <row r="28" spans="1:2" x14ac:dyDescent="0.25">
      <c r="A28" s="60" t="s">
        <v>102</v>
      </c>
      <c r="B28" s="60">
        <v>5</v>
      </c>
    </row>
    <row r="29" spans="1:2" x14ac:dyDescent="0.25">
      <c r="A29" s="60" t="s">
        <v>282</v>
      </c>
      <c r="B29" s="60">
        <v>5</v>
      </c>
    </row>
    <row r="30" spans="1:2" x14ac:dyDescent="0.25">
      <c r="A30" s="60" t="s">
        <v>106</v>
      </c>
      <c r="B30" s="60">
        <v>2</v>
      </c>
    </row>
    <row r="31" spans="1:2" x14ac:dyDescent="0.25">
      <c r="A31" s="60" t="s">
        <v>2511</v>
      </c>
      <c r="B31" s="60">
        <v>5</v>
      </c>
    </row>
    <row r="32" spans="1:2" x14ac:dyDescent="0.25">
      <c r="A32" s="60" t="s">
        <v>2515</v>
      </c>
      <c r="B32" s="60">
        <v>5</v>
      </c>
    </row>
    <row r="33" spans="1:2" x14ac:dyDescent="0.25">
      <c r="A33" s="60" t="s">
        <v>257</v>
      </c>
      <c r="B33" s="60">
        <v>15</v>
      </c>
    </row>
    <row r="34" spans="1:2" x14ac:dyDescent="0.25">
      <c r="A34" s="60" t="s">
        <v>286</v>
      </c>
      <c r="B34" s="60">
        <v>5</v>
      </c>
    </row>
    <row r="35" spans="1:2" x14ac:dyDescent="0.25">
      <c r="A35" s="60" t="s">
        <v>290</v>
      </c>
      <c r="B35" s="60">
        <v>5</v>
      </c>
    </row>
    <row r="36" spans="1:2" x14ac:dyDescent="0.25">
      <c r="A36" s="60" t="s">
        <v>337</v>
      </c>
      <c r="B36" s="60">
        <v>5</v>
      </c>
    </row>
    <row r="37" spans="1:2" x14ac:dyDescent="0.25">
      <c r="A37" s="60" t="s">
        <v>486</v>
      </c>
      <c r="B37" s="60">
        <v>5</v>
      </c>
    </row>
    <row r="38" spans="1:2" x14ac:dyDescent="0.25">
      <c r="A38" s="60" t="s">
        <v>489</v>
      </c>
      <c r="B38" s="60">
        <v>5</v>
      </c>
    </row>
    <row r="39" spans="1:2" x14ac:dyDescent="0.25">
      <c r="A39" s="60" t="s">
        <v>245</v>
      </c>
      <c r="B39" s="60">
        <v>1</v>
      </c>
    </row>
    <row r="40" spans="1:2" x14ac:dyDescent="0.25">
      <c r="A40" s="60" t="s">
        <v>273</v>
      </c>
      <c r="B40" s="60">
        <v>5</v>
      </c>
    </row>
    <row r="41" spans="1:2" x14ac:dyDescent="0.25">
      <c r="A41" s="60" t="s">
        <v>276</v>
      </c>
      <c r="B41" s="60">
        <v>5</v>
      </c>
    </row>
    <row r="42" spans="1:2" x14ac:dyDescent="0.25">
      <c r="A42" s="60" t="s">
        <v>1007</v>
      </c>
      <c r="B42" s="60">
        <v>1</v>
      </c>
    </row>
    <row r="43" spans="1:2" x14ac:dyDescent="0.25">
      <c r="A43" s="60" t="s">
        <v>1011</v>
      </c>
      <c r="B43" s="60">
        <v>1</v>
      </c>
    </row>
    <row r="44" spans="1:2" x14ac:dyDescent="0.25">
      <c r="A44" s="60" t="s">
        <v>1297</v>
      </c>
      <c r="B44" s="60">
        <v>20</v>
      </c>
    </row>
    <row r="45" spans="1:2" x14ac:dyDescent="0.25">
      <c r="A45" s="60" t="s">
        <v>925</v>
      </c>
      <c r="B45" s="60">
        <v>10</v>
      </c>
    </row>
    <row r="46" spans="1:2" x14ac:dyDescent="0.25">
      <c r="A46" s="60" t="s">
        <v>1757</v>
      </c>
      <c r="B46" s="60">
        <v>5</v>
      </c>
    </row>
    <row r="47" spans="1:2" x14ac:dyDescent="0.25">
      <c r="A47" s="60" t="s">
        <v>937</v>
      </c>
      <c r="B47" s="60">
        <v>2</v>
      </c>
    </row>
    <row r="48" spans="1:2" x14ac:dyDescent="0.25">
      <c r="A48" s="60" t="s">
        <v>933</v>
      </c>
      <c r="B48" s="60">
        <v>10</v>
      </c>
    </row>
    <row r="49" spans="1:2" x14ac:dyDescent="0.25">
      <c r="A49" s="60" t="s">
        <v>640</v>
      </c>
      <c r="B49" s="60">
        <v>5</v>
      </c>
    </row>
    <row r="50" spans="1:2" x14ac:dyDescent="0.25">
      <c r="A50" s="60" t="s">
        <v>648</v>
      </c>
      <c r="B50" s="60">
        <v>5</v>
      </c>
    </row>
    <row r="51" spans="1:2" x14ac:dyDescent="0.25">
      <c r="A51" s="60" t="s">
        <v>1248</v>
      </c>
      <c r="B51" s="60">
        <v>2</v>
      </c>
    </row>
    <row r="52" spans="1:2" x14ac:dyDescent="0.25">
      <c r="A52" s="60" t="s">
        <v>1076</v>
      </c>
      <c r="B52" s="60">
        <v>5</v>
      </c>
    </row>
    <row r="53" spans="1:2" x14ac:dyDescent="0.25">
      <c r="A53" s="60" t="s">
        <v>1256</v>
      </c>
      <c r="B53" s="60">
        <v>5</v>
      </c>
    </row>
    <row r="54" spans="1:2" x14ac:dyDescent="0.25">
      <c r="A54" s="60" t="s">
        <v>1072</v>
      </c>
      <c r="B54" s="60">
        <v>5</v>
      </c>
    </row>
    <row r="55" spans="1:2" x14ac:dyDescent="0.25">
      <c r="A55" s="60" t="s">
        <v>1252</v>
      </c>
      <c r="B55" s="60">
        <v>2</v>
      </c>
    </row>
    <row r="56" spans="1:2" x14ac:dyDescent="0.25">
      <c r="A56" s="60" t="s">
        <v>1068</v>
      </c>
      <c r="B56" s="60">
        <v>3</v>
      </c>
    </row>
    <row r="57" spans="1:2" x14ac:dyDescent="0.25">
      <c r="A57" s="60" t="s">
        <v>636</v>
      </c>
      <c r="B57" s="60">
        <v>5</v>
      </c>
    </row>
    <row r="58" spans="1:2" x14ac:dyDescent="0.25">
      <c r="A58" s="60" t="s">
        <v>644</v>
      </c>
      <c r="B58" s="60">
        <v>5</v>
      </c>
    </row>
    <row r="59" spans="1:2" x14ac:dyDescent="0.25">
      <c r="A59" s="60" t="s">
        <v>700</v>
      </c>
      <c r="B59" s="60">
        <v>5</v>
      </c>
    </row>
    <row r="60" spans="1:2" x14ac:dyDescent="0.25">
      <c r="A60" s="60" t="s">
        <v>901</v>
      </c>
      <c r="B60" s="60">
        <v>5</v>
      </c>
    </row>
    <row r="61" spans="1:2" x14ac:dyDescent="0.25">
      <c r="A61" s="60" t="s">
        <v>905</v>
      </c>
      <c r="B61" s="60">
        <v>5</v>
      </c>
    </row>
    <row r="62" spans="1:2" x14ac:dyDescent="0.25">
      <c r="A62" s="60" t="s">
        <v>929</v>
      </c>
      <c r="B62" s="60">
        <v>20</v>
      </c>
    </row>
    <row r="63" spans="1:2" x14ac:dyDescent="0.25">
      <c r="A63" s="60" t="s">
        <v>1228</v>
      </c>
      <c r="B63" s="60">
        <v>1</v>
      </c>
    </row>
    <row r="64" spans="1:2" x14ac:dyDescent="0.25">
      <c r="A64" s="60" t="s">
        <v>1232</v>
      </c>
      <c r="B64" s="60">
        <v>1</v>
      </c>
    </row>
    <row r="65" spans="1:2" x14ac:dyDescent="0.25">
      <c r="A65" s="60" t="s">
        <v>1282</v>
      </c>
      <c r="B65" s="60">
        <v>5</v>
      </c>
    </row>
    <row r="66" spans="1:2" x14ac:dyDescent="0.25">
      <c r="A66" s="60" t="s">
        <v>596</v>
      </c>
      <c r="B66" s="60">
        <v>5</v>
      </c>
    </row>
    <row r="67" spans="1:2" x14ac:dyDescent="0.25">
      <c r="A67" s="60" t="s">
        <v>600</v>
      </c>
      <c r="B67" s="60">
        <v>5</v>
      </c>
    </row>
    <row r="68" spans="1:2" x14ac:dyDescent="0.25">
      <c r="A68" s="60" t="s">
        <v>1280</v>
      </c>
      <c r="B68" s="60">
        <v>5</v>
      </c>
    </row>
    <row r="69" spans="1:2" x14ac:dyDescent="0.25">
      <c r="A69" s="60" t="s">
        <v>608</v>
      </c>
      <c r="B69" s="60">
        <v>5</v>
      </c>
    </row>
    <row r="70" spans="1:2" x14ac:dyDescent="0.25">
      <c r="A70" s="60" t="s">
        <v>620</v>
      </c>
      <c r="B70" s="60">
        <v>5</v>
      </c>
    </row>
    <row r="71" spans="1:2" x14ac:dyDescent="0.25">
      <c r="A71" s="60" t="s">
        <v>616</v>
      </c>
      <c r="B71" s="60">
        <v>5</v>
      </c>
    </row>
    <row r="72" spans="1:2" x14ac:dyDescent="0.25">
      <c r="A72" s="60" t="s">
        <v>612</v>
      </c>
      <c r="B72" s="60">
        <v>5</v>
      </c>
    </row>
    <row r="73" spans="1:2" x14ac:dyDescent="0.25">
      <c r="A73" s="60" t="s">
        <v>524</v>
      </c>
      <c r="B73" s="60">
        <v>5</v>
      </c>
    </row>
    <row r="74" spans="1:2" x14ac:dyDescent="0.25">
      <c r="A74" s="60" t="s">
        <v>624</v>
      </c>
      <c r="B74" s="60">
        <v>5</v>
      </c>
    </row>
    <row r="75" spans="1:2" x14ac:dyDescent="0.25">
      <c r="A75" s="60" t="s">
        <v>438</v>
      </c>
      <c r="B75" s="60">
        <v>10</v>
      </c>
    </row>
    <row r="76" spans="1:2" x14ac:dyDescent="0.25">
      <c r="A76" s="60" t="s">
        <v>1841</v>
      </c>
      <c r="B76" s="60">
        <v>5</v>
      </c>
    </row>
    <row r="77" spans="1:2" x14ac:dyDescent="0.25">
      <c r="A77" s="60" t="s">
        <v>1368</v>
      </c>
      <c r="B77" s="60">
        <v>16</v>
      </c>
    </row>
    <row r="78" spans="1:2" x14ac:dyDescent="0.25">
      <c r="A78" s="60" t="s">
        <v>1372</v>
      </c>
      <c r="B78" s="60">
        <v>16</v>
      </c>
    </row>
    <row r="79" spans="1:2" x14ac:dyDescent="0.25">
      <c r="A79" s="60" t="s">
        <v>1356</v>
      </c>
      <c r="B79" s="60">
        <v>16</v>
      </c>
    </row>
    <row r="80" spans="1:2" x14ac:dyDescent="0.25">
      <c r="A80" s="60" t="s">
        <v>1344</v>
      </c>
      <c r="B80" s="60">
        <v>16</v>
      </c>
    </row>
    <row r="81" spans="1:2" x14ac:dyDescent="0.25">
      <c r="A81" s="60" t="s">
        <v>2400</v>
      </c>
      <c r="B81" s="60">
        <v>16</v>
      </c>
    </row>
    <row r="82" spans="1:2" x14ac:dyDescent="0.25">
      <c r="A82" s="60" t="s">
        <v>1573</v>
      </c>
      <c r="B82" s="60">
        <v>10</v>
      </c>
    </row>
    <row r="83" spans="1:2" x14ac:dyDescent="0.25">
      <c r="A83" s="60" t="s">
        <v>1569</v>
      </c>
      <c r="B83" s="60">
        <v>10</v>
      </c>
    </row>
    <row r="84" spans="1:2" x14ac:dyDescent="0.25">
      <c r="A84" s="60" t="s">
        <v>893</v>
      </c>
      <c r="B84" s="60">
        <v>10</v>
      </c>
    </row>
    <row r="85" spans="1:2" x14ac:dyDescent="0.25">
      <c r="A85" s="60" t="s">
        <v>1400</v>
      </c>
      <c r="B85" s="60">
        <v>10</v>
      </c>
    </row>
    <row r="86" spans="1:2" x14ac:dyDescent="0.25">
      <c r="A86" s="60" t="s">
        <v>442</v>
      </c>
      <c r="B86" s="60">
        <v>2</v>
      </c>
    </row>
    <row r="87" spans="1:2" x14ac:dyDescent="0.25">
      <c r="A87" s="60" t="s">
        <v>696</v>
      </c>
      <c r="B87" s="60">
        <v>5</v>
      </c>
    </row>
    <row r="88" spans="1:2" x14ac:dyDescent="0.25">
      <c r="A88" s="60" t="s">
        <v>692</v>
      </c>
      <c r="B88" s="60">
        <v>5</v>
      </c>
    </row>
    <row r="89" spans="1:2" x14ac:dyDescent="0.25">
      <c r="A89" s="60" t="s">
        <v>384</v>
      </c>
      <c r="B89" s="60">
        <v>5</v>
      </c>
    </row>
    <row r="90" spans="1:2" x14ac:dyDescent="0.25">
      <c r="A90" s="60" t="s">
        <v>372</v>
      </c>
      <c r="B90" s="60">
        <v>5</v>
      </c>
    </row>
    <row r="91" spans="1:2" x14ac:dyDescent="0.25">
      <c r="A91" s="60" t="s">
        <v>388</v>
      </c>
      <c r="B91" s="60">
        <v>5</v>
      </c>
    </row>
    <row r="92" spans="1:2" x14ac:dyDescent="0.25">
      <c r="A92" s="60" t="s">
        <v>1829</v>
      </c>
      <c r="B92" s="60">
        <v>25</v>
      </c>
    </row>
    <row r="93" spans="1:2" x14ac:dyDescent="0.25">
      <c r="A93" s="60" t="s">
        <v>656</v>
      </c>
      <c r="B93" s="60">
        <v>10</v>
      </c>
    </row>
    <row r="94" spans="1:2" x14ac:dyDescent="0.25">
      <c r="A94" s="60" t="s">
        <v>953</v>
      </c>
      <c r="B94" s="60">
        <v>5</v>
      </c>
    </row>
    <row r="95" spans="1:2" x14ac:dyDescent="0.25">
      <c r="A95" s="60" t="s">
        <v>396</v>
      </c>
      <c r="B95" s="60">
        <v>5</v>
      </c>
    </row>
    <row r="96" spans="1:2" x14ac:dyDescent="0.25">
      <c r="A96" s="60" t="s">
        <v>392</v>
      </c>
      <c r="B96" s="60">
        <v>5</v>
      </c>
    </row>
    <row r="97" spans="1:2" x14ac:dyDescent="0.25">
      <c r="A97" s="60" t="s">
        <v>426</v>
      </c>
      <c r="B97" s="60">
        <v>5</v>
      </c>
    </row>
    <row r="98" spans="1:2" x14ac:dyDescent="0.25">
      <c r="A98" s="60" t="s">
        <v>482</v>
      </c>
      <c r="B98" s="60">
        <v>5</v>
      </c>
    </row>
    <row r="99" spans="1:2" x14ac:dyDescent="0.25">
      <c r="A99" s="60" t="s">
        <v>466</v>
      </c>
      <c r="B99" s="60">
        <v>5</v>
      </c>
    </row>
    <row r="100" spans="1:2" x14ac:dyDescent="0.25">
      <c r="A100" s="60" t="s">
        <v>1521</v>
      </c>
      <c r="B100" s="60">
        <v>5</v>
      </c>
    </row>
    <row r="101" spans="1:2" x14ac:dyDescent="0.25">
      <c r="A101" s="60" t="s">
        <v>1525</v>
      </c>
      <c r="B101" s="60">
        <v>5</v>
      </c>
    </row>
    <row r="102" spans="1:2" x14ac:dyDescent="0.25">
      <c r="A102" s="60" t="s">
        <v>812</v>
      </c>
      <c r="B102" s="60">
        <v>25</v>
      </c>
    </row>
    <row r="103" spans="1:2" x14ac:dyDescent="0.25">
      <c r="A103" s="60" t="s">
        <v>504</v>
      </c>
      <c r="B103" s="60">
        <v>10</v>
      </c>
    </row>
    <row r="104" spans="1:2" x14ac:dyDescent="0.25">
      <c r="A104" s="60" t="s">
        <v>1340</v>
      </c>
      <c r="B104" s="60">
        <v>5</v>
      </c>
    </row>
    <row r="105" spans="1:2" x14ac:dyDescent="0.25">
      <c r="A105" s="60" t="s">
        <v>478</v>
      </c>
      <c r="B105" s="60">
        <v>10</v>
      </c>
    </row>
    <row r="106" spans="1:2" x14ac:dyDescent="0.25">
      <c r="A106" s="60" t="s">
        <v>1805</v>
      </c>
      <c r="B106" s="60">
        <v>5</v>
      </c>
    </row>
    <row r="107" spans="1:2" x14ac:dyDescent="0.25">
      <c r="A107" s="60" t="s">
        <v>512</v>
      </c>
      <c r="B107" s="60">
        <v>5</v>
      </c>
    </row>
    <row r="108" spans="1:2" x14ac:dyDescent="0.25">
      <c r="A108" s="60" t="s">
        <v>1741</v>
      </c>
      <c r="B108" s="60">
        <v>10</v>
      </c>
    </row>
    <row r="109" spans="1:2" x14ac:dyDescent="0.25">
      <c r="A109" s="60" t="s">
        <v>1753</v>
      </c>
      <c r="B109" s="60">
        <v>10</v>
      </c>
    </row>
    <row r="110" spans="1:2" x14ac:dyDescent="0.25">
      <c r="A110" s="60" t="s">
        <v>364</v>
      </c>
      <c r="B110" s="60">
        <v>1</v>
      </c>
    </row>
    <row r="111" spans="1:2" x14ac:dyDescent="0.25">
      <c r="A111" s="60" t="s">
        <v>430</v>
      </c>
      <c r="B111" s="60">
        <v>5</v>
      </c>
    </row>
    <row r="112" spans="1:2" x14ac:dyDescent="0.25">
      <c r="A112" s="60" t="s">
        <v>434</v>
      </c>
      <c r="B112" s="60">
        <v>5</v>
      </c>
    </row>
    <row r="113" spans="1:2" x14ac:dyDescent="0.25">
      <c r="A113" s="60" t="s">
        <v>604</v>
      </c>
      <c r="B113" s="60">
        <v>5</v>
      </c>
    </row>
    <row r="114" spans="1:2" x14ac:dyDescent="0.25">
      <c r="A114" s="60" t="s">
        <v>368</v>
      </c>
      <c r="B114" s="60">
        <v>1</v>
      </c>
    </row>
    <row r="115" spans="1:2" x14ac:dyDescent="0.25">
      <c r="A115" s="60" t="s">
        <v>720</v>
      </c>
      <c r="B115" s="60">
        <v>5</v>
      </c>
    </row>
    <row r="116" spans="1:2" x14ac:dyDescent="0.25">
      <c r="A116" s="60" t="s">
        <v>716</v>
      </c>
      <c r="B116" s="60">
        <v>5</v>
      </c>
    </row>
    <row r="117" spans="1:2" x14ac:dyDescent="0.25">
      <c r="A117" s="60" t="s">
        <v>704</v>
      </c>
      <c r="B117" s="60">
        <v>10</v>
      </c>
    </row>
    <row r="118" spans="1:2" x14ac:dyDescent="0.25">
      <c r="A118" s="60" t="s">
        <v>418</v>
      </c>
      <c r="B118" s="60">
        <v>10</v>
      </c>
    </row>
    <row r="119" spans="1:2" x14ac:dyDescent="0.25">
      <c r="A119" s="60" t="s">
        <v>422</v>
      </c>
      <c r="B119" s="60">
        <v>10</v>
      </c>
    </row>
    <row r="120" spans="1:2" x14ac:dyDescent="0.25">
      <c r="A120" s="60" t="s">
        <v>664</v>
      </c>
      <c r="B120" s="60">
        <v>10</v>
      </c>
    </row>
    <row r="121" spans="1:2" x14ac:dyDescent="0.25">
      <c r="A121" s="60" t="s">
        <v>1581</v>
      </c>
      <c r="B121" s="60">
        <v>2</v>
      </c>
    </row>
    <row r="122" spans="1:2" x14ac:dyDescent="0.25">
      <c r="A122" s="60" t="s">
        <v>1585</v>
      </c>
      <c r="B122" s="60">
        <v>1</v>
      </c>
    </row>
    <row r="123" spans="1:2" x14ac:dyDescent="0.25">
      <c r="A123" s="60" t="s">
        <v>996</v>
      </c>
      <c r="B123" s="60">
        <v>5</v>
      </c>
    </row>
    <row r="124" spans="1:2" x14ac:dyDescent="0.25">
      <c r="A124" s="60" t="s">
        <v>1108</v>
      </c>
      <c r="B124" s="60">
        <v>5</v>
      </c>
    </row>
    <row r="125" spans="1:2" x14ac:dyDescent="0.25">
      <c r="A125" s="60" t="s">
        <v>1104</v>
      </c>
      <c r="B125" s="60">
        <v>5</v>
      </c>
    </row>
    <row r="126" spans="1:2" x14ac:dyDescent="0.25">
      <c r="A126" s="60" t="s">
        <v>1112</v>
      </c>
      <c r="B126" s="60">
        <v>5</v>
      </c>
    </row>
    <row r="127" spans="1:2" x14ac:dyDescent="0.25">
      <c r="A127" s="60" t="s">
        <v>410</v>
      </c>
      <c r="B127" s="60">
        <v>2</v>
      </c>
    </row>
    <row r="128" spans="1:2" x14ac:dyDescent="0.25">
      <c r="A128" s="60" t="s">
        <v>1428</v>
      </c>
      <c r="B128" s="60">
        <v>1</v>
      </c>
    </row>
    <row r="129" spans="1:2" x14ac:dyDescent="0.25">
      <c r="A129" s="60" t="s">
        <v>866</v>
      </c>
      <c r="B129" s="60">
        <v>1</v>
      </c>
    </row>
    <row r="130" spans="1:2" x14ac:dyDescent="0.25">
      <c r="A130" s="60" t="s">
        <v>858</v>
      </c>
      <c r="B130" s="60">
        <v>1</v>
      </c>
    </row>
    <row r="131" spans="1:2" x14ac:dyDescent="0.25">
      <c r="A131" s="60" t="s">
        <v>1164</v>
      </c>
      <c r="B131" s="60">
        <v>1</v>
      </c>
    </row>
    <row r="132" spans="1:2" x14ac:dyDescent="0.25">
      <c r="A132" s="60" t="s">
        <v>826</v>
      </c>
      <c r="B132" s="60">
        <v>1</v>
      </c>
    </row>
  </sheetData>
  <pageMargins left="0.7" right="0.7" top="0.75" bottom="0.75" header="0.3" footer="0.3"/>
  <pageSetup orientation="portrait" horizontalDpi="4294967294"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4D505A-D246-48E6-90F1-D01995778948}">
  <sheetPr codeName="Sheet23">
    <tabColor rgb="FFF6F608"/>
  </sheetPr>
  <dimension ref="A1:L658"/>
  <sheetViews>
    <sheetView tabSelected="1" topLeftCell="A634" zoomScale="85" zoomScaleNormal="85" workbookViewId="0">
      <selection activeCell="A14" sqref="A14:F646"/>
    </sheetView>
  </sheetViews>
  <sheetFormatPr defaultRowHeight="15" x14ac:dyDescent="0.25"/>
  <cols>
    <col min="1" max="1" width="8.140625" style="30" bestFit="1" customWidth="1"/>
    <col min="2" max="2" width="19.140625" style="30" bestFit="1" customWidth="1"/>
    <col min="3" max="3" width="7.28515625" style="30" bestFit="1" customWidth="1"/>
    <col min="4" max="4" width="84.5703125" style="30" bestFit="1" customWidth="1"/>
    <col min="5" max="5" width="13.42578125" style="30" bestFit="1" customWidth="1"/>
    <col min="6" max="6" width="18.7109375" bestFit="1" customWidth="1"/>
    <col min="7" max="7" width="13" bestFit="1" customWidth="1"/>
    <col min="8" max="8" width="13" style="30" customWidth="1"/>
    <col min="9" max="9" width="8.140625" bestFit="1" customWidth="1"/>
    <col min="10" max="10" width="9.5703125" style="30" customWidth="1"/>
    <col min="11" max="11" width="58" style="30" bestFit="1" customWidth="1"/>
    <col min="12" max="12" width="8.42578125" customWidth="1"/>
    <col min="13" max="13" width="15.28515625" customWidth="1"/>
    <col min="14" max="14" width="12.85546875" customWidth="1"/>
    <col min="15" max="15" width="13" customWidth="1"/>
    <col min="16" max="16" width="8.28515625" customWidth="1"/>
    <col min="17" max="17" width="18.7109375" bestFit="1" customWidth="1"/>
    <col min="18" max="18" width="19.140625" bestFit="1" customWidth="1"/>
    <col min="19" max="19" width="9.28515625" bestFit="1" customWidth="1"/>
    <col min="20" max="20" width="8.140625" bestFit="1" customWidth="1"/>
    <col min="21" max="21" width="13.7109375" bestFit="1" customWidth="1"/>
    <col min="22" max="22" width="7.7109375" customWidth="1"/>
  </cols>
  <sheetData>
    <row r="1" spans="1:11" ht="106.9" customHeight="1" x14ac:dyDescent="0.25"/>
    <row r="11" spans="1:11" ht="72" customHeight="1" thickBot="1" x14ac:dyDescent="0.3">
      <c r="A11" s="163" t="s">
        <v>2559</v>
      </c>
      <c r="B11" s="163"/>
      <c r="C11" s="163"/>
      <c r="D11" s="163"/>
      <c r="E11" s="163"/>
      <c r="F11" s="163"/>
    </row>
    <row r="12" spans="1:11" ht="6.6" customHeight="1" thickTop="1" x14ac:dyDescent="0.25">
      <c r="A12" s="83"/>
      <c r="B12" s="83"/>
      <c r="C12" s="83"/>
      <c r="D12" s="83"/>
      <c r="E12" s="83"/>
      <c r="F12" s="83"/>
      <c r="G12" s="106"/>
      <c r="H12"/>
      <c r="J12"/>
      <c r="K12"/>
    </row>
    <row r="13" spans="1:11" x14ac:dyDescent="0.25">
      <c r="A13" s="10" t="s">
        <v>2519</v>
      </c>
      <c r="B13" s="10" t="s">
        <v>20</v>
      </c>
      <c r="C13" s="10" t="s">
        <v>2520</v>
      </c>
      <c r="D13" s="10" t="s">
        <v>23</v>
      </c>
      <c r="E13" s="10" t="s">
        <v>25</v>
      </c>
      <c r="F13" s="10" t="s">
        <v>2558</v>
      </c>
      <c r="H13"/>
      <c r="J13"/>
      <c r="K13"/>
    </row>
    <row r="14" spans="1:11" s="109" customFormat="1" x14ac:dyDescent="0.25">
      <c r="A14" s="131">
        <f>IF(MouserOrderTable[[#This Row],[Qty.]]&gt;0,IF($A13="List #",1,$A13+1),IF($A13="List #",0,$A13))</f>
        <v>0</v>
      </c>
      <c r="B14" s="78" t="str">
        <f>MouserListTable[[#This Row],[SKU]]</f>
        <v>474-WIG-13660</v>
      </c>
      <c r="C14" s="78">
        <f>MouserListTable[[#This Row],['# Initial]]</f>
        <v>0</v>
      </c>
      <c r="D14" s="78" t="str">
        <f>MouserListTable[[#This Row],[Name]]</f>
        <v>WAV Trigger</v>
      </c>
      <c r="E14" s="78">
        <f>MouserListTable[[#This Row],[Price (USD)]]</f>
        <v>49.95</v>
      </c>
      <c r="F14" s="78">
        <f>MouserListTable[[#This Row],[Total Price]]</f>
        <v>0</v>
      </c>
    </row>
    <row r="15" spans="1:11" s="106" customFormat="1" x14ac:dyDescent="0.25">
      <c r="A15" s="131">
        <f>IF(MouserOrderTable[[#This Row],[Qty.]]&gt;0,IF($A14="List #",1,$A14+1),IF($A14="List #",0,$A14))</f>
        <v>0</v>
      </c>
      <c r="B15" s="78" t="str">
        <f>MouserListTable[[#This Row],[SKU]]</f>
        <v>474-COM-14023</v>
      </c>
      <c r="C15" s="78">
        <f>MouserListTable[[#This Row],['# Initial]]</f>
        <v>0</v>
      </c>
      <c r="D15" s="78" t="str">
        <f>MouserListTable[[#This Row],[Name]]</f>
        <v>Hamburger Mini Speaker</v>
      </c>
      <c r="E15" s="78">
        <f>MouserListTable[[#This Row],[Price (USD)]]</f>
        <v>4.95</v>
      </c>
      <c r="F15" s="78">
        <f>MouserListTable[[#This Row],[Total Price]]</f>
        <v>0</v>
      </c>
    </row>
    <row r="16" spans="1:11" s="106" customFormat="1" x14ac:dyDescent="0.25">
      <c r="A16" s="131">
        <f>IF(MouserOrderTable[[#This Row],[Qty.]]&gt;0,IF($A15="List #",1,$A15+1),IF($A15="List #",0,$A15))</f>
        <v>0</v>
      </c>
      <c r="B16" s="78" t="str">
        <f>MouserListTable[[#This Row],[SKU]]</f>
        <v>474-COM-09151</v>
      </c>
      <c r="C16" s="78">
        <f>MouserListTable[[#This Row],['# Initial]]</f>
        <v>0</v>
      </c>
      <c r="D16" s="78" t="str">
        <f>MouserListTable[[#This Row],[Name]]</f>
        <v>Speaker - 0.5W (8 Ohm)</v>
      </c>
      <c r="E16" s="78">
        <f>MouserListTable[[#This Row],[Price (USD)]]</f>
        <v>1.95</v>
      </c>
      <c r="F16" s="78">
        <f>MouserListTable[[#This Row],[Total Price]]</f>
        <v>0</v>
      </c>
    </row>
    <row r="17" spans="1:6" s="106" customFormat="1" x14ac:dyDescent="0.25">
      <c r="A17" s="131">
        <f>IF(MouserOrderTable[[#This Row],[Qty.]]&gt;0,IF($A16="List #",1,$A16+1),IF($A16="List #",0,$A16))</f>
        <v>0</v>
      </c>
      <c r="B17" s="78" t="str">
        <f>MouserListTable[[#This Row],[SKU]]</f>
        <v>474-COM-11145</v>
      </c>
      <c r="C17" s="78">
        <f>MouserListTable[[#This Row],['# Initial]]</f>
        <v>0</v>
      </c>
      <c r="D17" s="78" t="str">
        <f>MouserListTable[[#This Row],[Name]]</f>
        <v>Speaker Terminal - 4 Spring</v>
      </c>
      <c r="E17" s="78">
        <f>MouserListTable[[#This Row],[Price (USD)]]</f>
        <v>0.75</v>
      </c>
      <c r="F17" s="78">
        <f>MouserListTable[[#This Row],[Total Price]]</f>
        <v>0</v>
      </c>
    </row>
    <row r="18" spans="1:6" s="106" customFormat="1" x14ac:dyDescent="0.25">
      <c r="A18" s="131">
        <f>IF(MouserOrderTable[[#This Row],[Qty.]]&gt;0,IF($A17="List #",1,$A17+1),IF($A17="List #",0,$A17))</f>
        <v>0</v>
      </c>
      <c r="B18" s="78" t="str">
        <f>MouserListTable[[#This Row],[SKU]]</f>
        <v>474-ROB-08449</v>
      </c>
      <c r="C18" s="78">
        <f>MouserListTable[[#This Row],['# Initial]]</f>
        <v>0</v>
      </c>
      <c r="D18" s="78" t="str">
        <f>MouserListTable[[#This Row],[Name]]</f>
        <v>Vibration Motor</v>
      </c>
      <c r="E18" s="78">
        <f>MouserListTable[[#This Row],[Price (USD)]]</f>
        <v>4.95</v>
      </c>
      <c r="F18" s="78">
        <f>MouserListTable[[#This Row],[Total Price]]</f>
        <v>0</v>
      </c>
    </row>
    <row r="19" spans="1:6" s="106" customFormat="1" x14ac:dyDescent="0.25">
      <c r="A19" s="131">
        <f>IF(MouserOrderTable[[#This Row],[Qty.]]&gt;0,IF($A18="List #",1,$A18+1),IF($A18="List #",0,$A18))</f>
        <v>0</v>
      </c>
      <c r="B19" s="78" t="str">
        <f>MouserListTable[[#This Row],[SKU]]</f>
        <v>474-DEV-11711</v>
      </c>
      <c r="C19" s="78">
        <f>MouserListTable[[#This Row],['# Initial]]</f>
        <v>0</v>
      </c>
      <c r="D19" s="78" t="str">
        <f>MouserListTable[[#This Row],[Name]]</f>
        <v>Text-to-Speech Module - Emic 2</v>
      </c>
      <c r="E19" s="78">
        <f>MouserListTable[[#This Row],[Price (USD)]]</f>
        <v>59.95</v>
      </c>
      <c r="F19" s="78">
        <f>MouserListTable[[#This Row],[Total Price]]</f>
        <v>0</v>
      </c>
    </row>
    <row r="20" spans="1:6" s="106" customFormat="1" x14ac:dyDescent="0.25">
      <c r="A20" s="131">
        <f>IF(MouserOrderTable[[#This Row],[Qty.]]&gt;0,IF($A19="List #",1,$A19+1),IF($A19="List #",0,$A19))</f>
        <v>0</v>
      </c>
      <c r="B20" s="78" t="str">
        <f>MouserListTable[[#This Row],[SKU]]</f>
        <v>474-BOB-09868</v>
      </c>
      <c r="C20" s="78">
        <f>MouserListTable[[#This Row],['# Initial]]</f>
        <v>0</v>
      </c>
      <c r="D20" s="78" t="str">
        <f>MouserListTable[[#This Row],[Name]]</f>
        <v>SparkFun MEMS Microphone Breakout - INMP401 (ADMP401)</v>
      </c>
      <c r="E20" s="78">
        <f>MouserListTable[[#This Row],[Price (USD)]]</f>
        <v>9.9499999999999993</v>
      </c>
      <c r="F20" s="78">
        <f>MouserListTable[[#This Row],[Total Price]]</f>
        <v>0</v>
      </c>
    </row>
    <row r="21" spans="1:6" s="106" customFormat="1" x14ac:dyDescent="0.25">
      <c r="A21" s="131">
        <f>IF(MouserOrderTable[[#This Row],[Qty.]]&gt;0,IF($A20="List #",1,$A20+1),IF($A20="List #",0,$A20))</f>
        <v>0</v>
      </c>
      <c r="B21" s="78" t="str">
        <f>MouserListTable[[#This Row],[SKU]]</f>
        <v>474-COM-08635</v>
      </c>
      <c r="C21" s="78">
        <f>MouserListTable[[#This Row],['# Initial]]</f>
        <v>0</v>
      </c>
      <c r="D21" s="78" t="str">
        <f>MouserListTable[[#This Row],[Name]]</f>
        <v>Electret Microphone</v>
      </c>
      <c r="E21" s="78">
        <f>MouserListTable[[#This Row],[Price (USD)]]</f>
        <v>0.95</v>
      </c>
      <c r="F21" s="78">
        <f>MouserListTable[[#This Row],[Total Price]]</f>
        <v>0</v>
      </c>
    </row>
    <row r="22" spans="1:6" s="106" customFormat="1" x14ac:dyDescent="0.25">
      <c r="A22" s="131">
        <f>IF(MouserOrderTable[[#This Row],[Qty.]]&gt;0,IF($A21="List #",1,$A21+1),IF($A21="List #",0,$A21))</f>
        <v>0</v>
      </c>
      <c r="B22" s="78" t="str">
        <f>MouserListTable[[#This Row],[SKU]]</f>
        <v>474-BOB-12758</v>
      </c>
      <c r="C22" s="78">
        <f>MouserListTable[[#This Row],['# Initial]]</f>
        <v>0</v>
      </c>
      <c r="D22" s="78" t="str">
        <f>MouserListTable[[#This Row],[Name]]</f>
        <v>SparkFun Electret Microphone Breakout</v>
      </c>
      <c r="E22" s="78">
        <f>MouserListTable[[#This Row],[Price (USD)]]</f>
        <v>5.95</v>
      </c>
      <c r="F22" s="78">
        <f>MouserListTable[[#This Row],[Total Price]]</f>
        <v>0</v>
      </c>
    </row>
    <row r="23" spans="1:6" s="106" customFormat="1" x14ac:dyDescent="0.25">
      <c r="A23" s="131">
        <f>IF(MouserOrderTable[[#This Row],[Qty.]]&gt;0,IF($A22="List #",1,$A22+1),IF($A22="List #",0,$A22))</f>
        <v>0</v>
      </c>
      <c r="B23" s="78" t="str">
        <f>MouserListTable[[#This Row],[SKU]]</f>
        <v>474-SEN-12642</v>
      </c>
      <c r="C23" s="78">
        <f>MouserListTable[[#This Row],['# Initial]]</f>
        <v>0</v>
      </c>
      <c r="D23" s="78" t="str">
        <f>MouserListTable[[#This Row],[Name]]</f>
        <v>SparkFun Sound Detector</v>
      </c>
      <c r="E23" s="78">
        <f>MouserListTable[[#This Row],[Price (USD)]]</f>
        <v>10.95</v>
      </c>
      <c r="F23" s="78">
        <f>MouserListTable[[#This Row],[Total Price]]</f>
        <v>0</v>
      </c>
    </row>
    <row r="24" spans="1:6" s="106" customFormat="1" x14ac:dyDescent="0.25">
      <c r="A24" s="131">
        <f>IF(MouserOrderTable[[#This Row],[Qty.]]&gt;0,IF($A23="List #",1,$A23+1),IF($A23="List #",0,$A23))</f>
        <v>0</v>
      </c>
      <c r="B24" s="78" t="str">
        <f>MouserListTable[[#This Row],[SKU]]</f>
        <v>485-94</v>
      </c>
      <c r="C24" s="78">
        <f>MouserListTable[[#This Row],['# Initial]]</f>
        <v>0</v>
      </c>
      <c r="D24" s="78" t="str">
        <f>MouserListTable[[#This Row],[Name]]</f>
        <v xml:space="preserve">Adafruit Wave Shield for Arduino Kit - v1.1 </v>
      </c>
      <c r="E24" s="78">
        <f>MouserListTable[[#This Row],[Price (USD)]]</f>
        <v>22</v>
      </c>
      <c r="F24" s="78">
        <f>MouserListTable[[#This Row],[Total Price]]</f>
        <v>0</v>
      </c>
    </row>
    <row r="25" spans="1:6" s="106" customFormat="1" x14ac:dyDescent="0.25">
      <c r="A25" s="131">
        <f>IF(MouserOrderTable[[#This Row],[Qty.]]&gt;0,IF($A24="List #",1,$A24+1),IF($A24="List #",0,$A24))</f>
        <v>0</v>
      </c>
      <c r="B25" s="78" t="str">
        <f>MouserListTable[[#This Row],[SKU]]</f>
        <v>474-WRL-11924</v>
      </c>
      <c r="C25" s="78">
        <f>MouserListTable[[#This Row],['# Initial]]</f>
        <v>0</v>
      </c>
      <c r="D25" s="78" t="str">
        <f>MouserListTable[[#This Row],[Name]]</f>
        <v>SparkFun Purpletooth Jamboree - BC127 Development Board</v>
      </c>
      <c r="E25" s="78">
        <f>MouserListTable[[#This Row],[Price (USD)]]</f>
        <v>49.95</v>
      </c>
      <c r="F25" s="78">
        <f>MouserListTable[[#This Row],[Total Price]]</f>
        <v>0</v>
      </c>
    </row>
    <row r="26" spans="1:6" s="106" customFormat="1" x14ac:dyDescent="0.25">
      <c r="A26" s="131">
        <f>IF(MouserOrderTable[[#This Row],[Qty.]]&gt;0,IF($A25="List #",1,$A25+1),IF($A25="List #",0,$A25))</f>
        <v>0</v>
      </c>
      <c r="B26" s="78" t="str">
        <f>MouserListTable[[#This Row],[SKU]]</f>
        <v>474-WRL-11927</v>
      </c>
      <c r="C26" s="78">
        <f>MouserListTable[[#This Row],['# Initial]]</f>
        <v>0</v>
      </c>
      <c r="D26" s="78" t="str">
        <f>MouserListTable[[#This Row],[Name]]</f>
        <v>SparkFun Bluetooth Audio Breakout - BC127</v>
      </c>
      <c r="E26" s="78">
        <f>MouserListTable[[#This Row],[Price (USD)]]</f>
        <v>44.95</v>
      </c>
      <c r="F26" s="78">
        <f>MouserListTable[[#This Row],[Total Price]]</f>
        <v>0</v>
      </c>
    </row>
    <row r="27" spans="1:6" s="106" customFormat="1" x14ac:dyDescent="0.25">
      <c r="A27" s="131">
        <f>IF(MouserOrderTable[[#This Row],[Qty.]]&gt;0,IF($A26="List #",1,$A26+1),IF($A26="List #",0,$A26))</f>
        <v>0</v>
      </c>
      <c r="B27" s="78" t="str">
        <f>MouserListTable[[#This Row],[SKU]]</f>
        <v>485-3369</v>
      </c>
      <c r="C27" s="78">
        <f>MouserListTable[[#This Row],['# Initial]]</f>
        <v>0</v>
      </c>
      <c r="D27" s="78" t="str">
        <f>MouserListTable[[#This Row],[Name]]</f>
        <v xml:space="preserve">Mini External USB Stereo Speaker </v>
      </c>
      <c r="E27" s="78">
        <f>MouserListTable[[#This Row],[Price (USD)]]</f>
        <v>12.5</v>
      </c>
      <c r="F27" s="78">
        <f>MouserListTable[[#This Row],[Total Price]]</f>
        <v>0</v>
      </c>
    </row>
    <row r="28" spans="1:6" s="106" customFormat="1" x14ac:dyDescent="0.25">
      <c r="A28" s="131">
        <f>IF(MouserOrderTable[[#This Row],[Qty.]]&gt;0,IF($A27="List #",1,$A27+1),IF($A27="List #",0,$A27))</f>
        <v>0</v>
      </c>
      <c r="B28" s="78" t="str">
        <f>MouserListTable[[#This Row],[SKU]]</f>
        <v>485-3367</v>
      </c>
      <c r="C28" s="78">
        <f>MouserListTable[[#This Row],['# Initial]]</f>
        <v>0</v>
      </c>
      <c r="D28" s="78" t="str">
        <f>MouserListTable[[#This Row],[Name]]</f>
        <v xml:space="preserve">Mini USB Microphone </v>
      </c>
      <c r="E28" s="78">
        <f>MouserListTable[[#This Row],[Price (USD)]]</f>
        <v>5.95</v>
      </c>
      <c r="F28" s="78">
        <f>MouserListTable[[#This Row],[Total Price]]</f>
        <v>0</v>
      </c>
    </row>
    <row r="29" spans="1:6" s="106" customFormat="1" x14ac:dyDescent="0.25">
      <c r="A29" s="131">
        <f>IF(MouserOrderTable[[#This Row],[Qty.]]&gt;0,IF($A28="List #",1,$A28+1),IF($A28="List #",0,$A28))</f>
        <v>0</v>
      </c>
      <c r="B29" s="78" t="str">
        <f>MouserListTable[[#This Row],[SKU]]</f>
        <v>485-3351</v>
      </c>
      <c r="C29" s="78">
        <f>MouserListTable[[#This Row],['# Initial]]</f>
        <v>0</v>
      </c>
      <c r="D29" s="78" t="str">
        <f>MouserListTable[[#This Row],[Name]]</f>
        <v xml:space="preserve">Mono Enclosed Speaker - 3W 4 Ohm </v>
      </c>
      <c r="E29" s="78">
        <f>MouserListTable[[#This Row],[Price (USD)]]</f>
        <v>3.95</v>
      </c>
      <c r="F29" s="78">
        <f>MouserListTable[[#This Row],[Total Price]]</f>
        <v>0</v>
      </c>
    </row>
    <row r="30" spans="1:6" s="106" customFormat="1" x14ac:dyDescent="0.25">
      <c r="A30" s="131">
        <f>IF(MouserOrderTable[[#This Row],[Qty.]]&gt;0,IF($A29="List #",1,$A29+1),IF($A29="List #",0,$A29))</f>
        <v>0</v>
      </c>
      <c r="B30" s="78" t="str">
        <f>MouserListTable[[#This Row],[SKU]]</f>
        <v>485-1314</v>
      </c>
      <c r="C30" s="78">
        <f>MouserListTable[[#This Row],['# Initial]]</f>
        <v>0</v>
      </c>
      <c r="D30" s="78" t="str">
        <f>MouserListTable[[#This Row],[Name]]</f>
        <v xml:space="preserve">Speaker - 3" Diameter - 4 Ohm 3 Watt </v>
      </c>
      <c r="E30" s="78">
        <f>MouserListTable[[#This Row],[Price (USD)]]</f>
        <v>1.95</v>
      </c>
      <c r="F30" s="78">
        <f>MouserListTable[[#This Row],[Total Price]]</f>
        <v>0</v>
      </c>
    </row>
    <row r="31" spans="1:6" s="106" customFormat="1" x14ac:dyDescent="0.25">
      <c r="A31" s="131">
        <f>IF(MouserOrderTable[[#This Row],[Qty.]]&gt;0,IF($A30="List #",1,$A30+1),IF($A30="List #",0,$A30))</f>
        <v>0</v>
      </c>
      <c r="B31" s="78" t="str">
        <f>MouserListTable[[#This Row],[SKU]]</f>
        <v>485-1313</v>
      </c>
      <c r="C31" s="78">
        <f>MouserListTable[[#This Row],['# Initial]]</f>
        <v>0</v>
      </c>
      <c r="D31" s="78" t="str">
        <f>MouserListTable[[#This Row],[Name]]</f>
        <v xml:space="preserve">Speaker - 3" Diameter - 8 Ohm 1 Watt </v>
      </c>
      <c r="E31" s="78">
        <f>MouserListTable[[#This Row],[Price (USD)]]</f>
        <v>1.95</v>
      </c>
      <c r="F31" s="78">
        <f>MouserListTable[[#This Row],[Total Price]]</f>
        <v>0</v>
      </c>
    </row>
    <row r="32" spans="1:6" s="106" customFormat="1" x14ac:dyDescent="0.25">
      <c r="A32" s="131">
        <f>IF(MouserOrderTable[[#This Row],[Qty.]]&gt;0,IF($A31="List #",1,$A31+1),IF($A31="List #",0,$A31))</f>
        <v>0</v>
      </c>
      <c r="B32" s="78" t="str">
        <f>MouserListTable[[#This Row],[SKU]]</f>
        <v>485-1669</v>
      </c>
      <c r="C32" s="78">
        <f>MouserListTable[[#This Row],['# Initial]]</f>
        <v>0</v>
      </c>
      <c r="D32" s="78" t="str">
        <f>MouserListTable[[#This Row],[Name]]</f>
        <v xml:space="preserve">Stereo Enclosed Speaker Set - 3W 4 Ohm </v>
      </c>
      <c r="E32" s="130">
        <f>MouserListTable[[#This Row],[Price (USD)]]</f>
        <v>7.5</v>
      </c>
      <c r="F32" s="130">
        <f>MouserListTable[[#This Row],[Total Price]]</f>
        <v>0</v>
      </c>
    </row>
    <row r="33" spans="1:6" s="106" customFormat="1" x14ac:dyDescent="0.25">
      <c r="A33" s="131">
        <f>IF(MouserOrderTable[[#This Row],[Qty.]]&gt;0,IF($A32="List #",1,$A32+1),IF($A32="List #",0,$A32))</f>
        <v>0</v>
      </c>
      <c r="B33" s="78" t="str">
        <f>MouserListTable[[#This Row],[SKU]]</f>
        <v>485-1363</v>
      </c>
      <c r="C33" s="78">
        <f>MouserListTable[[#This Row],['# Initial]]</f>
        <v>0</v>
      </c>
      <c r="D33" s="78" t="str">
        <f>MouserListTable[[#This Row],[Name]]</f>
        <v xml:space="preserve">USB Powered Speakers </v>
      </c>
      <c r="E33" s="130">
        <f>MouserListTable[[#This Row],[Price (USD)]]</f>
        <v>9.9499999999999993</v>
      </c>
      <c r="F33" s="130">
        <f>MouserListTable[[#This Row],[Total Price]]</f>
        <v>0</v>
      </c>
    </row>
    <row r="34" spans="1:6" s="106" customFormat="1" x14ac:dyDescent="0.25">
      <c r="A34" s="131">
        <f>IF(MouserOrderTable[[#This Row],[Qty.]]&gt;0,IF($A33="List #",1,$A33+1),IF($A33="List #",0,$A33))</f>
        <v>1</v>
      </c>
      <c r="B34" s="78" t="str">
        <f>MouserListTable[[#This Row],[SKU]]</f>
        <v>474-WRL-11373</v>
      </c>
      <c r="C34" s="78">
        <f>MouserListTable[[#This Row],['# Initial]]</f>
        <v>5</v>
      </c>
      <c r="D34" s="78" t="str">
        <f>MouserListTable[[#This Row],[Name]]</f>
        <v>SparkFun XBee Explorer Regulated</v>
      </c>
      <c r="E34" s="78">
        <f>MouserListTable[[#This Row],[Price (USD)]]</f>
        <v>9.9499999999999993</v>
      </c>
      <c r="F34" s="78">
        <f>MouserListTable[[#This Row],[Total Price]]</f>
        <v>49.75</v>
      </c>
    </row>
    <row r="35" spans="1:6" s="106" customFormat="1" x14ac:dyDescent="0.25">
      <c r="A35" s="131">
        <f>IF(MouserOrderTable[[#This Row],[Qty.]]&gt;0,IF($A34="List #",1,$A34+1),IF($A34="List #",0,$A34))</f>
        <v>2</v>
      </c>
      <c r="B35" s="78" t="str">
        <f>MouserListTable[[#This Row],[SKU]]</f>
        <v>474-WRL-11697</v>
      </c>
      <c r="C35" s="78">
        <f>MouserListTable[[#This Row],['# Initial]]</f>
        <v>5</v>
      </c>
      <c r="D35" s="78" t="str">
        <f>MouserListTable[[#This Row],[Name]]</f>
        <v>SparkFun XBee Explorer Dongle</v>
      </c>
      <c r="E35" s="130">
        <f>MouserListTable[[#This Row],[Price (USD)]]</f>
        <v>24.95</v>
      </c>
      <c r="F35" s="130">
        <f>MouserListTable[[#This Row],[Total Price]]</f>
        <v>124.75</v>
      </c>
    </row>
    <row r="36" spans="1:6" s="106" customFormat="1" x14ac:dyDescent="0.25">
      <c r="A36" s="131">
        <f>IF(MouserOrderTable[[#This Row],[Qty.]]&gt;0,IF($A35="List #",1,$A35+1),IF($A35="List #",0,$A35))</f>
        <v>2</v>
      </c>
      <c r="B36" s="78" t="str">
        <f>MouserListTable[[#This Row],[SKU]]</f>
        <v>474-WRL-09434</v>
      </c>
      <c r="C36" s="78">
        <f>MouserListTable[[#This Row],['# Initial]]</f>
        <v>0</v>
      </c>
      <c r="D36" s="78" t="str">
        <f>MouserListTable[[#This Row],[Name]]</f>
        <v>Bluetooth USB Module Mini</v>
      </c>
      <c r="E36" s="78">
        <f>MouserListTable[[#This Row],[Price (USD)]]</f>
        <v>10.95</v>
      </c>
      <c r="F36" s="78">
        <f>MouserListTable[[#This Row],[Total Price]]</f>
        <v>0</v>
      </c>
    </row>
    <row r="37" spans="1:6" s="106" customFormat="1" x14ac:dyDescent="0.25">
      <c r="A37" s="131">
        <f>IF(MouserOrderTable[[#This Row],[Qty.]]&gt;0,IF($A36="List #",1,$A36+1),IF($A36="List #",0,$A36))</f>
        <v>3</v>
      </c>
      <c r="B37" s="78" t="str">
        <f>MouserListTable[[#This Row],[SKU]]</f>
        <v>474-WRL-11601</v>
      </c>
      <c r="C37" s="78">
        <f>MouserListTable[[#This Row],['# Initial]]</f>
        <v>10</v>
      </c>
      <c r="D37" s="78" t="str">
        <f>MouserListTable[[#This Row],[Name]]</f>
        <v>RN42-XV Bluetooth Module - PCB Antenna</v>
      </c>
      <c r="E37" s="78">
        <f>MouserListTable[[#This Row],[Price (USD)]]</f>
        <v>24.95</v>
      </c>
      <c r="F37" s="78">
        <f>MouserListTable[[#This Row],[Total Price]]</f>
        <v>249.5</v>
      </c>
    </row>
    <row r="38" spans="1:6" s="104" customFormat="1" x14ac:dyDescent="0.25">
      <c r="A38" s="131">
        <f>IF(MouserOrderTable[[#This Row],[Qty.]]&gt;0,IF($A37="List #",1,$A37+1),IF($A37="List #",0,$A37))</f>
        <v>3</v>
      </c>
      <c r="B38" s="78" t="str">
        <f>MouserListTable[[#This Row],[SKU]]</f>
        <v>474-WIG-12772</v>
      </c>
      <c r="C38" s="78">
        <f>MouserListTable[[#This Row],['# Initial]]</f>
        <v>0</v>
      </c>
      <c r="D38" s="78" t="str">
        <f>MouserListTable[[#This Row],[Name]]</f>
        <v>SparkFun Logomatic v2 - Serial SD Datalogger (FAT32)</v>
      </c>
      <c r="E38" s="78">
        <f>MouserListTable[[#This Row],[Price (USD)]]</f>
        <v>54.95</v>
      </c>
      <c r="F38" s="78">
        <f>MouserListTable[[#This Row],[Total Price]]</f>
        <v>0</v>
      </c>
    </row>
    <row r="39" spans="1:6" s="106" customFormat="1" x14ac:dyDescent="0.25">
      <c r="A39" s="131">
        <f>IF(MouserOrderTable[[#This Row],[Qty.]]&gt;0,IF($A38="List #",1,$A38+1),IF($A38="List #",0,$A38))</f>
        <v>3</v>
      </c>
      <c r="B39" s="78" t="str">
        <f>MouserListTable[[#This Row],[SKU]]</f>
        <v>474-DEV-13712</v>
      </c>
      <c r="C39" s="78">
        <f>MouserListTable[[#This Row],['# Initial]]</f>
        <v>0</v>
      </c>
      <c r="D39" s="78" t="str">
        <f>MouserListTable[[#This Row],[Name]]</f>
        <v>SparkFun OpenLog</v>
      </c>
      <c r="E39" s="130">
        <f>MouserListTable[[#This Row],[Price (USD)]]</f>
        <v>14.95</v>
      </c>
      <c r="F39" s="130">
        <f>MouserListTable[[#This Row],[Total Price]]</f>
        <v>0</v>
      </c>
    </row>
    <row r="40" spans="1:6" s="106" customFormat="1" x14ac:dyDescent="0.25">
      <c r="A40" s="131">
        <f>IF(MouserOrderTable[[#This Row],[Qty.]]&gt;0,IF($A39="List #",1,$A39+1),IF($A39="List #",0,$A39))</f>
        <v>3</v>
      </c>
      <c r="B40" s="78" t="str">
        <f>MouserListTable[[#This Row],[SKU]]</f>
        <v>474-DEV-12761</v>
      </c>
      <c r="C40" s="78">
        <f>MouserListTable[[#This Row],['# Initial]]</f>
        <v>0</v>
      </c>
      <c r="D40" s="78" t="str">
        <f>MouserListTable[[#This Row],[Name]]</f>
        <v>SparkFun microSD Shield</v>
      </c>
      <c r="E40" s="78">
        <f>MouserListTable[[#This Row],[Price (USD)]]</f>
        <v>14.95</v>
      </c>
      <c r="F40" s="78">
        <f>MouserListTable[[#This Row],[Total Price]]</f>
        <v>0</v>
      </c>
    </row>
    <row r="41" spans="1:6" s="106" customFormat="1" x14ac:dyDescent="0.25">
      <c r="A41" s="131">
        <f>IF(MouserOrderTable[[#This Row],[Qty.]]&gt;0,IF($A40="List #",1,$A40+1),IF($A40="List #",0,$A40))</f>
        <v>4</v>
      </c>
      <c r="B41" s="78" t="str">
        <f>MouserListTable[[#This Row],[SKU]]</f>
        <v>474-COM-13004</v>
      </c>
      <c r="C41" s="78">
        <f>MouserListTable[[#This Row],['# Initial]]</f>
        <v>5</v>
      </c>
      <c r="D41" s="78" t="str">
        <f>MouserListTable[[#This Row],[Name]]</f>
        <v>microSD USB Reader</v>
      </c>
      <c r="E41" s="130">
        <f>MouserListTable[[#This Row],[Price (USD)]]</f>
        <v>4.95</v>
      </c>
      <c r="F41" s="130">
        <f>MouserListTable[[#This Row],[Total Price]]</f>
        <v>24.75</v>
      </c>
    </row>
    <row r="42" spans="1:6" s="106" customFormat="1" x14ac:dyDescent="0.25">
      <c r="A42" s="131">
        <f>IF(MouserOrderTable[[#This Row],[Qty.]]&gt;0,IF($A41="List #",1,$A41+1),IF($A41="List #",0,$A41))</f>
        <v>5</v>
      </c>
      <c r="B42" s="78" t="str">
        <f>MouserListTable[[#This Row],[SKU]]</f>
        <v>474-TOL-09419</v>
      </c>
      <c r="C42" s="78">
        <f>MouserListTable[[#This Row],['# Initial]]</f>
        <v>1</v>
      </c>
      <c r="D42" s="78" t="str">
        <f>MouserListTable[[#This Row],[Name]]</f>
        <v>SparkFun microSD Sniffer</v>
      </c>
      <c r="E42" s="130">
        <f>MouserListTable[[#This Row],[Price (USD)]]</f>
        <v>9.9499999999999993</v>
      </c>
      <c r="F42" s="130">
        <f>MouserListTable[[#This Row],[Total Price]]</f>
        <v>9.9499999999999993</v>
      </c>
    </row>
    <row r="43" spans="1:6" s="106" customFormat="1" x14ac:dyDescent="0.25">
      <c r="A43" s="131">
        <f>IF(MouserOrderTable[[#This Row],[Qty.]]&gt;0,IF($A42="List #",1,$A42+1),IF($A42="List #",0,$A42))</f>
        <v>5</v>
      </c>
      <c r="B43" s="78" t="str">
        <f>MouserListTable[[#This Row],[SKU]]</f>
        <v>474-BOB-12941</v>
      </c>
      <c r="C43" s="78">
        <f>MouserListTable[[#This Row],['# Initial]]</f>
        <v>0</v>
      </c>
      <c r="D43" s="78" t="str">
        <f>MouserListTable[[#This Row],[Name]]</f>
        <v>SparkFun SD/MMC Card Breakout</v>
      </c>
      <c r="E43" s="78">
        <f>MouserListTable[[#This Row],[Price (USD)]]</f>
        <v>9.9499999999999993</v>
      </c>
      <c r="F43" s="78">
        <f>MouserListTable[[#This Row],[Total Price]]</f>
        <v>0</v>
      </c>
    </row>
    <row r="44" spans="1:6" s="106" customFormat="1" x14ac:dyDescent="0.25">
      <c r="A44" s="131">
        <f>IF(MouserOrderTable[[#This Row],[Qty.]]&gt;0,IF($A43="List #",1,$A43+1),IF($A43="List #",0,$A43))</f>
        <v>6</v>
      </c>
      <c r="B44" s="78" t="str">
        <f>MouserListTable[[#This Row],[SKU]]</f>
        <v>474-DEV-13743</v>
      </c>
      <c r="C44" s="78">
        <f>MouserListTable[[#This Row],['# Initial]]</f>
        <v>5</v>
      </c>
      <c r="D44" s="78" t="str">
        <f>MouserListTable[[#This Row],[Name]]</f>
        <v>SparkFun Level Shifting microSD Breakout</v>
      </c>
      <c r="E44" s="130">
        <f>MouserListTable[[#This Row],[Price (USD)]]</f>
        <v>4.95</v>
      </c>
      <c r="F44" s="130">
        <f>MouserListTable[[#This Row],[Total Price]]</f>
        <v>24.75</v>
      </c>
    </row>
    <row r="45" spans="1:6" s="106" customFormat="1" x14ac:dyDescent="0.25">
      <c r="A45" s="131">
        <f>IF(MouserOrderTable[[#This Row],[Qty.]]&gt;0,IF($A44="List #",1,$A44+1),IF($A44="List #",0,$A44))</f>
        <v>7</v>
      </c>
      <c r="B45" s="78" t="str">
        <f>MouserListTable[[#This Row],[SKU]]</f>
        <v>474-COM-13833</v>
      </c>
      <c r="C45" s="78">
        <f>MouserListTable[[#This Row],['# Initial]]</f>
        <v>5</v>
      </c>
      <c r="D45" s="78" t="str">
        <f>MouserListTable[[#This Row],[Name]]</f>
        <v>microSD Card with Adapter - 16GB (Class 10)</v>
      </c>
      <c r="E45" s="78">
        <f>MouserListTable[[#This Row],[Price (USD)]]</f>
        <v>19.95</v>
      </c>
      <c r="F45" s="78">
        <f>MouserListTable[[#This Row],[Total Price]]</f>
        <v>99.75</v>
      </c>
    </row>
    <row r="46" spans="1:6" s="106" customFormat="1" x14ac:dyDescent="0.25">
      <c r="A46" s="131">
        <f>IF(MouserOrderTable[[#This Row],[Qty.]]&gt;0,IF($A45="List #",1,$A45+1),IF($A45="List #",0,$A45))</f>
        <v>7</v>
      </c>
      <c r="B46" s="78" t="str">
        <f>MouserListTable[[#This Row],[SKU]]</f>
        <v>485-102</v>
      </c>
      <c r="C46" s="78">
        <f>MouserListTable[[#This Row],['# Initial]]</f>
        <v>0</v>
      </c>
      <c r="D46" s="78" t="str">
        <f>MouserListTable[[#This Row],[Name]]</f>
        <v xml:space="preserve">4GB Blank SD/MicroSD Memory Card </v>
      </c>
      <c r="E46" s="78">
        <f>MouserListTable[[#This Row],[Price (USD)]]</f>
        <v>7.95</v>
      </c>
      <c r="F46" s="78">
        <f>MouserListTable[[#This Row],[Total Price]]</f>
        <v>0</v>
      </c>
    </row>
    <row r="47" spans="1:6" s="106" customFormat="1" x14ac:dyDescent="0.25">
      <c r="A47" s="131">
        <f>IF(MouserOrderTable[[#This Row],[Qty.]]&gt;0,IF($A46="List #",1,$A46+1),IF($A46="List #",0,$A46))</f>
        <v>7</v>
      </c>
      <c r="B47" s="78" t="str">
        <f>MouserListTable[[#This Row],[SKU]]</f>
        <v>485-2693</v>
      </c>
      <c r="C47" s="78">
        <f>MouserListTable[[#This Row],['# Initial]]</f>
        <v>0</v>
      </c>
      <c r="D47" s="78" t="str">
        <f>MouserListTable[[#This Row],[Name]]</f>
        <v xml:space="preserve">SD/MicroSD Memory Card - 16GB Class 10 - Adapter Included </v>
      </c>
      <c r="E47" s="78">
        <f>MouserListTable[[#This Row],[Price (USD)]]</f>
        <v>19.95</v>
      </c>
      <c r="F47" s="78">
        <f>MouserListTable[[#This Row],[Total Price]]</f>
        <v>0</v>
      </c>
    </row>
    <row r="48" spans="1:6" s="106" customFormat="1" x14ac:dyDescent="0.25">
      <c r="A48" s="131">
        <f>IF(MouserOrderTable[[#This Row],[Qty.]]&gt;0,IF($A47="List #",1,$A47+1),IF($A47="List #",0,$A47))</f>
        <v>7</v>
      </c>
      <c r="B48" s="78" t="str">
        <f>MouserListTable[[#This Row],[SKU]]</f>
        <v>485-1294</v>
      </c>
      <c r="C48" s="78">
        <f>MouserListTable[[#This Row],['# Initial]]</f>
        <v>0</v>
      </c>
      <c r="D48" s="78" t="str">
        <f>MouserListTable[[#This Row],[Name]]</f>
        <v xml:space="preserve">SD/MicroSD Memory Card (8 GB SDHC) </v>
      </c>
      <c r="E48" s="130">
        <f>MouserListTable[[#This Row],[Price (USD)]]</f>
        <v>9.9499999999999993</v>
      </c>
      <c r="F48" s="130">
        <f>MouserListTable[[#This Row],[Total Price]]</f>
        <v>0</v>
      </c>
    </row>
    <row r="49" spans="1:6" s="106" customFormat="1" x14ac:dyDescent="0.25">
      <c r="A49" s="131">
        <f>IF(MouserOrderTable[[#This Row],[Qty.]]&gt;0,IF($A48="List #",1,$A48+1),IF($A48="List #",0,$A48))</f>
        <v>7</v>
      </c>
      <c r="B49" s="78" t="str">
        <f>MouserListTable[[#This Row],[SKU]]</f>
        <v>474-TOL-12078</v>
      </c>
      <c r="C49" s="78">
        <f>MouserListTable[[#This Row],['# Initial]]</f>
        <v>0</v>
      </c>
      <c r="D49" s="78" t="str">
        <f>MouserListTable[[#This Row],[Name]]</f>
        <v>Multimeter Probes - Needle Tipped</v>
      </c>
      <c r="E49" s="78">
        <f>MouserListTable[[#This Row],[Price (USD)]]</f>
        <v>4.95</v>
      </c>
      <c r="F49" s="78">
        <f>MouserListTable[[#This Row],[Total Price]]</f>
        <v>0</v>
      </c>
    </row>
    <row r="50" spans="1:6" s="106" customFormat="1" x14ac:dyDescent="0.25">
      <c r="A50" s="131">
        <f>IF(MouserOrderTable[[#This Row],[Qty.]]&gt;0,IF($A49="List #",1,$A49+1),IF($A49="List #",0,$A49))</f>
        <v>8</v>
      </c>
      <c r="B50" s="78" t="str">
        <f>MouserListTable[[#This Row],[SKU]]</f>
        <v>474-TOL-11060</v>
      </c>
      <c r="C50" s="78">
        <f>MouserListTable[[#This Row],['# Initial]]</f>
        <v>1</v>
      </c>
      <c r="D50" s="78" t="str">
        <f>MouserListTable[[#This Row],[Name]]</f>
        <v>Multimeter Probes - Tweezers</v>
      </c>
      <c r="E50" s="78">
        <f>MouserListTable[[#This Row],[Price (USD)]]</f>
        <v>4.95</v>
      </c>
      <c r="F50" s="78">
        <f>MouserListTable[[#This Row],[Total Price]]</f>
        <v>4.95</v>
      </c>
    </row>
    <row r="51" spans="1:6" s="106" customFormat="1" x14ac:dyDescent="0.25">
      <c r="A51" s="131">
        <f>IF(MouserOrderTable[[#This Row],[Qty.]]&gt;0,IF($A50="List #",1,$A50+1),IF($A50="List #",0,$A50))</f>
        <v>8</v>
      </c>
      <c r="B51" s="78" t="str">
        <f>MouserListTable[[#This Row],[SKU]]</f>
        <v>474-PRT-12978</v>
      </c>
      <c r="C51" s="78">
        <f>MouserListTable[[#This Row],['# Initial]]</f>
        <v>0</v>
      </c>
      <c r="D51" s="78" t="str">
        <f>MouserListTable[[#This Row],[Name]]</f>
        <v>Alligator Test Leads - Multicolored (10 Pack)</v>
      </c>
      <c r="E51" s="78">
        <f>MouserListTable[[#This Row],[Price (USD)]]</f>
        <v>2.95</v>
      </c>
      <c r="F51" s="78">
        <f>MouserListTable[[#This Row],[Total Price]]</f>
        <v>0</v>
      </c>
    </row>
    <row r="52" spans="1:6" s="106" customFormat="1" x14ac:dyDescent="0.25">
      <c r="A52" s="131">
        <f>IF(MouserOrderTable[[#This Row],[Qty.]]&gt;0,IF($A51="List #",1,$A51+1),IF($A51="List #",0,$A51))</f>
        <v>8</v>
      </c>
      <c r="B52" s="78" t="str">
        <f>MouserListTable[[#This Row],[SKU]]</f>
        <v>474-CAB-00508</v>
      </c>
      <c r="C52" s="78">
        <f>MouserListTable[[#This Row],['# Initial]]</f>
        <v>0</v>
      </c>
      <c r="D52" s="78" t="str">
        <f>MouserListTable[[#This Row],[Name]]</f>
        <v>Banana to Alligator Cable</v>
      </c>
      <c r="E52" s="78">
        <f>MouserListTable[[#This Row],[Price (USD)]]</f>
        <v>3.95</v>
      </c>
      <c r="F52" s="78">
        <f>MouserListTable[[#This Row],[Total Price]]</f>
        <v>0</v>
      </c>
    </row>
    <row r="53" spans="1:6" s="106" customFormat="1" x14ac:dyDescent="0.25">
      <c r="A53" s="131">
        <f>IF(MouserOrderTable[[#This Row],[Qty.]]&gt;0,IF($A52="List #",1,$A52+1),IF($A52="List #",0,$A52))</f>
        <v>8</v>
      </c>
      <c r="B53" s="78" t="str">
        <f>MouserListTable[[#This Row],[SKU]]</f>
        <v>474-CAB-00509</v>
      </c>
      <c r="C53" s="78">
        <f>MouserListTable[[#This Row],['# Initial]]</f>
        <v>0</v>
      </c>
      <c r="D53" s="78" t="str">
        <f>MouserListTable[[#This Row],[Name]]</f>
        <v>Banana to Alligator Coax Cable</v>
      </c>
      <c r="E53" s="130">
        <f>MouserListTable[[#This Row],[Price (USD)]]</f>
        <v>4.95</v>
      </c>
      <c r="F53" s="130">
        <f>MouserListTable[[#This Row],[Total Price]]</f>
        <v>0</v>
      </c>
    </row>
    <row r="54" spans="1:6" s="106" customFormat="1" x14ac:dyDescent="0.25">
      <c r="A54" s="131">
        <f>IF(MouserOrderTable[[#This Row],[Qty.]]&gt;0,IF($A53="List #",1,$A53+1),IF($A53="List #",0,$A53))</f>
        <v>8</v>
      </c>
      <c r="B54" s="78" t="str">
        <f>MouserListTable[[#This Row],[SKU]]</f>
        <v>474-CAB-00506</v>
      </c>
      <c r="C54" s="78">
        <f>MouserListTable[[#This Row],['# Initial]]</f>
        <v>0</v>
      </c>
      <c r="D54" s="78" t="str">
        <f>MouserListTable[[#This Row],[Name]]</f>
        <v>Banana to IC Hook Cables</v>
      </c>
      <c r="E54" s="78">
        <f>MouserListTable[[#This Row],[Price (USD)]]</f>
        <v>4.95</v>
      </c>
      <c r="F54" s="78">
        <f>MouserListTable[[#This Row],[Total Price]]</f>
        <v>0</v>
      </c>
    </row>
    <row r="55" spans="1:6" s="106" customFormat="1" x14ac:dyDescent="0.25">
      <c r="A55" s="131">
        <f>IF(MouserOrderTable[[#This Row],[Qty.]]&gt;0,IF($A54="List #",1,$A54+1),IF($A54="List #",0,$A54))</f>
        <v>8</v>
      </c>
      <c r="B55" s="78" t="str">
        <f>MouserListTable[[#This Row],[SKU]]</f>
        <v>474-CAB-09486</v>
      </c>
      <c r="C55" s="78">
        <f>MouserListTable[[#This Row],['# Initial]]</f>
        <v>0</v>
      </c>
      <c r="D55" s="78" t="str">
        <f>MouserListTable[[#This Row],[Name]]</f>
        <v>BNC Probe Kit</v>
      </c>
      <c r="E55" s="130">
        <f>MouserListTable[[#This Row],[Price (USD)]]</f>
        <v>14.95</v>
      </c>
      <c r="F55" s="130">
        <f>MouserListTable[[#This Row],[Total Price]]</f>
        <v>0</v>
      </c>
    </row>
    <row r="56" spans="1:6" s="106" customFormat="1" x14ac:dyDescent="0.25">
      <c r="A56" s="131">
        <f>IF(MouserOrderTable[[#This Row],[Qty.]]&gt;0,IF($A55="List #",1,$A55+1),IF($A55="List #",0,$A55))</f>
        <v>8</v>
      </c>
      <c r="B56" s="78" t="str">
        <f>MouserListTable[[#This Row],[SKU]]</f>
        <v>474-DEV-11643</v>
      </c>
      <c r="C56" s="78">
        <f>MouserListTable[[#This Row],['# Initial]]</f>
        <v>0</v>
      </c>
      <c r="D56" s="78" t="str">
        <f>MouserListTable[[#This Row],[Name]]</f>
        <v>XMEGA Xprotolab</v>
      </c>
      <c r="E56" s="78">
        <f>MouserListTable[[#This Row],[Price (USD)]]</f>
        <v>54.95</v>
      </c>
      <c r="F56" s="78">
        <f>MouserListTable[[#This Row],[Total Price]]</f>
        <v>0</v>
      </c>
    </row>
    <row r="57" spans="1:6" s="106" customFormat="1" x14ac:dyDescent="0.25">
      <c r="A57" s="131">
        <f>IF(MouserOrderTable[[#This Row],[Qty.]]&gt;0,IF($A56="List #",1,$A56+1),IF($A56="List #",0,$A56))</f>
        <v>9</v>
      </c>
      <c r="B57" s="78" t="str">
        <f>MouserListTable[[#This Row],[SKU]]</f>
        <v>485-1969</v>
      </c>
      <c r="C57" s="78">
        <f>MouserListTable[[#This Row],['# Initial]]</f>
        <v>1</v>
      </c>
      <c r="D57" s="78" t="str">
        <f>MouserListTable[[#This Row],[Name]]</f>
        <v>Pogo Pin Probe Clip</v>
      </c>
      <c r="E57" s="78">
        <f>MouserListTable[[#This Row],[Price (USD)]]</f>
        <v>2.95</v>
      </c>
      <c r="F57" s="78">
        <f>MouserListTable[[#This Row],[Total Price]]</f>
        <v>2.95</v>
      </c>
    </row>
    <row r="58" spans="1:6" s="106" customFormat="1" x14ac:dyDescent="0.25">
      <c r="A58" s="131">
        <f>IF(MouserOrderTable[[#This Row],[Qty.]]&gt;0,IF($A57="List #",1,$A57+1),IF($A57="List #",0,$A57))</f>
        <v>9</v>
      </c>
      <c r="B58" s="78" t="str">
        <f>MouserListTable[[#This Row],[SKU]]</f>
        <v>474-TOL-10829</v>
      </c>
      <c r="C58" s="78">
        <f>MouserListTable[[#This Row],['# Initial]]</f>
        <v>0</v>
      </c>
      <c r="D58" s="78" t="str">
        <f>MouserListTable[[#This Row],[Name]]</f>
        <v>Smart SMD Tester</v>
      </c>
      <c r="E58" s="78">
        <f>MouserListTable[[#This Row],[Price (USD)]]</f>
        <v>27.95</v>
      </c>
      <c r="F58" s="78">
        <f>MouserListTable[[#This Row],[Total Price]]</f>
        <v>0</v>
      </c>
    </row>
    <row r="59" spans="1:6" s="106" customFormat="1" x14ac:dyDescent="0.25">
      <c r="A59" s="131">
        <f>IF(MouserOrderTable[[#This Row],[Qty.]]&gt;0,IF($A58="List #",1,$A58+1),IF($A58="List #",0,$A58))</f>
        <v>9</v>
      </c>
      <c r="B59" s="78" t="str">
        <f>MouserListTable[[#This Row],[SKU]]</f>
        <v>474-BOB-10160</v>
      </c>
      <c r="C59" s="78">
        <f>MouserListTable[[#This Row],['# Initial]]</f>
        <v>0</v>
      </c>
      <c r="D59" s="78" t="str">
        <f>MouserListTable[[#This Row],[Name]]</f>
        <v>SparkFun DeadOn RTC Breakout - DS3234</v>
      </c>
      <c r="E59" s="78">
        <f>MouserListTable[[#This Row],[Price (USD)]]</f>
        <v>19.95</v>
      </c>
      <c r="F59" s="78">
        <f>MouserListTable[[#This Row],[Total Price]]</f>
        <v>0</v>
      </c>
    </row>
    <row r="60" spans="1:6" s="106" customFormat="1" x14ac:dyDescent="0.25">
      <c r="A60" s="131">
        <f>IF(MouserOrderTable[[#This Row],[Qty.]]&gt;0,IF($A59="List #",1,$A59+1),IF($A59="List #",0,$A59))</f>
        <v>9</v>
      </c>
      <c r="B60" s="78" t="str">
        <f>MouserListTable[[#This Row],[SKU]]</f>
        <v>474-COM-12014</v>
      </c>
      <c r="C60" s="78">
        <f>MouserListTable[[#This Row],['# Initial]]</f>
        <v>0</v>
      </c>
      <c r="D60" s="78" t="str">
        <f>MouserListTable[[#This Row],[Name]]</f>
        <v>LED Light Bar - White (SMD)</v>
      </c>
      <c r="E60" s="130">
        <f>MouserListTable[[#This Row],[Price (USD)]]</f>
        <v>3.95</v>
      </c>
      <c r="F60" s="130">
        <f>MouserListTable[[#This Row],[Total Price]]</f>
        <v>0</v>
      </c>
    </row>
    <row r="61" spans="1:6" s="106" customFormat="1" x14ac:dyDescent="0.25">
      <c r="A61" s="131">
        <f>IF(MouserOrderTable[[#This Row],[Qty.]]&gt;0,IF($A60="List #",1,$A60+1),IF($A60="List #",0,$A60))</f>
        <v>9</v>
      </c>
      <c r="B61" s="78" t="str">
        <f>MouserListTable[[#This Row],[SKU]]</f>
        <v>474-COM-11408</v>
      </c>
      <c r="C61" s="78">
        <f>MouserListTable[[#This Row],['# Initial]]</f>
        <v>0</v>
      </c>
      <c r="D61" s="78" t="str">
        <f>MouserListTable[[#This Row],[Name]]</f>
        <v>7-Segment Display - 20mm (Blue)</v>
      </c>
      <c r="E61" s="78">
        <f>MouserListTable[[#This Row],[Price (USD)]]</f>
        <v>2.95</v>
      </c>
      <c r="F61" s="78">
        <f>MouserListTable[[#This Row],[Total Price]]</f>
        <v>0</v>
      </c>
    </row>
    <row r="62" spans="1:6" s="106" customFormat="1" x14ac:dyDescent="0.25">
      <c r="A62" s="131">
        <f>IF(MouserOrderTable[[#This Row],[Qty.]]&gt;0,IF($A61="List #",1,$A61+1),IF($A61="List #",0,$A61))</f>
        <v>9</v>
      </c>
      <c r="B62" s="78" t="str">
        <f>MouserListTable[[#This Row],[SKU]]</f>
        <v>474-COM-13999</v>
      </c>
      <c r="C62" s="78">
        <f>MouserListTable[[#This Row],['# Initial]]</f>
        <v>0</v>
      </c>
      <c r="D62" s="78" t="str">
        <f>MouserListTable[[#This Row],[Name]]</f>
        <v>Dual 7-Segment Display - LED (RGB)</v>
      </c>
      <c r="E62" s="78">
        <f>MouserListTable[[#This Row],[Price (USD)]]</f>
        <v>3.95</v>
      </c>
      <c r="F62" s="78">
        <f>MouserListTable[[#This Row],[Total Price]]</f>
        <v>0</v>
      </c>
    </row>
    <row r="63" spans="1:6" s="106" customFormat="1" x14ac:dyDescent="0.25">
      <c r="A63" s="131">
        <f>IF(MouserOrderTable[[#This Row],[Qty.]]&gt;0,IF($A62="List #",1,$A62+1),IF($A62="List #",0,$A62))</f>
        <v>10</v>
      </c>
      <c r="B63" s="78" t="str">
        <f>MouserListTable[[#This Row],[SKU]]</f>
        <v>474-COM-09938</v>
      </c>
      <c r="C63" s="78">
        <f>MouserListTable[[#This Row],['# Initial]]</f>
        <v>10</v>
      </c>
      <c r="D63" s="78" t="str">
        <f>MouserListTable[[#This Row],[Name]]</f>
        <v>10 Segment LED Bar Graph - Green</v>
      </c>
      <c r="E63" s="78">
        <f>MouserListTable[[#This Row],[Price (USD)]]</f>
        <v>1.95</v>
      </c>
      <c r="F63" s="78">
        <f>MouserListTable[[#This Row],[Total Price]]</f>
        <v>19.5</v>
      </c>
    </row>
    <row r="64" spans="1:6" s="106" customFormat="1" x14ac:dyDescent="0.25">
      <c r="A64" s="131">
        <f>IF(MouserOrderTable[[#This Row],[Qty.]]&gt;0,IF($A63="List #",1,$A63+1),IF($A63="List #",0,$A63))</f>
        <v>10</v>
      </c>
      <c r="B64" s="78" t="str">
        <f>MouserListTable[[#This Row],[SKU]]</f>
        <v>474-BOB-13282</v>
      </c>
      <c r="C64" s="78">
        <f>MouserListTable[[#This Row],['# Initial]]</f>
        <v>0</v>
      </c>
      <c r="D64" s="78" t="str">
        <f>MouserListTable[[#This Row],[Name]]</f>
        <v>SparkFun RGB LED Breakout - WS2812B</v>
      </c>
      <c r="E64" s="78">
        <f>MouserListTable[[#This Row],[Price (USD)]]</f>
        <v>2.95</v>
      </c>
      <c r="F64" s="78">
        <f>MouserListTable[[#This Row],[Total Price]]</f>
        <v>0</v>
      </c>
    </row>
    <row r="65" spans="1:6" s="106" customFormat="1" x14ac:dyDescent="0.25">
      <c r="A65" s="131">
        <f>IF(MouserOrderTable[[#This Row],[Qty.]]&gt;0,IF($A64="List #",1,$A64+1),IF($A64="List #",0,$A64))</f>
        <v>11</v>
      </c>
      <c r="B65" s="78" t="str">
        <f>MouserListTable[[#This Row],[SKU]]</f>
        <v>474-BOB-13884</v>
      </c>
      <c r="C65" s="78">
        <f>MouserListTable[[#This Row],['# Initial]]</f>
        <v>5</v>
      </c>
      <c r="D65" s="78" t="str">
        <f>MouserListTable[[#This Row],[Name]]</f>
        <v xml:space="preserve">SparkFun LED Driver Breakout - LP55231 </v>
      </c>
      <c r="E65" s="130">
        <f>MouserListTable[[#This Row],[Price (USD)]]</f>
        <v>7.95</v>
      </c>
      <c r="F65" s="130">
        <f>MouserListTable[[#This Row],[Total Price]]</f>
        <v>39.75</v>
      </c>
    </row>
    <row r="66" spans="1:6" s="106" customFormat="1" x14ac:dyDescent="0.25">
      <c r="A66" s="131">
        <f>IF(MouserOrderTable[[#This Row],[Qty.]]&gt;0,IF($A65="List #",1,$A65+1),IF($A65="List #",0,$A65))</f>
        <v>11</v>
      </c>
      <c r="B66" s="78" t="str">
        <f>MouserListTable[[#This Row],[SKU]]</f>
        <v>474-COM-12661</v>
      </c>
      <c r="C66" s="78">
        <f>MouserListTable[[#This Row],['# Initial]]</f>
        <v>0</v>
      </c>
      <c r="D66" s="78" t="str">
        <f>MouserListTable[[#This Row],[Name]]</f>
        <v>NeoPixel Stick - 8 x WS2812 5050 RGB LED</v>
      </c>
      <c r="E66" s="130">
        <f>MouserListTable[[#This Row],[Price (USD)]]</f>
        <v>5.95</v>
      </c>
      <c r="F66" s="130">
        <f>MouserListTable[[#This Row],[Total Price]]</f>
        <v>0</v>
      </c>
    </row>
    <row r="67" spans="1:6" s="106" customFormat="1" x14ac:dyDescent="0.25">
      <c r="A67" s="131">
        <f>IF(MouserOrderTable[[#This Row],[Qty.]]&gt;0,IF($A66="List #",1,$A66+1),IF($A66="List #",0,$A66))</f>
        <v>11</v>
      </c>
      <c r="B67" s="78" t="str">
        <f>MouserListTable[[#This Row],[SKU]]</f>
        <v>474-COM-09637</v>
      </c>
      <c r="C67" s="78">
        <f>MouserListTable[[#This Row],['# Initial]]</f>
        <v>0</v>
      </c>
      <c r="D67" s="78" t="str">
        <f>MouserListTable[[#This Row],[Name]]</f>
        <v>Luxeon Rebel High Power LED - Warm White</v>
      </c>
      <c r="E67" s="130">
        <f>MouserListTable[[#This Row],[Price (USD)]]</f>
        <v>4.95</v>
      </c>
      <c r="F67" s="130">
        <f>MouserListTable[[#This Row],[Total Price]]</f>
        <v>0</v>
      </c>
    </row>
    <row r="68" spans="1:6" s="106" customFormat="1" x14ac:dyDescent="0.25">
      <c r="A68" s="131">
        <f>IF(MouserOrderTable[[#This Row],[Qty.]]&gt;0,IF($A67="List #",1,$A67+1),IF($A67="List #",0,$A67))</f>
        <v>11</v>
      </c>
      <c r="B68" s="78" t="str">
        <f>MouserListTable[[#This Row],[SKU]]</f>
        <v>485-1621</v>
      </c>
      <c r="C68" s="78">
        <f>MouserListTable[[#This Row],['# Initial]]</f>
        <v>0</v>
      </c>
      <c r="D68" s="78" t="str">
        <f>MouserListTable[[#This Row],[Name]]</f>
        <v xml:space="preserve">White LED Backlight Module - Large 45mm x 86mm </v>
      </c>
      <c r="E68" s="130">
        <f>MouserListTable[[#This Row],[Price (USD)]]</f>
        <v>2.95</v>
      </c>
      <c r="F68" s="130">
        <f>MouserListTable[[#This Row],[Total Price]]</f>
        <v>0</v>
      </c>
    </row>
    <row r="69" spans="1:6" s="106" customFormat="1" x14ac:dyDescent="0.25">
      <c r="A69" s="131">
        <f>IF(MouserOrderTable[[#This Row],[Qty.]]&gt;0,IF($A68="List #",1,$A68+1),IF($A68="List #",0,$A68))</f>
        <v>11</v>
      </c>
      <c r="B69" s="78" t="str">
        <f>MouserListTable[[#This Row],[SKU]]</f>
        <v>485-1622</v>
      </c>
      <c r="C69" s="78">
        <f>MouserListTable[[#This Row],['# Initial]]</f>
        <v>0</v>
      </c>
      <c r="D69" s="78" t="str">
        <f>MouserListTable[[#This Row],[Name]]</f>
        <v xml:space="preserve">White LED Backlight Module - Medium 23mm x 75mm </v>
      </c>
      <c r="E69" s="78">
        <f>MouserListTable[[#This Row],[Price (USD)]]</f>
        <v>2.5</v>
      </c>
      <c r="F69" s="78">
        <f>MouserListTable[[#This Row],[Total Price]]</f>
        <v>0</v>
      </c>
    </row>
    <row r="70" spans="1:6" s="106" customFormat="1" x14ac:dyDescent="0.25">
      <c r="A70" s="131">
        <f>IF(MouserOrderTable[[#This Row],[Qty.]]&gt;0,IF($A69="List #",1,$A69+1),IF($A69="List #",0,$A69))</f>
        <v>11</v>
      </c>
      <c r="B70" s="78" t="str">
        <f>MouserListTable[[#This Row],[SKU]]</f>
        <v>474-DEV-11061</v>
      </c>
      <c r="C70" s="78">
        <f>MouserListTable[[#This Row],['# Initial]]</f>
        <v>0</v>
      </c>
      <c r="D70" s="78" t="str">
        <f>MouserListTable[[#This Row],[Name]]</f>
        <v>Arduino Mega 2560 R3</v>
      </c>
      <c r="E70" s="78">
        <f>MouserListTable[[#This Row],[Price (USD)]]</f>
        <v>45.95</v>
      </c>
      <c r="F70" s="78">
        <f>MouserListTable[[#This Row],[Total Price]]</f>
        <v>0</v>
      </c>
    </row>
    <row r="71" spans="1:6" s="106" customFormat="1" x14ac:dyDescent="0.25">
      <c r="A71" s="131">
        <f>IF(MouserOrderTable[[#This Row],[Qty.]]&gt;0,IF($A70="List #",1,$A70+1),IF($A70="List #",0,$A70))</f>
        <v>11</v>
      </c>
      <c r="B71" s="78" t="str">
        <f>MouserListTable[[#This Row],[SKU]]</f>
        <v>474-DEV-14082</v>
      </c>
      <c r="C71" s="78">
        <f>MouserListTable[[#This Row],['# Initial]]</f>
        <v>0</v>
      </c>
      <c r="D71" s="78" t="str">
        <f>MouserListTable[[#This Row],[Name]]</f>
        <v>STEMTera (Black)</v>
      </c>
      <c r="E71" s="78">
        <f>MouserListTable[[#This Row],[Price (USD)]]</f>
        <v>45</v>
      </c>
      <c r="F71" s="78">
        <f>MouserListTable[[#This Row],[Total Price]]</f>
        <v>0</v>
      </c>
    </row>
    <row r="72" spans="1:6" s="106" customFormat="1" x14ac:dyDescent="0.25">
      <c r="A72" s="131">
        <f>IF(MouserOrderTable[[#This Row],[Qty.]]&gt;0,IF($A71="List #",1,$A71+1),IF($A71="List #",0,$A71))</f>
        <v>11</v>
      </c>
      <c r="B72" s="78" t="str">
        <f>MouserListTable[[#This Row],[SKU]]</f>
        <v>474-KIT-11734</v>
      </c>
      <c r="C72" s="78">
        <f>MouserListTable[[#This Row],['# Initial]]</f>
        <v>0</v>
      </c>
      <c r="D72" s="78" t="str">
        <f>MouserListTable[[#This Row],[Name]]</f>
        <v>SparkFun BigTime Watch Kit</v>
      </c>
      <c r="E72" s="78">
        <f>MouserListTable[[#This Row],[Price (USD)]]</f>
        <v>29.95</v>
      </c>
      <c r="F72" s="78">
        <f>MouserListTable[[#This Row],[Total Price]]</f>
        <v>0</v>
      </c>
    </row>
    <row r="73" spans="1:6" s="106" customFormat="1" x14ac:dyDescent="0.25">
      <c r="A73" s="131">
        <f>IF(MouserOrderTable[[#This Row],[Qty.]]&gt;0,IF($A72="List #",1,$A72+1),IF($A72="List #",0,$A72))</f>
        <v>11</v>
      </c>
      <c r="B73" s="78" t="str">
        <f>MouserListTable[[#This Row],[SKU]]</f>
        <v>474-TOL-12889</v>
      </c>
      <c r="C73" s="78">
        <f>MouserListTable[[#This Row],['# Initial]]</f>
        <v>0</v>
      </c>
      <c r="D73" s="78" t="str">
        <f>MouserListTable[[#This Row],[Name]]</f>
        <v>Wall Adapter Power Supply - 5V DC 2A (Barrel Jack)</v>
      </c>
      <c r="E73" s="78">
        <f>MouserListTable[[#This Row],[Price (USD)]]</f>
        <v>5.95</v>
      </c>
      <c r="F73" s="78">
        <f>MouserListTable[[#This Row],[Total Price]]</f>
        <v>0</v>
      </c>
    </row>
    <row r="74" spans="1:6" s="106" customFormat="1" x14ac:dyDescent="0.25">
      <c r="A74" s="131">
        <f>IF(MouserOrderTable[[#This Row],[Qty.]]&gt;0,IF($A73="List #",1,$A73+1),IF($A73="List #",0,$A73))</f>
        <v>11</v>
      </c>
      <c r="B74" s="78" t="str">
        <f>MouserListTable[[#This Row],[SKU]]</f>
        <v>474-TOL-09442</v>
      </c>
      <c r="C74" s="78">
        <f>MouserListTable[[#This Row],['# Initial]]</f>
        <v>0</v>
      </c>
      <c r="D74" s="78" t="str">
        <f>MouserListTable[[#This Row],[Name]]</f>
        <v>Wall Adapter Power Supply - 12VDC 600mA</v>
      </c>
      <c r="E74" s="78">
        <f>MouserListTable[[#This Row],[Price (USD)]]</f>
        <v>5.95</v>
      </c>
      <c r="F74" s="78">
        <f>MouserListTable[[#This Row],[Total Price]]</f>
        <v>0</v>
      </c>
    </row>
    <row r="75" spans="1:6" s="106" customFormat="1" x14ac:dyDescent="0.25">
      <c r="A75" s="131">
        <f>IF(MouserOrderTable[[#This Row],[Qty.]]&gt;0,IF($A74="List #",1,$A74+1),IF($A74="List #",0,$A74))</f>
        <v>11</v>
      </c>
      <c r="B75" s="78" t="str">
        <f>MouserListTable[[#This Row],[SKU]]</f>
        <v>485-276</v>
      </c>
      <c r="C75" s="78">
        <f>MouserListTable[[#This Row],['# Initial]]</f>
        <v>0</v>
      </c>
      <c r="D75" s="78" t="str">
        <f>MouserListTable[[#This Row],[Name]]</f>
        <v>5V 2A (2000mA) switching power supply - UL Listed</v>
      </c>
      <c r="E75" s="130">
        <f>MouserListTable[[#This Row],[Price (USD)]]</f>
        <v>7.95</v>
      </c>
      <c r="F75" s="130">
        <f>MouserListTable[[#This Row],[Total Price]]</f>
        <v>0</v>
      </c>
    </row>
    <row r="76" spans="1:6" s="104" customFormat="1" x14ac:dyDescent="0.25">
      <c r="A76" s="131">
        <f>IF(MouserOrderTable[[#This Row],[Qty.]]&gt;0,IF($A75="List #",1,$A75+1),IF($A75="List #",0,$A75))</f>
        <v>11</v>
      </c>
      <c r="B76" s="78" t="str">
        <f>MouserListTable[[#This Row],[SKU]]</f>
        <v>485-1448</v>
      </c>
      <c r="C76" s="78">
        <f>MouserListTable[[#This Row],['# Initial]]</f>
        <v>0</v>
      </c>
      <c r="D76" s="78" t="str">
        <f>MouserListTable[[#This Row],[Name]]</f>
        <v>Compact Switching Power Supply - Selectable Output 3-12VDC</v>
      </c>
      <c r="E76" s="130">
        <f>MouserListTable[[#This Row],[Price (USD)]]</f>
        <v>14.95</v>
      </c>
      <c r="F76" s="130">
        <f>MouserListTable[[#This Row],[Total Price]]</f>
        <v>0</v>
      </c>
    </row>
    <row r="77" spans="1:6" s="104" customFormat="1" x14ac:dyDescent="0.25">
      <c r="A77" s="131">
        <f>IF(MouserOrderTable[[#This Row],[Qty.]]&gt;0,IF($A76="List #",1,$A76+1),IF($A76="List #",0,$A76))</f>
        <v>12</v>
      </c>
      <c r="B77" s="78" t="str">
        <f>MouserListTable[[#This Row],[SKU]]</f>
        <v>474-COM-11707</v>
      </c>
      <c r="C77" s="78">
        <f>MouserListTable[[#This Row],['# Initial]]</f>
        <v>5</v>
      </c>
      <c r="D77" s="78" t="str">
        <f>MouserListTable[[#This Row],[Name]]</f>
        <v>Barrel Jack Extension Cable - M-F (6 ft)</v>
      </c>
      <c r="E77" s="130">
        <f>MouserListTable[[#This Row],[Price (USD)]]</f>
        <v>1.95</v>
      </c>
      <c r="F77" s="130">
        <f>MouserListTable[[#This Row],[Total Price]]</f>
        <v>9.75</v>
      </c>
    </row>
    <row r="78" spans="1:6" s="104" customFormat="1" x14ac:dyDescent="0.25">
      <c r="A78" s="131">
        <f>IF(MouserOrderTable[[#This Row],[Qty.]]&gt;0,IF($A77="List #",1,$A77+1),IF($A77="List #",0,$A77))</f>
        <v>13</v>
      </c>
      <c r="B78" s="78" t="str">
        <f>MouserListTable[[#This Row],[SKU]]</f>
        <v>474-TOL-08734</v>
      </c>
      <c r="C78" s="78">
        <f>MouserListTable[[#This Row],['# Initial]]</f>
        <v>5</v>
      </c>
      <c r="D78" s="78" t="str">
        <f>MouserListTable[[#This Row],[Name]]</f>
        <v>Barrel Jack to 2-pin JST</v>
      </c>
      <c r="E78" s="78">
        <f>MouserListTable[[#This Row],[Price (USD)]]</f>
        <v>2.95</v>
      </c>
      <c r="F78" s="78">
        <f>MouserListTable[[#This Row],[Total Price]]</f>
        <v>14.75</v>
      </c>
    </row>
    <row r="79" spans="1:6" s="104" customFormat="1" x14ac:dyDescent="0.25">
      <c r="A79" s="131">
        <f>IF(MouserOrderTable[[#This Row],[Qty.]]&gt;0,IF($A78="List #",1,$A78+1),IF($A78="List #",0,$A78))</f>
        <v>14</v>
      </c>
      <c r="B79" s="78" t="str">
        <f>MouserListTable[[#This Row],[SKU]]</f>
        <v>474-TOL-08639</v>
      </c>
      <c r="C79" s="78">
        <f>MouserListTable[[#This Row],['# Initial]]</f>
        <v>5</v>
      </c>
      <c r="D79" s="78" t="str">
        <f>MouserListTable[[#This Row],[Name]]</f>
        <v>Barrel Jack Adapter - USB to 5.5mm</v>
      </c>
      <c r="E79" s="78">
        <f>MouserListTable[[#This Row],[Price (USD)]]</f>
        <v>2.95</v>
      </c>
      <c r="F79" s="78">
        <f>MouserListTable[[#This Row],[Total Price]]</f>
        <v>14.75</v>
      </c>
    </row>
    <row r="80" spans="1:6" s="104" customFormat="1" x14ac:dyDescent="0.25">
      <c r="A80" s="131">
        <f>IF(MouserOrderTable[[#This Row],[Qty.]]&gt;0,IF($A79="List #",1,$A79+1),IF($A79="List #",0,$A79))</f>
        <v>15</v>
      </c>
      <c r="B80" s="78" t="str">
        <f>MouserListTable[[#This Row],[SKU]]</f>
        <v>474-COM-11705</v>
      </c>
      <c r="C80" s="78">
        <f>MouserListTable[[#This Row],['# Initial]]</f>
        <v>5</v>
      </c>
      <c r="D80" s="78" t="str">
        <f>MouserListTable[[#This Row],[Name]]</f>
        <v>Barrel Jack Power Switch - M-F (3\")</v>
      </c>
      <c r="E80" s="130">
        <f>MouserListTable[[#This Row],[Price (USD)]]</f>
        <v>2.5</v>
      </c>
      <c r="F80" s="130">
        <f>MouserListTable[[#This Row],[Total Price]]</f>
        <v>12.5</v>
      </c>
    </row>
    <row r="81" spans="1:6" s="104" customFormat="1" x14ac:dyDescent="0.25">
      <c r="A81" s="131">
        <f>IF(MouserOrderTable[[#This Row],[Qty.]]&gt;0,IF($A80="List #",1,$A80+1),IF($A80="List #",0,$A80))</f>
        <v>15</v>
      </c>
      <c r="B81" s="78" t="str">
        <f>MouserListTable[[#This Row],[SKU]]</f>
        <v>485-327</v>
      </c>
      <c r="C81" s="78">
        <f>MouserListTable[[#This Row],['# Initial]]</f>
        <v>0</v>
      </c>
      <c r="D81" s="78" t="str">
        <f>MouserListTable[[#This Row],[Name]]</f>
        <v>2.1mm female/male barrel jack extension cable - 1.5m / 5 ft</v>
      </c>
      <c r="E81" s="78">
        <f>MouserListTable[[#This Row],[Price (USD)]]</f>
        <v>2.95</v>
      </c>
      <c r="F81" s="78">
        <f>MouserListTable[[#This Row],[Total Price]]</f>
        <v>0</v>
      </c>
    </row>
    <row r="82" spans="1:6" s="106" customFormat="1" x14ac:dyDescent="0.25">
      <c r="A82" s="131">
        <f>IF(MouserOrderTable[[#This Row],[Qty.]]&gt;0,IF($A81="List #",1,$A81+1),IF($A81="List #",0,$A81))</f>
        <v>15</v>
      </c>
      <c r="B82" s="78" t="str">
        <f>MouserListTable[[#This Row],[SKU]]</f>
        <v>485-411</v>
      </c>
      <c r="C82" s="78">
        <f>MouserListTable[[#This Row],['# Initial]]</f>
        <v>0</v>
      </c>
      <c r="D82" s="78" t="str">
        <f>MouserListTable[[#This Row],[Name]]</f>
        <v>2.1mm to 1.7mm DC jack adapter</v>
      </c>
      <c r="E82" s="78">
        <f>MouserListTable[[#This Row],[Price (USD)]]</f>
        <v>2.5</v>
      </c>
      <c r="F82" s="78">
        <f>MouserListTable[[#This Row],[Total Price]]</f>
        <v>0</v>
      </c>
    </row>
    <row r="83" spans="1:6" s="106" customFormat="1" x14ac:dyDescent="0.25">
      <c r="A83" s="131">
        <f>IF(MouserOrderTable[[#This Row],[Qty.]]&gt;0,IF($A82="List #",1,$A82+1),IF($A82="List #",0,$A82))</f>
        <v>15</v>
      </c>
      <c r="B83" s="78" t="str">
        <f>MouserListTable[[#This Row],[SKU]]</f>
        <v>485-2897</v>
      </c>
      <c r="C83" s="78">
        <f>MouserListTable[[#This Row],['# Initial]]</f>
        <v>0</v>
      </c>
      <c r="D83" s="78" t="str">
        <f>MouserListTable[[#This Row],[Name]]</f>
        <v>2.1mm to 2.5mm DC Barrel Plug Adapter</v>
      </c>
      <c r="E83" s="78">
        <f>MouserListTable[[#This Row],[Price (USD)]]</f>
        <v>0.95</v>
      </c>
      <c r="F83" s="78">
        <f>MouserListTable[[#This Row],[Total Price]]</f>
        <v>0</v>
      </c>
    </row>
    <row r="84" spans="1:6" s="106" customFormat="1" x14ac:dyDescent="0.25">
      <c r="A84" s="131">
        <f>IF(MouserOrderTable[[#This Row],[Qty.]]&gt;0,IF($A83="List #",1,$A83+1),IF($A83="List #",0,$A83))</f>
        <v>15</v>
      </c>
      <c r="B84" s="78" t="str">
        <f>MouserListTable[[#This Row],[SKU]]</f>
        <v>485-2788</v>
      </c>
      <c r="C84" s="78">
        <f>MouserListTable[[#This Row],['# Initial]]</f>
        <v>0</v>
      </c>
      <c r="D84" s="78" t="str">
        <f>MouserListTable[[#This Row],[Name]]</f>
        <v>3.5 / 1.3mm or 3.8 / 1.1mm to 5.5 / 2.1mm DC Jack Adapter Cable</v>
      </c>
      <c r="E84" s="78">
        <f>MouserListTable[[#This Row],[Price (USD)]]</f>
        <v>0.95</v>
      </c>
      <c r="F84" s="78">
        <f>MouserListTable[[#This Row],[Total Price]]</f>
        <v>0</v>
      </c>
    </row>
    <row r="85" spans="1:6" s="106" customFormat="1" x14ac:dyDescent="0.25">
      <c r="A85" s="131">
        <f>IF(MouserOrderTable[[#This Row],[Qty.]]&gt;0,IF($A84="List #",1,$A84+1),IF($A84="List #",0,$A84))</f>
        <v>15</v>
      </c>
      <c r="B85" s="78" t="str">
        <f>MouserListTable[[#This Row],[SKU]]</f>
        <v>474-TOL-12890</v>
      </c>
      <c r="C85" s="78">
        <f>MouserListTable[[#This Row],['# Initial]]</f>
        <v>0</v>
      </c>
      <c r="D85" s="78" t="str">
        <f>MouserListTable[[#This Row],[Name]]</f>
        <v>Wall Adapter Power Supply - 5V DC 2A (USB Micro-B)</v>
      </c>
      <c r="E85" s="78">
        <f>MouserListTable[[#This Row],[Price (USD)]]</f>
        <v>5.95</v>
      </c>
      <c r="F85" s="78">
        <f>MouserListTable[[#This Row],[Total Price]]</f>
        <v>0</v>
      </c>
    </row>
    <row r="86" spans="1:6" s="106" customFormat="1" x14ac:dyDescent="0.25">
      <c r="A86" s="131">
        <f>IF(MouserOrderTable[[#This Row],[Qty.]]&gt;0,IF($A85="List #",1,$A85+1),IF($A85="List #",0,$A85))</f>
        <v>15</v>
      </c>
      <c r="B86" s="78" t="str">
        <f>MouserListTable[[#This Row],[SKU]]</f>
        <v>485-501</v>
      </c>
      <c r="C86" s="78">
        <f>MouserListTable[[#This Row],['# Initial]]</f>
        <v>0</v>
      </c>
      <c r="D86" s="78" t="str">
        <f>MouserListTable[[#This Row],[Name]]</f>
        <v>5V 1A (1000mA) USB port power supply - UL Listed</v>
      </c>
      <c r="E86" s="78">
        <f>MouserListTable[[#This Row],[Price (USD)]]</f>
        <v>5.95</v>
      </c>
      <c r="F86" s="78">
        <f>MouserListTable[[#This Row],[Total Price]]</f>
        <v>0</v>
      </c>
    </row>
    <row r="87" spans="1:6" s="106" customFormat="1" x14ac:dyDescent="0.25">
      <c r="A87" s="131">
        <f>IF(MouserOrderTable[[#This Row],[Qty.]]&gt;0,IF($A86="List #",1,$A86+1),IF($A86="List #",0,$A86))</f>
        <v>16</v>
      </c>
      <c r="B87" s="78" t="str">
        <f>MouserListTable[[#This Row],[SKU]]</f>
        <v>485-1994</v>
      </c>
      <c r="C87" s="78">
        <f>MouserListTable[[#This Row],['# Initial]]</f>
        <v>5</v>
      </c>
      <c r="D87" s="78" t="str">
        <f>MouserListTable[[#This Row],[Name]]</f>
        <v>5V 2A Switching Power Supply w/ USB-A Connector</v>
      </c>
      <c r="E87" s="78">
        <f>MouserListTable[[#This Row],[Price (USD)]]</f>
        <v>6.95</v>
      </c>
      <c r="F87" s="78">
        <f>MouserListTable[[#This Row],[Total Price]]</f>
        <v>34.75</v>
      </c>
    </row>
    <row r="88" spans="1:6" s="106" customFormat="1" x14ac:dyDescent="0.25">
      <c r="A88" s="131">
        <f>IF(MouserOrderTable[[#This Row],[Qty.]]&gt;0,IF($A87="List #",1,$A87+1),IF($A87="List #",0,$A87))</f>
        <v>17</v>
      </c>
      <c r="B88" s="78" t="str">
        <f>MouserListTable[[#This Row],[SKU]]</f>
        <v>474-CAB-00512</v>
      </c>
      <c r="C88" s="78">
        <f>MouserListTable[[#This Row],['# Initial]]</f>
        <v>5</v>
      </c>
      <c r="D88" s="78" t="str">
        <f>MouserListTable[[#This Row],[Name]]</f>
        <v>USB Cable A to B - 6 Foot</v>
      </c>
      <c r="E88" s="130">
        <f>MouserListTable[[#This Row],[Price (USD)]]</f>
        <v>3.95</v>
      </c>
      <c r="F88" s="130">
        <f>MouserListTable[[#This Row],[Total Price]]</f>
        <v>19.75</v>
      </c>
    </row>
    <row r="89" spans="1:6" s="106" customFormat="1" x14ac:dyDescent="0.25">
      <c r="A89" s="131">
        <f>IF(MouserOrderTable[[#This Row],[Qty.]]&gt;0,IF($A88="List #",1,$A88+1),IF($A88="List #",0,$A88))</f>
        <v>18</v>
      </c>
      <c r="B89" s="78" t="str">
        <f>MouserListTable[[#This Row],[SKU]]</f>
        <v>474-CAB-11301</v>
      </c>
      <c r="C89" s="78">
        <f>MouserListTable[[#This Row],['# Initial]]</f>
        <v>5</v>
      </c>
      <c r="D89" s="78" t="str">
        <f>MouserListTable[[#This Row],[Name]]</f>
        <v>SparkFun USB Mini-B Cable - 6 Foot</v>
      </c>
      <c r="E89" s="130">
        <f>MouserListTable[[#This Row],[Price (USD)]]</f>
        <v>3.95</v>
      </c>
      <c r="F89" s="130">
        <f>MouserListTable[[#This Row],[Total Price]]</f>
        <v>19.75</v>
      </c>
    </row>
    <row r="90" spans="1:6" s="106" customFormat="1" x14ac:dyDescent="0.25">
      <c r="A90" s="131">
        <f>IF(MouserOrderTable[[#This Row],[Qty.]]&gt;0,IF($A89="List #",1,$A89+1),IF($A89="List #",0,$A89))</f>
        <v>18</v>
      </c>
      <c r="B90" s="78" t="str">
        <f>MouserListTable[[#This Row],[SKU]]</f>
        <v>474-CAB-13243</v>
      </c>
      <c r="C90" s="78">
        <f>MouserListTable[[#This Row],['# Initial]]</f>
        <v>0</v>
      </c>
      <c r="D90" s="78" t="str">
        <f>MouserListTable[[#This Row],[Name]]</f>
        <v>USB Mini-B Cable - 6\"</v>
      </c>
      <c r="E90" s="130">
        <f>MouserListTable[[#This Row],[Price (USD)]]</f>
        <v>1.95</v>
      </c>
      <c r="F90" s="130">
        <f>MouserListTable[[#This Row],[Total Price]]</f>
        <v>0</v>
      </c>
    </row>
    <row r="91" spans="1:6" s="106" customFormat="1" x14ac:dyDescent="0.25">
      <c r="A91" s="131">
        <f>IF(MouserOrderTable[[#This Row],[Qty.]]&gt;0,IF($A90="List #",1,$A90+1),IF($A90="List #",0,$A90))</f>
        <v>18</v>
      </c>
      <c r="B91" s="78" t="str">
        <f>MouserListTable[[#This Row],[SKU]]</f>
        <v>474-CAB-10177</v>
      </c>
      <c r="C91" s="78">
        <f>MouserListTable[[#This Row],['# Initial]]</f>
        <v>0</v>
      </c>
      <c r="D91" s="78" t="str">
        <f>MouserListTable[[#This Row],[Name]]</f>
        <v>Panel Mount USB to 4-pin Female Header Cable - 6\'</v>
      </c>
      <c r="E91" s="78">
        <f>MouserListTable[[#This Row],[Price (USD)]]</f>
        <v>2.95</v>
      </c>
      <c r="F91" s="78">
        <f>MouserListTable[[#This Row],[Total Price]]</f>
        <v>0</v>
      </c>
    </row>
    <row r="92" spans="1:6" s="106" customFormat="1" x14ac:dyDescent="0.25">
      <c r="A92" s="131">
        <f>IF(MouserOrderTable[[#This Row],[Qty.]]&gt;0,IF($A91="List #",1,$A91+1),IF($A91="List #",0,$A91))</f>
        <v>19</v>
      </c>
      <c r="B92" s="78" t="str">
        <f>MouserListTable[[#This Row],[SKU]]</f>
        <v>474-CAB-10215</v>
      </c>
      <c r="C92" s="78">
        <f>MouserListTable[[#This Row],['# Initial]]</f>
        <v>5</v>
      </c>
      <c r="D92" s="78" t="str">
        <f>MouserListTable[[#This Row],[Name]]</f>
        <v>USB micro-B Cable - 6 Foot</v>
      </c>
      <c r="E92" s="130">
        <f>MouserListTable[[#This Row],[Price (USD)]]</f>
        <v>4.95</v>
      </c>
      <c r="F92" s="130">
        <f>MouserListTable[[#This Row],[Total Price]]</f>
        <v>24.75</v>
      </c>
    </row>
    <row r="93" spans="1:6" s="106" customFormat="1" x14ac:dyDescent="0.25">
      <c r="A93" s="131">
        <f>IF(MouserOrderTable[[#This Row],[Qty.]]&gt;0,IF($A92="List #",1,$A92+1),IF($A92="List #",0,$A92))</f>
        <v>19</v>
      </c>
      <c r="B93" s="78" t="str">
        <f>MouserListTable[[#This Row],[SKU]]</f>
        <v>474-CAB-13244</v>
      </c>
      <c r="C93" s="78">
        <f>MouserListTable[[#This Row],['# Initial]]</f>
        <v>0</v>
      </c>
      <c r="D93" s="78" t="str">
        <f>MouserListTable[[#This Row],[Name]]</f>
        <v>USB Micro-B Cable - 6\"</v>
      </c>
      <c r="E93" s="78">
        <f>MouserListTable[[#This Row],[Price (USD)]]</f>
        <v>1.95</v>
      </c>
      <c r="F93" s="78">
        <f>MouserListTable[[#This Row],[Total Price]]</f>
        <v>0</v>
      </c>
    </row>
    <row r="94" spans="1:6" s="106" customFormat="1" x14ac:dyDescent="0.25">
      <c r="A94" s="131">
        <f>IF(MouserOrderTable[[#This Row],[Qty.]]&gt;0,IF($A93="List #",1,$A93+1),IF($A93="List #",0,$A93))</f>
        <v>19</v>
      </c>
      <c r="B94" s="78" t="str">
        <f>MouserListTable[[#This Row],[SKU]]</f>
        <v>474-CAB-11579</v>
      </c>
      <c r="C94" s="78">
        <f>MouserListTable[[#This Row],['# Initial]]</f>
        <v>0</v>
      </c>
      <c r="D94" s="78" t="str">
        <f>MouserListTable[[#This Row],[Name]]</f>
        <v>SparkFun Hydra Power Cable - 6ft</v>
      </c>
      <c r="E94" s="130">
        <f>MouserListTable[[#This Row],[Price (USD)]]</f>
        <v>4.95</v>
      </c>
      <c r="F94" s="130">
        <f>MouserListTable[[#This Row],[Total Price]]</f>
        <v>0</v>
      </c>
    </row>
    <row r="95" spans="1:6" s="106" customFormat="1" x14ac:dyDescent="0.25">
      <c r="A95" s="131">
        <f>IF(MouserOrderTable[[#This Row],[Qty.]]&gt;0,IF($A94="List #",1,$A94+1),IF($A94="List #",0,$A94))</f>
        <v>19</v>
      </c>
      <c r="B95" s="78" t="str">
        <f>MouserListTable[[#This Row],[SKU]]</f>
        <v>485-2727</v>
      </c>
      <c r="C95" s="78">
        <f>MouserListTable[[#This Row],['# Initial]]</f>
        <v>0</v>
      </c>
      <c r="D95" s="78" t="str">
        <f>MouserListTable[[#This Row],[Name]]</f>
        <v>MicroUSB Plug to 5.5/2.1mm DC Barrel Jack Adapter</v>
      </c>
      <c r="E95" s="78">
        <f>MouserListTable[[#This Row],[Price (USD)]]</f>
        <v>1.95</v>
      </c>
      <c r="F95" s="78">
        <f>MouserListTable[[#This Row],[Total Price]]</f>
        <v>0</v>
      </c>
    </row>
    <row r="96" spans="1:6" s="106" customFormat="1" x14ac:dyDescent="0.25">
      <c r="A96" s="131">
        <f>IF(MouserOrderTable[[#This Row],[Qty.]]&gt;0,IF($A95="List #",1,$A95+1),IF($A95="List #",0,$A95))</f>
        <v>19</v>
      </c>
      <c r="B96" s="78" t="str">
        <f>MouserListTable[[#This Row],[SKU]]</f>
        <v>485-988</v>
      </c>
      <c r="C96" s="78">
        <f>MouserListTable[[#This Row],['# Initial]]</f>
        <v>0</v>
      </c>
      <c r="D96" s="78" t="str">
        <f>MouserListTable[[#This Row],[Name]]</f>
        <v>USB A Jack to 5.5/2.1mm jack adapter</v>
      </c>
      <c r="E96" s="78">
        <f>MouserListTable[[#This Row],[Price (USD)]]</f>
        <v>2.95</v>
      </c>
      <c r="F96" s="78">
        <f>MouserListTable[[#This Row],[Total Price]]</f>
        <v>0</v>
      </c>
    </row>
    <row r="97" spans="1:6" s="106" customFormat="1" x14ac:dyDescent="0.25">
      <c r="A97" s="131">
        <f>IF(MouserOrderTable[[#This Row],[Qty.]]&gt;0,IF($A96="List #",1,$A96+1),IF($A96="List #",0,$A96))</f>
        <v>19</v>
      </c>
      <c r="B97" s="78" t="str">
        <f>MouserListTable[[#This Row],[SKU]]</f>
        <v>485-2778</v>
      </c>
      <c r="C97" s="78">
        <f>MouserListTable[[#This Row],['# Initial]]</f>
        <v>0</v>
      </c>
      <c r="D97" s="78" t="str">
        <f>MouserListTable[[#This Row],[Name]]</f>
        <v>USB to 2.1mm DC Booster Cable - 12V</v>
      </c>
      <c r="E97" s="130">
        <f>MouserListTable[[#This Row],[Price (USD)]]</f>
        <v>6.5</v>
      </c>
      <c r="F97" s="130">
        <f>MouserListTable[[#This Row],[Total Price]]</f>
        <v>0</v>
      </c>
    </row>
    <row r="98" spans="1:6" s="106" customFormat="1" x14ac:dyDescent="0.25">
      <c r="A98" s="131">
        <f>IF(MouserOrderTable[[#This Row],[Qty.]]&gt;0,IF($A97="List #",1,$A97+1),IF($A97="List #",0,$A97))</f>
        <v>19</v>
      </c>
      <c r="B98" s="78" t="str">
        <f>MouserListTable[[#This Row],[SKU]]</f>
        <v>485-2777</v>
      </c>
      <c r="C98" s="78">
        <f>MouserListTable[[#This Row],['# Initial]]</f>
        <v>0</v>
      </c>
      <c r="D98" s="78" t="str">
        <f>MouserListTable[[#This Row],[Name]]</f>
        <v>USB to 2.1mm DC Booster Cable - 9V</v>
      </c>
      <c r="E98" s="78">
        <f>MouserListTable[[#This Row],[Price (USD)]]</f>
        <v>6.5</v>
      </c>
      <c r="F98" s="78">
        <f>MouserListTable[[#This Row],[Total Price]]</f>
        <v>0</v>
      </c>
    </row>
    <row r="99" spans="1:6" s="106" customFormat="1" x14ac:dyDescent="0.25">
      <c r="A99" s="131">
        <f>IF(MouserOrderTable[[#This Row],[Qty.]]&gt;0,IF($A98="List #",1,$A98+1),IF($A98="List #",0,$A98))</f>
        <v>19</v>
      </c>
      <c r="B99" s="78" t="str">
        <f>MouserListTable[[#This Row],[SKU]]</f>
        <v>485-2697</v>
      </c>
      <c r="C99" s="78">
        <f>MouserListTable[[#This Row],['# Initial]]</f>
        <v>0</v>
      </c>
      <c r="D99" s="78" t="str">
        <f>MouserListTable[[#This Row],[Name]]</f>
        <v>USB to 2.1mm Male Barrel Jack Cable - 22AWG &amp; 1 meter</v>
      </c>
      <c r="E99" s="130">
        <f>MouserListTable[[#This Row],[Price (USD)]]</f>
        <v>2.75</v>
      </c>
      <c r="F99" s="130">
        <f>MouserListTable[[#This Row],[Total Price]]</f>
        <v>0</v>
      </c>
    </row>
    <row r="100" spans="1:6" s="106" customFormat="1" x14ac:dyDescent="0.25">
      <c r="A100" s="131">
        <f>IF(MouserOrderTable[[#This Row],[Qty.]]&gt;0,IF($A99="List #",1,$A99+1),IF($A99="List #",0,$A99))</f>
        <v>20</v>
      </c>
      <c r="B100" s="78" t="str">
        <f>MouserListTable[[#This Row],[SKU]]</f>
        <v>485-2789</v>
      </c>
      <c r="C100" s="78">
        <f>MouserListTable[[#This Row],['# Initial]]</f>
        <v>5</v>
      </c>
      <c r="D100" s="78" t="str">
        <f>MouserListTable[[#This Row],[Name]]</f>
        <v>MicroUSB to 5.5/2.1mm DC Barrel Jack Adapter</v>
      </c>
      <c r="E100" s="78">
        <f>MouserListTable[[#This Row],[Price (USD)]]</f>
        <v>1.95</v>
      </c>
      <c r="F100" s="78">
        <f>MouserListTable[[#This Row],[Total Price]]</f>
        <v>9.75</v>
      </c>
    </row>
    <row r="101" spans="1:6" s="106" customFormat="1" x14ac:dyDescent="0.25">
      <c r="A101" s="131">
        <f>IF(MouserOrderTable[[#This Row],[Qty.]]&gt;0,IF($A100="List #",1,$A100+1),IF($A100="List #",0,$A100))</f>
        <v>21</v>
      </c>
      <c r="B101" s="78" t="str">
        <f>MouserListTable[[#This Row],[SKU]]</f>
        <v>474-DEV-13158</v>
      </c>
      <c r="C101" s="78">
        <f>MouserListTable[[#This Row],['# Initial]]</f>
        <v>5</v>
      </c>
      <c r="D101" s="78" t="str">
        <f>MouserListTable[[#This Row],[Name]]</f>
        <v>SparkFun LiPower Shield</v>
      </c>
      <c r="E101" s="130">
        <f>MouserListTable[[#This Row],[Price (USD)]]</f>
        <v>29.95</v>
      </c>
      <c r="F101" s="130">
        <f>MouserListTable[[#This Row],[Total Price]]</f>
        <v>149.75</v>
      </c>
    </row>
    <row r="102" spans="1:6" s="106" customFormat="1" x14ac:dyDescent="0.25">
      <c r="A102" s="131">
        <f>IF(MouserOrderTable[[#This Row],[Qty.]]&gt;0,IF($A101="List #",1,$A101+1),IF($A101="List #",0,$A101))</f>
        <v>22</v>
      </c>
      <c r="B102" s="78" t="str">
        <f>MouserListTable[[#This Row],[SKU]]</f>
        <v>474-PRT-12711</v>
      </c>
      <c r="C102" s="78">
        <f>MouserListTable[[#This Row],['# Initial]]</f>
        <v>5</v>
      </c>
      <c r="D102" s="78" t="str">
        <f>MouserListTable[[#This Row],[Name]]</f>
        <v>SparkFun USB LiPoly Charger - Single Cell</v>
      </c>
      <c r="E102" s="78">
        <f>MouserListTable[[#This Row],[Price (USD)]]</f>
        <v>14.95</v>
      </c>
      <c r="F102" s="78">
        <f>MouserListTable[[#This Row],[Total Price]]</f>
        <v>74.75</v>
      </c>
    </row>
    <row r="103" spans="1:6" s="106" customFormat="1" x14ac:dyDescent="0.25">
      <c r="A103" s="131">
        <f>IF(MouserOrderTable[[#This Row],[Qty.]]&gt;0,IF($A102="List #",1,$A102+1),IF($A102="List #",0,$A102))</f>
        <v>22</v>
      </c>
      <c r="B103" s="78" t="str">
        <f>MouserListTable[[#This Row],[SKU]]</f>
        <v>474-PRT-13777</v>
      </c>
      <c r="C103" s="78">
        <f>MouserListTable[[#This Row],['# Initial]]</f>
        <v>0</v>
      </c>
      <c r="D103" s="78" t="str">
        <f>MouserListTable[[#This Row],[Name]]</f>
        <v>SparkFun Battery Babysitter - LiPo Battery Manager</v>
      </c>
      <c r="E103" s="78">
        <f>MouserListTable[[#This Row],[Price (USD)]]</f>
        <v>19.95</v>
      </c>
      <c r="F103" s="78">
        <f>MouserListTable[[#This Row],[Total Price]]</f>
        <v>0</v>
      </c>
    </row>
    <row r="104" spans="1:6" s="106" customFormat="1" x14ac:dyDescent="0.25">
      <c r="A104" s="131">
        <f>IF(MouserOrderTable[[#This Row],[Qty.]]&gt;0,IF($A103="List #",1,$A103+1),IF($A103="List #",0,$A103))</f>
        <v>23</v>
      </c>
      <c r="B104" s="78" t="str">
        <f>MouserListTable[[#This Row],[SKU]]</f>
        <v>474-PRT-13856</v>
      </c>
      <c r="C104" s="78">
        <f>MouserListTable[[#This Row],['# Initial]]</f>
        <v>5</v>
      </c>
      <c r="D104" s="78" t="str">
        <f>MouserListTable[[#This Row],[Name]]</f>
        <v>Lithium Ion Battery - 6Ah</v>
      </c>
      <c r="E104" s="78">
        <f>MouserListTable[[#This Row],[Price (USD)]]</f>
        <v>29.95</v>
      </c>
      <c r="F104" s="78">
        <f>MouserListTable[[#This Row],[Total Price]]</f>
        <v>149.75</v>
      </c>
    </row>
    <row r="105" spans="1:6" s="106" customFormat="1" x14ac:dyDescent="0.25">
      <c r="A105" s="131">
        <f>IF(MouserOrderTable[[#This Row],[Qty.]]&gt;0,IF($A104="List #",1,$A104+1),IF($A104="List #",0,$A104))</f>
        <v>23</v>
      </c>
      <c r="B105" s="78" t="str">
        <f>MouserListTable[[#This Row],[SKU]]</f>
        <v>474-PRT-13855</v>
      </c>
      <c r="C105" s="78">
        <f>MouserListTable[[#This Row],['# Initial]]</f>
        <v>0</v>
      </c>
      <c r="D105" s="78" t="str">
        <f>MouserListTable[[#This Row],[Name]]</f>
        <v>Lithium Ion Battery - 2Ah</v>
      </c>
      <c r="E105" s="78">
        <f>MouserListTable[[#This Row],[Price (USD)]]</f>
        <v>12.95</v>
      </c>
      <c r="F105" s="78">
        <f>MouserListTable[[#This Row],[Total Price]]</f>
        <v>0</v>
      </c>
    </row>
    <row r="106" spans="1:6" s="106" customFormat="1" x14ac:dyDescent="0.25">
      <c r="A106" s="131">
        <f>IF(MouserOrderTable[[#This Row],[Qty.]]&gt;0,IF($A105="List #",1,$A105+1),IF($A105="List #",0,$A105))</f>
        <v>24</v>
      </c>
      <c r="B106" s="78" t="str">
        <f>MouserListTable[[#This Row],[SKU]]</f>
        <v>474-PRT-13032</v>
      </c>
      <c r="C106" s="78">
        <f>MouserListTable[[#This Row],['# Initial]]</f>
        <v>5</v>
      </c>
      <c r="D106" s="78" t="str">
        <f>MouserListTable[[#This Row],[Name]]</f>
        <v>SparkFun Breadboard Power Supply Stick - 5V/3.3V</v>
      </c>
      <c r="E106" s="78">
        <f>MouserListTable[[#This Row],[Price (USD)]]</f>
        <v>9.9499999999999993</v>
      </c>
      <c r="F106" s="78">
        <f>MouserListTable[[#This Row],[Total Price]]</f>
        <v>49.75</v>
      </c>
    </row>
    <row r="107" spans="1:6" s="106" customFormat="1" x14ac:dyDescent="0.25">
      <c r="A107" s="131">
        <f>IF(MouserOrderTable[[#This Row],[Qty.]]&gt;0,IF($A106="List #",1,$A106+1),IF($A106="List #",0,$A106))</f>
        <v>24</v>
      </c>
      <c r="B107" s="78" t="str">
        <f>MouserListTable[[#This Row],[SKU]]</f>
        <v>474-PRT-00114</v>
      </c>
      <c r="C107" s="78">
        <f>MouserListTable[[#This Row],['# Initial]]</f>
        <v>0</v>
      </c>
      <c r="D107" s="78" t="str">
        <f>MouserListTable[[#This Row],[Name]]</f>
        <v>SparkFun Breadboard Power Supply 5V/3.3V</v>
      </c>
      <c r="E107" s="130">
        <f>MouserListTable[[#This Row],[Price (USD)]]</f>
        <v>9.9499999999999993</v>
      </c>
      <c r="F107" s="130">
        <f>MouserListTable[[#This Row],[Total Price]]</f>
        <v>0</v>
      </c>
    </row>
    <row r="108" spans="1:6" s="106" customFormat="1" x14ac:dyDescent="0.25">
      <c r="A108" s="131">
        <f>IF(MouserOrderTable[[#This Row],[Qty.]]&gt;0,IF($A107="List #",1,$A107+1),IF($A107="List #",0,$A107))</f>
        <v>24</v>
      </c>
      <c r="B108" s="78" t="str">
        <f>MouserListTable[[#This Row],[SKU]]</f>
        <v>485-184</v>
      </c>
      <c r="C108" s="78">
        <f>MouserListTable[[#This Row],['# Initial]]</f>
        <v>0</v>
      </c>
      <c r="D108" s="78" t="str">
        <f>MouserListTable[[#This Row],[Name]]</f>
        <v>Adjustable breadboard power supply kit - v1.0</v>
      </c>
      <c r="E108" s="78">
        <f>MouserListTable[[#This Row],[Price (USD)]]</f>
        <v>14.95</v>
      </c>
      <c r="F108" s="78">
        <f>MouserListTable[[#This Row],[Total Price]]</f>
        <v>0</v>
      </c>
    </row>
    <row r="109" spans="1:6" s="106" customFormat="1" x14ac:dyDescent="0.25">
      <c r="A109" s="131">
        <f>IF(MouserOrderTable[[#This Row],[Qty.]]&gt;0,IF($A108="List #",1,$A108+1),IF($A108="List #",0,$A108))</f>
        <v>25</v>
      </c>
      <c r="B109" s="78" t="str">
        <f>MouserListTable[[#This Row],[SKU]]</f>
        <v>474-PRT-10811</v>
      </c>
      <c r="C109" s="78">
        <f>MouserListTable[[#This Row],['# Initial]]</f>
        <v>5</v>
      </c>
      <c r="D109" s="78" t="str">
        <f>MouserListTable[[#This Row],[Name]]</f>
        <v>DC Barrel Jack Adapter - Breadboard Compatible</v>
      </c>
      <c r="E109" s="78">
        <f>MouserListTable[[#This Row],[Price (USD)]]</f>
        <v>0.95</v>
      </c>
      <c r="F109" s="78">
        <f>MouserListTable[[#This Row],[Total Price]]</f>
        <v>4.75</v>
      </c>
    </row>
    <row r="110" spans="1:6" s="106" customFormat="1" x14ac:dyDescent="0.25">
      <c r="A110" s="131">
        <f>IF(MouserOrderTable[[#This Row],[Qty.]]&gt;0,IF($A109="List #",1,$A109+1),IF($A109="List #",0,$A109))</f>
        <v>25</v>
      </c>
      <c r="B110" s="78" t="str">
        <f>MouserListTable[[#This Row],[SKU]]</f>
        <v>485-373</v>
      </c>
      <c r="C110" s="78">
        <f>MouserListTable[[#This Row],['# Initial]]</f>
        <v>0</v>
      </c>
      <c r="D110" s="78" t="str">
        <f>MouserListTable[[#This Row],[Name]]</f>
        <v xml:space="preserve">Breadboard-friendly 2.1mm DC barrel jack </v>
      </c>
      <c r="E110" s="78">
        <f>MouserListTable[[#This Row],[Price (USD)]]</f>
        <v>0.95</v>
      </c>
      <c r="F110" s="78">
        <f>MouserListTable[[#This Row],[Total Price]]</f>
        <v>0</v>
      </c>
    </row>
    <row r="111" spans="1:6" s="106" customFormat="1" x14ac:dyDescent="0.25">
      <c r="A111" s="131">
        <f>IF(MouserOrderTable[[#This Row],[Qty.]]&gt;0,IF($A110="List #",1,$A110+1),IF($A110="List #",0,$A110))</f>
        <v>26</v>
      </c>
      <c r="B111" s="78" t="str">
        <f>MouserListTable[[#This Row],[SKU]]</f>
        <v>474-PRT-11214</v>
      </c>
      <c r="C111" s="78">
        <f>MouserListTable[[#This Row],['# Initial]]</f>
        <v>5</v>
      </c>
      <c r="D111" s="78" t="str">
        <f>MouserListTable[[#This Row],[Name]]</f>
        <v>SparkFun MOSFET Power Controller</v>
      </c>
      <c r="E111" s="78">
        <f>MouserListTable[[#This Row],[Price (USD)]]</f>
        <v>6.95</v>
      </c>
      <c r="F111" s="78">
        <f>MouserListTable[[#This Row],[Total Price]]</f>
        <v>34.75</v>
      </c>
    </row>
    <row r="112" spans="1:6" s="106" customFormat="1" x14ac:dyDescent="0.25">
      <c r="A112" s="131">
        <f>IF(MouserOrderTable[[#This Row],[Qty.]]&gt;0,IF($A111="List #",1,$A111+1),IF($A111="List #",0,$A111))</f>
        <v>26</v>
      </c>
      <c r="B112" s="78" t="str">
        <f>MouserListTable[[#This Row],[SKU]]</f>
        <v>485-1125</v>
      </c>
      <c r="C112" s="78">
        <f>MouserListTable[[#This Row],['# Initial]]</f>
        <v>0</v>
      </c>
      <c r="D112" s="78" t="str">
        <f>MouserListTable[[#This Row],[Name]]</f>
        <v>In-line power switch for 2.1mm barrel jack</v>
      </c>
      <c r="E112" s="78">
        <f>MouserListTable[[#This Row],[Price (USD)]]</f>
        <v>2.5</v>
      </c>
      <c r="F112" s="78">
        <f>MouserListTable[[#This Row],[Total Price]]</f>
        <v>0</v>
      </c>
    </row>
    <row r="113" spans="1:6" s="106" customFormat="1" x14ac:dyDescent="0.25">
      <c r="A113" s="131">
        <f>IF(MouserOrderTable[[#This Row],[Qty.]]&gt;0,IF($A112="List #",1,$A112+1),IF($A112="List #",0,$A112))</f>
        <v>26</v>
      </c>
      <c r="B113" s="78" t="str">
        <f>MouserListTable[[#This Row],[SKU]]</f>
        <v>474-COM-11477</v>
      </c>
      <c r="C113" s="78">
        <f>MouserListTable[[#This Row],['# Initial]]</f>
        <v>0</v>
      </c>
      <c r="D113" s="78" t="str">
        <f>MouserListTable[[#This Row],[Name]]</f>
        <v>Lamp Switch - SPST (inline)</v>
      </c>
      <c r="E113" s="78">
        <f>MouserListTable[[#This Row],[Price (USD)]]</f>
        <v>0.95</v>
      </c>
      <c r="F113" s="78">
        <f>MouserListTable[[#This Row],[Total Price]]</f>
        <v>0</v>
      </c>
    </row>
    <row r="114" spans="1:6" s="106" customFormat="1" x14ac:dyDescent="0.25">
      <c r="A114" s="131">
        <f>IF(MouserOrderTable[[#This Row],[Qty.]]&gt;0,IF($A113="List #",1,$A113+1),IF($A113="List #",0,$A113))</f>
        <v>27</v>
      </c>
      <c r="B114" s="78" t="str">
        <f>MouserListTable[[#This Row],[SKU]]</f>
        <v>485-743</v>
      </c>
      <c r="C114" s="78">
        <f>MouserListTable[[#This Row],['# Initial]]</f>
        <v>5</v>
      </c>
      <c r="D114" s="78" t="str">
        <f>MouserListTable[[#This Row],[Name]]</f>
        <v>Waterproof DC Power Cable Set - 5.5/2.1mm</v>
      </c>
      <c r="E114" s="78">
        <f>MouserListTable[[#This Row],[Price (USD)]]</f>
        <v>2.5</v>
      </c>
      <c r="F114" s="78">
        <f>MouserListTable[[#This Row],[Total Price]]</f>
        <v>12.5</v>
      </c>
    </row>
    <row r="115" spans="1:6" s="106" customFormat="1" x14ac:dyDescent="0.25">
      <c r="A115" s="131">
        <f>IF(MouserOrderTable[[#This Row],[Qty.]]&gt;0,IF($A114="List #",1,$A114+1),IF($A114="List #",0,$A114))</f>
        <v>27</v>
      </c>
      <c r="B115" s="78" t="str">
        <f>MouserListTable[[#This Row],[SKU]]</f>
        <v>474-PRT-10288</v>
      </c>
      <c r="C115" s="78">
        <f>MouserListTable[[#This Row],['# Initial]]</f>
        <v>0</v>
      </c>
      <c r="D115" s="78" t="str">
        <f>MouserListTable[[#This Row],[Name]]</f>
        <v>DC Barrel Jack Adapter - Female</v>
      </c>
      <c r="E115" s="78">
        <f>MouserListTable[[#This Row],[Price (USD)]]</f>
        <v>2.95</v>
      </c>
      <c r="F115" s="78">
        <f>MouserListTable[[#This Row],[Total Price]]</f>
        <v>0</v>
      </c>
    </row>
    <row r="116" spans="1:6" s="106" customFormat="1" x14ac:dyDescent="0.25">
      <c r="A116" s="131">
        <f>IF(MouserOrderTable[[#This Row],[Qty.]]&gt;0,IF($A115="List #",1,$A115+1),IF($A115="List #",0,$A115))</f>
        <v>27</v>
      </c>
      <c r="B116" s="78" t="str">
        <f>MouserListTable[[#This Row],[SKU]]</f>
        <v>474-PRT-10287</v>
      </c>
      <c r="C116" s="78">
        <f>MouserListTable[[#This Row],['# Initial]]</f>
        <v>0</v>
      </c>
      <c r="D116" s="78" t="str">
        <f>MouserListTable[[#This Row],[Name]]</f>
        <v>DC Barrel Jack Adapter - Male</v>
      </c>
      <c r="E116" s="130">
        <f>MouserListTable[[#This Row],[Price (USD)]]</f>
        <v>2.95</v>
      </c>
      <c r="F116" s="130">
        <f>MouserListTable[[#This Row],[Total Price]]</f>
        <v>0</v>
      </c>
    </row>
    <row r="117" spans="1:6" s="106" customFormat="1" x14ac:dyDescent="0.25">
      <c r="A117" s="131">
        <f>IF(MouserOrderTable[[#This Row],[Qty.]]&gt;0,IF($A116="List #",1,$A116+1),IF($A116="List #",0,$A116))</f>
        <v>27</v>
      </c>
      <c r="B117" s="78" t="str">
        <f>MouserListTable[[#This Row],[SKU]]</f>
        <v>485-368</v>
      </c>
      <c r="C117" s="78">
        <f>MouserListTable[[#This Row],['# Initial]]</f>
        <v>0</v>
      </c>
      <c r="D117" s="78" t="str">
        <f>MouserListTable[[#This Row],[Name]]</f>
        <v>Female DC Power adapter - 2.1mm jack to screw terminal block</v>
      </c>
      <c r="E117" s="130">
        <f>MouserListTable[[#This Row],[Price (USD)]]</f>
        <v>2</v>
      </c>
      <c r="F117" s="130">
        <f>MouserListTable[[#This Row],[Total Price]]</f>
        <v>0</v>
      </c>
    </row>
    <row r="118" spans="1:6" s="106" customFormat="1" x14ac:dyDescent="0.25">
      <c r="A118" s="131">
        <f>IF(MouserOrderTable[[#This Row],[Qty.]]&gt;0,IF($A117="List #",1,$A117+1),IF($A117="List #",0,$A117))</f>
        <v>27</v>
      </c>
      <c r="B118" s="78" t="str">
        <f>MouserListTable[[#This Row],[SKU]]</f>
        <v>485-369</v>
      </c>
      <c r="C118" s="78">
        <f>MouserListTable[[#This Row],['# Initial]]</f>
        <v>0</v>
      </c>
      <c r="D118" s="78" t="str">
        <f>MouserListTable[[#This Row],[Name]]</f>
        <v>Male DC Power adapter - 2.1mm plug to screw terminal block</v>
      </c>
      <c r="E118" s="130">
        <f>MouserListTable[[#This Row],[Price (USD)]]</f>
        <v>2</v>
      </c>
      <c r="F118" s="130">
        <f>MouserListTable[[#This Row],[Total Price]]</f>
        <v>0</v>
      </c>
    </row>
    <row r="119" spans="1:6" s="106" customFormat="1" x14ac:dyDescent="0.25">
      <c r="A119" s="131">
        <f>IF(MouserOrderTable[[#This Row],[Qty.]]&gt;0,IF($A118="List #",1,$A118+1),IF($A118="List #",0,$A118))</f>
        <v>27</v>
      </c>
      <c r="B119" s="78" t="str">
        <f>MouserListTable[[#This Row],[SKU]]</f>
        <v>474-PRT-13126</v>
      </c>
      <c r="C119" s="78">
        <f>MouserListTable[[#This Row],['# Initial]]</f>
        <v>0</v>
      </c>
      <c r="D119" s="78" t="str">
        <f>MouserListTable[[#This Row],[Name]]</f>
        <v>DC Barrel Jack Plug - Female</v>
      </c>
      <c r="E119" s="78">
        <f>MouserListTable[[#This Row],[Price (USD)]]</f>
        <v>0.95</v>
      </c>
      <c r="F119" s="78">
        <f>MouserListTable[[#This Row],[Total Price]]</f>
        <v>0</v>
      </c>
    </row>
    <row r="120" spans="1:6" s="106" customFormat="1" x14ac:dyDescent="0.25">
      <c r="A120" s="131">
        <f>IF(MouserOrderTable[[#This Row],[Qty.]]&gt;0,IF($A119="List #",1,$A119+1),IF($A119="List #",0,$A119))</f>
        <v>28</v>
      </c>
      <c r="B120" s="78" t="str">
        <f>MouserListTable[[#This Row],[SKU]]</f>
        <v>474-PRT-11476</v>
      </c>
      <c r="C120" s="78">
        <f>MouserListTable[[#This Row],['# Initial]]</f>
        <v>5</v>
      </c>
      <c r="D120" s="78" t="str">
        <f>MouserListTable[[#This Row],[Name]]</f>
        <v>DC Barrel Jack Plug - Male</v>
      </c>
      <c r="E120" s="78">
        <f>MouserListTable[[#This Row],[Price (USD)]]</f>
        <v>0.95</v>
      </c>
      <c r="F120" s="78">
        <f>MouserListTable[[#This Row],[Total Price]]</f>
        <v>4.75</v>
      </c>
    </row>
    <row r="121" spans="1:6" s="106" customFormat="1" x14ac:dyDescent="0.25">
      <c r="A121" s="131">
        <f>IF(MouserOrderTable[[#This Row],[Qty.]]&gt;0,IF($A120="List #",1,$A120+1),IF($A120="List #",0,$A120))</f>
        <v>28</v>
      </c>
      <c r="B121" s="78" t="str">
        <f>MouserListTable[[#This Row],[SKU]]</f>
        <v>474-PRT-11474</v>
      </c>
      <c r="C121" s="78">
        <f>MouserListTable[[#This Row],['# Initial]]</f>
        <v>0</v>
      </c>
      <c r="D121" s="78" t="str">
        <f>MouserListTable[[#This Row],[Name]]</f>
        <v>Car Adapter Plug - Red LED</v>
      </c>
      <c r="E121" s="78">
        <f>MouserListTable[[#This Row],[Price (USD)]]</f>
        <v>0.3</v>
      </c>
      <c r="F121" s="78">
        <f>MouserListTable[[#This Row],[Total Price]]</f>
        <v>0</v>
      </c>
    </row>
    <row r="122" spans="1:6" s="106" customFormat="1" x14ac:dyDescent="0.25">
      <c r="A122" s="131">
        <f>IF(MouserOrderTable[[#This Row],[Qty.]]&gt;0,IF($A121="List #",1,$A121+1),IF($A121="List #",0,$A121))</f>
        <v>28</v>
      </c>
      <c r="B122" s="78" t="str">
        <f>MouserListTable[[#This Row],[SKU]]</f>
        <v>485-1829</v>
      </c>
      <c r="C122" s="78">
        <f>MouserListTable[[#This Row],['# Initial]]</f>
        <v>0</v>
      </c>
      <c r="D122" s="78" t="str">
        <f>MouserListTable[[#This Row],[Name]]</f>
        <v>USB DIY Connector - MicroB Female Plug</v>
      </c>
      <c r="E122" s="78">
        <f>MouserListTable[[#This Row],[Price (USD)]]</f>
        <v>0.95</v>
      </c>
      <c r="F122" s="78">
        <f>MouserListTable[[#This Row],[Total Price]]</f>
        <v>0</v>
      </c>
    </row>
    <row r="123" spans="1:6" s="104" customFormat="1" x14ac:dyDescent="0.25">
      <c r="A123" s="131">
        <f>IF(MouserOrderTable[[#This Row],[Qty.]]&gt;0,IF($A122="List #",1,$A122+1),IF($A122="List #",0,$A122))</f>
        <v>28</v>
      </c>
      <c r="B123" s="78" t="str">
        <f>MouserListTable[[#This Row],[SKU]]</f>
        <v>485-1388</v>
      </c>
      <c r="C123" s="78">
        <f>MouserListTable[[#This Row],['# Initial]]</f>
        <v>0</v>
      </c>
      <c r="D123" s="78" t="str">
        <f>MouserListTable[[#This Row],[Name]]</f>
        <v>USB DIY Connector Shell - Type A Socket</v>
      </c>
      <c r="E123" s="78">
        <f>MouserListTable[[#This Row],[Price (USD)]]</f>
        <v>0.95</v>
      </c>
      <c r="F123" s="78">
        <f>MouserListTable[[#This Row],[Total Price]]</f>
        <v>0</v>
      </c>
    </row>
    <row r="124" spans="1:6" s="104" customFormat="1" x14ac:dyDescent="0.25">
      <c r="A124" s="131">
        <f>IF(MouserOrderTable[[#This Row],[Qty.]]&gt;0,IF($A123="List #",1,$A123+1),IF($A123="List #",0,$A123))</f>
        <v>28</v>
      </c>
      <c r="B124" s="78" t="str">
        <f>MouserListTable[[#This Row],[SKU]]</f>
        <v>485-1390</v>
      </c>
      <c r="C124" s="78">
        <f>MouserListTable[[#This Row],['# Initial]]</f>
        <v>0</v>
      </c>
      <c r="D124" s="78" t="str">
        <f>MouserListTable[[#This Row],[Name]]</f>
        <v>USB DIY Connector Shell - Type Micro-B Plug</v>
      </c>
      <c r="E124" s="78">
        <f>MouserListTable[[#This Row],[Price (USD)]]</f>
        <v>0.95</v>
      </c>
      <c r="F124" s="78">
        <f>MouserListTable[[#This Row],[Total Price]]</f>
        <v>0</v>
      </c>
    </row>
    <row r="125" spans="1:6" s="104" customFormat="1" x14ac:dyDescent="0.25">
      <c r="A125" s="131">
        <f>IF(MouserOrderTable[[#This Row],[Qty.]]&gt;0,IF($A124="List #",1,$A124+1),IF($A124="List #",0,$A124))</f>
        <v>28</v>
      </c>
      <c r="B125" s="78" t="str">
        <f>MouserListTable[[#This Row],[SKU]]</f>
        <v>485-1389</v>
      </c>
      <c r="C125" s="78">
        <f>MouserListTable[[#This Row],['# Initial]]</f>
        <v>0</v>
      </c>
      <c r="D125" s="78" t="str">
        <f>MouserListTable[[#This Row],[Name]]</f>
        <v>USB DIY Connector Shell - Type Mini-B Plug</v>
      </c>
      <c r="E125" s="78">
        <f>MouserListTable[[#This Row],[Price (USD)]]</f>
        <v>0.95</v>
      </c>
      <c r="F125" s="78">
        <f>MouserListTable[[#This Row],[Total Price]]</f>
        <v>0</v>
      </c>
    </row>
    <row r="126" spans="1:6" s="104" customFormat="1" x14ac:dyDescent="0.25">
      <c r="A126" s="131">
        <f>IF(MouserOrderTable[[#This Row],[Qty.]]&gt;0,IF($A125="List #",1,$A125+1),IF($A125="List #",0,$A125))</f>
        <v>28</v>
      </c>
      <c r="B126" s="78" t="str">
        <f>MouserListTable[[#This Row],[SKU]]</f>
        <v>485-1827</v>
      </c>
      <c r="C126" s="78">
        <f>MouserListTable[[#This Row],['# Initial]]</f>
        <v>0</v>
      </c>
      <c r="D126" s="78" t="str">
        <f>MouserListTable[[#This Row],[Name]]</f>
        <v>USB DIY Slim Connector Shell - A-M Plug</v>
      </c>
      <c r="E126" s="130">
        <f>MouserListTable[[#This Row],[Price (USD)]]</f>
        <v>0.95</v>
      </c>
      <c r="F126" s="130">
        <f>MouserListTable[[#This Row],[Total Price]]</f>
        <v>0</v>
      </c>
    </row>
    <row r="127" spans="1:6" s="104" customFormat="1" x14ac:dyDescent="0.25">
      <c r="A127" s="131">
        <f>IF(MouserOrderTable[[#This Row],[Qty.]]&gt;0,IF($A126="List #",1,$A126+1),IF($A126="List #",0,$A126))</f>
        <v>28</v>
      </c>
      <c r="B127" s="78" t="str">
        <f>MouserListTable[[#This Row],[SKU]]</f>
        <v>485-1826</v>
      </c>
      <c r="C127" s="78">
        <f>MouserListTable[[#This Row],['# Initial]]</f>
        <v>0</v>
      </c>
      <c r="D127" s="78" t="str">
        <f>MouserListTable[[#This Row],[Name]]</f>
        <v>USB DIY Slim Connector Shell - MicroB Plug</v>
      </c>
      <c r="E127" s="78">
        <f>MouserListTable[[#This Row],[Price (USD)]]</f>
        <v>0.95</v>
      </c>
      <c r="F127" s="78">
        <f>MouserListTable[[#This Row],[Total Price]]</f>
        <v>0</v>
      </c>
    </row>
    <row r="128" spans="1:6" s="104" customFormat="1" x14ac:dyDescent="0.25">
      <c r="A128" s="131">
        <f>IF(MouserOrderTable[[#This Row],[Qty.]]&gt;0,IF($A127="List #",1,$A127+1),IF($A127="List #",0,$A127))</f>
        <v>28</v>
      </c>
      <c r="B128" s="78" t="str">
        <f>MouserListTable[[#This Row],[SKU]]</f>
        <v>474-SEN-00246</v>
      </c>
      <c r="C128" s="78">
        <f>MouserListTable[[#This Row],['# Initial]]</f>
        <v>0</v>
      </c>
      <c r="D128" s="78" t="str">
        <f>MouserListTable[[#This Row],[Name]]</f>
        <v>Optical Detector / Phototransistor - QRD1114</v>
      </c>
      <c r="E128" s="78">
        <f>MouserListTable[[#This Row],[Price (USD)]]</f>
        <v>0.95</v>
      </c>
      <c r="F128" s="78">
        <f>MouserListTable[[#This Row],[Total Price]]</f>
        <v>0</v>
      </c>
    </row>
    <row r="129" spans="1:6" s="104" customFormat="1" x14ac:dyDescent="0.25">
      <c r="A129" s="131">
        <f>IF(MouserOrderTable[[#This Row],[Qty.]]&gt;0,IF($A128="List #",1,$A128+1),IF($A128="List #",0,$A128))</f>
        <v>29</v>
      </c>
      <c r="B129" s="78" t="str">
        <f>MouserListTable[[#This Row],[SKU]]</f>
        <v>474-SEN-00241</v>
      </c>
      <c r="C129" s="78">
        <f>MouserListTable[[#This Row],['# Initial]]</f>
        <v>20</v>
      </c>
      <c r="D129" s="78" t="str">
        <f>MouserListTable[[#This Row],[Name]]</f>
        <v>Infrared Emitters and Detectors</v>
      </c>
      <c r="E129" s="78">
        <f>MouserListTable[[#This Row],[Price (USD)]]</f>
        <v>1.95</v>
      </c>
      <c r="F129" s="78">
        <f>MouserListTable[[#This Row],[Total Price]]</f>
        <v>39</v>
      </c>
    </row>
    <row r="130" spans="1:6" s="104" customFormat="1" x14ac:dyDescent="0.25">
      <c r="A130" s="131">
        <f>IF(MouserOrderTable[[#This Row],[Qty.]]&gt;0,IF($A129="List #",1,$A129+1),IF($A129="List #",0,$A129))</f>
        <v>30</v>
      </c>
      <c r="B130" s="78" t="str">
        <f>MouserListTable[[#This Row],[SKU]]</f>
        <v>474-SEN-13968</v>
      </c>
      <c r="C130" s="78">
        <f>MouserListTable[[#This Row],['# Initial]]</f>
        <v>5</v>
      </c>
      <c r="D130" s="78" t="str">
        <f>MouserListTable[[#This Row],[Name]]</f>
        <v>SparkFun OpenPIR</v>
      </c>
      <c r="E130" s="78">
        <f>MouserListTable[[#This Row],[Price (USD)]]</f>
        <v>14.95</v>
      </c>
      <c r="F130" s="78">
        <f>MouserListTable[[#This Row],[Total Price]]</f>
        <v>74.75</v>
      </c>
    </row>
    <row r="131" spans="1:6" s="104" customFormat="1" x14ac:dyDescent="0.25">
      <c r="A131" s="131">
        <f>IF(MouserOrderTable[[#This Row],[Qty.]]&gt;0,IF($A130="List #",1,$A130+1),IF($A130="List #",0,$A130))</f>
        <v>31</v>
      </c>
      <c r="B131" s="78" t="str">
        <f>MouserListTable[[#This Row],[SKU]]</f>
        <v>474-SEN-13959</v>
      </c>
      <c r="C131" s="78">
        <f>MouserListTable[[#This Row],['# Initial]]</f>
        <v>5</v>
      </c>
      <c r="D131" s="78" t="str">
        <f>MouserListTable[[#This Row],[Name]]</f>
        <v>Ultrasonic Sensor - HC-SR04</v>
      </c>
      <c r="E131" s="130">
        <f>MouserListTable[[#This Row],[Price (USD)]]</f>
        <v>3.95</v>
      </c>
      <c r="F131" s="130">
        <f>MouserListTable[[#This Row],[Total Price]]</f>
        <v>19.75</v>
      </c>
    </row>
    <row r="132" spans="1:6" s="104" customFormat="1" x14ac:dyDescent="0.25">
      <c r="A132" s="131">
        <f>IF(MouserOrderTable[[#This Row],[Qty.]]&gt;0,IF($A131="List #",1,$A131+1),IF($A131="List #",0,$A131))</f>
        <v>31</v>
      </c>
      <c r="B132" s="78" t="str">
        <f>MouserListTable[[#This Row],[SKU]]</f>
        <v>474-SEN-12785</v>
      </c>
      <c r="C132" s="78">
        <f>MouserListTable[[#This Row],['# Initial]]</f>
        <v>0</v>
      </c>
      <c r="D132" s="78" t="str">
        <f>MouserListTable[[#This Row],[Name]]</f>
        <v>SparkFun ToF Range Finder Sensor - VL6180</v>
      </c>
      <c r="E132" s="130">
        <f>MouserListTable[[#This Row],[Price (USD)]]</f>
        <v>24.95</v>
      </c>
      <c r="F132" s="130">
        <f>MouserListTable[[#This Row],[Total Price]]</f>
        <v>0</v>
      </c>
    </row>
    <row r="133" spans="1:6" s="106" customFormat="1" x14ac:dyDescent="0.25">
      <c r="A133" s="131">
        <f>IF(MouserOrderTable[[#This Row],[Qty.]]&gt;0,IF($A132="List #",1,$A132+1),IF($A132="List #",0,$A132))</f>
        <v>31</v>
      </c>
      <c r="B133" s="78" t="str">
        <f>MouserListTable[[#This Row],[SKU]]</f>
        <v>474-SEN-13162</v>
      </c>
      <c r="C133" s="78">
        <f>MouserListTable[[#This Row],['# Initial]]</f>
        <v>0</v>
      </c>
      <c r="D133" s="78" t="str">
        <f>MouserListTable[[#This Row],[Name]]</f>
        <v>ZX Distance and Gesture Sensor</v>
      </c>
      <c r="E133" s="78">
        <f>MouserListTable[[#This Row],[Price (USD)]]</f>
        <v>24.95</v>
      </c>
      <c r="F133" s="78">
        <f>MouserListTable[[#This Row],[Total Price]]</f>
        <v>0</v>
      </c>
    </row>
    <row r="134" spans="1:6" s="106" customFormat="1" x14ac:dyDescent="0.25">
      <c r="A134" s="131">
        <f>IF(MouserOrderTable[[#This Row],[Qty.]]&gt;0,IF($A133="List #",1,$A133+1),IF($A133="List #",0,$A133))</f>
        <v>31</v>
      </c>
      <c r="B134" s="78" t="str">
        <f>MouserListTable[[#This Row],[SKU]]</f>
        <v>474-SEN-12787</v>
      </c>
      <c r="C134" s="78">
        <f>MouserListTable[[#This Row],['# Initial]]</f>
        <v>0</v>
      </c>
      <c r="D134" s="78" t="str">
        <f>MouserListTable[[#This Row],[Name]]</f>
        <v>SparkFun RGB and Gesture Sensor - APDS-9960</v>
      </c>
      <c r="E134" s="78">
        <f>MouserListTable[[#This Row],[Price (USD)]]</f>
        <v>14.95</v>
      </c>
      <c r="F134" s="78">
        <f>MouserListTable[[#This Row],[Total Price]]</f>
        <v>0</v>
      </c>
    </row>
    <row r="135" spans="1:6" s="106" customFormat="1" x14ac:dyDescent="0.25">
      <c r="A135" s="131">
        <f>IF(MouserOrderTable[[#This Row],[Qty.]]&gt;0,IF($A134="List #",1,$A134+1),IF($A134="List #",0,$A134))</f>
        <v>31</v>
      </c>
      <c r="B135" s="78" t="str">
        <f>MouserListTable[[#This Row],[SKU]]</f>
        <v>474-SPX-14343</v>
      </c>
      <c r="C135" s="78">
        <f>MouserListTable[[#This Row],['# Initial]]</f>
        <v>0</v>
      </c>
      <c r="D135" s="78" t="str">
        <f>MouserListTable[[#This Row],[Name]]</f>
        <v>Qwiic Distance Sensor - RFD77402</v>
      </c>
      <c r="E135" s="78">
        <f>MouserListTable[[#This Row],[Price (USD)]]</f>
        <v>19.95</v>
      </c>
      <c r="F135" s="78">
        <f>MouserListTable[[#This Row],[Total Price]]</f>
        <v>0</v>
      </c>
    </row>
    <row r="136" spans="1:6" s="106" customFormat="1" x14ac:dyDescent="0.25">
      <c r="A136" s="131">
        <f>IF(MouserOrderTable[[#This Row],[Qty.]]&gt;0,IF($A135="List #",1,$A135+1),IF($A135="List #",0,$A135))</f>
        <v>32</v>
      </c>
      <c r="B136" s="78" t="str">
        <f>MouserListTable[[#This Row],[SKU]]</f>
        <v>975-RFD77306</v>
      </c>
      <c r="C136" s="78">
        <f>MouserListTable[[#This Row],['# Initial]]</f>
        <v>5</v>
      </c>
      <c r="D136" s="78" t="str">
        <f>MouserListTable[[#This Row],[Name]]</f>
        <v>IoT 3D Time Of Flight Sensor Shield</v>
      </c>
      <c r="E136" s="78">
        <f>MouserListTable[[#This Row],[Price (USD)]]</f>
        <v>29.62</v>
      </c>
      <c r="F136" s="78">
        <f>MouserListTable[[#This Row],[Total Price]]</f>
        <v>148.1</v>
      </c>
    </row>
    <row r="137" spans="1:6" s="106" customFormat="1" x14ac:dyDescent="0.25">
      <c r="A137" s="131">
        <f>IF(MouserOrderTable[[#This Row],[Qty.]]&gt;0,IF($A136="List #",1,$A136+1),IF($A136="List #",0,$A136))</f>
        <v>32</v>
      </c>
      <c r="B137" s="78" t="str">
        <f>MouserListTable[[#This Row],[SKU]]</f>
        <v>474-SEN-00242</v>
      </c>
      <c r="C137" s="78">
        <f>MouserListTable[[#This Row],['# Initial]]</f>
        <v>0</v>
      </c>
      <c r="D137" s="78" t="str">
        <f>MouserListTable[[#This Row],[Name]]</f>
        <v>Infrared Proximity Sensor - Sharp GP2Y0A21YK</v>
      </c>
      <c r="E137" s="78">
        <f>MouserListTable[[#This Row],[Price (USD)]]</f>
        <v>13.95</v>
      </c>
      <c r="F137" s="78">
        <f>MouserListTable[[#This Row],[Total Price]]</f>
        <v>0</v>
      </c>
    </row>
    <row r="138" spans="1:6" s="106" customFormat="1" x14ac:dyDescent="0.25">
      <c r="A138" s="131">
        <f>IF(MouserOrderTable[[#This Row],[Qty.]]&gt;0,IF($A137="List #",1,$A137+1),IF($A137="List #",0,$A137))</f>
        <v>32</v>
      </c>
      <c r="B138" s="78" t="str">
        <f>MouserListTable[[#This Row],[SKU]]</f>
        <v>474-SEN-08733</v>
      </c>
      <c r="C138" s="78">
        <f>MouserListTable[[#This Row],['# Initial]]</f>
        <v>0</v>
      </c>
      <c r="D138" s="78" t="str">
        <f>MouserListTable[[#This Row],[Name]]</f>
        <v>Infrared Sensor Jumper Wire - 3-Pin JST</v>
      </c>
      <c r="E138" s="78">
        <f>MouserListTable[[#This Row],[Price (USD)]]</f>
        <v>1.5</v>
      </c>
      <c r="F138" s="78">
        <f>MouserListTable[[#This Row],[Total Price]]</f>
        <v>0</v>
      </c>
    </row>
    <row r="139" spans="1:6" s="106" customFormat="1" x14ac:dyDescent="0.25">
      <c r="A139" s="131">
        <f>IF(MouserOrderTable[[#This Row],[Qty.]]&gt;0,IF($A138="List #",1,$A138+1),IF($A138="List #",0,$A138))</f>
        <v>32</v>
      </c>
      <c r="B139" s="78" t="str">
        <f>MouserListTable[[#This Row],[SKU]]</f>
        <v>485-3538</v>
      </c>
      <c r="C139" s="78">
        <f>MouserListTable[[#This Row],['# Initial]]</f>
        <v>0</v>
      </c>
      <c r="D139" s="78" t="str">
        <f>MouserListTable[[#This Row],[Name]]</f>
        <v xml:space="preserve">Adafruit AMG8833 IR Thermal Camera Breakout </v>
      </c>
      <c r="E139" s="78">
        <f>MouserListTable[[#This Row],[Price (USD)]]</f>
        <v>39.950000000000003</v>
      </c>
      <c r="F139" s="78">
        <f>MouserListTable[[#This Row],[Total Price]]</f>
        <v>0</v>
      </c>
    </row>
    <row r="140" spans="1:6" s="106" customFormat="1" x14ac:dyDescent="0.25">
      <c r="A140" s="131">
        <f>IF(MouserOrderTable[[#This Row],[Qty.]]&gt;0,IF($A139="List #",1,$A139+1),IF($A139="List #",0,$A139))</f>
        <v>33</v>
      </c>
      <c r="B140" s="78" t="str">
        <f>MouserListTable[[#This Row],[SKU]]</f>
        <v>485-3317</v>
      </c>
      <c r="C140" s="78">
        <f>MouserListTable[[#This Row],['# Initial]]</f>
        <v>5</v>
      </c>
      <c r="D140" s="78" t="str">
        <f>MouserListTable[[#This Row],[Name]]</f>
        <v>Adafruit VL53L0X Time of Flight Distance Sensor - ~30 to 1000mm</v>
      </c>
      <c r="E140" s="78">
        <f>MouserListTable[[#This Row],[Price (USD)]]</f>
        <v>14.95</v>
      </c>
      <c r="F140" s="78">
        <f>MouserListTable[[#This Row],[Total Price]]</f>
        <v>74.75</v>
      </c>
    </row>
    <row r="141" spans="1:6" s="106" customFormat="1" x14ac:dyDescent="0.25">
      <c r="A141" s="131">
        <f>IF(MouserOrderTable[[#This Row],[Qty.]]&gt;0,IF($A140="List #",1,$A140+1),IF($A140="List #",0,$A140))</f>
        <v>33</v>
      </c>
      <c r="B141" s="78" t="str">
        <f>MouserListTable[[#This Row],[SKU]]</f>
        <v>485-3316</v>
      </c>
      <c r="C141" s="78">
        <f>MouserListTable[[#This Row],['# Initial]]</f>
        <v>0</v>
      </c>
      <c r="D141" s="78" t="str">
        <f>MouserListTable[[#This Row],[Name]]</f>
        <v>Adafruit VL6180X Time of Flight Distance Ranging Sensor (VL6180)</v>
      </c>
      <c r="E141" s="78">
        <f>MouserListTable[[#This Row],[Price (USD)]]</f>
        <v>13.95</v>
      </c>
      <c r="F141" s="78">
        <f>MouserListTable[[#This Row],[Total Price]]</f>
        <v>0</v>
      </c>
    </row>
    <row r="142" spans="1:6" s="106" customFormat="1" x14ac:dyDescent="0.25">
      <c r="A142" s="131">
        <f>IF(MouserOrderTable[[#This Row],[Qty.]]&gt;0,IF($A141="List #",1,$A141+1),IF($A141="List #",0,$A141))</f>
        <v>33</v>
      </c>
      <c r="B142" s="78" t="str">
        <f>MouserListTable[[#This Row],[SKU]]</f>
        <v>485-1568</v>
      </c>
      <c r="C142" s="78">
        <f>MouserListTable[[#This Row],['# Initial]]</f>
        <v>0</v>
      </c>
      <c r="D142" s="78" t="str">
        <f>MouserListTable[[#This Row],[Name]]</f>
        <v>IR Distance Sensor - Includes Cable (100cm-500cm) - GP2Y0A710K0F</v>
      </c>
      <c r="E142" s="78">
        <f>MouserListTable[[#This Row],[Price (USD)]]</f>
        <v>24.95</v>
      </c>
      <c r="F142" s="78">
        <f>MouserListTable[[#This Row],[Total Price]]</f>
        <v>0</v>
      </c>
    </row>
    <row r="143" spans="1:6" s="106" customFormat="1" x14ac:dyDescent="0.25">
      <c r="A143" s="131">
        <f>IF(MouserOrderTable[[#This Row],[Qty.]]&gt;0,IF($A142="List #",1,$A142+1),IF($A142="List #",0,$A142))</f>
        <v>33</v>
      </c>
      <c r="B143" s="78" t="str">
        <f>MouserListTable[[#This Row],[SKU]]</f>
        <v>485-164</v>
      </c>
      <c r="C143" s="78">
        <f>MouserListTable[[#This Row],['# Initial]]</f>
        <v>0</v>
      </c>
      <c r="D143" s="78" t="str">
        <f>MouserListTable[[#This Row],[Name]]</f>
        <v>IR distance sensor includes cable (10cm-80cm) - GP2Y0A21YK0F</v>
      </c>
      <c r="E143" s="78">
        <f>MouserListTable[[#This Row],[Price (USD)]]</f>
        <v>14.95</v>
      </c>
      <c r="F143" s="78">
        <f>MouserListTable[[#This Row],[Total Price]]</f>
        <v>0</v>
      </c>
    </row>
    <row r="144" spans="1:6" s="106" customFormat="1" x14ac:dyDescent="0.25">
      <c r="A144" s="131">
        <f>IF(MouserOrderTable[[#This Row],[Qty.]]&gt;0,IF($A143="List #",1,$A143+1),IF($A143="List #",0,$A143))</f>
        <v>33</v>
      </c>
      <c r="B144" s="78" t="str">
        <f>MouserListTable[[#This Row],[SKU]]</f>
        <v>485-1031</v>
      </c>
      <c r="C144" s="78">
        <f>MouserListTable[[#This Row],['# Initial]]</f>
        <v>0</v>
      </c>
      <c r="D144" s="78" t="str">
        <f>MouserListTable[[#This Row],[Name]]</f>
        <v>IR distance sensor includes cable (20cm-150cm) - GP2Y0A02YK</v>
      </c>
      <c r="E144" s="78">
        <f>MouserListTable[[#This Row],[Price (USD)]]</f>
        <v>15.95</v>
      </c>
      <c r="F144" s="78">
        <f>MouserListTable[[#This Row],[Total Price]]</f>
        <v>0</v>
      </c>
    </row>
    <row r="145" spans="1:6" s="106" customFormat="1" x14ac:dyDescent="0.25">
      <c r="A145" s="131">
        <f>IF(MouserOrderTable[[#This Row],[Qty.]]&gt;0,IF($A144="List #",1,$A144+1),IF($A144="List #",0,$A144))</f>
        <v>34</v>
      </c>
      <c r="B145" s="78" t="str">
        <f>MouserListTable[[#This Row],[SKU]]</f>
        <v>511-53L0-SATEL-I1</v>
      </c>
      <c r="C145" s="78">
        <f>MouserListTable[[#This Row],['# Initial]]</f>
        <v>5</v>
      </c>
      <c r="D145" s="78" t="str">
        <f>MouserListTable[[#This Row],[Name]]</f>
        <v>Satellite: mini-PCB with VL53L0X</v>
      </c>
      <c r="E145" s="130">
        <f>MouserListTable[[#This Row],[Price (USD)]]</f>
        <v>18.5</v>
      </c>
      <c r="F145" s="130">
        <f>MouserListTable[[#This Row],[Total Price]]</f>
        <v>92.5</v>
      </c>
    </row>
    <row r="146" spans="1:6" s="106" customFormat="1" x14ac:dyDescent="0.25">
      <c r="A146" s="131">
        <f>IF(MouserOrderTable[[#This Row],[Qty.]]&gt;0,IF($A145="List #",1,$A145+1),IF($A145="List #",0,$A145))</f>
        <v>35</v>
      </c>
      <c r="B146" s="78" t="str">
        <f>MouserListTable[[#This Row],[SKU]]</f>
        <v>474-SEN-09196</v>
      </c>
      <c r="C146" s="78">
        <f>MouserListTable[[#This Row],['# Initial]]</f>
        <v>5</v>
      </c>
      <c r="D146" s="78" t="str">
        <f>MouserListTable[[#This Row],[Name]]</f>
        <v>Piezo Vibration Sensor - Large</v>
      </c>
      <c r="E146" s="78">
        <f>MouserListTable[[#This Row],[Price (USD)]]</f>
        <v>2.95</v>
      </c>
      <c r="F146" s="78">
        <f>MouserListTable[[#This Row],[Total Price]]</f>
        <v>14.75</v>
      </c>
    </row>
    <row r="147" spans="1:6" s="106" customFormat="1" x14ac:dyDescent="0.25">
      <c r="A147" s="131">
        <f>IF(MouserOrderTable[[#This Row],[Qty.]]&gt;0,IF($A146="List #",1,$A146+1),IF($A146="List #",0,$A146))</f>
        <v>35</v>
      </c>
      <c r="B147" s="78" t="str">
        <f>MouserListTable[[#This Row],[SKU]]</f>
        <v>474-SEN-09197</v>
      </c>
      <c r="C147" s="78">
        <f>MouserListTable[[#This Row],['# Initial]]</f>
        <v>0</v>
      </c>
      <c r="D147" s="78" t="str">
        <f>MouserListTable[[#This Row],[Name]]</f>
        <v>Piezo Vibration Sensor - Large with Mass</v>
      </c>
      <c r="E147" s="130">
        <f>MouserListTable[[#This Row],[Price (USD)]]</f>
        <v>2.95</v>
      </c>
      <c r="F147" s="130">
        <f>MouserListTable[[#This Row],[Total Price]]</f>
        <v>0</v>
      </c>
    </row>
    <row r="148" spans="1:6" s="106" customFormat="1" x14ac:dyDescent="0.25">
      <c r="A148" s="131">
        <f>IF(MouserOrderTable[[#This Row],[Qty.]]&gt;0,IF($A147="List #",1,$A147+1),IF($A147="List #",0,$A147))</f>
        <v>35</v>
      </c>
      <c r="B148" s="78" t="str">
        <f>MouserListTable[[#This Row],[SKU]]</f>
        <v>474-SEN-09198</v>
      </c>
      <c r="C148" s="78">
        <f>MouserListTable[[#This Row],['# Initial]]</f>
        <v>0</v>
      </c>
      <c r="D148" s="78" t="str">
        <f>MouserListTable[[#This Row],[Name]]</f>
        <v>Piezo Vibration Sensor - Small Horizontal</v>
      </c>
      <c r="E148" s="130">
        <f>MouserListTable[[#This Row],[Price (USD)]]</f>
        <v>2.95</v>
      </c>
      <c r="F148" s="130">
        <f>MouserListTable[[#This Row],[Total Price]]</f>
        <v>0</v>
      </c>
    </row>
    <row r="149" spans="1:6" s="106" customFormat="1" x14ac:dyDescent="0.25">
      <c r="A149" s="131">
        <f>IF(MouserOrderTable[[#This Row],[Qty.]]&gt;0,IF($A148="List #",1,$A148+1),IF($A148="List #",0,$A148))</f>
        <v>35</v>
      </c>
      <c r="B149" s="78" t="str">
        <f>MouserListTable[[#This Row],[SKU]]</f>
        <v>474-SEN-09199</v>
      </c>
      <c r="C149" s="78">
        <f>MouserListTable[[#This Row],['# Initial]]</f>
        <v>0</v>
      </c>
      <c r="D149" s="78" t="str">
        <f>MouserListTable[[#This Row],[Name]]</f>
        <v>Piezo Vibration Sensor - Small Vertical</v>
      </c>
      <c r="E149" s="130">
        <f>MouserListTable[[#This Row],[Price (USD)]]</f>
        <v>2.95</v>
      </c>
      <c r="F149" s="130">
        <f>MouserListTable[[#This Row],[Total Price]]</f>
        <v>0</v>
      </c>
    </row>
    <row r="150" spans="1:6" s="106" customFormat="1" x14ac:dyDescent="0.25">
      <c r="A150" s="131">
        <f>IF(MouserOrderTable[[#This Row],[Qty.]]&gt;0,IF($A149="List #",1,$A149+1),IF($A149="List #",0,$A149))</f>
        <v>35</v>
      </c>
      <c r="B150" s="78" t="str">
        <f>MouserListTable[[#This Row],[SKU]]</f>
        <v>485-1071</v>
      </c>
      <c r="C150" s="78">
        <f>MouserListTable[[#This Row],['# Initial]]</f>
        <v>0</v>
      </c>
      <c r="D150" s="78" t="str">
        <f>MouserListTable[[#This Row],[Name]]</f>
        <v xml:space="preserve">Extra-long force-sensitive resistor (FSR) - Interlink 408 </v>
      </c>
      <c r="E150" s="78">
        <f>MouserListTable[[#This Row],[Price (USD)]]</f>
        <v>17.95</v>
      </c>
      <c r="F150" s="78">
        <f>MouserListTable[[#This Row],[Total Price]]</f>
        <v>0</v>
      </c>
    </row>
    <row r="151" spans="1:6" s="106" customFormat="1" x14ac:dyDescent="0.25">
      <c r="A151" s="131">
        <f>IF(MouserOrderTable[[#This Row],[Qty.]]&gt;0,IF($A150="List #",1,$A150+1),IF($A150="List #",0,$A150))</f>
        <v>35</v>
      </c>
      <c r="B151" s="78" t="str">
        <f>MouserListTable[[#This Row],[SKU]]</f>
        <v>474-SEN-09674</v>
      </c>
      <c r="C151" s="78">
        <f>MouserListTable[[#This Row],['# Initial]]</f>
        <v>0</v>
      </c>
      <c r="D151" s="78" t="str">
        <f>MouserListTable[[#This Row],[Name]]</f>
        <v>Force Sensitive Resistor - Long</v>
      </c>
      <c r="E151" s="130">
        <f>MouserListTable[[#This Row],[Price (USD)]]</f>
        <v>20.95</v>
      </c>
      <c r="F151" s="130">
        <f>MouserListTable[[#This Row],[Total Price]]</f>
        <v>0</v>
      </c>
    </row>
    <row r="152" spans="1:6" s="106" customFormat="1" x14ac:dyDescent="0.25">
      <c r="A152" s="131">
        <f>IF(MouserOrderTable[[#This Row],[Qty.]]&gt;0,IF($A151="List #",1,$A151+1),IF($A151="List #",0,$A151))</f>
        <v>35</v>
      </c>
      <c r="B152" s="78" t="str">
        <f>MouserListTable[[#This Row],[SKU]]</f>
        <v>474-SEN-09673</v>
      </c>
      <c r="C152" s="78">
        <f>MouserListTable[[#This Row],['# Initial]]</f>
        <v>0</v>
      </c>
      <c r="D152" s="78" t="str">
        <f>MouserListTable[[#This Row],[Name]]</f>
        <v>Force Sensitive Resistor - Small</v>
      </c>
      <c r="E152" s="78">
        <f>MouserListTable[[#This Row],[Price (USD)]]</f>
        <v>5.95</v>
      </c>
      <c r="F152" s="78">
        <f>MouserListTable[[#This Row],[Total Price]]</f>
        <v>0</v>
      </c>
    </row>
    <row r="153" spans="1:6" s="106" customFormat="1" x14ac:dyDescent="0.25">
      <c r="A153" s="156">
        <f>IF(MouserOrderTable[[#This Row],[Qty.]]&gt;0,IF($A152="List #",1,$A152+1),IF($A152="List #",0,$A152))</f>
        <v>35</v>
      </c>
      <c r="B153" s="78" t="str">
        <f>MouserListTable[[#This Row],[SKU]]</f>
        <v>474-SEN-09376</v>
      </c>
      <c r="C153" s="150">
        <f>MouserListTable[[#This Row],['# Initial]]</f>
        <v>0</v>
      </c>
      <c r="D153" s="78" t="str">
        <f>MouserListTable[[#This Row],[Name]]</f>
        <v>Force Sensitive Resistor - Square</v>
      </c>
      <c r="E153" s="78">
        <f>MouserListTable[[#This Row],[Price (USD)]]</f>
        <v>9.9499999999999993</v>
      </c>
      <c r="F153" s="78">
        <f>MouserListTable[[#This Row],[Total Price]]</f>
        <v>0</v>
      </c>
    </row>
    <row r="154" spans="1:6" s="106" customFormat="1" x14ac:dyDescent="0.25">
      <c r="A154" s="156">
        <f>IF(MouserOrderTable[[#This Row],[Qty.]]&gt;0,IF($A153="List #",1,$A153+1),IF($A153="List #",0,$A153))</f>
        <v>35</v>
      </c>
      <c r="B154" s="78" t="str">
        <f>MouserListTable[[#This Row],[SKU]]</f>
        <v>485-1075</v>
      </c>
      <c r="C154" s="78">
        <f>MouserListTable[[#This Row],['# Initial]]</f>
        <v>0</v>
      </c>
      <c r="D154" s="78" t="str">
        <f>MouserListTable[[#This Row],[Name]]</f>
        <v>Square Force-Sensitive Resistor (FSR) - Interlink 406</v>
      </c>
      <c r="E154" s="78">
        <f>MouserListTable[[#This Row],[Price (USD)]]</f>
        <v>7.95</v>
      </c>
      <c r="F154" s="78">
        <f>MouserListTable[[#This Row],[Total Price]]</f>
        <v>0</v>
      </c>
    </row>
    <row r="155" spans="1:6" s="106" customFormat="1" x14ac:dyDescent="0.25">
      <c r="A155" s="156">
        <f>IF(MouserOrderTable[[#This Row],[Qty.]]&gt;0,IF($A154="List #",1,$A154+1),IF($A154="List #",0,$A154))</f>
        <v>35</v>
      </c>
      <c r="B155" s="78" t="str">
        <f>MouserListTable[[#This Row],[SKU]]</f>
        <v>474-SEN-09375</v>
      </c>
      <c r="C155" s="78">
        <f>MouserListTable[[#This Row],['# Initial]]</f>
        <v>0</v>
      </c>
      <c r="D155" s="78" t="str">
        <f>MouserListTable[[#This Row],[Name]]</f>
        <v>Force Sensitive Resistor 0.5\"</v>
      </c>
      <c r="E155" s="78">
        <f>MouserListTable[[#This Row],[Price (USD)]]</f>
        <v>6.95</v>
      </c>
      <c r="F155" s="78">
        <f>MouserListTable[[#This Row],[Total Price]]</f>
        <v>0</v>
      </c>
    </row>
    <row r="156" spans="1:6" s="106" customFormat="1" x14ac:dyDescent="0.25">
      <c r="A156" s="131">
        <f>IF(MouserOrderTable[[#This Row],[Qty.]]&gt;0,IF($A155="List #",1,$A155+1),IF($A155="List #",0,$A155))</f>
        <v>35</v>
      </c>
      <c r="B156" s="78" t="str">
        <f>MouserListTable[[#This Row],[SKU]]</f>
        <v>474-SEN-08606</v>
      </c>
      <c r="C156" s="78">
        <f>MouserListTable[[#This Row],['# Initial]]</f>
        <v>0</v>
      </c>
      <c r="D156" s="78" t="str">
        <f>MouserListTable[[#This Row],[Name]]</f>
        <v>Flex Sensor 4.5\"</v>
      </c>
      <c r="E156" s="78">
        <f>MouserListTable[[#This Row],[Price (USD)]]</f>
        <v>12.95</v>
      </c>
      <c r="F156" s="78">
        <f>MouserListTable[[#This Row],[Total Price]]</f>
        <v>0</v>
      </c>
    </row>
    <row r="157" spans="1:6" s="106" customFormat="1" x14ac:dyDescent="0.25">
      <c r="A157" s="131">
        <f>IF(MouserOrderTable[[#This Row],[Qty.]]&gt;0,IF($A156="List #",1,$A156+1),IF($A156="List #",0,$A156))</f>
        <v>35</v>
      </c>
      <c r="B157" s="78" t="str">
        <f>MouserListTable[[#This Row],[SKU]]</f>
        <v>474-SEN-10293</v>
      </c>
      <c r="C157" s="78">
        <f>MouserListTable[[#This Row],['# Initial]]</f>
        <v>0</v>
      </c>
      <c r="D157" s="78" t="str">
        <f>MouserListTable[[#This Row],[Name]]</f>
        <v>Piezo Element</v>
      </c>
      <c r="E157" s="78">
        <f>MouserListTable[[#This Row],[Price (USD)]]</f>
        <v>1.5</v>
      </c>
      <c r="F157" s="78">
        <f>MouserListTable[[#This Row],[Total Price]]</f>
        <v>0</v>
      </c>
    </row>
    <row r="158" spans="1:6" s="106" customFormat="1" x14ac:dyDescent="0.25">
      <c r="A158" s="131">
        <f>IF(MouserOrderTable[[#This Row],[Qty.]]&gt;0,IF($A157="List #",1,$A157+1),IF($A157="List #",0,$A157))</f>
        <v>35</v>
      </c>
      <c r="B158" s="78" t="str">
        <f>MouserListTable[[#This Row],[SKU]]</f>
        <v>485-1739</v>
      </c>
      <c r="C158" s="78">
        <f>MouserListTable[[#This Row],['# Initial]]</f>
        <v>0</v>
      </c>
      <c r="D158" s="78" t="str">
        <f>MouserListTable[[#This Row],[Name]]</f>
        <v xml:space="preserve">Large Enclosed Piezo Element w/Wires </v>
      </c>
      <c r="E158" s="130">
        <f>MouserListTable[[#This Row],[Price (USD)]]</f>
        <v>0.95</v>
      </c>
      <c r="F158" s="130">
        <f>MouserListTable[[#This Row],[Total Price]]</f>
        <v>0</v>
      </c>
    </row>
    <row r="159" spans="1:6" s="106" customFormat="1" x14ac:dyDescent="0.25">
      <c r="A159" s="131">
        <f>IF(MouserOrderTable[[#This Row],[Qty.]]&gt;0,IF($A158="List #",1,$A158+1),IF($A158="List #",0,$A158))</f>
        <v>36</v>
      </c>
      <c r="B159" s="78" t="str">
        <f>MouserListTable[[#This Row],[SKU]]</f>
        <v>474-SEN-10289</v>
      </c>
      <c r="C159" s="78">
        <f>MouserListTable[[#This Row],['# Initial]]</f>
        <v>5</v>
      </c>
      <c r="D159" s="78" t="str">
        <f>MouserListTable[[#This Row],[Name]]</f>
        <v>Tilt Sensor - AT407</v>
      </c>
      <c r="E159" s="78">
        <f>MouserListTable[[#This Row],[Price (USD)]]</f>
        <v>1.95</v>
      </c>
      <c r="F159" s="78">
        <f>MouserListTable[[#This Row],[Total Price]]</f>
        <v>9.75</v>
      </c>
    </row>
    <row r="160" spans="1:6" s="106" customFormat="1" x14ac:dyDescent="0.25">
      <c r="A160" s="131">
        <f>IF(MouserOrderTable[[#This Row],[Qty.]]&gt;0,IF($A159="List #",1,$A159+1),IF($A159="List #",0,$A159))</f>
        <v>36</v>
      </c>
      <c r="B160" s="78" t="str">
        <f>MouserListTable[[#This Row],[SKU]]</f>
        <v>485-1917</v>
      </c>
      <c r="C160" s="78">
        <f>MouserListTable[[#This Row],['# Initial]]</f>
        <v>0</v>
      </c>
      <c r="D160" s="78" t="str">
        <f>MouserListTable[[#This Row],[Name]]</f>
        <v>DIY Sensor Film Kit - 4x6" Small Kit</v>
      </c>
      <c r="E160" s="78">
        <f>MouserListTable[[#This Row],[Price (USD)]]</f>
        <v>18</v>
      </c>
      <c r="F160" s="78">
        <f>MouserListTable[[#This Row],[Total Price]]</f>
        <v>0</v>
      </c>
    </row>
    <row r="161" spans="1:6" s="106" customFormat="1" x14ac:dyDescent="0.25">
      <c r="A161" s="131">
        <f>IF(MouserOrderTable[[#This Row],[Qty.]]&gt;0,IF($A160="List #",1,$A160+1),IF($A160="List #",0,$A160))</f>
        <v>37</v>
      </c>
      <c r="B161" s="78" t="str">
        <f>MouserListTable[[#This Row],[SKU]]</f>
        <v>485-1361</v>
      </c>
      <c r="C161" s="78">
        <f>MouserListTable[[#This Row],['# Initial]]</f>
        <v>1</v>
      </c>
      <c r="D161" s="78" t="str">
        <f>MouserListTable[[#This Row],[Name]]</f>
        <v>Pressure-Sensitive Conductive Sheet (Velostat/Linqstat)</v>
      </c>
      <c r="E161" s="78">
        <f>MouserListTable[[#This Row],[Price (USD)]]</f>
        <v>3.95</v>
      </c>
      <c r="F161" s="78">
        <f>MouserListTable[[#This Row],[Total Price]]</f>
        <v>3.95</v>
      </c>
    </row>
    <row r="162" spans="1:6" s="106" customFormat="1" x14ac:dyDescent="0.25">
      <c r="A162" s="131">
        <f>IF(MouserOrderTable[[#This Row],[Qty.]]&gt;0,IF($A161="List #",1,$A161+1),IF($A161="List #",0,$A161))</f>
        <v>38</v>
      </c>
      <c r="B162" s="78" t="str">
        <f>MouserListTable[[#This Row],[SKU]]</f>
        <v>474-COM-14111</v>
      </c>
      <c r="C162" s="78">
        <f>MouserListTable[[#This Row],['# Initial]]</f>
        <v>2</v>
      </c>
      <c r="D162" s="78" t="str">
        <f>MouserListTable[[#This Row],[Name]]</f>
        <v>EeonTex Pressure Sensing Fabric</v>
      </c>
      <c r="E162" s="78">
        <f>MouserListTable[[#This Row],[Price (USD)]]</f>
        <v>25</v>
      </c>
      <c r="F162" s="78">
        <f>MouserListTable[[#This Row],[Total Price]]</f>
        <v>50</v>
      </c>
    </row>
    <row r="163" spans="1:6" s="106" customFormat="1" x14ac:dyDescent="0.25">
      <c r="A163" s="131">
        <f>IF(MouserOrderTable[[#This Row],[Qty.]]&gt;0,IF($A162="List #",1,$A162+1),IF($A162="List #",0,$A162))</f>
        <v>39</v>
      </c>
      <c r="B163" s="78" t="str">
        <f>MouserListTable[[#This Row],[SKU]]</f>
        <v>485-1168</v>
      </c>
      <c r="C163" s="78">
        <f>MouserListTable[[#This Row],['# Initial]]</f>
        <v>1</v>
      </c>
      <c r="D163" s="78" t="str">
        <f>MouserListTable[[#This Row],[Name]]</f>
        <v>Woven Conductive Fabric - 20cm square</v>
      </c>
      <c r="E163" s="78">
        <f>MouserListTable[[#This Row],[Price (USD)]]</f>
        <v>4.95</v>
      </c>
      <c r="F163" s="78">
        <f>MouserListTable[[#This Row],[Total Price]]</f>
        <v>4.95</v>
      </c>
    </row>
    <row r="164" spans="1:6" s="106" customFormat="1" x14ac:dyDescent="0.25">
      <c r="A164" s="131">
        <f>IF(MouserOrderTable[[#This Row],[Qty.]]&gt;0,IF($A163="List #",1,$A163+1),IF($A163="List #",0,$A163))</f>
        <v>39</v>
      </c>
      <c r="B164" s="78" t="str">
        <f>MouserListTable[[#This Row],[SKU]]</f>
        <v>474-SEN-12041</v>
      </c>
      <c r="C164" s="78">
        <f>MouserListTable[[#This Row],['# Initial]]</f>
        <v>0</v>
      </c>
      <c r="D164" s="78" t="str">
        <f>MouserListTable[[#This Row],[Name]]</f>
        <v>SparkFun Capacitive Touch Breakout - AT42QT1010</v>
      </c>
      <c r="E164" s="78">
        <f>MouserListTable[[#This Row],[Price (USD)]]</f>
        <v>5.95</v>
      </c>
      <c r="F164" s="78">
        <f>MouserListTable[[#This Row],[Total Price]]</f>
        <v>0</v>
      </c>
    </row>
    <row r="165" spans="1:6" s="106" customFormat="1" x14ac:dyDescent="0.25">
      <c r="A165" s="131">
        <f>IF(MouserOrderTable[[#This Row],[Qty.]]&gt;0,IF($A164="List #",1,$A164+1),IF($A164="List #",0,$A164))</f>
        <v>39</v>
      </c>
      <c r="B165" s="78" t="str">
        <f>MouserListTable[[#This Row],[SKU]]</f>
        <v>474-PRT-13144</v>
      </c>
      <c r="C165" s="78">
        <f>MouserListTable[[#This Row],['# Initial]]</f>
        <v>0</v>
      </c>
      <c r="D165" s="78" t="str">
        <f>MouserListTable[[#This Row],[Name]]</f>
        <v>SparkFun Touch Potentiometer</v>
      </c>
      <c r="E165" s="78">
        <f>MouserListTable[[#This Row],[Price (USD)]]</f>
        <v>14.95</v>
      </c>
      <c r="F165" s="78">
        <f>MouserListTable[[#This Row],[Total Price]]</f>
        <v>0</v>
      </c>
    </row>
    <row r="166" spans="1:6" s="106" customFormat="1" x14ac:dyDescent="0.25">
      <c r="A166" s="131">
        <f>IF(MouserOrderTable[[#This Row],[Qty.]]&gt;0,IF($A165="List #",1,$A165+1),IF($A165="List #",0,$A165))</f>
        <v>39</v>
      </c>
      <c r="B166" s="78" t="str">
        <f>MouserListTable[[#This Row],[SKU]]</f>
        <v>474-DEV-13298</v>
      </c>
      <c r="C166" s="78">
        <f>MouserListTable[[#This Row],['# Initial]]</f>
        <v>0</v>
      </c>
      <c r="D166" s="78" t="str">
        <f>MouserListTable[[#This Row],[Name]]</f>
        <v>Bare Conductive Touch Board</v>
      </c>
      <c r="E166" s="78">
        <f>MouserListTable[[#This Row],[Price (USD)]]</f>
        <v>89.95</v>
      </c>
      <c r="F166" s="78">
        <f>MouserListTable[[#This Row],[Total Price]]</f>
        <v>0</v>
      </c>
    </row>
    <row r="167" spans="1:6" s="106" customFormat="1" x14ac:dyDescent="0.25">
      <c r="A167" s="131">
        <f>IF(MouserOrderTable[[#This Row],[Qty.]]&gt;0,IF($A166="List #",1,$A166+1),IF($A166="List #",0,$A166))</f>
        <v>39</v>
      </c>
      <c r="B167" s="78" t="str">
        <f>MouserListTable[[#This Row],[SKU]]</f>
        <v>474-DEV-13293</v>
      </c>
      <c r="C167" s="78">
        <f>MouserListTable[[#This Row],['# Initial]]</f>
        <v>0</v>
      </c>
      <c r="D167" s="78" t="str">
        <f>MouserListTable[[#This Row],[Name]]</f>
        <v>LCD Button Shield V2</v>
      </c>
      <c r="E167" s="78">
        <f>MouserListTable[[#This Row],[Price (USD)]]</f>
        <v>12.95</v>
      </c>
      <c r="F167" s="78">
        <f>MouserListTable[[#This Row],[Total Price]]</f>
        <v>0</v>
      </c>
    </row>
    <row r="168" spans="1:6" s="106" customFormat="1" x14ac:dyDescent="0.25">
      <c r="A168" s="131">
        <f>IF(MouserOrderTable[[#This Row],[Qty.]]&gt;0,IF($A167="List #",1,$A167+1),IF($A167="List #",0,$A167))</f>
        <v>40</v>
      </c>
      <c r="B168" s="78" t="str">
        <f>MouserListTable[[#This Row],[SKU]]</f>
        <v>485-716</v>
      </c>
      <c r="C168" s="78">
        <f>MouserListTable[[#This Row],['# Initial]]</f>
        <v>5</v>
      </c>
      <c r="D168" s="78" t="str">
        <f>MouserListTable[[#This Row],[Name]]</f>
        <v>RGB LCD Shield Kit w/ 16x2 Character Display - Only 2 pins used! - POSITIVE DISPLAY</v>
      </c>
      <c r="E168" s="78">
        <f>MouserListTable[[#This Row],[Price (USD)]]</f>
        <v>23.95</v>
      </c>
      <c r="F168" s="78">
        <f>MouserListTable[[#This Row],[Total Price]]</f>
        <v>119.75</v>
      </c>
    </row>
    <row r="169" spans="1:6" s="106" customFormat="1" x14ac:dyDescent="0.25">
      <c r="A169" s="131">
        <f>IF(MouserOrderTable[[#This Row],[Qty.]]&gt;0,IF($A168="List #",1,$A168+1),IF($A168="List #",0,$A168))</f>
        <v>40</v>
      </c>
      <c r="B169" s="78" t="str">
        <f>MouserListTable[[#This Row],[SKU]]</f>
        <v>485-772</v>
      </c>
      <c r="C169" s="78">
        <f>MouserListTable[[#This Row],['# Initial]]</f>
        <v>0</v>
      </c>
      <c r="D169" s="78" t="str">
        <f>MouserListTable[[#This Row],[Name]]</f>
        <v>LCD Shield Kit w/ 16x2 Character Display - Only 2 pins used! - BLUE AND WHITE</v>
      </c>
      <c r="E169" s="130">
        <f>MouserListTable[[#This Row],[Price (USD)]]</f>
        <v>19.95</v>
      </c>
      <c r="F169" s="130">
        <f>MouserListTable[[#This Row],[Total Price]]</f>
        <v>0</v>
      </c>
    </row>
    <row r="170" spans="1:6" s="106" customFormat="1" x14ac:dyDescent="0.25">
      <c r="A170" s="131">
        <f>IF(MouserOrderTable[[#This Row],[Qty.]]&gt;0,IF($A169="List #",1,$A169+1),IF($A169="List #",0,$A169))</f>
        <v>40</v>
      </c>
      <c r="B170" s="78" t="str">
        <f>MouserListTable[[#This Row],[SKU]]</f>
        <v>474-LCD-00710</v>
      </c>
      <c r="C170" s="78">
        <f>MouserListTable[[#This Row],['# Initial]]</f>
        <v>0</v>
      </c>
      <c r="D170" s="78" t="str">
        <f>MouserListTable[[#This Row],[Name]]</f>
        <v>Graphic LCD 128x64 STN LED Backlight</v>
      </c>
      <c r="E170" s="78">
        <f>MouserListTable[[#This Row],[Price (USD)]]</f>
        <v>19.95</v>
      </c>
      <c r="F170" s="78">
        <f>MouserListTable[[#This Row],[Total Price]]</f>
        <v>0</v>
      </c>
    </row>
    <row r="171" spans="1:6" s="104" customFormat="1" x14ac:dyDescent="0.25">
      <c r="A171" s="131">
        <f>IF(MouserOrderTable[[#This Row],[Qty.]]&gt;0,IF($A170="List #",1,$A170+1),IF($A170="List #",0,$A170))</f>
        <v>40</v>
      </c>
      <c r="B171" s="78" t="str">
        <f>MouserListTable[[#This Row],[SKU]]</f>
        <v>474-LCD-09568</v>
      </c>
      <c r="C171" s="78">
        <f>MouserListTable[[#This Row],['# Initial]]</f>
        <v>0</v>
      </c>
      <c r="D171" s="78" t="str">
        <f>MouserListTable[[#This Row],[Name]]</f>
        <v>Serial Enabled 20x4 LCD - Black on Green 5V</v>
      </c>
      <c r="E171" s="78">
        <f>MouserListTable[[#This Row],[Price (USD)]]</f>
        <v>29.95</v>
      </c>
      <c r="F171" s="78">
        <f>MouserListTable[[#This Row],[Total Price]]</f>
        <v>0</v>
      </c>
    </row>
    <row r="172" spans="1:6" s="104" customFormat="1" x14ac:dyDescent="0.25">
      <c r="A172" s="131">
        <f>IF(MouserOrderTable[[#This Row],[Qty.]]&gt;0,IF($A171="List #",1,$A171+1),IF($A171="List #",0,$A171))</f>
        <v>40</v>
      </c>
      <c r="B172" s="78" t="str">
        <f>MouserListTable[[#This Row],[SKU]]</f>
        <v>485-198</v>
      </c>
      <c r="C172" s="78">
        <f>MouserListTable[[#This Row],['# Initial]]</f>
        <v>0</v>
      </c>
      <c r="D172" s="78" t="str">
        <f>MouserListTable[[#This Row],[Name]]</f>
        <v>Standard LCD 20x4 + extras - white on blue</v>
      </c>
      <c r="E172" s="130">
        <f>MouserListTable[[#This Row],[Price (USD)]]</f>
        <v>17.95</v>
      </c>
      <c r="F172" s="130">
        <f>MouserListTable[[#This Row],[Total Price]]</f>
        <v>0</v>
      </c>
    </row>
    <row r="173" spans="1:6" s="104" customFormat="1" x14ac:dyDescent="0.25">
      <c r="A173" s="131">
        <f>IF(MouserOrderTable[[#This Row],[Qty.]]&gt;0,IF($A172="List #",1,$A172+1),IF($A172="List #",0,$A172))</f>
        <v>40</v>
      </c>
      <c r="B173" s="78" t="str">
        <f>MouserListTable[[#This Row],[SKU]]</f>
        <v>485-3330</v>
      </c>
      <c r="C173" s="78">
        <f>MouserListTable[[#This Row],['# Initial]]</f>
        <v>0</v>
      </c>
      <c r="D173" s="78" t="str">
        <f>MouserListTable[[#This Row],[Name]]</f>
        <v xml:space="preserve">Liquid Crystal Light Valve - LCD Controllable Shutter Glass </v>
      </c>
      <c r="E173" s="130">
        <f>MouserListTable[[#This Row],[Price (USD)]]</f>
        <v>7.5</v>
      </c>
      <c r="F173" s="130">
        <f>MouserListTable[[#This Row],[Total Price]]</f>
        <v>0</v>
      </c>
    </row>
    <row r="174" spans="1:6" s="104" customFormat="1" x14ac:dyDescent="0.25">
      <c r="A174" s="131">
        <f>IF(MouserOrderTable[[#This Row],[Qty.]]&gt;0,IF($A173="List #",1,$A173+1),IF($A173="List #",0,$A173))</f>
        <v>40</v>
      </c>
      <c r="B174" s="78" t="str">
        <f>MouserListTable[[#This Row],[SKU]]</f>
        <v>485-1332</v>
      </c>
      <c r="C174" s="78">
        <f>MouserListTable[[#This Row],['# Initial]]</f>
        <v>0</v>
      </c>
      <c r="D174" s="78" t="str">
        <f>MouserListTable[[#This Row],[Name]]</f>
        <v xml:space="preserve">Membrane 1x4 Keypad + Extras </v>
      </c>
      <c r="E174" s="78">
        <f>MouserListTable[[#This Row],[Price (USD)]]</f>
        <v>2.95</v>
      </c>
      <c r="F174" s="78">
        <f>MouserListTable[[#This Row],[Total Price]]</f>
        <v>0</v>
      </c>
    </row>
    <row r="175" spans="1:6" s="106" customFormat="1" x14ac:dyDescent="0.25">
      <c r="A175" s="131">
        <f>IF(MouserOrderTable[[#This Row],[Qty.]]&gt;0,IF($A174="List #",1,$A174+1),IF($A174="List #",0,$A174))</f>
        <v>41</v>
      </c>
      <c r="B175" s="78" t="str">
        <f>MouserListTable[[#This Row],[SKU]]</f>
        <v>485-419</v>
      </c>
      <c r="C175" s="78">
        <f>MouserListTable[[#This Row],['# Initial]]</f>
        <v>5</v>
      </c>
      <c r="D175" s="78" t="str">
        <f>MouserListTable[[#This Row],[Name]]</f>
        <v xml:space="preserve">Membrane 3x4 Matrix Keypad + extras - 3x4 </v>
      </c>
      <c r="E175" s="78">
        <f>MouserListTable[[#This Row],[Price (USD)]]</f>
        <v>3.95</v>
      </c>
      <c r="F175" s="78">
        <f>MouserListTable[[#This Row],[Total Price]]</f>
        <v>19.75</v>
      </c>
    </row>
    <row r="176" spans="1:6" s="106" customFormat="1" x14ac:dyDescent="0.25">
      <c r="A176" s="131">
        <f>IF(MouserOrderTable[[#This Row],[Qty.]]&gt;0,IF($A175="List #",1,$A175+1),IF($A175="List #",0,$A175))</f>
        <v>41</v>
      </c>
      <c r="B176" s="78" t="str">
        <f>MouserListTable[[#This Row],[SKU]]</f>
        <v>474-DEV-11649</v>
      </c>
      <c r="C176" s="78">
        <f>MouserListTable[[#This Row],['# Initial]]</f>
        <v>0</v>
      </c>
      <c r="D176" s="78" t="str">
        <f>MouserListTable[[#This Row],[Name]]</f>
        <v>SparkFun Danger Shield</v>
      </c>
      <c r="E176" s="130">
        <f>MouserListTable[[#This Row],[Price (USD)]]</f>
        <v>29.95</v>
      </c>
      <c r="F176" s="130">
        <f>MouserListTable[[#This Row],[Total Price]]</f>
        <v>0</v>
      </c>
    </row>
    <row r="177" spans="1:6" s="106" customFormat="1" x14ac:dyDescent="0.25">
      <c r="A177" s="131">
        <f>IF(MouserOrderTable[[#This Row],[Qty.]]&gt;0,IF($A176="List #",1,$A176+1),IF($A176="List #",0,$A176))</f>
        <v>41</v>
      </c>
      <c r="B177" s="78" t="str">
        <f>MouserListTable[[#This Row],[SKU]]</f>
        <v>474-SEN-14348</v>
      </c>
      <c r="C177" s="78">
        <f>MouserListTable[[#This Row],['# Initial]]</f>
        <v>0</v>
      </c>
      <c r="D177" s="78" t="str">
        <f>MouserListTable[[#This Row],[Name]]</f>
        <v>SparkFun Environmental Combo Breakout - CCS811/BME280 (Qwiic)</v>
      </c>
      <c r="E177" s="78">
        <f>MouserListTable[[#This Row],[Price (USD)]]</f>
        <v>34.950000000000003</v>
      </c>
      <c r="F177" s="78">
        <f>MouserListTable[[#This Row],[Total Price]]</f>
        <v>0</v>
      </c>
    </row>
    <row r="178" spans="1:6" s="106" customFormat="1" x14ac:dyDescent="0.25">
      <c r="A178" s="131">
        <f>IF(MouserOrderTable[[#This Row],[Qty.]]&gt;0,IF($A177="List #",1,$A177+1),IF($A177="List #",0,$A177))</f>
        <v>41</v>
      </c>
      <c r="B178" s="78" t="str">
        <f>MouserListTable[[#This Row],[SKU]]</f>
        <v>474-SEN-14045</v>
      </c>
      <c r="C178" s="78">
        <f>MouserListTable[[#This Row],['# Initial]]</f>
        <v>0</v>
      </c>
      <c r="D178" s="78" t="str">
        <f>MouserListTable[[#This Row],[Name]]</f>
        <v>SparkFun Particle Sensor Breakout - MAX30105</v>
      </c>
      <c r="E178" s="130">
        <f>MouserListTable[[#This Row],[Price (USD)]]</f>
        <v>12.95</v>
      </c>
      <c r="F178" s="130">
        <f>MouserListTable[[#This Row],[Total Price]]</f>
        <v>0</v>
      </c>
    </row>
    <row r="179" spans="1:6" s="106" customFormat="1" x14ac:dyDescent="0.25">
      <c r="A179" s="131">
        <f>IF(MouserOrderTable[[#This Row],[Qty.]]&gt;0,IF($A178="List #",1,$A178+1),IF($A178="List #",0,$A178))</f>
        <v>41</v>
      </c>
      <c r="B179" s="78" t="str">
        <f>MouserListTable[[#This Row],[SKU]]</f>
        <v>474-BOB-08891</v>
      </c>
      <c r="C179" s="78">
        <f>MouserListTable[[#This Row],['# Initial]]</f>
        <v>0</v>
      </c>
      <c r="D179" s="78" t="str">
        <f>MouserListTable[[#This Row],[Name]]</f>
        <v>Gas Sensor Breakout</v>
      </c>
      <c r="E179" s="130">
        <f>MouserListTable[[#This Row],[Price (USD)]]</f>
        <v>0.95</v>
      </c>
      <c r="F179" s="130">
        <f>MouserListTable[[#This Row],[Total Price]]</f>
        <v>0</v>
      </c>
    </row>
    <row r="180" spans="1:6" s="106" customFormat="1" x14ac:dyDescent="0.25">
      <c r="A180" s="131">
        <f>IF(MouserOrderTable[[#This Row],[Qty.]]&gt;0,IF($A179="List #",1,$A179+1),IF($A179="List #",0,$A179))</f>
        <v>41</v>
      </c>
      <c r="B180" s="78" t="str">
        <f>MouserListTable[[#This Row],[SKU]]</f>
        <v>474-SEN-09403</v>
      </c>
      <c r="C180" s="78">
        <f>MouserListTable[[#This Row],['# Initial]]</f>
        <v>0</v>
      </c>
      <c r="D180" s="78" t="str">
        <f>MouserListTable[[#This Row],[Name]]</f>
        <v>Carbon Monoxide Sensor - MQ-7</v>
      </c>
      <c r="E180" s="78">
        <f>MouserListTable[[#This Row],[Price (USD)]]</f>
        <v>7.25</v>
      </c>
      <c r="F180" s="78">
        <f>MouserListTable[[#This Row],[Total Price]]</f>
        <v>0</v>
      </c>
    </row>
    <row r="181" spans="1:6" s="106" customFormat="1" x14ac:dyDescent="0.25">
      <c r="A181" s="131">
        <f>IF(MouserOrderTable[[#This Row],[Qty.]]&gt;0,IF($A180="List #",1,$A180+1),IF($A180="List #",0,$A180))</f>
        <v>41</v>
      </c>
      <c r="B181" s="78" t="str">
        <f>MouserListTable[[#This Row],[SKU]]</f>
        <v>474-SEN-12055</v>
      </c>
      <c r="C181" s="78">
        <f>MouserListTable[[#This Row],['# Initial]]</f>
        <v>0</v>
      </c>
      <c r="D181" s="78" t="str">
        <f>MouserListTable[[#This Row],[Name]]</f>
        <v>SparkFun Luminosity Sensor Breakout - TSL2561</v>
      </c>
      <c r="E181" s="78">
        <f>MouserListTable[[#This Row],[Price (USD)]]</f>
        <v>5.95</v>
      </c>
      <c r="F181" s="78">
        <f>MouserListTable[[#This Row],[Total Price]]</f>
        <v>0</v>
      </c>
    </row>
    <row r="182" spans="1:6" s="104" customFormat="1" x14ac:dyDescent="0.25">
      <c r="A182" s="131">
        <f>IF(MouserOrderTable[[#This Row],[Qty.]]&gt;0,IF($A181="List #",1,$A181+1),IF($A181="List #",0,$A181))</f>
        <v>41</v>
      </c>
      <c r="B182" s="78" t="str">
        <f>MouserListTable[[#This Row],[SKU]]</f>
        <v>474-BOB-08688</v>
      </c>
      <c r="C182" s="78">
        <f>MouserListTable[[#This Row],['# Initial]]</f>
        <v>0</v>
      </c>
      <c r="D182" s="78" t="str">
        <f>MouserListTable[[#This Row],[Name]]</f>
        <v>SparkFun Ambient Light Sensor Breakout - TEMT6000</v>
      </c>
      <c r="E182" s="78">
        <f>MouserListTable[[#This Row],[Price (USD)]]</f>
        <v>3.95</v>
      </c>
      <c r="F182" s="78">
        <f>MouserListTable[[#This Row],[Total Price]]</f>
        <v>0</v>
      </c>
    </row>
    <row r="183" spans="1:6" s="104" customFormat="1" x14ac:dyDescent="0.25">
      <c r="A183" s="131">
        <f>IF(MouserOrderTable[[#This Row],[Qty.]]&gt;0,IF($A182="List #",1,$A182+1),IF($A182="List #",0,$A182))</f>
        <v>41</v>
      </c>
      <c r="B183" s="78" t="str">
        <f>MouserListTable[[#This Row],[SKU]]</f>
        <v>474-WRL-13677</v>
      </c>
      <c r="C183" s="78">
        <f>MouserListTable[[#This Row],['# Initial]]</f>
        <v>0</v>
      </c>
      <c r="D183" s="78" t="str">
        <f>MouserListTable[[#This Row],[Name]]</f>
        <v>Edimax WiFi Adapter (EW-7811UN)</v>
      </c>
      <c r="E183" s="78">
        <f>MouserListTable[[#This Row],[Price (USD)]]</f>
        <v>14.95</v>
      </c>
      <c r="F183" s="78">
        <f>MouserListTable[[#This Row],[Total Price]]</f>
        <v>0</v>
      </c>
    </row>
    <row r="184" spans="1:6" s="106" customFormat="1" x14ac:dyDescent="0.25">
      <c r="A184" s="131">
        <f>IF(MouserOrderTable[[#This Row],[Qty.]]&gt;0,IF($A183="List #",1,$A183+1),IF($A183="List #",0,$A183))</f>
        <v>41</v>
      </c>
      <c r="B184" s="78" t="str">
        <f>MouserListTable[[#This Row],[SKU]]</f>
        <v>474-WRL-13678</v>
      </c>
      <c r="C184" s="78">
        <f>MouserListTable[[#This Row],['# Initial]]</f>
        <v>0</v>
      </c>
      <c r="D184" s="78" t="str">
        <f>MouserListTable[[#This Row],[Name]]</f>
        <v>WiFi Module - ESP8266</v>
      </c>
      <c r="E184" s="78">
        <f>MouserListTable[[#This Row],[Price (USD)]]</f>
        <v>6.95</v>
      </c>
      <c r="F184" s="78">
        <f>MouserListTable[[#This Row],[Total Price]]</f>
        <v>0</v>
      </c>
    </row>
    <row r="185" spans="1:6" s="106" customFormat="1" x14ac:dyDescent="0.25">
      <c r="A185" s="131">
        <f>IF(MouserOrderTable[[#This Row],[Qty.]]&gt;0,IF($A184="List #",1,$A184+1),IF($A184="List #",0,$A184))</f>
        <v>41</v>
      </c>
      <c r="B185" s="78" t="str">
        <f>MouserListTable[[#This Row],[SKU]]</f>
        <v>409-OPT-UP-WF-002</v>
      </c>
      <c r="C185" s="78">
        <f>MouserListTable[[#This Row],['# Initial]]</f>
        <v>0</v>
      </c>
      <c r="D185" s="78" t="str">
        <f>MouserListTable[[#This Row],[Name]]</f>
        <v>USB WIFI DONGLE BL-WN2210</v>
      </c>
      <c r="E185" s="78">
        <f>MouserListTable[[#This Row],[Price (USD)]]</f>
        <v>9.99</v>
      </c>
      <c r="F185" s="78">
        <f>MouserListTable[[#This Row],[Total Price]]</f>
        <v>0</v>
      </c>
    </row>
    <row r="186" spans="1:6" s="106" customFormat="1" x14ac:dyDescent="0.25">
      <c r="A186" s="131">
        <f>IF(MouserOrderTable[[#This Row],[Qty.]]&gt;0,IF($A185="List #",1,$A185+1),IF($A185="List #",0,$A185))</f>
        <v>41</v>
      </c>
      <c r="B186" s="78" t="str">
        <f>MouserListTable[[#This Row],[SKU]]</f>
        <v>485-2810</v>
      </c>
      <c r="C186" s="78">
        <f>MouserListTable[[#This Row],['# Initial]]</f>
        <v>0</v>
      </c>
      <c r="D186" s="78" t="str">
        <f>MouserListTable[[#This Row],[Name]]</f>
        <v>Mini USB WiFi Module - RTL8188eu - 802.11b/g/n</v>
      </c>
      <c r="E186" s="78">
        <f>MouserListTable[[#This Row],[Price (USD)]]</f>
        <v>11.99</v>
      </c>
      <c r="F186" s="78">
        <f>MouserListTable[[#This Row],[Total Price]]</f>
        <v>0</v>
      </c>
    </row>
    <row r="187" spans="1:6" s="106" customFormat="1" x14ac:dyDescent="0.25">
      <c r="A187" s="131">
        <f>IF(MouserOrderTable[[#This Row],[Qty.]]&gt;0,IF($A186="List #",1,$A186+1),IF($A186="List #",0,$A186))</f>
        <v>42</v>
      </c>
      <c r="B187" s="78" t="str">
        <f>MouserListTable[[#This Row],[SKU]]</f>
        <v>485-2649</v>
      </c>
      <c r="C187" s="78">
        <f>MouserListTable[[#This Row],['# Initial]]</f>
        <v>5</v>
      </c>
      <c r="D187" s="78" t="str">
        <f>MouserListTable[[#This Row],[Name]]</f>
        <v>Bluetooth / WiFi Combination USB Dongle</v>
      </c>
      <c r="E187" s="78">
        <f>MouserListTable[[#This Row],[Price (USD)]]</f>
        <v>19.95</v>
      </c>
      <c r="F187" s="78">
        <f>MouserListTable[[#This Row],[Total Price]]</f>
        <v>99.75</v>
      </c>
    </row>
    <row r="188" spans="1:6" s="106" customFormat="1" x14ac:dyDescent="0.25">
      <c r="A188" s="131">
        <f>IF(MouserOrderTable[[#This Row],[Qty.]]&gt;0,IF($A187="List #",1,$A187+1),IF($A187="List #",0,$A187))</f>
        <v>42</v>
      </c>
      <c r="B188" s="78" t="str">
        <f>MouserListTable[[#This Row],[SKU]]</f>
        <v>474-WRL-12579</v>
      </c>
      <c r="C188" s="78">
        <f>MouserListTable[[#This Row],['# Initial]]</f>
        <v>0</v>
      </c>
      <c r="D188" s="78" t="str">
        <f>MouserListTable[[#This Row],[Name]]</f>
        <v>SparkFun Bluetooth Module Breakout - Roving Networks (RN-41 v6.15)</v>
      </c>
      <c r="E188" s="78">
        <f>MouserListTable[[#This Row],[Price (USD)]]</f>
        <v>34.950000000000003</v>
      </c>
      <c r="F188" s="78">
        <f>MouserListTable[[#This Row],[Total Price]]</f>
        <v>0</v>
      </c>
    </row>
    <row r="189" spans="1:6" s="106" customFormat="1" x14ac:dyDescent="0.25">
      <c r="A189" s="131">
        <f>IF(MouserOrderTable[[#This Row],[Qty.]]&gt;0,IF($A188="List #",1,$A188+1),IF($A188="List #",0,$A188))</f>
        <v>42</v>
      </c>
      <c r="B189" s="78" t="str">
        <f>MouserListTable[[#This Row],[SKU]]</f>
        <v>474-WRL-11048</v>
      </c>
      <c r="C189" s="78">
        <f>MouserListTable[[#This Row],['# Initial]]</f>
        <v>0</v>
      </c>
      <c r="D189" s="78" t="str">
        <f>MouserListTable[[#This Row],[Name]]</f>
        <v>RN-XV WiFly Module - U.FL Connector</v>
      </c>
      <c r="E189" s="78">
        <f>MouserListTable[[#This Row],[Price (USD)]]</f>
        <v>34.950000000000003</v>
      </c>
      <c r="F189" s="78">
        <f>MouserListTable[[#This Row],[Total Price]]</f>
        <v>0</v>
      </c>
    </row>
    <row r="190" spans="1:6" s="106" customFormat="1" x14ac:dyDescent="0.25">
      <c r="A190" s="131">
        <f>IF(MouserOrderTable[[#This Row],[Qty.]]&gt;0,IF($A189="List #",1,$A189+1),IF($A189="List #",0,$A189))</f>
        <v>43</v>
      </c>
      <c r="B190" s="78" t="str">
        <f>MouserListTable[[#This Row],[SKU]]</f>
        <v>474-WRL-11320</v>
      </c>
      <c r="C190" s="78">
        <f>MouserListTable[[#This Row],['# Initial]]</f>
        <v>5</v>
      </c>
      <c r="D190" s="78" t="str">
        <f>MouserListTable[[#This Row],[Name]]</f>
        <v>2.4GHz Antenna - Adhesive (U.FL Connector)</v>
      </c>
      <c r="E190" s="78">
        <f>MouserListTable[[#This Row],[Price (USD)]]</f>
        <v>5</v>
      </c>
      <c r="F190" s="78">
        <f>MouserListTable[[#This Row],[Total Price]]</f>
        <v>25</v>
      </c>
    </row>
    <row r="191" spans="1:6" s="106" customFormat="1" x14ac:dyDescent="0.25">
      <c r="A191" s="131">
        <f>IF(MouserOrderTable[[#This Row],[Qty.]]&gt;0,IF($A190="List #",1,$A190+1),IF($A190="List #",0,$A190))</f>
        <v>44</v>
      </c>
      <c r="B191" s="78" t="str">
        <f>MouserListTable[[#This Row],[SKU]]</f>
        <v>474-WRL-13287</v>
      </c>
      <c r="C191" s="78">
        <f>MouserListTable[[#This Row],['# Initial]]</f>
        <v>5</v>
      </c>
      <c r="D191" s="78" t="str">
        <f>MouserListTable[[#This Row],[Name]]</f>
        <v>SparkFun WiFi Shield - ESP8266</v>
      </c>
      <c r="E191" s="78">
        <f>MouserListTable[[#This Row],[Price (USD)]]</f>
        <v>14.95</v>
      </c>
      <c r="F191" s="78">
        <f>MouserListTable[[#This Row],[Total Price]]</f>
        <v>74.75</v>
      </c>
    </row>
    <row r="192" spans="1:6" s="106" customFormat="1" x14ac:dyDescent="0.25">
      <c r="A192" s="131">
        <f>IF(MouserOrderTable[[#This Row],[Qty.]]&gt;0,IF($A191="List #",1,$A191+1),IF($A191="List #",0,$A191))</f>
        <v>44</v>
      </c>
      <c r="B192" s="78" t="str">
        <f>MouserListTable[[#This Row],[SKU]]</f>
        <v>474-KIT-11591</v>
      </c>
      <c r="C192" s="78">
        <f>MouserListTable[[#This Row],['# Initial]]</f>
        <v>0</v>
      </c>
      <c r="D192" s="78" t="str">
        <f>MouserListTable[[#This Row],[Name]]</f>
        <v>SparkFun ISP Pogo Adapter</v>
      </c>
      <c r="E192" s="78">
        <f>MouserListTable[[#This Row],[Price (USD)]]</f>
        <v>9.9499999999999993</v>
      </c>
      <c r="F192" s="78">
        <f>MouserListTable[[#This Row],[Total Price]]</f>
        <v>0</v>
      </c>
    </row>
    <row r="193" spans="1:6" s="106" customFormat="1" x14ac:dyDescent="0.25">
      <c r="A193" s="131">
        <f>IF(MouserOrderTable[[#This Row],[Qty.]]&gt;0,IF($A192="List #",1,$A192+1),IF($A192="List #",0,$A192))</f>
        <v>44</v>
      </c>
      <c r="B193" s="78" t="str">
        <f>MouserListTable[[#This Row],[SKU]]</f>
        <v>474-DEV-09215</v>
      </c>
      <c r="C193" s="78">
        <f>MouserListTable[[#This Row],['# Initial]]</f>
        <v>0</v>
      </c>
      <c r="D193" s="78" t="str">
        <f>MouserListTable[[#This Row],[Name]]</f>
        <v>AVR Programming Cable</v>
      </c>
      <c r="E193" s="78">
        <f>MouserListTable[[#This Row],[Price (USD)]]</f>
        <v>1.95</v>
      </c>
      <c r="F193" s="78">
        <f>MouserListTable[[#This Row],[Total Price]]</f>
        <v>0</v>
      </c>
    </row>
    <row r="194" spans="1:6" s="106" customFormat="1" x14ac:dyDescent="0.25">
      <c r="A194" s="131">
        <f>IF(MouserOrderTable[[#This Row],[Qty.]]&gt;0,IF($A193="List #",1,$A193+1),IF($A193="List #",0,$A193))</f>
        <v>45</v>
      </c>
      <c r="B194" s="78" t="str">
        <f>MouserListTable[[#This Row],[SKU]]</f>
        <v>474-BOB-12009</v>
      </c>
      <c r="C194" s="78">
        <f>MouserListTable[[#This Row],['# Initial]]</f>
        <v>15</v>
      </c>
      <c r="D194" s="78" t="str">
        <f>MouserListTable[[#This Row],[Name]]</f>
        <v>SparkFun Logic Level Converter - Bi-Directional</v>
      </c>
      <c r="E194" s="78">
        <f>MouserListTable[[#This Row],[Price (USD)]]</f>
        <v>2.95</v>
      </c>
      <c r="F194" s="78">
        <f>MouserListTable[[#This Row],[Total Price]]</f>
        <v>44.25</v>
      </c>
    </row>
    <row r="195" spans="1:6" s="106" customFormat="1" x14ac:dyDescent="0.25">
      <c r="A195" s="131">
        <f>IF(MouserOrderTable[[#This Row],[Qty.]]&gt;0,IF($A194="List #",1,$A194+1),IF($A194="List #",0,$A194))</f>
        <v>46</v>
      </c>
      <c r="B195" s="78" t="str">
        <f>MouserListTable[[#This Row],[SKU]]</f>
        <v>474-BOB-11955</v>
      </c>
      <c r="C195" s="78">
        <f>MouserListTable[[#This Row],['# Initial]]</f>
        <v>5</v>
      </c>
      <c r="D195" s="78" t="str">
        <f>MouserListTable[[#This Row],[Name]]</f>
        <v>SparkFun Level Translator Breakout - PCA9306</v>
      </c>
      <c r="E195" s="78">
        <f>MouserListTable[[#This Row],[Price (USD)]]</f>
        <v>6.95</v>
      </c>
      <c r="F195" s="78">
        <f>MouserListTable[[#This Row],[Total Price]]</f>
        <v>34.75</v>
      </c>
    </row>
    <row r="196" spans="1:6" s="104" customFormat="1" x14ac:dyDescent="0.25">
      <c r="A196" s="131">
        <f>IF(MouserOrderTable[[#This Row],[Qty.]]&gt;0,IF($A195="List #",1,$A195+1),IF($A195="List #",0,$A195))</f>
        <v>47</v>
      </c>
      <c r="B196" s="78" t="str">
        <f>MouserListTable[[#This Row],[SKU]]</f>
        <v>474-BOB-11771</v>
      </c>
      <c r="C196" s="78">
        <f>MouserListTable[[#This Row],['# Initial]]</f>
        <v>5</v>
      </c>
      <c r="D196" s="78" t="str">
        <f>MouserListTable[[#This Row],[Name]]</f>
        <v>SparkFun Voltage-Level Translator Breakout - TXB0104</v>
      </c>
      <c r="E196" s="78">
        <f>MouserListTable[[#This Row],[Price (USD)]]</f>
        <v>3.95</v>
      </c>
      <c r="F196" s="78">
        <f>MouserListTable[[#This Row],[Total Price]]</f>
        <v>19.75</v>
      </c>
    </row>
    <row r="197" spans="1:6" s="104" customFormat="1" x14ac:dyDescent="0.25">
      <c r="A197" s="131">
        <f>IF(MouserOrderTable[[#This Row],[Qty.]]&gt;0,IF($A196="List #",1,$A196+1),IF($A196="List #",0,$A196))</f>
        <v>48</v>
      </c>
      <c r="B197" s="78" t="str">
        <f>MouserListTable[[#This Row],[SKU]]</f>
        <v>474-BOB-12918</v>
      </c>
      <c r="C197" s="78">
        <f>MouserListTable[[#This Row],['# Initial]]</f>
        <v>5</v>
      </c>
      <c r="D197" s="78" t="str">
        <f>MouserListTable[[#This Row],[Name]]</f>
        <v>SparkFun I2C DAC Breakout - MCP4725</v>
      </c>
      <c r="E197" s="130">
        <f>MouserListTable[[#This Row],[Price (USD)]]</f>
        <v>4.95</v>
      </c>
      <c r="F197" s="130">
        <f>MouserListTable[[#This Row],[Total Price]]</f>
        <v>24.75</v>
      </c>
    </row>
    <row r="198" spans="1:6" s="104" customFormat="1" x14ac:dyDescent="0.25">
      <c r="A198" s="131">
        <f>IF(MouserOrderTable[[#This Row],[Qty.]]&gt;0,IF($A197="List #",1,$A197+1),IF($A197="List #",0,$A197))</f>
        <v>48</v>
      </c>
      <c r="B198" s="78" t="str">
        <f>MouserListTable[[#This Row],[SKU]]</f>
        <v>485-935</v>
      </c>
      <c r="C198" s="78">
        <f>MouserListTable[[#This Row],['# Initial]]</f>
        <v>0</v>
      </c>
      <c r="D198" s="78" t="str">
        <f>MouserListTable[[#This Row],[Name]]</f>
        <v xml:space="preserve">MCP4725 Breakout Board - 12-Bit DAC w/I2C Interface </v>
      </c>
      <c r="E198" s="78">
        <f>MouserListTable[[#This Row],[Price (USD)]]</f>
        <v>4.95</v>
      </c>
      <c r="F198" s="78">
        <f>MouserListTable[[#This Row],[Total Price]]</f>
        <v>0</v>
      </c>
    </row>
    <row r="199" spans="1:6" s="104" customFormat="1" x14ac:dyDescent="0.25">
      <c r="A199" s="131">
        <f>IF(MouserOrderTable[[#This Row],[Qty.]]&gt;0,IF($A198="List #",1,$A198+1),IF($A198="List #",0,$A198))</f>
        <v>48</v>
      </c>
      <c r="B199" s="78" t="str">
        <f>MouserListTable[[#This Row],[SKU]]</f>
        <v>485-1895</v>
      </c>
      <c r="C199" s="78">
        <f>MouserListTable[[#This Row],['# Initial]]</f>
        <v>0</v>
      </c>
      <c r="D199" s="78" t="str">
        <f>MouserListTable[[#This Row],[Name]]</f>
        <v xml:space="preserve">Adafruit I2C Non-Volatile FRAM Breakout - 256Kbit / 32KByte </v>
      </c>
      <c r="E199" s="130">
        <f>MouserListTable[[#This Row],[Price (USD)]]</f>
        <v>9.9499999999999993</v>
      </c>
      <c r="F199" s="130">
        <f>MouserListTable[[#This Row],[Total Price]]</f>
        <v>0</v>
      </c>
    </row>
    <row r="200" spans="1:6" s="104" customFormat="1" x14ac:dyDescent="0.25">
      <c r="A200" s="131">
        <f>IF(MouserOrderTable[[#This Row],[Qty.]]&gt;0,IF($A199="List #",1,$A199+1),IF($A199="List #",0,$A199))</f>
        <v>48</v>
      </c>
      <c r="B200" s="78" t="str">
        <f>MouserListTable[[#This Row],[SKU]]</f>
        <v>485-1897</v>
      </c>
      <c r="C200" s="78">
        <f>MouserListTable[[#This Row],['# Initial]]</f>
        <v>0</v>
      </c>
      <c r="D200" s="78" t="str">
        <f>MouserListTable[[#This Row],[Name]]</f>
        <v xml:space="preserve">Adafruit SPI Non-Volatile FRAM Breakout - 64Kbit / 8KByte </v>
      </c>
      <c r="E200" s="78">
        <f>MouserListTable[[#This Row],[Price (USD)]]</f>
        <v>5.95</v>
      </c>
      <c r="F200" s="78">
        <f>MouserListTable[[#This Row],[Total Price]]</f>
        <v>0</v>
      </c>
    </row>
    <row r="201" spans="1:6" s="104" customFormat="1" x14ac:dyDescent="0.25">
      <c r="A201" s="131">
        <f>IF(MouserOrderTable[[#This Row],[Qty.]]&gt;0,IF($A200="List #",1,$A200+1),IF($A200="List #",0,$A200))</f>
        <v>48</v>
      </c>
      <c r="B201" s="78" t="str">
        <f>MouserListTable[[#This Row],[SKU]]</f>
        <v>474-BOB-00717</v>
      </c>
      <c r="C201" s="78">
        <f>MouserListTable[[#This Row],['# Initial]]</f>
        <v>0</v>
      </c>
      <c r="D201" s="78" t="str">
        <f>MouserListTable[[#This Row],[Name]]</f>
        <v>SparkFun SOT23 to DIP Adapter</v>
      </c>
      <c r="E201" s="78">
        <f>MouserListTable[[#This Row],[Price (USD)]]</f>
        <v>0.95</v>
      </c>
      <c r="F201" s="78">
        <f>MouserListTable[[#This Row],[Total Price]]</f>
        <v>0</v>
      </c>
    </row>
    <row r="202" spans="1:6" s="104" customFormat="1" x14ac:dyDescent="0.25">
      <c r="A202" s="131">
        <f>IF(MouserOrderTable[[#This Row],[Qty.]]&gt;0,IF($A201="List #",1,$A201+1),IF($A201="List #",0,$A201))</f>
        <v>48</v>
      </c>
      <c r="B202" s="78" t="str">
        <f>MouserListTable[[#This Row],[SKU]]</f>
        <v>474-BOB-13655</v>
      </c>
      <c r="C202" s="78">
        <f>MouserListTable[[#This Row],['# Initial]]</f>
        <v>0</v>
      </c>
      <c r="D202" s="78" t="str">
        <f>MouserListTable[[#This Row],[Name]]</f>
        <v>SparkFun SOIC to DIP Adapter - 8-Pin</v>
      </c>
      <c r="E202" s="78">
        <f>MouserListTable[[#This Row],[Price (USD)]]</f>
        <v>2.95</v>
      </c>
      <c r="F202" s="78">
        <f>MouserListTable[[#This Row],[Total Price]]</f>
        <v>0</v>
      </c>
    </row>
    <row r="203" spans="1:6" s="104" customFormat="1" x14ac:dyDescent="0.25">
      <c r="A203" s="131">
        <f>IF(MouserOrderTable[[#This Row],[Qty.]]&gt;0,IF($A202="List #",1,$A202+1),IF($A202="List #",0,$A202))</f>
        <v>48</v>
      </c>
      <c r="B203" s="78" t="str">
        <f>MouserListTable[[#This Row],[SKU]]</f>
        <v>474-BOB-00497</v>
      </c>
      <c r="C203" s="78">
        <f>MouserListTable[[#This Row],['# Initial]]</f>
        <v>0</v>
      </c>
      <c r="D203" s="78" t="str">
        <f>MouserListTable[[#This Row],[Name]]</f>
        <v>SparkFun SSOP to DIP Adapter - 8-Pin</v>
      </c>
      <c r="E203" s="78">
        <f>MouserListTable[[#This Row],[Price (USD)]]</f>
        <v>2.95</v>
      </c>
      <c r="F203" s="78">
        <f>MouserListTable[[#This Row],[Total Price]]</f>
        <v>0</v>
      </c>
    </row>
    <row r="204" spans="1:6" s="104" customFormat="1" x14ac:dyDescent="0.25">
      <c r="A204" s="131">
        <f>IF(MouserOrderTable[[#This Row],[Qty.]]&gt;0,IF($A203="List #",1,$A203+1),IF($A203="List #",0,$A203))</f>
        <v>48</v>
      </c>
      <c r="B204" s="78" t="str">
        <f>MouserListTable[[#This Row],[SKU]]</f>
        <v>474-BOB-13994</v>
      </c>
      <c r="C204" s="78">
        <f>MouserListTable[[#This Row],['# Initial]]</f>
        <v>0</v>
      </c>
      <c r="D204" s="78" t="str">
        <f>MouserListTable[[#This Row],[Name]]</f>
        <v>SparkFun SSOP to DIP Adapter - 16-Pin</v>
      </c>
      <c r="E204" s="78">
        <f>MouserListTable[[#This Row],[Price (USD)]]</f>
        <v>2.95</v>
      </c>
      <c r="F204" s="78">
        <f>MouserListTable[[#This Row],[Total Price]]</f>
        <v>0</v>
      </c>
    </row>
    <row r="205" spans="1:6" s="104" customFormat="1" x14ac:dyDescent="0.25">
      <c r="A205" s="131">
        <f>IF(MouserOrderTable[[#This Row],[Qty.]]&gt;0,IF($A204="List #",1,$A204+1),IF($A204="List #",0,$A204))</f>
        <v>48</v>
      </c>
      <c r="B205" s="78" t="str">
        <f>MouserListTable[[#This Row],[SKU]]</f>
        <v>474-BOB-00495</v>
      </c>
      <c r="C205" s="78">
        <f>MouserListTable[[#This Row],['# Initial]]</f>
        <v>0</v>
      </c>
      <c r="D205" s="78" t="str">
        <f>MouserListTable[[#This Row],[Name]]</f>
        <v>SparkFun SOIC to DIP Adapter - 20-Pin</v>
      </c>
      <c r="E205" s="130">
        <f>MouserListTable[[#This Row],[Price (USD)]]</f>
        <v>3.95</v>
      </c>
      <c r="F205" s="130">
        <f>MouserListTable[[#This Row],[Total Price]]</f>
        <v>0</v>
      </c>
    </row>
    <row r="206" spans="1:6" s="104" customFormat="1" x14ac:dyDescent="0.25">
      <c r="A206" s="131">
        <f>IF(MouserOrderTable[[#This Row],[Qty.]]&gt;0,IF($A205="List #",1,$A205+1),IF($A205="List #",0,$A205))</f>
        <v>48</v>
      </c>
      <c r="B206" s="78" t="str">
        <f>MouserListTable[[#This Row],[SKU]]</f>
        <v>474-BOB-00499</v>
      </c>
      <c r="C206" s="78">
        <f>MouserListTable[[#This Row],['# Initial]]</f>
        <v>0</v>
      </c>
      <c r="D206" s="78" t="str">
        <f>MouserListTable[[#This Row],[Name]]</f>
        <v>SparkFun SSOP to DIP Adapter - 20-Pin</v>
      </c>
      <c r="E206" s="78">
        <f>MouserListTable[[#This Row],[Price (USD)]]</f>
        <v>3.95</v>
      </c>
      <c r="F206" s="78">
        <f>MouserListTable[[#This Row],[Total Price]]</f>
        <v>0</v>
      </c>
    </row>
    <row r="207" spans="1:6" s="104" customFormat="1" x14ac:dyDescent="0.25">
      <c r="A207" s="131">
        <f>IF(MouserOrderTable[[#This Row],[Qty.]]&gt;0,IF($A206="List #",1,$A206+1),IF($A206="List #",0,$A206))</f>
        <v>48</v>
      </c>
      <c r="B207" s="78" t="str">
        <f>MouserListTable[[#This Row],[SKU]]</f>
        <v>474-BOB-00496</v>
      </c>
      <c r="C207" s="78">
        <f>MouserListTable[[#This Row],['# Initial]]</f>
        <v>0</v>
      </c>
      <c r="D207" s="78" t="str">
        <f>MouserListTable[[#This Row],[Name]]</f>
        <v>SparkFun SOIC to DIP Adapter - 28-Pin</v>
      </c>
      <c r="E207" s="78">
        <f>MouserListTable[[#This Row],[Price (USD)]]</f>
        <v>3.95</v>
      </c>
      <c r="F207" s="78">
        <f>MouserListTable[[#This Row],[Total Price]]</f>
        <v>0</v>
      </c>
    </row>
    <row r="208" spans="1:6" s="104" customFormat="1" x14ac:dyDescent="0.25">
      <c r="A208" s="131">
        <f>IF(MouserOrderTable[[#This Row],[Qty.]]&gt;0,IF($A207="List #",1,$A207+1),IF($A207="List #",0,$A207))</f>
        <v>48</v>
      </c>
      <c r="B208" s="78" t="str">
        <f>MouserListTable[[#This Row],[SKU]]</f>
        <v>474-BOB-00500</v>
      </c>
      <c r="C208" s="78">
        <f>MouserListTable[[#This Row],['# Initial]]</f>
        <v>0</v>
      </c>
      <c r="D208" s="78" t="str">
        <f>MouserListTable[[#This Row],[Name]]</f>
        <v>SparkFun SSOP to DIP Adapter - 28-Pin</v>
      </c>
      <c r="E208" s="130">
        <f>MouserListTable[[#This Row],[Price (USD)]]</f>
        <v>3.95</v>
      </c>
      <c r="F208" s="130">
        <f>MouserListTable[[#This Row],[Total Price]]</f>
        <v>0</v>
      </c>
    </row>
    <row r="209" spans="1:6" s="106" customFormat="1" x14ac:dyDescent="0.25">
      <c r="A209" s="131">
        <f>IF(MouserOrderTable[[#This Row],[Qty.]]&gt;0,IF($A208="List #",1,$A208+1),IF($A208="List #",0,$A208))</f>
        <v>48</v>
      </c>
      <c r="B209" s="78" t="str">
        <f>MouserListTable[[#This Row],[SKU]]</f>
        <v>474-PRT-14425</v>
      </c>
      <c r="C209" s="78">
        <f>MouserListTable[[#This Row],['# Initial]]</f>
        <v>0</v>
      </c>
      <c r="D209" s="78" t="str">
        <f>MouserListTable[[#This Row],[Name]]</f>
        <v>Qwiic Cable - Breadboard Jumper (4-pin)</v>
      </c>
      <c r="E209" s="130">
        <f>MouserListTable[[#This Row],[Price (USD)]]</f>
        <v>1.5</v>
      </c>
      <c r="F209" s="130">
        <f>MouserListTable[[#This Row],[Total Price]]</f>
        <v>0</v>
      </c>
    </row>
    <row r="210" spans="1:6" s="106" customFormat="1" x14ac:dyDescent="0.25">
      <c r="A210" s="131">
        <f>IF(MouserOrderTable[[#This Row],[Qty.]]&gt;0,IF($A209="List #",1,$A209+1),IF($A209="List #",0,$A209))</f>
        <v>48</v>
      </c>
      <c r="B210" s="78" t="str">
        <f>MouserListTable[[#This Row],[SKU]]</f>
        <v>474-SPX-14291</v>
      </c>
      <c r="C210" s="78">
        <f>MouserListTable[[#This Row],['# Initial]]</f>
        <v>0</v>
      </c>
      <c r="D210" s="78" t="str">
        <f>MouserListTable[[#This Row],[Name]]</f>
        <v>1-Wire to Qwiic Bridge - DS28E17</v>
      </c>
      <c r="E210" s="130">
        <f>MouserListTable[[#This Row],[Price (USD)]]</f>
        <v>14.95</v>
      </c>
      <c r="F210" s="130">
        <f>MouserListTable[[#This Row],[Total Price]]</f>
        <v>0</v>
      </c>
    </row>
    <row r="211" spans="1:6" s="106" customFormat="1" x14ac:dyDescent="0.25">
      <c r="A211" s="131">
        <f>IF(MouserOrderTable[[#This Row],[Qty.]]&gt;0,IF($A210="List #",1,$A210+1),IF($A210="List #",0,$A210))</f>
        <v>48</v>
      </c>
      <c r="B211" s="78" t="str">
        <f>MouserListTable[[#This Row],[SKU]]</f>
        <v>474-SPX-14286</v>
      </c>
      <c r="C211" s="78">
        <f>MouserListTable[[#This Row],['# Initial]]</f>
        <v>0</v>
      </c>
      <c r="D211" s="78" t="str">
        <f>MouserListTable[[#This Row],[Name]]</f>
        <v>Qwiic Shield for Arduino</v>
      </c>
      <c r="E211" s="78">
        <f>MouserListTable[[#This Row],[Price (USD)]]</f>
        <v>2.95</v>
      </c>
      <c r="F211" s="78">
        <f>MouserListTable[[#This Row],[Total Price]]</f>
        <v>0</v>
      </c>
    </row>
    <row r="212" spans="1:6" s="106" customFormat="1" x14ac:dyDescent="0.25">
      <c r="A212" s="131">
        <f>IF(MouserOrderTable[[#This Row],[Qty.]]&gt;0,IF($A211="List #",1,$A211+1),IF($A211="List #",0,$A211))</f>
        <v>48</v>
      </c>
      <c r="B212" s="78" t="str">
        <f>MouserListTable[[#This Row],[SKU]]</f>
        <v>474-SPX-14257</v>
      </c>
      <c r="C212" s="78">
        <f>MouserListTable[[#This Row],['# Initial]]</f>
        <v>0</v>
      </c>
      <c r="D212" s="78" t="str">
        <f>MouserListTable[[#This Row],[Name]]</f>
        <v>Qwiic Mux Shield for Arduino - PCA9548A</v>
      </c>
      <c r="E212" s="130">
        <f>MouserListTable[[#This Row],[Price (USD)]]</f>
        <v>9.9499999999999993</v>
      </c>
      <c r="F212" s="130">
        <f>MouserListTable[[#This Row],[Total Price]]</f>
        <v>0</v>
      </c>
    </row>
    <row r="213" spans="1:6" s="106" customFormat="1" x14ac:dyDescent="0.25">
      <c r="A213" s="131">
        <f>IF(MouserOrderTable[[#This Row],[Qty.]]&gt;0,IF($A212="List #",1,$A212+1),IF($A212="List #",0,$A212))</f>
        <v>48</v>
      </c>
      <c r="B213" s="78" t="str">
        <f>MouserListTable[[#This Row],[SKU]]</f>
        <v>474-SPX-14293</v>
      </c>
      <c r="C213" s="78">
        <f>MouserListTable[[#This Row],['# Initial]]</f>
        <v>0</v>
      </c>
      <c r="D213" s="78" t="str">
        <f>MouserListTable[[#This Row],[Name]]</f>
        <v>Qwiic Mux - PCA9548A</v>
      </c>
      <c r="E213" s="130">
        <f>MouserListTable[[#This Row],[Price (USD)]]</f>
        <v>14.95</v>
      </c>
      <c r="F213" s="130">
        <f>MouserListTable[[#This Row],[Total Price]]</f>
        <v>0</v>
      </c>
    </row>
    <row r="214" spans="1:6" s="106" customFormat="1" x14ac:dyDescent="0.25">
      <c r="A214" s="131">
        <f>IF(MouserOrderTable[[#This Row],[Qty.]]&gt;0,IF($A213="List #",1,$A213+1),IF($A213="List #",0,$A213))</f>
        <v>48</v>
      </c>
      <c r="B214" s="78" t="str">
        <f>MouserListTable[[#This Row],[SKU]]</f>
        <v>474-SPX-14289</v>
      </c>
      <c r="C214" s="78">
        <f>MouserListTable[[#This Row],['# Initial]]</f>
        <v>0</v>
      </c>
      <c r="D214" s="78" t="str">
        <f>MouserListTable[[#This Row],[Name]]</f>
        <v>Qwiic Human Presence Sensor - AK9750</v>
      </c>
      <c r="E214" s="78">
        <f>MouserListTable[[#This Row],[Price (USD)]]</f>
        <v>39.950000000000003</v>
      </c>
      <c r="F214" s="78">
        <f>MouserListTable[[#This Row],[Total Price]]</f>
        <v>0</v>
      </c>
    </row>
    <row r="215" spans="1:6" s="106" customFormat="1" x14ac:dyDescent="0.25">
      <c r="A215" s="131">
        <f>IF(MouserOrderTable[[#This Row],[Qty.]]&gt;0,IF($A214="List #",1,$A214+1),IF($A214="List #",0,$A214))</f>
        <v>48</v>
      </c>
      <c r="B215" s="81" t="str">
        <f>MouserListTable[[#This Row],[SKU]]</f>
        <v>474-SPX-14269</v>
      </c>
      <c r="C215" s="94">
        <f>MouserListTable[[#This Row],['# Initial]]</f>
        <v>0</v>
      </c>
      <c r="D215" s="78" t="s">
        <v>1516</v>
      </c>
      <c r="E215" s="117">
        <v>24.95</v>
      </c>
      <c r="F215" s="117">
        <f>MouserListTable[[#This Row],[Total Price]]</f>
        <v>0</v>
      </c>
    </row>
    <row r="216" spans="1:6" s="106" customFormat="1" x14ac:dyDescent="0.25">
      <c r="A216" s="131">
        <f>IF(MouserOrderTable[[#This Row],[Qty.]]&gt;0,IF($A215="List #",1,$A215+1),IF($A215="List #",0,$A215))</f>
        <v>48</v>
      </c>
      <c r="B216" s="81" t="str">
        <f>MouserListTable[[#This Row],[SKU]]</f>
        <v>474-PRT-14426</v>
      </c>
      <c r="C216" s="94">
        <f>MouserListTable[[#This Row],['# Initial]]</f>
        <v>0</v>
      </c>
      <c r="D216" s="78" t="s">
        <v>944</v>
      </c>
      <c r="E216" s="117">
        <v>11.95</v>
      </c>
      <c r="F216" s="117">
        <f>MouserListTable[[#This Row],[Total Price]]</f>
        <v>0</v>
      </c>
    </row>
    <row r="217" spans="1:6" s="111" customFormat="1" x14ac:dyDescent="0.25">
      <c r="A217" s="131">
        <f>IF(MouserOrderTable[[#This Row],[Qty.]]&gt;0,IF($A216="List #",1,$A216+1),IF($A216="List #",0,$A216))</f>
        <v>48</v>
      </c>
      <c r="B217" s="81" t="str">
        <f>MouserListTable[[#This Row],[SKU]]</f>
        <v>474-PRT-14427</v>
      </c>
      <c r="C217" s="94">
        <f>MouserListTable[[#This Row],['# Initial]]</f>
        <v>0</v>
      </c>
      <c r="D217" s="78" t="s">
        <v>964</v>
      </c>
      <c r="E217" s="117">
        <v>49.95</v>
      </c>
      <c r="F217" s="117">
        <f>MouserListTable[[#This Row],[Total Price]]</f>
        <v>0</v>
      </c>
    </row>
    <row r="218" spans="1:6" s="111" customFormat="1" x14ac:dyDescent="0.25">
      <c r="A218" s="131">
        <f>IF(MouserOrderTable[[#This Row],[Qty.]]&gt;0,IF($A217="List #",1,$A217+1),IF($A217="List #",0,$A217))</f>
        <v>48</v>
      </c>
      <c r="B218" s="81" t="str">
        <f>MouserListTable[[#This Row],[SKU]]</f>
        <v>474-PRT-14428</v>
      </c>
      <c r="C218" s="94">
        <f>MouserListTable[[#This Row],['# Initial]]</f>
        <v>0</v>
      </c>
      <c r="D218" s="78" t="s">
        <v>984</v>
      </c>
      <c r="E218" s="117">
        <v>44.95</v>
      </c>
      <c r="F218" s="117">
        <f>MouserListTable[[#This Row],[Total Price]]</f>
        <v>0</v>
      </c>
    </row>
    <row r="219" spans="1:6" s="111" customFormat="1" x14ac:dyDescent="0.25">
      <c r="A219" s="131">
        <f>IF(MouserOrderTable[[#This Row],[Qty.]]&gt;0,IF($A218="List #",1,$A218+1),IF($A218="List #",0,$A218))</f>
        <v>48</v>
      </c>
      <c r="B219" s="81" t="str">
        <f>MouserListTable[[#This Row],[SKU]]</f>
        <v>474-PRT-14429</v>
      </c>
      <c r="C219" s="94">
        <f>MouserListTable[[#This Row],['# Initial]]</f>
        <v>0</v>
      </c>
      <c r="D219" s="78" t="s">
        <v>948</v>
      </c>
      <c r="E219" s="117">
        <v>59.95</v>
      </c>
      <c r="F219" s="117">
        <f>MouserListTable[[#This Row],[Total Price]]</f>
        <v>0</v>
      </c>
    </row>
    <row r="220" spans="1:6" s="104" customFormat="1" x14ac:dyDescent="0.25">
      <c r="A220" s="131">
        <f>IF(MouserOrderTable[[#This Row],[Qty.]]&gt;0,IF($A219="List #",1,$A219+1),IF($A219="List #",0,$A219))</f>
        <v>48</v>
      </c>
      <c r="B220" s="81" t="str">
        <f>MouserListTable[[#This Row],[SKU]]</f>
        <v>474-SPX-14323</v>
      </c>
      <c r="C220" s="94">
        <f>MouserListTable[[#This Row],['# Initial]]</f>
        <v>0</v>
      </c>
      <c r="D220" s="78" t="s">
        <v>2070</v>
      </c>
      <c r="E220" s="117">
        <v>44.95</v>
      </c>
      <c r="F220" s="117">
        <f>MouserListTable[[#This Row],[Total Price]]</f>
        <v>0</v>
      </c>
    </row>
    <row r="221" spans="1:6" s="104" customFormat="1" x14ac:dyDescent="0.25">
      <c r="A221" s="131">
        <f>IF(MouserOrderTable[[#This Row],[Qty.]]&gt;0,IF($A220="List #",1,$A220+1),IF($A220="List #",0,$A220))</f>
        <v>48</v>
      </c>
      <c r="B221" s="81" t="str">
        <f>MouserListTable[[#This Row],[SKU]]</f>
        <v>474-SPX-14324</v>
      </c>
      <c r="C221" s="94">
        <f>MouserListTable[[#This Row],['# Initial]]</f>
        <v>0</v>
      </c>
      <c r="D221" s="78" t="s">
        <v>2047</v>
      </c>
      <c r="E221" s="117">
        <v>39.950000000000003</v>
      </c>
      <c r="F221" s="117">
        <f>MouserListTable[[#This Row],[Total Price]]</f>
        <v>0</v>
      </c>
    </row>
    <row r="222" spans="1:6" s="104" customFormat="1" x14ac:dyDescent="0.25">
      <c r="A222" s="131">
        <f>IF(MouserOrderTable[[#This Row],[Qty.]]&gt;0,IF($A221="List #",1,$A221+1),IF($A221="List #",0,$A221))</f>
        <v>48</v>
      </c>
      <c r="B222" s="81" t="str">
        <f>MouserListTable[[#This Row],[SKU]]</f>
        <v>474-DEV-11723</v>
      </c>
      <c r="C222" s="94">
        <f>MouserListTable[[#This Row],['# Initial]]</f>
        <v>0</v>
      </c>
      <c r="D222" s="78" t="s">
        <v>2045</v>
      </c>
      <c r="E222" s="117">
        <v>9</v>
      </c>
      <c r="F222" s="117">
        <f>MouserListTable[[#This Row],[Total Price]]</f>
        <v>0</v>
      </c>
    </row>
    <row r="223" spans="1:6" s="104" customFormat="1" x14ac:dyDescent="0.25">
      <c r="A223" s="131">
        <f>IF(MouserOrderTable[[#This Row],[Qty.]]&gt;0,IF($A222="List #",1,$A222+1),IF($A222="List #",0,$A222))</f>
        <v>49</v>
      </c>
      <c r="B223" s="81" t="str">
        <f>MouserListTable[[#This Row],[SKU]]</f>
        <v>474-BOB-09056</v>
      </c>
      <c r="C223" s="94">
        <f>MouserListTable[[#This Row],['# Initial]]</f>
        <v>5</v>
      </c>
      <c r="D223" s="78" t="s">
        <v>2043</v>
      </c>
      <c r="E223" s="117">
        <v>2.95</v>
      </c>
      <c r="F223" s="117">
        <f>MouserListTable[[#This Row],[Total Price]]</f>
        <v>24.75</v>
      </c>
    </row>
    <row r="224" spans="1:6" s="111" customFormat="1" x14ac:dyDescent="0.25">
      <c r="A224" s="131">
        <f>IF(MouserOrderTable[[#This Row],[Qty.]]&gt;0,IF($A223="List #",1,$A223+1),IF($A223="List #",0,$A223))</f>
        <v>49</v>
      </c>
      <c r="B224" s="81" t="str">
        <f>MouserListTable[[#This Row],[SKU]]</f>
        <v>485-2717</v>
      </c>
      <c r="C224" s="94">
        <f>MouserListTable[[#This Row],['# Initial]]</f>
        <v>0</v>
      </c>
      <c r="D224" s="78" t="s">
        <v>1395</v>
      </c>
      <c r="E224" s="117">
        <v>149.94999999999999</v>
      </c>
      <c r="F224" s="117">
        <f>MouserListTable[[#This Row],[Total Price]]</f>
        <v>0</v>
      </c>
    </row>
    <row r="225" spans="1:6" s="111" customFormat="1" x14ac:dyDescent="0.25">
      <c r="A225" s="131">
        <f>IF(MouserOrderTable[[#This Row],[Qty.]]&gt;0,IF($A224="List #",1,$A224+1),IF($A224="List #",0,$A224))</f>
        <v>50</v>
      </c>
      <c r="B225" s="81" t="str">
        <f>MouserListTable[[#This Row],[SKU]]</f>
        <v>474-BOB-09118</v>
      </c>
      <c r="C225" s="94">
        <f>MouserListTable[[#This Row],['# Initial]]</f>
        <v>5</v>
      </c>
      <c r="D225" s="78" t="s">
        <v>952</v>
      </c>
      <c r="E225" s="117">
        <v>4.95</v>
      </c>
      <c r="F225" s="117">
        <f>MouserListTable[[#This Row],[Total Price]]</f>
        <v>24.75</v>
      </c>
    </row>
    <row r="226" spans="1:6" s="111" customFormat="1" x14ac:dyDescent="0.25">
      <c r="A226" s="131">
        <f>IF(MouserOrderTable[[#This Row],[Qty.]]&gt;0,IF($A225="List #",1,$A225+1),IF($A225="List #",0,$A225))</f>
        <v>50</v>
      </c>
      <c r="B226" s="81" t="str">
        <f>MouserListTable[[#This Row],[SKU]]</f>
        <v>485-1085</v>
      </c>
      <c r="C226" s="94">
        <f>MouserListTable[[#This Row],['# Initial]]</f>
        <v>0</v>
      </c>
      <c r="D226" s="78" t="s">
        <v>968</v>
      </c>
      <c r="E226" s="117">
        <v>349</v>
      </c>
      <c r="F226" s="117">
        <f>MouserListTable[[#This Row],[Total Price]]</f>
        <v>0</v>
      </c>
    </row>
    <row r="227" spans="1:6" s="104" customFormat="1" x14ac:dyDescent="0.25">
      <c r="A227" s="131">
        <f>IF(MouserOrderTable[[#This Row],[Qty.]]&gt;0,IF($A226="List #",1,$A226+1),IF($A226="List #",0,$A226))</f>
        <v>50</v>
      </c>
      <c r="B227" s="81" t="str">
        <f>MouserListTable[[#This Row],[SKU]]</f>
        <v>485-856</v>
      </c>
      <c r="C227" s="94">
        <f>MouserListTable[[#This Row],['# Initial]]</f>
        <v>0</v>
      </c>
      <c r="D227" s="78" t="s">
        <v>1023</v>
      </c>
      <c r="E227" s="117">
        <v>14.95</v>
      </c>
      <c r="F227" s="117">
        <f>MouserListTable[[#This Row],[Total Price]]</f>
        <v>0</v>
      </c>
    </row>
    <row r="228" spans="1:6" s="111" customFormat="1" x14ac:dyDescent="0.25">
      <c r="A228" s="131">
        <f>IF(MouserOrderTable[[#This Row],[Qty.]]&gt;0,IF($A227="List #",1,$A227+1),IF($A227="List #",0,$A227))</f>
        <v>50</v>
      </c>
      <c r="B228" s="81" t="str">
        <f>MouserListTable[[#This Row],[SKU]]</f>
        <v>474-CAB-11604</v>
      </c>
      <c r="C228" s="94">
        <f>MouserListTable[[#This Row],['# Initial]]</f>
        <v>0</v>
      </c>
      <c r="D228" s="78" t="s">
        <v>912</v>
      </c>
      <c r="E228" s="117">
        <v>24.95</v>
      </c>
      <c r="F228" s="117">
        <f>MouserListTable[[#This Row],[Total Price]]</f>
        <v>0</v>
      </c>
    </row>
    <row r="229" spans="1:6" s="111" customFormat="1" x14ac:dyDescent="0.25">
      <c r="A229" s="131">
        <f>IF(MouserOrderTable[[#This Row],[Qty.]]&gt;0,IF($A228="List #",1,$A228+1),IF($A228="List #",0,$A228))</f>
        <v>50</v>
      </c>
      <c r="B229" s="81" t="str">
        <f>MouserListTable[[#This Row],[SKU]]</f>
        <v>474-CAB-14276</v>
      </c>
      <c r="C229" s="94">
        <f>MouserListTable[[#This Row],['# Initial]]</f>
        <v>0</v>
      </c>
      <c r="D229" s="78" t="s">
        <v>916</v>
      </c>
      <c r="E229" s="117">
        <v>14.95</v>
      </c>
      <c r="F229" s="117">
        <f>MouserListTable[[#This Row],[Total Price]]</f>
        <v>0</v>
      </c>
    </row>
    <row r="230" spans="1:6" s="111" customFormat="1" x14ac:dyDescent="0.25">
      <c r="A230" s="131">
        <f>IF(MouserOrderTable[[#This Row],[Qty.]]&gt;0,IF($A229="List #",1,$A229+1),IF($A229="List #",0,$A229))</f>
        <v>50</v>
      </c>
      <c r="B230" s="81" t="str">
        <f>MouserListTable[[#This Row],[SKU]]</f>
        <v>485-1099</v>
      </c>
      <c r="C230" s="94">
        <f>MouserListTable[[#This Row],['# Initial]]</f>
        <v>0</v>
      </c>
      <c r="D230" s="78" t="s">
        <v>980</v>
      </c>
      <c r="E230" s="117">
        <v>179.95</v>
      </c>
      <c r="F230" s="117">
        <f>MouserListTable[[#This Row],[Total Price]]</f>
        <v>0</v>
      </c>
    </row>
    <row r="231" spans="1:6" s="104" customFormat="1" x14ac:dyDescent="0.25">
      <c r="A231" s="131">
        <f>IF(MouserOrderTable[[#This Row],[Qty.]]&gt;0,IF($A230="List #",1,$A230+1),IF($A230="List #",0,$A230))</f>
        <v>51</v>
      </c>
      <c r="B231" s="81" t="str">
        <f>MouserListTable[[#This Row],[SKU]]</f>
        <v>485-2910</v>
      </c>
      <c r="C231" s="94">
        <f>MouserListTable[[#This Row],['# Initial]]</f>
        <v>5</v>
      </c>
      <c r="D231" s="78" t="s">
        <v>1772</v>
      </c>
      <c r="E231" s="117">
        <v>84.95</v>
      </c>
      <c r="F231" s="117">
        <f>MouserListTable[[#This Row],[Total Price]]</f>
        <v>14.75</v>
      </c>
    </row>
    <row r="232" spans="1:6" s="104" customFormat="1" x14ac:dyDescent="0.25">
      <c r="A232" s="131">
        <f>IF(MouserOrderTable[[#This Row],[Qty.]]&gt;0,IF($A231="List #",1,$A231+1),IF($A231="List #",0,$A231))</f>
        <v>51</v>
      </c>
      <c r="B232" s="81" t="str">
        <f>MouserListTable[[#This Row],[SKU]]</f>
        <v>474-CAB-12977</v>
      </c>
      <c r="C232" s="94">
        <f>MouserListTable[[#This Row],['# Initial]]</f>
        <v>0</v>
      </c>
      <c r="D232" s="78" t="s">
        <v>1736</v>
      </c>
      <c r="E232" s="117">
        <v>84.95</v>
      </c>
      <c r="F232" s="117">
        <f>MouserListTable[[#This Row],[Total Price]]</f>
        <v>0</v>
      </c>
    </row>
    <row r="233" spans="1:6" s="104" customFormat="1" x14ac:dyDescent="0.25">
      <c r="A233" s="131">
        <f>IF(MouserOrderTable[[#This Row],[Qty.]]&gt;0,IF($A232="List #",1,$A232+1),IF($A232="List #",0,$A232))</f>
        <v>51</v>
      </c>
      <c r="B233" s="81" t="str">
        <f>MouserListTable[[#This Row],[SKU]]</f>
        <v>485-1620</v>
      </c>
      <c r="C233" s="94">
        <f>MouserListTable[[#This Row],['# Initial]]</f>
        <v>0</v>
      </c>
      <c r="D233" s="78" t="s">
        <v>2072</v>
      </c>
      <c r="E233" s="117">
        <v>39.950000000000003</v>
      </c>
      <c r="F233" s="117">
        <f>MouserListTable[[#This Row],[Total Price]]</f>
        <v>0</v>
      </c>
    </row>
    <row r="234" spans="1:6" s="104" customFormat="1" x14ac:dyDescent="0.25">
      <c r="A234" s="131">
        <f>IF(MouserOrderTable[[#This Row],[Qty.]]&gt;0,IF($A233="List #",1,$A233+1),IF($A233="List #",0,$A233))</f>
        <v>52</v>
      </c>
      <c r="B234" s="81" t="str">
        <f>MouserListTable[[#This Row],[SKU]]</f>
        <v>474-CAB-12016</v>
      </c>
      <c r="C234" s="94">
        <f>MouserListTable[[#This Row],['# Initial]]</f>
        <v>1</v>
      </c>
      <c r="D234" s="97" t="s">
        <v>2074</v>
      </c>
      <c r="E234" s="118">
        <v>44.95</v>
      </c>
      <c r="F234" s="117">
        <f>MouserListTable[[#This Row],[Total Price]]</f>
        <v>6.97</v>
      </c>
    </row>
    <row r="235" spans="1:6" s="106" customFormat="1" x14ac:dyDescent="0.25">
      <c r="A235" s="131">
        <f>IF(MouserOrderTable[[#This Row],[Qty.]]&gt;0,IF($A234="List #",1,$A234+1),IF($A234="List #",0,$A234))</f>
        <v>53</v>
      </c>
      <c r="B235" s="81" t="str">
        <f>MouserListTable[[#This Row],[SKU]]</f>
        <v>474-DEV-14050</v>
      </c>
      <c r="C235" s="94">
        <f>MouserListTable[[#This Row],['# Initial]]</f>
        <v>5</v>
      </c>
      <c r="D235" s="78" t="s">
        <v>1732</v>
      </c>
      <c r="E235" s="117">
        <v>24.95</v>
      </c>
      <c r="F235" s="117">
        <f>MouserListTable[[#This Row],[Total Price]]</f>
        <v>39.75</v>
      </c>
    </row>
    <row r="236" spans="1:6" s="106" customFormat="1" x14ac:dyDescent="0.25">
      <c r="A236" s="131">
        <f>IF(MouserOrderTable[[#This Row],[Qty.]]&gt;0,IF($A235="List #",1,$A235+1),IF($A235="List #",0,$A235))</f>
        <v>54</v>
      </c>
      <c r="B236" s="81" t="str">
        <f>MouserListTable[[#This Row],[SKU]]</f>
        <v>474-BOB-13830</v>
      </c>
      <c r="C236" s="94">
        <f>MouserListTable[[#This Row],['# Initial]]</f>
        <v>5</v>
      </c>
      <c r="D236" s="78" t="s">
        <v>976</v>
      </c>
      <c r="E236" s="117">
        <v>209.95</v>
      </c>
      <c r="F236" s="117">
        <f>MouserListTable[[#This Row],[Total Price]]</f>
        <v>64.75</v>
      </c>
    </row>
    <row r="237" spans="1:6" s="106" customFormat="1" x14ac:dyDescent="0.25">
      <c r="A237" s="131">
        <f>IF(MouserOrderTable[[#This Row],[Qty.]]&gt;0,IF($A236="List #",1,$A236+1),IF($A236="List #",0,$A236))</f>
        <v>54</v>
      </c>
      <c r="B237" s="81" t="str">
        <f>MouserListTable[[#This Row],[SKU]]</f>
        <v>474-BOB-12731</v>
      </c>
      <c r="C237" s="94">
        <f>MouserListTable[[#This Row],['# Initial]]</f>
        <v>0</v>
      </c>
      <c r="D237" s="78" t="s">
        <v>972</v>
      </c>
      <c r="E237" s="117">
        <v>49.95</v>
      </c>
      <c r="F237" s="117">
        <f>MouserListTable[[#This Row],[Total Price]]</f>
        <v>0</v>
      </c>
    </row>
    <row r="238" spans="1:6" s="106" customFormat="1" x14ac:dyDescent="0.25">
      <c r="A238" s="131">
        <f>IF(MouserOrderTable[[#This Row],[Qty.]]&gt;0,IF($A237="List #",1,$A237+1),IF($A237="List #",0,$A237))</f>
        <v>55</v>
      </c>
      <c r="B238" s="81" t="str">
        <f>MouserListTable[[#This Row],[SKU]]</f>
        <v>474-BOB-13263</v>
      </c>
      <c r="C238" s="94">
        <f>MouserListTable[[#This Row],['# Initial]]</f>
        <v>1</v>
      </c>
      <c r="D238" s="97" t="s">
        <v>2323</v>
      </c>
      <c r="E238" s="118">
        <v>9.9499999999999993</v>
      </c>
      <c r="F238" s="117">
        <f>MouserListTable[[#This Row],[Total Price]]</f>
        <v>11.95</v>
      </c>
    </row>
    <row r="239" spans="1:6" s="106" customFormat="1" x14ac:dyDescent="0.25">
      <c r="A239" s="131">
        <f>IF(MouserOrderTable[[#This Row],[Qty.]]&gt;0,IF($A238="List #",1,$A238+1),IF($A238="List #",0,$A238))</f>
        <v>56</v>
      </c>
      <c r="B239" s="81" t="str">
        <f>MouserListTable[[#This Row],[SKU]]</f>
        <v>474-DEV-12935</v>
      </c>
      <c r="C239" s="94">
        <f>MouserListTable[[#This Row],['# Initial]]</f>
        <v>1</v>
      </c>
      <c r="D239" s="97" t="s">
        <v>2325</v>
      </c>
      <c r="E239" s="118">
        <v>24.95</v>
      </c>
      <c r="F239" s="117">
        <f>MouserListTable[[#This Row],[Total Price]]</f>
        <v>19.95</v>
      </c>
    </row>
    <row r="240" spans="1:6" s="106" customFormat="1" x14ac:dyDescent="0.25">
      <c r="A240" s="131">
        <f>IF(MouserOrderTable[[#This Row],[Qty.]]&gt;0,IF($A239="List #",1,$A239+1),IF($A239="List #",0,$A239))</f>
        <v>56</v>
      </c>
      <c r="B240" s="81" t="str">
        <f>MouserListTable[[#This Row],[SKU]]</f>
        <v>474-PRT-12885</v>
      </c>
      <c r="C240" s="94">
        <f>MouserListTable[[#This Row],['# Initial]]</f>
        <v>0</v>
      </c>
      <c r="D240" s="97" t="s">
        <v>2327</v>
      </c>
      <c r="E240" s="118">
        <v>26.95</v>
      </c>
      <c r="F240" s="117">
        <f>MouserListTable[[#This Row],[Total Price]]</f>
        <v>0</v>
      </c>
    </row>
    <row r="241" spans="1:6" s="106" customFormat="1" x14ac:dyDescent="0.25">
      <c r="A241" s="131">
        <f>IF(MouserOrderTable[[#This Row],[Qty.]]&gt;0,IF($A240="List #",1,$A240+1),IF($A240="List #",0,$A240))</f>
        <v>56</v>
      </c>
      <c r="B241" s="81" t="str">
        <f>MouserListTable[[#This Row],[SKU]]</f>
        <v>474-GPS-00177</v>
      </c>
      <c r="C241" s="94">
        <f>MouserListTable[[#This Row],['# Initial]]</f>
        <v>0</v>
      </c>
      <c r="D241" s="97" t="s">
        <v>2329</v>
      </c>
      <c r="E241" s="118">
        <v>14.95</v>
      </c>
      <c r="F241" s="117">
        <f>MouserListTable[[#This Row],[Total Price]]</f>
        <v>0</v>
      </c>
    </row>
    <row r="242" spans="1:6" s="106" customFormat="1" x14ac:dyDescent="0.25">
      <c r="A242" s="131">
        <f>IF(MouserOrderTable[[#This Row],[Qty.]]&gt;0,IF($A241="List #",1,$A241+1),IF($A241="List #",0,$A241))</f>
        <v>56</v>
      </c>
      <c r="B242" s="81" t="str">
        <f>MouserListTable[[#This Row],[SKU]]</f>
        <v>474-SPX-14416</v>
      </c>
      <c r="C242" s="94">
        <f>MouserListTable[[#This Row],['# Initial]]</f>
        <v>0</v>
      </c>
      <c r="D242" s="78" t="s">
        <v>355</v>
      </c>
      <c r="E242" s="117">
        <v>94.95</v>
      </c>
      <c r="F242" s="117">
        <f>MouserListTable[[#This Row],[Total Price]]</f>
        <v>0</v>
      </c>
    </row>
    <row r="243" spans="1:6" s="106" customFormat="1" x14ac:dyDescent="0.25">
      <c r="A243" s="131">
        <f>IF(MouserOrderTable[[#This Row],[Qty.]]&gt;0,IF($A242="List #",1,$A242+1),IF($A242="List #",0,$A242))</f>
        <v>56</v>
      </c>
      <c r="B243" s="81" t="str">
        <f>MouserListTable[[#This Row],[SKU]]</f>
        <v>474-GPS-13750</v>
      </c>
      <c r="C243" s="94">
        <f>MouserListTable[[#This Row],['# Initial]]</f>
        <v>0</v>
      </c>
      <c r="D243" s="78" t="s">
        <v>1320</v>
      </c>
      <c r="E243" s="117">
        <v>69.95</v>
      </c>
      <c r="F243" s="117">
        <f>MouserListTable[[#This Row],[Total Price]]</f>
        <v>0</v>
      </c>
    </row>
    <row r="244" spans="1:6" s="106" customFormat="1" x14ac:dyDescent="0.25">
      <c r="A244" s="131">
        <f>IF(MouserOrderTable[[#This Row],[Qty.]]&gt;0,IF($A243="List #",1,$A243+1),IF($A243="List #",0,$A243))</f>
        <v>56</v>
      </c>
      <c r="B244" s="81" t="str">
        <f>MouserListTable[[#This Row],[SKU]]</f>
        <v>474-GPS-10920</v>
      </c>
      <c r="C244" s="94">
        <f>MouserListTable[[#This Row],['# Initial]]</f>
        <v>0</v>
      </c>
      <c r="D244" s="78" t="s">
        <v>1308</v>
      </c>
      <c r="E244" s="117">
        <v>9.9499999999999993</v>
      </c>
      <c r="F244" s="117">
        <f>MouserListTable[[#This Row],[Total Price]]</f>
        <v>0</v>
      </c>
    </row>
    <row r="245" spans="1:6" s="106" customFormat="1" x14ac:dyDescent="0.25">
      <c r="A245" s="131">
        <f>IF(MouserOrderTable[[#This Row],[Qty.]]&gt;0,IF($A244="List #",1,$A244+1),IF($A244="List #",0,$A244))</f>
        <v>56</v>
      </c>
      <c r="B245" s="81" t="str">
        <f>MouserListTable[[#This Row],[SKU]]</f>
        <v>485-1272</v>
      </c>
      <c r="C245" s="94">
        <f>MouserListTable[[#This Row],['# Initial]]</f>
        <v>0</v>
      </c>
      <c r="D245" s="78" t="s">
        <v>1312</v>
      </c>
      <c r="E245" s="117">
        <v>99.95</v>
      </c>
      <c r="F245" s="117">
        <f>MouserListTable[[#This Row],[Total Price]]</f>
        <v>0</v>
      </c>
    </row>
    <row r="246" spans="1:6" s="106" customFormat="1" x14ac:dyDescent="0.25">
      <c r="A246" s="131">
        <f>IF(MouserOrderTable[[#This Row],[Qty.]]&gt;0,IF($A245="List #",1,$A245+1),IF($A245="List #",0,$A245))</f>
        <v>56</v>
      </c>
      <c r="B246" s="81" t="str">
        <f>MouserListTable[[#This Row],[SKU]]</f>
        <v>485-2468</v>
      </c>
      <c r="C246" s="94">
        <f>MouserListTable[[#This Row],['# Initial]]</f>
        <v>0</v>
      </c>
      <c r="D246" s="78" t="s">
        <v>1316</v>
      </c>
      <c r="E246" s="117">
        <v>65.95</v>
      </c>
      <c r="F246" s="117">
        <f>MouserListTable[[#This Row],[Total Price]]</f>
        <v>0</v>
      </c>
    </row>
    <row r="247" spans="1:6" s="106" customFormat="1" x14ac:dyDescent="0.25">
      <c r="A247" s="131">
        <f>IF(MouserOrderTable[[#This Row],[Qty.]]&gt;0,IF($A246="List #",1,$A246+1),IF($A246="List #",0,$A246))</f>
        <v>56</v>
      </c>
      <c r="B247" s="81" t="str">
        <f>MouserListTable[[#This Row],[SKU]]</f>
        <v>485-2505</v>
      </c>
      <c r="C247" s="94">
        <f>MouserListTable[[#This Row],['# Initial]]</f>
        <v>0</v>
      </c>
      <c r="D247" s="78" t="s">
        <v>1304</v>
      </c>
      <c r="E247" s="117">
        <v>7.95</v>
      </c>
      <c r="F247" s="117">
        <f>MouserListTable[[#This Row],[Total Price]]</f>
        <v>0</v>
      </c>
    </row>
    <row r="248" spans="1:6" s="106" customFormat="1" x14ac:dyDescent="0.25">
      <c r="A248" s="131">
        <f>IF(MouserOrderTable[[#This Row],[Qty.]]&gt;0,IF($A247="List #",1,$A247+1),IF($A247="List #",0,$A247))</f>
        <v>56</v>
      </c>
      <c r="B248" s="81" t="str">
        <f>MouserListTable[[#This Row],[SKU]]</f>
        <v>485-1991</v>
      </c>
      <c r="C248" s="94">
        <f>MouserListTable[[#This Row],['# Initial]]</f>
        <v>0</v>
      </c>
      <c r="D248" s="78" t="s">
        <v>2351</v>
      </c>
      <c r="E248" s="117">
        <v>49.95</v>
      </c>
      <c r="F248" s="117">
        <f>MouserListTable[[#This Row],[Total Price]]</f>
        <v>0</v>
      </c>
    </row>
    <row r="249" spans="1:6" s="106" customFormat="1" x14ac:dyDescent="0.25">
      <c r="A249" s="131">
        <f>IF(MouserOrderTable[[#This Row],[Qty.]]&gt;0,IF($A248="List #",1,$A248+1),IF($A248="List #",0,$A248))</f>
        <v>56</v>
      </c>
      <c r="B249" s="81" t="str">
        <f>MouserListTable[[#This Row],[SKU]]</f>
        <v>474-SEN-12916</v>
      </c>
      <c r="C249" s="94">
        <f>MouserListTable[[#This Row],['# Initial]]</f>
        <v>0</v>
      </c>
      <c r="D249" s="97" t="s">
        <v>2353</v>
      </c>
      <c r="E249" s="118">
        <v>9.9499999999999993</v>
      </c>
      <c r="F249" s="117">
        <f>MouserListTable[[#This Row],[Total Price]]</f>
        <v>0</v>
      </c>
    </row>
    <row r="250" spans="1:6" s="106" customFormat="1" x14ac:dyDescent="0.25">
      <c r="A250" s="131">
        <f>IF(MouserOrderTable[[#This Row],[Qty.]]&gt;0,IF($A249="List #",1,$A249+1),IF($A249="List #",0,$A249))</f>
        <v>56</v>
      </c>
      <c r="B250" s="81" t="str">
        <f>MouserListTable[[#This Row],[SKU]]</f>
        <v>474-CAB-14043</v>
      </c>
      <c r="C250" s="94">
        <f>MouserListTable[[#This Row],['# Initial]]</f>
        <v>0</v>
      </c>
      <c r="D250" s="97" t="s">
        <v>2355</v>
      </c>
      <c r="E250" s="118">
        <v>19.95</v>
      </c>
      <c r="F250" s="117">
        <f>MouserListTable[[#This Row],[Total Price]]</f>
        <v>0</v>
      </c>
    </row>
    <row r="251" spans="1:6" s="106" customFormat="1" x14ac:dyDescent="0.25">
      <c r="A251" s="131">
        <f>IF(MouserOrderTable[[#This Row],[Qty.]]&gt;0,IF($A250="List #",1,$A250+1),IF($A250="List #",0,$A250))</f>
        <v>56</v>
      </c>
      <c r="B251" s="81" t="str">
        <f>MouserListTable[[#This Row],[SKU]]</f>
        <v>474-SEN-14117</v>
      </c>
      <c r="C251" s="94">
        <f>MouserListTable[[#This Row],['# Initial]]</f>
        <v>0</v>
      </c>
      <c r="D251" s="78" t="s">
        <v>2357</v>
      </c>
      <c r="E251" s="117">
        <v>9.9499999999999993</v>
      </c>
      <c r="F251" s="117">
        <f>MouserListTable[[#This Row],[Total Price]]</f>
        <v>0</v>
      </c>
    </row>
    <row r="252" spans="1:6" s="106" customFormat="1" x14ac:dyDescent="0.25">
      <c r="A252" s="131">
        <f>IF(MouserOrderTable[[#This Row],[Qty.]]&gt;0,IF($A251="List #",1,$A251+1),IF($A251="List #",0,$A251))</f>
        <v>56</v>
      </c>
      <c r="B252" s="81" t="str">
        <f>MouserListTable[[#This Row],[SKU]]</f>
        <v>474-ROB-13064</v>
      </c>
      <c r="C252" s="94">
        <f>MouserListTable[[#This Row],['# Initial]]</f>
        <v>0</v>
      </c>
      <c r="D252" s="97" t="s">
        <v>2359</v>
      </c>
      <c r="E252" s="118">
        <v>7.95</v>
      </c>
      <c r="F252" s="117">
        <f>MouserListTable[[#This Row],[Total Price]]</f>
        <v>0</v>
      </c>
    </row>
    <row r="253" spans="1:6" s="106" customFormat="1" x14ac:dyDescent="0.25">
      <c r="A253" s="131">
        <f>IF(MouserOrderTable[[#This Row],[Qty.]]&gt;0,IF($A252="List #",1,$A252+1),IF($A252="List #",0,$A252))</f>
        <v>56</v>
      </c>
      <c r="B253" s="81" t="str">
        <f>MouserListTable[[#This Row],[SKU]]</f>
        <v>474-SEN-13284</v>
      </c>
      <c r="C253" s="94">
        <f>MouserListTable[[#This Row],['# Initial]]</f>
        <v>0</v>
      </c>
      <c r="D253" s="78" t="s">
        <v>2361</v>
      </c>
      <c r="E253" s="117">
        <v>39.950000000000003</v>
      </c>
      <c r="F253" s="117">
        <f>MouserListTable[[#This Row],[Total Price]]</f>
        <v>0</v>
      </c>
    </row>
    <row r="254" spans="1:6" s="106" customFormat="1" x14ac:dyDescent="0.25">
      <c r="A254" s="131">
        <f>IF(MouserOrderTable[[#This Row],[Qty.]]&gt;0,IF($A253="List #",1,$A253+1),IF($A253="List #",0,$A253))</f>
        <v>56</v>
      </c>
      <c r="B254" s="81" t="str">
        <f>MouserListTable[[#This Row],[SKU]]</f>
        <v>474-SEN-13762</v>
      </c>
      <c r="C254" s="94">
        <f>MouserListTable[[#This Row],['# Initial]]</f>
        <v>0</v>
      </c>
      <c r="D254" s="97" t="s">
        <v>2363</v>
      </c>
      <c r="E254" s="118">
        <v>39.950000000000003</v>
      </c>
      <c r="F254" s="117">
        <f>MouserListTable[[#This Row],[Total Price]]</f>
        <v>0</v>
      </c>
    </row>
    <row r="255" spans="1:6" s="106" customFormat="1" x14ac:dyDescent="0.25">
      <c r="A255" s="131">
        <f>IF(MouserOrderTable[[#This Row],[Qty.]]&gt;0,IF($A254="List #",1,$A254+1),IF($A254="List #",0,$A254))</f>
        <v>56</v>
      </c>
      <c r="B255" s="81" t="str">
        <f>MouserListTable[[#This Row],[SKU]]</f>
        <v>474-LCD-12725</v>
      </c>
      <c r="C255" s="94">
        <f>MouserListTable[[#This Row],['# Initial]]</f>
        <v>0</v>
      </c>
      <c r="D255" s="97" t="s">
        <v>2365</v>
      </c>
      <c r="E255" s="118">
        <v>49.95</v>
      </c>
      <c r="F255" s="117">
        <f>MouserListTable[[#This Row],[Total Price]]</f>
        <v>0</v>
      </c>
    </row>
    <row r="256" spans="1:6" s="106" customFormat="1" x14ac:dyDescent="0.25">
      <c r="A256" s="131">
        <f>IF(MouserOrderTable[[#This Row],[Qty.]]&gt;0,IF($A255="List #",1,$A255+1),IF($A255="List #",0,$A255))</f>
        <v>56</v>
      </c>
      <c r="B256" s="81" t="str">
        <f>MouserListTable[[#This Row],[SKU]]</f>
        <v>474-LCD-11741</v>
      </c>
      <c r="C256" s="94">
        <f>MouserListTable[[#This Row],['# Initial]]</f>
        <v>0</v>
      </c>
      <c r="D256" s="78" t="s">
        <v>336</v>
      </c>
      <c r="E256" s="117">
        <v>54.95</v>
      </c>
      <c r="F256" s="117">
        <f>MouserListTable[[#This Row],[Total Price]]</f>
        <v>0</v>
      </c>
    </row>
    <row r="257" spans="1:6" s="106" customFormat="1" x14ac:dyDescent="0.25">
      <c r="A257" s="131">
        <f>IF(MouserOrderTable[[#This Row],[Qty.]]&gt;0,IF($A256="List #",1,$A256+1),IF($A256="List #",0,$A256))</f>
        <v>56</v>
      </c>
      <c r="B257" s="81" t="str">
        <f>MouserListTable[[#This Row],[SKU]]</f>
        <v>474-LCD-11677</v>
      </c>
      <c r="C257" s="94">
        <f>MouserListTable[[#This Row],['# Initial]]</f>
        <v>0</v>
      </c>
      <c r="D257" s="78" t="s">
        <v>332</v>
      </c>
      <c r="E257" s="117">
        <v>59.95</v>
      </c>
      <c r="F257" s="117">
        <f>MouserListTable[[#This Row],[Total Price]]</f>
        <v>0</v>
      </c>
    </row>
    <row r="258" spans="1:6" s="106" customFormat="1" x14ac:dyDescent="0.25">
      <c r="A258" s="131">
        <f>IF(MouserOrderTable[[#This Row],[Qty.]]&gt;0,IF($A257="List #",1,$A257+1),IF($A257="List #",0,$A257))</f>
        <v>56</v>
      </c>
      <c r="B258" s="81" t="str">
        <f>MouserListTable[[#This Row],[SKU]]</f>
        <v>485-2090</v>
      </c>
      <c r="C258" s="94">
        <f>MouserListTable[[#This Row],['# Initial]]</f>
        <v>0</v>
      </c>
      <c r="D258" s="78" t="s">
        <v>296</v>
      </c>
      <c r="E258" s="117">
        <v>99.95</v>
      </c>
      <c r="F258" s="117">
        <f>MouserListTable[[#This Row],[Total Price]]</f>
        <v>0</v>
      </c>
    </row>
    <row r="259" spans="1:6" s="106" customFormat="1" x14ac:dyDescent="0.25">
      <c r="A259" s="131">
        <f>IF(MouserOrderTable[[#This Row],[Qty.]]&gt;0,IF($A258="List #",1,$A258+1),IF($A258="List #",0,$A258))</f>
        <v>56</v>
      </c>
      <c r="B259" s="81" t="str">
        <f>MouserListTable[[#This Row],[SKU]]</f>
        <v>485-1947</v>
      </c>
      <c r="C259" s="94">
        <f>MouserListTable[[#This Row],['# Initial]]</f>
        <v>0</v>
      </c>
      <c r="D259" s="78" t="s">
        <v>316</v>
      </c>
      <c r="E259" s="117">
        <v>19.95</v>
      </c>
      <c r="F259" s="117">
        <f>MouserListTable[[#This Row],[Total Price]]</f>
        <v>0</v>
      </c>
    </row>
    <row r="260" spans="1:6" s="106" customFormat="1" x14ac:dyDescent="0.25">
      <c r="A260" s="131">
        <f>IF(MouserOrderTable[[#This Row],[Qty.]]&gt;0,IF($A259="List #",1,$A259+1),IF($A259="List #",0,$A259))</f>
        <v>56</v>
      </c>
      <c r="B260" s="81" t="str">
        <f>MouserListTable[[#This Row],[SKU]]</f>
        <v>474-DEV-11814</v>
      </c>
      <c r="C260" s="94">
        <f>MouserListTable[[#This Row],['# Initial]]</f>
        <v>0</v>
      </c>
      <c r="D260" s="78" t="s">
        <v>304</v>
      </c>
      <c r="E260" s="117">
        <v>9.9499999999999993</v>
      </c>
      <c r="F260" s="117">
        <f>MouserListTable[[#This Row],[Total Price]]</f>
        <v>0</v>
      </c>
    </row>
    <row r="261" spans="1:6" s="106" customFormat="1" x14ac:dyDescent="0.25">
      <c r="A261" s="131">
        <f>IF(MouserOrderTable[[#This Row],[Qty.]]&gt;0,IF($A260="List #",1,$A260+1),IF($A260="List #",0,$A260))</f>
        <v>56</v>
      </c>
      <c r="B261" s="81" t="str">
        <f>MouserListTable[[#This Row],[SKU]]</f>
        <v>474-DEV-14022</v>
      </c>
      <c r="C261" s="94">
        <f>MouserListTable[[#This Row],['# Initial]]</f>
        <v>0</v>
      </c>
      <c r="D261" s="78" t="s">
        <v>308</v>
      </c>
      <c r="E261" s="117">
        <v>9.9499999999999993</v>
      </c>
      <c r="F261" s="117">
        <f>MouserListTable[[#This Row],[Total Price]]</f>
        <v>0</v>
      </c>
    </row>
    <row r="262" spans="1:6" s="111" customFormat="1" x14ac:dyDescent="0.25">
      <c r="A262" s="131">
        <f>IF(MouserOrderTable[[#This Row],[Qty.]]&gt;0,IF($A261="List #",1,$A261+1),IF($A261="List #",0,$A261))</f>
        <v>56</v>
      </c>
      <c r="B262" s="81" t="str">
        <f>MouserListTable[[#This Row],[SKU]]</f>
        <v>474-COM-13316</v>
      </c>
      <c r="C262" s="94">
        <f>MouserListTable[[#This Row],['# Initial]]</f>
        <v>0</v>
      </c>
      <c r="D262" s="78" t="s">
        <v>312</v>
      </c>
      <c r="E262" s="117">
        <v>9.9499999999999993</v>
      </c>
      <c r="F262" s="117">
        <f>MouserListTable[[#This Row],[Total Price]]</f>
        <v>0</v>
      </c>
    </row>
    <row r="263" spans="1:6" s="111" customFormat="1" x14ac:dyDescent="0.25">
      <c r="A263" s="131">
        <f>IF(MouserOrderTable[[#This Row],[Qty.]]&gt;0,IF($A262="List #",1,$A262+1),IF($A262="List #",0,$A262))</f>
        <v>56</v>
      </c>
      <c r="B263" s="81" t="str">
        <f>MouserListTable[[#This Row],[SKU]]</f>
        <v>485-1407</v>
      </c>
      <c r="C263" s="94">
        <f>MouserListTable[[#This Row],['# Initial]]</f>
        <v>0</v>
      </c>
      <c r="D263" s="78" t="s">
        <v>300</v>
      </c>
      <c r="E263" s="117">
        <v>9.9499999999999993</v>
      </c>
      <c r="F263" s="117">
        <f>MouserListTable[[#This Row],[Total Price]]</f>
        <v>0</v>
      </c>
    </row>
    <row r="264" spans="1:6" s="111" customFormat="1" x14ac:dyDescent="0.25">
      <c r="A264" s="131">
        <f>IF(MouserOrderTable[[#This Row],[Qty.]]&gt;0,IF($A263="List #",1,$A263+1),IF($A263="List #",0,$A263))</f>
        <v>56</v>
      </c>
      <c r="B264" s="81" t="str">
        <f>MouserListTable[[#This Row],[SKU]]</f>
        <v>485-2116</v>
      </c>
      <c r="C264" s="94">
        <f>MouserListTable[[#This Row],['# Initial]]</f>
        <v>0</v>
      </c>
      <c r="D264" s="78" t="s">
        <v>1119</v>
      </c>
      <c r="E264" s="117">
        <v>14.95</v>
      </c>
      <c r="F264" s="117">
        <f>MouserListTable[[#This Row],[Total Price]]</f>
        <v>0</v>
      </c>
    </row>
    <row r="265" spans="1:6" s="111" customFormat="1" x14ac:dyDescent="0.25">
      <c r="A265" s="131">
        <f>IF(MouserOrderTable[[#This Row],[Qty.]]&gt;0,IF($A264="List #",1,$A264+1),IF($A264="List #",0,$A264))</f>
        <v>56</v>
      </c>
      <c r="B265" s="81" t="str">
        <f>MouserListTable[[#This Row],[SKU]]</f>
        <v>485-2162</v>
      </c>
      <c r="C265" s="94">
        <f>MouserListTable[[#This Row],['# Initial]]</f>
        <v>0</v>
      </c>
      <c r="D265" s="78" t="s">
        <v>1139</v>
      </c>
      <c r="E265" s="117">
        <v>9.9499999999999993</v>
      </c>
      <c r="F265" s="117">
        <f>MouserListTable[[#This Row],[Total Price]]</f>
        <v>0</v>
      </c>
    </row>
    <row r="266" spans="1:6" s="111" customFormat="1" x14ac:dyDescent="0.25">
      <c r="A266" s="131">
        <f>IF(MouserOrderTable[[#This Row],[Qty.]]&gt;0,IF($A265="List #",1,$A265+1),IF($A265="List #",0,$A265))</f>
        <v>56</v>
      </c>
      <c r="B266" s="81" t="str">
        <f>MouserListTable[[#This Row],[SKU]]</f>
        <v>485-1901</v>
      </c>
      <c r="C266" s="94">
        <f>MouserListTable[[#This Row],['# Initial]]</f>
        <v>0</v>
      </c>
      <c r="D266" s="78" t="s">
        <v>795</v>
      </c>
      <c r="E266" s="117">
        <v>2.95</v>
      </c>
      <c r="F266" s="117">
        <f>MouserListTable[[#This Row],[Total Price]]</f>
        <v>0</v>
      </c>
    </row>
    <row r="267" spans="1:6" s="111" customFormat="1" x14ac:dyDescent="0.25">
      <c r="A267" s="131">
        <f>IF(MouserOrderTable[[#This Row],[Qty.]]&gt;0,IF($A266="List #",1,$A266+1),IF($A266="List #",0,$A266))</f>
        <v>56</v>
      </c>
      <c r="B267" s="81" t="str">
        <f>MouserListTable[[#This Row],[SKU]]</f>
        <v>474-DEV-14135</v>
      </c>
      <c r="C267" s="94">
        <f>MouserListTable[[#This Row],['# Initial]]</f>
        <v>0</v>
      </c>
      <c r="D267" s="78" t="s">
        <v>1163</v>
      </c>
      <c r="E267" s="117">
        <v>20</v>
      </c>
      <c r="F267" s="117">
        <f>MouserListTable[[#This Row],[Total Price]]</f>
        <v>0</v>
      </c>
    </row>
    <row r="268" spans="1:6" s="111" customFormat="1" x14ac:dyDescent="0.25">
      <c r="A268" s="131">
        <f>IF(MouserOrderTable[[#This Row],[Qty.]]&gt;0,IF($A267="List #",1,$A267+1),IF($A267="List #",0,$A267))</f>
        <v>56</v>
      </c>
      <c r="B268" s="81" t="str">
        <f>MouserListTable[[#This Row],[SKU]]</f>
        <v>474-DEV-14162</v>
      </c>
      <c r="C268" s="94">
        <f>MouserListTable[[#This Row],['# Initial]]</f>
        <v>0</v>
      </c>
      <c r="D268" s="78" t="s">
        <v>1143</v>
      </c>
      <c r="E268" s="117">
        <v>9</v>
      </c>
      <c r="F268" s="117">
        <f>MouserListTable[[#This Row],[Total Price]]</f>
        <v>0</v>
      </c>
    </row>
    <row r="269" spans="1:6" s="111" customFormat="1" x14ac:dyDescent="0.25">
      <c r="A269" s="131">
        <f>IF(MouserOrderTable[[#This Row],[Qty.]]&gt;0,IF($A268="List #",1,$A268+1),IF($A268="List #",0,$A268))</f>
        <v>56</v>
      </c>
      <c r="B269" s="81" t="str">
        <f>MouserListTable[[#This Row],[SKU]]</f>
        <v>474-DEV-12774</v>
      </c>
      <c r="C269" s="94">
        <f>MouserListTable[[#This Row],['# Initial]]</f>
        <v>0</v>
      </c>
      <c r="D269" s="78" t="s">
        <v>1147</v>
      </c>
      <c r="E269" s="117">
        <v>5</v>
      </c>
      <c r="F269" s="117">
        <f>MouserListTable[[#This Row],[Total Price]]</f>
        <v>0</v>
      </c>
    </row>
    <row r="270" spans="1:6" s="111" customFormat="1" x14ac:dyDescent="0.25">
      <c r="A270" s="131">
        <f>IF(MouserOrderTable[[#This Row],[Qty.]]&gt;0,IF($A269="List #",1,$A269+1),IF($A269="List #",0,$A269))</f>
        <v>56</v>
      </c>
      <c r="B270" s="81" t="str">
        <f>MouserListTable[[#This Row],[SKU]]</f>
        <v>474-DEV-12086</v>
      </c>
      <c r="C270" s="94">
        <f>MouserListTable[[#This Row],['# Initial]]</f>
        <v>0</v>
      </c>
      <c r="D270" s="78" t="s">
        <v>1155</v>
      </c>
      <c r="E270" s="117">
        <v>15</v>
      </c>
      <c r="F270" s="117">
        <f>MouserListTable[[#This Row],[Total Price]]</f>
        <v>0</v>
      </c>
    </row>
    <row r="271" spans="1:6" s="111" customFormat="1" x14ac:dyDescent="0.25">
      <c r="A271" s="131">
        <f>IF(MouserOrderTable[[#This Row],[Qty.]]&gt;0,IF($A270="List #",1,$A270+1),IF($A270="List #",0,$A270))</f>
        <v>56</v>
      </c>
      <c r="B271" s="81" t="str">
        <f>MouserListTable[[#This Row],[SKU]]</f>
        <v>474-DEV-12085</v>
      </c>
      <c r="C271" s="94">
        <f>MouserListTable[[#This Row],['# Initial]]</f>
        <v>0</v>
      </c>
      <c r="D271" s="78" t="s">
        <v>1159</v>
      </c>
      <c r="E271" s="117">
        <v>15</v>
      </c>
      <c r="F271" s="117">
        <f>MouserListTable[[#This Row],[Total Price]]</f>
        <v>0</v>
      </c>
    </row>
    <row r="272" spans="1:6" s="104" customFormat="1" x14ac:dyDescent="0.25">
      <c r="A272" s="131">
        <f>IF(MouserOrderTable[[#This Row],[Qty.]]&gt;0,IF($A271="List #",1,$A271+1),IF($A271="List #",0,$A271))</f>
        <v>56</v>
      </c>
      <c r="B272" s="81" t="str">
        <f>MouserListTable[[#This Row],[SKU]]</f>
        <v>474-PRT-12842</v>
      </c>
      <c r="C272" s="94">
        <f>MouserListTable[[#This Row],['# Initial]]</f>
        <v>0</v>
      </c>
      <c r="D272" s="78" t="s">
        <v>2414</v>
      </c>
      <c r="E272" s="117">
        <v>15</v>
      </c>
      <c r="F272" s="117">
        <f>MouserListTable[[#This Row],[Total Price]]</f>
        <v>0</v>
      </c>
    </row>
    <row r="273" spans="1:6" s="104" customFormat="1" x14ac:dyDescent="0.25">
      <c r="A273" s="131">
        <f>IF(MouserOrderTable[[#This Row],[Qty.]]&gt;0,IF($A272="List #",1,$A272+1),IF($A272="List #",0,$A272))</f>
        <v>56</v>
      </c>
      <c r="B273" s="81" t="str">
        <f>MouserListTable[[#This Row],[SKU]]</f>
        <v>485-3396</v>
      </c>
      <c r="C273" s="94">
        <f>MouserListTable[[#This Row],['# Initial]]</f>
        <v>0</v>
      </c>
      <c r="D273" s="78" t="s">
        <v>2418</v>
      </c>
      <c r="E273" s="117">
        <v>10</v>
      </c>
      <c r="F273" s="117">
        <f>MouserListTable[[#This Row],[Total Price]]</f>
        <v>0</v>
      </c>
    </row>
    <row r="274" spans="1:6" s="111" customFormat="1" x14ac:dyDescent="0.25">
      <c r="A274" s="131">
        <f>IF(MouserOrderTable[[#This Row],[Qty.]]&gt;0,IF($A273="List #",1,$A273+1),IF($A273="List #",0,$A273))</f>
        <v>56</v>
      </c>
      <c r="B274" s="81" t="str">
        <f>MouserListTable[[#This Row],[SKU]]</f>
        <v>485-1555</v>
      </c>
      <c r="C274" s="94">
        <f>MouserListTable[[#This Row],['# Initial]]</f>
        <v>0</v>
      </c>
      <c r="D274" s="78" t="s">
        <v>1067</v>
      </c>
      <c r="E274" s="117">
        <v>15</v>
      </c>
      <c r="F274" s="117">
        <f>MouserListTable[[#This Row],[Total Price]]</f>
        <v>0</v>
      </c>
    </row>
    <row r="275" spans="1:6" s="111" customFormat="1" x14ac:dyDescent="0.25">
      <c r="A275" s="131">
        <f>IF(MouserOrderTable[[#This Row],[Qty.]]&gt;0,IF($A274="List #",1,$A274+1),IF($A274="List #",0,$A274))</f>
        <v>56</v>
      </c>
      <c r="B275" s="81" t="str">
        <f>MouserListTable[[#This Row],[SKU]]</f>
        <v>485-699</v>
      </c>
      <c r="C275" s="94">
        <f>MouserListTable[[#This Row],['# Initial]]</f>
        <v>0</v>
      </c>
      <c r="D275" s="78" t="s">
        <v>1143</v>
      </c>
      <c r="E275" s="117">
        <v>9</v>
      </c>
      <c r="F275" s="117">
        <f>MouserListTable[[#This Row],[Total Price]]</f>
        <v>0</v>
      </c>
    </row>
    <row r="276" spans="1:6" s="111" customFormat="1" x14ac:dyDescent="0.25">
      <c r="A276" s="131">
        <f>IF(MouserOrderTable[[#This Row],[Qty.]]&gt;0,IF($A275="List #",1,$A275+1),IF($A275="List #",0,$A275))</f>
        <v>56</v>
      </c>
      <c r="B276" s="81" t="str">
        <f>MouserListTable[[#This Row],[SKU]]</f>
        <v>485-572</v>
      </c>
      <c r="C276" s="94">
        <f>MouserListTable[[#This Row],['# Initial]]</f>
        <v>0</v>
      </c>
      <c r="D276" s="78" t="s">
        <v>1151</v>
      </c>
      <c r="E276" s="117">
        <v>30</v>
      </c>
      <c r="F276" s="117">
        <f>MouserListTable[[#This Row],[Total Price]]</f>
        <v>0</v>
      </c>
    </row>
    <row r="277" spans="1:6" s="111" customFormat="1" x14ac:dyDescent="0.25">
      <c r="A277" s="131">
        <f>IF(MouserOrderTable[[#This Row],[Qty.]]&gt;0,IF($A276="List #",1,$A276+1),IF($A276="List #",0,$A276))</f>
        <v>56</v>
      </c>
      <c r="B277" s="81" t="str">
        <f>MouserListTable[[#This Row],[SKU]]</f>
        <v>485-702</v>
      </c>
      <c r="C277" s="94">
        <f>MouserListTable[[#This Row],['# Initial]]</f>
        <v>0</v>
      </c>
      <c r="D277" s="78" t="s">
        <v>1147</v>
      </c>
      <c r="E277" s="117">
        <v>5</v>
      </c>
      <c r="F277" s="117">
        <f>MouserListTable[[#This Row],[Total Price]]</f>
        <v>0</v>
      </c>
    </row>
    <row r="278" spans="1:6" s="111" customFormat="1" x14ac:dyDescent="0.25">
      <c r="A278" s="131">
        <f>IF(MouserOrderTable[[#This Row],[Qty.]]&gt;0,IF($A277="List #",1,$A277+1),IF($A277="List #",0,$A277))</f>
        <v>56</v>
      </c>
      <c r="B278" s="81" t="str">
        <f>MouserListTable[[#This Row],[SKU]]</f>
        <v>485-2627</v>
      </c>
      <c r="C278" s="94">
        <f>MouserListTable[[#This Row],['# Initial]]</f>
        <v>0</v>
      </c>
      <c r="D278" s="78" t="s">
        <v>1155</v>
      </c>
      <c r="E278" s="117">
        <v>15</v>
      </c>
      <c r="F278" s="117">
        <f>MouserListTable[[#This Row],[Total Price]]</f>
        <v>0</v>
      </c>
    </row>
    <row r="279" spans="1:6" s="111" customFormat="1" x14ac:dyDescent="0.25">
      <c r="A279" s="131">
        <f>IF(MouserOrderTable[[#This Row],[Qty.]]&gt;0,IF($A278="List #",1,$A278+1),IF($A278="List #",0,$A278))</f>
        <v>56</v>
      </c>
      <c r="B279" s="81" t="str">
        <f>MouserListTable[[#This Row],[SKU]]</f>
        <v>485-2628</v>
      </c>
      <c r="C279" s="94">
        <f>MouserListTable[[#This Row],['# Initial]]</f>
        <v>0</v>
      </c>
      <c r="D279" s="78" t="s">
        <v>347</v>
      </c>
      <c r="E279" s="117">
        <v>24.95</v>
      </c>
      <c r="F279" s="117">
        <f>MouserListTable[[#This Row],[Total Price]]</f>
        <v>0</v>
      </c>
    </row>
    <row r="280" spans="1:6" s="111" customFormat="1" x14ac:dyDescent="0.25">
      <c r="A280" s="131">
        <f>IF(MouserOrderTable[[#This Row],[Qty.]]&gt;0,IF($A279="List #",1,$A279+1),IF($A279="List #",0,$A279))</f>
        <v>56</v>
      </c>
      <c r="B280" s="81" t="str">
        <f>MouserListTable[[#This Row],[SKU]]</f>
        <v>485-1810</v>
      </c>
      <c r="C280" s="94">
        <f>MouserListTable[[#This Row],['# Initial]]</f>
        <v>0</v>
      </c>
      <c r="D280" s="78" t="s">
        <v>351</v>
      </c>
      <c r="E280" s="117">
        <v>39.950000000000003</v>
      </c>
      <c r="F280" s="117">
        <f>MouserListTable[[#This Row],[Total Price]]</f>
        <v>0</v>
      </c>
    </row>
    <row r="281" spans="1:6" s="111" customFormat="1" x14ac:dyDescent="0.25">
      <c r="A281" s="131">
        <f>IF(MouserOrderTable[[#This Row],[Qty.]]&gt;0,IF($A280="List #",1,$A280+1),IF($A280="List #",0,$A280))</f>
        <v>56</v>
      </c>
      <c r="B281" s="81" t="str">
        <f>MouserListTable[[#This Row],[SKU]]</f>
        <v>474-DEV-09564</v>
      </c>
      <c r="C281" s="94">
        <f>MouserListTable[[#This Row],['# Initial]]</f>
        <v>0</v>
      </c>
      <c r="D281" s="78" t="s">
        <v>320</v>
      </c>
      <c r="E281" s="117">
        <v>39.950000000000003</v>
      </c>
      <c r="F281" s="117">
        <f>MouserListTable[[#This Row],[Total Price]]</f>
        <v>0</v>
      </c>
    </row>
    <row r="282" spans="1:6" s="111" customFormat="1" x14ac:dyDescent="0.25">
      <c r="A282" s="131">
        <f>IF(MouserOrderTable[[#This Row],[Qty.]]&gt;0,IF($A281="List #",1,$A281+1),IF($A281="List #",0,$A281))</f>
        <v>56</v>
      </c>
      <c r="B282" s="81" t="str">
        <f>MouserListTable[[#This Row],[SKU]]</f>
        <v>474-DEV-11695</v>
      </c>
      <c r="C282" s="94">
        <f>MouserListTable[[#This Row],['# Initial]]</f>
        <v>0</v>
      </c>
      <c r="D282" s="78" t="s">
        <v>324</v>
      </c>
      <c r="E282" s="117">
        <v>14.95</v>
      </c>
      <c r="F282" s="117">
        <f>MouserListTable[[#This Row],[Total Price]]</f>
        <v>0</v>
      </c>
    </row>
    <row r="283" spans="1:6" s="104" customFormat="1" x14ac:dyDescent="0.25">
      <c r="A283" s="131">
        <f>IF(MouserOrderTable[[#This Row],[Qty.]]&gt;0,IF($A282="List #",1,$A282+1),IF($A282="List #",0,$A282))</f>
        <v>56</v>
      </c>
      <c r="B283" s="78" t="str">
        <f>MouserListTable[[#This Row],[SKU]]</f>
        <v>474-DEV-13097</v>
      </c>
      <c r="C283" s="78">
        <f>MouserListTable[[#This Row],['# Initial]]</f>
        <v>0</v>
      </c>
      <c r="D283" s="78" t="str">
        <f>MouserListTable[[#This Row],[Name]]</f>
        <v>IntelÂ® Edison and Arduino Breakout Kit</v>
      </c>
      <c r="E283" s="78">
        <f>MouserListTable[[#This Row],[Price (USD)]]</f>
        <v>99.95</v>
      </c>
      <c r="F283" s="78">
        <f>MouserListTable[[#This Row],[Total Price]]</f>
        <v>0</v>
      </c>
    </row>
    <row r="284" spans="1:6" s="106" customFormat="1" x14ac:dyDescent="0.25">
      <c r="A284" s="131">
        <f>IF(MouserOrderTable[[#This Row],[Qty.]]&gt;0,IF($A283="List #",1,$A283+1),IF($A283="List #",0,$A283))</f>
        <v>56</v>
      </c>
      <c r="B284" s="78" t="str">
        <f>MouserListTable[[#This Row],[SKU]]</f>
        <v>474-DEV-13045</v>
      </c>
      <c r="C284" s="78">
        <f>MouserListTable[[#This Row],['# Initial]]</f>
        <v>0</v>
      </c>
      <c r="D284" s="78" t="str">
        <f>MouserListTable[[#This Row],[Name]]</f>
        <v>SparkFun Block for IntelÂ® Edison - Base</v>
      </c>
      <c r="E284" s="130">
        <f>MouserListTable[[#This Row],[Price (USD)]]</f>
        <v>19.95</v>
      </c>
      <c r="F284" s="130">
        <f>MouserListTable[[#This Row],[Total Price]]</f>
        <v>0</v>
      </c>
    </row>
    <row r="285" spans="1:6" s="106" customFormat="1" x14ac:dyDescent="0.25">
      <c r="A285" s="131">
        <f>IF(MouserOrderTable[[#This Row],[Qty.]]&gt;0,IF($A284="List #",1,$A284+1),IF($A284="List #",0,$A284))</f>
        <v>56</v>
      </c>
      <c r="B285" s="78" t="str">
        <f>MouserListTable[[#This Row],[SKU]]</f>
        <v>474-DEV-13038</v>
      </c>
      <c r="C285" s="78">
        <f>MouserListTable[[#This Row],['# Initial]]</f>
        <v>0</v>
      </c>
      <c r="D285" s="78" t="str">
        <f>MouserListTable[[#This Row],[Name]]</f>
        <v>SparkFun Block for IntelÂ® Edison - GPIO</v>
      </c>
      <c r="E285" s="78">
        <f>MouserListTable[[#This Row],[Price (USD)]]</f>
        <v>9.9499999999999993</v>
      </c>
      <c r="F285" s="78">
        <f>MouserListTable[[#This Row],[Total Price]]</f>
        <v>0</v>
      </c>
    </row>
    <row r="286" spans="1:6" s="106" customFormat="1" x14ac:dyDescent="0.25">
      <c r="A286" s="131">
        <f>IF(MouserOrderTable[[#This Row],[Qty.]]&gt;0,IF($A285="List #",1,$A285+1),IF($A285="List #",0,$A285))</f>
        <v>56</v>
      </c>
      <c r="B286" s="78" t="str">
        <f>MouserListTable[[#This Row],[SKU]]</f>
        <v>474-DEV-13034</v>
      </c>
      <c r="C286" s="78">
        <f>MouserListTable[[#This Row],['# Initial]]</f>
        <v>0</v>
      </c>
      <c r="D286" s="78" t="str">
        <f>MouserListTable[[#This Row],[Name]]</f>
        <v>SparkFun Block for IntelÂ® Edison - I2C</v>
      </c>
      <c r="E286" s="130">
        <f>MouserListTable[[#This Row],[Price (USD)]]</f>
        <v>9.9499999999999993</v>
      </c>
      <c r="F286" s="130">
        <f>MouserListTable[[#This Row],[Total Price]]</f>
        <v>0</v>
      </c>
    </row>
    <row r="287" spans="1:6" s="106" customFormat="1" x14ac:dyDescent="0.25">
      <c r="A287" s="131">
        <f>IF(MouserOrderTable[[#This Row],[Qty.]]&gt;0,IF($A286="List #",1,$A286+1),IF($A286="List #",0,$A286))</f>
        <v>56</v>
      </c>
      <c r="B287" s="78" t="str">
        <f>MouserListTable[[#This Row],[SKU]]</f>
        <v>474-DEV-13041</v>
      </c>
      <c r="C287" s="78">
        <f>MouserListTable[[#This Row],['# Initial]]</f>
        <v>0</v>
      </c>
      <c r="D287" s="78" t="str">
        <f>MouserListTable[[#This Row],[Name]]</f>
        <v>SparkFun Block for IntelÂ® Edison - microSD</v>
      </c>
      <c r="E287" s="78">
        <f>MouserListTable[[#This Row],[Price (USD)]]</f>
        <v>9.9499999999999993</v>
      </c>
      <c r="F287" s="78">
        <f>MouserListTable[[#This Row],[Total Price]]</f>
        <v>0</v>
      </c>
    </row>
    <row r="288" spans="1:6" s="106" customFormat="1" x14ac:dyDescent="0.25">
      <c r="A288" s="131">
        <f>IF(MouserOrderTable[[#This Row],[Qty.]]&gt;0,IF($A287="List #",1,$A287+1),IF($A287="List #",0,$A287))</f>
        <v>56</v>
      </c>
      <c r="B288" s="78" t="str">
        <f>MouserListTable[[#This Row],[SKU]]</f>
        <v>474-DEV-13727</v>
      </c>
      <c r="C288" s="78">
        <f>MouserListTable[[#This Row],['# Initial]]</f>
        <v>0</v>
      </c>
      <c r="D288" s="78" t="str">
        <f>MouserListTable[[#This Row],[Name]]</f>
        <v>SparkFun Block for IntelÂ® Edison - Power</v>
      </c>
      <c r="E288" s="78">
        <f>MouserListTable[[#This Row],[Price (USD)]]</f>
        <v>9.9499999999999993</v>
      </c>
      <c r="F288" s="78">
        <f>MouserListTable[[#This Row],[Total Price]]</f>
        <v>0</v>
      </c>
    </row>
    <row r="289" spans="1:6" s="106" customFormat="1" x14ac:dyDescent="0.25">
      <c r="A289" s="131">
        <f>IF(MouserOrderTable[[#This Row],[Qty.]]&gt;0,IF($A288="List #",1,$A288+1),IF($A288="List #",0,$A288))</f>
        <v>56</v>
      </c>
      <c r="B289" s="78" t="str">
        <f>MouserListTable[[#This Row],[SKU]]</f>
        <v>474-DEV-13035</v>
      </c>
      <c r="C289" s="78">
        <f>MouserListTable[[#This Row],['# Initial]]</f>
        <v>0</v>
      </c>
      <c r="D289" s="78" t="str">
        <f>MouserListTable[[#This Row],[Name]]</f>
        <v>SparkFun Block for IntelÂ® Edison - OLED</v>
      </c>
      <c r="E289" s="130">
        <f>MouserListTable[[#This Row],[Price (USD)]]</f>
        <v>14.95</v>
      </c>
      <c r="F289" s="130">
        <f>MouserListTable[[#This Row],[Total Price]]</f>
        <v>0</v>
      </c>
    </row>
    <row r="290" spans="1:6" s="106" customFormat="1" x14ac:dyDescent="0.25">
      <c r="A290" s="131">
        <f>IF(MouserOrderTable[[#This Row],[Qty.]]&gt;0,IF($A289="List #",1,$A289+1),IF($A289="List #",0,$A289))</f>
        <v>56</v>
      </c>
      <c r="B290" s="78" t="str">
        <f>MouserListTable[[#This Row],[SKU]]</f>
        <v>474-DEV-13770</v>
      </c>
      <c r="C290" s="78">
        <f>MouserListTable[[#This Row],['# Initial]]</f>
        <v>0</v>
      </c>
      <c r="D290" s="78" t="str">
        <f>MouserListTable[[#This Row],[Name]]</f>
        <v>SparkFun Block for Intel Edison - ADC</v>
      </c>
      <c r="E290" s="78">
        <f>MouserListTable[[#This Row],[Price (USD)]]</f>
        <v>9.9499999999999993</v>
      </c>
      <c r="F290" s="78">
        <f>MouserListTable[[#This Row],[Total Price]]</f>
        <v>0</v>
      </c>
    </row>
    <row r="291" spans="1:6" s="106" customFormat="1" x14ac:dyDescent="0.25">
      <c r="A291" s="131">
        <f>IF(MouserOrderTable[[#This Row],[Qty.]]&gt;0,IF($A290="List #",1,$A290+1),IF($A290="List #",0,$A290))</f>
        <v>56</v>
      </c>
      <c r="B291" s="78" t="str">
        <f>MouserListTable[[#This Row],[SKU]]</f>
        <v>474-COM-13187</v>
      </c>
      <c r="C291" s="78">
        <f>MouserListTable[[#This Row],['# Initial]]</f>
        <v>0</v>
      </c>
      <c r="D291" s="78" t="str">
        <f>MouserListTable[[#This Row],[Name]]</f>
        <v>IntelÂ® Edison Hardware Pack</v>
      </c>
      <c r="E291" s="78">
        <f>MouserListTable[[#This Row],[Price (USD)]]</f>
        <v>2.95</v>
      </c>
      <c r="F291" s="78">
        <f>MouserListTable[[#This Row],[Total Price]]</f>
        <v>0</v>
      </c>
    </row>
    <row r="292" spans="1:6" s="106" customFormat="1" x14ac:dyDescent="0.25">
      <c r="A292" s="131">
        <f>IF(MouserOrderTable[[#This Row],[Qty.]]&gt;0,IF($A291="List #",1,$A291+1),IF($A291="List #",0,$A291))</f>
        <v>56</v>
      </c>
      <c r="B292" s="78" t="str">
        <f>MouserListTable[[#This Row],[SKU]]</f>
        <v>474-DEV-14438</v>
      </c>
      <c r="C292" s="78">
        <f>MouserListTable[[#This Row],['# Initial]]</f>
        <v>0</v>
      </c>
      <c r="D292" s="78" t="str">
        <f>MouserListTable[[#This Row],[Name]]</f>
        <v>Arduino Dock R2 for Onion Omega</v>
      </c>
      <c r="E292" s="78">
        <f>MouserListTable[[#This Row],[Price (USD)]]</f>
        <v>20</v>
      </c>
      <c r="F292" s="78">
        <f>MouserListTable[[#This Row],[Total Price]]</f>
        <v>0</v>
      </c>
    </row>
    <row r="293" spans="1:6" s="106" customFormat="1" x14ac:dyDescent="0.25">
      <c r="A293" s="131">
        <f>IF(MouserOrderTable[[#This Row],[Qty.]]&gt;0,IF($A292="List #",1,$A292+1),IF($A292="List #",0,$A292))</f>
        <v>56</v>
      </c>
      <c r="B293" s="78" t="str">
        <f>MouserListTable[[#This Row],[SKU]]</f>
        <v>474-DEV-14431</v>
      </c>
      <c r="C293" s="78">
        <f>MouserListTable[[#This Row],['# Initial]]</f>
        <v>0</v>
      </c>
      <c r="D293" s="78" t="str">
        <f>MouserListTable[[#This Row],[Name]]</f>
        <v>Onion Omega2+ IoT Computer</v>
      </c>
      <c r="E293" s="78">
        <f>MouserListTable[[#This Row],[Price (USD)]]</f>
        <v>9</v>
      </c>
      <c r="F293" s="78">
        <f>MouserListTable[[#This Row],[Total Price]]</f>
        <v>0</v>
      </c>
    </row>
    <row r="294" spans="1:6" s="106" customFormat="1" x14ac:dyDescent="0.25">
      <c r="A294" s="131">
        <f>IF(MouserOrderTable[[#This Row],[Qty.]]&gt;0,IF($A293="List #",1,$A293+1),IF($A293="List #",0,$A293))</f>
        <v>56</v>
      </c>
      <c r="B294" s="78" t="str">
        <f>MouserListTable[[#This Row],[SKU]]</f>
        <v>474-DEV-14443</v>
      </c>
      <c r="C294" s="78">
        <f>MouserListTable[[#This Row],['# Initial]]</f>
        <v>0</v>
      </c>
      <c r="D294" s="78" t="str">
        <f>MouserListTable[[#This Row],[Name]]</f>
        <v>Proto Expansion Board for Onion Omega</v>
      </c>
      <c r="E294" s="78">
        <f>MouserListTable[[#This Row],[Price (USD)]]</f>
        <v>5</v>
      </c>
      <c r="F294" s="78">
        <f>MouserListTable[[#This Row],[Total Price]]</f>
        <v>0</v>
      </c>
    </row>
    <row r="295" spans="1:6" s="106" customFormat="1" x14ac:dyDescent="0.25">
      <c r="A295" s="131">
        <f>IF(MouserOrderTable[[#This Row],[Qty.]]&gt;0,IF($A294="List #",1,$A294+1),IF($A294="List #",0,$A294))</f>
        <v>56</v>
      </c>
      <c r="B295" s="78" t="str">
        <f>MouserListTable[[#This Row],[SKU]]</f>
        <v>474-DEV-14442</v>
      </c>
      <c r="C295" s="78">
        <f>MouserListTable[[#This Row],['# Initial]]</f>
        <v>0</v>
      </c>
      <c r="D295" s="78" t="str">
        <f>MouserListTable[[#This Row],[Name]]</f>
        <v>OLED Expansion Board for Onion Omega</v>
      </c>
      <c r="E295" s="78">
        <f>MouserListTable[[#This Row],[Price (USD)]]</f>
        <v>15</v>
      </c>
      <c r="F295" s="78">
        <f>MouserListTable[[#This Row],[Total Price]]</f>
        <v>0</v>
      </c>
    </row>
    <row r="296" spans="1:6" s="106" customFormat="1" x14ac:dyDescent="0.25">
      <c r="A296" s="131">
        <f>IF(MouserOrderTable[[#This Row],[Qty.]]&gt;0,IF($A295="List #",1,$A295+1),IF($A295="List #",0,$A295))</f>
        <v>56</v>
      </c>
      <c r="B296" s="78" t="str">
        <f>MouserListTable[[#This Row],[SKU]]</f>
        <v>474-DEV-14441</v>
      </c>
      <c r="C296" s="78">
        <f>MouserListTable[[#This Row],['# Initial]]</f>
        <v>0</v>
      </c>
      <c r="D296" s="78" t="str">
        <f>MouserListTable[[#This Row],[Name]]</f>
        <v>Ethernet Expansion Board for Onion Omega</v>
      </c>
      <c r="E296" s="78">
        <f>MouserListTable[[#This Row],[Price (USD)]]</f>
        <v>15</v>
      </c>
      <c r="F296" s="78">
        <f>MouserListTable[[#This Row],[Total Price]]</f>
        <v>0</v>
      </c>
    </row>
    <row r="297" spans="1:6" s="106" customFormat="1" x14ac:dyDescent="0.25">
      <c r="A297" s="131">
        <f>IF(MouserOrderTable[[#This Row],[Qty.]]&gt;0,IF($A296="List #",1,$A296+1),IF($A296="List #",0,$A296))</f>
        <v>56</v>
      </c>
      <c r="B297" s="78" t="str">
        <f>MouserListTable[[#This Row],[SKU]]</f>
        <v>474-DEV-14437</v>
      </c>
      <c r="C297" s="78">
        <f>MouserListTable[[#This Row],['# Initial]]</f>
        <v>0</v>
      </c>
      <c r="D297" s="78" t="str">
        <f>MouserListTable[[#This Row],[Name]]</f>
        <v>Mini Dock for Onion Omega</v>
      </c>
      <c r="E297" s="78">
        <f>MouserListTable[[#This Row],[Price (USD)]]</f>
        <v>15</v>
      </c>
      <c r="F297" s="78">
        <f>MouserListTable[[#This Row],[Total Price]]</f>
        <v>0</v>
      </c>
    </row>
    <row r="298" spans="1:6" s="106" customFormat="1" x14ac:dyDescent="0.25">
      <c r="A298" s="131">
        <f>IF(MouserOrderTable[[#This Row],[Qty.]]&gt;0,IF($A297="List #",1,$A297+1),IF($A297="List #",0,$A297))</f>
        <v>56</v>
      </c>
      <c r="B298" s="78" t="str">
        <f>MouserListTable[[#This Row],[SKU]]</f>
        <v>474-DEV-14436</v>
      </c>
      <c r="C298" s="78">
        <f>MouserListTable[[#This Row],['# Initial]]</f>
        <v>0</v>
      </c>
      <c r="D298" s="78" t="str">
        <f>MouserListTable[[#This Row],[Name]]</f>
        <v>Breadboard Dock for Onion Omega</v>
      </c>
      <c r="E298" s="130">
        <f>MouserListTable[[#This Row],[Price (USD)]]</f>
        <v>10</v>
      </c>
      <c r="F298" s="130">
        <f>MouserListTable[[#This Row],[Total Price]]</f>
        <v>0</v>
      </c>
    </row>
    <row r="299" spans="1:6" s="106" customFormat="1" x14ac:dyDescent="0.25">
      <c r="A299" s="131">
        <f>IF(MouserOrderTable[[#This Row],[Qty.]]&gt;0,IF($A298="List #",1,$A298+1),IF($A298="List #",0,$A298))</f>
        <v>56</v>
      </c>
      <c r="B299" s="78" t="str">
        <f>MouserListTable[[#This Row],[SKU]]</f>
        <v>474-DEV-14439</v>
      </c>
      <c r="C299" s="78">
        <f>MouserListTable[[#This Row],['# Initial]]</f>
        <v>0</v>
      </c>
      <c r="D299" s="78" t="str">
        <f>MouserListTable[[#This Row],[Name]]</f>
        <v>Expansion Dock for Onion Omega</v>
      </c>
      <c r="E299" s="130">
        <f>MouserListTable[[#This Row],[Price (USD)]]</f>
        <v>15</v>
      </c>
      <c r="F299" s="130">
        <f>MouserListTable[[#This Row],[Total Price]]</f>
        <v>0</v>
      </c>
    </row>
    <row r="300" spans="1:6" s="106" customFormat="1" x14ac:dyDescent="0.25">
      <c r="A300" s="131">
        <f>IF(MouserOrderTable[[#This Row],[Qty.]]&gt;0,IF($A299="List #",1,$A299+1),IF($A299="List #",0,$A299))</f>
        <v>56</v>
      </c>
      <c r="B300" s="78" t="str">
        <f>MouserListTable[[#This Row],[SKU]]</f>
        <v>474-DEV-14431</v>
      </c>
      <c r="C300" s="78">
        <f>MouserListTable[[#This Row],['# Initial]]</f>
        <v>0</v>
      </c>
      <c r="D300" s="78" t="str">
        <f>MouserListTable[[#This Row],[Name]]</f>
        <v>Onion Omega2+ IoT Computer</v>
      </c>
      <c r="E300" s="78">
        <f>MouserListTable[[#This Row],[Price (USD)]]</f>
        <v>9</v>
      </c>
      <c r="F300" s="78">
        <f>MouserListTable[[#This Row],[Total Price]]</f>
        <v>0</v>
      </c>
    </row>
    <row r="301" spans="1:6" s="106" customFormat="1" x14ac:dyDescent="0.25">
      <c r="A301" s="131">
        <f>IF(MouserOrderTable[[#This Row],[Qty.]]&gt;0,IF($A300="List #",1,$A300+1),IF($A300="List #",0,$A300))</f>
        <v>56</v>
      </c>
      <c r="B301" s="78" t="str">
        <f>MouserListTable[[#This Row],[SKU]]</f>
        <v>474-DEV-14446</v>
      </c>
      <c r="C301" s="78">
        <f>MouserListTable[[#This Row],['# Initial]]</f>
        <v>0</v>
      </c>
      <c r="D301" s="78" t="str">
        <f>MouserListTable[[#This Row],[Name]]</f>
        <v>GPS Expansion Board for Onion Omega</v>
      </c>
      <c r="E301" s="78">
        <f>MouserListTable[[#This Row],[Price (USD)]]</f>
        <v>30</v>
      </c>
      <c r="F301" s="78">
        <f>MouserListTable[[#This Row],[Total Price]]</f>
        <v>0</v>
      </c>
    </row>
    <row r="302" spans="1:6" s="106" customFormat="1" x14ac:dyDescent="0.25">
      <c r="A302" s="131">
        <f>IF(MouserOrderTable[[#This Row],[Qty.]]&gt;0,IF($A301="List #",1,$A301+1),IF($A301="List #",0,$A301))</f>
        <v>56</v>
      </c>
      <c r="B302" s="78" t="str">
        <f>MouserListTable[[#This Row],[SKU]]</f>
        <v>474-DEV-14443</v>
      </c>
      <c r="C302" s="78">
        <f>MouserListTable[[#This Row],['# Initial]]</f>
        <v>0</v>
      </c>
      <c r="D302" s="78" t="str">
        <f>MouserListTable[[#This Row],[Name]]</f>
        <v>Proto Expansion Board for Onion Omega</v>
      </c>
      <c r="E302" s="78">
        <f>MouserListTable[[#This Row],[Price (USD)]]</f>
        <v>5</v>
      </c>
      <c r="F302" s="78">
        <f>MouserListTable[[#This Row],[Total Price]]</f>
        <v>0</v>
      </c>
    </row>
    <row r="303" spans="1:6" s="106" customFormat="1" x14ac:dyDescent="0.25">
      <c r="A303" s="131">
        <f>IF(MouserOrderTable[[#This Row],[Qty.]]&gt;0,IF($A302="List #",1,$A302+1),IF($A302="List #",0,$A302))</f>
        <v>56</v>
      </c>
      <c r="B303" s="78" t="str">
        <f>MouserListTable[[#This Row],[SKU]]</f>
        <v>474-DEV-14442</v>
      </c>
      <c r="C303" s="78">
        <f>MouserListTable[[#This Row],['# Initial]]</f>
        <v>0</v>
      </c>
      <c r="D303" s="78" t="str">
        <f>MouserListTable[[#This Row],[Name]]</f>
        <v>OLED Expansion Board for Onion Omega</v>
      </c>
      <c r="E303" s="78">
        <f>MouserListTable[[#This Row],[Price (USD)]]</f>
        <v>15</v>
      </c>
      <c r="F303" s="78">
        <f>MouserListTable[[#This Row],[Total Price]]</f>
        <v>0</v>
      </c>
    </row>
    <row r="304" spans="1:6" s="106" customFormat="1" x14ac:dyDescent="0.25">
      <c r="A304" s="131">
        <f>IF(MouserOrderTable[[#This Row],[Qty.]]&gt;0,IF($A303="List #",1,$A303+1),IF($A303="List #",0,$A303))</f>
        <v>56</v>
      </c>
      <c r="B304" s="78" t="str">
        <f>MouserListTable[[#This Row],[SKU]]</f>
        <v>474-WRL-14280</v>
      </c>
      <c r="C304" s="78">
        <f>MouserListTable[[#This Row],['# Initial]]</f>
        <v>0</v>
      </c>
      <c r="D304" s="78" t="str">
        <f>MouserListTable[[#This Row],[Name]]</f>
        <v>Realtek Ameba Board</v>
      </c>
      <c r="E304" s="130">
        <f>MouserListTable[[#This Row],[Price (USD)]]</f>
        <v>24.95</v>
      </c>
      <c r="F304" s="130">
        <f>MouserListTable[[#This Row],[Total Price]]</f>
        <v>0</v>
      </c>
    </row>
    <row r="305" spans="1:6" s="106" customFormat="1" x14ac:dyDescent="0.25">
      <c r="A305" s="131">
        <f>IF(MouserOrderTable[[#This Row],[Qty.]]&gt;0,IF($A304="List #",1,$A304+1),IF($A304="List #",0,$A304))</f>
        <v>56</v>
      </c>
      <c r="B305" s="78" t="str">
        <f>MouserListTable[[#This Row],[SKU]]</f>
        <v>474-DEV-13613</v>
      </c>
      <c r="C305" s="78">
        <f>MouserListTable[[#This Row],['# Initial]]</f>
        <v>0</v>
      </c>
      <c r="D305" s="78" t="str">
        <f>MouserListTable[[#This Row],[Name]]</f>
        <v>IOIO-OTG - V2.2</v>
      </c>
      <c r="E305" s="130">
        <f>MouserListTable[[#This Row],[Price (USD)]]</f>
        <v>39.950000000000003</v>
      </c>
      <c r="F305" s="130">
        <f>MouserListTable[[#This Row],[Total Price]]</f>
        <v>0</v>
      </c>
    </row>
    <row r="306" spans="1:6" s="106" customFormat="1" x14ac:dyDescent="0.25">
      <c r="A306" s="131">
        <f>IF(MouserOrderTable[[#This Row],[Qty.]]&gt;0,IF($A305="List #",1,$A305+1),IF($A305="List #",0,$A305))</f>
        <v>56</v>
      </c>
      <c r="B306" s="78" t="str">
        <f>MouserListTable[[#This Row],[SKU]]</f>
        <v>474-DEV-12923</v>
      </c>
      <c r="C306" s="78">
        <f>MouserListTable[[#This Row],['# Initial]]</f>
        <v>0</v>
      </c>
      <c r="D306" s="78" t="str">
        <f>MouserListTable[[#This Row],[Name]]</f>
        <v>SparkFun MicroView - OLED Arduino Module</v>
      </c>
      <c r="E306" s="78">
        <f>MouserListTable[[#This Row],[Price (USD)]]</f>
        <v>39.950000000000003</v>
      </c>
      <c r="F306" s="78">
        <f>MouserListTable[[#This Row],[Total Price]]</f>
        <v>0</v>
      </c>
    </row>
    <row r="307" spans="1:6" s="106" customFormat="1" x14ac:dyDescent="0.25">
      <c r="A307" s="131">
        <f>IF(MouserOrderTable[[#This Row],[Qty.]]&gt;0,IF($A306="List #",1,$A306+1),IF($A306="List #",0,$A306))</f>
        <v>56</v>
      </c>
      <c r="B307" s="78" t="str">
        <f>MouserListTable[[#This Row],[SKU]]</f>
        <v>474-DEV-12924</v>
      </c>
      <c r="C307" s="78">
        <f>MouserListTable[[#This Row],['# Initial]]</f>
        <v>0</v>
      </c>
      <c r="D307" s="78" t="str">
        <f>MouserListTable[[#This Row],[Name]]</f>
        <v>SparkFun MicroView - USB Programmer</v>
      </c>
      <c r="E307" s="78">
        <f>MouserListTable[[#This Row],[Price (USD)]]</f>
        <v>14.95</v>
      </c>
      <c r="F307" s="78">
        <f>MouserListTable[[#This Row],[Total Price]]</f>
        <v>0</v>
      </c>
    </row>
    <row r="308" spans="1:6" s="106" customFormat="1" x14ac:dyDescent="0.25">
      <c r="A308" s="131">
        <f>IF(MouserOrderTable[[#This Row],[Qty.]]&gt;0,IF($A307="List #",1,$A307+1),IF($A307="List #",0,$A307))</f>
        <v>56</v>
      </c>
      <c r="B308" s="78" t="str">
        <f>MouserListTable[[#This Row],[SKU]]</f>
        <v>474-PRT-12614</v>
      </c>
      <c r="C308" s="78">
        <f>MouserListTable[[#This Row],['# Initial]]</f>
        <v>0</v>
      </c>
      <c r="D308" s="78" t="str">
        <f>MouserListTable[[#This Row],[Name]]</f>
        <v>Breadboard - Giant</v>
      </c>
      <c r="E308" s="78">
        <f>MouserListTable[[#This Row],[Price (USD)]]</f>
        <v>19.95</v>
      </c>
      <c r="F308" s="78">
        <f>MouserListTable[[#This Row],[Total Price]]</f>
        <v>0</v>
      </c>
    </row>
    <row r="309" spans="1:6" s="104" customFormat="1" x14ac:dyDescent="0.25">
      <c r="A309" s="131">
        <f>IF(MouserOrderTable[[#This Row],[Qty.]]&gt;0,IF($A308="List #",1,$A308+1),IF($A308="List #",0,$A308))</f>
        <v>56</v>
      </c>
      <c r="B309" s="78" t="str">
        <f>MouserListTable[[#This Row],[SKU]]</f>
        <v>474-PRT-12044</v>
      </c>
      <c r="C309" s="78">
        <f>MouserListTable[[#This Row],['# Initial]]</f>
        <v>0</v>
      </c>
      <c r="D309" s="78" t="str">
        <f>MouserListTable[[#This Row],[Name]]</f>
        <v>Breadboard - Mini Modular (Red)</v>
      </c>
      <c r="E309" s="78">
        <f>MouserListTable[[#This Row],[Price (USD)]]</f>
        <v>3.95</v>
      </c>
      <c r="F309" s="78">
        <f>MouserListTable[[#This Row],[Total Price]]</f>
        <v>0</v>
      </c>
    </row>
    <row r="310" spans="1:6" s="104" customFormat="1" x14ac:dyDescent="0.25">
      <c r="A310" s="131">
        <f>IF(MouserOrderTable[[#This Row],[Qty.]]&gt;0,IF($A309="List #",1,$A309+1),IF($A309="List #",0,$A309))</f>
        <v>57</v>
      </c>
      <c r="B310" s="78" t="str">
        <f>MouserListTable[[#This Row],[SKU]]</f>
        <v>474-PRT-12047</v>
      </c>
      <c r="C310" s="78">
        <f>MouserListTable[[#This Row],['# Initial]]</f>
        <v>20</v>
      </c>
      <c r="D310" s="78" t="str">
        <f>MouserListTable[[#This Row],[Name]]</f>
        <v>Breadboard - Mini Modular (Black)</v>
      </c>
      <c r="E310" s="130">
        <f>MouserListTable[[#This Row],[Price (USD)]]</f>
        <v>3.95</v>
      </c>
      <c r="F310" s="130">
        <f>MouserListTable[[#This Row],[Total Price]]</f>
        <v>79</v>
      </c>
    </row>
    <row r="311" spans="1:6" s="104" customFormat="1" x14ac:dyDescent="0.25">
      <c r="A311" s="131">
        <f>IF(MouserOrderTable[[#This Row],[Qty.]]&gt;0,IF($A310="List #",1,$A310+1),IF($A310="List #",0,$A310))</f>
        <v>57</v>
      </c>
      <c r="B311" s="78" t="str">
        <f>MouserListTable[[#This Row],[SKU]]</f>
        <v>485-65</v>
      </c>
      <c r="C311" s="78">
        <f>MouserListTable[[#This Row],['# Initial]]</f>
        <v>0</v>
      </c>
      <c r="D311" s="78" t="str">
        <f>MouserListTable[[#This Row],[Name]]</f>
        <v>Tiny breadboard</v>
      </c>
      <c r="E311" s="130">
        <f>MouserListTable[[#This Row],[Price (USD)]]</f>
        <v>4</v>
      </c>
      <c r="F311" s="130">
        <f>MouserListTable[[#This Row],[Total Price]]</f>
        <v>0</v>
      </c>
    </row>
    <row r="312" spans="1:6" s="104" customFormat="1" x14ac:dyDescent="0.25">
      <c r="A312" s="131">
        <f>IF(MouserOrderTable[[#This Row],[Qty.]]&gt;0,IF($A311="List #",1,$A311+1),IF($A311="List #",0,$A311))</f>
        <v>58</v>
      </c>
      <c r="B312" s="78" t="str">
        <f>MouserListTable[[#This Row],[SKU]]</f>
        <v>474-PRT-12699</v>
      </c>
      <c r="C312" s="78">
        <f>MouserListTable[[#This Row],['# Initial]]</f>
        <v>10</v>
      </c>
      <c r="D312" s="78" t="str">
        <f>MouserListTable[[#This Row],[Name]]</f>
        <v>SparkFun Solder-able Breadboard - Large</v>
      </c>
      <c r="E312" s="130">
        <f>MouserListTable[[#This Row],[Price (USD)]]</f>
        <v>8.9499999999999993</v>
      </c>
      <c r="F312" s="130">
        <f>MouserListTable[[#This Row],[Total Price]]</f>
        <v>89.5</v>
      </c>
    </row>
    <row r="313" spans="1:6" s="104" customFormat="1" x14ac:dyDescent="0.25">
      <c r="A313" s="131">
        <f>IF(MouserOrderTable[[#This Row],[Qty.]]&gt;0,IF($A312="List #",1,$A312+1),IF($A312="List #",0,$A312))</f>
        <v>58</v>
      </c>
      <c r="B313" s="78" t="str">
        <f>MouserListTable[[#This Row],[SKU]]</f>
        <v>474-PRT-12070</v>
      </c>
      <c r="C313" s="78">
        <f>MouserListTable[[#This Row],['# Initial]]</f>
        <v>0</v>
      </c>
      <c r="D313" s="78" t="str">
        <f>MouserListTable[[#This Row],[Name]]</f>
        <v>SparkFun Solder-able Breadboard</v>
      </c>
      <c r="E313" s="130">
        <f>MouserListTable[[#This Row],[Price (USD)]]</f>
        <v>4.95</v>
      </c>
      <c r="F313" s="130">
        <f>MouserListTable[[#This Row],[Total Price]]</f>
        <v>0</v>
      </c>
    </row>
    <row r="314" spans="1:6" s="104" customFormat="1" x14ac:dyDescent="0.25">
      <c r="A314" s="131">
        <f>IF(MouserOrderTable[[#This Row],[Qty.]]&gt;0,IF($A313="List #",1,$A313+1),IF($A313="List #",0,$A313))</f>
        <v>58</v>
      </c>
      <c r="B314" s="78" t="str">
        <f>MouserListTable[[#This Row],[SKU]]</f>
        <v>474-PRT-12702</v>
      </c>
      <c r="C314" s="78">
        <f>MouserListTable[[#This Row],['# Initial]]</f>
        <v>0</v>
      </c>
      <c r="D314" s="78" t="str">
        <f>MouserListTable[[#This Row],[Name]]</f>
        <v>SparkFun Solder-able Breadboard - Mini</v>
      </c>
      <c r="E314" s="130">
        <f>MouserListTable[[#This Row],[Price (USD)]]</f>
        <v>2.95</v>
      </c>
      <c r="F314" s="130">
        <f>MouserListTable[[#This Row],[Total Price]]</f>
        <v>0</v>
      </c>
    </row>
    <row r="315" spans="1:6" s="104" customFormat="1" x14ac:dyDescent="0.25">
      <c r="A315" s="131">
        <f>IF(MouserOrderTable[[#This Row],[Qty.]]&gt;0,IF($A314="List #",1,$A314+1),IF($A314="List #",0,$A314))</f>
        <v>59</v>
      </c>
      <c r="B315" s="78" t="str">
        <f>MouserListTable[[#This Row],[SKU]]</f>
        <v>474-DEV-07914</v>
      </c>
      <c r="C315" s="78">
        <f>MouserListTable[[#This Row],['# Initial]]</f>
        <v>5</v>
      </c>
      <c r="D315" s="78" t="str">
        <f>MouserListTable[[#This Row],[Name]]</f>
        <v>SparkFun ProtoShield Kit</v>
      </c>
      <c r="E315" s="130">
        <f>MouserListTable[[#This Row],[Price (USD)]]</f>
        <v>9.9499999999999993</v>
      </c>
      <c r="F315" s="130">
        <f>MouserListTable[[#This Row],[Total Price]]</f>
        <v>49.75</v>
      </c>
    </row>
    <row r="316" spans="1:6" s="104" customFormat="1" x14ac:dyDescent="0.25">
      <c r="A316" s="131">
        <f>IF(MouserOrderTable[[#This Row],[Qty.]]&gt;0,IF($A315="List #",1,$A315+1),IF($A315="List #",0,$A315))</f>
        <v>59</v>
      </c>
      <c r="B316" s="78" t="str">
        <f>MouserListTable[[#This Row],[SKU]]</f>
        <v>485-2077</v>
      </c>
      <c r="C316" s="78">
        <f>MouserListTable[[#This Row],['# Initial]]</f>
        <v>0</v>
      </c>
      <c r="D316" s="78" t="str">
        <f>MouserListTable[[#This Row],[Name]]</f>
        <v>Adafruit Proto Shield for Arduino Kit - Stackable Version R3</v>
      </c>
      <c r="E316" s="130">
        <f>MouserListTable[[#This Row],[Price (USD)]]</f>
        <v>9.9499999999999993</v>
      </c>
      <c r="F316" s="130">
        <f>MouserListTable[[#This Row],[Total Price]]</f>
        <v>0</v>
      </c>
    </row>
    <row r="317" spans="1:6" s="104" customFormat="1" x14ac:dyDescent="0.25">
      <c r="A317" s="131">
        <f>IF(MouserOrderTable[[#This Row],[Qty.]]&gt;0,IF($A316="List #",1,$A316+1),IF($A316="List #",0,$A316))</f>
        <v>59</v>
      </c>
      <c r="B317" s="78" t="str">
        <f>MouserListTable[[#This Row],[SKU]]</f>
        <v>485-196</v>
      </c>
      <c r="C317" s="78">
        <f>MouserListTable[[#This Row],['# Initial]]</f>
        <v>0</v>
      </c>
      <c r="D317" s="78" t="str">
        <f>MouserListTable[[#This Row],[Name]]</f>
        <v>Proto-Screwshield (Wingshield) R3 Kit for Arduino</v>
      </c>
      <c r="E317" s="78">
        <f>MouserListTable[[#This Row],[Price (USD)]]</f>
        <v>14.95</v>
      </c>
      <c r="F317" s="78">
        <f>MouserListTable[[#This Row],[Total Price]]</f>
        <v>0</v>
      </c>
    </row>
    <row r="318" spans="1:6" s="104" customFormat="1" x14ac:dyDescent="0.25">
      <c r="A318" s="131">
        <f>IF(MouserOrderTable[[#This Row],[Qty.]]&gt;0,IF($A317="List #",1,$A317+1),IF($A317="List #",0,$A317))</f>
        <v>59</v>
      </c>
      <c r="B318" s="78" t="str">
        <f>MouserListTable[[#This Row],[SKU]]</f>
        <v>485-192</v>
      </c>
      <c r="C318" s="78">
        <f>MouserListTable[[#This Row],['# Initial]]</f>
        <v>0</v>
      </c>
      <c r="D318" s="78" t="str">
        <f>MouserListTable[[#This Row],[Name]]</f>
        <v>Mega protoshield for Arduino</v>
      </c>
      <c r="E318" s="130">
        <f>MouserListTable[[#This Row],[Price (USD)]]</f>
        <v>14.95</v>
      </c>
      <c r="F318" s="130">
        <f>MouserListTable[[#This Row],[Total Price]]</f>
        <v>0</v>
      </c>
    </row>
    <row r="319" spans="1:6" s="104" customFormat="1" x14ac:dyDescent="0.25">
      <c r="A319" s="131">
        <f>IF(MouserOrderTable[[#This Row],[Qty.]]&gt;0,IF($A318="List #",1,$A318+1),IF($A318="List #",0,$A318))</f>
        <v>59</v>
      </c>
      <c r="B319" s="78" t="str">
        <f>MouserListTable[[#This Row],[SKU]]</f>
        <v>485-443</v>
      </c>
      <c r="C319" s="78">
        <f>MouserListTable[[#This Row],['# Initial]]</f>
        <v>0</v>
      </c>
      <c r="D319" s="78" t="str">
        <f>MouserListTable[[#This Row],[Name]]</f>
        <v>Large Solderless Breadboard</v>
      </c>
      <c r="E319" s="130">
        <f>MouserListTable[[#This Row],[Price (USD)]]</f>
        <v>19.95</v>
      </c>
      <c r="F319" s="130">
        <f>MouserListTable[[#This Row],[Total Price]]</f>
        <v>0</v>
      </c>
    </row>
    <row r="320" spans="1:6" s="104" customFormat="1" x14ac:dyDescent="0.25">
      <c r="A320" s="131">
        <f>IF(MouserOrderTable[[#This Row],[Qty.]]&gt;0,IF($A319="List #",1,$A319+1),IF($A319="List #",0,$A319))</f>
        <v>59</v>
      </c>
      <c r="B320" s="78" t="str">
        <f>MouserListTable[[#This Row],[SKU]]</f>
        <v>485-2017</v>
      </c>
      <c r="C320" s="78">
        <f>MouserListTable[[#This Row],['# Initial]]</f>
        <v>0</v>
      </c>
      <c r="D320" s="78" t="str">
        <f>MouserListTable[[#This Row],[Name]]</f>
        <v>Mini Solderless Breadboard - 2x4 Points</v>
      </c>
      <c r="E320" s="130">
        <f>MouserListTable[[#This Row],[Price (USD)]]</f>
        <v>0.75</v>
      </c>
      <c r="F320" s="130">
        <f>MouserListTable[[#This Row],[Total Price]]</f>
        <v>0</v>
      </c>
    </row>
    <row r="321" spans="1:6" s="104" customFormat="1" x14ac:dyDescent="0.25">
      <c r="A321" s="131">
        <f>IF(MouserOrderTable[[#This Row],[Qty.]]&gt;0,IF($A320="List #",1,$A320+1),IF($A320="List #",0,$A320))</f>
        <v>59</v>
      </c>
      <c r="B321" s="78" t="str">
        <f>MouserListTable[[#This Row],[SKU]]</f>
        <v>485-2018</v>
      </c>
      <c r="C321" s="78">
        <f>MouserListTable[[#This Row],['# Initial]]</f>
        <v>0</v>
      </c>
      <c r="D321" s="78" t="str">
        <f>MouserListTable[[#This Row],[Name]]</f>
        <v>Mini Solderless Breadboard - 2x8 Points</v>
      </c>
      <c r="E321" s="130">
        <f>MouserListTable[[#This Row],[Price (USD)]]</f>
        <v>0.95</v>
      </c>
      <c r="F321" s="130">
        <f>MouserListTable[[#This Row],[Total Price]]</f>
        <v>0</v>
      </c>
    </row>
    <row r="322" spans="1:6" s="104" customFormat="1" x14ac:dyDescent="0.25">
      <c r="A322" s="131">
        <f>IF(MouserOrderTable[[#This Row],[Qty.]]&gt;0,IF($A321="List #",1,$A321+1),IF($A321="List #",0,$A321))</f>
        <v>59</v>
      </c>
      <c r="B322" s="78" t="str">
        <f>MouserListTable[[#This Row],[SKU]]</f>
        <v>485-2463</v>
      </c>
      <c r="C322" s="78">
        <f>MouserListTable[[#This Row],['# Initial]]</f>
        <v>0</v>
      </c>
      <c r="D322" s="78" t="str">
        <f>MouserListTable[[#This Row],[Name]]</f>
        <v>Mini Solderless Breadboard - 4x4 Points</v>
      </c>
      <c r="E322" s="130">
        <f>MouserListTable[[#This Row],[Price (USD)]]</f>
        <v>0.95</v>
      </c>
      <c r="F322" s="130">
        <f>MouserListTable[[#This Row],[Total Price]]</f>
        <v>0</v>
      </c>
    </row>
    <row r="323" spans="1:6" s="104" customFormat="1" x14ac:dyDescent="0.25">
      <c r="A323" s="131">
        <f>IF(MouserOrderTable[[#This Row],[Qty.]]&gt;0,IF($A322="List #",1,$A322+1),IF($A322="List #",0,$A322))</f>
        <v>60</v>
      </c>
      <c r="B323" s="78" t="str">
        <f>MouserListTable[[#This Row],[SKU]]</f>
        <v>474-PRT-13268</v>
      </c>
      <c r="C323" s="78">
        <f>MouserListTable[[#This Row],['# Initial]]</f>
        <v>2</v>
      </c>
      <c r="D323" s="78" t="str">
        <f>MouserListTable[[#This Row],[Name]]</f>
        <v>SparkFun Snappable Protoboard</v>
      </c>
      <c r="E323" s="130">
        <f>MouserListTable[[#This Row],[Price (USD)]]</f>
        <v>7.95</v>
      </c>
      <c r="F323" s="130">
        <f>MouserListTable[[#This Row],[Total Price]]</f>
        <v>15.9</v>
      </c>
    </row>
    <row r="324" spans="1:6" s="104" customFormat="1" x14ac:dyDescent="0.25">
      <c r="A324" s="131">
        <f>IF(MouserOrderTable[[#This Row],[Qty.]]&gt;0,IF($A323="List #",1,$A323+1),IF($A323="List #",0,$A323))</f>
        <v>61</v>
      </c>
      <c r="B324" s="78" t="str">
        <f>MouserListTable[[#This Row],[SKU]]</f>
        <v>474-DEV-13317</v>
      </c>
      <c r="C324" s="78">
        <f>MouserListTable[[#This Row],['# Initial]]</f>
        <v>10</v>
      </c>
      <c r="D324" s="78" t="str">
        <f>MouserListTable[[#This Row],[Name]]</f>
        <v>SparkFun Big Red Box Proto Board</v>
      </c>
      <c r="E324" s="130">
        <f>MouserListTable[[#This Row],[Price (USD)]]</f>
        <v>7.95</v>
      </c>
      <c r="F324" s="130">
        <f>MouserListTable[[#This Row],[Total Price]]</f>
        <v>79.5</v>
      </c>
    </row>
    <row r="325" spans="1:6" s="104" customFormat="1" x14ac:dyDescent="0.25">
      <c r="A325" s="131">
        <f>IF(MouserOrderTable[[#This Row],[Qty.]]&gt;0,IF($A324="List #",1,$A324+1),IF($A324="List #",0,$A324))</f>
        <v>61</v>
      </c>
      <c r="B325" s="78" t="str">
        <f>MouserListTable[[#This Row],[SKU]]</f>
        <v>474-PRT-11366</v>
      </c>
      <c r="C325" s="78">
        <f>MouserListTable[[#This Row],['# Initial]]</f>
        <v>0</v>
      </c>
      <c r="D325" s="78" t="str">
        <f>MouserListTable[[#This Row],[Name]]</f>
        <v>Big Red Box - Enclosure</v>
      </c>
      <c r="E325" s="130">
        <f>MouserListTable[[#This Row],[Price (USD)]]</f>
        <v>8.9499999999999993</v>
      </c>
      <c r="F325" s="130">
        <f>MouserListTable[[#This Row],[Total Price]]</f>
        <v>0</v>
      </c>
    </row>
    <row r="326" spans="1:6" s="104" customFormat="1" x14ac:dyDescent="0.25">
      <c r="A326" s="131">
        <f>IF(MouserOrderTable[[#This Row],[Qty.]]&gt;0,IF($A325="List #",1,$A325+1),IF($A325="List #",0,$A325))</f>
        <v>61</v>
      </c>
      <c r="B326" s="78" t="str">
        <f>MouserListTable[[#This Row],[SKU]]</f>
        <v>474-PRT-10088</v>
      </c>
      <c r="C326" s="78">
        <f>MouserListTable[[#This Row],['# Initial]]</f>
        <v>0</v>
      </c>
      <c r="D326" s="78" t="str">
        <f>MouserListTable[[#This Row],[Name]]</f>
        <v>Arduino Project Enclosure</v>
      </c>
      <c r="E326" s="130">
        <f>MouserListTable[[#This Row],[Price (USD)]]</f>
        <v>11.95</v>
      </c>
      <c r="F326" s="130">
        <f>MouserListTable[[#This Row],[Total Price]]</f>
        <v>0</v>
      </c>
    </row>
    <row r="327" spans="1:6" s="106" customFormat="1" x14ac:dyDescent="0.25">
      <c r="A327" s="131">
        <f>IF(MouserOrderTable[[#This Row],[Qty.]]&gt;0,IF($A326="List #",1,$A326+1),IF($A326="List #",0,$A326))</f>
        <v>61</v>
      </c>
      <c r="B327" s="78" t="str">
        <f>MouserListTable[[#This Row],[SKU]]</f>
        <v>474-DEV-11632</v>
      </c>
      <c r="C327" s="78">
        <f>MouserListTable[[#This Row],['# Initial]]</f>
        <v>0</v>
      </c>
      <c r="D327" s="78" t="str">
        <f>MouserListTable[[#This Row],[Name]]</f>
        <v>IOIO and Breadboard Holder</v>
      </c>
      <c r="E327" s="130">
        <f>MouserListTable[[#This Row],[Price (USD)]]</f>
        <v>0.1</v>
      </c>
      <c r="F327" s="130">
        <f>MouserListTable[[#This Row],[Total Price]]</f>
        <v>0</v>
      </c>
    </row>
    <row r="328" spans="1:6" s="106" customFormat="1" x14ac:dyDescent="0.25">
      <c r="A328" s="131">
        <f>IF(MouserOrderTable[[#This Row],[Qty.]]&gt;0,IF($A327="List #",1,$A327+1),IF($A327="List #",0,$A327))</f>
        <v>61</v>
      </c>
      <c r="B328" s="78" t="str">
        <f>MouserListTable[[#This Row],[SKU]]</f>
        <v>485-2229</v>
      </c>
      <c r="C328" s="78">
        <f>MouserListTable[[#This Row],['# Initial]]</f>
        <v>0</v>
      </c>
      <c r="D328" s="78" t="str">
        <f>MouserListTable[[#This Row],[Name]]</f>
        <v>Extruded Aluminum Enclosure Box - 100mm x 67mm x 26mm</v>
      </c>
      <c r="E328" s="130">
        <f>MouserListTable[[#This Row],[Price (USD)]]</f>
        <v>7.5</v>
      </c>
      <c r="F328" s="130">
        <f>MouserListTable[[#This Row],[Total Price]]</f>
        <v>0</v>
      </c>
    </row>
    <row r="329" spans="1:6" s="106" customFormat="1" x14ac:dyDescent="0.25">
      <c r="A329" s="131">
        <f>IF(MouserOrderTable[[#This Row],[Qty.]]&gt;0,IF($A328="List #",1,$A328+1),IF($A328="List #",0,$A328))</f>
        <v>61</v>
      </c>
      <c r="B329" s="78" t="str">
        <f>MouserListTable[[#This Row],[SKU]]</f>
        <v>485-2230</v>
      </c>
      <c r="C329" s="78">
        <f>MouserListTable[[#This Row],['# Initial]]</f>
        <v>0</v>
      </c>
      <c r="D329" s="78" t="str">
        <f>MouserListTable[[#This Row],[Name]]</f>
        <v>Extruded Aluminum Enclosure Box - 94mm x 83mm x 30mm</v>
      </c>
      <c r="E329" s="130">
        <f>MouserListTable[[#This Row],[Price (USD)]]</f>
        <v>5.95</v>
      </c>
      <c r="F329" s="130">
        <f>MouserListTable[[#This Row],[Total Price]]</f>
        <v>0</v>
      </c>
    </row>
    <row r="330" spans="1:6" s="106" customFormat="1" x14ac:dyDescent="0.25">
      <c r="A330" s="131">
        <f>IF(MouserOrderTable[[#This Row],[Qty.]]&gt;0,IF($A329="List #",1,$A329+1),IF($A329="List #",0,$A329))</f>
        <v>62</v>
      </c>
      <c r="B330" s="78" t="str">
        <f>MouserListTable[[#This Row],[SKU]]</f>
        <v>474-COM-10594</v>
      </c>
      <c r="C330" s="78">
        <f>MouserListTable[[#This Row],['# Initial]]</f>
        <v>5</v>
      </c>
      <c r="D330" s="78" t="str">
        <f>MouserListTable[[#This Row],[Name]]</f>
        <v>Silicone Bumpers - Large (10x16.5mm, 4 pack)</v>
      </c>
      <c r="E330" s="130">
        <f>MouserListTable[[#This Row],[Price (USD)]]</f>
        <v>0.95</v>
      </c>
      <c r="F330" s="130">
        <f>MouserListTable[[#This Row],[Total Price]]</f>
        <v>4.75</v>
      </c>
    </row>
    <row r="331" spans="1:6" s="106" customFormat="1" x14ac:dyDescent="0.25">
      <c r="A331" s="131">
        <f>IF(MouserOrderTable[[#This Row],[Qty.]]&gt;0,IF($A330="List #",1,$A330+1),IF($A330="List #",0,$A330))</f>
        <v>63</v>
      </c>
      <c r="B331" s="78" t="str">
        <f>MouserListTable[[#This Row],[SKU]]</f>
        <v>474-PRT-10230</v>
      </c>
      <c r="C331" s="78">
        <f>MouserListTable[[#This Row],['# Initial]]</f>
        <v>5</v>
      </c>
      <c r="D331" s="78" t="str">
        <f>MouserListTable[[#This Row],[Name]]</f>
        <v>Silicone Bumpers - Small, Clear (8x2mm, 5 pack)</v>
      </c>
      <c r="E331" s="130">
        <f>MouserListTable[[#This Row],[Price (USD)]]</f>
        <v>0.95</v>
      </c>
      <c r="F331" s="130">
        <f>MouserListTable[[#This Row],[Total Price]]</f>
        <v>4.75</v>
      </c>
    </row>
    <row r="332" spans="1:6" s="106" customFormat="1" x14ac:dyDescent="0.25">
      <c r="A332" s="131">
        <f>IF(MouserOrderTable[[#This Row],[Qty.]]&gt;0,IF($A331="List #",1,$A331+1),IF($A331="List #",0,$A331))</f>
        <v>63</v>
      </c>
      <c r="B332" s="78" t="str">
        <f>MouserListTable[[#This Row],[SKU]]</f>
        <v>485-550</v>
      </c>
      <c r="C332" s="78">
        <f>MouserListTable[[#This Row],['# Initial]]</f>
        <v>0</v>
      </c>
      <c r="D332" s="78" t="str">
        <f>MouserListTable[[#This Row],[Name]]</f>
        <v xml:space="preserve">Little Rubber Bumper Feet - Pack of 4 </v>
      </c>
      <c r="E332" s="78">
        <f>MouserListTable[[#This Row],[Price (USD)]]</f>
        <v>0.95</v>
      </c>
      <c r="F332" s="78">
        <f>MouserListTable[[#This Row],[Total Price]]</f>
        <v>0</v>
      </c>
    </row>
    <row r="333" spans="1:6" s="104" customFormat="1" x14ac:dyDescent="0.25">
      <c r="A333" s="131">
        <f>IF(MouserOrderTable[[#This Row],[Qty.]]&gt;0,IF($A332="List #",1,$A332+1),IF($A332="List #",0,$A332))</f>
        <v>63</v>
      </c>
      <c r="B333" s="78" t="str">
        <f>MouserListTable[[#This Row],[SKU]]</f>
        <v>474-PRT-09353</v>
      </c>
      <c r="C333" s="78">
        <f>MouserListTable[[#This Row],['# Initial]]</f>
        <v>0</v>
      </c>
      <c r="D333" s="78" t="str">
        <f>MouserListTable[[#This Row],[Name]]</f>
        <v>Heat Shrink Kit</v>
      </c>
      <c r="E333" s="78">
        <f>MouserListTable[[#This Row],[Price (USD)]]</f>
        <v>7.95</v>
      </c>
      <c r="F333" s="78">
        <f>MouserListTable[[#This Row],[Total Price]]</f>
        <v>0</v>
      </c>
    </row>
    <row r="334" spans="1:6" s="104" customFormat="1" x14ac:dyDescent="0.25">
      <c r="A334" s="131">
        <f>IF(MouserOrderTable[[#This Row],[Qty.]]&gt;0,IF($A333="List #",1,$A333+1),IF($A333="List #",0,$A333))</f>
        <v>63</v>
      </c>
      <c r="B334" s="78" t="str">
        <f>MouserListTable[[#This Row],[SKU]]</f>
        <v>485-344</v>
      </c>
      <c r="C334" s="78">
        <f>MouserListTable[[#This Row],['# Initial]]</f>
        <v>0</v>
      </c>
      <c r="D334" s="78" t="str">
        <f>MouserListTable[[#This Row],[Name]]</f>
        <v>Heat Shrink Pack</v>
      </c>
      <c r="E334" s="78">
        <f>MouserListTable[[#This Row],[Price (USD)]]</f>
        <v>4.95</v>
      </c>
      <c r="F334" s="78">
        <f>MouserListTable[[#This Row],[Total Price]]</f>
        <v>0</v>
      </c>
    </row>
    <row r="335" spans="1:6" s="104" customFormat="1" x14ac:dyDescent="0.25">
      <c r="A335" s="131">
        <f>IF(MouserOrderTable[[#This Row],[Qty.]]&gt;0,IF($A334="List #",1,$A334+1),IF($A334="List #",0,$A334))</f>
        <v>63</v>
      </c>
      <c r="B335" s="78" t="str">
        <f>MouserListTable[[#This Row],[SKU]]</f>
        <v>474-TOL-10951</v>
      </c>
      <c r="C335" s="78">
        <f>MouserListTable[[#This Row],['# Initial]]</f>
        <v>0</v>
      </c>
      <c r="D335" s="78" t="str">
        <f>MouserListTable[[#This Row],[Name]]</f>
        <v>Polymorph - 1000g</v>
      </c>
      <c r="E335" s="130">
        <f>MouserListTable[[#This Row],[Price (USD)]]</f>
        <v>34.950000000000003</v>
      </c>
      <c r="F335" s="130">
        <f>MouserListTable[[#This Row],[Total Price]]</f>
        <v>0</v>
      </c>
    </row>
    <row r="336" spans="1:6" s="104" customFormat="1" x14ac:dyDescent="0.25">
      <c r="A336" s="131">
        <f>IF(MouserOrderTable[[#This Row],[Qty.]]&gt;0,IF($A335="List #",1,$A335+1),IF($A335="List #",0,$A335))</f>
        <v>64</v>
      </c>
      <c r="B336" s="78" t="str">
        <f>MouserListTable[[#This Row],[SKU]]</f>
        <v>474-TOL-10950</v>
      </c>
      <c r="C336" s="78">
        <f>MouserListTable[[#This Row],['# Initial]]</f>
        <v>2</v>
      </c>
      <c r="D336" s="78" t="str">
        <f>MouserListTable[[#This Row],[Name]]</f>
        <v>Polymorph - 250g</v>
      </c>
      <c r="E336" s="130">
        <f>MouserListTable[[#This Row],[Price (USD)]]</f>
        <v>9.9499999999999993</v>
      </c>
      <c r="F336" s="130">
        <f>MouserListTable[[#This Row],[Total Price]]</f>
        <v>19.899999999999999</v>
      </c>
    </row>
    <row r="337" spans="1:6" s="104" customFormat="1" x14ac:dyDescent="0.25">
      <c r="A337" s="131">
        <f>IF(MouserOrderTable[[#This Row],[Qty.]]&gt;0,IF($A336="List #",1,$A336+1),IF($A336="List #",0,$A336))</f>
        <v>65</v>
      </c>
      <c r="B337" s="78" t="str">
        <f>MouserListTable[[#This Row],[SKU]]</f>
        <v>485-2504</v>
      </c>
      <c r="C337" s="78">
        <f>MouserListTable[[#This Row],['# Initial]]</f>
        <v>3</v>
      </c>
      <c r="D337" s="78" t="str">
        <f>MouserListTable[[#This Row],[Name]]</f>
        <v>Hand-Moldable Plastic - Low Temperature Thermoplastic - 100g Bag</v>
      </c>
      <c r="E337" s="130">
        <f>MouserListTable[[#This Row],[Price (USD)]]</f>
        <v>4.95</v>
      </c>
      <c r="F337" s="130">
        <f>MouserListTable[[#This Row],[Total Price]]</f>
        <v>14.850000000000001</v>
      </c>
    </row>
    <row r="338" spans="1:6" s="104" customFormat="1" x14ac:dyDescent="0.25">
      <c r="A338" s="131">
        <f>IF(MouserOrderTable[[#This Row],[Qty.]]&gt;0,IF($A337="List #",1,$A337+1),IF($A337="List #",0,$A337))</f>
        <v>66</v>
      </c>
      <c r="B338" s="78" t="str">
        <f>MouserListTable[[#This Row],[SKU]]</f>
        <v>485-437</v>
      </c>
      <c r="C338" s="78">
        <f>MouserListTable[[#This Row],['# Initial]]</f>
        <v>1</v>
      </c>
      <c r="D338" s="78" t="str">
        <f>MouserListTable[[#This Row],[Name]]</f>
        <v>Sugru - Black and White Pack</v>
      </c>
      <c r="E338" s="78">
        <f>MouserListTable[[#This Row],[Price (USD)]]</f>
        <v>20.2</v>
      </c>
      <c r="F338" s="78">
        <f>MouserListTable[[#This Row],[Total Price]]</f>
        <v>20.2</v>
      </c>
    </row>
    <row r="339" spans="1:6" s="104" customFormat="1" x14ac:dyDescent="0.25">
      <c r="A339" s="131">
        <f>IF(MouserOrderTable[[#This Row],[Qty.]]&gt;0,IF($A338="List #",1,$A338+1),IF($A338="List #",0,$A338))</f>
        <v>67</v>
      </c>
      <c r="B339" s="78" t="str">
        <f>MouserListTable[[#This Row],[SKU]]</f>
        <v>474-PRT-11510</v>
      </c>
      <c r="C339" s="78">
        <f>MouserListTable[[#This Row],['# Initial]]</f>
        <v>5</v>
      </c>
      <c r="D339" s="78" t="str">
        <f>MouserListTable[[#This Row],[Name]]</f>
        <v>Small Heatsink</v>
      </c>
      <c r="E339" s="78">
        <f>MouserListTable[[#This Row],[Price (USD)]]</f>
        <v>1.95</v>
      </c>
      <c r="F339" s="78">
        <f>MouserListTable[[#This Row],[Total Price]]</f>
        <v>9.75</v>
      </c>
    </row>
    <row r="340" spans="1:6" s="106" customFormat="1" x14ac:dyDescent="0.25">
      <c r="A340" s="131">
        <f>IF(MouserOrderTable[[#This Row],[Qty.]]&gt;0,IF($A339="List #",1,$A339+1),IF($A339="List #",0,$A339))</f>
        <v>68</v>
      </c>
      <c r="B340" s="78" t="str">
        <f>MouserListTable[[#This Row],[SKU]]</f>
        <v>474-PRT-14340</v>
      </c>
      <c r="C340" s="78">
        <f>MouserListTable[[#This Row],['# Initial]]</f>
        <v>5</v>
      </c>
      <c r="D340" s="78" t="str">
        <f>MouserListTable[[#This Row],[Name]]</f>
        <v>Medium Heatsink</v>
      </c>
      <c r="E340" s="130">
        <f>MouserListTable[[#This Row],[Price (USD)]]</f>
        <v>1.57</v>
      </c>
      <c r="F340" s="130">
        <f>MouserListTable[[#This Row],[Total Price]]</f>
        <v>7.8500000000000005</v>
      </c>
    </row>
    <row r="341" spans="1:6" s="106" customFormat="1" x14ac:dyDescent="0.25">
      <c r="A341" s="131">
        <f>IF(MouserOrderTable[[#This Row],[Qty.]]&gt;0,IF($A340="List #",1,$A340+1),IF($A340="List #",0,$A340))</f>
        <v>69</v>
      </c>
      <c r="B341" s="78" t="str">
        <f>MouserListTable[[#This Row],[SKU]]</f>
        <v>474-PRT-00121</v>
      </c>
      <c r="C341" s="78">
        <f>MouserListTable[[#This Row],['# Initial]]</f>
        <v>5</v>
      </c>
      <c r="D341" s="78" t="str">
        <f>MouserListTable[[#This Row],[Name]]</f>
        <v>Heatsink TO-220</v>
      </c>
      <c r="E341" s="130">
        <f>MouserListTable[[#This Row],[Price (USD)]]</f>
        <v>0.95</v>
      </c>
      <c r="F341" s="130">
        <f>MouserListTable[[#This Row],[Total Price]]</f>
        <v>4.75</v>
      </c>
    </row>
    <row r="342" spans="1:6" s="106" customFormat="1" x14ac:dyDescent="0.25">
      <c r="A342" s="131">
        <f>IF(MouserOrderTable[[#This Row],[Qty.]]&gt;0,IF($A341="List #",1,$A341+1),IF($A341="List #",0,$A341))</f>
        <v>70</v>
      </c>
      <c r="B342" s="78" t="str">
        <f>MouserListTable[[#This Row],[SKU]]</f>
        <v>485-977</v>
      </c>
      <c r="C342" s="78">
        <f>MouserListTable[[#This Row],['# Initial]]</f>
        <v>10</v>
      </c>
      <c r="D342" s="78" t="str">
        <f>MouserListTable[[#This Row],[Name]]</f>
        <v xml:space="preserve">TO-220 Clip-On Heatsink </v>
      </c>
      <c r="E342" s="130">
        <f>MouserListTable[[#This Row],[Price (USD)]]</f>
        <v>0.75</v>
      </c>
      <c r="F342" s="130">
        <f>MouserListTable[[#This Row],[Total Price]]</f>
        <v>7.5</v>
      </c>
    </row>
    <row r="343" spans="1:6" s="106" customFormat="1" x14ac:dyDescent="0.25">
      <c r="A343" s="131">
        <f>IF(MouserOrderTable[[#This Row],[Qty.]]&gt;0,IF($A342="List #",1,$A342+1),IF($A342="List #",0,$A342))</f>
        <v>70</v>
      </c>
      <c r="B343" s="78" t="str">
        <f>MouserListTable[[#This Row],[SKU]]</f>
        <v>PRT-09599</v>
      </c>
      <c r="C343" s="78">
        <f>MouserListTable[[#This Row],['# Initial]]</f>
        <v>0</v>
      </c>
      <c r="D343" s="78" t="str">
        <f>MouserListTable[[#This Row],[Name]]</f>
        <v>Heatsink Compound</v>
      </c>
      <c r="E343" s="78">
        <f>MouserListTable[[#This Row],[Price (USD)]]</f>
        <v>1.95</v>
      </c>
      <c r="F343" s="78">
        <f>MouserListTable[[#This Row],[Total Price]]</f>
        <v>0</v>
      </c>
    </row>
    <row r="344" spans="1:6" s="106" customFormat="1" x14ac:dyDescent="0.25">
      <c r="A344" s="131">
        <f>IF(MouserOrderTable[[#This Row],[Qty.]]&gt;0,IF($A343="List #",1,$A343+1),IF($A343="List #",0,$A343))</f>
        <v>71</v>
      </c>
      <c r="B344" s="78" t="str">
        <f>MouserListTable[[#This Row],[SKU]]</f>
        <v>474-PRT-09599</v>
      </c>
      <c r="C344" s="78">
        <f>MouserListTable[[#This Row],['# Initial]]</f>
        <v>2</v>
      </c>
      <c r="D344" s="78" t="str">
        <f>MouserListTable[[#This Row],[Name]]</f>
        <v>Heatsink Compound</v>
      </c>
      <c r="E344" s="78">
        <f>MouserListTable[[#This Row],[Price (USD)]]</f>
        <v>1.95</v>
      </c>
      <c r="F344" s="78">
        <f>MouserListTable[[#This Row],[Total Price]]</f>
        <v>3.9</v>
      </c>
    </row>
    <row r="345" spans="1:6" s="104" customFormat="1" x14ac:dyDescent="0.25">
      <c r="A345" s="131">
        <f>IF(MouserOrderTable[[#This Row],[Qty.]]&gt;0,IF($A344="List #",1,$A344+1),IF($A344="List #",0,$A344))</f>
        <v>72</v>
      </c>
      <c r="B345" s="78" t="str">
        <f>MouserListTable[[#This Row],[SKU]]</f>
        <v>474-PRT-09771</v>
      </c>
      <c r="C345" s="78">
        <f>MouserListTable[[#This Row],['# Initial]]</f>
        <v>3</v>
      </c>
      <c r="D345" s="78" t="str">
        <f>MouserListTable[[#This Row],[Name]]</f>
        <v>Theragrip Thermal Tape</v>
      </c>
      <c r="E345" s="78">
        <f>MouserListTable[[#This Row],[Price (USD)]]</f>
        <v>3.95</v>
      </c>
      <c r="F345" s="78">
        <f>MouserListTable[[#This Row],[Total Price]]</f>
        <v>11.850000000000001</v>
      </c>
    </row>
    <row r="346" spans="1:6" s="104" customFormat="1" x14ac:dyDescent="0.25">
      <c r="A346" s="131">
        <f>IF(MouserOrderTable[[#This Row],[Qty.]]&gt;0,IF($A345="List #",1,$A345+1),IF($A345="List #",0,$A345))</f>
        <v>73</v>
      </c>
      <c r="B346" s="78" t="str">
        <f>MouserListTable[[#This Row],[SKU]]</f>
        <v>474-PRT-11796</v>
      </c>
      <c r="C346" s="78">
        <f>MouserListTable[[#This Row],['# Initial]]</f>
        <v>5</v>
      </c>
      <c r="D346" s="78" t="str">
        <f>MouserListTable[[#This Row],[Name]]</f>
        <v>Standoff - Nylon (4-40; 3/4\"; 10 pack)</v>
      </c>
      <c r="E346" s="78">
        <f>MouserListTable[[#This Row],[Price (USD)]]</f>
        <v>3.95</v>
      </c>
      <c r="F346" s="78">
        <f>MouserListTable[[#This Row],[Total Price]]</f>
        <v>19.75</v>
      </c>
    </row>
    <row r="347" spans="1:6" s="104" customFormat="1" x14ac:dyDescent="0.25">
      <c r="A347" s="131">
        <f>IF(MouserOrderTable[[#This Row],[Qty.]]&gt;0,IF($A346="List #",1,$A346+1),IF($A346="List #",0,$A346))</f>
        <v>74</v>
      </c>
      <c r="B347" s="78" t="str">
        <f>MouserListTable[[#This Row],[SKU]]</f>
        <v>474-PRT-10927</v>
      </c>
      <c r="C347" s="78">
        <f>MouserListTable[[#This Row],['# Initial]]</f>
        <v>5</v>
      </c>
      <c r="D347" s="78" t="str">
        <f>MouserListTable[[#This Row],[Name]]</f>
        <v>Standoff - Nylon (4-40; 3/8\"; 10 pack)</v>
      </c>
      <c r="E347" s="78">
        <f>MouserListTable[[#This Row],[Price (USD)]]</f>
        <v>2.95</v>
      </c>
      <c r="F347" s="78">
        <f>MouserListTable[[#This Row],[Total Price]]</f>
        <v>14.75</v>
      </c>
    </row>
    <row r="348" spans="1:6" s="106" customFormat="1" x14ac:dyDescent="0.25">
      <c r="A348" s="131">
        <f>IF(MouserOrderTable[[#This Row],[Qty.]]&gt;0,IF($A347="List #",1,$A347+1),IF($A347="List #",0,$A347))</f>
        <v>75</v>
      </c>
      <c r="B348" s="78" t="str">
        <f>MouserListTable[[#This Row],[SKU]]</f>
        <v>474-PRT-10453</v>
      </c>
      <c r="C348" s="78">
        <f>MouserListTable[[#This Row],['# Initial]]</f>
        <v>5</v>
      </c>
      <c r="D348" s="78" t="str">
        <f>MouserListTable[[#This Row],[Name]]</f>
        <v>Screw - Phillips Head (1/4\", 4-40, 10 pack)</v>
      </c>
      <c r="E348" s="78">
        <f>MouserListTable[[#This Row],[Price (USD)]]</f>
        <v>1.5</v>
      </c>
      <c r="F348" s="78">
        <f>MouserListTable[[#This Row],[Total Price]]</f>
        <v>7.5</v>
      </c>
    </row>
    <row r="349" spans="1:6" s="106" customFormat="1" x14ac:dyDescent="0.25">
      <c r="A349" s="131">
        <f>IF(MouserOrderTable[[#This Row],[Qty.]]&gt;0,IF($A348="List #",1,$A348+1),IF($A348="List #",0,$A348))</f>
        <v>76</v>
      </c>
      <c r="B349" s="78" t="str">
        <f>MouserListTable[[#This Row],[SKU]]</f>
        <v>474-PRT-10738</v>
      </c>
      <c r="C349" s="78">
        <f>MouserListTable[[#This Row],['# Initial]]</f>
        <v>5</v>
      </c>
      <c r="D349" s="78" t="str">
        <f>MouserListTable[[#This Row],[Name]]</f>
        <v>Standoff - Metal (1\", 4-40, 10 pack)</v>
      </c>
      <c r="E349" s="130">
        <f>MouserListTable[[#This Row],[Price (USD)]]</f>
        <v>3.95</v>
      </c>
      <c r="F349" s="130">
        <f>MouserListTable[[#This Row],[Total Price]]</f>
        <v>19.75</v>
      </c>
    </row>
    <row r="350" spans="1:6" s="104" customFormat="1" x14ac:dyDescent="0.25">
      <c r="A350" s="131">
        <f>IF(MouserOrderTable[[#This Row],[Qty.]]&gt;0,IF($A349="List #",1,$A349+1),IF($A349="List #",0,$A349))</f>
        <v>77</v>
      </c>
      <c r="B350" s="78" t="str">
        <f>MouserListTable[[#This Row],[SKU]]</f>
        <v>474-PRT-10450</v>
      </c>
      <c r="C350" s="78">
        <f>MouserListTable[[#This Row],['# Initial]]</f>
        <v>5</v>
      </c>
      <c r="D350" s="78" t="str">
        <f>MouserListTable[[#This Row],[Name]]</f>
        <v>Screw - Phillips Head (1\", 4-40, 10 pack)</v>
      </c>
      <c r="E350" s="78">
        <f>MouserListTable[[#This Row],[Price (USD)]]</f>
        <v>1.5</v>
      </c>
      <c r="F350" s="78">
        <f>MouserListTable[[#This Row],[Total Price]]</f>
        <v>7.5</v>
      </c>
    </row>
    <row r="351" spans="1:6" s="104" customFormat="1" x14ac:dyDescent="0.25">
      <c r="A351" s="131">
        <f>IF(MouserOrderTable[[#This Row],[Qty.]]&gt;0,IF($A350="List #",1,$A350+1),IF($A350="List #",0,$A350))</f>
        <v>78</v>
      </c>
      <c r="B351" s="78" t="str">
        <f>MouserListTable[[#This Row],[SKU]]</f>
        <v>474-PRT-10463</v>
      </c>
      <c r="C351" s="78">
        <f>MouserListTable[[#This Row],['# Initial]]</f>
        <v>20</v>
      </c>
      <c r="D351" s="78" t="str">
        <f>MouserListTable[[#This Row],[Name]]</f>
        <v>Standoff - Metal Hex (4-40; 3/8\"; 10 pack)</v>
      </c>
      <c r="E351" s="78">
        <f>MouserListTable[[#This Row],[Price (USD)]]</f>
        <v>3.95</v>
      </c>
      <c r="F351" s="78">
        <f>MouserListTable[[#This Row],[Total Price]]</f>
        <v>79</v>
      </c>
    </row>
    <row r="352" spans="1:6" s="104" customFormat="1" x14ac:dyDescent="0.25">
      <c r="A352" s="131">
        <f>IF(MouserOrderTable[[#This Row],[Qty.]]&gt;0,IF($A351="List #",1,$A351+1),IF($A351="List #",0,$A351))</f>
        <v>79</v>
      </c>
      <c r="B352" s="78" t="str">
        <f>MouserListTable[[#This Row],[SKU]]</f>
        <v>474-PRT-10561</v>
      </c>
      <c r="C352" s="78">
        <f>MouserListTable[[#This Row],['# Initial]]</f>
        <v>1</v>
      </c>
      <c r="D352" s="78" t="str">
        <f>MouserListTable[[#This Row],[Name]]</f>
        <v>Copper Tape - 5mm (50ft)</v>
      </c>
      <c r="E352" s="78">
        <f>MouserListTable[[#This Row],[Price (USD)]]</f>
        <v>2.95</v>
      </c>
      <c r="F352" s="78">
        <f>MouserListTable[[#This Row],[Total Price]]</f>
        <v>2.95</v>
      </c>
    </row>
    <row r="353" spans="1:6" s="104" customFormat="1" x14ac:dyDescent="0.25">
      <c r="A353" s="131">
        <f>IF(MouserOrderTable[[#This Row],[Qty.]]&gt;0,IF($A352="List #",1,$A352+1),IF($A352="List #",0,$A352))</f>
        <v>80</v>
      </c>
      <c r="B353" s="78" t="str">
        <f>MouserListTable[[#This Row],[SKU]]</f>
        <v>474-PRT-13827</v>
      </c>
      <c r="C353" s="78">
        <f>MouserListTable[[#This Row],['# Initial]]</f>
        <v>1</v>
      </c>
      <c r="D353" s="78" t="str">
        <f>MouserListTable[[#This Row],[Name]]</f>
        <v>Copper Tape - Conductive Adhesive, 5mm (50ft)</v>
      </c>
      <c r="E353" s="78">
        <f>MouserListTable[[#This Row],[Price (USD)]]</f>
        <v>3.95</v>
      </c>
      <c r="F353" s="78">
        <f>MouserListTable[[#This Row],[Total Price]]</f>
        <v>3.95</v>
      </c>
    </row>
    <row r="354" spans="1:6" s="104" customFormat="1" x14ac:dyDescent="0.25">
      <c r="A354" s="131">
        <f>IF(MouserOrderTable[[#This Row],[Qty.]]&gt;0,IF($A353="List #",1,$A353+1),IF($A353="List #",0,$A353))</f>
        <v>80</v>
      </c>
      <c r="B354" s="78" t="str">
        <f>MouserListTable[[#This Row],[SKU]]</f>
        <v>474-PRT-13828</v>
      </c>
      <c r="C354" s="78">
        <f>MouserListTable[[#This Row],['# Initial]]</f>
        <v>0</v>
      </c>
      <c r="D354" s="78" t="str">
        <f>MouserListTable[[#This Row],[Name]]</f>
        <v>Copper Tape - Conductive Adhesive, 2\" (50ft)</v>
      </c>
      <c r="E354" s="78">
        <f>MouserListTable[[#This Row],[Price (USD)]]</f>
        <v>15.95</v>
      </c>
      <c r="F354" s="78">
        <f>MouserListTable[[#This Row],[Total Price]]</f>
        <v>0</v>
      </c>
    </row>
    <row r="355" spans="1:6" s="104" customFormat="1" x14ac:dyDescent="0.25">
      <c r="A355" s="131">
        <f>IF(MouserOrderTable[[#This Row],[Qty.]]&gt;0,IF($A354="List #",1,$A354+1),IF($A354="List #",0,$A354))</f>
        <v>80</v>
      </c>
      <c r="B355" s="78" t="str">
        <f>MouserListTable[[#This Row],[SKU]]</f>
        <v>474-PRT-11081</v>
      </c>
      <c r="C355" s="78">
        <f>MouserListTable[[#This Row],['# Initial]]</f>
        <v>0</v>
      </c>
      <c r="D355" s="78" t="str">
        <f>MouserListTable[[#This Row],[Name]]</f>
        <v>Copper Tape - 2\" (50ft)</v>
      </c>
      <c r="E355" s="130">
        <f>MouserListTable[[#This Row],[Price (USD)]]</f>
        <v>14.95</v>
      </c>
      <c r="F355" s="130">
        <f>MouserListTable[[#This Row],[Total Price]]</f>
        <v>0</v>
      </c>
    </row>
    <row r="356" spans="1:6" s="104" customFormat="1" x14ac:dyDescent="0.25">
      <c r="A356" s="131">
        <f>IF(MouserOrderTable[[#This Row],[Qty.]]&gt;0,IF($A355="List #",1,$A355+1),IF($A355="List #",0,$A355))</f>
        <v>80</v>
      </c>
      <c r="B356" s="78" t="str">
        <f>MouserListTable[[#This Row],[SKU]]</f>
        <v>474-COM-10994</v>
      </c>
      <c r="C356" s="78">
        <f>MouserListTable[[#This Row],['# Initial]]</f>
        <v>0</v>
      </c>
      <c r="D356" s="78" t="str">
        <f>MouserListTable[[#This Row],[Name]]</f>
        <v>Bare Conductive - Electric Paint (50ml)</v>
      </c>
      <c r="E356" s="130">
        <f>MouserListTable[[#This Row],[Price (USD)]]</f>
        <v>24.95</v>
      </c>
      <c r="F356" s="130">
        <f>MouserListTable[[#This Row],[Total Price]]</f>
        <v>0</v>
      </c>
    </row>
    <row r="357" spans="1:6" s="104" customFormat="1" x14ac:dyDescent="0.25">
      <c r="A357" s="131">
        <f>IF(MouserOrderTable[[#This Row],[Qty.]]&gt;0,IF($A356="List #",1,$A356+1),IF($A356="List #",0,$A356))</f>
        <v>80</v>
      </c>
      <c r="B357" s="78" t="str">
        <f>MouserListTable[[#This Row],[SKU]]</f>
        <v>474-COM-11521</v>
      </c>
      <c r="C357" s="78">
        <f>MouserListTable[[#This Row],['# Initial]]</f>
        <v>0</v>
      </c>
      <c r="D357" s="78" t="str">
        <f>MouserListTable[[#This Row],[Name]]</f>
        <v>Bare Conductive - Electric Paint Pen (10ml)</v>
      </c>
      <c r="E357" s="130">
        <f>MouserListTable[[#This Row],[Price (USD)]]</f>
        <v>9.9499999999999993</v>
      </c>
      <c r="F357" s="130">
        <f>MouserListTable[[#This Row],[Total Price]]</f>
        <v>0</v>
      </c>
    </row>
    <row r="358" spans="1:6" s="104" customFormat="1" x14ac:dyDescent="0.25">
      <c r="A358" s="131">
        <f>IF(MouserOrderTable[[#This Row],[Qty.]]&gt;0,IF($A357="List #",1,$A357+1),IF($A357="List #",0,$A357))</f>
        <v>80</v>
      </c>
      <c r="B358" s="78" t="str">
        <f>MouserListTable[[#This Row],[SKU]]</f>
        <v>474-COM-13254</v>
      </c>
      <c r="C358" s="78">
        <f>MouserListTable[[#This Row],['# Initial]]</f>
        <v>0</v>
      </c>
      <c r="D358" s="78" t="str">
        <f>MouserListTable[[#This Row],[Name]]</f>
        <v>Circuit Scribe Conductive Ink Pen</v>
      </c>
      <c r="E358" s="78">
        <f>MouserListTable[[#This Row],[Price (USD)]]</f>
        <v>19.95</v>
      </c>
      <c r="F358" s="78">
        <f>MouserListTable[[#This Row],[Total Price]]</f>
        <v>0</v>
      </c>
    </row>
    <row r="359" spans="1:6" s="104" customFormat="1" x14ac:dyDescent="0.25">
      <c r="A359" s="131">
        <f>IF(MouserOrderTable[[#This Row],[Qty.]]&gt;0,IF($A358="List #",1,$A358+1),IF($A358="List #",0,$A358))</f>
        <v>81</v>
      </c>
      <c r="B359" s="78" t="str">
        <f>MouserListTable[[#This Row],[SKU]]</f>
        <v>474-BOB-10467</v>
      </c>
      <c r="C359" s="78">
        <f>MouserListTable[[#This Row],['# Initial]]</f>
        <v>5</v>
      </c>
      <c r="D359" s="78" t="str">
        <f>MouserListTable[[#This Row],[Name]]</f>
        <v>LED Tactile Button Breakout</v>
      </c>
      <c r="E359" s="78">
        <f>MouserListTable[[#This Row],[Price (USD)]]</f>
        <v>1.5</v>
      </c>
      <c r="F359" s="78">
        <f>MouserListTable[[#This Row],[Total Price]]</f>
        <v>7.5</v>
      </c>
    </row>
    <row r="360" spans="1:6" s="104" customFormat="1" x14ac:dyDescent="0.25">
      <c r="A360" s="131">
        <f>IF(MouserOrderTable[[#This Row],[Qty.]]&gt;0,IF($A359="List #",1,$A359+1),IF($A359="List #",0,$A359))</f>
        <v>82</v>
      </c>
      <c r="B360" s="78" t="str">
        <f>MouserListTable[[#This Row],[SKU]]</f>
        <v>474-COM-10443</v>
      </c>
      <c r="C360" s="78">
        <f>MouserListTable[[#This Row],['# Initial]]</f>
        <v>5</v>
      </c>
      <c r="D360" s="78" t="str">
        <f>MouserListTable[[#This Row],[Name]]</f>
        <v>LED Tactile Button - Blue</v>
      </c>
      <c r="E360" s="78">
        <f>MouserListTable[[#This Row],[Price (USD)]]</f>
        <v>1.95</v>
      </c>
      <c r="F360" s="78">
        <f>MouserListTable[[#This Row],[Total Price]]</f>
        <v>9.75</v>
      </c>
    </row>
    <row r="361" spans="1:6" s="104" customFormat="1" x14ac:dyDescent="0.25">
      <c r="A361" s="131">
        <f>IF(MouserOrderTable[[#This Row],[Qty.]]&gt;0,IF($A360="List #",1,$A360+1),IF($A360="List #",0,$A360))</f>
        <v>83</v>
      </c>
      <c r="B361" s="78" t="str">
        <f>MouserListTable[[#This Row],[SKU]]</f>
        <v>474-COM-10440</v>
      </c>
      <c r="C361" s="78">
        <f>MouserListTable[[#This Row],['# Initial]]</f>
        <v>5</v>
      </c>
      <c r="D361" s="78" t="str">
        <f>MouserListTable[[#This Row],[Name]]</f>
        <v>LED Tactile Button - Green</v>
      </c>
      <c r="E361" s="78">
        <f>MouserListTable[[#This Row],[Price (USD)]]</f>
        <v>1.95</v>
      </c>
      <c r="F361" s="78">
        <f>MouserListTable[[#This Row],[Total Price]]</f>
        <v>9.75</v>
      </c>
    </row>
    <row r="362" spans="1:6" s="104" customFormat="1" x14ac:dyDescent="0.25">
      <c r="A362" s="131">
        <f>IF(MouserOrderTable[[#This Row],[Qty.]]&gt;0,IF($A361="List #",1,$A361+1),IF($A361="List #",0,$A361))</f>
        <v>84</v>
      </c>
      <c r="B362" s="78" t="str">
        <f>MouserListTable[[#This Row],[SKU]]</f>
        <v>474-COM-10442</v>
      </c>
      <c r="C362" s="78">
        <f>MouserListTable[[#This Row],['# Initial]]</f>
        <v>5</v>
      </c>
      <c r="D362" s="78" t="str">
        <f>MouserListTable[[#This Row],[Name]]</f>
        <v>LED Tactile Button - Red</v>
      </c>
      <c r="E362" s="78">
        <f>MouserListTable[[#This Row],[Price (USD)]]</f>
        <v>1.95</v>
      </c>
      <c r="F362" s="78">
        <f>MouserListTable[[#This Row],[Total Price]]</f>
        <v>9.75</v>
      </c>
    </row>
    <row r="363" spans="1:6" s="104" customFormat="1" x14ac:dyDescent="0.25">
      <c r="A363" s="131">
        <f>IF(MouserOrderTable[[#This Row],[Qty.]]&gt;0,IF($A362="List #",1,$A362+1),IF($A362="List #",0,$A362))</f>
        <v>84</v>
      </c>
      <c r="B363" s="78" t="str">
        <f>MouserListTable[[#This Row],[SKU]]</f>
        <v>474-COM-10441</v>
      </c>
      <c r="C363" s="78">
        <f>MouserListTable[[#This Row],['# Initial]]</f>
        <v>0</v>
      </c>
      <c r="D363" s="78" t="str">
        <f>MouserListTable[[#This Row],[Name]]</f>
        <v>LED Tactile Button - Orange</v>
      </c>
      <c r="E363" s="78">
        <f>MouserListTable[[#This Row],[Price (USD)]]</f>
        <v>1.95</v>
      </c>
      <c r="F363" s="78">
        <f>MouserListTable[[#This Row],[Total Price]]</f>
        <v>0</v>
      </c>
    </row>
    <row r="364" spans="1:6" s="104" customFormat="1" x14ac:dyDescent="0.25">
      <c r="A364" s="131">
        <f>IF(MouserOrderTable[[#This Row],[Qty.]]&gt;0,IF($A363="List #",1,$A363+1),IF($A363="List #",0,$A363))</f>
        <v>84</v>
      </c>
      <c r="B364" s="78" t="str">
        <f>MouserListTable[[#This Row],[SKU]]</f>
        <v>474-COM-10439</v>
      </c>
      <c r="C364" s="78">
        <f>MouserListTable[[#This Row],['# Initial]]</f>
        <v>0</v>
      </c>
      <c r="D364" s="78" t="str">
        <f>MouserListTable[[#This Row],[Name]]</f>
        <v>LED Tactile Button- White</v>
      </c>
      <c r="E364" s="78">
        <f>MouserListTable[[#This Row],[Price (USD)]]</f>
        <v>1.95</v>
      </c>
      <c r="F364" s="78">
        <f>MouserListTable[[#This Row],[Total Price]]</f>
        <v>0</v>
      </c>
    </row>
    <row r="365" spans="1:6" s="104" customFormat="1" x14ac:dyDescent="0.25">
      <c r="A365" s="131">
        <f>IF(MouserOrderTable[[#This Row],[Qty.]]&gt;0,IF($A364="List #",1,$A364+1),IF($A364="List #",0,$A364))</f>
        <v>84</v>
      </c>
      <c r="B365" s="78" t="str">
        <f>MouserListTable[[#This Row],[SKU]]</f>
        <v>485-1119</v>
      </c>
      <c r="C365" s="78">
        <f>MouserListTable[[#This Row],['# Initial]]</f>
        <v>0</v>
      </c>
      <c r="D365" s="78" t="str">
        <f>MouserListTable[[#This Row],[Name]]</f>
        <v xml:space="preserve">Tactile Switch Buttons (12mm square, 6mm tall) x 10 pack </v>
      </c>
      <c r="E365" s="78">
        <f>MouserListTable[[#This Row],[Price (USD)]]</f>
        <v>2.5</v>
      </c>
      <c r="F365" s="78">
        <f>MouserListTable[[#This Row],[Total Price]]</f>
        <v>0</v>
      </c>
    </row>
    <row r="366" spans="1:6" s="104" customFormat="1" x14ac:dyDescent="0.25">
      <c r="A366" s="131">
        <f>IF(MouserOrderTable[[#This Row],[Qty.]]&gt;0,IF($A365="List #",1,$A365+1),IF($A365="List #",0,$A365))</f>
        <v>85</v>
      </c>
      <c r="B366" s="78" t="str">
        <f>MouserListTable[[#This Row],[SKU]]</f>
        <v>474-COM-00097</v>
      </c>
      <c r="C366" s="78">
        <f>MouserListTable[[#This Row],['# Initial]]</f>
        <v>5</v>
      </c>
      <c r="D366" s="78" t="str">
        <f>MouserListTable[[#This Row],[Name]]</f>
        <v>Mini Pushbutton Switch</v>
      </c>
      <c r="E366" s="130">
        <f>MouserListTable[[#This Row],[Price (USD)]]</f>
        <v>0.35</v>
      </c>
      <c r="F366" s="130">
        <f>MouserListTable[[#This Row],[Total Price]]</f>
        <v>1.75</v>
      </c>
    </row>
    <row r="367" spans="1:6" s="104" customFormat="1" x14ac:dyDescent="0.25">
      <c r="A367" s="131">
        <f>IF(MouserOrderTable[[#This Row],[Qty.]]&gt;0,IF($A366="List #",1,$A366+1),IF($A366="List #",0,$A366))</f>
        <v>86</v>
      </c>
      <c r="B367" s="78" t="str">
        <f>MouserListTable[[#This Row],[SKU]]</f>
        <v>474-COM-08605</v>
      </c>
      <c r="C367" s="78">
        <f>MouserListTable[[#This Row],['# Initial]]</f>
        <v>5</v>
      </c>
      <c r="D367" s="78" t="str">
        <f>MouserListTable[[#This Row],[Name]]</f>
        <v>Mini Pushbutton Switch - Tall</v>
      </c>
      <c r="E367" s="130">
        <f>MouserListTable[[#This Row],[Price (USD)]]</f>
        <v>0.5</v>
      </c>
      <c r="F367" s="130">
        <f>MouserListTable[[#This Row],[Total Price]]</f>
        <v>2.5</v>
      </c>
    </row>
    <row r="368" spans="1:6" s="104" customFormat="1" x14ac:dyDescent="0.25">
      <c r="A368" s="131">
        <f>IF(MouserOrderTable[[#This Row],[Qty.]]&gt;0,IF($A367="List #",1,$A367+1),IF($A367="List #",0,$A367))</f>
        <v>87</v>
      </c>
      <c r="B368" s="78" t="str">
        <f>MouserListTable[[#This Row],[SKU]]</f>
        <v>474-COM-09190</v>
      </c>
      <c r="C368" s="78">
        <f>MouserListTable[[#This Row],['# Initial]]</f>
        <v>5</v>
      </c>
      <c r="D368" s="78" t="str">
        <f>MouserListTable[[#This Row],[Name]]</f>
        <v>Momentary Pushbutton Switch - 12mm Square</v>
      </c>
      <c r="E368" s="130">
        <f>MouserListTable[[#This Row],[Price (USD)]]</f>
        <v>0.5</v>
      </c>
      <c r="F368" s="130">
        <f>MouserListTable[[#This Row],[Total Price]]</f>
        <v>2.5</v>
      </c>
    </row>
    <row r="369" spans="1:6" s="104" customFormat="1" x14ac:dyDescent="0.25">
      <c r="A369" s="131">
        <f>IF(MouserOrderTable[[#This Row],[Qty.]]&gt;0,IF($A368="List #",1,$A368+1),IF($A368="List #",0,$A368))</f>
        <v>87</v>
      </c>
      <c r="B369" s="78" t="str">
        <f>MouserListTable[[#This Row],[SKU]]</f>
        <v>485-3105</v>
      </c>
      <c r="C369" s="78">
        <f>MouserListTable[[#This Row],['# Initial]]</f>
        <v>0</v>
      </c>
      <c r="D369" s="78" t="str">
        <f>MouserListTable[[#This Row],[Name]]</f>
        <v xml:space="preserve">Mini Illuminated Momentary Pushbutton - Blue Power Symbol </v>
      </c>
      <c r="E369" s="130">
        <f>MouserListTable[[#This Row],[Price (USD)]]</f>
        <v>1.95</v>
      </c>
      <c r="F369" s="130">
        <f>MouserListTable[[#This Row],[Total Price]]</f>
        <v>0</v>
      </c>
    </row>
    <row r="370" spans="1:6" s="104" customFormat="1" x14ac:dyDescent="0.25">
      <c r="A370" s="131">
        <f>IF(MouserOrderTable[[#This Row],[Qty.]]&gt;0,IF($A369="List #",1,$A369+1),IF($A369="List #",0,$A369))</f>
        <v>87</v>
      </c>
      <c r="B370" s="78" t="str">
        <f>MouserListTable[[#This Row],[SKU]]</f>
        <v>485-3104</v>
      </c>
      <c r="C370" s="78">
        <f>MouserListTable[[#This Row],['# Initial]]</f>
        <v>0</v>
      </c>
      <c r="D370" s="78" t="str">
        <f>MouserListTable[[#This Row],[Name]]</f>
        <v>Mini Illuminated Momentary Pushbutton - Red Power Symbol</v>
      </c>
      <c r="E370" s="130">
        <f>MouserListTable[[#This Row],[Price (USD)]]</f>
        <v>1.95</v>
      </c>
      <c r="F370" s="130">
        <f>MouserListTable[[#This Row],[Total Price]]</f>
        <v>0</v>
      </c>
    </row>
    <row r="371" spans="1:6" s="104" customFormat="1" x14ac:dyDescent="0.25">
      <c r="A371" s="131">
        <f>IF(MouserOrderTable[[#This Row],[Qty.]]&gt;0,IF($A370="List #",1,$A370+1),IF($A370="List #",0,$A370))</f>
        <v>88</v>
      </c>
      <c r="B371" s="78" t="str">
        <f>MouserListTable[[#This Row],[SKU]]</f>
        <v>474-COM-10791</v>
      </c>
      <c r="C371" s="78">
        <f>MouserListTable[[#This Row],['# Initial]]</f>
        <v>5</v>
      </c>
      <c r="D371" s="78" t="str">
        <f>MouserListTable[[#This Row],[Name]]</f>
        <v>Right Angle Tactile Button</v>
      </c>
      <c r="E371" s="130">
        <f>MouserListTable[[#This Row],[Price (USD)]]</f>
        <v>0.5</v>
      </c>
      <c r="F371" s="130">
        <f>MouserListTable[[#This Row],[Total Price]]</f>
        <v>2.5</v>
      </c>
    </row>
    <row r="372" spans="1:6" s="106" customFormat="1" x14ac:dyDescent="0.25">
      <c r="A372" s="131">
        <f>IF(MouserOrderTable[[#This Row],[Qty.]]&gt;0,IF($A371="List #",1,$A371+1),IF($A371="List #",0,$A371))</f>
        <v>89</v>
      </c>
      <c r="B372" s="78" t="str">
        <f>MouserListTable[[#This Row],[SKU]]</f>
        <v>474-COM-08837</v>
      </c>
      <c r="C372" s="78">
        <f>MouserListTable[[#This Row],['# Initial]]</f>
        <v>5</v>
      </c>
      <c r="D372" s="78" t="str">
        <f>MouserListTable[[#This Row],[Name]]</f>
        <v>Rocker Switch - SPST (right-angle)</v>
      </c>
      <c r="E372" s="130">
        <f>MouserListTable[[#This Row],[Price (USD)]]</f>
        <v>0.95</v>
      </c>
      <c r="F372" s="130">
        <f>MouserListTable[[#This Row],[Total Price]]</f>
        <v>4.75</v>
      </c>
    </row>
    <row r="373" spans="1:6" s="106" customFormat="1" x14ac:dyDescent="0.25">
      <c r="A373" s="131">
        <f>IF(MouserOrderTable[[#This Row],[Qty.]]&gt;0,IF($A372="List #",1,$A372+1),IF($A372="List #",0,$A372))</f>
        <v>90</v>
      </c>
      <c r="B373" s="78" t="str">
        <f>MouserListTable[[#This Row],[SKU]]</f>
        <v>474-COM-00102</v>
      </c>
      <c r="C373" s="78">
        <f>MouserListTable[[#This Row],['# Initial]]</f>
        <v>5</v>
      </c>
      <c r="D373" s="78" t="str">
        <f>MouserListTable[[#This Row],[Name]]</f>
        <v xml:space="preserve">Mini Power Switch - SPDT </v>
      </c>
      <c r="E373" s="78">
        <f>MouserListTable[[#This Row],[Price (USD)]]</f>
        <v>1.5</v>
      </c>
      <c r="F373" s="78">
        <f>MouserListTable[[#This Row],[Total Price]]</f>
        <v>7.5</v>
      </c>
    </row>
    <row r="374" spans="1:6" s="106" customFormat="1" x14ac:dyDescent="0.25">
      <c r="A374" s="131">
        <f>IF(MouserOrderTable[[#This Row],[Qty.]]&gt;0,IF($A373="List #",1,$A373+1),IF($A373="List #",0,$A373))</f>
        <v>90</v>
      </c>
      <c r="B374" s="78" t="str">
        <f>MouserListTable[[#This Row],[SKU]]</f>
        <v>474-COM-09609</v>
      </c>
      <c r="C374" s="78">
        <f>MouserListTable[[#This Row],['# Initial]]</f>
        <v>0</v>
      </c>
      <c r="D374" s="78" t="str">
        <f>MouserListTable[[#This Row],[Name]]</f>
        <v>SPDT Slide Switch</v>
      </c>
      <c r="E374" s="130">
        <f>MouserListTable[[#This Row],[Price (USD)]]</f>
        <v>0.75</v>
      </c>
      <c r="F374" s="130">
        <f>MouserListTable[[#This Row],[Total Price]]</f>
        <v>0</v>
      </c>
    </row>
    <row r="375" spans="1:6" s="106" customFormat="1" x14ac:dyDescent="0.25">
      <c r="A375" s="131">
        <f>IF(MouserOrderTable[[#This Row],[Qty.]]&gt;0,IF($A374="List #",1,$A374+1),IF($A374="List #",0,$A374))</f>
        <v>90</v>
      </c>
      <c r="B375" s="78" t="str">
        <f>MouserListTable[[#This Row],[SKU]]</f>
        <v>474-COM-13834</v>
      </c>
      <c r="C375" s="78">
        <f>MouserListTable[[#This Row],['# Initial]]</f>
        <v>0</v>
      </c>
      <c r="D375" s="78" t="str">
        <f>MouserListTable[[#This Row],[Name]]</f>
        <v>Cherry MX Switch</v>
      </c>
      <c r="E375" s="130">
        <f>MouserListTable[[#This Row],[Price (USD)]]</f>
        <v>0.95</v>
      </c>
      <c r="F375" s="130">
        <f>MouserListTable[[#This Row],[Total Price]]</f>
        <v>0</v>
      </c>
    </row>
    <row r="376" spans="1:6" s="106" customFormat="1" x14ac:dyDescent="0.25">
      <c r="A376" s="131">
        <f>IF(MouserOrderTable[[#This Row],[Qty.]]&gt;0,IF($A375="List #",1,$A375+1),IF($A375="List #",0,$A375))</f>
        <v>90</v>
      </c>
      <c r="B376" s="78" t="str">
        <f>MouserListTable[[#This Row],[SKU]]</f>
        <v>474-COM-10063</v>
      </c>
      <c r="C376" s="78">
        <f>MouserListTable[[#This Row],['# Initial]]</f>
        <v>0</v>
      </c>
      <c r="D376" s="78" t="str">
        <f>MouserListTable[[#This Row],[Name]]</f>
        <v>5-way Tactile Switch</v>
      </c>
      <c r="E376" s="78">
        <f>MouserListTable[[#This Row],[Price (USD)]]</f>
        <v>1.95</v>
      </c>
      <c r="F376" s="78">
        <f>MouserListTable[[#This Row],[Total Price]]</f>
        <v>0</v>
      </c>
    </row>
    <row r="377" spans="1:6" s="106" customFormat="1" x14ac:dyDescent="0.25">
      <c r="A377" s="131">
        <f>IF(MouserOrderTable[[#This Row],[Qty.]]&gt;0,IF($A376="List #",1,$A376+1),IF($A376="List #",0,$A376))</f>
        <v>90</v>
      </c>
      <c r="B377" s="78" t="str">
        <f>MouserListTable[[#This Row],[SKU]]</f>
        <v>474-COM-09426</v>
      </c>
      <c r="C377" s="78">
        <f>MouserListTable[[#This Row],['# Initial]]</f>
        <v>0</v>
      </c>
      <c r="D377" s="78" t="str">
        <f>MouserListTable[[#This Row],[Name]]</f>
        <v>Thumb Slide Joystick</v>
      </c>
      <c r="E377" s="78">
        <f>MouserListTable[[#This Row],[Price (USD)]]</f>
        <v>3.5</v>
      </c>
      <c r="F377" s="78">
        <f>MouserListTable[[#This Row],[Total Price]]</f>
        <v>0</v>
      </c>
    </row>
    <row r="378" spans="1:6" s="104" customFormat="1" x14ac:dyDescent="0.25">
      <c r="A378" s="131">
        <f>IF(MouserOrderTable[[#This Row],[Qty.]]&gt;0,IF($A377="List #",1,$A377+1),IF($A377="List #",0,$A377))</f>
        <v>90</v>
      </c>
      <c r="B378" s="78" t="str">
        <f>MouserListTable[[#This Row],[SKU]]</f>
        <v>474-COM-10002</v>
      </c>
      <c r="C378" s="78">
        <f>MouserListTable[[#This Row],['# Initial]]</f>
        <v>0</v>
      </c>
      <c r="D378" s="78" t="str">
        <f>MouserListTable[[#This Row],[Name]]</f>
        <v>Black Metal Knob - 14x24mm</v>
      </c>
      <c r="E378" s="78">
        <f>MouserListTable[[#This Row],[Price (USD)]]</f>
        <v>1.5</v>
      </c>
      <c r="F378" s="78">
        <f>MouserListTable[[#This Row],[Total Price]]</f>
        <v>0</v>
      </c>
    </row>
    <row r="379" spans="1:6" s="104" customFormat="1" x14ac:dyDescent="0.25">
      <c r="A379" s="131">
        <f>IF(MouserOrderTable[[#This Row],[Qty.]]&gt;0,IF($A378="List #",1,$A378+1),IF($A378="List #",0,$A378))</f>
        <v>90</v>
      </c>
      <c r="B379" s="78" t="str">
        <f>MouserListTable[[#This Row],[SKU]]</f>
        <v>474-COM-10001</v>
      </c>
      <c r="C379" s="78">
        <f>MouserListTable[[#This Row],['# Initial]]</f>
        <v>0</v>
      </c>
      <c r="D379" s="78" t="str">
        <f>MouserListTable[[#This Row],[Name]]</f>
        <v>Silver Metal Knob - 14x24mm</v>
      </c>
      <c r="E379" s="130">
        <f>MouserListTable[[#This Row],[Price (USD)]]</f>
        <v>1.5</v>
      </c>
      <c r="F379" s="130">
        <f>MouserListTable[[#This Row],[Total Price]]</f>
        <v>0</v>
      </c>
    </row>
    <row r="380" spans="1:6" s="104" customFormat="1" x14ac:dyDescent="0.25">
      <c r="A380" s="131">
        <f>IF(MouserOrderTable[[#This Row],[Qty.]]&gt;0,IF($A379="List #",1,$A379+1),IF($A379="List #",0,$A379))</f>
        <v>91</v>
      </c>
      <c r="B380" s="78" t="str">
        <f>MouserListTable[[#This Row],[SKU]]</f>
        <v>485-2047</v>
      </c>
      <c r="C380" s="78">
        <f>MouserListTable[[#This Row],['# Initial]]</f>
        <v>10</v>
      </c>
      <c r="D380" s="78" t="str">
        <f>MouserListTable[[#This Row],[Name]]</f>
        <v xml:space="preserve">Potentiometer Knob - Soft Touch T18 - White </v>
      </c>
      <c r="E380" s="78">
        <f>MouserListTable[[#This Row],[Price (USD)]]</f>
        <v>0.5</v>
      </c>
      <c r="F380" s="78">
        <f>MouserListTable[[#This Row],[Total Price]]</f>
        <v>5</v>
      </c>
    </row>
    <row r="381" spans="1:6" s="104" customFormat="1" x14ac:dyDescent="0.25">
      <c r="A381" s="131">
        <f>IF(MouserOrderTable[[#This Row],[Qty.]]&gt;0,IF($A380="List #",1,$A380+1),IF($A380="List #",0,$A380))</f>
        <v>91</v>
      </c>
      <c r="B381" s="78" t="str">
        <f>MouserListTable[[#This Row],[SKU]]</f>
        <v>485-2055</v>
      </c>
      <c r="C381" s="78">
        <f>MouserListTable[[#This Row],['# Initial]]</f>
        <v>0</v>
      </c>
      <c r="D381" s="78" t="str">
        <f>MouserListTable[[#This Row],[Name]]</f>
        <v xml:space="preserve">Scrubber Knob for Rotary Encoder - 35mm </v>
      </c>
      <c r="E381" s="78">
        <f>MouserListTable[[#This Row],[Price (USD)]]</f>
        <v>0.95</v>
      </c>
      <c r="F381" s="78">
        <f>MouserListTable[[#This Row],[Total Price]]</f>
        <v>0</v>
      </c>
    </row>
    <row r="382" spans="1:6" s="104" customFormat="1" x14ac:dyDescent="0.25">
      <c r="A382" s="131">
        <f>IF(MouserOrderTable[[#This Row],[Qty.]]&gt;0,IF($A381="List #",1,$A381+1),IF($A381="List #",0,$A381))</f>
        <v>91</v>
      </c>
      <c r="B382" s="78" t="str">
        <f>MouserListTable[[#This Row],[SKU]]</f>
        <v>485-2058</v>
      </c>
      <c r="C382" s="78">
        <f>MouserListTable[[#This Row],['# Initial]]</f>
        <v>0</v>
      </c>
      <c r="D382" s="78" t="str">
        <f>MouserListTable[[#This Row],[Name]]</f>
        <v xml:space="preserve">Slim Metal Potentiometer Knob - 10mm Diameter x 10mm - T18 </v>
      </c>
      <c r="E382" s="78">
        <f>MouserListTable[[#This Row],[Price (USD)]]</f>
        <v>0.95</v>
      </c>
      <c r="F382" s="78">
        <f>MouserListTable[[#This Row],[Total Price]]</f>
        <v>0</v>
      </c>
    </row>
    <row r="383" spans="1:6" s="104" customFormat="1" x14ac:dyDescent="0.25">
      <c r="A383" s="131">
        <f>IF(MouserOrderTable[[#This Row],[Qty.]]&gt;0,IF($A382="List #",1,$A382+1),IF($A382="List #",0,$A382))</f>
        <v>91</v>
      </c>
      <c r="B383" s="78" t="str">
        <f>MouserListTable[[#This Row],[SKU]]</f>
        <v>485-2056</v>
      </c>
      <c r="C383" s="78">
        <f>MouserListTable[[#This Row],['# Initial]]</f>
        <v>0</v>
      </c>
      <c r="D383" s="78" t="str">
        <f>MouserListTable[[#This Row],[Name]]</f>
        <v xml:space="preserve">Solid Machined Metal Knob - 1" Diameter </v>
      </c>
      <c r="E383" s="78">
        <f>MouserListTable[[#This Row],[Price (USD)]]</f>
        <v>3.95</v>
      </c>
      <c r="F383" s="78">
        <f>MouserListTable[[#This Row],[Total Price]]</f>
        <v>0</v>
      </c>
    </row>
    <row r="384" spans="1:6" s="104" customFormat="1" x14ac:dyDescent="0.25">
      <c r="A384" s="131">
        <f>IF(MouserOrderTable[[#This Row],[Qty.]]&gt;0,IF($A383="List #",1,$A383+1),IF($A383="List #",0,$A383))</f>
        <v>91</v>
      </c>
      <c r="B384" s="78" t="str">
        <f>MouserListTable[[#This Row],[SKU]]</f>
        <v>485-2103</v>
      </c>
      <c r="C384" s="78">
        <f>MouserListTable[[#This Row],['# Initial]]</f>
        <v>0</v>
      </c>
      <c r="D384" s="78" t="str">
        <f>MouserListTable[[#This Row],[Name]]</f>
        <v xml:space="preserve">IDC Breakout Helper - 2x16 (32 pin) </v>
      </c>
      <c r="E384" s="130">
        <f>MouserListTable[[#This Row],[Price (USD)]]</f>
        <v>1.95</v>
      </c>
      <c r="F384" s="130">
        <f>MouserListTable[[#This Row],[Total Price]]</f>
        <v>0</v>
      </c>
    </row>
    <row r="385" spans="1:6" s="104" customFormat="1" x14ac:dyDescent="0.25">
      <c r="A385" s="131">
        <f>IF(MouserOrderTable[[#This Row],[Qty.]]&gt;0,IF($A384="List #",1,$A384+1),IF($A384="List #",0,$A384))</f>
        <v>91</v>
      </c>
      <c r="B385" s="78" t="str">
        <f>MouserListTable[[#This Row],[SKU]]</f>
        <v>485-2270</v>
      </c>
      <c r="C385" s="78">
        <f>MouserListTable[[#This Row],['# Initial]]</f>
        <v>0</v>
      </c>
      <c r="D385" s="78" t="str">
        <f>MouserListTable[[#This Row],[Name]]</f>
        <v>IDC Breakout Helper - 2x20 (40 pin)</v>
      </c>
      <c r="E385" s="130">
        <f>MouserListTable[[#This Row],[Price (USD)]]</f>
        <v>2.25</v>
      </c>
      <c r="F385" s="130">
        <f>MouserListTable[[#This Row],[Total Price]]</f>
        <v>0</v>
      </c>
    </row>
    <row r="386" spans="1:6" s="104" customFormat="1" x14ac:dyDescent="0.25">
      <c r="A386" s="131">
        <f>IF(MouserOrderTable[[#This Row],[Qty.]]&gt;0,IF($A385="List #",1,$A385+1),IF($A385="List #",0,$A385))</f>
        <v>92</v>
      </c>
      <c r="B386" s="78" t="str">
        <f>MouserListTable[[#This Row],[SKU]]</f>
        <v>485-2102</v>
      </c>
      <c r="C386" s="78">
        <f>MouserListTable[[#This Row],['# Initial]]</f>
        <v>10</v>
      </c>
      <c r="D386" s="78" t="str">
        <f>MouserListTable[[#This Row],[Name]]</f>
        <v>IDC Breakout Helper - 2x5 (10 pin)</v>
      </c>
      <c r="E386" s="78">
        <f>MouserListTable[[#This Row],[Price (USD)]]</f>
        <v>0.95</v>
      </c>
      <c r="F386" s="78">
        <f>MouserListTable[[#This Row],[Total Price]]</f>
        <v>9.5</v>
      </c>
    </row>
    <row r="387" spans="1:6" s="106" customFormat="1" x14ac:dyDescent="0.25">
      <c r="A387" s="131">
        <f>IF(MouserOrderTable[[#This Row],[Qty.]]&gt;0,IF($A386="List #",1,$A386+1),IF($A386="List #",0,$A386))</f>
        <v>93</v>
      </c>
      <c r="B387" s="78" t="str">
        <f>MouserListTable[[#This Row],[SKU]]</f>
        <v>474-PRT-09749</v>
      </c>
      <c r="C387" s="78">
        <f>MouserListTable[[#This Row],['# Initial]]</f>
        <v>10</v>
      </c>
      <c r="D387" s="78" t="str">
        <f>MouserListTable[[#This Row],[Name]]</f>
        <v>JST Right-Angle Connector - Through-Hole 2-Pin</v>
      </c>
      <c r="E387" s="130">
        <f>MouserListTable[[#This Row],[Price (USD)]]</f>
        <v>0.95</v>
      </c>
      <c r="F387" s="130">
        <f>MouserListTable[[#This Row],[Total Price]]</f>
        <v>9.5</v>
      </c>
    </row>
    <row r="388" spans="1:6" s="106" customFormat="1" x14ac:dyDescent="0.25">
      <c r="A388" s="131">
        <f>IF(MouserOrderTable[[#This Row],[Qty.]]&gt;0,IF($A387="List #",1,$A387+1),IF($A387="List #",0,$A387))</f>
        <v>94</v>
      </c>
      <c r="B388" s="78" t="str">
        <f>MouserListTable[[#This Row],[SKU]]</f>
        <v>474-PRT-09750</v>
      </c>
      <c r="C388" s="78">
        <f>MouserListTable[[#This Row],['# Initial]]</f>
        <v>5</v>
      </c>
      <c r="D388" s="78" t="str">
        <f>MouserListTable[[#This Row],[Name]]</f>
        <v>JST Right Angle Connector - Through-Hole 3-Pin</v>
      </c>
      <c r="E388" s="78">
        <f>MouserListTable[[#This Row],[Price (USD)]]</f>
        <v>0.95</v>
      </c>
      <c r="F388" s="78">
        <f>MouserListTable[[#This Row],[Total Price]]</f>
        <v>4.75</v>
      </c>
    </row>
    <row r="389" spans="1:6" s="106" customFormat="1" x14ac:dyDescent="0.25">
      <c r="A389" s="131">
        <f>IF(MouserOrderTable[[#This Row],[Qty.]]&gt;0,IF($A388="List #",1,$A388+1),IF($A388="List #",0,$A388))</f>
        <v>94</v>
      </c>
      <c r="B389" s="78" t="str">
        <f>MouserListTable[[#This Row],[SKU]]</f>
        <v>474-PRT-10501</v>
      </c>
      <c r="C389" s="78">
        <f>MouserListTable[[#This Row],['# Initial]]</f>
        <v>0</v>
      </c>
      <c r="D389" s="78" t="str">
        <f>MouserListTable[[#This Row],[Name]]</f>
        <v>JST RCY Connector - Male/Female Set (2-pin)</v>
      </c>
      <c r="E389" s="130">
        <f>MouserListTable[[#This Row],[Price (USD)]]</f>
        <v>0.5</v>
      </c>
      <c r="F389" s="130">
        <f>MouserListTable[[#This Row],[Total Price]]</f>
        <v>0</v>
      </c>
    </row>
    <row r="390" spans="1:6" s="106" customFormat="1" x14ac:dyDescent="0.25">
      <c r="A390" s="131">
        <f>IF(MouserOrderTable[[#This Row],[Qty.]]&gt;0,IF($A389="List #",1,$A389+1),IF($A389="List #",0,$A389))</f>
        <v>94</v>
      </c>
      <c r="B390" s="78" t="str">
        <f>MouserListTable[[#This Row],[SKU]]</f>
        <v>474-PRT-08612</v>
      </c>
      <c r="C390" s="78">
        <f>MouserListTable[[#This Row],['# Initial]]</f>
        <v>0</v>
      </c>
      <c r="D390" s="78" t="str">
        <f>MouserListTable[[#This Row],[Name]]</f>
        <v>JST Right Angle Connector - White</v>
      </c>
      <c r="E390" s="78">
        <f>MouserListTable[[#This Row],[Price (USD)]]</f>
        <v>0.95</v>
      </c>
      <c r="F390" s="78">
        <f>MouserListTable[[#This Row],[Total Price]]</f>
        <v>0</v>
      </c>
    </row>
    <row r="391" spans="1:6" s="106" customFormat="1" x14ac:dyDescent="0.25">
      <c r="A391" s="131">
        <f>IF(MouserOrderTable[[#This Row],[Qty.]]&gt;0,IF($A390="List #",1,$A390+1),IF($A390="List #",0,$A390))</f>
        <v>94</v>
      </c>
      <c r="B391" s="78" t="str">
        <f>MouserListTable[[#This Row],[SKU]]</f>
        <v>474-PRT-08613</v>
      </c>
      <c r="C391" s="78">
        <f>MouserListTable[[#This Row],['# Initial]]</f>
        <v>0</v>
      </c>
      <c r="D391" s="78" t="str">
        <f>MouserListTable[[#This Row],[Name]]</f>
        <v>JST Vertical Connector</v>
      </c>
      <c r="E391" s="78">
        <f>MouserListTable[[#This Row],[Price (USD)]]</f>
        <v>0.95</v>
      </c>
      <c r="F391" s="78">
        <f>MouserListTable[[#This Row],[Total Price]]</f>
        <v>0</v>
      </c>
    </row>
    <row r="392" spans="1:6" s="106" customFormat="1" x14ac:dyDescent="0.25">
      <c r="A392" s="131">
        <f>IF(MouserOrderTable[[#This Row],[Qty.]]&gt;0,IF($A391="List #",1,$A391+1),IF($A391="List #",0,$A391))</f>
        <v>94</v>
      </c>
      <c r="B392" s="78" t="str">
        <f>MouserListTable[[#This Row],[SKU]]</f>
        <v>485-1862</v>
      </c>
      <c r="C392" s="78">
        <f>MouserListTable[[#This Row],['# Initial]]</f>
        <v>0</v>
      </c>
      <c r="D392" s="78" t="str">
        <f>MouserListTable[[#This Row],[Name]]</f>
        <v xml:space="preserve">JST-PH 2-Pin SMT Right Angle Breakout Board </v>
      </c>
      <c r="E392" s="78">
        <f>MouserListTable[[#This Row],[Price (USD)]]</f>
        <v>1.5</v>
      </c>
      <c r="F392" s="78">
        <f>MouserListTable[[#This Row],[Total Price]]</f>
        <v>0</v>
      </c>
    </row>
    <row r="393" spans="1:6" s="106" customFormat="1" x14ac:dyDescent="0.25">
      <c r="A393" s="131">
        <f>IF(MouserOrderTable[[#This Row],[Qty.]]&gt;0,IF($A392="List #",1,$A392+1),IF($A392="List #",0,$A392))</f>
        <v>94</v>
      </c>
      <c r="B393" s="78" t="str">
        <f>MouserListTable[[#This Row],[SKU]]</f>
        <v>485-1769</v>
      </c>
      <c r="C393" s="78">
        <f>MouserListTable[[#This Row],['# Initial]]</f>
        <v>0</v>
      </c>
      <c r="D393" s="78" t="str">
        <f>MouserListTable[[#This Row],[Name]]</f>
        <v xml:space="preserve">JST-PH 2-Pin SMT Right Angle Connector </v>
      </c>
      <c r="E393" s="78">
        <f>MouserListTable[[#This Row],[Price (USD)]]</f>
        <v>0.75</v>
      </c>
      <c r="F393" s="78">
        <f>MouserListTable[[#This Row],[Total Price]]</f>
        <v>0</v>
      </c>
    </row>
    <row r="394" spans="1:6" s="106" customFormat="1" x14ac:dyDescent="0.25">
      <c r="A394" s="131">
        <f>IF(MouserOrderTable[[#This Row],[Qty.]]&gt;0,IF($A393="List #",1,$A393+1),IF($A393="List #",0,$A393))</f>
        <v>94</v>
      </c>
      <c r="B394" s="78" t="str">
        <f>MouserListTable[[#This Row],[SKU]]</f>
        <v>485-1863</v>
      </c>
      <c r="C394" s="78">
        <f>MouserListTable[[#This Row],['# Initial]]</f>
        <v>0</v>
      </c>
      <c r="D394" s="78" t="str">
        <f>MouserListTable[[#This Row],[Name]]</f>
        <v xml:space="preserve">Switched JST-PH 2-Pin SMT Right Angle Breakout Board </v>
      </c>
      <c r="E394" s="78">
        <f>MouserListTable[[#This Row],[Price (USD)]]</f>
        <v>2.5</v>
      </c>
      <c r="F394" s="78">
        <f>MouserListTable[[#This Row],[Total Price]]</f>
        <v>0</v>
      </c>
    </row>
    <row r="395" spans="1:6" s="106" customFormat="1" x14ac:dyDescent="0.25">
      <c r="A395" s="131">
        <f>IF(MouserOrderTable[[#This Row],[Qty.]]&gt;0,IF($A394="List #",1,$A394+1),IF($A394="List #",0,$A394))</f>
        <v>94</v>
      </c>
      <c r="B395" s="78" t="str">
        <f>MouserListTable[[#This Row],[SKU]]</f>
        <v>474-PRT-08233</v>
      </c>
      <c r="C395" s="78">
        <f>MouserListTable[[#This Row],['# Initial]]</f>
        <v>0</v>
      </c>
      <c r="D395" s="78" t="str">
        <f>MouserListTable[[#This Row],[Name]]</f>
        <v>Polarized Connectors - Header (2-Pin)</v>
      </c>
      <c r="E395" s="78">
        <f>MouserListTable[[#This Row],[Price (USD)]]</f>
        <v>0.45</v>
      </c>
      <c r="F395" s="78">
        <f>MouserListTable[[#This Row],[Total Price]]</f>
        <v>0</v>
      </c>
    </row>
    <row r="396" spans="1:6" s="106" customFormat="1" x14ac:dyDescent="0.25">
      <c r="A396" s="131">
        <f>IF(MouserOrderTable[[#This Row],[Qty.]]&gt;0,IF($A395="List #",1,$A395+1),IF($A395="List #",0,$A395))</f>
        <v>94</v>
      </c>
      <c r="B396" s="78" t="str">
        <f>MouserListTable[[#This Row],[SKU]]</f>
        <v>474-PRT-08095</v>
      </c>
      <c r="C396" s="78">
        <f>MouserListTable[[#This Row],['# Initial]]</f>
        <v>0</v>
      </c>
      <c r="D396" s="78" t="str">
        <f>MouserListTable[[#This Row],[Name]]</f>
        <v>Polarized Connectors - Housing (2-Pin)</v>
      </c>
      <c r="E396" s="130">
        <f>MouserListTable[[#This Row],[Price (USD)]]</f>
        <v>0.45</v>
      </c>
      <c r="F396" s="130">
        <f>MouserListTable[[#This Row],[Total Price]]</f>
        <v>0</v>
      </c>
    </row>
    <row r="397" spans="1:6" s="106" customFormat="1" x14ac:dyDescent="0.25">
      <c r="A397" s="131">
        <f>IF(MouserOrderTable[[#This Row],[Qty.]]&gt;0,IF($A396="List #",1,$A396+1),IF($A396="List #",0,$A396))</f>
        <v>95</v>
      </c>
      <c r="B397" s="78" t="str">
        <f>MouserListTable[[#This Row],[SKU]]</f>
        <v>474-PRT-08232</v>
      </c>
      <c r="C397" s="78">
        <f>MouserListTable[[#This Row],['# Initial]]</f>
        <v>16</v>
      </c>
      <c r="D397" s="78" t="str">
        <f>MouserListTable[[#This Row],[Name]]</f>
        <v>Polarized Connectors - Header (3-Pin)</v>
      </c>
      <c r="E397" s="130">
        <f>MouserListTable[[#This Row],[Price (USD)]]</f>
        <v>0.45</v>
      </c>
      <c r="F397" s="130">
        <f>MouserListTable[[#This Row],[Total Price]]</f>
        <v>7.2</v>
      </c>
    </row>
    <row r="398" spans="1:6" s="106" customFormat="1" x14ac:dyDescent="0.25">
      <c r="A398" s="131">
        <f>IF(MouserOrderTable[[#This Row],[Qty.]]&gt;0,IF($A397="List #",1,$A397+1),IF($A397="List #",0,$A397))</f>
        <v>96</v>
      </c>
      <c r="B398" s="78" t="str">
        <f>MouserListTable[[#This Row],[SKU]]</f>
        <v>474-PRT-08096</v>
      </c>
      <c r="C398" s="78">
        <f>MouserListTable[[#This Row],['# Initial]]</f>
        <v>16</v>
      </c>
      <c r="D398" s="78" t="str">
        <f>MouserListTable[[#This Row],[Name]]</f>
        <v>Polarized Connectors - Housing (3-Pin)</v>
      </c>
      <c r="E398" s="130">
        <f>MouserListTable[[#This Row],[Price (USD)]]</f>
        <v>0.45</v>
      </c>
      <c r="F398" s="130">
        <f>MouserListTable[[#This Row],[Total Price]]</f>
        <v>7.2</v>
      </c>
    </row>
    <row r="399" spans="1:6" s="106" customFormat="1" x14ac:dyDescent="0.25">
      <c r="A399" s="131">
        <f>IF(MouserOrderTable[[#This Row],[Qty.]]&gt;0,IF($A398="List #",1,$A398+1),IF($A398="List #",0,$A398))</f>
        <v>97</v>
      </c>
      <c r="B399" s="78" t="str">
        <f>MouserListTable[[#This Row],[SKU]]</f>
        <v>474-PRT-08231</v>
      </c>
      <c r="C399" s="78">
        <f>MouserListTable[[#This Row],['# Initial]]</f>
        <v>16</v>
      </c>
      <c r="D399" s="78" t="str">
        <f>MouserListTable[[#This Row],[Name]]</f>
        <v>Polarized Connectors - Header (4-Pin)</v>
      </c>
      <c r="E399" s="78">
        <f>MouserListTable[[#This Row],[Price (USD)]]</f>
        <v>0.45</v>
      </c>
      <c r="F399" s="78">
        <f>MouserListTable[[#This Row],[Total Price]]</f>
        <v>7.2</v>
      </c>
    </row>
    <row r="400" spans="1:6" s="106" customFormat="1" x14ac:dyDescent="0.25">
      <c r="A400" s="131">
        <f>IF(MouserOrderTable[[#This Row],[Qty.]]&gt;0,IF($A399="List #",1,$A399+1),IF($A399="List #",0,$A399))</f>
        <v>98</v>
      </c>
      <c r="B400" s="78" t="str">
        <f>MouserListTable[[#This Row],[SKU]]</f>
        <v>474-PRT-08097</v>
      </c>
      <c r="C400" s="78">
        <f>MouserListTable[[#This Row],['# Initial]]</f>
        <v>16</v>
      </c>
      <c r="D400" s="78" t="str">
        <f>MouserListTable[[#This Row],[Name]]</f>
        <v>Polarized Connectors - Housing (4-Pin)</v>
      </c>
      <c r="E400" s="78">
        <f>MouserListTable[[#This Row],[Price (USD)]]</f>
        <v>0.45</v>
      </c>
      <c r="F400" s="78">
        <f>MouserListTable[[#This Row],[Total Price]]</f>
        <v>7.2</v>
      </c>
    </row>
    <row r="401" spans="1:6" s="106" customFormat="1" x14ac:dyDescent="0.25">
      <c r="A401" s="131">
        <f>IF(MouserOrderTable[[#This Row],[Qty.]]&gt;0,IF($A400="List #",1,$A400+1),IF($A400="List #",0,$A400))</f>
        <v>99</v>
      </c>
      <c r="B401" s="78" t="str">
        <f>MouserListTable[[#This Row],[SKU]]</f>
        <v>474-PRT-08100</v>
      </c>
      <c r="C401" s="78">
        <f>MouserListTable[[#This Row],['# Initial]]</f>
        <v>16</v>
      </c>
      <c r="D401" s="78" t="str">
        <f>MouserListTable[[#This Row],[Name]]</f>
        <v>Polarized Connectors - Crimp Pins</v>
      </c>
      <c r="E401" s="130">
        <f>MouserListTable[[#This Row],[Price (USD)]]</f>
        <v>1.95</v>
      </c>
      <c r="F401" s="130">
        <f>MouserListTable[[#This Row],[Total Price]]</f>
        <v>31.2</v>
      </c>
    </row>
    <row r="402" spans="1:6" s="106" customFormat="1" x14ac:dyDescent="0.25">
      <c r="A402" s="131">
        <f>IF(MouserOrderTable[[#This Row],[Qty.]]&gt;0,IF($A401="List #",1,$A401+1),IF($A401="List #",0,$A401))</f>
        <v>100</v>
      </c>
      <c r="B402" s="78" t="str">
        <f>MouserListTable[[#This Row],[SKU]]</f>
        <v>474-PRT-10651</v>
      </c>
      <c r="C402" s="78">
        <f>MouserListTable[[#This Row],['# Initial]]</f>
        <v>10</v>
      </c>
      <c r="D402" s="78" t="str">
        <f>MouserListTable[[#This Row],[Name]]</f>
        <v>Ribbon Crimp Connector - 6-pin (2x3, Female)</v>
      </c>
      <c r="E402" s="78">
        <f>MouserListTable[[#This Row],[Price (USD)]]</f>
        <v>0.35</v>
      </c>
      <c r="F402" s="78">
        <f>MouserListTable[[#This Row],[Total Price]]</f>
        <v>3.5</v>
      </c>
    </row>
    <row r="403" spans="1:6" s="106" customFormat="1" x14ac:dyDescent="0.25">
      <c r="A403" s="131">
        <f>IF(MouserOrderTable[[#This Row],[Qty.]]&gt;0,IF($A402="List #",1,$A402+1),IF($A402="List #",0,$A402))</f>
        <v>101</v>
      </c>
      <c r="B403" s="78" t="str">
        <f>MouserListTable[[#This Row],[SKU]]</f>
        <v>474-PRT-10650</v>
      </c>
      <c r="C403" s="78">
        <f>MouserListTable[[#This Row],['# Initial]]</f>
        <v>10</v>
      </c>
      <c r="D403" s="78" t="str">
        <f>MouserListTable[[#This Row],[Name]]</f>
        <v>Ribbon Crimp Connector - 10-pin (2x5, Female)</v>
      </c>
      <c r="E403" s="130">
        <f>MouserListTable[[#This Row],[Price (USD)]]</f>
        <v>0.5</v>
      </c>
      <c r="F403" s="130">
        <f>MouserListTable[[#This Row],[Total Price]]</f>
        <v>5</v>
      </c>
    </row>
    <row r="404" spans="1:6" s="106" customFormat="1" x14ac:dyDescent="0.25">
      <c r="A404" s="131">
        <f>IF(MouserOrderTable[[#This Row],[Qty.]]&gt;0,IF($A403="List #",1,$A403+1),IF($A403="List #",0,$A403))</f>
        <v>101</v>
      </c>
      <c r="B404" s="78" t="str">
        <f>MouserListTable[[#This Row],[SKU]]</f>
        <v>474-PRT-10571</v>
      </c>
      <c r="C404" s="78">
        <f>MouserListTable[[#This Row],['# Initial]]</f>
        <v>0</v>
      </c>
      <c r="D404" s="78" t="str">
        <f>MouserListTable[[#This Row],[Name]]</f>
        <v>Screw Terminals 2.54mm Pitch (2-Pin)</v>
      </c>
      <c r="E404" s="130">
        <f>MouserListTable[[#This Row],[Price (USD)]]</f>
        <v>0.75</v>
      </c>
      <c r="F404" s="130">
        <f>MouserListTable[[#This Row],[Total Price]]</f>
        <v>0</v>
      </c>
    </row>
    <row r="405" spans="1:6" s="106" customFormat="1" x14ac:dyDescent="0.25">
      <c r="A405" s="131">
        <f>IF(MouserOrderTable[[#This Row],[Qty.]]&gt;0,IF($A404="List #",1,$A404+1),IF($A404="List #",0,$A404))</f>
        <v>102</v>
      </c>
      <c r="B405" s="78" t="str">
        <f>MouserListTable[[#This Row],[SKU]]</f>
        <v>474-PRT-08432</v>
      </c>
      <c r="C405" s="78">
        <f>MouserListTable[[#This Row],['# Initial]]</f>
        <v>10</v>
      </c>
      <c r="D405" s="78" t="str">
        <f>MouserListTable[[#This Row],[Name]]</f>
        <v>Screw Terminals 5mm Pitch (2-Pin)</v>
      </c>
      <c r="E405" s="130">
        <f>MouserListTable[[#This Row],[Price (USD)]]</f>
        <v>0.95</v>
      </c>
      <c r="F405" s="130">
        <f>MouserListTable[[#This Row],[Total Price]]</f>
        <v>9.5</v>
      </c>
    </row>
    <row r="406" spans="1:6" s="106" customFormat="1" x14ac:dyDescent="0.25">
      <c r="A406" s="131">
        <f>IF(MouserOrderTable[[#This Row],[Qty.]]&gt;0,IF($A405="List #",1,$A405+1),IF($A405="List #",0,$A405))</f>
        <v>103</v>
      </c>
      <c r="B406" s="78" t="str">
        <f>MouserListTable[[#This Row],[SKU]]</f>
        <v>474-PRT-08433</v>
      </c>
      <c r="C406" s="78">
        <f>MouserListTable[[#This Row],['# Initial]]</f>
        <v>10</v>
      </c>
      <c r="D406" s="78" t="str">
        <f>MouserListTable[[#This Row],[Name]]</f>
        <v>Screw Terminals 5mm Pitch (3-Pin)</v>
      </c>
      <c r="E406" s="130">
        <f>MouserListTable[[#This Row],[Price (USD)]]</f>
        <v>0.95</v>
      </c>
      <c r="F406" s="130">
        <f>MouserListTable[[#This Row],[Total Price]]</f>
        <v>9.5</v>
      </c>
    </row>
    <row r="407" spans="1:6" s="106" customFormat="1" x14ac:dyDescent="0.25">
      <c r="A407" s="131">
        <f>IF(MouserOrderTable[[#This Row],[Qty.]]&gt;0,IF($A406="List #",1,$A406+1),IF($A406="List #",0,$A406))</f>
        <v>103</v>
      </c>
      <c r="B407" s="78" t="str">
        <f>MouserListTable[[#This Row],[SKU]]</f>
        <v>474-PRT-08073</v>
      </c>
      <c r="C407" s="78">
        <f>MouserListTable[[#This Row],['# Initial]]</f>
        <v>0</v>
      </c>
      <c r="D407" s="78" t="str">
        <f>MouserListTable[[#This Row],[Name]]</f>
        <v>Spring Terminals - PCB Mount (2-Pin)</v>
      </c>
      <c r="E407" s="78">
        <f>MouserListTable[[#This Row],[Price (USD)]]</f>
        <v>1.5</v>
      </c>
      <c r="F407" s="78">
        <f>MouserListTable[[#This Row],[Total Price]]</f>
        <v>0</v>
      </c>
    </row>
    <row r="408" spans="1:6" s="106" customFormat="1" x14ac:dyDescent="0.25">
      <c r="A408" s="131">
        <f>IF(MouserOrderTable[[#This Row],[Qty.]]&gt;0,IF($A407="List #",1,$A407+1),IF($A407="List #",0,$A407))</f>
        <v>103</v>
      </c>
      <c r="B408" s="78" t="str">
        <f>MouserListTable[[#This Row],[SKU]]</f>
        <v>474-PRT-08074</v>
      </c>
      <c r="C408" s="78">
        <f>MouserListTable[[#This Row],['# Initial]]</f>
        <v>0</v>
      </c>
      <c r="D408" s="78" t="str">
        <f>MouserListTable[[#This Row],[Name]]</f>
        <v>Spring Terminals - PCB Mount (3-Pin)</v>
      </c>
      <c r="E408" s="78">
        <f>MouserListTable[[#This Row],[Price (USD)]]</f>
        <v>1.5</v>
      </c>
      <c r="F408" s="78">
        <f>MouserListTable[[#This Row],[Total Price]]</f>
        <v>0</v>
      </c>
    </row>
    <row r="409" spans="1:6" s="106" customFormat="1" x14ac:dyDescent="0.25">
      <c r="A409" s="131">
        <f>IF(MouserOrderTable[[#This Row],[Qty.]]&gt;0,IF($A408="List #",1,$A408+1),IF($A408="List #",0,$A408))</f>
        <v>103</v>
      </c>
      <c r="B409" s="78" t="str">
        <f>MouserListTable[[#This Row],[SKU]]</f>
        <v>474-PRT-08075</v>
      </c>
      <c r="C409" s="78">
        <f>MouserListTable[[#This Row],['# Initial]]</f>
        <v>0</v>
      </c>
      <c r="D409" s="78" t="str">
        <f>MouserListTable[[#This Row],[Name]]</f>
        <v>Spring Terminals - PCB Mount (4-Pin)</v>
      </c>
      <c r="E409" s="78">
        <f>MouserListTable[[#This Row],[Price (USD)]]</f>
        <v>1.5</v>
      </c>
      <c r="F409" s="78">
        <f>MouserListTable[[#This Row],[Total Price]]</f>
        <v>0</v>
      </c>
    </row>
    <row r="410" spans="1:6" s="106" customFormat="1" x14ac:dyDescent="0.25">
      <c r="A410" s="131">
        <f>IF(MouserOrderTable[[#This Row],[Qty.]]&gt;0,IF($A409="List #",1,$A409+1),IF($A409="List #",0,$A409))</f>
        <v>104</v>
      </c>
      <c r="B410" s="78" t="str">
        <f>MouserListTable[[#This Row],[SKU]]</f>
        <v>474-PRT-08077</v>
      </c>
      <c r="C410" s="78">
        <f>MouserListTable[[#This Row],['# Initial]]</f>
        <v>2</v>
      </c>
      <c r="D410" s="78" t="str">
        <f>MouserListTable[[#This Row],[Name]]</f>
        <v>Spring Terminals - PCB Mount (6-Pin)</v>
      </c>
      <c r="E410" s="78">
        <f>MouserListTable[[#This Row],[Price (USD)]]</f>
        <v>1.5</v>
      </c>
      <c r="F410" s="78">
        <f>MouserListTable[[#This Row],[Total Price]]</f>
        <v>3</v>
      </c>
    </row>
    <row r="411" spans="1:6" s="106" customFormat="1" x14ac:dyDescent="0.25">
      <c r="A411" s="131">
        <f>IF(MouserOrderTable[[#This Row],[Qty.]]&gt;0,IF($A410="List #",1,$A410+1),IF($A410="List #",0,$A410))</f>
        <v>104</v>
      </c>
      <c r="B411" s="78" t="str">
        <f>MouserListTable[[#This Row],[SKU]]</f>
        <v>474-PRT-00139</v>
      </c>
      <c r="C411" s="78">
        <f>MouserListTable[[#This Row],['# Initial]]</f>
        <v>0</v>
      </c>
      <c r="D411" s="78" t="str">
        <f>MouserListTable[[#This Row],[Name]]</f>
        <v>USB Female Type B Connector</v>
      </c>
      <c r="E411" s="78">
        <f>MouserListTable[[#This Row],[Price (USD)]]</f>
        <v>1.25</v>
      </c>
      <c r="F411" s="78">
        <f>MouserListTable[[#This Row],[Total Price]]</f>
        <v>0</v>
      </c>
    </row>
    <row r="412" spans="1:6" s="106" customFormat="1" x14ac:dyDescent="0.25">
      <c r="A412" s="131">
        <f>IF(MouserOrderTable[[#This Row],[Qty.]]&gt;0,IF($A411="List #",1,$A411+1),IF($A411="List #",0,$A411))</f>
        <v>104</v>
      </c>
      <c r="B412" s="78" t="str">
        <f>MouserListTable[[#This Row],[SKU]]</f>
        <v>474-BOB-12035</v>
      </c>
      <c r="C412" s="78">
        <f>MouserListTable[[#This Row],['# Initial]]</f>
        <v>0</v>
      </c>
      <c r="D412" s="78" t="str">
        <f>MouserListTable[[#This Row],[Name]]</f>
        <v>SparkFun microB USB Breakout</v>
      </c>
      <c r="E412" s="130">
        <f>MouserListTable[[#This Row],[Price (USD)]]</f>
        <v>1.95</v>
      </c>
      <c r="F412" s="130">
        <f>MouserListTable[[#This Row],[Total Price]]</f>
        <v>0</v>
      </c>
    </row>
    <row r="413" spans="1:6" s="106" customFormat="1" x14ac:dyDescent="0.25">
      <c r="A413" s="131">
        <f>IF(MouserOrderTable[[#This Row],[Qty.]]&gt;0,IF($A412="List #",1,$A412+1),IF($A412="List #",0,$A412))</f>
        <v>104</v>
      </c>
      <c r="B413" s="78" t="str">
        <f>MouserListTable[[#This Row],[SKU]]</f>
        <v>474-BOB-10031</v>
      </c>
      <c r="C413" s="78">
        <f>MouserListTable[[#This Row],['# Initial]]</f>
        <v>0</v>
      </c>
      <c r="D413" s="78" t="str">
        <f>MouserListTable[[#This Row],[Name]]</f>
        <v>SparkFun USB MicroB Plug Breakout</v>
      </c>
      <c r="E413" s="78">
        <f>MouserListTable[[#This Row],[Price (USD)]]</f>
        <v>3.95</v>
      </c>
      <c r="F413" s="78">
        <f>MouserListTable[[#This Row],[Total Price]]</f>
        <v>0</v>
      </c>
    </row>
    <row r="414" spans="1:6" s="106" customFormat="1" x14ac:dyDescent="0.25">
      <c r="A414" s="131">
        <f>IF(MouserOrderTable[[#This Row],[Qty.]]&gt;0,IF($A413="List #",1,$A413+1),IF($A413="List #",0,$A413))</f>
        <v>104</v>
      </c>
      <c r="B414" s="78" t="str">
        <f>MouserListTable[[#This Row],[SKU]]</f>
        <v>474-BOB-09966</v>
      </c>
      <c r="C414" s="78">
        <f>MouserListTable[[#This Row],['# Initial]]</f>
        <v>0</v>
      </c>
      <c r="D414" s="78" t="str">
        <f>MouserListTable[[#This Row],[Name]]</f>
        <v>SparkFun USB Mini-B Breakout</v>
      </c>
      <c r="E414" s="78">
        <f>MouserListTable[[#This Row],[Price (USD)]]</f>
        <v>1.95</v>
      </c>
      <c r="F414" s="78">
        <f>MouserListTable[[#This Row],[Total Price]]</f>
        <v>0</v>
      </c>
    </row>
    <row r="415" spans="1:6" s="106" customFormat="1" x14ac:dyDescent="0.25">
      <c r="A415" s="131">
        <f>IF(MouserOrderTable[[#This Row],[Qty.]]&gt;0,IF($A414="List #",1,$A414+1),IF($A414="List #",0,$A414))</f>
        <v>104</v>
      </c>
      <c r="B415" s="78" t="str">
        <f>MouserListTable[[#This Row],[SKU]]</f>
        <v>474-PRT-09740</v>
      </c>
      <c r="C415" s="78">
        <f>MouserListTable[[#This Row],['# Initial]]</f>
        <v>0</v>
      </c>
      <c r="D415" s="78" t="str">
        <f>MouserListTable[[#This Row],[Name]]</f>
        <v>Binding Post - Black</v>
      </c>
      <c r="E415" s="78">
        <f>MouserListTable[[#This Row],[Price (USD)]]</f>
        <v>0.35</v>
      </c>
      <c r="F415" s="78">
        <f>MouserListTable[[#This Row],[Total Price]]</f>
        <v>0</v>
      </c>
    </row>
    <row r="416" spans="1:6" s="106" customFormat="1" x14ac:dyDescent="0.25">
      <c r="A416" s="131">
        <f>IF(MouserOrderTable[[#This Row],[Qty.]]&gt;0,IF($A415="List #",1,$A415+1),IF($A415="List #",0,$A415))</f>
        <v>104</v>
      </c>
      <c r="B416" s="78" t="str">
        <f>MouserListTable[[#This Row],[SKU]]</f>
        <v>474-PRT-09739</v>
      </c>
      <c r="C416" s="78">
        <f>MouserListTable[[#This Row],['# Initial]]</f>
        <v>0</v>
      </c>
      <c r="D416" s="78" t="str">
        <f>MouserListTable[[#This Row],[Name]]</f>
        <v>Binding Post - Red</v>
      </c>
      <c r="E416" s="78">
        <f>MouserListTable[[#This Row],[Price (USD)]]</f>
        <v>0.35</v>
      </c>
      <c r="F416" s="78">
        <f>MouserListTable[[#This Row],[Total Price]]</f>
        <v>0</v>
      </c>
    </row>
    <row r="417" spans="1:6" s="106" customFormat="1" x14ac:dyDescent="0.25">
      <c r="A417" s="131">
        <f>IF(MouserOrderTable[[#This Row],[Qty.]]&gt;0,IF($A416="List #",1,$A416+1),IF($A416="List #",0,$A416))</f>
        <v>105</v>
      </c>
      <c r="B417" s="78" t="str">
        <f>MouserListTable[[#This Row],[SKU]]</f>
        <v>474-COM-14194</v>
      </c>
      <c r="C417" s="78">
        <f>MouserListTable[[#This Row],['# Initial]]</f>
        <v>5</v>
      </c>
      <c r="D417" s="78" t="str">
        <f>MouserListTable[[#This Row],[Name]]</f>
        <v>Amphenol FCI Clincher Connector (2 Position, Female)</v>
      </c>
      <c r="E417" s="78">
        <f>MouserListTable[[#This Row],[Price (USD)]]</f>
        <v>1.95</v>
      </c>
      <c r="F417" s="78">
        <f>MouserListTable[[#This Row],[Total Price]]</f>
        <v>9.75</v>
      </c>
    </row>
    <row r="418" spans="1:6" s="106" customFormat="1" x14ac:dyDescent="0.25">
      <c r="A418" s="131">
        <f>IF(MouserOrderTable[[#This Row],[Qty.]]&gt;0,IF($A417="List #",1,$A417+1),IF($A417="List #",0,$A417))</f>
        <v>106</v>
      </c>
      <c r="B418" s="78" t="str">
        <f>MouserListTable[[#This Row],[SKU]]</f>
        <v>474-COM-14195</v>
      </c>
      <c r="C418" s="78">
        <f>MouserListTable[[#This Row],['# Initial]]</f>
        <v>5</v>
      </c>
      <c r="D418" s="78" t="str">
        <f>MouserListTable[[#This Row],[Name]]</f>
        <v>Amphenol FCI Clincher Connector (2 Position, Male)</v>
      </c>
      <c r="E418" s="78">
        <f>MouserListTable[[#This Row],[Price (USD)]]</f>
        <v>1.95</v>
      </c>
      <c r="F418" s="78">
        <f>MouserListTable[[#This Row],[Total Price]]</f>
        <v>9.75</v>
      </c>
    </row>
    <row r="419" spans="1:6" s="106" customFormat="1" x14ac:dyDescent="0.25">
      <c r="A419" s="131">
        <f>IF(MouserOrderTable[[#This Row],[Qty.]]&gt;0,IF($A418="List #",1,$A418+1),IF($A418="List #",0,$A418))</f>
        <v>106</v>
      </c>
      <c r="B419" s="78" t="str">
        <f>MouserListTable[[#This Row],[SKU]]</f>
        <v>474-PRT-09044</v>
      </c>
      <c r="C419" s="78">
        <f>MouserListTable[[#This Row],['# Initial]]</f>
        <v>0</v>
      </c>
      <c r="D419" s="78" t="str">
        <f>MouserListTable[[#This Row],[Name]]</f>
        <v>Jumper - 2 Pin</v>
      </c>
      <c r="E419" s="78">
        <f>MouserListTable[[#This Row],[Price (USD)]]</f>
        <v>0.35</v>
      </c>
      <c r="F419" s="78">
        <f>MouserListTable[[#This Row],[Total Price]]</f>
        <v>0</v>
      </c>
    </row>
    <row r="420" spans="1:6" s="106" customFormat="1" x14ac:dyDescent="0.25">
      <c r="A420" s="131">
        <f>IF(MouserOrderTable[[#This Row],[Qty.]]&gt;0,IF($A419="List #",1,$A419+1),IF($A419="List #",0,$A419))</f>
        <v>107</v>
      </c>
      <c r="B420" s="78" t="str">
        <f>MouserListTable[[#This Row],[SKU]]</f>
        <v>485-3525</v>
      </c>
      <c r="C420" s="78">
        <f>MouserListTable[[#This Row],['# Initial]]</f>
        <v>1</v>
      </c>
      <c r="D420" s="78" t="str">
        <f>MouserListTable[[#This Row],[Name]]</f>
        <v xml:space="preserve">Jumper Shunt with Handle (0.1" / 2.54mm) – 10 Pack </v>
      </c>
      <c r="E420" s="130">
        <f>MouserListTable[[#This Row],[Price (USD)]]</f>
        <v>0.95</v>
      </c>
      <c r="F420" s="130">
        <f>MouserListTable[[#This Row],[Total Price]]</f>
        <v>0.95</v>
      </c>
    </row>
    <row r="421" spans="1:6" s="106" customFormat="1" x14ac:dyDescent="0.25">
      <c r="A421" s="131">
        <f>IF(MouserOrderTable[[#This Row],[Qty.]]&gt;0,IF($A420="List #",1,$A420+1),IF($A420="List #",0,$A420))</f>
        <v>107</v>
      </c>
      <c r="B421" s="78" t="str">
        <f>MouserListTable[[#This Row],[SKU]]</f>
        <v>474-KIT-13973</v>
      </c>
      <c r="C421" s="78">
        <f>MouserListTable[[#This Row],['# Initial]]</f>
        <v>0</v>
      </c>
      <c r="D421" s="78" t="str">
        <f>MouserListTable[[#This Row],[Name]]</f>
        <v>SparkFun Beginner Parts Kit</v>
      </c>
      <c r="E421" s="130">
        <f>MouserListTable[[#This Row],[Price (USD)]]</f>
        <v>14.95</v>
      </c>
      <c r="F421" s="130">
        <f>MouserListTable[[#This Row],[Total Price]]</f>
        <v>0</v>
      </c>
    </row>
    <row r="422" spans="1:6" s="106" customFormat="1" x14ac:dyDescent="0.25">
      <c r="A422" s="131">
        <f>IF(MouserOrderTable[[#This Row],[Qty.]]&gt;0,IF($A421="List #",1,$A421+1),IF($A421="List #",0,$A421))</f>
        <v>108</v>
      </c>
      <c r="B422" s="78" t="str">
        <f>MouserListTable[[#This Row],[SKU]]</f>
        <v>485-2975</v>
      </c>
      <c r="C422" s="78">
        <f>MouserListTable[[#This Row],['# Initial]]</f>
        <v>1</v>
      </c>
      <c r="D422" s="78" t="str">
        <f>MouserListTable[[#This Row],[Name]]</f>
        <v>Adafruit Parts Pal</v>
      </c>
      <c r="E422" s="78">
        <f>MouserListTable[[#This Row],[Price (USD)]]</f>
        <v>19.95</v>
      </c>
      <c r="F422" s="78">
        <f>MouserListTable[[#This Row],[Total Price]]</f>
        <v>19.95</v>
      </c>
    </row>
    <row r="423" spans="1:6" s="106" customFormat="1" x14ac:dyDescent="0.25">
      <c r="A423" s="131">
        <f>IF(MouserOrderTable[[#This Row],[Qty.]]&gt;0,IF($A422="List #",1,$A422+1),IF($A422="List #",0,$A422))</f>
        <v>108</v>
      </c>
      <c r="B423" s="78" t="str">
        <f>MouserListTable[[#This Row],[SKU]]</f>
        <v>474-COM-00522</v>
      </c>
      <c r="C423" s="78">
        <f>MouserListTable[[#This Row],['# Initial]]</f>
        <v>0</v>
      </c>
      <c r="D423" s="78" t="str">
        <f>MouserListTable[[#This Row],[Name]]</f>
        <v>Transistor - PNP (2N3906)</v>
      </c>
      <c r="E423" s="78">
        <f>MouserListTable[[#This Row],[Price (USD)]]</f>
        <v>0.5</v>
      </c>
      <c r="F423" s="78">
        <f>MouserListTable[[#This Row],[Total Price]]</f>
        <v>0</v>
      </c>
    </row>
    <row r="424" spans="1:6" s="106" customFormat="1" x14ac:dyDescent="0.25">
      <c r="A424" s="131">
        <f>IF(MouserOrderTable[[#This Row],[Qty.]]&gt;0,IF($A423="List #",1,$A423+1),IF($A423="List #",0,$A423))</f>
        <v>108</v>
      </c>
      <c r="B424" s="78" t="str">
        <f>MouserListTable[[#This Row],[SKU]]</f>
        <v>474-COM-00521</v>
      </c>
      <c r="C424" s="78">
        <f>MouserListTable[[#This Row],['# Initial]]</f>
        <v>0</v>
      </c>
      <c r="D424" s="78" t="str">
        <f>MouserListTable[[#This Row],[Name]]</f>
        <v>Transistor - NPN (2N3904)</v>
      </c>
      <c r="E424" s="130">
        <f>MouserListTable[[#This Row],[Price (USD)]]</f>
        <v>0.5</v>
      </c>
      <c r="F424" s="130">
        <f>MouserListTable[[#This Row],[Total Price]]</f>
        <v>0</v>
      </c>
    </row>
    <row r="425" spans="1:6" s="106" customFormat="1" x14ac:dyDescent="0.25">
      <c r="A425" s="131">
        <f>IF(MouserOrderTable[[#This Row],[Qty.]]&gt;0,IF($A424="List #",1,$A424+1),IF($A424="List #",0,$A424))</f>
        <v>108</v>
      </c>
      <c r="B425" s="78" t="str">
        <f>MouserListTable[[#This Row],[SKU]]</f>
        <v>474-COM-08928</v>
      </c>
      <c r="C425" s="78">
        <f>MouserListTable[[#This Row],['# Initial]]</f>
        <v>0</v>
      </c>
      <c r="D425" s="78" t="str">
        <f>MouserListTable[[#This Row],[Name]]</f>
        <v>Transistor - NPN (BC547)</v>
      </c>
      <c r="E425" s="78">
        <f>MouserListTable[[#This Row],[Price (USD)]]</f>
        <v>0.5</v>
      </c>
      <c r="F425" s="78">
        <f>MouserListTable[[#This Row],[Total Price]]</f>
        <v>0</v>
      </c>
    </row>
    <row r="426" spans="1:6" s="106" customFormat="1" x14ac:dyDescent="0.25">
      <c r="A426" s="131">
        <f>IF(MouserOrderTable[[#This Row],[Qty.]]&gt;0,IF($A425="List #",1,$A425+1),IF($A425="List #",0,$A425))</f>
        <v>108</v>
      </c>
      <c r="B426" s="78" t="str">
        <f>MouserListTable[[#This Row],[SKU]]</f>
        <v>474-COM-10213</v>
      </c>
      <c r="C426" s="78">
        <f>MouserListTable[[#This Row],['# Initial]]</f>
        <v>0</v>
      </c>
      <c r="D426" s="78" t="str">
        <f>MouserListTable[[#This Row],[Name]]</f>
        <v>N-Channel MOSFET 60V 30A</v>
      </c>
      <c r="E426" s="130">
        <f>MouserListTable[[#This Row],[Price (USD)]]</f>
        <v>0.95</v>
      </c>
      <c r="F426" s="130">
        <f>MouserListTable[[#This Row],[Total Price]]</f>
        <v>0</v>
      </c>
    </row>
    <row r="427" spans="1:6" s="106" customFormat="1" x14ac:dyDescent="0.25">
      <c r="A427" s="131">
        <f>IF(MouserOrderTable[[#This Row],[Qty.]]&gt;0,IF($A426="List #",1,$A426+1),IF($A426="List #",0,$A426))</f>
        <v>108</v>
      </c>
      <c r="B427" s="78" t="str">
        <f>MouserListTable[[#This Row],[SKU]]</f>
        <v>474-COM-10349</v>
      </c>
      <c r="C427" s="78">
        <f>MouserListTable[[#This Row],['# Initial]]</f>
        <v>0</v>
      </c>
      <c r="D427" s="78" t="str">
        <f>MouserListTable[[#This Row],[Name]]</f>
        <v>P-Channel MOSFET 60V 27A</v>
      </c>
      <c r="E427" s="130">
        <f>MouserListTable[[#This Row],[Price (USD)]]</f>
        <v>0.95</v>
      </c>
      <c r="F427" s="130">
        <f>MouserListTable[[#This Row],[Total Price]]</f>
        <v>0</v>
      </c>
    </row>
    <row r="428" spans="1:6" s="106" customFormat="1" x14ac:dyDescent="0.25">
      <c r="A428" s="131">
        <f>IF(MouserOrderTable[[#This Row],[Qty.]]&gt;0,IF($A427="List #",1,$A427+1),IF($A427="List #",0,$A427))</f>
        <v>108</v>
      </c>
      <c r="B428" s="78" t="str">
        <f>MouserListTable[[#This Row],[SKU]]</f>
        <v>474-COM-12901</v>
      </c>
      <c r="C428" s="78">
        <f>MouserListTable[[#This Row],['# Initial]]</f>
        <v>0</v>
      </c>
      <c r="D428" s="78" t="str">
        <f>MouserListTable[[#This Row],[Name]]</f>
        <v>P-Channel MOSFET 20V 24A - low Vgs(th)</v>
      </c>
      <c r="E428" s="130">
        <f>MouserListTable[[#This Row],[Price (USD)]]</f>
        <v>1.95</v>
      </c>
      <c r="F428" s="130">
        <f>MouserListTable[[#This Row],[Total Price]]</f>
        <v>0</v>
      </c>
    </row>
    <row r="429" spans="1:6" s="106" customFormat="1" x14ac:dyDescent="0.25">
      <c r="A429" s="131">
        <f>IF(MouserOrderTable[[#This Row],[Qty.]]&gt;0,IF($A428="List #",1,$A428+1),IF($A428="List #",0,$A428))</f>
        <v>109</v>
      </c>
      <c r="B429" s="78" t="str">
        <f>MouserListTable[[#This Row],[SKU]]</f>
        <v>474-COM-11078</v>
      </c>
      <c r="C429" s="78">
        <f>MouserListTable[[#This Row],['# Initial]]</f>
        <v>5</v>
      </c>
      <c r="D429" s="78" t="str">
        <f>MouserListTable[[#This Row],[Name]]</f>
        <v>TL431 - Voltage Reference</v>
      </c>
      <c r="E429" s="130">
        <f>MouserListTable[[#This Row],[Price (USD)]]</f>
        <v>0.5</v>
      </c>
      <c r="F429" s="130">
        <f>MouserListTable[[#This Row],[Total Price]]</f>
        <v>2.5</v>
      </c>
    </row>
    <row r="430" spans="1:6" s="106" customFormat="1" x14ac:dyDescent="0.25">
      <c r="A430" s="131">
        <f>IF(MouserOrderTable[[#This Row],[Qty.]]&gt;0,IF($A429="List #",1,$A429+1),IF($A429="List #",0,$A429))</f>
        <v>110</v>
      </c>
      <c r="B430" s="78" t="str">
        <f>MouserListTable[[#This Row],[SKU]]</f>
        <v>474-COM-00526</v>
      </c>
      <c r="C430" s="78">
        <f>MouserListTable[[#This Row],['# Initial]]</f>
        <v>5</v>
      </c>
      <c r="D430" s="78" t="str">
        <f>MouserListTable[[#This Row],[Name]]</f>
        <v>Voltage Regulator - 3.3V</v>
      </c>
      <c r="E430" s="130">
        <f>MouserListTable[[#This Row],[Price (USD)]]</f>
        <v>1.95</v>
      </c>
      <c r="F430" s="130">
        <f>MouserListTable[[#This Row],[Total Price]]</f>
        <v>9.75</v>
      </c>
    </row>
    <row r="431" spans="1:6" s="106" customFormat="1" x14ac:dyDescent="0.25">
      <c r="A431" s="131">
        <f>IF(MouserOrderTable[[#This Row],[Qty.]]&gt;0,IF($A430="List #",1,$A430+1),IF($A430="List #",0,$A430))</f>
        <v>111</v>
      </c>
      <c r="B431" s="78" t="str">
        <f>MouserListTable[[#This Row],[SKU]]</f>
        <v>474-COM-00107</v>
      </c>
      <c r="C431" s="78">
        <f>MouserListTable[[#This Row],['# Initial]]</f>
        <v>5</v>
      </c>
      <c r="D431" s="78" t="str">
        <f>MouserListTable[[#This Row],[Name]]</f>
        <v>Voltage Regulator - 5V</v>
      </c>
      <c r="E431" s="78">
        <f>MouserListTable[[#This Row],[Price (USD)]]</f>
        <v>0.95</v>
      </c>
      <c r="F431" s="78">
        <f>MouserListTable[[#This Row],[Total Price]]</f>
        <v>4.75</v>
      </c>
    </row>
    <row r="432" spans="1:6" s="106" customFormat="1" x14ac:dyDescent="0.25">
      <c r="A432" s="131">
        <f>IF(MouserOrderTable[[#This Row],[Qty.]]&gt;0,IF($A431="List #",1,$A431+1),IF($A431="List #",0,$A431))</f>
        <v>111</v>
      </c>
      <c r="B432" s="78" t="str">
        <f>MouserListTable[[#This Row],[SKU]]</f>
        <v>474-COM-12766</v>
      </c>
      <c r="C432" s="78">
        <f>MouserListTable[[#This Row],['# Initial]]</f>
        <v>0</v>
      </c>
      <c r="D432" s="78" t="str">
        <f>MouserListTable[[#This Row],[Name]]</f>
        <v>Voltage Regulator - 12V</v>
      </c>
      <c r="E432" s="130">
        <f>MouserListTable[[#This Row],[Price (USD)]]</f>
        <v>1.5</v>
      </c>
      <c r="F432" s="130">
        <f>MouserListTable[[#This Row],[Total Price]]</f>
        <v>0</v>
      </c>
    </row>
    <row r="433" spans="1:6" s="106" customFormat="1" x14ac:dyDescent="0.25">
      <c r="A433" s="131">
        <f>IF(MouserOrderTable[[#This Row],[Qty.]]&gt;0,IF($A432="List #",1,$A432+1),IF($A432="List #",0,$A432))</f>
        <v>111</v>
      </c>
      <c r="B433" s="78" t="str">
        <f>MouserListTable[[#This Row],[SKU]]</f>
        <v>474-COM-00527</v>
      </c>
      <c r="C433" s="78">
        <f>MouserListTable[[#This Row],['# Initial]]</f>
        <v>0</v>
      </c>
      <c r="D433" s="78" t="str">
        <f>MouserListTable[[#This Row],[Name]]</f>
        <v>Voltage Regulator - Adjustable</v>
      </c>
      <c r="E433" s="78">
        <f>MouserListTable[[#This Row],[Price (USD)]]</f>
        <v>1.95</v>
      </c>
      <c r="F433" s="78">
        <f>MouserListTable[[#This Row],[Total Price]]</f>
        <v>0</v>
      </c>
    </row>
    <row r="434" spans="1:6" s="106" customFormat="1" x14ac:dyDescent="0.25">
      <c r="A434" s="131">
        <f>IF(MouserOrderTable[[#This Row],[Qty.]]&gt;0,IF($A433="List #",1,$A433+1),IF($A433="List #",0,$A433))</f>
        <v>112</v>
      </c>
      <c r="B434" s="78" t="str">
        <f>MouserListTable[[#This Row],[SKU]]</f>
        <v>474-PRT-07937</v>
      </c>
      <c r="C434" s="78">
        <f>MouserListTable[[#This Row],['# Initial]]</f>
        <v>25</v>
      </c>
      <c r="D434" s="78" t="str">
        <f>MouserListTable[[#This Row],[Name]]</f>
        <v>DIP Sockets Solder Tail - 8-Pin</v>
      </c>
      <c r="E434" s="130">
        <f>MouserListTable[[#This Row],[Price (USD)]]</f>
        <v>0.5</v>
      </c>
      <c r="F434" s="130">
        <f>MouserListTable[[#This Row],[Total Price]]</f>
        <v>12.5</v>
      </c>
    </row>
    <row r="435" spans="1:6" s="106" customFormat="1" x14ac:dyDescent="0.25">
      <c r="A435" s="131">
        <f>IF(MouserOrderTable[[#This Row],[Qty.]]&gt;0,IF($A434="List #",1,$A434+1),IF($A434="List #",0,$A434))</f>
        <v>112</v>
      </c>
      <c r="B435" s="78" t="str">
        <f>MouserListTable[[#This Row],[SKU]]</f>
        <v>485-2202</v>
      </c>
      <c r="C435" s="78">
        <f>MouserListTable[[#This Row],['# Initial]]</f>
        <v>0</v>
      </c>
      <c r="D435" s="78" t="str">
        <f>MouserListTable[[#This Row],[Name]]</f>
        <v>IC Socket - for 8-pin 0.3" Chips - Pack of 3</v>
      </c>
      <c r="E435" s="130">
        <f>MouserListTable[[#This Row],[Price (USD)]]</f>
        <v>0.75</v>
      </c>
      <c r="F435" s="130">
        <f>MouserListTable[[#This Row],[Total Price]]</f>
        <v>0</v>
      </c>
    </row>
    <row r="436" spans="1:6" s="106" customFormat="1" x14ac:dyDescent="0.25">
      <c r="A436" s="131">
        <f>IF(MouserOrderTable[[#This Row],[Qty.]]&gt;0,IF($A435="List #",1,$A435+1),IF($A435="List #",0,$A435))</f>
        <v>113</v>
      </c>
      <c r="B436" s="78" t="str">
        <f>MouserListTable[[#This Row],[SKU]]</f>
        <v>474-COM-09456</v>
      </c>
      <c r="C436" s="78">
        <f>MouserListTable[[#This Row],['# Initial]]</f>
        <v>10</v>
      </c>
      <c r="D436" s="78" t="str">
        <f>MouserListTable[[#This Row],[Name]]</f>
        <v>Op-Amp (Through-Hole) - LM358</v>
      </c>
      <c r="E436" s="78">
        <f>MouserListTable[[#This Row],[Price (USD)]]</f>
        <v>0.95</v>
      </c>
      <c r="F436" s="78">
        <f>MouserListTable[[#This Row],[Total Price]]</f>
        <v>9.5</v>
      </c>
    </row>
    <row r="437" spans="1:6" s="106" customFormat="1" x14ac:dyDescent="0.25">
      <c r="A437" s="131">
        <f>IF(MouserOrderTable[[#This Row],[Qty.]]&gt;0,IF($A436="List #",1,$A436+1),IF($A436="List #",0,$A436))</f>
        <v>114</v>
      </c>
      <c r="B437" s="78" t="str">
        <f>MouserListTable[[#This Row],[SKU]]</f>
        <v>474-COM-10613</v>
      </c>
      <c r="C437" s="78">
        <f>MouserListTable[[#This Row],['# Initial]]</f>
        <v>5</v>
      </c>
      <c r="D437" s="78" t="str">
        <f>MouserListTable[[#This Row],[Name]]</f>
        <v>Digital Potentiometer - 10K</v>
      </c>
      <c r="E437" s="78">
        <f>MouserListTable[[#This Row],[Price (USD)]]</f>
        <v>1.5</v>
      </c>
      <c r="F437" s="78">
        <f>MouserListTable[[#This Row],[Total Price]]</f>
        <v>7.5</v>
      </c>
    </row>
    <row r="438" spans="1:6" s="106" customFormat="1" x14ac:dyDescent="0.25">
      <c r="A438" s="131">
        <f>IF(MouserOrderTable[[#This Row],[Qty.]]&gt;0,IF($A437="List #",1,$A437+1),IF($A437="List #",0,$A437))</f>
        <v>115</v>
      </c>
      <c r="B438" s="78" t="str">
        <f>MouserListTable[[#This Row],[SKU]]</f>
        <v>474-COM-09273</v>
      </c>
      <c r="C438" s="78">
        <f>MouserListTable[[#This Row],['# Initial]]</f>
        <v>5</v>
      </c>
      <c r="D438" s="78" t="str">
        <f>MouserListTable[[#This Row],[Name]]</f>
        <v>555 Timer</v>
      </c>
      <c r="E438" s="78">
        <f>MouserListTable[[#This Row],[Price (USD)]]</f>
        <v>0.95</v>
      </c>
      <c r="F438" s="78">
        <f>MouserListTable[[#This Row],[Total Price]]</f>
        <v>4.75</v>
      </c>
    </row>
    <row r="439" spans="1:6" s="106" customFormat="1" x14ac:dyDescent="0.25">
      <c r="A439" s="131">
        <f>IF(MouserOrderTable[[#This Row],[Qty.]]&gt;0,IF($A438="List #",1,$A438+1),IF($A438="List #",0,$A438))</f>
        <v>116</v>
      </c>
      <c r="B439" s="78" t="str">
        <f>MouserListTable[[#This Row],[SKU]]</f>
        <v>474-COM-08636</v>
      </c>
      <c r="C439" s="78">
        <f>MouserListTable[[#This Row],['# Initial]]</f>
        <v>5</v>
      </c>
      <c r="D439" s="78" t="str">
        <f>MouserListTable[[#This Row],[Name]]</f>
        <v>Analog to Digital Converter - MCP3002</v>
      </c>
      <c r="E439" s="130">
        <f>MouserListTable[[#This Row],[Price (USD)]]</f>
        <v>2.38</v>
      </c>
      <c r="F439" s="130">
        <f>MouserListTable[[#This Row],[Total Price]]</f>
        <v>11.899999999999999</v>
      </c>
    </row>
    <row r="440" spans="1:6" s="106" customFormat="1" x14ac:dyDescent="0.25">
      <c r="A440" s="131">
        <f>IF(MouserOrderTable[[#This Row],[Qty.]]&gt;0,IF($A439="List #",1,$A439+1),IF($A439="List #",0,$A439))</f>
        <v>116</v>
      </c>
      <c r="B440" s="78" t="str">
        <f>MouserListTable[[#This Row],[SKU]]</f>
        <v>474-COM-00317</v>
      </c>
      <c r="C440" s="78">
        <f>MouserListTable[[#This Row],['# Initial]]</f>
        <v>0</v>
      </c>
      <c r="D440" s="78" t="str">
        <f>MouserListTable[[#This Row],[Name]]</f>
        <v>Step Up/Down Inverting Switching Regulator</v>
      </c>
      <c r="E440" s="78">
        <f>MouserListTable[[#This Row],[Price (USD)]]</f>
        <v>1.95</v>
      </c>
      <c r="F440" s="78">
        <f>MouserListTable[[#This Row],[Total Price]]</f>
        <v>0</v>
      </c>
    </row>
    <row r="441" spans="1:6" s="106" customFormat="1" x14ac:dyDescent="0.25">
      <c r="A441" s="131">
        <f>IF(MouserOrderTable[[#This Row],[Qty.]]&gt;0,IF($A440="List #",1,$A440+1),IF($A440="List #",0,$A440))</f>
        <v>116</v>
      </c>
      <c r="B441" s="78" t="str">
        <f>MouserListTable[[#This Row],[SKU]]</f>
        <v>485-1787</v>
      </c>
      <c r="C441" s="78">
        <f>MouserListTable[[#This Row],['# Initial]]</f>
        <v>0</v>
      </c>
      <c r="D441" s="78" t="str">
        <f>MouserListTable[[#This Row],[Name]]</f>
        <v xml:space="preserve">74AHCT125 - Quad Level-Shifter (3V to 5V) - 74AHCT125 </v>
      </c>
      <c r="E441" s="130">
        <f>MouserListTable[[#This Row],[Price (USD)]]</f>
        <v>1.5</v>
      </c>
      <c r="F441" s="130">
        <f>MouserListTable[[#This Row],[Total Price]]</f>
        <v>0</v>
      </c>
    </row>
    <row r="442" spans="1:6" s="106" customFormat="1" x14ac:dyDescent="0.25">
      <c r="A442" s="131">
        <f>IF(MouserOrderTable[[#This Row],[Qty.]]&gt;0,IF($A441="List #",1,$A441+1),IF($A441="List #",0,$A441))</f>
        <v>116</v>
      </c>
      <c r="B442" s="78" t="str">
        <f>MouserListTable[[#This Row],[SKU]]</f>
        <v>474-COM-00525</v>
      </c>
      <c r="C442" s="78">
        <f>MouserListTable[[#This Row],['# Initial]]</f>
        <v>0</v>
      </c>
      <c r="D442" s="78" t="str">
        <f>MouserListTable[[#This Row],[Name]]</f>
        <v>I2C EEPROM - 256kbit</v>
      </c>
      <c r="E442" s="130">
        <f>MouserListTable[[#This Row],[Price (USD)]]</f>
        <v>1.95</v>
      </c>
      <c r="F442" s="130">
        <f>MouserListTable[[#This Row],[Total Price]]</f>
        <v>0</v>
      </c>
    </row>
    <row r="443" spans="1:6" s="106" customFormat="1" x14ac:dyDescent="0.25">
      <c r="A443" s="131">
        <f>IF(MouserOrderTable[[#This Row],[Qty.]]&gt;0,IF($A442="List #",1,$A442+1),IF($A442="List #",0,$A442))</f>
        <v>116</v>
      </c>
      <c r="B443" s="78" t="str">
        <f>MouserListTable[[#This Row],[SKU]]</f>
        <v>474-COM-13699</v>
      </c>
      <c r="C443" s="78">
        <f>MouserListTable[[#This Row],['# Initial]]</f>
        <v>0</v>
      </c>
      <c r="D443" s="78" t="str">
        <f>MouserListTable[[#This Row],[Name]]</f>
        <v>Shift Register 8-Bit - SN74HC595</v>
      </c>
      <c r="E443" s="130">
        <f>MouserListTable[[#This Row],[Price (USD)]]</f>
        <v>0.95</v>
      </c>
      <c r="F443" s="130">
        <f>MouserListTable[[#This Row],[Total Price]]</f>
        <v>0</v>
      </c>
    </row>
    <row r="444" spans="1:6" s="106" customFormat="1" x14ac:dyDescent="0.25">
      <c r="A444" s="131">
        <f>IF(MouserOrderTable[[#This Row],[Qty.]]&gt;0,IF($A443="List #",1,$A443+1),IF($A443="List #",0,$A443))</f>
        <v>116</v>
      </c>
      <c r="B444" s="78" t="str">
        <f>MouserListTable[[#This Row],[SKU]]</f>
        <v>474-BOB-11733</v>
      </c>
      <c r="C444" s="78">
        <f>MouserListTable[[#This Row],['# Initial]]</f>
        <v>0</v>
      </c>
      <c r="D444" s="78" t="str">
        <f>MouserListTable[[#This Row],[Name]]</f>
        <v>SparkFun Shift-In Breakout - SN74HC165</v>
      </c>
      <c r="E444" s="130">
        <f>MouserListTable[[#This Row],[Price (USD)]]</f>
        <v>3.95</v>
      </c>
      <c r="F444" s="130">
        <f>MouserListTable[[#This Row],[Total Price]]</f>
        <v>0</v>
      </c>
    </row>
    <row r="445" spans="1:6" s="106" customFormat="1" x14ac:dyDescent="0.25">
      <c r="A445" s="131">
        <f>IF(MouserOrderTable[[#This Row],[Qty.]]&gt;0,IF($A444="List #",1,$A444+1),IF($A444="List #",0,$A444))</f>
        <v>117</v>
      </c>
      <c r="B445" s="78" t="str">
        <f>MouserListTable[[#This Row],[SKU]]</f>
        <v>474-COM-08034</v>
      </c>
      <c r="C445" s="78">
        <f>MouserListTable[[#This Row],['# Initial]]</f>
        <v>5</v>
      </c>
      <c r="D445" s="78" t="str">
        <f>MouserListTable[[#This Row],[Name]]</f>
        <v>DIP Switch - 8 Position</v>
      </c>
      <c r="E445" s="78">
        <f>MouserListTable[[#This Row],[Price (USD)]]</f>
        <v>1.5</v>
      </c>
      <c r="F445" s="78">
        <f>MouserListTable[[#This Row],[Total Price]]</f>
        <v>7.5</v>
      </c>
    </row>
    <row r="446" spans="1:6" s="106" customFormat="1" x14ac:dyDescent="0.25">
      <c r="A446" s="131">
        <f>IF(MouserOrderTable[[#This Row],[Qty.]]&gt;0,IF($A445="List #",1,$A445+1),IF($A445="List #",0,$A445))</f>
        <v>117</v>
      </c>
      <c r="B446" s="78" t="str">
        <f>MouserListTable[[#This Row],[SKU]]</f>
        <v>474-COM-10827</v>
      </c>
      <c r="C446" s="78">
        <f>MouserListTable[[#This Row],['# Initial]]</f>
        <v>0</v>
      </c>
      <c r="D446" s="78" t="str">
        <f>MouserListTable[[#This Row],[Name]]</f>
        <v>Voltage Regulator - BD10KA5W (500mA)</v>
      </c>
      <c r="E446" s="130">
        <f>MouserListTable[[#This Row],[Price (USD)]]</f>
        <v>0.25</v>
      </c>
      <c r="F446" s="130">
        <f>MouserListTable[[#This Row],[Total Price]]</f>
        <v>0</v>
      </c>
    </row>
    <row r="447" spans="1:6" s="106" customFormat="1" x14ac:dyDescent="0.25">
      <c r="A447" s="131">
        <f>IF(MouserOrderTable[[#This Row],[Qty.]]&gt;0,IF($A446="List #",1,$A446+1),IF($A446="List #",0,$A446))</f>
        <v>117</v>
      </c>
      <c r="B447" s="78" t="str">
        <f>MouserListTable[[#This Row],[SKU]]</f>
        <v>474-COM-00595</v>
      </c>
      <c r="C447" s="78">
        <f>MouserListTable[[#This Row],['# Initial]]</f>
        <v>0</v>
      </c>
      <c r="D447" s="78" t="str">
        <f>MouserListTable[[#This Row],[Name]]</f>
        <v>Voltage Regulator - Adjustable LM1117 SMD</v>
      </c>
      <c r="E447" s="78">
        <f>MouserListTable[[#This Row],[Price (USD)]]</f>
        <v>1.5</v>
      </c>
      <c r="F447" s="78">
        <f>MouserListTable[[#This Row],[Total Price]]</f>
        <v>0</v>
      </c>
    </row>
    <row r="448" spans="1:6" s="106" customFormat="1" x14ac:dyDescent="0.25">
      <c r="A448" s="131">
        <f>IF(MouserOrderTable[[#This Row],[Qty.]]&gt;0,IF($A447="List #",1,$A447+1),IF($A447="List #",0,$A447))</f>
        <v>117</v>
      </c>
      <c r="B448" s="78" t="str">
        <f>MouserListTable[[#This Row],[SKU]]</f>
        <v>474-COM-10828</v>
      </c>
      <c r="C448" s="78">
        <f>MouserListTable[[#This Row],['# Initial]]</f>
        <v>0</v>
      </c>
      <c r="D448" s="78" t="str">
        <f>MouserListTable[[#This Row],[Name]]</f>
        <v>Voltage Detector - NCP303</v>
      </c>
      <c r="E448" s="78">
        <f>MouserListTable[[#This Row],[Price (USD)]]</f>
        <v>0.1</v>
      </c>
      <c r="F448" s="78">
        <f>MouserListTable[[#This Row],[Total Price]]</f>
        <v>0</v>
      </c>
    </row>
    <row r="449" spans="1:6" s="106" customFormat="1" x14ac:dyDescent="0.25">
      <c r="A449" s="131">
        <f>IF(MouserOrderTable[[#This Row],[Qty.]]&gt;0,IF($A448="List #",1,$A448+1),IF($A448="List #",0,$A448))</f>
        <v>117</v>
      </c>
      <c r="B449" s="78" t="str">
        <f>MouserListTable[[#This Row],[SKU]]</f>
        <v>474-COM-00312</v>
      </c>
      <c r="C449" s="78">
        <f>MouserListTable[[#This Row],['# Initial]]</f>
        <v>0</v>
      </c>
      <c r="D449" s="78" t="str">
        <f>MouserListTable[[#This Row],[Name]]</f>
        <v>Darlington Driver 8-Channel ULN2803 DIP</v>
      </c>
      <c r="E449" s="130">
        <f>MouserListTable[[#This Row],[Price (USD)]]</f>
        <v>1.95</v>
      </c>
      <c r="F449" s="130">
        <f>MouserListTable[[#This Row],[Total Price]]</f>
        <v>0</v>
      </c>
    </row>
    <row r="450" spans="1:6" s="106" customFormat="1" x14ac:dyDescent="0.25">
      <c r="A450" s="131">
        <f>IF(MouserOrderTable[[#This Row],[Qty.]]&gt;0,IF($A449="List #",1,$A449+1),IF($A449="List #",0,$A449))</f>
        <v>117</v>
      </c>
      <c r="B450" s="78" t="str">
        <f>MouserListTable[[#This Row],[SKU]]</f>
        <v>474-COM-13885</v>
      </c>
      <c r="C450" s="78">
        <f>MouserListTable[[#This Row],['# Initial]]</f>
        <v>0</v>
      </c>
      <c r="D450" s="78" t="str">
        <f>MouserListTable[[#This Row],[Name]]</f>
        <v>Transistor Array - ULN2803 (3 Pack)</v>
      </c>
      <c r="E450" s="130">
        <f>MouserListTable[[#This Row],[Price (USD)]]</f>
        <v>1.95</v>
      </c>
      <c r="F450" s="130">
        <f>MouserListTable[[#This Row],[Total Price]]</f>
        <v>0</v>
      </c>
    </row>
    <row r="451" spans="1:6" s="106" customFormat="1" x14ac:dyDescent="0.25">
      <c r="A451" s="131">
        <f>IF(MouserOrderTable[[#This Row],[Qty.]]&gt;0,IF($A450="List #",1,$A450+1),IF($A450="List #",0,$A450))</f>
        <v>117</v>
      </c>
      <c r="B451" s="78" t="str">
        <f>MouserListTable[[#This Row],[SKU]]</f>
        <v>474-COM-11107</v>
      </c>
      <c r="C451" s="78">
        <f>MouserListTable[[#This Row],['# Initial]]</f>
        <v>0</v>
      </c>
      <c r="D451" s="78" t="str">
        <f>MouserListTable[[#This Row],[Name]]</f>
        <v>MSP430 SMD IC</v>
      </c>
      <c r="E451" s="78">
        <f>MouserListTable[[#This Row],[Price (USD)]]</f>
        <v>1.95</v>
      </c>
      <c r="F451" s="78">
        <f>MouserListTable[[#This Row],[Total Price]]</f>
        <v>0</v>
      </c>
    </row>
    <row r="452" spans="1:6" s="106" customFormat="1" x14ac:dyDescent="0.25">
      <c r="A452" s="131">
        <f>IF(MouserOrderTable[[#This Row],[Qty.]]&gt;0,IF($A451="List #",1,$A451+1),IF($A451="List #",0,$A451))</f>
        <v>117</v>
      </c>
      <c r="B452" s="78" t="str">
        <f>MouserListTable[[#This Row],[SKU]]</f>
        <v>474-PRT-13875</v>
      </c>
      <c r="C452" s="78">
        <f>MouserListTable[[#This Row],['# Initial]]</f>
        <v>0</v>
      </c>
      <c r="D452" s="78" t="str">
        <f>MouserListTable[[#This Row],[Name]]</f>
        <v>Stackable Header - 3 Pin (Female, 0.1\")</v>
      </c>
      <c r="E452" s="78">
        <f>MouserListTable[[#This Row],[Price (USD)]]</f>
        <v>0.5</v>
      </c>
      <c r="F452" s="78">
        <f>MouserListTable[[#This Row],[Total Price]]</f>
        <v>0</v>
      </c>
    </row>
    <row r="453" spans="1:6" s="106" customFormat="1" x14ac:dyDescent="0.25">
      <c r="A453" s="131">
        <f>IF(MouserOrderTable[[#This Row],[Qty.]]&gt;0,IF($A452="List #",1,$A452+1),IF($A452="List #",0,$A452))</f>
        <v>117</v>
      </c>
      <c r="B453" s="78" t="str">
        <f>MouserListTable[[#This Row],[SKU]]</f>
        <v>474-PRT-12790</v>
      </c>
      <c r="C453" s="78">
        <f>MouserListTable[[#This Row],['# Initial]]</f>
        <v>0</v>
      </c>
      <c r="D453" s="78" t="str">
        <f>MouserListTable[[#This Row],[Name]]</f>
        <v>Stackable Header - 2x23 Pin Female</v>
      </c>
      <c r="E453" s="130">
        <f>MouserListTable[[#This Row],[Price (USD)]]</f>
        <v>2.95</v>
      </c>
      <c r="F453" s="130">
        <f>MouserListTable[[#This Row],[Total Price]]</f>
        <v>0</v>
      </c>
    </row>
    <row r="454" spans="1:6" s="106" customFormat="1" x14ac:dyDescent="0.25">
      <c r="A454" s="131">
        <f>IF(MouserOrderTable[[#This Row],[Qty.]]&gt;0,IF($A453="List #",1,$A453+1),IF($A453="List #",0,$A453))</f>
        <v>117</v>
      </c>
      <c r="B454" s="78" t="str">
        <f>MouserListTable[[#This Row],[SKU]]</f>
        <v>474-PRT-10007</v>
      </c>
      <c r="C454" s="78">
        <f>MouserListTable[[#This Row],['# Initial]]</f>
        <v>0</v>
      </c>
      <c r="D454" s="78" t="str">
        <f>MouserListTable[[#This Row],[Name]]</f>
        <v>Arduino Stackable Header Kit</v>
      </c>
      <c r="E454" s="130">
        <f>MouserListTable[[#This Row],[Price (USD)]]</f>
        <v>1.5</v>
      </c>
      <c r="F454" s="130">
        <f>MouserListTable[[#This Row],[Total Price]]</f>
        <v>0</v>
      </c>
    </row>
    <row r="455" spans="1:6" s="106" customFormat="1" x14ac:dyDescent="0.25">
      <c r="A455" s="131">
        <f>IF(MouserOrderTable[[#This Row],[Qty.]]&gt;0,IF($A454="List #",1,$A454+1),IF($A454="List #",0,$A454))</f>
        <v>117</v>
      </c>
      <c r="B455" s="78" t="str">
        <f>MouserListTable[[#This Row],[SKU]]</f>
        <v>474-PRT-11376</v>
      </c>
      <c r="C455" s="78">
        <f>MouserListTable[[#This Row],['# Initial]]</f>
        <v>0</v>
      </c>
      <c r="D455" s="78" t="str">
        <f>MouserListTable[[#This Row],[Name]]</f>
        <v>Arduino Stackable Header - 10 Pin</v>
      </c>
      <c r="E455" s="130">
        <f>MouserListTable[[#This Row],[Price (USD)]]</f>
        <v>0.5</v>
      </c>
      <c r="F455" s="130">
        <f>MouserListTable[[#This Row],[Total Price]]</f>
        <v>0</v>
      </c>
    </row>
    <row r="456" spans="1:6" s="106" customFormat="1" x14ac:dyDescent="0.25">
      <c r="A456" s="131">
        <f>IF(MouserOrderTable[[#This Row],[Qty.]]&gt;0,IF($A455="List #",1,$A455+1),IF($A455="List #",0,$A455))</f>
        <v>117</v>
      </c>
      <c r="B456" s="78" t="str">
        <f>MouserListTable[[#This Row],[SKU]]</f>
        <v>474-PRT-14311</v>
      </c>
      <c r="C456" s="78">
        <f>MouserListTable[[#This Row],['# Initial]]</f>
        <v>0</v>
      </c>
      <c r="D456" s="78" t="str">
        <f>MouserListTable[[#This Row],[Name]]</f>
        <v>ESP32 Thing Stackable Header Set</v>
      </c>
      <c r="E456" s="130">
        <f>MouserListTable[[#This Row],[Price (USD)]]</f>
        <v>1.5</v>
      </c>
      <c r="F456" s="130">
        <f>MouserListTable[[#This Row],[Total Price]]</f>
        <v>0</v>
      </c>
    </row>
    <row r="457" spans="1:6" s="106" customFormat="1" x14ac:dyDescent="0.25">
      <c r="A457" s="131">
        <f>IF(MouserOrderTable[[#This Row],[Qty.]]&gt;0,IF($A456="List #",1,$A456+1),IF($A456="List #",0,$A456))</f>
        <v>117</v>
      </c>
      <c r="B457" s="78" t="str">
        <f>MouserListTable[[#This Row],[SKU]]</f>
        <v>474-PRT-14322</v>
      </c>
      <c r="C457" s="78">
        <f>MouserListTable[[#This Row],['# Initial]]</f>
        <v>0</v>
      </c>
      <c r="D457" s="78" t="str">
        <f>MouserListTable[[#This Row],[Name]]</f>
        <v>Photon Stackable Header - 12 Pin</v>
      </c>
      <c r="E457" s="130">
        <f>MouserListTable[[#This Row],[Price (USD)]]</f>
        <v>0.5</v>
      </c>
      <c r="F457" s="130">
        <f>MouserListTable[[#This Row],[Total Price]]</f>
        <v>0</v>
      </c>
    </row>
    <row r="458" spans="1:6" s="104" customFormat="1" x14ac:dyDescent="0.25">
      <c r="A458" s="131">
        <f>IF(MouserOrderTable[[#This Row],[Qty.]]&gt;0,IF($A457="List #",1,$A457+1),IF($A457="List #",0,$A457))</f>
        <v>117</v>
      </c>
      <c r="B458" s="78" t="str">
        <f>MouserListTable[[#This Row],[SKU]]</f>
        <v>474-PRT-13925</v>
      </c>
      <c r="C458" s="78">
        <f>MouserListTable[[#This Row],['# Initial]]</f>
        <v>0</v>
      </c>
      <c r="D458" s="78" t="str">
        <f>MouserListTable[[#This Row],[Name]]</f>
        <v>Teensy Header Kit</v>
      </c>
      <c r="E458" s="130">
        <f>MouserListTable[[#This Row],[Price (USD)]]</f>
        <v>1.5</v>
      </c>
      <c r="F458" s="130">
        <f>MouserListTable[[#This Row],[Total Price]]</f>
        <v>0</v>
      </c>
    </row>
    <row r="459" spans="1:6" s="104" customFormat="1" x14ac:dyDescent="0.25">
      <c r="A459" s="131">
        <f>IF(MouserOrderTable[[#This Row],[Qty.]]&gt;0,IF($A458="List #",1,$A458+1),IF($A458="List #",0,$A458))</f>
        <v>118</v>
      </c>
      <c r="B459" s="78" t="str">
        <f>MouserListTable[[#This Row],[SKU]]</f>
        <v>485-85</v>
      </c>
      <c r="C459" s="78">
        <f>MouserListTable[[#This Row],['# Initial]]</f>
        <v>10</v>
      </c>
      <c r="D459" s="78" t="str">
        <f>MouserListTable[[#This Row],[Name]]</f>
        <v>Shield stacking headers for Arduino (R3 Compatible)</v>
      </c>
      <c r="E459" s="130">
        <f>MouserListTable[[#This Row],[Price (USD)]]</f>
        <v>1.95</v>
      </c>
      <c r="F459" s="130">
        <f>MouserListTable[[#This Row],[Total Price]]</f>
        <v>19.5</v>
      </c>
    </row>
    <row r="460" spans="1:6" s="104" customFormat="1" x14ac:dyDescent="0.25">
      <c r="A460" s="131">
        <f>IF(MouserOrderTable[[#This Row],[Qty.]]&gt;0,IF($A459="List #",1,$A459+1),IF($A459="List #",0,$A459))</f>
        <v>119</v>
      </c>
      <c r="B460" s="78" t="str">
        <f>MouserListTable[[#This Row],[SKU]]</f>
        <v>485-3366</v>
      </c>
      <c r="C460" s="78">
        <f>MouserListTable[[#This Row],['# Initial]]</f>
        <v>1</v>
      </c>
      <c r="D460" s="78" t="str">
        <f>MouserListTable[[#This Row],[Name]]</f>
        <v>36-pin Stacking header - pack of 5!</v>
      </c>
      <c r="E460" s="130">
        <f>MouserListTable[[#This Row],[Price (USD)]]</f>
        <v>2.95</v>
      </c>
      <c r="F460" s="130">
        <f>MouserListTable[[#This Row],[Total Price]]</f>
        <v>2.95</v>
      </c>
    </row>
    <row r="461" spans="1:6" s="104" customFormat="1" x14ac:dyDescent="0.25">
      <c r="A461" s="131">
        <f>IF(MouserOrderTable[[#This Row],[Qty.]]&gt;0,IF($A460="List #",1,$A460+1),IF($A460="List #",0,$A460))</f>
        <v>119</v>
      </c>
      <c r="B461" s="78" t="str">
        <f>MouserListTable[[#This Row],[SKU]]</f>
        <v>474-PRT-12807</v>
      </c>
      <c r="C461" s="78">
        <f>MouserListTable[[#This Row],['# Initial]]</f>
        <v>0</v>
      </c>
      <c r="D461" s="78" t="str">
        <f>MouserListTable[[#This Row],[Name]]</f>
        <v>Header - 2x3 (Male, 0.1\")</v>
      </c>
      <c r="E461" s="130">
        <f>MouserListTable[[#This Row],[Price (USD)]]</f>
        <v>0.5</v>
      </c>
      <c r="F461" s="130">
        <f>MouserListTable[[#This Row],[Total Price]]</f>
        <v>0</v>
      </c>
    </row>
    <row r="462" spans="1:6" s="104" customFormat="1" x14ac:dyDescent="0.25">
      <c r="A462" s="131">
        <f>IF(MouserOrderTable[[#This Row],[Qty.]]&gt;0,IF($A461="List #",1,$A461+1),IF($A461="List #",0,$A461))</f>
        <v>119</v>
      </c>
      <c r="B462" s="78" t="str">
        <f>MouserListTable[[#This Row],[SKU]]</f>
        <v>474-PRT-13156</v>
      </c>
      <c r="C462" s="78">
        <f>MouserListTable[[#This Row],['# Initial]]</f>
        <v>0</v>
      </c>
      <c r="D462" s="78" t="str">
        <f>MouserListTable[[#This Row],[Name]]</f>
        <v xml:space="preserve">Header - 2x8 (Male, 0.1\") </v>
      </c>
      <c r="E462" s="130">
        <f>MouserListTable[[#This Row],[Price (USD)]]</f>
        <v>0.95</v>
      </c>
      <c r="F462" s="130">
        <f>MouserListTable[[#This Row],[Total Price]]</f>
        <v>0</v>
      </c>
    </row>
    <row r="463" spans="1:6" s="104" customFormat="1" x14ac:dyDescent="0.25">
      <c r="A463" s="131">
        <f>IF(MouserOrderTable[[#This Row],[Qty.]]&gt;0,IF($A462="List #",1,$A462+1),IF($A462="List #",0,$A462))</f>
        <v>119</v>
      </c>
      <c r="B463" s="78" t="str">
        <f>MouserListTable[[#This Row],[SKU]]</f>
        <v>474-PRT-12791</v>
      </c>
      <c r="C463" s="78">
        <f>MouserListTable[[#This Row],['# Initial]]</f>
        <v>0</v>
      </c>
      <c r="D463" s="78" t="str">
        <f>MouserListTable[[#This Row],[Name]]</f>
        <v>Header - 2x23-pin Male (PTH, 0.1\")</v>
      </c>
      <c r="E463" s="78">
        <f>MouserListTable[[#This Row],[Price (USD)]]</f>
        <v>0.95</v>
      </c>
      <c r="F463" s="78">
        <f>MouserListTable[[#This Row],[Total Price]]</f>
        <v>0</v>
      </c>
    </row>
    <row r="464" spans="1:6" s="104" customFormat="1" x14ac:dyDescent="0.25">
      <c r="A464" s="131">
        <f>IF(MouserOrderTable[[#This Row],[Qty.]]&gt;0,IF($A463="List #",1,$A463+1),IF($A463="List #",0,$A463))</f>
        <v>119</v>
      </c>
      <c r="B464" s="78" t="str">
        <f>MouserListTable[[#This Row],[SKU]]</f>
        <v>474-PRT-00116</v>
      </c>
      <c r="C464" s="78">
        <f>MouserListTable[[#This Row],['# Initial]]</f>
        <v>0</v>
      </c>
      <c r="D464" s="78" t="str">
        <f>MouserListTable[[#This Row],[Name]]</f>
        <v>Break Away Headers - Straight</v>
      </c>
      <c r="E464" s="78">
        <f>MouserListTable[[#This Row],[Price (USD)]]</f>
        <v>1.5</v>
      </c>
      <c r="F464" s="78">
        <f>MouserListTable[[#This Row],[Total Price]]</f>
        <v>0</v>
      </c>
    </row>
    <row r="465" spans="1:6" s="104" customFormat="1" x14ac:dyDescent="0.25">
      <c r="A465" s="131">
        <f>IF(MouserOrderTable[[#This Row],[Qty.]]&gt;0,IF($A464="List #",1,$A464+1),IF($A464="List #",0,$A464))</f>
        <v>120</v>
      </c>
      <c r="B465" s="78" t="str">
        <f>MouserListTable[[#This Row],[SKU]]</f>
        <v>485-392</v>
      </c>
      <c r="C465" s="78">
        <f>MouserListTable[[#This Row],['# Initial]]</f>
        <v>1</v>
      </c>
      <c r="D465" s="78" t="str">
        <f>MouserListTable[[#This Row],[Name]]</f>
        <v>Break-away 0.1" 36-pin strip male header (10 pieces)</v>
      </c>
      <c r="E465" s="130">
        <f>MouserListTable[[#This Row],[Price (USD)]]</f>
        <v>4.95</v>
      </c>
      <c r="F465" s="130">
        <f>MouserListTable[[#This Row],[Total Price]]</f>
        <v>4.95</v>
      </c>
    </row>
    <row r="466" spans="1:6" s="104" customFormat="1" x14ac:dyDescent="0.25">
      <c r="A466" s="131">
        <f>IF(MouserOrderTable[[#This Row],[Qty.]]&gt;0,IF($A465="List #",1,$A465+1),IF($A465="List #",0,$A465))</f>
        <v>121</v>
      </c>
      <c r="B466" s="78" t="str">
        <f>MouserListTable[[#This Row],[SKU]]</f>
        <v>485-3009</v>
      </c>
      <c r="C466" s="78">
        <f>MouserListTable[[#This Row],['# Initial]]</f>
        <v>1</v>
      </c>
      <c r="D466" s="78" t="str">
        <f>MouserListTable[[#This Row],[Name]]</f>
        <v xml:space="preserve">36-pin 0.1" Short Break-away Male Header - Pack of 10 </v>
      </c>
      <c r="E466" s="130">
        <f>MouserListTable[[#This Row],[Price (USD)]]</f>
        <v>4.95</v>
      </c>
      <c r="F466" s="130">
        <f>MouserListTable[[#This Row],[Total Price]]</f>
        <v>4.95</v>
      </c>
    </row>
    <row r="467" spans="1:6" s="104" customFormat="1" x14ac:dyDescent="0.25">
      <c r="A467" s="131">
        <f>IF(MouserOrderTable[[#This Row],[Qty.]]&gt;0,IF($A466="List #",1,$A466+1),IF($A466="List #",0,$A466))</f>
        <v>122</v>
      </c>
      <c r="B467" s="78" t="str">
        <f>MouserListTable[[#This Row],[SKU]]</f>
        <v>474-PRT-10158</v>
      </c>
      <c r="C467" s="78">
        <f>MouserListTable[[#This Row],['# Initial]]</f>
        <v>5</v>
      </c>
      <c r="D467" s="78" t="str">
        <f>MouserListTable[[#This Row],[Name]]</f>
        <v>Break Away Headers - Long</v>
      </c>
      <c r="E467" s="130">
        <f>MouserListTable[[#This Row],[Price (USD)]]</f>
        <v>2.95</v>
      </c>
      <c r="F467" s="130">
        <f>MouserListTable[[#This Row],[Total Price]]</f>
        <v>14.75</v>
      </c>
    </row>
    <row r="468" spans="1:6" s="104" customFormat="1" x14ac:dyDescent="0.25">
      <c r="A468" s="131">
        <f>IF(MouserOrderTable[[#This Row],[Qty.]]&gt;0,IF($A467="List #",1,$A467+1),IF($A467="List #",0,$A467))</f>
        <v>123</v>
      </c>
      <c r="B468" s="78" t="str">
        <f>MouserListTable[[#This Row],[SKU]]</f>
        <v>474-PRT-12693</v>
      </c>
      <c r="C468" s="78">
        <f>MouserListTable[[#This Row],['# Initial]]</f>
        <v>5</v>
      </c>
      <c r="D468" s="78" t="str">
        <f>MouserListTable[[#This Row],[Name]]</f>
        <v>Break Away Headers - 40-pin Male (Long Centered, PTH, 0.1\")</v>
      </c>
      <c r="E468" s="130">
        <f>MouserListTable[[#This Row],[Price (USD)]]</f>
        <v>0.75</v>
      </c>
      <c r="F468" s="130">
        <f>MouserListTable[[#This Row],[Total Price]]</f>
        <v>3.75</v>
      </c>
    </row>
    <row r="469" spans="1:6" s="104" customFormat="1" x14ac:dyDescent="0.25">
      <c r="A469" s="131">
        <f>IF(MouserOrderTable[[#This Row],[Qty.]]&gt;0,IF($A468="List #",1,$A468+1),IF($A468="List #",0,$A468))</f>
        <v>124</v>
      </c>
      <c r="B469" s="78" t="str">
        <f>MouserListTable[[#This Row],[SKU]]</f>
        <v>485-400</v>
      </c>
      <c r="C469" s="78">
        <f>MouserListTable[[#This Row],['# Initial]]</f>
        <v>1</v>
      </c>
      <c r="D469" s="78" t="str">
        <f>MouserListTable[[#This Row],[Name]]</f>
        <v>Extra-long break-away 0.1" 16-pin strip male header (5 pieces)</v>
      </c>
      <c r="E469" s="78">
        <f>MouserListTable[[#This Row],[Price (USD)]]</f>
        <v>3</v>
      </c>
      <c r="F469" s="78">
        <f>MouserListTable[[#This Row],[Total Price]]</f>
        <v>3</v>
      </c>
    </row>
    <row r="470" spans="1:6" s="104" customFormat="1" x14ac:dyDescent="0.25">
      <c r="A470" s="131">
        <f>IF(MouserOrderTable[[#This Row],[Qty.]]&gt;0,IF($A469="List #",1,$A469+1),IF($A469="List #",0,$A469))</f>
        <v>124</v>
      </c>
      <c r="B470" s="78" t="str">
        <f>MouserListTable[[#This Row],[SKU]]</f>
        <v>474-PRT-00553</v>
      </c>
      <c r="C470" s="78">
        <f>MouserListTable[[#This Row],['# Initial]]</f>
        <v>0</v>
      </c>
      <c r="D470" s="78" t="str">
        <f>MouserListTable[[#This Row],[Name]]</f>
        <v>Break Away Male Headers - Right Angle</v>
      </c>
      <c r="E470" s="130">
        <f>MouserListTable[[#This Row],[Price (USD)]]</f>
        <v>1.95</v>
      </c>
      <c r="F470" s="130">
        <f>MouserListTable[[#This Row],[Total Price]]</f>
        <v>0</v>
      </c>
    </row>
    <row r="471" spans="1:6" s="104" customFormat="1" x14ac:dyDescent="0.25">
      <c r="A471" s="131">
        <f>IF(MouserOrderTable[[#This Row],[Qty.]]&gt;0,IF($A470="List #",1,$A470+1),IF($A470="List #",0,$A470))</f>
        <v>124</v>
      </c>
      <c r="B471" s="78" t="str">
        <f>MouserListTable[[#This Row],[SKU]]</f>
        <v>485-1540</v>
      </c>
      <c r="C471" s="78">
        <f>MouserListTable[[#This Row],['# Initial]]</f>
        <v>0</v>
      </c>
      <c r="D471" s="78" t="str">
        <f>MouserListTable[[#This Row],[Name]]</f>
        <v xml:space="preserve">Break-away 0.1" 36-pin strip right-angle male header (10 pack) </v>
      </c>
      <c r="E471" s="78">
        <f>MouserListTable[[#This Row],[Price (USD)]]</f>
        <v>5.95</v>
      </c>
      <c r="F471" s="78">
        <f>MouserListTable[[#This Row],[Total Price]]</f>
        <v>0</v>
      </c>
    </row>
    <row r="472" spans="1:6" s="104" customFormat="1" x14ac:dyDescent="0.25">
      <c r="A472" s="131">
        <f>IF(MouserOrderTable[[#This Row],[Qty.]]&gt;0,IF($A471="List #",1,$A471+1),IF($A471="List #",0,$A471))</f>
        <v>124</v>
      </c>
      <c r="B472" s="78" t="str">
        <f>MouserListTable[[#This Row],[SKU]]</f>
        <v>485-2822</v>
      </c>
      <c r="C472" s="78">
        <f>MouserListTable[[#This Row],['# Initial]]</f>
        <v>0</v>
      </c>
      <c r="D472" s="78" t="str">
        <f>MouserListTable[[#This Row],[Name]]</f>
        <v>Break-away 0.1" 2x20-pin Strip Dual Male Header</v>
      </c>
      <c r="E472" s="78">
        <f>MouserListTable[[#This Row],[Price (USD)]]</f>
        <v>0.95</v>
      </c>
      <c r="F472" s="78">
        <f>MouserListTable[[#This Row],[Total Price]]</f>
        <v>0</v>
      </c>
    </row>
    <row r="473" spans="1:6" s="104" customFormat="1" x14ac:dyDescent="0.25">
      <c r="A473" s="131">
        <f>IF(MouserOrderTable[[#This Row],[Qty.]]&gt;0,IF($A472="List #",1,$A472+1),IF($A472="List #",0,$A472))</f>
        <v>125</v>
      </c>
      <c r="B473" s="78" t="str">
        <f>MouserListTable[[#This Row],[SKU]]</f>
        <v>485-1539</v>
      </c>
      <c r="C473" s="78">
        <f>MouserListTable[[#This Row],['# Initial]]</f>
        <v>1</v>
      </c>
      <c r="D473" s="78" t="str">
        <f>MouserListTable[[#This Row],[Name]]</f>
        <v>Break-away 0.1" 2x36-pin strip dual male header (10 pieces)</v>
      </c>
      <c r="E473" s="78">
        <f>MouserListTable[[#This Row],[Price (USD)]]</f>
        <v>7.5</v>
      </c>
      <c r="F473" s="78">
        <f>MouserListTable[[#This Row],[Total Price]]</f>
        <v>7.5</v>
      </c>
    </row>
    <row r="474" spans="1:6" s="104" customFormat="1" x14ac:dyDescent="0.25">
      <c r="A474" s="131">
        <f>IF(MouserOrderTable[[#This Row],[Qty.]]&gt;0,IF($A473="List #",1,$A473+1),IF($A473="List #",0,$A473))</f>
        <v>126</v>
      </c>
      <c r="B474" s="78" t="str">
        <f>MouserListTable[[#This Row],[SKU]]</f>
        <v>485-1541</v>
      </c>
      <c r="C474" s="78">
        <f>MouserListTable[[#This Row],['# Initial]]</f>
        <v>1</v>
      </c>
      <c r="D474" s="78" t="str">
        <f>MouserListTable[[#This Row],[Name]]</f>
        <v xml:space="preserve">Break-away 0.1" 2x36-pin strip right-angle male header (5 pack) </v>
      </c>
      <c r="E474" s="78">
        <f>MouserListTable[[#This Row],[Price (USD)]]</f>
        <v>5.95</v>
      </c>
      <c r="F474" s="78">
        <f>MouserListTable[[#This Row],[Total Price]]</f>
        <v>5.95</v>
      </c>
    </row>
    <row r="475" spans="1:6" s="104" customFormat="1" x14ac:dyDescent="0.25">
      <c r="A475" s="131">
        <f>IF(MouserOrderTable[[#This Row],[Qty.]]&gt;0,IF($A474="List #",1,$A474+1),IF($A474="List #",0,$A474))</f>
        <v>126</v>
      </c>
      <c r="B475" s="78" t="str">
        <f>MouserListTable[[#This Row],[SKU]]</f>
        <v>474-COM-12792</v>
      </c>
      <c r="C475" s="78">
        <f>MouserListTable[[#This Row],['# Initial]]</f>
        <v>0</v>
      </c>
      <c r="D475" s="78" t="str">
        <f>MouserListTable[[#This Row],[Name]]</f>
        <v>Break Away Headers - Right Angle 2x40</v>
      </c>
      <c r="E475" s="78">
        <f>MouserListTable[[#This Row],[Price (USD)]]</f>
        <v>1.95</v>
      </c>
      <c r="F475" s="78">
        <f>MouserListTable[[#This Row],[Total Price]]</f>
        <v>0</v>
      </c>
    </row>
    <row r="476" spans="1:6" s="104" customFormat="1" x14ac:dyDescent="0.25">
      <c r="A476" s="131">
        <f>IF(MouserOrderTable[[#This Row],[Qty.]]&gt;0,IF($A475="List #",1,$A475+1),IF($A475="List #",0,$A475))</f>
        <v>126</v>
      </c>
      <c r="B476" s="78" t="str">
        <f>MouserListTable[[#This Row],[SKU]]</f>
        <v>474-COM-10095</v>
      </c>
      <c r="C476" s="78">
        <f>MouserListTable[[#This Row],['# Initial]]</f>
        <v>0</v>
      </c>
      <c r="D476" s="78" t="str">
        <f>MouserListTable[[#This Row],[Name]]</f>
        <v>Break Away Headers - Right Angle 3x40</v>
      </c>
      <c r="E476" s="130">
        <f>MouserListTable[[#This Row],[Price (USD)]]</f>
        <v>4.95</v>
      </c>
      <c r="F476" s="130">
        <f>MouserListTable[[#This Row],[Total Price]]</f>
        <v>0</v>
      </c>
    </row>
    <row r="477" spans="1:6" s="104" customFormat="1" x14ac:dyDescent="0.25">
      <c r="A477" s="131">
        <f>IF(MouserOrderTable[[#This Row],[Qty.]]&gt;0,IF($A476="List #",1,$A476+1),IF($A476="List #",0,$A476))</f>
        <v>126</v>
      </c>
      <c r="B477" s="78" t="str">
        <f>MouserListTable[[#This Row],[SKU]]</f>
        <v>474-PRT-10112</v>
      </c>
      <c r="C477" s="78">
        <f>MouserListTable[[#This Row],['# Initial]]</f>
        <v>0</v>
      </c>
      <c r="D477" s="78" t="str">
        <f>MouserListTable[[#This Row],[Name]]</f>
        <v>2mm 10pin XBee Header</v>
      </c>
      <c r="E477" s="78">
        <f>MouserListTable[[#This Row],[Price (USD)]]</f>
        <v>0.95</v>
      </c>
      <c r="F477" s="78">
        <f>MouserListTable[[#This Row],[Total Price]]</f>
        <v>0</v>
      </c>
    </row>
    <row r="478" spans="1:6" s="104" customFormat="1" x14ac:dyDescent="0.25">
      <c r="A478" s="131">
        <f>IF(MouserOrderTable[[#This Row],[Qty.]]&gt;0,IF($A477="List #",1,$A477+1),IF($A477="List #",0,$A477))</f>
        <v>127</v>
      </c>
      <c r="B478" s="78" t="str">
        <f>MouserListTable[[#This Row],[SKU]]</f>
        <v>485-2671</v>
      </c>
      <c r="C478" s="78">
        <f>MouserListTable[[#This Row],['# Initial]]</f>
        <v>1</v>
      </c>
      <c r="D478" s="78" t="str">
        <f>MouserListTable[[#This Row],[Name]]</f>
        <v>2mm Pitch 40-Pin Break-apart Male Headers - Pack of 5</v>
      </c>
      <c r="E478" s="78">
        <f>MouserListTable[[#This Row],[Price (USD)]]</f>
        <v>2.95</v>
      </c>
      <c r="F478" s="78">
        <f>MouserListTable[[#This Row],[Total Price]]</f>
        <v>2.95</v>
      </c>
    </row>
    <row r="479" spans="1:6" s="104" customFormat="1" x14ac:dyDescent="0.25">
      <c r="A479" s="131">
        <f>IF(MouserOrderTable[[#This Row],[Qty.]]&gt;0,IF($A478="List #",1,$A478+1),IF($A478="List #",0,$A478))</f>
        <v>127</v>
      </c>
      <c r="B479" s="78" t="str">
        <f>MouserListTable[[#This Row],[SKU]]</f>
        <v>485-2886</v>
      </c>
      <c r="C479" s="78">
        <f>MouserListTable[[#This Row],['# Initial]]</f>
        <v>0</v>
      </c>
      <c r="D479" s="78" t="str">
        <f>MouserListTable[[#This Row],[Name]]</f>
        <v xml:space="preserve">Feather Header Kit - 12-pin and 16-pin Female Header Set </v>
      </c>
      <c r="E479" s="78">
        <f>MouserListTable[[#This Row],[Price (USD)]]</f>
        <v>0.95</v>
      </c>
      <c r="F479" s="78">
        <f>MouserListTable[[#This Row],[Total Price]]</f>
        <v>0</v>
      </c>
    </row>
    <row r="480" spans="1:6" s="104" customFormat="1" x14ac:dyDescent="0.25">
      <c r="A480" s="131">
        <f>IF(MouserOrderTable[[#This Row],[Qty.]]&gt;0,IF($A479="List #",1,$A479+1),IF($A479="List #",0,$A479))</f>
        <v>128</v>
      </c>
      <c r="B480" s="78" t="str">
        <f>MouserListTable[[#This Row],[SKU]]</f>
        <v>485-598</v>
      </c>
      <c r="C480" s="78">
        <f>MouserListTable[[#This Row],['# Initial]]</f>
        <v>1</v>
      </c>
      <c r="D480" s="78" t="str">
        <f>MouserListTable[[#This Row],[Name]]</f>
        <v>36-pin 0.1" Female header - pack of 5!</v>
      </c>
      <c r="E480" s="78">
        <f>MouserListTable[[#This Row],[Price (USD)]]</f>
        <v>2.95</v>
      </c>
      <c r="F480" s="78">
        <f>MouserListTable[[#This Row],[Total Price]]</f>
        <v>2.95</v>
      </c>
    </row>
    <row r="481" spans="1:6" s="104" customFormat="1" x14ac:dyDescent="0.25">
      <c r="A481" s="131">
        <f>IF(MouserOrderTable[[#This Row],[Qty.]]&gt;0,IF($A480="List #",1,$A480+1),IF($A480="List #",0,$A480))</f>
        <v>129</v>
      </c>
      <c r="B481" s="78" t="str">
        <f>MouserListTable[[#This Row],[SKU]]</f>
        <v>485-3008</v>
      </c>
      <c r="C481" s="78">
        <f>MouserListTable[[#This Row],['# Initial]]</f>
        <v>1</v>
      </c>
      <c r="D481" s="78" t="str">
        <f>MouserListTable[[#This Row],[Name]]</f>
        <v xml:space="preserve">36-pin 0.1" Short Female Header - Pack of 5 </v>
      </c>
      <c r="E481" s="78">
        <f>MouserListTable[[#This Row],[Price (USD)]]</f>
        <v>7.95</v>
      </c>
      <c r="F481" s="78">
        <f>MouserListTable[[#This Row],[Total Price]]</f>
        <v>7.95</v>
      </c>
    </row>
    <row r="482" spans="1:6" s="104" customFormat="1" x14ac:dyDescent="0.25">
      <c r="A482" s="131">
        <f>IF(MouserOrderTable[[#This Row],[Qty.]]&gt;0,IF($A481="List #",1,$A481+1),IF($A481="List #",0,$A481))</f>
        <v>130</v>
      </c>
      <c r="B482" s="78" t="str">
        <f>MouserListTable[[#This Row],[SKU]]</f>
        <v>485-1542</v>
      </c>
      <c r="C482" s="78">
        <f>MouserListTable[[#This Row],['# Initial]]</f>
        <v>1</v>
      </c>
      <c r="D482" s="78" t="str">
        <f>MouserListTable[[#This Row],[Name]]</f>
        <v>0.1" 36-pin Strip Right-Angle Female/Socket Header (5 pack)</v>
      </c>
      <c r="E482" s="78">
        <f>MouserListTable[[#This Row],[Price (USD)]]</f>
        <v>4.95</v>
      </c>
      <c r="F482" s="78">
        <f>MouserListTable[[#This Row],[Total Price]]</f>
        <v>4.95</v>
      </c>
    </row>
    <row r="483" spans="1:6" s="104" customFormat="1" x14ac:dyDescent="0.25">
      <c r="A483" s="131">
        <f>IF(MouserOrderTable[[#This Row],[Qty.]]&gt;0,IF($A482="List #",1,$A482+1),IF($A482="List #",0,$A482))</f>
        <v>131</v>
      </c>
      <c r="B483" s="78" t="str">
        <f>MouserListTable[[#This Row],[SKU]]</f>
        <v>485-1544</v>
      </c>
      <c r="C483" s="78">
        <f>MouserListTable[[#This Row],['# Initial]]</f>
        <v>1</v>
      </c>
      <c r="D483" s="78" t="str">
        <f>MouserListTable[[#This Row],[Name]]</f>
        <v>0.1" 2x36-pin Strip Straight Socket (Female) Header (5 pack)</v>
      </c>
      <c r="E483" s="130">
        <f>MouserListTable[[#This Row],[Price (USD)]]</f>
        <v>5.95</v>
      </c>
      <c r="F483" s="130">
        <f>MouserListTable[[#This Row],[Total Price]]</f>
        <v>5.95</v>
      </c>
    </row>
    <row r="484" spans="1:6" s="104" customFormat="1" x14ac:dyDescent="0.25">
      <c r="A484" s="131">
        <f>IF(MouserOrderTable[[#This Row],[Qty.]]&gt;0,IF($A483="List #",1,$A483+1),IF($A483="List #",0,$A483))</f>
        <v>131</v>
      </c>
      <c r="B484" s="78" t="str">
        <f>MouserListTable[[#This Row],[SKU]]</f>
        <v>485-2823</v>
      </c>
      <c r="C484" s="78">
        <f>MouserListTable[[#This Row],['# Initial]]</f>
        <v>0</v>
      </c>
      <c r="D484" s="78" t="str">
        <f>MouserListTable[[#This Row],[Name]]</f>
        <v xml:space="preserve">0.1" 2x20-pin Strip Right Angle Female Header </v>
      </c>
      <c r="E484" s="130">
        <f>MouserListTable[[#This Row],[Price (USD)]]</f>
        <v>1.5</v>
      </c>
      <c r="F484" s="130">
        <f>MouserListTable[[#This Row],[Total Price]]</f>
        <v>0</v>
      </c>
    </row>
    <row r="485" spans="1:6" s="104" customFormat="1" x14ac:dyDescent="0.25">
      <c r="A485" s="131">
        <f>IF(MouserOrderTable[[#This Row],[Qty.]]&gt;0,IF($A484="List #",1,$A484+1),IF($A484="List #",0,$A484))</f>
        <v>132</v>
      </c>
      <c r="B485" s="78" t="str">
        <f>MouserListTable[[#This Row],[SKU]]</f>
        <v>485-1543</v>
      </c>
      <c r="C485" s="78">
        <f>MouserListTable[[#This Row],['# Initial]]</f>
        <v>1</v>
      </c>
      <c r="D485" s="78" t="str">
        <f>MouserListTable[[#This Row],[Name]]</f>
        <v>0.1" 2x36-pin Strip Right-Angle Socket (Female) Header (5 pack)</v>
      </c>
      <c r="E485" s="78">
        <f>MouserListTable[[#This Row],[Price (USD)]]</f>
        <v>7.95</v>
      </c>
      <c r="F485" s="78">
        <f>MouserListTable[[#This Row],[Total Price]]</f>
        <v>7.95</v>
      </c>
    </row>
    <row r="486" spans="1:6" s="104" customFormat="1" x14ac:dyDescent="0.25">
      <c r="A486" s="131">
        <f>IF(MouserOrderTable[[#This Row],[Qty.]]&gt;0,IF($A485="List #",1,$A485+1),IF($A485="List #",0,$A485))</f>
        <v>132</v>
      </c>
      <c r="B486" s="78" t="str">
        <f>MouserListTable[[#This Row],[SKU]]</f>
        <v>485-3342</v>
      </c>
      <c r="C486" s="78">
        <f>MouserListTable[[#This Row],['# Initial]]</f>
        <v>0</v>
      </c>
      <c r="D486" s="78" t="str">
        <f>MouserListTable[[#This Row],[Name]]</f>
        <v xml:space="preserve">2x40 Right Angle Edge Connector for micro:bit </v>
      </c>
      <c r="E486" s="78">
        <f>MouserListTable[[#This Row],[Price (USD)]]</f>
        <v>0</v>
      </c>
      <c r="F486" s="78">
        <f>MouserListTable[[#This Row],[Total Price]]</f>
        <v>0</v>
      </c>
    </row>
    <row r="487" spans="1:6" s="104" customFormat="1" x14ac:dyDescent="0.25">
      <c r="A487" s="131">
        <f>IF(MouserOrderTable[[#This Row],[Qty.]]&gt;0,IF($A486="List #",1,$A486+1),IF($A486="List #",0,$A486))</f>
        <v>132</v>
      </c>
      <c r="B487" s="78" t="str">
        <f>MouserListTable[[#This Row],[SKU]]</f>
        <v>474-PRT-13010</v>
      </c>
      <c r="C487" s="78">
        <f>MouserListTable[[#This Row],['# Initial]]</f>
        <v>0</v>
      </c>
      <c r="D487" s="78" t="str">
        <f>MouserListTable[[#This Row],[Name]]</f>
        <v>Header - 2x3 (Female, 0.1\")</v>
      </c>
      <c r="E487" s="78">
        <f>MouserListTable[[#This Row],[Price (USD)]]</f>
        <v>0.5</v>
      </c>
      <c r="F487" s="78">
        <f>MouserListTable[[#This Row],[Total Price]]</f>
        <v>0</v>
      </c>
    </row>
    <row r="488" spans="1:6" s="104" customFormat="1" x14ac:dyDescent="0.25">
      <c r="A488" s="131">
        <f>IF(MouserOrderTable[[#This Row],[Qty.]]&gt;0,IF($A487="List #",1,$A487+1),IF($A487="List #",0,$A487))</f>
        <v>133</v>
      </c>
      <c r="B488" s="78" t="str">
        <f>MouserListTable[[#This Row],[SKU]]</f>
        <v>474-PRT-10877</v>
      </c>
      <c r="C488" s="78">
        <f>MouserListTable[[#This Row],['# Initial]]</f>
        <v>5</v>
      </c>
      <c r="D488" s="78" t="str">
        <f>MouserListTable[[#This Row],[Name]]</f>
        <v>2x3 Pin Shrouded Header</v>
      </c>
      <c r="E488" s="78">
        <f>MouserListTable[[#This Row],[Price (USD)]]</f>
        <v>1.5</v>
      </c>
      <c r="F488" s="78">
        <f>MouserListTable[[#This Row],[Total Price]]</f>
        <v>7.5</v>
      </c>
    </row>
    <row r="489" spans="1:6" s="104" customFormat="1" x14ac:dyDescent="0.25">
      <c r="A489" s="131">
        <f>IF(MouserOrderTable[[#This Row],[Qty.]]&gt;0,IF($A488="List #",1,$A488+1),IF($A488="List #",0,$A488))</f>
        <v>134</v>
      </c>
      <c r="B489" s="78" t="str">
        <f>MouserListTable[[#This Row],[SKU]]</f>
        <v>474-PRT-08506</v>
      </c>
      <c r="C489" s="78">
        <f>MouserListTable[[#This Row],['# Initial]]</f>
        <v>5</v>
      </c>
      <c r="D489" s="78" t="str">
        <f>MouserListTable[[#This Row],[Name]]</f>
        <v>2x5 Pin Shrouded Header</v>
      </c>
      <c r="E489" s="78">
        <f>MouserListTable[[#This Row],[Price (USD)]]</f>
        <v>1.5</v>
      </c>
      <c r="F489" s="78">
        <f>MouserListTable[[#This Row],[Total Price]]</f>
        <v>7.5</v>
      </c>
    </row>
    <row r="490" spans="1:6" s="104" customFormat="1" x14ac:dyDescent="0.25">
      <c r="A490" s="131">
        <f>IF(MouserOrderTable[[#This Row],[Qty.]]&gt;0,IF($A489="List #",1,$A489+1),IF($A489="List #",0,$A489))</f>
        <v>134</v>
      </c>
      <c r="B490" s="78" t="str">
        <f>MouserListTable[[#This Row],[SKU]]</f>
        <v>485-1465</v>
      </c>
      <c r="C490" s="78">
        <f>MouserListTable[[#This Row],['# Initial]]</f>
        <v>0</v>
      </c>
      <c r="D490" s="78" t="str">
        <f>MouserListTable[[#This Row],[Name]]</f>
        <v>Adafruit 6-pin AVR ISP Breadboard Adapter Mini Kit</v>
      </c>
      <c r="E490" s="78">
        <f>MouserListTable[[#This Row],[Price (USD)]]</f>
        <v>0.95</v>
      </c>
      <c r="F490" s="78">
        <f>MouserListTable[[#This Row],[Total Price]]</f>
        <v>0</v>
      </c>
    </row>
    <row r="491" spans="1:6" s="104" customFormat="1" x14ac:dyDescent="0.25">
      <c r="A491" s="131">
        <f>IF(MouserOrderTable[[#This Row],[Qty.]]&gt;0,IF($A490="List #",1,$A490+1),IF($A490="List #",0,$A490))</f>
        <v>134</v>
      </c>
      <c r="B491" s="78" t="str">
        <f>MouserListTable[[#This Row],[SKU]]</f>
        <v>474-PRT-08272</v>
      </c>
      <c r="C491" s="78">
        <f>MouserListTable[[#This Row],['# Initial]]</f>
        <v>0</v>
      </c>
      <c r="D491" s="78" t="str">
        <f>MouserListTable[[#This Row],[Name]]</f>
        <v>2mm 10pin XBee Socket</v>
      </c>
      <c r="E491" s="78">
        <f>MouserListTable[[#This Row],[Price (USD)]]</f>
        <v>1</v>
      </c>
      <c r="F491" s="78">
        <f>MouserListTable[[#This Row],[Total Price]]</f>
        <v>0</v>
      </c>
    </row>
    <row r="492" spans="1:6" s="104" customFormat="1" x14ac:dyDescent="0.25">
      <c r="A492" s="131">
        <f>IF(MouserOrderTable[[#This Row],[Qty.]]&gt;0,IF($A491="List #",1,$A491+1),IF($A491="List #",0,$A491))</f>
        <v>135</v>
      </c>
      <c r="B492" s="78" t="str">
        <f>MouserListTable[[#This Row],[SKU]]</f>
        <v>485-366</v>
      </c>
      <c r="C492" s="78">
        <f>MouserListTable[[#This Row],['# Initial]]</f>
        <v>10</v>
      </c>
      <c r="D492" s="78" t="str">
        <f>MouserListTable[[#This Row],[Name]]</f>
        <v>2mm 10 pin Socket Headers (for XBee) - Pack of 2</v>
      </c>
      <c r="E492" s="78">
        <f>MouserListTable[[#This Row],[Price (USD)]]</f>
        <v>0.95</v>
      </c>
      <c r="F492" s="78">
        <f>MouserListTable[[#This Row],[Total Price]]</f>
        <v>9.5</v>
      </c>
    </row>
    <row r="493" spans="1:6" s="104" customFormat="1" x14ac:dyDescent="0.25">
      <c r="A493" s="131">
        <f>IF(MouserOrderTable[[#This Row],[Qty.]]&gt;0,IF($A492="List #",1,$A492+1),IF($A492="List #",0,$A492))</f>
        <v>136</v>
      </c>
      <c r="B493" s="78" t="str">
        <f>MouserListTable[[#This Row],[SKU]]</f>
        <v>485-2672</v>
      </c>
      <c r="C493" s="78">
        <f>MouserListTable[[#This Row],['# Initial]]</f>
        <v>1</v>
      </c>
      <c r="D493" s="78" t="str">
        <f>MouserListTable[[#This Row],[Name]]</f>
        <v>2mm Pitch 25-Pin Female Socket Headers - Pack of 5</v>
      </c>
      <c r="E493" s="78">
        <f>MouserListTable[[#This Row],[Price (USD)]]</f>
        <v>3.95</v>
      </c>
      <c r="F493" s="78">
        <f>MouserListTable[[#This Row],[Total Price]]</f>
        <v>3.95</v>
      </c>
    </row>
    <row r="494" spans="1:6" s="104" customFormat="1" x14ac:dyDescent="0.25">
      <c r="A494" s="131">
        <f>IF(MouserOrderTable[[#This Row],[Qty.]]&gt;0,IF($A493="List #",1,$A493+1),IF($A493="List #",0,$A493))</f>
        <v>136</v>
      </c>
      <c r="B494" s="78" t="str">
        <f>MouserListTable[[#This Row],[SKU]]</f>
        <v>474-COM-14087</v>
      </c>
      <c r="C494" s="78">
        <f>MouserListTable[[#This Row],['# Initial]]</f>
        <v>0</v>
      </c>
      <c r="D494" s="78" t="str">
        <f>MouserListTable[[#This Row],[Name]]</f>
        <v>Flip-Pin (20-pins)</v>
      </c>
      <c r="E494" s="78">
        <f>MouserListTable[[#This Row],[Price (USD)]]</f>
        <v>1.95</v>
      </c>
      <c r="F494" s="78">
        <f>MouserListTable[[#This Row],[Total Price]]</f>
        <v>0</v>
      </c>
    </row>
    <row r="495" spans="1:6" s="104" customFormat="1" x14ac:dyDescent="0.25">
      <c r="A495" s="131">
        <f>IF(MouserOrderTable[[#This Row],[Qty.]]&gt;0,IF($A494="List #",1,$A494+1),IF($A494="List #",0,$A494))</f>
        <v>136</v>
      </c>
      <c r="B495" s="78" t="str">
        <f>MouserListTable[[#This Row],[SKU]]</f>
        <v>474-COM-14086</v>
      </c>
      <c r="C495" s="78">
        <f>MouserListTable[[#This Row],['# Initial]]</f>
        <v>0</v>
      </c>
      <c r="D495" s="78" t="str">
        <f>MouserListTable[[#This Row],[Name]]</f>
        <v>Flip-Pin (14-pins)</v>
      </c>
      <c r="E495" s="78">
        <f>MouserListTable[[#This Row],[Price (USD)]]</f>
        <v>1.63</v>
      </c>
      <c r="F495" s="78">
        <f>MouserListTable[[#This Row],[Total Price]]</f>
        <v>0</v>
      </c>
    </row>
    <row r="496" spans="1:6" s="104" customFormat="1" x14ac:dyDescent="0.25">
      <c r="A496" s="131">
        <f>IF(MouserOrderTable[[#This Row],[Qty.]]&gt;0,IF($A495="List #",1,$A495+1),IF($A495="List #",0,$A495))</f>
        <v>137</v>
      </c>
      <c r="B496" s="78" t="str">
        <f>MouserListTable[[#This Row],[SKU]]</f>
        <v>474-COM-14085</v>
      </c>
      <c r="C496" s="78">
        <f>MouserListTable[[#This Row],['# Initial]]</f>
        <v>25</v>
      </c>
      <c r="D496" s="78" t="str">
        <f>MouserListTable[[#This Row],[Name]]</f>
        <v>Flip-Pin (8-pins)</v>
      </c>
      <c r="E496" s="78">
        <f>MouserListTable[[#This Row],[Price (USD)]]</f>
        <v>0.95</v>
      </c>
      <c r="F496" s="78">
        <f>MouserListTable[[#This Row],[Total Price]]</f>
        <v>23.75</v>
      </c>
    </row>
    <row r="497" spans="1:6" s="104" customFormat="1" x14ac:dyDescent="0.25">
      <c r="A497" s="131">
        <f>IF(MouserOrderTable[[#This Row],[Qty.]]&gt;0,IF($A496="List #",1,$A496+1),IF($A496="List #",0,$A496))</f>
        <v>138</v>
      </c>
      <c r="B497" s="78" t="str">
        <f>MouserListTable[[#This Row],[SKU]]</f>
        <v>485-3145</v>
      </c>
      <c r="C497" s="78">
        <f>MouserListTable[[#This Row],['# Initial]]</f>
        <v>3</v>
      </c>
      <c r="D497" s="78" t="str">
        <f>MouserListTable[[#This Row],[Name]]</f>
        <v>Small Single Row Wire Housing Pack for DIY Jumper Cables</v>
      </c>
      <c r="E497" s="78">
        <f>MouserListTable[[#This Row],[Price (USD)]]</f>
        <v>1.95</v>
      </c>
      <c r="F497" s="78">
        <f>MouserListTable[[#This Row],[Total Price]]</f>
        <v>5.85</v>
      </c>
    </row>
    <row r="498" spans="1:6" s="104" customFormat="1" x14ac:dyDescent="0.25">
      <c r="A498" s="131">
        <f>IF(MouserOrderTable[[#This Row],[Qty.]]&gt;0,IF($A497="List #",1,$A497+1),IF($A497="List #",0,$A497))</f>
        <v>139</v>
      </c>
      <c r="B498" s="78" t="str">
        <f>MouserListTable[[#This Row],[SKU]]</f>
        <v>485-3144</v>
      </c>
      <c r="C498" s="78">
        <f>MouserListTable[[#This Row],['# Initial]]</f>
        <v>1</v>
      </c>
      <c r="D498" s="78" t="str">
        <f>MouserListTable[[#This Row],[Name]]</f>
        <v>Large Dual Row Wire Housing Pack for DIY Jumper Cables</v>
      </c>
      <c r="E498" s="78">
        <f>MouserListTable[[#This Row],[Price (USD)]]</f>
        <v>3.95</v>
      </c>
      <c r="F498" s="78">
        <f>MouserListTable[[#This Row],[Total Price]]</f>
        <v>3.95</v>
      </c>
    </row>
    <row r="499" spans="1:6" s="104" customFormat="1" x14ac:dyDescent="0.25">
      <c r="A499" s="131">
        <f>IF(MouserOrderTable[[#This Row],[Qty.]]&gt;0,IF($A498="List #",1,$A498+1),IF($A498="List #",0,$A498))</f>
        <v>140</v>
      </c>
      <c r="B499" s="78" t="str">
        <f>MouserListTable[[#This Row],[SKU]]</f>
        <v>485-3143</v>
      </c>
      <c r="C499" s="78">
        <f>MouserListTable[[#This Row],['# Initial]]</f>
        <v>2</v>
      </c>
      <c r="D499" s="78" t="str">
        <f>MouserListTable[[#This Row],[Name]]</f>
        <v>Small Dual Row Wire Housing Pack for DIY Jumper Cables</v>
      </c>
      <c r="E499" s="78">
        <f>MouserListTable[[#This Row],[Price (USD)]]</f>
        <v>1.95</v>
      </c>
      <c r="F499" s="78">
        <f>MouserListTable[[#This Row],[Total Price]]</f>
        <v>3.9</v>
      </c>
    </row>
    <row r="500" spans="1:6" s="104" customFormat="1" x14ac:dyDescent="0.25">
      <c r="A500" s="131">
        <f>IF(MouserOrderTable[[#This Row],[Qty.]]&gt;0,IF($A499="List #",1,$A499+1),IF($A499="List #",0,$A499))</f>
        <v>141</v>
      </c>
      <c r="B500" s="78" t="str">
        <f>MouserListTable[[#This Row],[SKU]]</f>
        <v>485-3146</v>
      </c>
      <c r="C500" s="78">
        <f>MouserListTable[[#This Row],['# Initial]]</f>
        <v>1</v>
      </c>
      <c r="D500" s="78" t="str">
        <f>MouserListTable[[#This Row],[Name]]</f>
        <v>Large Single Row Housing Pack for DIY Jumper Cables</v>
      </c>
      <c r="E500" s="78">
        <f>MouserListTable[[#This Row],[Price (USD)]]</f>
        <v>2.95</v>
      </c>
      <c r="F500" s="78">
        <f>MouserListTable[[#This Row],[Total Price]]</f>
        <v>2.95</v>
      </c>
    </row>
    <row r="501" spans="1:6" s="104" customFormat="1" x14ac:dyDescent="0.25">
      <c r="A501" s="131">
        <f>IF(MouserOrderTable[[#This Row],[Qty.]]&gt;0,IF($A500="List #",1,$A500+1),IF($A500="List #",0,$A500))</f>
        <v>142</v>
      </c>
      <c r="B501" s="78" t="str">
        <f>MouserListTable[[#This Row],[SKU]]</f>
        <v>485-3141</v>
      </c>
      <c r="C501" s="78">
        <f>MouserListTable[[#This Row],['# Initial]]</f>
        <v>5</v>
      </c>
      <c r="D501" s="78" t="str">
        <f>MouserListTable[[#This Row],[Name]]</f>
        <v>Premium Female/Female Raw Custom Jumper Wires - 40 x 6" (150mm)</v>
      </c>
      <c r="E501" s="78">
        <f>MouserListTable[[#This Row],[Price (USD)]]</f>
        <v>2.95</v>
      </c>
      <c r="F501" s="78">
        <f>MouserListTable[[#This Row],[Total Price]]</f>
        <v>14.75</v>
      </c>
    </row>
    <row r="502" spans="1:6" s="104" customFormat="1" x14ac:dyDescent="0.25">
      <c r="A502" s="131">
        <f>IF(MouserOrderTable[[#This Row],[Qty.]]&gt;0,IF($A501="List #",1,$A501+1),IF($A501="List #",0,$A501))</f>
        <v>143</v>
      </c>
      <c r="B502" s="78" t="str">
        <f>MouserListTable[[#This Row],[SKU]]</f>
        <v>485-3142</v>
      </c>
      <c r="C502" s="78">
        <f>MouserListTable[[#This Row],['# Initial]]</f>
        <v>5</v>
      </c>
      <c r="D502" s="78" t="str">
        <f>MouserListTable[[#This Row],[Name]]</f>
        <v>Premium Male/Male Raw Jumper Wires - 40 x 6" (150mm)</v>
      </c>
      <c r="E502" s="78">
        <f>MouserListTable[[#This Row],[Price (USD)]]</f>
        <v>3.95</v>
      </c>
      <c r="F502" s="78">
        <f>MouserListTable[[#This Row],[Total Price]]</f>
        <v>19.75</v>
      </c>
    </row>
    <row r="503" spans="1:6" s="104" customFormat="1" x14ac:dyDescent="0.25">
      <c r="A503" s="131">
        <f>IF(MouserOrderTable[[#This Row],[Qty.]]&gt;0,IF($A502="List #",1,$A502+1),IF($A502="List #",0,$A502))</f>
        <v>143</v>
      </c>
      <c r="B503" s="78" t="str">
        <f>MouserListTable[[#This Row],[SKU]]</f>
        <v>474-PRT-08671</v>
      </c>
      <c r="C503" s="78">
        <f>MouserListTable[[#This Row],['# Initial]]</f>
        <v>0</v>
      </c>
      <c r="D503" s="78" t="str">
        <f>MouserListTable[[#This Row],[Name]]</f>
        <v>Jumper Wire - JST Black Blue</v>
      </c>
      <c r="E503" s="130">
        <f>MouserListTable[[#This Row],[Price (USD)]]</f>
        <v>0.95</v>
      </c>
      <c r="F503" s="130">
        <f>MouserListTable[[#This Row],[Total Price]]</f>
        <v>0</v>
      </c>
    </row>
    <row r="504" spans="1:6" s="106" customFormat="1" x14ac:dyDescent="0.25">
      <c r="A504" s="131">
        <f>IF(MouserOrderTable[[#This Row],[Qty.]]&gt;0,IF($A503="List #",1,$A503+1),IF($A503="List #",0,$A503))</f>
        <v>143</v>
      </c>
      <c r="B504" s="78" t="str">
        <f>MouserListTable[[#This Row],[SKU]]</f>
        <v>474-PRT-08670</v>
      </c>
      <c r="C504" s="78">
        <f>MouserListTable[[#This Row],['# Initial]]</f>
        <v>0</v>
      </c>
      <c r="D504" s="78" t="str">
        <f>MouserListTable[[#This Row],[Name]]</f>
        <v>Jumper Wire - JST Black Red</v>
      </c>
      <c r="E504" s="130">
        <f>MouserListTable[[#This Row],[Price (USD)]]</f>
        <v>0.95</v>
      </c>
      <c r="F504" s="130">
        <f>MouserListTable[[#This Row],[Total Price]]</f>
        <v>0</v>
      </c>
    </row>
    <row r="505" spans="1:6" s="106" customFormat="1" x14ac:dyDescent="0.25">
      <c r="A505" s="131">
        <f>IF(MouserOrderTable[[#This Row],[Qty.]]&gt;0,IF($A504="List #",1,$A504+1),IF($A504="List #",0,$A504))</f>
        <v>144</v>
      </c>
      <c r="B505" s="78" t="str">
        <f>MouserListTable[[#This Row],[SKU]]</f>
        <v>474-PRT-09914</v>
      </c>
      <c r="C505" s="78">
        <f>MouserListTable[[#This Row],['# Initial]]</f>
        <v>10</v>
      </c>
      <c r="D505" s="78" t="str">
        <f>MouserListTable[[#This Row],[Name]]</f>
        <v>JST Jumper 2 Wire Assembly</v>
      </c>
      <c r="E505" s="130">
        <f>MouserListTable[[#This Row],[Price (USD)]]</f>
        <v>0.95</v>
      </c>
      <c r="F505" s="130">
        <f>MouserListTable[[#This Row],[Total Price]]</f>
        <v>9.5</v>
      </c>
    </row>
    <row r="506" spans="1:6" s="106" customFormat="1" x14ac:dyDescent="0.25">
      <c r="A506" s="131">
        <f>IF(MouserOrderTable[[#This Row],[Qty.]]&gt;0,IF($A505="List #",1,$A505+1),IF($A505="List #",0,$A505))</f>
        <v>145</v>
      </c>
      <c r="B506" s="78" t="str">
        <f>MouserListTable[[#This Row],[SKU]]</f>
        <v>474-PRT-09915</v>
      </c>
      <c r="C506" s="78">
        <f>MouserListTable[[#This Row],['# Initial]]</f>
        <v>5</v>
      </c>
      <c r="D506" s="78" t="str">
        <f>MouserListTable[[#This Row],[Name]]</f>
        <v>JST Jumper 3 Wire Assembly</v>
      </c>
      <c r="E506" s="78">
        <f>MouserListTable[[#This Row],[Price (USD)]]</f>
        <v>1.5</v>
      </c>
      <c r="F506" s="78">
        <f>MouserListTable[[#This Row],[Total Price]]</f>
        <v>7.5</v>
      </c>
    </row>
    <row r="507" spans="1:6" s="106" customFormat="1" x14ac:dyDescent="0.25">
      <c r="A507" s="131">
        <f>IF(MouserOrderTable[[#This Row],[Qty.]]&gt;0,IF($A506="List #",1,$A506+1),IF($A506="List #",0,$A506))</f>
        <v>146</v>
      </c>
      <c r="B507" s="78" t="str">
        <f>MouserListTable[[#This Row],[SKU]]</f>
        <v>474-PRT-09916</v>
      </c>
      <c r="C507" s="78">
        <f>MouserListTable[[#This Row],['# Initial]]</f>
        <v>10</v>
      </c>
      <c r="D507" s="78" t="str">
        <f>MouserListTable[[#This Row],[Name]]</f>
        <v>JST Jumper 4 Wire Assembly</v>
      </c>
      <c r="E507" s="78">
        <f>MouserListTable[[#This Row],[Price (USD)]]</f>
        <v>1.5</v>
      </c>
      <c r="F507" s="78">
        <f>MouserListTable[[#This Row],[Total Price]]</f>
        <v>15</v>
      </c>
    </row>
    <row r="508" spans="1:6" s="106" customFormat="1" x14ac:dyDescent="0.25">
      <c r="A508" s="131">
        <f>IF(MouserOrderTable[[#This Row],[Qty.]]&gt;0,IF($A507="List #",1,$A507+1),IF($A507="List #",0,$A507))</f>
        <v>147</v>
      </c>
      <c r="B508" s="78" t="str">
        <f>MouserListTable[[#This Row],[SKU]]</f>
        <v>485-3064</v>
      </c>
      <c r="C508" s="78">
        <f>MouserListTable[[#This Row],['# Initial]]</f>
        <v>5</v>
      </c>
      <c r="D508" s="78" t="str">
        <f>MouserListTable[[#This Row],[Name]]</f>
        <v xml:space="preserve">JST 2-pin Extension Cable with On/Off Switch - JST PH2 </v>
      </c>
      <c r="E508" s="78">
        <f>MouserListTable[[#This Row],[Price (USD)]]</f>
        <v>2.95</v>
      </c>
      <c r="F508" s="78">
        <f>MouserListTable[[#This Row],[Total Price]]</f>
        <v>14.75</v>
      </c>
    </row>
    <row r="509" spans="1:6" s="106" customFormat="1" x14ac:dyDescent="0.25">
      <c r="A509" s="131">
        <f>IF(MouserOrderTable[[#This Row],[Qty.]]&gt;0,IF($A508="List #",1,$A508+1),IF($A508="List #",0,$A508))</f>
        <v>147</v>
      </c>
      <c r="B509" s="78" t="str">
        <f>MouserListTable[[#This Row],[SKU]]</f>
        <v>485-3568</v>
      </c>
      <c r="C509" s="78">
        <f>MouserListTable[[#This Row],['# Initial]]</f>
        <v>0</v>
      </c>
      <c r="D509" s="78" t="str">
        <f>MouserListTable[[#This Row],[Name]]</f>
        <v>STEMMA Cable - 150mm/6" Long 4 Pin JST-PH Cable–Female/Female</v>
      </c>
      <c r="E509" s="78">
        <f>MouserListTable[[#This Row],[Price (USD)]]</f>
        <v>0.75</v>
      </c>
      <c r="F509" s="78">
        <f>MouserListTable[[#This Row],[Total Price]]</f>
        <v>0</v>
      </c>
    </row>
    <row r="510" spans="1:6" s="106" customFormat="1" x14ac:dyDescent="0.25">
      <c r="A510" s="131">
        <f>IF(MouserOrderTable[[#This Row],[Qty.]]&gt;0,IF($A509="List #",1,$A509+1),IF($A509="List #",0,$A509))</f>
        <v>148</v>
      </c>
      <c r="B510" s="78" t="str">
        <f>MouserListTable[[#This Row],[SKU]]</f>
        <v>474-PRT-10359</v>
      </c>
      <c r="C510" s="78">
        <f>MouserListTable[[#This Row],['# Initial]]</f>
        <v>5</v>
      </c>
      <c r="D510" s="78" t="str">
        <f>MouserListTable[[#This Row],[Name]]</f>
        <v>JST SH Jumper 4 Wire Assembly - 8\"</v>
      </c>
      <c r="E510" s="130">
        <f>MouserListTable[[#This Row],[Price (USD)]]</f>
        <v>1.5</v>
      </c>
      <c r="F510" s="130">
        <f>MouserListTable[[#This Row],[Total Price]]</f>
        <v>7.5</v>
      </c>
    </row>
    <row r="511" spans="1:6" s="106" customFormat="1" x14ac:dyDescent="0.25">
      <c r="A511" s="131">
        <f>IF(MouserOrderTable[[#This Row],[Qty.]]&gt;0,IF($A510="List #",1,$A510+1),IF($A510="List #",0,$A510))</f>
        <v>148</v>
      </c>
      <c r="B511" s="78" t="str">
        <f>MouserListTable[[#This Row],[SKU]]</f>
        <v>474-GPS-00574</v>
      </c>
      <c r="C511" s="78">
        <f>MouserListTable[[#This Row],['# Initial]]</f>
        <v>0</v>
      </c>
      <c r="D511" s="78" t="str">
        <f>MouserListTable[[#This Row],[Name]]</f>
        <v>JST SH Jumper 6 Wire  - 1.75\"</v>
      </c>
      <c r="E511" s="130">
        <f>MouserListTable[[#This Row],[Price (USD)]]</f>
        <v>2.95</v>
      </c>
      <c r="F511" s="130">
        <f>MouserListTable[[#This Row],[Total Price]]</f>
        <v>0</v>
      </c>
    </row>
    <row r="512" spans="1:6" s="106" customFormat="1" x14ac:dyDescent="0.25">
      <c r="A512" s="131">
        <f>IF(MouserOrderTable[[#This Row],[Qty.]]&gt;0,IF($A511="List #",1,$A511+1),IF($A511="List #",0,$A511))</f>
        <v>148</v>
      </c>
      <c r="B512" s="78" t="str">
        <f>MouserListTable[[#This Row],[SKU]]</f>
        <v>474-PRT-10361</v>
      </c>
      <c r="C512" s="78">
        <f>MouserListTable[[#This Row],['# Initial]]</f>
        <v>0</v>
      </c>
      <c r="D512" s="78" t="str">
        <f>MouserListTable[[#This Row],[Name]]</f>
        <v>JST SH Jumper 6 Wire Assembly - 8\"</v>
      </c>
      <c r="E512" s="130">
        <f>MouserListTable[[#This Row],[Price (USD)]]</f>
        <v>1.5</v>
      </c>
      <c r="F512" s="130">
        <f>MouserListTable[[#This Row],[Total Price]]</f>
        <v>0</v>
      </c>
    </row>
    <row r="513" spans="1:6" s="106" customFormat="1" x14ac:dyDescent="0.25">
      <c r="A513" s="131">
        <f>IF(MouserOrderTable[[#This Row],[Qty.]]&gt;0,IF($A512="List #",1,$A512+1),IF($A512="List #",0,$A512))</f>
        <v>148</v>
      </c>
      <c r="B513" s="78" t="str">
        <f>MouserListTable[[#This Row],[SKU]]</f>
        <v>474-GPS-09123</v>
      </c>
      <c r="C513" s="78">
        <f>MouserListTable[[#This Row],['# Initial]]</f>
        <v>0</v>
      </c>
      <c r="D513" s="78" t="str">
        <f>MouserListTable[[#This Row],[Name]]</f>
        <v>JST SH Jumper 6 Wire  - 1 Foot</v>
      </c>
      <c r="E513" s="130">
        <f>MouserListTable[[#This Row],[Price (USD)]]</f>
        <v>2.95</v>
      </c>
      <c r="F513" s="130">
        <f>MouserListTable[[#This Row],[Total Price]]</f>
        <v>0</v>
      </c>
    </row>
    <row r="514" spans="1:6" s="106" customFormat="1" x14ac:dyDescent="0.25">
      <c r="A514" s="131">
        <f>IF(MouserOrderTable[[#This Row],[Qty.]]&gt;0,IF($A513="List #",1,$A513+1),IF($A513="List #",0,$A513))</f>
        <v>148</v>
      </c>
      <c r="B514" s="78" t="str">
        <f>MouserListTable[[#This Row],[SKU]]</f>
        <v>474-PRT-10853</v>
      </c>
      <c r="C514" s="78">
        <f>MouserListTable[[#This Row],['# Initial]]</f>
        <v>0</v>
      </c>
      <c r="D514" s="78" t="str">
        <f>MouserListTable[[#This Row],[Name]]</f>
        <v>Mega Pro Mini Cable - 8\" (8-wire)</v>
      </c>
      <c r="E514" s="78">
        <f>MouserListTable[[#This Row],[Price (USD)]]</f>
        <v>0.95</v>
      </c>
      <c r="F514" s="78">
        <f>MouserListTable[[#This Row],[Total Price]]</f>
        <v>0</v>
      </c>
    </row>
    <row r="515" spans="1:6" s="106" customFormat="1" x14ac:dyDescent="0.25">
      <c r="A515" s="131">
        <f>IF(MouserOrderTable[[#This Row],[Qty.]]&gt;0,IF($A514="List #",1,$A514+1),IF($A514="List #",0,$A514))</f>
        <v>148</v>
      </c>
      <c r="B515" s="78" t="str">
        <f>MouserListTable[[#This Row],[SKU]]</f>
        <v>485-578</v>
      </c>
      <c r="C515" s="78">
        <f>MouserListTable[[#This Row],['# Initial]]</f>
        <v>0</v>
      </c>
      <c r="D515" s="78" t="str">
        <f>MouserListTable[[#This Row],[Name]]</f>
        <v xml:space="preserve">4-pin JST SM Plug + Receptacle Cable Set </v>
      </c>
      <c r="E515" s="130">
        <f>MouserListTable[[#This Row],[Price (USD)]]</f>
        <v>1.5</v>
      </c>
      <c r="F515" s="130">
        <f>MouserListTable[[#This Row],[Total Price]]</f>
        <v>0</v>
      </c>
    </row>
    <row r="516" spans="1:6" s="106" customFormat="1" x14ac:dyDescent="0.25">
      <c r="A516" s="131">
        <f>IF(MouserOrderTable[[#This Row],[Qty.]]&gt;0,IF($A515="List #",1,$A515+1),IF($A515="List #",0,$A515))</f>
        <v>149</v>
      </c>
      <c r="B516" s="78" t="str">
        <f>MouserListTable[[#This Row],[SKU]]</f>
        <v>474-CAB-13685</v>
      </c>
      <c r="C516" s="78">
        <f>MouserListTable[[#This Row],['# Initial]]</f>
        <v>5</v>
      </c>
      <c r="D516" s="78" t="str">
        <f>MouserListTable[[#This Row],[Name]]</f>
        <v>JST to Breadboard Jumper (3-pin)</v>
      </c>
      <c r="E516" s="130">
        <f>MouserListTable[[#This Row],[Price (USD)]]</f>
        <v>1.5</v>
      </c>
      <c r="F516" s="130">
        <f>MouserListTable[[#This Row],[Total Price]]</f>
        <v>7.5</v>
      </c>
    </row>
    <row r="517" spans="1:6" s="106" customFormat="1" x14ac:dyDescent="0.25">
      <c r="A517" s="131">
        <f>IF(MouserOrderTable[[#This Row],[Qty.]]&gt;0,IF($A516="List #",1,$A516+1),IF($A516="List #",0,$A516))</f>
        <v>149</v>
      </c>
      <c r="B517" s="78" t="str">
        <f>MouserListTable[[#This Row],[SKU]]</f>
        <v>474-PRT-08599</v>
      </c>
      <c r="C517" s="78">
        <f>MouserListTable[[#This Row],['# Initial]]</f>
        <v>0</v>
      </c>
      <c r="D517" s="78" t="str">
        <f>MouserListTable[[#This Row],[Name]]</f>
        <v>Jumper Wire - JST to Female Connector</v>
      </c>
      <c r="E517" s="130">
        <f>MouserListTable[[#This Row],[Price (USD)]]</f>
        <v>1.5</v>
      </c>
      <c r="F517" s="130">
        <f>MouserListTable[[#This Row],[Total Price]]</f>
        <v>0</v>
      </c>
    </row>
    <row r="518" spans="1:6" s="106" customFormat="1" x14ac:dyDescent="0.25">
      <c r="A518" s="131">
        <f>IF(MouserOrderTable[[#This Row],[Qty.]]&gt;0,IF($A517="List #",1,$A517+1),IF($A517="List #",0,$A517))</f>
        <v>149</v>
      </c>
      <c r="B518" s="78" t="str">
        <f>MouserListTable[[#This Row],[SKU]]</f>
        <v>474-PRT-08598</v>
      </c>
      <c r="C518" s="78">
        <f>MouserListTable[[#This Row],['# Initial]]</f>
        <v>0</v>
      </c>
      <c r="D518" s="78" t="str">
        <f>MouserListTable[[#This Row],[Name]]</f>
        <v>Jumper Wire - JST to Molex</v>
      </c>
      <c r="E518" s="130">
        <f>MouserListTable[[#This Row],[Price (USD)]]</f>
        <v>1.5</v>
      </c>
      <c r="F518" s="130">
        <f>MouserListTable[[#This Row],[Total Price]]</f>
        <v>0</v>
      </c>
    </row>
    <row r="519" spans="1:6" s="106" customFormat="1" x14ac:dyDescent="0.25">
      <c r="A519" s="131">
        <f>IF(MouserOrderTable[[#This Row],[Qty.]]&gt;0,IF($A518="List #",1,$A518+1),IF($A518="List #",0,$A518))</f>
        <v>149</v>
      </c>
      <c r="B519" s="78" t="str">
        <f>MouserListTable[[#This Row],[SKU]]</f>
        <v>485-425</v>
      </c>
      <c r="C519" s="78">
        <f>MouserListTable[[#This Row],['# Initial]]</f>
        <v>0</v>
      </c>
      <c r="D519" s="78" t="str">
        <f>MouserListTable[[#This Row],[Name]]</f>
        <v>4-pin AT/ATX/IDE power cable</v>
      </c>
      <c r="E519" s="130">
        <f>MouserListTable[[#This Row],[Price (USD)]]</f>
        <v>1.95</v>
      </c>
      <c r="F519" s="130">
        <f>MouserListTable[[#This Row],[Total Price]]</f>
        <v>0</v>
      </c>
    </row>
    <row r="520" spans="1:6" s="106" customFormat="1" x14ac:dyDescent="0.25">
      <c r="A520" s="131">
        <f>IF(MouserOrderTable[[#This Row],[Qty.]]&gt;0,IF($A519="List #",1,$A519+1),IF($A519="List #",0,$A519))</f>
        <v>149</v>
      </c>
      <c r="B520" s="78" t="str">
        <f>MouserListTable[[#This Row],[SKU]]</f>
        <v>485-2880</v>
      </c>
      <c r="C520" s="78">
        <f>MouserListTable[[#This Row],['# Initial]]</f>
        <v>0</v>
      </c>
      <c r="D520" s="78" t="str">
        <f>MouserListTable[[#This Row],[Name]]</f>
        <v>2-pin JST SM Plug + Receptacle Cable Set</v>
      </c>
      <c r="E520" s="78">
        <f>MouserListTable[[#This Row],[Price (USD)]]</f>
        <v>0.75</v>
      </c>
      <c r="F520" s="78">
        <f>MouserListTable[[#This Row],[Total Price]]</f>
        <v>0</v>
      </c>
    </row>
    <row r="521" spans="1:6" s="106" customFormat="1" x14ac:dyDescent="0.25">
      <c r="A521" s="131">
        <f>IF(MouserOrderTable[[#This Row],[Qty.]]&gt;0,IF($A520="List #",1,$A520+1),IF($A520="List #",0,$A520))</f>
        <v>149</v>
      </c>
      <c r="B521" s="78" t="str">
        <f>MouserListTable[[#This Row],[SKU]]</f>
        <v>485-261</v>
      </c>
      <c r="C521" s="78">
        <f>MouserListTable[[#This Row],['# Initial]]</f>
        <v>0</v>
      </c>
      <c r="D521" s="78" t="str">
        <f>MouserListTable[[#This Row],[Name]]</f>
        <v>JST 2-pin cable</v>
      </c>
      <c r="E521" s="78">
        <f>MouserListTable[[#This Row],[Price (USD)]]</f>
        <v>0.75</v>
      </c>
      <c r="F521" s="78">
        <f>MouserListTable[[#This Row],[Total Price]]</f>
        <v>0</v>
      </c>
    </row>
    <row r="522" spans="1:6" s="106" customFormat="1" x14ac:dyDescent="0.25">
      <c r="A522" s="131">
        <f>IF(MouserOrderTable[[#This Row],[Qty.]]&gt;0,IF($A521="List #",1,$A521+1),IF($A521="List #",0,$A521))</f>
        <v>149</v>
      </c>
      <c r="B522" s="78" t="str">
        <f>MouserListTable[[#This Row],[SKU]]</f>
        <v>485-1769</v>
      </c>
      <c r="C522" s="78">
        <f>MouserListTable[[#This Row],['# Initial]]</f>
        <v>0</v>
      </c>
      <c r="D522" s="78" t="str">
        <f>MouserListTable[[#This Row],[Name]]</f>
        <v>JST-PH 2-Pin SMT Right Angle Connector</v>
      </c>
      <c r="E522" s="78">
        <f>MouserListTable[[#This Row],[Price (USD)]]</f>
        <v>0.75</v>
      </c>
      <c r="F522" s="78">
        <f>MouserListTable[[#This Row],[Total Price]]</f>
        <v>0</v>
      </c>
    </row>
    <row r="523" spans="1:6" s="106" customFormat="1" x14ac:dyDescent="0.25">
      <c r="A523" s="131">
        <f>IF(MouserOrderTable[[#This Row],[Qty.]]&gt;0,IF($A522="List #",1,$A522+1),IF($A522="List #",0,$A522))</f>
        <v>150</v>
      </c>
      <c r="B523" s="78" t="str">
        <f>MouserListTable[[#This Row],[SKU]]</f>
        <v>474-PRT-09918</v>
      </c>
      <c r="C523" s="78">
        <f>MouserListTable[[#This Row],['# Initial]]</f>
        <v>10</v>
      </c>
      <c r="D523" s="78" t="str">
        <f>MouserListTable[[#This Row],[Name]]</f>
        <v>Molex Jumper 2 Wire Assembly</v>
      </c>
      <c r="E523" s="78">
        <f>MouserListTable[[#This Row],[Price (USD)]]</f>
        <v>0.95</v>
      </c>
      <c r="F523" s="78">
        <f>MouserListTable[[#This Row],[Total Price]]</f>
        <v>9.5</v>
      </c>
    </row>
    <row r="524" spans="1:6" s="106" customFormat="1" x14ac:dyDescent="0.25">
      <c r="A524" s="131">
        <f>IF(MouserOrderTable[[#This Row],[Qty.]]&gt;0,IF($A523="List #",1,$A523+1),IF($A523="List #",0,$A523))</f>
        <v>151</v>
      </c>
      <c r="B524" s="78" t="str">
        <f>MouserListTable[[#This Row],[SKU]]</f>
        <v>474-PRT-09922</v>
      </c>
      <c r="C524" s="78">
        <f>MouserListTable[[#This Row],['# Initial]]</f>
        <v>10</v>
      </c>
      <c r="D524" s="78" t="str">
        <f>MouserListTable[[#This Row],[Name]]</f>
        <v>Molex Jumper 6 Wire Assembly</v>
      </c>
      <c r="E524" s="78">
        <f>MouserListTable[[#This Row],[Price (USD)]]</f>
        <v>1.95</v>
      </c>
      <c r="F524" s="78">
        <f>MouserListTable[[#This Row],[Total Price]]</f>
        <v>19.5</v>
      </c>
    </row>
    <row r="525" spans="1:6" s="106" customFormat="1" x14ac:dyDescent="0.25">
      <c r="A525" s="131">
        <f>IF(MouserOrderTable[[#This Row],[Qty.]]&gt;0,IF($A524="List #",1,$A524+1),IF($A524="List #",0,$A524))</f>
        <v>151</v>
      </c>
      <c r="B525" s="78" t="str">
        <f>MouserListTable[[#This Row],[SKU]]</f>
        <v>474-PRT-08614</v>
      </c>
      <c r="C525" s="78">
        <f>MouserListTable[[#This Row],['# Initial]]</f>
        <v>0</v>
      </c>
      <c r="D525" s="78" t="str">
        <f>MouserListTable[[#This Row],[Name]]</f>
        <v>Jumper Wire - Female to Female Connector</v>
      </c>
      <c r="E525" s="78">
        <f>MouserListTable[[#This Row],[Price (USD)]]</f>
        <v>1.5</v>
      </c>
      <c r="F525" s="78">
        <f>MouserListTable[[#This Row],[Total Price]]</f>
        <v>0</v>
      </c>
    </row>
    <row r="526" spans="1:6" s="106" customFormat="1" x14ac:dyDescent="0.25">
      <c r="A526" s="131">
        <f>IF(MouserOrderTable[[#This Row],[Qty.]]&gt;0,IF($A525="List #",1,$A525+1),IF($A525="List #",0,$A525))</f>
        <v>151</v>
      </c>
      <c r="B526" s="78" t="str">
        <f>MouserListTable[[#This Row],[SKU]]</f>
        <v>474-PRT-08672</v>
      </c>
      <c r="C526" s="78">
        <f>MouserListTable[[#This Row],['# Initial]]</f>
        <v>0</v>
      </c>
      <c r="D526" s="78" t="str">
        <f>MouserListTable[[#This Row],[Name]]</f>
        <v>Jumper Wire - PTH Black White</v>
      </c>
      <c r="E526" s="78">
        <f>MouserListTable[[#This Row],[Price (USD)]]</f>
        <v>0.95</v>
      </c>
      <c r="F526" s="78">
        <f>MouserListTable[[#This Row],[Total Price]]</f>
        <v>0</v>
      </c>
    </row>
    <row r="527" spans="1:6" s="106" customFormat="1" x14ac:dyDescent="0.25">
      <c r="A527" s="131">
        <f>IF(MouserOrderTable[[#This Row],[Qty.]]&gt;0,IF($A526="List #",1,$A526+1),IF($A526="List #",0,$A526))</f>
        <v>151</v>
      </c>
      <c r="B527" s="78" t="str">
        <f>MouserListTable[[#This Row],[SKU]]</f>
        <v>474-PRT-10367</v>
      </c>
      <c r="C527" s="78">
        <f>MouserListTable[[#This Row],['# Initial]]</f>
        <v>0</v>
      </c>
      <c r="D527" s="78" t="str">
        <f>MouserListTable[[#This Row],[Name]]</f>
        <v>Jumper Wire - 0.1\", 2-pin, 6\"</v>
      </c>
      <c r="E527" s="78">
        <f>MouserListTable[[#This Row],[Price (USD)]]</f>
        <v>1.5</v>
      </c>
      <c r="F527" s="78">
        <f>MouserListTable[[#This Row],[Total Price]]</f>
        <v>0</v>
      </c>
    </row>
    <row r="528" spans="1:6" s="106" customFormat="1" x14ac:dyDescent="0.25">
      <c r="A528" s="131">
        <f>IF(MouserOrderTable[[#This Row],[Qty.]]&gt;0,IF($A527="List #",1,$A527+1),IF($A527="List #",0,$A527))</f>
        <v>151</v>
      </c>
      <c r="B528" s="78" t="str">
        <f>MouserListTable[[#This Row],[SKU]]</f>
        <v>474-PRT-10373</v>
      </c>
      <c r="C528" s="78">
        <f>MouserListTable[[#This Row],['# Initial]]</f>
        <v>0</v>
      </c>
      <c r="D528" s="78" t="str">
        <f>MouserListTable[[#This Row],[Name]]</f>
        <v>Jumper Wire - 0.1\", 3-pin, 12\"</v>
      </c>
      <c r="E528" s="130">
        <f>MouserListTable[[#This Row],[Price (USD)]]</f>
        <v>1.95</v>
      </c>
      <c r="F528" s="130">
        <f>MouserListTable[[#This Row],[Total Price]]</f>
        <v>0</v>
      </c>
    </row>
    <row r="529" spans="1:6" s="106" customFormat="1" x14ac:dyDescent="0.25">
      <c r="A529" s="131">
        <f>IF(MouserOrderTable[[#This Row],[Qty.]]&gt;0,IF($A528="List #",1,$A528+1),IF($A528="List #",0,$A528))</f>
        <v>151</v>
      </c>
      <c r="B529" s="78" t="str">
        <f>MouserListTable[[#This Row],[SKU]]</f>
        <v>474-PRT-13164</v>
      </c>
      <c r="C529" s="78">
        <f>MouserListTable[[#This Row],['# Initial]]</f>
        <v>0</v>
      </c>
      <c r="D529" s="78" t="str">
        <f>MouserListTable[[#This Row],[Name]]</f>
        <v>Jumper Wire - 0.1\", 3-pin, 6\" (Black, Red, White)</v>
      </c>
      <c r="E529" s="130">
        <f>MouserListTable[[#This Row],[Price (USD)]]</f>
        <v>1.5</v>
      </c>
      <c r="F529" s="130">
        <f>MouserListTable[[#This Row],[Total Price]]</f>
        <v>0</v>
      </c>
    </row>
    <row r="530" spans="1:6" s="106" customFormat="1" x14ac:dyDescent="0.25">
      <c r="A530" s="131">
        <f>IF(MouserOrderTable[[#This Row],[Qty.]]&gt;0,IF($A529="List #",1,$A529+1),IF($A529="List #",0,$A529))</f>
        <v>151</v>
      </c>
      <c r="B530" s="78" t="str">
        <f>MouserListTable[[#This Row],[SKU]]</f>
        <v>474-PRT-10369</v>
      </c>
      <c r="C530" s="78">
        <f>MouserListTable[[#This Row],['# Initial]]</f>
        <v>0</v>
      </c>
      <c r="D530" s="78" t="str">
        <f>MouserListTable[[#This Row],[Name]]</f>
        <v>Jumper Wire - 0.1\", 4-pin, 6\"</v>
      </c>
      <c r="E530" s="130">
        <f>MouserListTable[[#This Row],[Price (USD)]]</f>
        <v>1.5</v>
      </c>
      <c r="F530" s="130">
        <f>MouserListTable[[#This Row],[Total Price]]</f>
        <v>0</v>
      </c>
    </row>
    <row r="531" spans="1:6" s="106" customFormat="1" x14ac:dyDescent="0.25">
      <c r="A531" s="131">
        <f>IF(MouserOrderTable[[#This Row],[Qty.]]&gt;0,IF($A530="List #",1,$A530+1),IF($A530="List #",0,$A530))</f>
        <v>151</v>
      </c>
      <c r="B531" s="78" t="str">
        <f>MouserListTable[[#This Row],[SKU]]</f>
        <v>474-PRT-10370</v>
      </c>
      <c r="C531" s="78">
        <f>MouserListTable[[#This Row],['# Initial]]</f>
        <v>0</v>
      </c>
      <c r="D531" s="78" t="str">
        <f>MouserListTable[[#This Row],[Name]]</f>
        <v>Jumper Wire - 0.1\", 5-pin, 6\"</v>
      </c>
      <c r="E531" s="130">
        <f>MouserListTable[[#This Row],[Price (USD)]]</f>
        <v>1.5</v>
      </c>
      <c r="F531" s="130">
        <f>MouserListTable[[#This Row],[Total Price]]</f>
        <v>0</v>
      </c>
    </row>
    <row r="532" spans="1:6" s="106" customFormat="1" x14ac:dyDescent="0.25">
      <c r="A532" s="131">
        <f>IF(MouserOrderTable[[#This Row],[Qty.]]&gt;0,IF($A531="List #",1,$A531+1),IF($A531="List #",0,$A531))</f>
        <v>151</v>
      </c>
      <c r="B532" s="78" t="str">
        <f>MouserListTable[[#This Row],[SKU]]</f>
        <v>474-PRT-10376</v>
      </c>
      <c r="C532" s="78">
        <f>MouserListTable[[#This Row],['# Initial]]</f>
        <v>0</v>
      </c>
      <c r="D532" s="78" t="str">
        <f>MouserListTable[[#This Row],[Name]]</f>
        <v>Jumper Wire - 0.1\", 6-pin, 12\"</v>
      </c>
      <c r="E532" s="130">
        <f>MouserListTable[[#This Row],[Price (USD)]]</f>
        <v>1.95</v>
      </c>
      <c r="F532" s="130">
        <f>MouserListTable[[#This Row],[Total Price]]</f>
        <v>0</v>
      </c>
    </row>
    <row r="533" spans="1:6" s="106" customFormat="1" x14ac:dyDescent="0.25">
      <c r="A533" s="131">
        <f>IF(MouserOrderTable[[#This Row],[Qty.]]&gt;0,IF($A532="List #",1,$A532+1),IF($A532="List #",0,$A532))</f>
        <v>151</v>
      </c>
      <c r="B533" s="78" t="str">
        <f>MouserListTable[[#This Row],[SKU]]</f>
        <v>474-PRT-10371</v>
      </c>
      <c r="C533" s="78">
        <f>MouserListTable[[#This Row],['# Initial]]</f>
        <v>0</v>
      </c>
      <c r="D533" s="78" t="str">
        <f>MouserListTable[[#This Row],[Name]]</f>
        <v>Jumper Wire - 0.1\", 6-pin, 6\"</v>
      </c>
      <c r="E533" s="78">
        <f>MouserListTable[[#This Row],[Price (USD)]]</f>
        <v>1.5</v>
      </c>
      <c r="F533" s="78">
        <f>MouserListTable[[#This Row],[Total Price]]</f>
        <v>0</v>
      </c>
    </row>
    <row r="534" spans="1:6" s="106" customFormat="1" x14ac:dyDescent="0.25">
      <c r="A534" s="131">
        <f>IF(MouserOrderTable[[#This Row],[Qty.]]&gt;0,IF($A533="List #",1,$A533+1),IF($A533="List #",0,$A533))</f>
        <v>151</v>
      </c>
      <c r="B534" s="78" t="str">
        <f>MouserListTable[[#This Row],[SKU]]</f>
        <v>474-PRT-12796</v>
      </c>
      <c r="C534" s="78">
        <f>MouserListTable[[#This Row],['# Initial]]</f>
        <v>0</v>
      </c>
      <c r="D534" s="78" t="str">
        <f>MouserListTable[[#This Row],[Name]]</f>
        <v>Jumper Wires - Connected 6\" (F/F, 20 pack)</v>
      </c>
      <c r="E534" s="78">
        <f>MouserListTable[[#This Row],[Price (USD)]]</f>
        <v>1.95</v>
      </c>
      <c r="F534" s="78">
        <f>MouserListTable[[#This Row],[Total Price]]</f>
        <v>0</v>
      </c>
    </row>
    <row r="535" spans="1:6" s="106" customFormat="1" x14ac:dyDescent="0.25">
      <c r="A535" s="131">
        <f>IF(MouserOrderTable[[#This Row],[Qty.]]&gt;0,IF($A534="List #",1,$A534+1),IF($A534="List #",0,$A534))</f>
        <v>151</v>
      </c>
      <c r="B535" s="78" t="str">
        <f>MouserListTable[[#This Row],[SKU]]</f>
        <v>474-PRT-11710</v>
      </c>
      <c r="C535" s="78">
        <f>MouserListTable[[#This Row],['# Initial]]</f>
        <v>0</v>
      </c>
      <c r="D535" s="78" t="str">
        <f>MouserListTable[[#This Row],[Name]]</f>
        <v>Jumper Wires Premium 6\" F/F - 20 AWG (10 Pack)</v>
      </c>
      <c r="E535" s="130">
        <f>MouserListTable[[#This Row],[Price (USD)]]</f>
        <v>4.95</v>
      </c>
      <c r="F535" s="130">
        <f>MouserListTable[[#This Row],[Total Price]]</f>
        <v>0</v>
      </c>
    </row>
    <row r="536" spans="1:6" s="106" customFormat="1" x14ac:dyDescent="0.25">
      <c r="A536" s="131">
        <f>IF(MouserOrderTable[[#This Row],[Qty.]]&gt;0,IF($A535="List #",1,$A535+1),IF($A535="List #",0,$A535))</f>
        <v>151</v>
      </c>
      <c r="B536" s="78" t="str">
        <f>MouserListTable[[#This Row],[SKU]]</f>
        <v>474-PRT-09389</v>
      </c>
      <c r="C536" s="78">
        <f>MouserListTable[[#This Row],['# Initial]]</f>
        <v>0</v>
      </c>
      <c r="D536" s="78" t="str">
        <f>MouserListTable[[#This Row],[Name]]</f>
        <v>Jumper Wires Premium 12\" F/F Pack of 10</v>
      </c>
      <c r="E536" s="78">
        <f>MouserListTable[[#This Row],[Price (USD)]]</f>
        <v>4.5</v>
      </c>
      <c r="F536" s="78">
        <f>MouserListTable[[#This Row],[Total Price]]</f>
        <v>0</v>
      </c>
    </row>
    <row r="537" spans="1:6" s="106" customFormat="1" x14ac:dyDescent="0.25">
      <c r="A537" s="131">
        <f>IF(MouserOrderTable[[#This Row],[Qty.]]&gt;0,IF($A536="List #",1,$A536+1),IF($A536="List #",0,$A536))</f>
        <v>151</v>
      </c>
      <c r="B537" s="78" t="str">
        <f>MouserListTable[[#This Row],[SKU]]</f>
        <v>474-PRT-09140</v>
      </c>
      <c r="C537" s="78">
        <f>MouserListTable[[#This Row],['# Initial]]</f>
        <v>0</v>
      </c>
      <c r="D537" s="78" t="str">
        <f>MouserListTable[[#This Row],[Name]]</f>
        <v>Jumper Wires Premium 6\" M/F Pack of 10</v>
      </c>
      <c r="E537" s="78">
        <f>MouserListTable[[#This Row],[Price (USD)]]</f>
        <v>3.95</v>
      </c>
      <c r="F537" s="78">
        <f>MouserListTable[[#This Row],[Total Price]]</f>
        <v>0</v>
      </c>
    </row>
    <row r="538" spans="1:6" s="106" customFormat="1" x14ac:dyDescent="0.25">
      <c r="A538" s="131">
        <f>IF(MouserOrderTable[[#This Row],[Qty.]]&gt;0,IF($A537="List #",1,$A537+1),IF($A537="List #",0,$A537))</f>
        <v>151</v>
      </c>
      <c r="B538" s="78" t="str">
        <f>MouserListTable[[#This Row],[SKU]]</f>
        <v>474-PRT-09385</v>
      </c>
      <c r="C538" s="78">
        <f>MouserListTable[[#This Row],['# Initial]]</f>
        <v>0</v>
      </c>
      <c r="D538" s="78" t="str">
        <f>MouserListTable[[#This Row],[Name]]</f>
        <v>Jumper Wires Premium 12\" M/F Pack of 10</v>
      </c>
      <c r="E538" s="78">
        <f>MouserListTable[[#This Row],[Price (USD)]]</f>
        <v>4.5</v>
      </c>
      <c r="F538" s="78">
        <f>MouserListTable[[#This Row],[Total Price]]</f>
        <v>0</v>
      </c>
    </row>
    <row r="539" spans="1:6" s="106" customFormat="1" x14ac:dyDescent="0.25">
      <c r="A539" s="131">
        <f>IF(MouserOrderTable[[#This Row],[Qty.]]&gt;0,IF($A538="List #",1,$A538+1),IF($A538="List #",0,$A538))</f>
        <v>151</v>
      </c>
      <c r="B539" s="78" t="str">
        <f>MouserListTable[[#This Row],[SKU]]</f>
        <v>474-PRT-14284</v>
      </c>
      <c r="C539" s="78">
        <f>MouserListTable[[#This Row],['# Initial]]</f>
        <v>0</v>
      </c>
      <c r="D539" s="78" t="str">
        <f>MouserListTable[[#This Row],[Name]]</f>
        <v>Jumper Wires Premium 4\" M/M - 26 AWG (30 Pack)</v>
      </c>
      <c r="E539" s="78">
        <f>MouserListTable[[#This Row],[Price (USD)]]</f>
        <v>1.95</v>
      </c>
      <c r="F539" s="78">
        <f>MouserListTable[[#This Row],[Total Price]]</f>
        <v>0</v>
      </c>
    </row>
    <row r="540" spans="1:6" s="106" customFormat="1" x14ac:dyDescent="0.25">
      <c r="A540" s="131">
        <f>IF(MouserOrderTable[[#This Row],[Qty.]]&gt;0,IF($A539="List #",1,$A539+1),IF($A539="List #",0,$A539))</f>
        <v>151</v>
      </c>
      <c r="B540" s="78" t="str">
        <f>MouserListTable[[#This Row],[SKU]]</f>
        <v>474-PRT-11709</v>
      </c>
      <c r="C540" s="78">
        <f>MouserListTable[[#This Row],['# Initial]]</f>
        <v>0</v>
      </c>
      <c r="D540" s="78" t="str">
        <f>MouserListTable[[#This Row],[Name]]</f>
        <v>Jumper Wires Premium 6\" M/M - 20 AWG (10 Pack)</v>
      </c>
      <c r="E540" s="78">
        <f>MouserListTable[[#This Row],[Price (USD)]]</f>
        <v>4.95</v>
      </c>
      <c r="F540" s="78">
        <f>MouserListTable[[#This Row],[Total Price]]</f>
        <v>0</v>
      </c>
    </row>
    <row r="541" spans="1:6" s="106" customFormat="1" x14ac:dyDescent="0.25">
      <c r="A541" s="131">
        <f>IF(MouserOrderTable[[#This Row],[Qty.]]&gt;0,IF($A540="List #",1,$A540+1),IF($A540="List #",0,$A540))</f>
        <v>151</v>
      </c>
      <c r="B541" s="78" t="str">
        <f>MouserListTable[[#This Row],[SKU]]</f>
        <v>474-PRT-08431</v>
      </c>
      <c r="C541" s="78">
        <f>MouserListTable[[#This Row],['# Initial]]</f>
        <v>0</v>
      </c>
      <c r="D541" s="78" t="str">
        <f>MouserListTable[[#This Row],[Name]]</f>
        <v>Jumper Wires Premium 6\" M/M Pack of 10</v>
      </c>
      <c r="E541" s="78">
        <f>MouserListTable[[#This Row],[Price (USD)]]</f>
        <v>3.95</v>
      </c>
      <c r="F541" s="78">
        <f>MouserListTable[[#This Row],[Total Price]]</f>
        <v>0</v>
      </c>
    </row>
    <row r="542" spans="1:6" s="106" customFormat="1" x14ac:dyDescent="0.25">
      <c r="A542" s="131">
        <f>IF(MouserOrderTable[[#This Row],[Qty.]]&gt;0,IF($A541="List #",1,$A541+1),IF($A541="List #",0,$A541))</f>
        <v>151</v>
      </c>
      <c r="B542" s="78" t="str">
        <f>MouserListTable[[#This Row],[SKU]]</f>
        <v>474-PRT-11026</v>
      </c>
      <c r="C542" s="78">
        <f>MouserListTable[[#This Row],['# Initial]]</f>
        <v>0</v>
      </c>
      <c r="D542" s="78" t="str">
        <f>MouserListTable[[#This Row],[Name]]</f>
        <v>Jumper Wires Standard 7\" M/M - 30 AWG (30 Pack)</v>
      </c>
      <c r="E542" s="78">
        <f>MouserListTable[[#This Row],[Price (USD)]]</f>
        <v>1.95</v>
      </c>
      <c r="F542" s="78">
        <f>MouserListTable[[#This Row],[Total Price]]</f>
        <v>0</v>
      </c>
    </row>
    <row r="543" spans="1:6" s="106" customFormat="1" x14ac:dyDescent="0.25">
      <c r="A543" s="131">
        <f>IF(MouserOrderTable[[#This Row],[Qty.]]&gt;0,IF($A542="List #",1,$A542+1),IF($A542="List #",0,$A542))</f>
        <v>152</v>
      </c>
      <c r="B543" s="78" t="str">
        <f>MouserListTable[[#This Row],[SKU]]</f>
        <v>474-COM-10969</v>
      </c>
      <c r="C543" s="78">
        <f>MouserListTable[[#This Row],['# Initial]]</f>
        <v>1</v>
      </c>
      <c r="D543" s="78" t="str">
        <f>MouserListTable[[#This Row],[Name]]</f>
        <v>Resistor Kit - 1/4W (500 total)</v>
      </c>
      <c r="E543" s="130">
        <f>MouserListTable[[#This Row],[Price (USD)]]</f>
        <v>7.95</v>
      </c>
      <c r="F543" s="130">
        <f>MouserListTable[[#This Row],[Total Price]]</f>
        <v>7.95</v>
      </c>
    </row>
    <row r="544" spans="1:6" s="106" customFormat="1" x14ac:dyDescent="0.25">
      <c r="A544" s="131">
        <f>IF(MouserOrderTable[[#This Row],[Qty.]]&gt;0,IF($A543="List #",1,$A543+1),IF($A543="List #",0,$A543))</f>
        <v>153</v>
      </c>
      <c r="B544" s="78" t="str">
        <f>MouserListTable[[#This Row],[SKU]]</f>
        <v>474-COM-10856</v>
      </c>
      <c r="C544" s="78">
        <f>MouserListTable[[#This Row],['# Initial]]</f>
        <v>5</v>
      </c>
      <c r="D544" s="78" t="str">
        <f>MouserListTable[[#This Row],[Name]]</f>
        <v>Resistor Network - 10K Ohm (6-pin bussed)</v>
      </c>
      <c r="E544" s="78">
        <f>MouserListTable[[#This Row],[Price (USD)]]</f>
        <v>0.5</v>
      </c>
      <c r="F544" s="78">
        <f>MouserListTable[[#This Row],[Total Price]]</f>
        <v>2.5</v>
      </c>
    </row>
    <row r="545" spans="1:6" s="106" customFormat="1" x14ac:dyDescent="0.25">
      <c r="A545" s="131">
        <f>IF(MouserOrderTable[[#This Row],[Qty.]]&gt;0,IF($A544="List #",1,$A544+1),IF($A544="List #",0,$A544))</f>
        <v>154</v>
      </c>
      <c r="B545" s="78" t="str">
        <f>MouserListTable[[#This Row],[SKU]]</f>
        <v>474-COM-10855</v>
      </c>
      <c r="C545" s="78">
        <f>MouserListTable[[#This Row],['# Initial]]</f>
        <v>5</v>
      </c>
      <c r="D545" s="78" t="str">
        <f>MouserListTable[[#This Row],[Name]]</f>
        <v>Resistor Network - 330 Ohm (6-pin bussed)</v>
      </c>
      <c r="E545" s="78">
        <f>MouserListTable[[#This Row],[Price (USD)]]</f>
        <v>0.5</v>
      </c>
      <c r="F545" s="78">
        <f>MouserListTable[[#This Row],[Total Price]]</f>
        <v>2.5</v>
      </c>
    </row>
    <row r="546" spans="1:6" s="106" customFormat="1" x14ac:dyDescent="0.25">
      <c r="A546" s="131">
        <f>IF(MouserOrderTable[[#This Row],[Qty.]]&gt;0,IF($A545="List #",1,$A545+1),IF($A545="List #",0,$A545))</f>
        <v>154</v>
      </c>
      <c r="B546" s="78" t="str">
        <f>MouserListTable[[#This Row],[SKU]]</f>
        <v>474-COM-09120</v>
      </c>
      <c r="C546" s="78">
        <f>MouserListTable[[#This Row],['# Initial]]</f>
        <v>0</v>
      </c>
      <c r="D546" s="78" t="str">
        <f>MouserListTable[[#This Row],[Name]]</f>
        <v>Slide Potentiometer Knob</v>
      </c>
      <c r="E546" s="78">
        <f>MouserListTable[[#This Row],[Price (USD)]]</f>
        <v>0.95</v>
      </c>
      <c r="F546" s="78">
        <f>MouserListTable[[#This Row],[Total Price]]</f>
        <v>0</v>
      </c>
    </row>
    <row r="547" spans="1:6" s="106" customFormat="1" x14ac:dyDescent="0.25">
      <c r="A547" s="131">
        <f>IF(MouserOrderTable[[#This Row],[Qty.]]&gt;0,IF($A546="List #",1,$A546+1),IF($A546="List #",0,$A546))</f>
        <v>154</v>
      </c>
      <c r="B547" s="78" t="str">
        <f>MouserListTable[[#This Row],[SKU]]</f>
        <v>474-COM-11620</v>
      </c>
      <c r="C547" s="78">
        <f>MouserListTable[[#This Row],['# Initial]]</f>
        <v>0</v>
      </c>
      <c r="D547" s="78" t="str">
        <f>MouserListTable[[#This Row],[Name]]</f>
        <v>Slide Pot - Small (10k Linear Taper)</v>
      </c>
      <c r="E547" s="78">
        <f>MouserListTable[[#This Row],[Price (USD)]]</f>
        <v>1.95</v>
      </c>
      <c r="F547" s="78">
        <f>MouserListTable[[#This Row],[Total Price]]</f>
        <v>0</v>
      </c>
    </row>
    <row r="548" spans="1:6" s="106" customFormat="1" x14ac:dyDescent="0.25">
      <c r="A548" s="131">
        <f>IF(MouserOrderTable[[#This Row],[Qty.]]&gt;0,IF($A547="List #",1,$A547+1),IF($A547="List #",0,$A547))</f>
        <v>154</v>
      </c>
      <c r="B548" s="78" t="str">
        <f>MouserListTable[[#This Row],[SKU]]</f>
        <v>474-COM-11621</v>
      </c>
      <c r="C548" s="78">
        <f>MouserListTable[[#This Row],['# Initial]]</f>
        <v>0</v>
      </c>
      <c r="D548" s="78" t="str">
        <f>MouserListTable[[#This Row],[Name]]</f>
        <v>Slide Pot - Medium (10k Linear Taper)</v>
      </c>
      <c r="E548" s="130">
        <f>MouserListTable[[#This Row],[Price (USD)]]</f>
        <v>2.5</v>
      </c>
      <c r="F548" s="130">
        <f>MouserListTable[[#This Row],[Total Price]]</f>
        <v>0</v>
      </c>
    </row>
    <row r="549" spans="1:6" s="106" customFormat="1" x14ac:dyDescent="0.25">
      <c r="A549" s="131">
        <f>IF(MouserOrderTable[[#This Row],[Qty.]]&gt;0,IF($A548="List #",1,$A548+1),IF($A548="List #",0,$A548))</f>
        <v>154</v>
      </c>
      <c r="B549" s="78" t="str">
        <f>MouserListTable[[#This Row],[SKU]]</f>
        <v>474-COM-09119</v>
      </c>
      <c r="C549" s="78">
        <f>MouserListTable[[#This Row],['# Initial]]</f>
        <v>0</v>
      </c>
      <c r="D549" s="78" t="str">
        <f>MouserListTable[[#This Row],[Name]]</f>
        <v>Slide Pot - X-Large (10k Linear Taper)</v>
      </c>
      <c r="E549" s="78">
        <f>MouserListTable[[#This Row],[Price (USD)]]</f>
        <v>2.95</v>
      </c>
      <c r="F549" s="78">
        <f>MouserListTable[[#This Row],[Total Price]]</f>
        <v>0</v>
      </c>
    </row>
    <row r="550" spans="1:6" s="106" customFormat="1" x14ac:dyDescent="0.25">
      <c r="A550" s="131">
        <f>IF(MouserOrderTable[[#This Row],[Qty.]]&gt;0,IF($A549="List #",1,$A549+1),IF($A549="List #",0,$A549))</f>
        <v>155</v>
      </c>
      <c r="B550" s="78" t="str">
        <f>MouserListTable[[#This Row],[SKU]]</f>
        <v>474-COM-09806</v>
      </c>
      <c r="C550" s="78">
        <f>MouserListTable[[#This Row],['# Initial]]</f>
        <v>5</v>
      </c>
      <c r="D550" s="78" t="str">
        <f>MouserListTable[[#This Row],[Name]]</f>
        <v>Trimpot 10K with Knob</v>
      </c>
      <c r="E550" s="78">
        <f>MouserListTable[[#This Row],[Price (USD)]]</f>
        <v>0.95</v>
      </c>
      <c r="F550" s="78">
        <f>MouserListTable[[#This Row],[Total Price]]</f>
        <v>4.75</v>
      </c>
    </row>
    <row r="551" spans="1:6" s="106" customFormat="1" x14ac:dyDescent="0.25">
      <c r="A551" s="131">
        <f>IF(MouserOrderTable[[#This Row],[Qty.]]&gt;0,IF($A550="List #",1,$A550+1),IF($A550="List #",0,$A550))</f>
        <v>156</v>
      </c>
      <c r="B551" s="78" t="str">
        <f>MouserListTable[[#This Row],[SKU]]</f>
        <v>474-KIT-13698</v>
      </c>
      <c r="C551" s="78">
        <f>MouserListTable[[#This Row],['# Initial]]</f>
        <v>1</v>
      </c>
      <c r="D551" s="78" t="str">
        <f>MouserListTable[[#This Row],[Name]]</f>
        <v>SparkFun Capacitor Kit</v>
      </c>
      <c r="E551" s="78">
        <f>MouserListTable[[#This Row],[Price (USD)]]</f>
        <v>6.95</v>
      </c>
      <c r="F551" s="78">
        <f>MouserListTable[[#This Row],[Total Price]]</f>
        <v>6.95</v>
      </c>
    </row>
    <row r="552" spans="1:6" s="106" customFormat="1" x14ac:dyDescent="0.25">
      <c r="A552" s="131">
        <f>IF(MouserOrderTable[[#This Row],[Qty.]]&gt;0,IF($A551="List #",1,$A551+1),IF($A551="List #",0,$A551))</f>
        <v>157</v>
      </c>
      <c r="B552" s="78" t="str">
        <f>MouserListTable[[#This Row],[SKU]]</f>
        <v>474-COM-00096</v>
      </c>
      <c r="C552" s="78">
        <f>MouserListTable[[#This Row],['# Initial]]</f>
        <v>5</v>
      </c>
      <c r="D552" s="78" t="str">
        <f>MouserListTable[[#This Row],[Name]]</f>
        <v>Electrolytic Decoupling Capacitors - 100uF/25V</v>
      </c>
      <c r="E552" s="78">
        <f>MouserListTable[[#This Row],[Price (USD)]]</f>
        <v>0.35</v>
      </c>
      <c r="F552" s="78">
        <f>MouserListTable[[#This Row],[Total Price]]</f>
        <v>1.75</v>
      </c>
    </row>
    <row r="553" spans="1:6" s="106" customFormat="1" x14ac:dyDescent="0.25">
      <c r="A553" s="131">
        <f>IF(MouserOrderTable[[#This Row],[Qty.]]&gt;0,IF($A552="List #",1,$A552+1),IF($A552="List #",0,$A552))</f>
        <v>158</v>
      </c>
      <c r="B553" s="78" t="str">
        <f>MouserListTable[[#This Row],[SKU]]</f>
        <v>474-COM-00523</v>
      </c>
      <c r="C553" s="78">
        <f>MouserListTable[[#This Row],['# Initial]]</f>
        <v>5</v>
      </c>
      <c r="D553" s="78" t="str">
        <f>MouserListTable[[#This Row],[Name]]</f>
        <v>Electrolytic Decoupling Capacitors - 10uF/25V</v>
      </c>
      <c r="E553" s="78">
        <f>MouserListTable[[#This Row],[Price (USD)]]</f>
        <v>0.45</v>
      </c>
      <c r="F553" s="78">
        <f>MouserListTable[[#This Row],[Total Price]]</f>
        <v>2.25</v>
      </c>
    </row>
    <row r="554" spans="1:6" s="106" customFormat="1" x14ac:dyDescent="0.25">
      <c r="A554" s="131">
        <f>IF(MouserOrderTable[[#This Row],[Qty.]]&gt;0,IF($A553="List #",1,$A553+1),IF($A553="List #",0,$A553))</f>
        <v>158</v>
      </c>
      <c r="B554" s="78" t="str">
        <f>MouserListTable[[#This Row],[SKU]]</f>
        <v>474-COM-00746</v>
      </c>
      <c r="C554" s="78">
        <f>MouserListTable[[#This Row],['# Initial]]</f>
        <v>0</v>
      </c>
      <c r="D554" s="78" t="str">
        <f>MouserListTable[[#This Row],[Name]]</f>
        <v>Super Capacitor - 10F/2.5V</v>
      </c>
      <c r="E554" s="130">
        <f>MouserListTable[[#This Row],[Price (USD)]]</f>
        <v>4.95</v>
      </c>
      <c r="F554" s="130">
        <f>MouserListTable[[#This Row],[Total Price]]</f>
        <v>0</v>
      </c>
    </row>
    <row r="555" spans="1:6" s="106" customFormat="1" x14ac:dyDescent="0.25">
      <c r="A555" s="131">
        <f>IF(MouserOrderTable[[#This Row],[Qty.]]&gt;0,IF($A554="List #",1,$A554+1),IF($A554="List #",0,$A554))</f>
        <v>159</v>
      </c>
      <c r="B555" s="78" t="str">
        <f>MouserListTable[[#This Row],[SKU]]</f>
        <v>474-SEN-00250</v>
      </c>
      <c r="C555" s="78">
        <f>MouserListTable[[#This Row],['# Initial]]</f>
        <v>10</v>
      </c>
      <c r="D555" s="78" t="str">
        <f>MouserListTable[[#This Row],[Name]]</f>
        <v>Thermistor 10K</v>
      </c>
      <c r="E555" s="130">
        <f>MouserListTable[[#This Row],[Price (USD)]]</f>
        <v>0.75</v>
      </c>
      <c r="F555" s="130">
        <f>MouserListTable[[#This Row],[Total Price]]</f>
        <v>7.5</v>
      </c>
    </row>
    <row r="556" spans="1:6" s="106" customFormat="1" x14ac:dyDescent="0.25">
      <c r="A556" s="131">
        <f>IF(MouserOrderTable[[#This Row],[Qty.]]&gt;0,IF($A555="List #",1,$A555+1),IF($A555="List #",0,$A555))</f>
        <v>160</v>
      </c>
      <c r="B556" s="78" t="str">
        <f>MouserListTable[[#This Row],[SKU]]</f>
        <v>474-COM-08589</v>
      </c>
      <c r="C556" s="78">
        <f>MouserListTable[[#This Row],['# Initial]]</f>
        <v>10</v>
      </c>
      <c r="D556" s="78" t="str">
        <f>MouserListTable[[#This Row],[Name]]</f>
        <v>Diode Rectifier - 1A 50V</v>
      </c>
      <c r="E556" s="130">
        <f>MouserListTable[[#This Row],[Price (USD)]]</f>
        <v>0.15</v>
      </c>
      <c r="F556" s="130">
        <f>MouserListTable[[#This Row],[Total Price]]</f>
        <v>1.5</v>
      </c>
    </row>
    <row r="557" spans="1:6" s="106" customFormat="1" x14ac:dyDescent="0.25">
      <c r="A557" s="131">
        <f>IF(MouserOrderTable[[#This Row],[Qty.]]&gt;0,IF($A556="List #",1,$A556+1),IF($A556="List #",0,$A556))</f>
        <v>161</v>
      </c>
      <c r="B557" s="78" t="str">
        <f>MouserListTable[[#This Row],[SKU]]</f>
        <v>474-COM-08588</v>
      </c>
      <c r="C557" s="78">
        <f>MouserListTable[[#This Row],['# Initial]]</f>
        <v>10</v>
      </c>
      <c r="D557" s="78" t="str">
        <f>MouserListTable[[#This Row],[Name]]</f>
        <v>Diode Small Signal - 1N4148</v>
      </c>
      <c r="E557" s="78">
        <f>MouserListTable[[#This Row],[Price (USD)]]</f>
        <v>0.15</v>
      </c>
      <c r="F557" s="78">
        <f>MouserListTable[[#This Row],[Total Price]]</f>
        <v>1.5</v>
      </c>
    </row>
    <row r="558" spans="1:6" s="106" customFormat="1" x14ac:dyDescent="0.25">
      <c r="A558" s="131">
        <f>IF(MouserOrderTable[[#This Row],[Qty.]]&gt;0,IF($A557="List #",1,$A557+1),IF($A557="List #",0,$A557))</f>
        <v>162</v>
      </c>
      <c r="B558" s="78" t="str">
        <f>MouserListTable[[#This Row],[SKU]]</f>
        <v>474-COM-10926</v>
      </c>
      <c r="C558" s="78">
        <f>MouserListTable[[#This Row],['# Initial]]</f>
        <v>10</v>
      </c>
      <c r="D558" s="78" t="str">
        <f>MouserListTable[[#This Row],[Name]]</f>
        <v>Schottky Diode</v>
      </c>
      <c r="E558" s="78">
        <f>MouserListTable[[#This Row],[Price (USD)]]</f>
        <v>0.15</v>
      </c>
      <c r="F558" s="78">
        <f>MouserListTable[[#This Row],[Total Price]]</f>
        <v>1.5</v>
      </c>
    </row>
    <row r="559" spans="1:6" s="106" customFormat="1" x14ac:dyDescent="0.25">
      <c r="A559" s="131">
        <f>IF(MouserOrderTable[[#This Row],[Qty.]]&gt;0,IF($A558="List #",1,$A558+1),IF($A558="List #",0,$A558))</f>
        <v>162</v>
      </c>
      <c r="B559" s="78" t="str">
        <f>MouserListTable[[#This Row],[SKU]]</f>
        <v>474-COM-10301</v>
      </c>
      <c r="C559" s="78">
        <f>MouserListTable[[#This Row],['# Initial]]</f>
        <v>0</v>
      </c>
      <c r="D559" s="78" t="str">
        <f>MouserListTable[[#This Row],[Name]]</f>
        <v>Zener Diode - 5.1V 1W</v>
      </c>
      <c r="E559" s="130">
        <f>MouserListTable[[#This Row],[Price (USD)]]</f>
        <v>0.25</v>
      </c>
      <c r="F559" s="130">
        <f>MouserListTable[[#This Row],[Total Price]]</f>
        <v>0</v>
      </c>
    </row>
    <row r="560" spans="1:6" s="106" customFormat="1" x14ac:dyDescent="0.25">
      <c r="A560" s="131">
        <f>IF(MouserOrderTable[[#This Row],[Qty.]]&gt;0,IF($A559="List #",1,$A559+1),IF($A559="List #",0,$A559))</f>
        <v>162</v>
      </c>
      <c r="B560" s="78" t="str">
        <f>MouserListTable[[#This Row],[SKU]]</f>
        <v>474-COM-11154</v>
      </c>
      <c r="C560" s="78">
        <f>MouserListTable[[#This Row],['# Initial]]</f>
        <v>0</v>
      </c>
      <c r="D560" s="78" t="str">
        <f>MouserListTable[[#This Row],[Name]]</f>
        <v>Audio Jack - 3.5mm (Panel Mount)</v>
      </c>
      <c r="E560" s="78">
        <f>MouserListTable[[#This Row],[Price (USD)]]</f>
        <v>0.5</v>
      </c>
      <c r="F560" s="78">
        <f>MouserListTable[[#This Row],[Total Price]]</f>
        <v>0</v>
      </c>
    </row>
    <row r="561" spans="1:6" s="106" customFormat="1" x14ac:dyDescent="0.25">
      <c r="A561" s="131">
        <f>IF(MouserOrderTable[[#This Row],[Qty.]]&gt;0,IF($A560="List #",1,$A560+1),IF($A560="List #",0,$A560))</f>
        <v>162</v>
      </c>
      <c r="B561" s="78" t="str">
        <f>MouserListTable[[#This Row],[SKU]]</f>
        <v>474-PRT-08032</v>
      </c>
      <c r="C561" s="78">
        <f>MouserListTable[[#This Row],['# Initial]]</f>
        <v>0</v>
      </c>
      <c r="D561" s="78" t="str">
        <f>MouserListTable[[#This Row],[Name]]</f>
        <v>Audio Jack 3.5mm</v>
      </c>
      <c r="E561" s="78">
        <f>MouserListTable[[#This Row],[Price (USD)]]</f>
        <v>1.5</v>
      </c>
      <c r="F561" s="78">
        <f>MouserListTable[[#This Row],[Total Price]]</f>
        <v>0</v>
      </c>
    </row>
    <row r="562" spans="1:6" s="106" customFormat="1" x14ac:dyDescent="0.25">
      <c r="A562" s="131">
        <f>IF(MouserOrderTable[[#This Row],[Qty.]]&gt;0,IF($A561="List #",1,$A561+1),IF($A561="List #",0,$A561))</f>
        <v>162</v>
      </c>
      <c r="B562" s="78" t="str">
        <f>MouserListTable[[#This Row],[SKU]]</f>
        <v>474-COM-11143</v>
      </c>
      <c r="C562" s="78">
        <f>MouserListTable[[#This Row],['# Initial]]</f>
        <v>0</v>
      </c>
      <c r="D562" s="78" t="str">
        <f>MouserListTable[[#This Row],[Name]]</f>
        <v>Audio Plug - 3.5mm</v>
      </c>
      <c r="E562" s="78">
        <f>MouserListTable[[#This Row],[Price (USD)]]</f>
        <v>0.5</v>
      </c>
      <c r="F562" s="78">
        <f>MouserListTable[[#This Row],[Total Price]]</f>
        <v>0</v>
      </c>
    </row>
    <row r="563" spans="1:6" s="106" customFormat="1" x14ac:dyDescent="0.25">
      <c r="A563" s="131">
        <f>IF(MouserOrderTable[[#This Row],[Qty.]]&gt;0,IF($A562="List #",1,$A562+1),IF($A562="List #",0,$A562))</f>
        <v>162</v>
      </c>
      <c r="B563" s="78" t="str">
        <f>MouserListTable[[#This Row],[SKU]]</f>
        <v>474-PRT-10588</v>
      </c>
      <c r="C563" s="78">
        <f>MouserListTable[[#This Row],['# Initial]]</f>
        <v>0</v>
      </c>
      <c r="D563" s="78" t="str">
        <f>MouserListTable[[#This Row],[Name]]</f>
        <v>SparkFun Audio Jack Breakout</v>
      </c>
      <c r="E563" s="78">
        <f>MouserListTable[[#This Row],[Price (USD)]]</f>
        <v>0.95</v>
      </c>
      <c r="F563" s="78">
        <f>MouserListTable[[#This Row],[Total Price]]</f>
        <v>0</v>
      </c>
    </row>
    <row r="564" spans="1:6" s="106" customFormat="1" x14ac:dyDescent="0.25">
      <c r="A564" s="131">
        <f>IF(MouserOrderTable[[#This Row],[Qty.]]&gt;0,IF($A563="List #",1,$A563+1),IF($A563="List #",0,$A563))</f>
        <v>162</v>
      </c>
      <c r="B564" s="78" t="str">
        <f>MouserListTable[[#This Row],[SKU]]</f>
        <v>485-2911</v>
      </c>
      <c r="C564" s="78">
        <f>MouserListTable[[#This Row],['# Initial]]</f>
        <v>0</v>
      </c>
      <c r="D564" s="78" t="str">
        <f>MouserListTable[[#This Row],[Name]]</f>
        <v xml:space="preserve">1/4" (6.35mm) Stereo Plug Terminal Block </v>
      </c>
      <c r="E564" s="78">
        <f>MouserListTable[[#This Row],[Price (USD)]]</f>
        <v>1.95</v>
      </c>
      <c r="F564" s="78">
        <f>MouserListTable[[#This Row],[Total Price]]</f>
        <v>0</v>
      </c>
    </row>
    <row r="565" spans="1:6" s="106" customFormat="1" x14ac:dyDescent="0.25">
      <c r="A565" s="131">
        <f>IF(MouserOrderTable[[#This Row],[Qty.]]&gt;0,IF($A564="List #",1,$A564+1),IF($A564="List #",0,$A564))</f>
        <v>162</v>
      </c>
      <c r="B565" s="78" t="str">
        <f>MouserListTable[[#This Row],[SKU]]</f>
        <v>485-2791</v>
      </c>
      <c r="C565" s="78">
        <f>MouserListTable[[#This Row],['# Initial]]</f>
        <v>0</v>
      </c>
      <c r="D565" s="78" t="str">
        <f>MouserListTable[[#This Row],[Name]]</f>
        <v xml:space="preserve">3.5mm (1/8") Stereo Audio Jack Terminal Block </v>
      </c>
      <c r="E565" s="78">
        <f>MouserListTable[[#This Row],[Price (USD)]]</f>
        <v>2.5</v>
      </c>
      <c r="F565" s="78">
        <f>MouserListTable[[#This Row],[Total Price]]</f>
        <v>0</v>
      </c>
    </row>
    <row r="566" spans="1:6" s="106" customFormat="1" x14ac:dyDescent="0.25">
      <c r="A566" s="131">
        <f>IF(MouserOrderTable[[#This Row],[Qty.]]&gt;0,IF($A565="List #",1,$A565+1),IF($A565="List #",0,$A565))</f>
        <v>162</v>
      </c>
      <c r="B566" s="78" t="str">
        <f>MouserListTable[[#This Row],[SKU]]</f>
        <v>485-2790</v>
      </c>
      <c r="C566" s="78">
        <f>MouserListTable[[#This Row],['# Initial]]</f>
        <v>0</v>
      </c>
      <c r="D566" s="78" t="str">
        <f>MouserListTable[[#This Row],[Name]]</f>
        <v xml:space="preserve">3.5mm (1/8") Stereo Audio Plug Terminal Block </v>
      </c>
      <c r="E566" s="130">
        <f>MouserListTable[[#This Row],[Price (USD)]]</f>
        <v>2.5</v>
      </c>
      <c r="F566" s="130">
        <f>MouserListTable[[#This Row],[Total Price]]</f>
        <v>0</v>
      </c>
    </row>
    <row r="567" spans="1:6" s="106" customFormat="1" x14ac:dyDescent="0.25">
      <c r="A567" s="131">
        <f>IF(MouserOrderTable[[#This Row],[Qty.]]&gt;0,IF($A566="List #",1,$A566+1),IF($A566="List #",0,$A566))</f>
        <v>162</v>
      </c>
      <c r="B567" s="78" t="str">
        <f>MouserListTable[[#This Row],[SKU]]</f>
        <v>485-1699</v>
      </c>
      <c r="C567" s="78">
        <f>MouserListTable[[#This Row],['# Initial]]</f>
        <v>0</v>
      </c>
      <c r="D567" s="78" t="str">
        <f>MouserListTable[[#This Row],[Name]]</f>
        <v xml:space="preserve">Breadboard-Friendly 3.5mm Stereo Headphone Jack </v>
      </c>
      <c r="E567" s="78">
        <f>MouserListTable[[#This Row],[Price (USD)]]</f>
        <v>0.95</v>
      </c>
      <c r="F567" s="78">
        <f>MouserListTable[[#This Row],[Total Price]]</f>
        <v>0</v>
      </c>
    </row>
    <row r="568" spans="1:6" s="106" customFormat="1" x14ac:dyDescent="0.25">
      <c r="A568" s="131">
        <f>IF(MouserOrderTable[[#This Row],[Qty.]]&gt;0,IF($A567="List #",1,$A567+1),IF($A567="List #",0,$A567))</f>
        <v>163</v>
      </c>
      <c r="B568" s="78" t="str">
        <f>MouserListTable[[#This Row],[SKU]]</f>
        <v>485-2429</v>
      </c>
      <c r="C568" s="78">
        <f>MouserListTable[[#This Row],['# Initial]]</f>
        <v>1</v>
      </c>
      <c r="D568" s="78" t="str">
        <f>MouserListTable[[#This Row],[Name]]</f>
        <v xml:space="preserve">Pogo Pins "Crown Head" (10 pack) - P75-H2 </v>
      </c>
      <c r="E568" s="78">
        <f>MouserListTable[[#This Row],[Price (USD)]]</f>
        <v>4.95</v>
      </c>
      <c r="F568" s="78">
        <f>MouserListTable[[#This Row],[Total Price]]</f>
        <v>4.95</v>
      </c>
    </row>
    <row r="569" spans="1:6" s="106" customFormat="1" x14ac:dyDescent="0.25">
      <c r="A569" s="131">
        <f>IF(MouserOrderTable[[#This Row],[Qty.]]&gt;0,IF($A568="List #",1,$A568+1),IF($A568="List #",0,$A568))</f>
        <v>164</v>
      </c>
      <c r="B569" s="78" t="str">
        <f>MouserListTable[[#This Row],[SKU]]</f>
        <v>485-2428</v>
      </c>
      <c r="C569" s="78">
        <f>MouserListTable[[#This Row],['# Initial]]</f>
        <v>1</v>
      </c>
      <c r="D569" s="78" t="str">
        <f>MouserListTable[[#This Row],[Name]]</f>
        <v xml:space="preserve">Pogo Pins "Cupped Head" (10 pack) - P75-A2 </v>
      </c>
      <c r="E569" s="78">
        <f>MouserListTable[[#This Row],[Price (USD)]]</f>
        <v>4.95</v>
      </c>
      <c r="F569" s="78">
        <f>MouserListTable[[#This Row],[Total Price]]</f>
        <v>4.95</v>
      </c>
    </row>
    <row r="570" spans="1:6" s="106" customFormat="1" x14ac:dyDescent="0.25">
      <c r="A570" s="131">
        <f>IF(MouserOrderTable[[#This Row],[Qty.]]&gt;0,IF($A569="List #",1,$A569+1),IF($A569="List #",0,$A569))</f>
        <v>165</v>
      </c>
      <c r="B570" s="78" t="str">
        <f>MouserListTable[[#This Row],[SKU]]</f>
        <v>485-2430</v>
      </c>
      <c r="C570" s="78">
        <f>MouserListTable[[#This Row],['# Initial]]</f>
        <v>1</v>
      </c>
      <c r="D570" s="78" t="str">
        <f>MouserListTable[[#This Row],[Name]]</f>
        <v>Pogo Pins "Needle Head" (10 pack) - P75-B1</v>
      </c>
      <c r="E570" s="78">
        <f>MouserListTable[[#This Row],[Price (USD)]]</f>
        <v>4.95</v>
      </c>
      <c r="F570" s="78">
        <f>MouserListTable[[#This Row],[Total Price]]</f>
        <v>4.95</v>
      </c>
    </row>
    <row r="571" spans="1:6" s="106" customFormat="1" x14ac:dyDescent="0.25">
      <c r="A571" s="131">
        <f>IF(MouserOrderTable[[#This Row],[Qty.]]&gt;0,IF($A570="List #",1,$A570+1),IF($A570="List #",0,$A570))</f>
        <v>166</v>
      </c>
      <c r="B571" s="78" t="str">
        <f>MouserListTable[[#This Row],[SKU]]</f>
        <v>485-394</v>
      </c>
      <c r="C571" s="78">
        <f>MouserListTable[[#This Row],['# Initial]]</f>
        <v>1</v>
      </c>
      <c r="D571" s="78" t="str">
        <f>MouserListTable[[#This Row],[Name]]</f>
        <v xml:space="preserve">Pogo Pins "Spear Head" (10 pack) - P75-LM3 </v>
      </c>
      <c r="E571" s="78">
        <f>MouserListTable[[#This Row],[Price (USD)]]</f>
        <v>7.5</v>
      </c>
      <c r="F571" s="78">
        <f>MouserListTable[[#This Row],[Total Price]]</f>
        <v>7.5</v>
      </c>
    </row>
    <row r="572" spans="1:6" s="106" customFormat="1" x14ac:dyDescent="0.25">
      <c r="A572" s="131">
        <f>IF(MouserOrderTable[[#This Row],[Qty.]]&gt;0,IF($A571="List #",1,$A571+1),IF($A571="List #",0,$A571))</f>
        <v>167</v>
      </c>
      <c r="B572" s="78" t="str">
        <f>MouserListTable[[#This Row],[SKU]]</f>
        <v>474-CAB-10646</v>
      </c>
      <c r="C572" s="78">
        <f>MouserListTable[[#This Row],['# Initial]]</f>
        <v>2</v>
      </c>
      <c r="D572" s="78" t="str">
        <f>MouserListTable[[#This Row],[Name]]</f>
        <v>Ribbon Cable - 6 wire (15ft)</v>
      </c>
      <c r="E572" s="78">
        <f>MouserListTable[[#This Row],[Price (USD)]]</f>
        <v>2.95</v>
      </c>
      <c r="F572" s="78">
        <f>MouserListTable[[#This Row],[Total Price]]</f>
        <v>5.9</v>
      </c>
    </row>
    <row r="573" spans="1:6" s="106" customFormat="1" x14ac:dyDescent="0.25">
      <c r="A573" s="131">
        <f>IF(MouserOrderTable[[#This Row],[Qty.]]&gt;0,IF($A572="List #",1,$A572+1),IF($A572="List #",0,$A572))</f>
        <v>167</v>
      </c>
      <c r="B573" s="78" t="str">
        <f>MouserListTable[[#This Row],[SKU]]</f>
        <v>485-371</v>
      </c>
      <c r="C573" s="78">
        <f>MouserListTable[[#This Row],['# Initial]]</f>
        <v>0</v>
      </c>
      <c r="D573" s="78" t="str">
        <f>MouserListTable[[#This Row],[Name]]</f>
        <v>6-pin Socket/Socket IDC cable - 6"</v>
      </c>
      <c r="E573" s="130">
        <f>MouserListTable[[#This Row],[Price (USD)]]</f>
        <v>2</v>
      </c>
      <c r="F573" s="130">
        <f>MouserListTable[[#This Row],[Total Price]]</f>
        <v>0</v>
      </c>
    </row>
    <row r="574" spans="1:6" s="106" customFormat="1" x14ac:dyDescent="0.25">
      <c r="A574" s="131">
        <f>IF(MouserOrderTable[[#This Row],[Qty.]]&gt;0,IF($A573="List #",1,$A573+1),IF($A573="List #",0,$A573))</f>
        <v>167</v>
      </c>
      <c r="B574" s="78" t="str">
        <f>MouserListTable[[#This Row],[SKU]]</f>
        <v>474-CAB-10649</v>
      </c>
      <c r="C574" s="78">
        <f>MouserListTable[[#This Row],['# Initial]]</f>
        <v>0</v>
      </c>
      <c r="D574" s="78" t="str">
        <f>MouserListTable[[#This Row],[Name]]</f>
        <v>Ribbon Cable - 10 wire (3ft)</v>
      </c>
      <c r="E574" s="78">
        <f>MouserListTable[[#This Row],[Price (USD)]]</f>
        <v>0.95</v>
      </c>
      <c r="F574" s="78">
        <f>MouserListTable[[#This Row],[Total Price]]</f>
        <v>0</v>
      </c>
    </row>
    <row r="575" spans="1:6" s="106" customFormat="1" x14ac:dyDescent="0.25">
      <c r="A575" s="131">
        <f>IF(MouserOrderTable[[#This Row],[Qty.]]&gt;0,IF($A574="List #",1,$A574+1),IF($A574="List #",0,$A574))</f>
        <v>168</v>
      </c>
      <c r="B575" s="78" t="str">
        <f>MouserListTable[[#This Row],[SKU]]</f>
        <v>474-CAB-10647</v>
      </c>
      <c r="C575" s="78">
        <f>MouserListTable[[#This Row],['# Initial]]</f>
        <v>1</v>
      </c>
      <c r="D575" s="78" t="str">
        <f>MouserListTable[[#This Row],[Name]]</f>
        <v>Ribbon Cable - 10 wire (15ft)</v>
      </c>
      <c r="E575" s="78">
        <f>MouserListTable[[#This Row],[Price (USD)]]</f>
        <v>4.95</v>
      </c>
      <c r="F575" s="78">
        <f>MouserListTable[[#This Row],[Total Price]]</f>
        <v>4.95</v>
      </c>
    </row>
    <row r="576" spans="1:6" s="106" customFormat="1" x14ac:dyDescent="0.25">
      <c r="A576" s="131">
        <f>IF(MouserOrderTable[[#This Row],[Qty.]]&gt;0,IF($A575="List #",1,$A575+1),IF($A575="List #",0,$A575))</f>
        <v>168</v>
      </c>
      <c r="B576" s="78" t="str">
        <f>MouserListTable[[#This Row],[SKU]]</f>
        <v>485-556</v>
      </c>
      <c r="C576" s="78">
        <f>MouserListTable[[#This Row],['# Initial]]</f>
        <v>0</v>
      </c>
      <c r="D576" s="78" t="str">
        <f>MouserListTable[[#This Row],[Name]]</f>
        <v>10-pin Socket/Socket IDC cable - Short 1.5"</v>
      </c>
      <c r="E576" s="78">
        <f>MouserListTable[[#This Row],[Price (USD)]]</f>
        <v>1.5</v>
      </c>
      <c r="F576" s="78">
        <f>MouserListTable[[#This Row],[Total Price]]</f>
        <v>0</v>
      </c>
    </row>
    <row r="577" spans="1:6" s="106" customFormat="1" x14ac:dyDescent="0.25">
      <c r="A577" s="131">
        <f>IF(MouserOrderTable[[#This Row],[Qty.]]&gt;0,IF($A576="List #",1,$A576+1),IF($A576="List #",0,$A576))</f>
        <v>168</v>
      </c>
      <c r="B577" s="78" t="str">
        <f>MouserListTable[[#This Row],[SKU]]</f>
        <v>485-370</v>
      </c>
      <c r="C577" s="78">
        <f>MouserListTable[[#This Row],['# Initial]]</f>
        <v>0</v>
      </c>
      <c r="D577" s="78" t="str">
        <f>MouserListTable[[#This Row],[Name]]</f>
        <v xml:space="preserve">10-pin Socket/Socket IDC cable - 6" </v>
      </c>
      <c r="E577" s="78">
        <f>MouserListTable[[#This Row],[Price (USD)]]</f>
        <v>2</v>
      </c>
      <c r="F577" s="78">
        <f>MouserListTable[[#This Row],[Total Price]]</f>
        <v>0</v>
      </c>
    </row>
    <row r="578" spans="1:6" s="106" customFormat="1" x14ac:dyDescent="0.25">
      <c r="A578" s="131">
        <f>IF(MouserOrderTable[[#This Row],[Qty.]]&gt;0,IF($A577="List #",1,$A577+1),IF($A577="List #",0,$A577))</f>
        <v>168</v>
      </c>
      <c r="B578" s="78" t="str">
        <f>MouserListTable[[#This Row],[SKU]]</f>
        <v>485-1199</v>
      </c>
      <c r="C578" s="78">
        <f>MouserListTable[[#This Row],['# Initial]]</f>
        <v>0</v>
      </c>
      <c r="D578" s="78" t="str">
        <f>MouserListTable[[#This Row],[Name]]</f>
        <v>10-pin IDC Socket Rainbow Breakout Cable</v>
      </c>
      <c r="E578" s="78">
        <f>MouserListTable[[#This Row],[Price (USD)]]</f>
        <v>3.95</v>
      </c>
      <c r="F578" s="78">
        <f>MouserListTable[[#This Row],[Total Price]]</f>
        <v>0</v>
      </c>
    </row>
    <row r="579" spans="1:6" s="106" customFormat="1" x14ac:dyDescent="0.25">
      <c r="A579" s="131">
        <f>IF(MouserOrderTable[[#This Row],[Qty.]]&gt;0,IF($A578="List #",1,$A578+1),IF($A578="List #",0,$A578))</f>
        <v>168</v>
      </c>
      <c r="B579" s="78" t="str">
        <f>MouserListTable[[#This Row],[SKU]]</f>
        <v>474-PRT-08535</v>
      </c>
      <c r="C579" s="78">
        <f>MouserListTable[[#This Row],['# Initial]]</f>
        <v>0</v>
      </c>
      <c r="D579" s="78" t="str">
        <f>MouserListTable[[#This Row],[Name]]</f>
        <v>2x5 Pin IDC Ribbon Cable</v>
      </c>
      <c r="E579" s="130">
        <f>MouserListTable[[#This Row],[Price (USD)]]</f>
        <v>1.5</v>
      </c>
      <c r="F579" s="130">
        <f>MouserListTable[[#This Row],[Total Price]]</f>
        <v>0</v>
      </c>
    </row>
    <row r="580" spans="1:6" s="106" customFormat="1" x14ac:dyDescent="0.25">
      <c r="A580" s="131">
        <f>IF(MouserOrderTable[[#This Row],[Qty.]]&gt;0,IF($A579="List #",1,$A579+1),IF($A579="List #",0,$A579))</f>
        <v>168</v>
      </c>
      <c r="B580" s="78" t="str">
        <f>MouserListTable[[#This Row],[SKU]]</f>
        <v>485-1675</v>
      </c>
      <c r="C580" s="78">
        <f>MouserListTable[[#This Row],['# Initial]]</f>
        <v>0</v>
      </c>
      <c r="D580" s="78" t="str">
        <f>MouserListTable[[#This Row],[Name]]</f>
        <v>10-pin 2x5 Socket-Socket 1.27mm IDC (SWD) Cable - 150mm long</v>
      </c>
      <c r="E580" s="78">
        <f>MouserListTable[[#This Row],[Price (USD)]]</f>
        <v>2.95</v>
      </c>
      <c r="F580" s="78">
        <f>MouserListTable[[#This Row],[Total Price]]</f>
        <v>0</v>
      </c>
    </row>
    <row r="581" spans="1:6" s="106" customFormat="1" x14ac:dyDescent="0.25">
      <c r="A581" s="131">
        <f>IF(MouserOrderTable[[#This Row],[Qty.]]&gt;0,IF($A580="List #",1,$A580+1),IF($A580="List #",0,$A580))</f>
        <v>168</v>
      </c>
      <c r="B581" s="78" t="str">
        <f>MouserListTable[[#This Row],[SKU]]</f>
        <v>474-COM-09939</v>
      </c>
      <c r="C581" s="78">
        <f>MouserListTable[[#This Row],['# Initial]]</f>
        <v>0</v>
      </c>
      <c r="D581" s="78" t="str">
        <f>MouserListTable[[#This Row],[Name]]</f>
        <v>Rotary Potentiometer - 10k Ohm, Linear</v>
      </c>
      <c r="E581" s="78">
        <f>MouserListTable[[#This Row],[Price (USD)]]</f>
        <v>0.95</v>
      </c>
      <c r="F581" s="78">
        <f>MouserListTable[[#This Row],[Total Price]]</f>
        <v>0</v>
      </c>
    </row>
    <row r="582" spans="1:6" s="106" customFormat="1" x14ac:dyDescent="0.25">
      <c r="A582" s="131">
        <f>IF(MouserOrderTable[[#This Row],[Qty.]]&gt;0,IF($A581="List #",1,$A581+1),IF($A581="List #",0,$A581))</f>
        <v>168</v>
      </c>
      <c r="B582" s="78" t="str">
        <f>MouserListTable[[#This Row],[SKU]]</f>
        <v>474-COM-09940</v>
      </c>
      <c r="C582" s="78">
        <f>MouserListTable[[#This Row],['# Initial]]</f>
        <v>0</v>
      </c>
      <c r="D582" s="78" t="str">
        <f>MouserListTable[[#This Row],[Name]]</f>
        <v>Rotary Potentiometer - 10k Ohm, Logarithmic</v>
      </c>
      <c r="E582" s="130">
        <f>MouserListTable[[#This Row],[Price (USD)]]</f>
        <v>0.95</v>
      </c>
      <c r="F582" s="130">
        <f>MouserListTable[[#This Row],[Total Price]]</f>
        <v>0</v>
      </c>
    </row>
    <row r="583" spans="1:6" s="106" customFormat="1" x14ac:dyDescent="0.25">
      <c r="A583" s="131">
        <f>IF(MouserOrderTable[[#This Row],[Qty.]]&gt;0,IF($A582="List #",1,$A582+1),IF($A582="List #",0,$A582))</f>
        <v>169</v>
      </c>
      <c r="B583" s="78" t="str">
        <f>MouserListTable[[#This Row],[SKU]]</f>
        <v>474-COM-09288</v>
      </c>
      <c r="C583" s="78">
        <f>MouserListTable[[#This Row],['# Initial]]</f>
        <v>5</v>
      </c>
      <c r="D583" s="78" t="str">
        <f>MouserListTable[[#This Row],[Name]]</f>
        <v>Rotary Potentiometer - Linear (10k ohm)</v>
      </c>
      <c r="E583" s="130">
        <f>MouserListTable[[#This Row],[Price (USD)]]</f>
        <v>0.95</v>
      </c>
      <c r="F583" s="130">
        <f>MouserListTable[[#This Row],[Total Price]]</f>
        <v>4.75</v>
      </c>
    </row>
    <row r="584" spans="1:6" s="106" customFormat="1" x14ac:dyDescent="0.25">
      <c r="A584" s="131">
        <f>IF(MouserOrderTable[[#This Row],[Qty.]]&gt;0,IF($A583="List #",1,$A583+1),IF($A583="List #",0,$A583))</f>
        <v>169</v>
      </c>
      <c r="B584" s="78" t="str">
        <f>MouserListTable[[#This Row],[SKU]]</f>
        <v>485-3392</v>
      </c>
      <c r="C584" s="78">
        <f>MouserListTable[[#This Row],['# Initial]]</f>
        <v>0</v>
      </c>
      <c r="D584" s="78" t="str">
        <f>MouserListTable[[#This Row],[Name]]</f>
        <v xml:space="preserve">Panel Mount 10K Dual Linear Potentiometer - 10K Dual Linear </v>
      </c>
      <c r="E584" s="78">
        <f>MouserListTable[[#This Row],[Price (USD)]]</f>
        <v>1.5</v>
      </c>
      <c r="F584" s="78">
        <f>MouserListTable[[#This Row],[Total Price]]</f>
        <v>0</v>
      </c>
    </row>
    <row r="585" spans="1:6" s="106" customFormat="1" x14ac:dyDescent="0.25">
      <c r="A585" s="131">
        <f>IF(MouserOrderTable[[#This Row],[Qty.]]&gt;0,IF($A584="List #",1,$A584+1),IF($A584="List #",0,$A584))</f>
        <v>169</v>
      </c>
      <c r="B585" s="78" t="str">
        <f>MouserListTable[[#This Row],[SKU]]</f>
        <v>485-3393</v>
      </c>
      <c r="C585" s="78">
        <f>MouserListTable[[#This Row],['# Initial]]</f>
        <v>0</v>
      </c>
      <c r="D585" s="78" t="str">
        <f>MouserListTable[[#This Row],[Name]]</f>
        <v xml:space="preserve">Panel Mount 10K Dual Linear Potentiometer w/ On-Off Switch - 10K Dual Linear w/ Switch </v>
      </c>
      <c r="E585" s="78">
        <f>MouserListTable[[#This Row],[Price (USD)]]</f>
        <v>1.75</v>
      </c>
      <c r="F585" s="78">
        <f>MouserListTable[[#This Row],[Total Price]]</f>
        <v>0</v>
      </c>
    </row>
    <row r="586" spans="1:6" s="106" customFormat="1" x14ac:dyDescent="0.25">
      <c r="A586" s="131">
        <f>IF(MouserOrderTable[[#This Row],[Qty.]]&gt;0,IF($A585="List #",1,$A585+1),IF($A585="List #",0,$A585))</f>
        <v>169</v>
      </c>
      <c r="B586" s="78" t="str">
        <f>MouserListTable[[#This Row],[SKU]]</f>
        <v>485-562</v>
      </c>
      <c r="C586" s="78">
        <f>MouserListTable[[#This Row],['# Initial]]</f>
        <v>0</v>
      </c>
      <c r="D586" s="78" t="str">
        <f>MouserListTable[[#This Row],[Name]]</f>
        <v xml:space="preserve">Panel Mount 10K potentiometer (Breadboard Friendly) - 10K Linear </v>
      </c>
      <c r="E586" s="78">
        <f>MouserListTable[[#This Row],[Price (USD)]]</f>
        <v>0.95</v>
      </c>
      <c r="F586" s="78">
        <f>MouserListTable[[#This Row],[Total Price]]</f>
        <v>0</v>
      </c>
    </row>
    <row r="587" spans="1:6" s="106" customFormat="1" x14ac:dyDescent="0.25">
      <c r="A587" s="131">
        <f>IF(MouserOrderTable[[#This Row],[Qty.]]&gt;0,IF($A586="List #",1,$A586+1),IF($A586="List #",0,$A586))</f>
        <v>169</v>
      </c>
      <c r="B587" s="78" t="str">
        <f>MouserListTable[[#This Row],[SKU]]</f>
        <v>485-1789</v>
      </c>
      <c r="C587" s="78">
        <f>MouserListTable[[#This Row],['# Initial]]</f>
        <v>0</v>
      </c>
      <c r="D587" s="78" t="str">
        <f>MouserListTable[[#This Row],[Name]]</f>
        <v xml:space="preserve">Panel Mount 1K potentiometer (Breadboard Friendly) - 1K Linear </v>
      </c>
      <c r="E587" s="130">
        <f>MouserListTable[[#This Row],[Price (USD)]]</f>
        <v>0.95</v>
      </c>
      <c r="F587" s="130">
        <f>MouserListTable[[#This Row],[Total Price]]</f>
        <v>0</v>
      </c>
    </row>
    <row r="588" spans="1:6" s="106" customFormat="1" x14ac:dyDescent="0.25">
      <c r="A588" s="131">
        <f>IF(MouserOrderTable[[#This Row],[Qty.]]&gt;0,IF($A587="List #",1,$A587+1),IF($A587="List #",0,$A587))</f>
        <v>170</v>
      </c>
      <c r="B588" s="78" t="str">
        <f>MouserListTable[[#This Row],[SKU]]</f>
        <v>485-3395</v>
      </c>
      <c r="C588" s="78">
        <f>MouserListTable[[#This Row],['# Initial]]</f>
        <v>5</v>
      </c>
      <c r="D588" s="78" t="str">
        <f>MouserListTable[[#This Row],[Name]]</f>
        <v xml:space="preserve">Panel Mount Right Angle 10K Linear Potentiometer w/On-Off Switch - 10K Linear w/ Switch </v>
      </c>
      <c r="E588" s="78">
        <f>MouserListTable[[#This Row],[Price (USD)]]</f>
        <v>1.5</v>
      </c>
      <c r="F588" s="78">
        <f>MouserListTable[[#This Row],[Total Price]]</f>
        <v>7.5</v>
      </c>
    </row>
    <row r="589" spans="1:6" s="106" customFormat="1" x14ac:dyDescent="0.25">
      <c r="A589" s="131">
        <f>IF(MouserOrderTable[[#This Row],[Qty.]]&gt;0,IF($A588="List #",1,$A588+1),IF($A588="List #",0,$A588))</f>
        <v>170</v>
      </c>
      <c r="B589" s="78" t="str">
        <f>MouserListTable[[#This Row],[SKU]]</f>
        <v>474-COM-09117</v>
      </c>
      <c r="C589" s="78">
        <f>MouserListTable[[#This Row],['# Initial]]</f>
        <v>0</v>
      </c>
      <c r="D589" s="78" t="str">
        <f>MouserListTable[[#This Row],[Name]]</f>
        <v>Rotary Encoder</v>
      </c>
      <c r="E589" s="78">
        <f>MouserListTable[[#This Row],[Price (USD)]]</f>
        <v>2.95</v>
      </c>
      <c r="F589" s="78">
        <f>MouserListTable[[#This Row],[Total Price]]</f>
        <v>0</v>
      </c>
    </row>
    <row r="590" spans="1:6" s="106" customFormat="1" x14ac:dyDescent="0.25">
      <c r="A590" s="131">
        <f>IF(MouserOrderTable[[#This Row],[Qty.]]&gt;0,IF($A589="List #",1,$A589+1),IF($A589="List #",0,$A589))</f>
        <v>170</v>
      </c>
      <c r="B590" s="78" t="str">
        <f>MouserListTable[[#This Row],[SKU]]</f>
        <v>474-COM-10596</v>
      </c>
      <c r="C590" s="78">
        <f>MouserListTable[[#This Row],['# Initial]]</f>
        <v>0</v>
      </c>
      <c r="D590" s="78" t="str">
        <f>MouserListTable[[#This Row],[Name]]</f>
        <v>Rotary Encoder - Illuminated (Red/Green)</v>
      </c>
      <c r="E590" s="78">
        <f>MouserListTable[[#This Row],[Price (USD)]]</f>
        <v>2.95</v>
      </c>
      <c r="F590" s="78">
        <f>MouserListTable[[#This Row],[Total Price]]</f>
        <v>0</v>
      </c>
    </row>
    <row r="591" spans="1:6" s="106" customFormat="1" x14ac:dyDescent="0.25">
      <c r="A591" s="131">
        <f>IF(MouserOrderTable[[#This Row],[Qty.]]&gt;0,IF($A590="List #",1,$A590+1),IF($A590="List #",0,$A590))</f>
        <v>170</v>
      </c>
      <c r="B591" s="78" t="str">
        <f>MouserListTable[[#This Row],[SKU]]</f>
        <v>474-COM-10982</v>
      </c>
      <c r="C591" s="78">
        <f>MouserListTable[[#This Row],['# Initial]]</f>
        <v>0</v>
      </c>
      <c r="D591" s="78" t="str">
        <f>MouserListTable[[#This Row],[Name]]</f>
        <v>Rotary Encoder - Illuminated (RGB)</v>
      </c>
      <c r="E591" s="78">
        <f>MouserListTable[[#This Row],[Price (USD)]]</f>
        <v>3.95</v>
      </c>
      <c r="F591" s="78">
        <f>MouserListTable[[#This Row],[Total Price]]</f>
        <v>0</v>
      </c>
    </row>
    <row r="592" spans="1:6" s="106" customFormat="1" x14ac:dyDescent="0.25">
      <c r="A592" s="131">
        <f>IF(MouserOrderTable[[#This Row],[Qty.]]&gt;0,IF($A591="List #",1,$A591+1),IF($A591="List #",0,$A591))</f>
        <v>170</v>
      </c>
      <c r="B592" s="78" t="str">
        <f>MouserListTable[[#This Row],[SKU]]</f>
        <v>474-BOB-11722</v>
      </c>
      <c r="C592" s="78">
        <f>MouserListTable[[#This Row],['# Initial]]</f>
        <v>0</v>
      </c>
      <c r="D592" s="78" t="str">
        <f>MouserListTable[[#This Row],[Name]]</f>
        <v>SparkFun Rotary Encoder Breakout - Illuminated (RG/RGB)</v>
      </c>
      <c r="E592" s="78">
        <f>MouserListTable[[#This Row],[Price (USD)]]</f>
        <v>2.95</v>
      </c>
      <c r="F592" s="78">
        <f>MouserListTable[[#This Row],[Total Price]]</f>
        <v>0</v>
      </c>
    </row>
    <row r="593" spans="1:11" s="106" customFormat="1" x14ac:dyDescent="0.25">
      <c r="A593" s="131">
        <f>IF(MouserOrderTable[[#This Row],[Qty.]]&gt;0,IF($A592="List #",1,$A592+1),IF($A592="List #",0,$A592))</f>
        <v>170</v>
      </c>
      <c r="B593" s="78" t="str">
        <f>MouserListTable[[#This Row],[SKU]]</f>
        <v>485-377</v>
      </c>
      <c r="C593" s="78">
        <f>MouserListTable[[#This Row],['# Initial]]</f>
        <v>0</v>
      </c>
      <c r="D593" s="78" t="str">
        <f>MouserListTable[[#This Row],[Name]]</f>
        <v xml:space="preserve">Rotary Encoder + Extras </v>
      </c>
      <c r="E593" s="78">
        <f>MouserListTable[[#This Row],[Price (USD)]]</f>
        <v>4.5</v>
      </c>
      <c r="F593" s="78">
        <f>MouserListTable[[#This Row],[Total Price]]</f>
        <v>0</v>
      </c>
    </row>
    <row r="594" spans="1:11" s="106" customFormat="1" x14ac:dyDescent="0.25">
      <c r="A594" s="131">
        <f>IF(MouserOrderTable[[#This Row],[Qty.]]&gt;0,IF($A593="List #",1,$A593+1),IF($A593="List #",0,$A593))</f>
        <v>171</v>
      </c>
      <c r="B594" s="78" t="str">
        <f>MouserListTable[[#This Row],[SKU]]</f>
        <v>474-COM-13253</v>
      </c>
      <c r="C594" s="78">
        <f>MouserListTable[[#This Row],['# Initial]]</f>
        <v>5</v>
      </c>
      <c r="D594" s="78" t="str">
        <f>MouserListTable[[#This Row],[Name]]</f>
        <v>Rotary Switch - 10 Position</v>
      </c>
      <c r="E594" s="78">
        <f>MouserListTable[[#This Row],[Price (USD)]]</f>
        <v>1.95</v>
      </c>
      <c r="F594" s="78">
        <f>MouserListTable[[#This Row],[Total Price]]</f>
        <v>9.75</v>
      </c>
    </row>
    <row r="595" spans="1:11" s="106" customFormat="1" x14ac:dyDescent="0.25">
      <c r="A595" s="131">
        <f>IF(MouserOrderTable[[#This Row],[Qty.]]&gt;0,IF($A594="List #",1,$A594+1),IF($A594="List #",0,$A594))</f>
        <v>172</v>
      </c>
      <c r="B595" s="78" t="str">
        <f>MouserListTable[[#This Row],[SKU]]</f>
        <v>474-BOB-13098</v>
      </c>
      <c r="C595" s="78">
        <f>MouserListTable[[#This Row],['# Initial]]</f>
        <v>5</v>
      </c>
      <c r="D595" s="78" t="str">
        <f>MouserListTable[[#This Row],[Name]]</f>
        <v>SparkFun Rotary Switch Breakout</v>
      </c>
      <c r="E595" s="78">
        <f>MouserListTable[[#This Row],[Price (USD)]]</f>
        <v>1.95</v>
      </c>
      <c r="F595" s="78">
        <f>MouserListTable[[#This Row],[Total Price]]</f>
        <v>9.75</v>
      </c>
    </row>
    <row r="596" spans="1:11" s="106" customFormat="1" x14ac:dyDescent="0.25">
      <c r="A596" s="131">
        <f>IF(MouserOrderTable[[#This Row],[Qty.]]&gt;0,IF($A595="List #",1,$A595+1),IF($A595="List #",0,$A595))</f>
        <v>173</v>
      </c>
      <c r="B596" s="78" t="str">
        <f>MouserListTable[[#This Row],[SKU]]</f>
        <v>474-BOB-13099</v>
      </c>
      <c r="C596" s="78">
        <f>MouserListTable[[#This Row],['# Initial]]</f>
        <v>5</v>
      </c>
      <c r="D596" s="78" t="str">
        <f>MouserListTable[[#This Row],[Name]]</f>
        <v>SparkFun Rotary Switch Potentiometer Breakout</v>
      </c>
      <c r="E596" s="78">
        <f>MouserListTable[[#This Row],[Price (USD)]]</f>
        <v>1.95</v>
      </c>
      <c r="F596" s="78">
        <f>MouserListTable[[#This Row],[Total Price]]</f>
        <v>9.75</v>
      </c>
    </row>
    <row r="597" spans="1:11" s="106" customFormat="1" x14ac:dyDescent="0.25">
      <c r="A597" s="131">
        <f>IF(MouserOrderTable[[#This Row],[Qty.]]&gt;0,IF($A596="List #",1,$A596+1),IF($A596="List #",0,$A596))</f>
        <v>173</v>
      </c>
      <c r="B597" s="78" t="str">
        <f>MouserListTable[[#This Row],[SKU]]</f>
        <v>485-2925</v>
      </c>
      <c r="C597" s="78">
        <f>MouserListTable[[#This Row],['# Initial]]</f>
        <v>0</v>
      </c>
      <c r="D597" s="78" t="str">
        <f>MouserListTable[[#This Row],[Name]]</f>
        <v xml:space="preserve">Mini 8-Way Rotary Selector Switch - SP8T </v>
      </c>
      <c r="E597" s="78">
        <f>MouserListTable[[#This Row],[Price (USD)]]</f>
        <v>1.95</v>
      </c>
      <c r="F597" s="78">
        <f>MouserListTable[[#This Row],[Total Price]]</f>
        <v>0</v>
      </c>
    </row>
    <row r="598" spans="1:11" s="106" customFormat="1" x14ac:dyDescent="0.25">
      <c r="A598" s="131">
        <f>IF(MouserOrderTable[[#This Row],[Qty.]]&gt;0,IF($A597="List #",1,$A597+1),IF($A597="List #",0,$A597))</f>
        <v>173</v>
      </c>
      <c r="B598" s="78" t="str">
        <f>MouserListTable[[#This Row],[SKU]]</f>
        <v>474-PRT-11367</v>
      </c>
      <c r="C598" s="78">
        <f>MouserListTable[[#This Row],['# Initial]]</f>
        <v>0</v>
      </c>
      <c r="D598" s="78" t="str">
        <f>MouserListTable[[#This Row],[Name]]</f>
        <v>Hook-Up Wire - Assortment (Solid Core, 22 AWG)</v>
      </c>
      <c r="E598" s="130">
        <f>MouserListTable[[#This Row],[Price (USD)]]</f>
        <v>16.95</v>
      </c>
      <c r="F598" s="130">
        <f>MouserListTable[[#This Row],[Total Price]]</f>
        <v>0</v>
      </c>
    </row>
    <row r="599" spans="1:11" s="106" customFormat="1" x14ac:dyDescent="0.25">
      <c r="A599" s="131">
        <f>IF(MouserOrderTable[[#This Row],[Qty.]]&gt;0,IF($A598="List #",1,$A598+1),IF($A598="List #",0,$A598))</f>
        <v>174</v>
      </c>
      <c r="B599" s="78" t="str">
        <f>MouserListTable[[#This Row],[SKU]]</f>
        <v>485-3174</v>
      </c>
      <c r="C599" s="78">
        <f>MouserListTable[[#This Row],['# Initial]]</f>
        <v>1</v>
      </c>
      <c r="D599" s="78" t="str">
        <f>MouserListTable[[#This Row],[Name]]</f>
        <v>Hook-up Wire Spool Set - 22AWG Solid Core - 10 x 25ft</v>
      </c>
      <c r="E599" s="130">
        <f>MouserListTable[[#This Row],[Price (USD)]]</f>
        <v>27.5</v>
      </c>
      <c r="F599" s="130">
        <f>MouserListTable[[#This Row],[Total Price]]</f>
        <v>27.5</v>
      </c>
    </row>
    <row r="600" spans="1:11" s="106" customFormat="1" x14ac:dyDescent="0.25">
      <c r="A600" s="131">
        <f>IF(MouserOrderTable[[#This Row],[Qty.]]&gt;0,IF($A599="List #",1,$A599+1),IF($A599="List #",0,$A599))</f>
        <v>174</v>
      </c>
      <c r="B600" s="78" t="str">
        <f>MouserListTable[[#This Row],[SKU]]</f>
        <v>474-PRT-08023</v>
      </c>
      <c r="C600" s="78">
        <f>MouserListTable[[#This Row],['# Initial]]</f>
        <v>0</v>
      </c>
      <c r="D600" s="78" t="str">
        <f>MouserListTable[[#This Row],[Name]]</f>
        <v>Hook-up Wire - Red (22 AWG)</v>
      </c>
      <c r="E600" s="130">
        <f>MouserListTable[[#This Row],[Price (USD)]]</f>
        <v>2.5</v>
      </c>
      <c r="F600" s="130">
        <f>MouserListTable[[#This Row],[Total Price]]</f>
        <v>0</v>
      </c>
    </row>
    <row r="601" spans="1:11" s="106" customFormat="1" x14ac:dyDescent="0.25">
      <c r="A601" s="131">
        <f>IF(MouserOrderTable[[#This Row],[Qty.]]&gt;0,IF($A600="List #",1,$A600+1),IF($A600="List #",0,$A600))</f>
        <v>174</v>
      </c>
      <c r="B601" s="78" t="str">
        <f>MouserListTable[[#This Row],[SKU]]</f>
        <v>474-PRT-08024</v>
      </c>
      <c r="C601" s="78">
        <f>MouserListTable[[#This Row],['# Initial]]</f>
        <v>0</v>
      </c>
      <c r="D601" s="78" t="str">
        <f>MouserListTable[[#This Row],[Name]]</f>
        <v>Hook-up Wire - Yellow (22 AWG)</v>
      </c>
      <c r="E601" s="78">
        <f>MouserListTable[[#This Row],[Price (USD)]]</f>
        <v>2.5</v>
      </c>
      <c r="F601" s="78">
        <f>MouserListTable[[#This Row],[Total Price]]</f>
        <v>0</v>
      </c>
    </row>
    <row r="602" spans="1:11" s="106" customFormat="1" x14ac:dyDescent="0.25">
      <c r="A602" s="131">
        <f>IF(MouserOrderTable[[#This Row],[Qty.]]&gt;0,IF($A601="List #",1,$A601+1),IF($A601="List #",0,$A601))</f>
        <v>174</v>
      </c>
      <c r="B602" s="78" t="str">
        <f>MouserListTable[[#This Row],[SKU]]</f>
        <v>474-PRT-08022</v>
      </c>
      <c r="C602" s="78">
        <f>MouserListTable[[#This Row],['# Initial]]</f>
        <v>0</v>
      </c>
      <c r="D602" s="78" t="str">
        <f>MouserListTable[[#This Row],[Name]]</f>
        <v>Hook-up Wire - Black (22 AWG)</v>
      </c>
      <c r="E602" s="78">
        <f>MouserListTable[[#This Row],[Price (USD)]]</f>
        <v>2.5</v>
      </c>
      <c r="F602" s="78">
        <f>MouserListTable[[#This Row],[Total Price]]</f>
        <v>0</v>
      </c>
    </row>
    <row r="603" spans="1:11" s="106" customFormat="1" x14ac:dyDescent="0.25">
      <c r="A603" s="131">
        <f>IF(MouserOrderTable[[#This Row],[Qty.]]&gt;0,IF($A602="List #",1,$A602+1),IF($A602="List #",0,$A602))</f>
        <v>174</v>
      </c>
      <c r="B603" s="78" t="str">
        <f>MouserListTable[[#This Row],[SKU]]</f>
        <v>474-PRT-08025</v>
      </c>
      <c r="C603" s="78">
        <f>MouserListTable[[#This Row],['# Initial]]</f>
        <v>0</v>
      </c>
      <c r="D603" s="78" t="str">
        <f>MouserListTable[[#This Row],[Name]]</f>
        <v>Hook-up Wire - Gray (22 AWG)</v>
      </c>
      <c r="E603" s="78">
        <f>MouserListTable[[#This Row],[Price (USD)]]</f>
        <v>2.95</v>
      </c>
      <c r="F603" s="78">
        <f>MouserListTable[[#This Row],[Total Price]]</f>
        <v>0</v>
      </c>
    </row>
    <row r="604" spans="1:11" s="104" customFormat="1" x14ac:dyDescent="0.25">
      <c r="A604" s="131">
        <f>IF(MouserOrderTable[[#This Row],[Qty.]]&gt;0,IF($A603="List #",1,$A603+1),IF($A603="List #",0,$A603))</f>
        <v>174</v>
      </c>
      <c r="B604" s="78" t="str">
        <f>MouserListTable[[#This Row],[SKU]]</f>
        <v>474-PRT-08026</v>
      </c>
      <c r="C604" s="78">
        <f>MouserListTable[[#This Row],['# Initial]]</f>
        <v>0</v>
      </c>
      <c r="D604" s="78" t="str">
        <f>MouserListTable[[#This Row],[Name]]</f>
        <v>Hook-up Wire - White (22 AWG)</v>
      </c>
      <c r="E604" s="130">
        <f>MouserListTable[[#This Row],[Price (USD)]]</f>
        <v>2.5</v>
      </c>
      <c r="F604" s="130">
        <f>MouserListTable[[#This Row],[Total Price]]</f>
        <v>0</v>
      </c>
    </row>
    <row r="605" spans="1:11" s="104" customFormat="1" x14ac:dyDescent="0.25">
      <c r="A605" s="131">
        <f>IF(MouserOrderTable[[#This Row],[Qty.]]&gt;0,IF($A604="List #",1,$A604+1),IF($A604="List #",0,$A604))</f>
        <v>174</v>
      </c>
      <c r="B605" s="78" t="str">
        <f>MouserListTable[[#This Row],[SKU]]</f>
        <v>474-PRT-08027</v>
      </c>
      <c r="C605" s="78">
        <f>MouserListTable[[#This Row],['# Initial]]</f>
        <v>0</v>
      </c>
      <c r="D605" s="78" t="str">
        <f>MouserListTable[[#This Row],[Name]]</f>
        <v>Hook-up Wire - Brown (22 AWG)</v>
      </c>
      <c r="E605" s="130">
        <f>MouserListTable[[#This Row],[Price (USD)]]</f>
        <v>2.95</v>
      </c>
      <c r="F605" s="130">
        <f>MouserListTable[[#This Row],[Total Price]]</f>
        <v>0</v>
      </c>
    </row>
    <row r="606" spans="1:11" s="104" customFormat="1" x14ac:dyDescent="0.25">
      <c r="A606" s="131">
        <f>IF(MouserOrderTable[[#This Row],[Qty.]]&gt;0,IF($A605="List #",1,$A605+1),IF($A605="List #",0,$A605))</f>
        <v>175</v>
      </c>
      <c r="B606" s="78" t="str">
        <f>MouserListTable[[#This Row],[SKU]]</f>
        <v>474-PRT-00124</v>
      </c>
      <c r="C606" s="78">
        <f>MouserListTable[[#This Row],['# Initial]]</f>
        <v>2</v>
      </c>
      <c r="D606" s="78" t="str">
        <f>MouserListTable[[#This Row],[Name]]</f>
        <v>Jumper Wire Kit</v>
      </c>
      <c r="E606" s="130">
        <f>MouserListTable[[#This Row],[Price (USD)]]</f>
        <v>6.95</v>
      </c>
      <c r="F606" s="130">
        <f>MouserListTable[[#This Row],[Total Price]]</f>
        <v>13.9</v>
      </c>
    </row>
    <row r="607" spans="1:11" x14ac:dyDescent="0.25">
      <c r="A607" s="131">
        <f>IF(MouserOrderTable[[#This Row],[Qty.]]&gt;0,IF($A606="List #",1,$A606+1),IF($A606="List #",0,$A606))</f>
        <v>175</v>
      </c>
      <c r="B607" s="78" t="str">
        <f>MouserListTable[[#This Row],[SKU]]</f>
        <v>485-3314</v>
      </c>
      <c r="C607" s="78">
        <f>MouserListTable[[#This Row],['# Initial]]</f>
        <v>0</v>
      </c>
      <c r="D607" s="78" t="str">
        <f>MouserListTable[[#This Row],[Name]]</f>
        <v>Half Size Breadboard + 78 Piece 22AWG Jumper Wire Bundle</v>
      </c>
      <c r="E607" s="130">
        <f>MouserListTable[[#This Row],[Price (USD)]]</f>
        <v>7.95</v>
      </c>
      <c r="F607" s="130">
        <f>MouserListTable[[#This Row],[Total Price]]</f>
        <v>0</v>
      </c>
      <c r="H607"/>
      <c r="J607"/>
      <c r="K607"/>
    </row>
    <row r="608" spans="1:11" x14ac:dyDescent="0.25">
      <c r="A608" s="131">
        <f>IF(MouserOrderTable[[#This Row],[Qty.]]&gt;0,IF($A607="List #",1,$A607+1),IF($A607="List #",0,$A607))</f>
        <v>175</v>
      </c>
      <c r="B608" s="78" t="str">
        <f>MouserListTable[[#This Row],[SKU]]</f>
        <v>474-TOL-13086</v>
      </c>
      <c r="C608" s="78">
        <f>MouserListTable[[#This Row],['# Initial]]</f>
        <v>0</v>
      </c>
      <c r="D608" s="78" t="str">
        <f>MouserListTable[[#This Row],[Name]]</f>
        <v>Tool Kit - Beginner</v>
      </c>
      <c r="E608" s="130">
        <f>MouserListTable[[#This Row],[Price (USD)]]</f>
        <v>34.950000000000003</v>
      </c>
      <c r="F608" s="130">
        <f>MouserListTable[[#This Row],[Total Price]]</f>
        <v>0</v>
      </c>
      <c r="G608" s="10"/>
      <c r="H608" s="10"/>
      <c r="I608" s="10"/>
      <c r="J608"/>
      <c r="K608"/>
    </row>
    <row r="609" spans="1:12" x14ac:dyDescent="0.25">
      <c r="A609" s="156">
        <f>IF(MouserOrderTable[[#This Row],[Qty.]]&gt;0,IF($A608="List #",1,$A608+1),IF($A608="List #",0,$A608))</f>
        <v>175</v>
      </c>
      <c r="B609" s="150" t="str">
        <f>MouserListTable[[#This Row],[SKU]]</f>
        <v>485-136</v>
      </c>
      <c r="C609" s="150">
        <f>MouserListTable[[#This Row],['# Initial]]</f>
        <v>0</v>
      </c>
      <c r="D609" s="150" t="str">
        <f>MouserListTable[[#This Row],[Name]]</f>
        <v>Ladyada's Electronics Toolkit</v>
      </c>
      <c r="E609" s="155">
        <f>MouserListTable[[#This Row],[Price (USD)]]</f>
        <v>100</v>
      </c>
      <c r="F609" s="155">
        <f>MouserListTable[[#This Row],[Total Price]]</f>
        <v>0</v>
      </c>
      <c r="G609" s="10"/>
      <c r="H609" s="10"/>
      <c r="I609" s="10"/>
      <c r="J609" s="10"/>
      <c r="K609" s="10"/>
      <c r="L609" s="10"/>
    </row>
    <row r="610" spans="1:12" x14ac:dyDescent="0.25">
      <c r="A610" s="156">
        <f>IF(MouserOrderTable[[#This Row],[Qty.]]&gt;0,IF($A609="List #",1,$A609+1),IF($A609="List #",0,$A609))</f>
        <v>175</v>
      </c>
      <c r="B610" s="150" t="str">
        <f>MouserListTable[[#This Row],[SKU]]</f>
        <v>474-TOL-14226</v>
      </c>
      <c r="C610" s="150">
        <f>MouserListTable[[#This Row],['# Initial]]</f>
        <v>0</v>
      </c>
      <c r="D610" s="150" t="str">
        <f>MouserListTable[[#This Row],[Name]]</f>
        <v>Weller Portasol Butane Soldering Iron Kit</v>
      </c>
      <c r="E610" s="155">
        <f>MouserListTable[[#This Row],[Price (USD)]]</f>
        <v>59.95</v>
      </c>
      <c r="F610" s="155">
        <f>MouserListTable[[#This Row],[Total Price]]</f>
        <v>0</v>
      </c>
      <c r="G610" s="10"/>
      <c r="H610" s="10"/>
      <c r="I610" s="10"/>
      <c r="J610" s="10"/>
      <c r="K610" s="10"/>
      <c r="L610" s="10"/>
    </row>
    <row r="611" spans="1:12" x14ac:dyDescent="0.25">
      <c r="A611" s="156">
        <f>IF(MouserOrderTable[[#This Row],[Qty.]]&gt;0,IF($A610="List #",1,$A610+1),IF($A610="List #",0,$A610))</f>
        <v>175</v>
      </c>
      <c r="B611" s="150" t="str">
        <f>MouserListTable[[#This Row],[SKU]]</f>
        <v>474-TOL-13203</v>
      </c>
      <c r="C611" s="150">
        <f>MouserListTable[[#This Row],['# Initial]]</f>
        <v>0</v>
      </c>
      <c r="D611" s="150" t="str">
        <f>MouserListTable[[#This Row],[Name]]</f>
        <v>Solder Vacuum</v>
      </c>
      <c r="E611" s="155">
        <f>MouserListTable[[#This Row],[Price (USD)]]</f>
        <v>4.95</v>
      </c>
      <c r="F611" s="155">
        <f>MouserListTable[[#This Row],[Total Price]]</f>
        <v>0</v>
      </c>
    </row>
    <row r="612" spans="1:12" x14ac:dyDescent="0.25">
      <c r="A612" s="156">
        <f>IF(MouserOrderTable[[#This Row],[Qty.]]&gt;0,IF($A611="List #",1,$A611+1),IF($A611="List #",0,$A611))</f>
        <v>175</v>
      </c>
      <c r="B612" s="150" t="str">
        <f>MouserListTable[[#This Row],[SKU]]</f>
        <v>474-TOL-08964</v>
      </c>
      <c r="C612" s="150">
        <f>MouserListTable[[#This Row],['# Initial]]</f>
        <v>0</v>
      </c>
      <c r="D612" s="150" t="str">
        <f>MouserListTable[[#This Row],[Name]]</f>
        <v>Brass Sponge</v>
      </c>
      <c r="E612" s="155">
        <f>MouserListTable[[#This Row],[Price (USD)]]</f>
        <v>2.95</v>
      </c>
      <c r="F612" s="155">
        <f>MouserListTable[[#This Row],[Total Price]]</f>
        <v>0</v>
      </c>
    </row>
    <row r="613" spans="1:12" s="146" customFormat="1" x14ac:dyDescent="0.25">
      <c r="A613" s="156">
        <f>IF(MouserOrderTable[[#This Row],[Qty.]]&gt;0,IF($A612="List #",1,$A612+1),IF($A612="List #",0,$A612))</f>
        <v>176</v>
      </c>
      <c r="B613" s="150" t="str">
        <f>MouserListTable[[#This Row],[SKU]]</f>
        <v>474-TOL-12878</v>
      </c>
      <c r="C613" s="150">
        <f>MouserListTable[[#This Row],['# Initial]]</f>
        <v>1</v>
      </c>
      <c r="D613" s="150" t="str">
        <f>MouserListTable[[#This Row],[Name]]</f>
        <v>Solder Paste - 50g (Lead Free)</v>
      </c>
      <c r="E613" s="155">
        <f>MouserListTable[[#This Row],[Price (USD)]]</f>
        <v>16.95</v>
      </c>
      <c r="F613" s="155">
        <f>MouserListTable[[#This Row],[Total Price]]</f>
        <v>16.95</v>
      </c>
      <c r="H613" s="149"/>
      <c r="J613" s="149"/>
      <c r="K613" s="149"/>
    </row>
    <row r="614" spans="1:12" s="146" customFormat="1" x14ac:dyDescent="0.25">
      <c r="A614" s="156">
        <f>IF(MouserOrderTable[[#This Row],[Qty.]]&gt;0,IF($A613="List #",1,$A613+1),IF($A613="List #",0,$A613))</f>
        <v>176</v>
      </c>
      <c r="B614" s="150" t="str">
        <f>MouserListTable[[#This Row],[SKU]]</f>
        <v>474-TOL-10706</v>
      </c>
      <c r="C614" s="150">
        <f>MouserListTable[[#This Row],['# Initial]]</f>
        <v>0</v>
      </c>
      <c r="D614" s="150" t="str">
        <f>MouserListTable[[#This Row],[Name]]</f>
        <v>Hot-air Rework Station - 303D</v>
      </c>
      <c r="E614" s="155">
        <f>MouserListTable[[#This Row],[Price (USD)]]</f>
        <v>114.95</v>
      </c>
      <c r="F614" s="155">
        <f>MouserListTable[[#This Row],[Total Price]]</f>
        <v>0</v>
      </c>
      <c r="H614" s="149"/>
      <c r="J614" s="149"/>
      <c r="K614" s="149"/>
    </row>
    <row r="615" spans="1:12" s="146" customFormat="1" x14ac:dyDescent="0.25">
      <c r="A615" s="156">
        <f>IF(MouserOrderTable[[#This Row],[Qty.]]&gt;0,IF($A614="List #",1,$A614+1),IF($A614="List #",0,$A614))</f>
        <v>176</v>
      </c>
      <c r="B615" s="150" t="str">
        <f>MouserListTable[[#This Row],[SKU]]</f>
        <v>485-1869</v>
      </c>
      <c r="C615" s="150">
        <f>MouserListTable[[#This Row],['# Initial]]</f>
        <v>0</v>
      </c>
      <c r="D615" s="150" t="str">
        <f>MouserListTable[[#This Row],[Name]]</f>
        <v xml:space="preserve">Hot Air Soldering Rework Station w/ Three Nozzles - Quick 957D </v>
      </c>
      <c r="E615" s="155">
        <f>MouserListTable[[#This Row],[Price (USD)]]</f>
        <v>97.5</v>
      </c>
      <c r="F615" s="155">
        <f>MouserListTable[[#This Row],[Total Price]]</f>
        <v>0</v>
      </c>
      <c r="H615" s="149"/>
      <c r="J615" s="149"/>
      <c r="K615" s="149"/>
    </row>
    <row r="616" spans="1:12" s="146" customFormat="1" x14ac:dyDescent="0.25">
      <c r="A616" s="156">
        <f>IF(MouserOrderTable[[#This Row],[Qty.]]&gt;0,IF($A615="List #",1,$A615+1),IF($A615="List #",0,$A615))</f>
        <v>176</v>
      </c>
      <c r="B616" s="150" t="str">
        <f>MouserListTable[[#This Row],[SKU]]</f>
        <v>474-TOL-07925</v>
      </c>
      <c r="C616" s="150">
        <f>MouserListTable[[#This Row],['# Initial]]</f>
        <v>0</v>
      </c>
      <c r="D616" s="150" t="str">
        <f>MouserListTable[[#This Row],[Name]]</f>
        <v>Hot-air Rework Nozzles - Y1126</v>
      </c>
      <c r="E616" s="155">
        <f>MouserListTable[[#This Row],[Price (USD)]]</f>
        <v>14.95</v>
      </c>
      <c r="F616" s="155">
        <f>MouserListTable[[#This Row],[Total Price]]</f>
        <v>0</v>
      </c>
      <c r="H616" s="149"/>
      <c r="J616" s="149"/>
      <c r="K616" s="149"/>
    </row>
    <row r="617" spans="1:12" s="146" customFormat="1" x14ac:dyDescent="0.25">
      <c r="A617" s="156">
        <f>IF(MouserOrderTable[[#This Row],[Qty.]]&gt;0,IF($A616="List #",1,$A616+1),IF($A616="List #",0,$A616))</f>
        <v>176</v>
      </c>
      <c r="B617" s="150" t="str">
        <f>MouserListTable[[#This Row],[SKU]]</f>
        <v>474-TOL-10326</v>
      </c>
      <c r="C617" s="150">
        <f>MouserListTable[[#This Row],['# Initial]]</f>
        <v>0</v>
      </c>
      <c r="D617" s="150" t="str">
        <f>MouserListTable[[#This Row],[Name]]</f>
        <v>Heaterizer XL-3000 Heat Gun</v>
      </c>
      <c r="E617" s="155">
        <f>MouserListTable[[#This Row],[Price (USD)]]</f>
        <v>13.95</v>
      </c>
      <c r="F617" s="155">
        <f>MouserListTable[[#This Row],[Total Price]]</f>
        <v>0</v>
      </c>
      <c r="H617" s="149"/>
      <c r="J617" s="149"/>
      <c r="K617" s="149"/>
    </row>
    <row r="618" spans="1:12" s="146" customFormat="1" x14ac:dyDescent="0.25">
      <c r="A618" s="156">
        <f>IF(MouserOrderTable[[#This Row],[Qty.]]&gt;0,IF($A617="List #",1,$A617+1),IF($A617="List #",0,$A617))</f>
        <v>176</v>
      </c>
      <c r="B618" s="150" t="str">
        <f>MouserListTable[[#This Row],[SKU]]</f>
        <v>485-3536</v>
      </c>
      <c r="C618" s="150">
        <f>MouserListTable[[#This Row],['# Initial]]</f>
        <v>0</v>
      </c>
      <c r="D618" s="150" t="str">
        <f>MouserListTable[[#This Row],[Name]]</f>
        <v>Insulated Silicone Rework Mat - 34cm x 23cm x 4mm Work Surface</v>
      </c>
      <c r="E618" s="155">
        <f>MouserListTable[[#This Row],[Price (USD)]]</f>
        <v>9.9499999999999993</v>
      </c>
      <c r="F618" s="155">
        <f>MouserListTable[[#This Row],[Total Price]]</f>
        <v>0</v>
      </c>
      <c r="H618" s="149"/>
      <c r="J618" s="149"/>
      <c r="K618" s="149"/>
    </row>
    <row r="619" spans="1:12" s="146" customFormat="1" x14ac:dyDescent="0.25">
      <c r="A619" s="156">
        <f>IF(MouserOrderTable[[#This Row],[Qty.]]&gt;0,IF($A618="List #",1,$A618+1),IF($A618="List #",0,$A618))</f>
        <v>176</v>
      </c>
      <c r="B619" s="150" t="str">
        <f>MouserListTable[[#This Row],[SKU]]</f>
        <v>474-KIT-11488</v>
      </c>
      <c r="C619" s="150">
        <f>MouserListTable[[#This Row],['# Initial]]</f>
        <v>0</v>
      </c>
      <c r="D619" s="150" t="str">
        <f>MouserListTable[[#This Row],[Name]]</f>
        <v>Solder : Time II Watch Kit</v>
      </c>
      <c r="E619" s="155">
        <f>MouserListTable[[#This Row],[Price (USD)]]</f>
        <v>59.95</v>
      </c>
      <c r="F619" s="155">
        <f>MouserListTable[[#This Row],[Total Price]]</f>
        <v>0</v>
      </c>
      <c r="H619" s="149"/>
      <c r="J619" s="149"/>
      <c r="K619" s="149"/>
    </row>
    <row r="620" spans="1:12" s="146" customFormat="1" x14ac:dyDescent="0.25">
      <c r="A620" s="156">
        <f>IF(MouserOrderTable[[#This Row],[Qty.]]&gt;0,IF($A619="List #",1,$A619+1),IF($A619="List #",0,$A619))</f>
        <v>176</v>
      </c>
      <c r="B620" s="150" t="str">
        <f>MouserListTable[[#This Row],[SKU]]</f>
        <v>474-TOL-10410</v>
      </c>
      <c r="C620" s="150">
        <f>MouserListTable[[#This Row],['# Initial]]</f>
        <v>0</v>
      </c>
      <c r="D620" s="150" t="str">
        <f>MouserListTable[[#This Row],[Name]]</f>
        <v>Panavise Jr. - Vacuum Base</v>
      </c>
      <c r="E620" s="155">
        <f>MouserListTable[[#This Row],[Price (USD)]]</f>
        <v>33.75</v>
      </c>
      <c r="F620" s="155">
        <f>MouserListTable[[#This Row],[Total Price]]</f>
        <v>0</v>
      </c>
      <c r="H620" s="149"/>
      <c r="J620" s="149"/>
      <c r="K620" s="149"/>
    </row>
    <row r="621" spans="1:12" s="146" customFormat="1" x14ac:dyDescent="0.25">
      <c r="A621" s="156">
        <f>IF(MouserOrderTable[[#This Row],[Qty.]]&gt;0,IF($A620="List #",1,$A620+1),IF($A620="List #",0,$A620))</f>
        <v>177</v>
      </c>
      <c r="B621" s="150" t="str">
        <f>MouserListTable[[#This Row],[SKU]]</f>
        <v>485-151</v>
      </c>
      <c r="C621" s="150">
        <f>MouserListTable[[#This Row],['# Initial]]</f>
        <v>1</v>
      </c>
      <c r="D621" s="150" t="str">
        <f>MouserListTable[[#This Row],[Name]]</f>
        <v xml:space="preserve">Panavise Jr. </v>
      </c>
      <c r="E621" s="155">
        <f>MouserListTable[[#This Row],[Price (USD)]]</f>
        <v>31.25</v>
      </c>
      <c r="F621" s="155">
        <f>MouserListTable[[#This Row],[Total Price]]</f>
        <v>31.25</v>
      </c>
      <c r="H621" s="149"/>
      <c r="J621" s="149"/>
      <c r="K621" s="149"/>
    </row>
    <row r="622" spans="1:12" s="146" customFormat="1" x14ac:dyDescent="0.25">
      <c r="A622" s="156">
        <f>IF(MouserOrderTable[[#This Row],[Qty.]]&gt;0,IF($A621="List #",1,$A621+1),IF($A621="List #",0,$A621))</f>
        <v>177</v>
      </c>
      <c r="B622" s="150" t="str">
        <f>MouserListTable[[#This Row],[SKU]]</f>
        <v>474-TOL-11784</v>
      </c>
      <c r="C622" s="150">
        <f>MouserListTable[[#This Row],['# Initial]]</f>
        <v>0</v>
      </c>
      <c r="D622" s="150" t="str">
        <f>MouserListTable[[#This Row],[Name]]</f>
        <v>SparkFun Third Hand Kit</v>
      </c>
      <c r="E622" s="155">
        <f>MouserListTable[[#This Row],[Price (USD)]]</f>
        <v>29.95</v>
      </c>
      <c r="F622" s="155">
        <f>MouserListTable[[#This Row],[Total Price]]</f>
        <v>0</v>
      </c>
      <c r="H622" s="149"/>
      <c r="J622" s="149"/>
      <c r="K622" s="149"/>
    </row>
    <row r="623" spans="1:12" s="146" customFormat="1" x14ac:dyDescent="0.25">
      <c r="A623" s="156">
        <f>IF(MouserOrderTable[[#This Row],[Qty.]]&gt;0,IF($A622="List #",1,$A622+1),IF($A622="List #",0,$A622))</f>
        <v>177</v>
      </c>
      <c r="B623" s="150" t="str">
        <f>MouserListTable[[#This Row],[SKU]]</f>
        <v>474-TOL-09317</v>
      </c>
      <c r="C623" s="150">
        <f>MouserListTable[[#This Row],['# Initial]]</f>
        <v>0</v>
      </c>
      <c r="D623" s="150" t="str">
        <f>MouserListTable[[#This Row],[Name]]</f>
        <v>Third Hand</v>
      </c>
      <c r="E623" s="155">
        <f>MouserListTable[[#This Row],[Price (USD)]]</f>
        <v>9.9499999999999993</v>
      </c>
      <c r="F623" s="155">
        <f>MouserListTable[[#This Row],[Total Price]]</f>
        <v>0</v>
      </c>
      <c r="H623" s="149"/>
      <c r="J623" s="149"/>
      <c r="K623" s="149"/>
    </row>
    <row r="624" spans="1:12" s="146" customFormat="1" x14ac:dyDescent="0.25">
      <c r="A624" s="156">
        <f>IF(MouserOrderTable[[#This Row],[Qty.]]&gt;0,IF($A623="List #",1,$A623+1),IF($A623="List #",0,$A623))</f>
        <v>178</v>
      </c>
      <c r="B624" s="150" t="str">
        <f>MouserListTable[[#This Row],[SKU]]</f>
        <v>485-3019</v>
      </c>
      <c r="C624" s="150">
        <f>MouserListTable[[#This Row],['# Initial]]</f>
        <v>1</v>
      </c>
      <c r="D624" s="150" t="str">
        <f>MouserListTable[[#This Row],[Name]]</f>
        <v>Third Hand Pana Hand Workstation Add-On for Panavise</v>
      </c>
      <c r="E624" s="155">
        <f>MouserListTable[[#This Row],[Price (USD)]]</f>
        <v>68.69</v>
      </c>
      <c r="F624" s="155">
        <f>MouserListTable[[#This Row],[Total Price]]</f>
        <v>68.69</v>
      </c>
      <c r="H624" s="149"/>
      <c r="J624" s="149"/>
      <c r="K624" s="149"/>
    </row>
    <row r="625" spans="1:11" s="146" customFormat="1" x14ac:dyDescent="0.25">
      <c r="A625" s="156">
        <f>IF(MouserOrderTable[[#This Row],[Qty.]]&gt;0,IF($A624="List #",1,$A624+1),IF($A624="List #",0,$A624))</f>
        <v>179</v>
      </c>
      <c r="B625" s="150" t="str">
        <f>MouserListTable[[#This Row],[SKU]]</f>
        <v>474-TOL-09316</v>
      </c>
      <c r="C625" s="150">
        <f>MouserListTable[[#This Row],['# Initial]]</f>
        <v>1</v>
      </c>
      <c r="D625" s="150" t="str">
        <f>MouserListTable[[#This Row],[Name]]</f>
        <v>Monocle Magnifier - Illuminated</v>
      </c>
      <c r="E625" s="155">
        <f>MouserListTable[[#This Row],[Price (USD)]]</f>
        <v>9.9499999999999993</v>
      </c>
      <c r="F625" s="155">
        <f>MouserListTable[[#This Row],[Total Price]]</f>
        <v>9.9499999999999993</v>
      </c>
      <c r="H625" s="149"/>
      <c r="J625" s="149"/>
      <c r="K625" s="149"/>
    </row>
    <row r="626" spans="1:11" s="146" customFormat="1" x14ac:dyDescent="0.25">
      <c r="A626" s="156">
        <f>IF(MouserOrderTable[[#This Row],[Qty.]]&gt;0,IF($A625="List #",1,$A625+1),IF($A625="List #",0,$A625))</f>
        <v>179</v>
      </c>
      <c r="B626" s="150" t="str">
        <f>MouserListTable[[#This Row],[SKU]]</f>
        <v>474-COM-09906</v>
      </c>
      <c r="C626" s="150">
        <f>MouserListTable[[#This Row],['# Initial]]</f>
        <v>0</v>
      </c>
      <c r="D626" s="150" t="str">
        <f>MouserListTable[[#This Row],[Name]]</f>
        <v>Laser Module - Green</v>
      </c>
      <c r="E626" s="155">
        <f>MouserListTable[[#This Row],[Price (USD)]]</f>
        <v>14.95</v>
      </c>
      <c r="F626" s="155">
        <f>MouserListTable[[#This Row],[Total Price]]</f>
        <v>0</v>
      </c>
      <c r="H626" s="149"/>
      <c r="J626" s="149"/>
      <c r="K626" s="149"/>
    </row>
    <row r="627" spans="1:11" s="146" customFormat="1" x14ac:dyDescent="0.25">
      <c r="A627" s="156">
        <f>IF(MouserOrderTable[[#This Row],[Qty.]]&gt;0,IF($A626="List #",1,$A626+1),IF($A626="List #",0,$A626))</f>
        <v>179</v>
      </c>
      <c r="B627" s="150" t="str">
        <f>MouserListTable[[#This Row],[SKU]]</f>
        <v>474-COM-08674</v>
      </c>
      <c r="C627" s="150">
        <f>MouserListTable[[#This Row],['# Initial]]</f>
        <v>0</v>
      </c>
      <c r="D627" s="150" t="str">
        <f>MouserListTable[[#This Row],[Name]]</f>
        <v>Laser Module Mount</v>
      </c>
      <c r="E627" s="155">
        <f>MouserListTable[[#This Row],[Price (USD)]]</f>
        <v>0.1</v>
      </c>
      <c r="F627" s="155">
        <f>MouserListTable[[#This Row],[Total Price]]</f>
        <v>0</v>
      </c>
      <c r="H627" s="149"/>
      <c r="J627" s="149"/>
      <c r="K627" s="149"/>
    </row>
    <row r="628" spans="1:11" s="146" customFormat="1" x14ac:dyDescent="0.25">
      <c r="A628" s="156">
        <f>IF(MouserOrderTable[[#This Row],[Qty.]]&gt;0,IF($A627="List #",1,$A627+1),IF($A627="List #",0,$A627))</f>
        <v>179</v>
      </c>
      <c r="B628" s="150" t="str">
        <f>MouserListTable[[#This Row],[SKU]]</f>
        <v>474-TOL-12573</v>
      </c>
      <c r="C628" s="150">
        <f>MouserListTable[[#This Row],['# Initial]]</f>
        <v>0</v>
      </c>
      <c r="D628" s="150" t="str">
        <f>MouserListTable[[#This Row],[Name]]</f>
        <v>Tweezers - Straight (cross-lock, ESD Safe)</v>
      </c>
      <c r="E628" s="155">
        <f>MouserListTable[[#This Row],[Price (USD)]]</f>
        <v>3.95</v>
      </c>
      <c r="F628" s="155">
        <f>MouserListTable[[#This Row],[Total Price]]</f>
        <v>0</v>
      </c>
      <c r="H628" s="149"/>
      <c r="J628" s="149"/>
      <c r="K628" s="149"/>
    </row>
    <row r="629" spans="1:11" s="146" customFormat="1" x14ac:dyDescent="0.25">
      <c r="A629" s="156">
        <f>IF(MouserOrderTable[[#This Row],[Qty.]]&gt;0,IF($A628="List #",1,$A628+1),IF($A628="List #",0,$A628))</f>
        <v>179</v>
      </c>
      <c r="B629" s="150" t="str">
        <f>MouserListTable[[#This Row],[SKU]]</f>
        <v>474-TOL-10602</v>
      </c>
      <c r="C629" s="150">
        <f>MouserListTable[[#This Row],['# Initial]]</f>
        <v>0</v>
      </c>
      <c r="D629" s="150" t="str">
        <f>MouserListTable[[#This Row],[Name]]</f>
        <v>Tweezers - Curved (ESD Safe)</v>
      </c>
      <c r="E629" s="155">
        <f>MouserListTable[[#This Row],[Price (USD)]]</f>
        <v>3.95</v>
      </c>
      <c r="F629" s="155">
        <f>MouserListTable[[#This Row],[Total Price]]</f>
        <v>0</v>
      </c>
      <c r="H629" s="149"/>
      <c r="J629" s="149"/>
      <c r="K629" s="149"/>
    </row>
    <row r="630" spans="1:11" s="146" customFormat="1" x14ac:dyDescent="0.25">
      <c r="A630" s="156">
        <f>IF(MouserOrderTable[[#This Row],[Qty.]]&gt;0,IF($A629="List #",1,$A629+1),IF($A629="List #",0,$A629))</f>
        <v>179</v>
      </c>
      <c r="B630" s="150" t="str">
        <f>MouserListTable[[#This Row],[SKU]]</f>
        <v>474-TOL-12572</v>
      </c>
      <c r="C630" s="150">
        <f>MouserListTable[[#This Row],['# Initial]]</f>
        <v>0</v>
      </c>
      <c r="D630" s="150" t="str">
        <f>MouserListTable[[#This Row],[Name]]</f>
        <v>Tweezers - Curved (cross-lock, ESD Safe)</v>
      </c>
      <c r="E630" s="155">
        <f>MouserListTable[[#This Row],[Price (USD)]]</f>
        <v>3.95</v>
      </c>
      <c r="F630" s="155">
        <f>MouserListTable[[#This Row],[Total Price]]</f>
        <v>0</v>
      </c>
      <c r="H630" s="149"/>
      <c r="J630" s="149"/>
      <c r="K630" s="149"/>
    </row>
    <row r="631" spans="1:11" s="146" customFormat="1" x14ac:dyDescent="0.25">
      <c r="A631" s="156">
        <f>IF(MouserOrderTable[[#This Row],[Qty.]]&gt;0,IF($A630="List #",1,$A630+1),IF($A630="List #",0,$A630))</f>
        <v>179</v>
      </c>
      <c r="B631" s="150" t="str">
        <f>MouserListTable[[#This Row],[SKU]]</f>
        <v>474-TOL-08793</v>
      </c>
      <c r="C631" s="150">
        <f>MouserListTable[[#This Row],['# Initial]]</f>
        <v>0</v>
      </c>
      <c r="D631" s="150" t="str">
        <f>MouserListTable[[#This Row],[Name]]</f>
        <v>Needle Nose Pliers</v>
      </c>
      <c r="E631" s="155">
        <f>MouserListTable[[#This Row],[Price (USD)]]</f>
        <v>1.95</v>
      </c>
      <c r="F631" s="155">
        <f>MouserListTable[[#This Row],[Total Price]]</f>
        <v>0</v>
      </c>
      <c r="H631" s="149"/>
      <c r="J631" s="149"/>
      <c r="K631" s="149"/>
    </row>
    <row r="632" spans="1:11" s="146" customFormat="1" x14ac:dyDescent="0.25">
      <c r="A632" s="156">
        <f>IF(MouserOrderTable[[#This Row],[Qty.]]&gt;0,IF($A631="List #",1,$A631+1),IF($A631="List #",0,$A631))</f>
        <v>179</v>
      </c>
      <c r="B632" s="150" t="str">
        <f>MouserListTable[[#This Row],[SKU]]</f>
        <v>485-1368</v>
      </c>
      <c r="C632" s="150">
        <f>MouserListTable[[#This Row],['# Initial]]</f>
        <v>0</v>
      </c>
      <c r="D632" s="150" t="str">
        <f>MouserListTable[[#This Row],[Name]]</f>
        <v>Hakko Precision Flat Pliers</v>
      </c>
      <c r="E632" s="155">
        <f>MouserListTable[[#This Row],[Price (USD)]]</f>
        <v>11.95</v>
      </c>
      <c r="F632" s="155">
        <f>MouserListTable[[#This Row],[Total Price]]</f>
        <v>0</v>
      </c>
      <c r="H632" s="149"/>
      <c r="J632" s="149"/>
      <c r="K632" s="149"/>
    </row>
    <row r="633" spans="1:11" s="146" customFormat="1" x14ac:dyDescent="0.25">
      <c r="A633" s="156">
        <f>IF(MouserOrderTable[[#This Row],[Qty.]]&gt;0,IF($A632="List #",1,$A632+1),IF($A632="List #",0,$A632))</f>
        <v>179</v>
      </c>
      <c r="B633" s="150" t="str">
        <f>MouserListTable[[#This Row],[SKU]]</f>
        <v>485-1598</v>
      </c>
      <c r="C633" s="150">
        <f>MouserListTable[[#This Row],['# Initial]]</f>
        <v>0</v>
      </c>
      <c r="D633" s="150" t="str">
        <f>MouserListTable[[#This Row],[Name]]</f>
        <v>Professional IC Extraction Tool</v>
      </c>
      <c r="E633" s="155">
        <f>MouserListTable[[#This Row],[Price (USD)]]</f>
        <v>14.95</v>
      </c>
      <c r="F633" s="155">
        <f>MouserListTable[[#This Row],[Total Price]]</f>
        <v>0</v>
      </c>
      <c r="H633" s="149"/>
      <c r="J633" s="149"/>
      <c r="K633" s="149"/>
    </row>
    <row r="634" spans="1:11" s="146" customFormat="1" x14ac:dyDescent="0.25">
      <c r="A634" s="156">
        <f>IF(MouserOrderTable[[#This Row],[Qty.]]&gt;0,IF($A633="List #",1,$A633+1),IF($A633="List #",0,$A633))</f>
        <v>179</v>
      </c>
      <c r="B634" s="150" t="str">
        <f>MouserListTable[[#This Row],[SKU]]</f>
        <v>474-TOL-12630</v>
      </c>
      <c r="C634" s="150">
        <f>MouserListTable[[#This Row],['# Initial]]</f>
        <v>0</v>
      </c>
      <c r="D634" s="150" t="str">
        <f>MouserListTable[[#This Row],[Name]]</f>
        <v>Wire Strippers - 30AWG (Hakko)</v>
      </c>
      <c r="E634" s="155">
        <f>MouserListTable[[#This Row],[Price (USD)]]</f>
        <v>9.9499999999999993</v>
      </c>
      <c r="F634" s="155">
        <f>MouserListTable[[#This Row],[Total Price]]</f>
        <v>0</v>
      </c>
      <c r="H634" s="149"/>
      <c r="J634" s="149"/>
      <c r="K634" s="149"/>
    </row>
    <row r="635" spans="1:11" s="146" customFormat="1" x14ac:dyDescent="0.25">
      <c r="A635" s="156">
        <f>IF(MouserOrderTable[[#This Row],[Qty.]]&gt;0,IF($A634="List #",1,$A634+1),IF($A634="List #",0,$A634))</f>
        <v>179</v>
      </c>
      <c r="B635" s="150" t="str">
        <f>MouserListTable[[#This Row],[SKU]]</f>
        <v>485-527</v>
      </c>
      <c r="C635" s="150">
        <f>MouserListTable[[#This Row],['# Initial]]</f>
        <v>0</v>
      </c>
      <c r="D635" s="150" t="str">
        <f>MouserListTable[[#This Row],[Name]]</f>
        <v>Hakko Professsional Quality 20-30 AWG Wire Strippers - CSP-30-1</v>
      </c>
      <c r="E635" s="155">
        <f>MouserListTable[[#This Row],[Price (USD)]]</f>
        <v>14.95</v>
      </c>
      <c r="F635" s="155">
        <f>MouserListTable[[#This Row],[Total Price]]</f>
        <v>0</v>
      </c>
      <c r="H635" s="149"/>
      <c r="J635" s="149"/>
      <c r="K635" s="149"/>
    </row>
    <row r="636" spans="1:11" s="146" customFormat="1" x14ac:dyDescent="0.25">
      <c r="A636" s="156">
        <f>IF(MouserOrderTable[[#This Row],[Qty.]]&gt;0,IF($A635="List #",1,$A635+1),IF($A635="List #",0,$A635))</f>
        <v>179</v>
      </c>
      <c r="B636" s="150" t="str">
        <f>MouserListTable[[#This Row],[SKU]]</f>
        <v>474-TOL-08794</v>
      </c>
      <c r="C636" s="150">
        <f>MouserListTable[[#This Row],['# Initial]]</f>
        <v>0</v>
      </c>
      <c r="D636" s="150" t="str">
        <f>MouserListTable[[#This Row],[Name]]</f>
        <v>Diagonal Cutters</v>
      </c>
      <c r="E636" s="155">
        <f>MouserListTable[[#This Row],[Price (USD)]]</f>
        <v>1.95</v>
      </c>
      <c r="F636" s="155">
        <f>MouserListTable[[#This Row],[Total Price]]</f>
        <v>0</v>
      </c>
      <c r="H636" s="149"/>
      <c r="J636" s="149"/>
      <c r="K636" s="149"/>
    </row>
    <row r="637" spans="1:11" s="146" customFormat="1" x14ac:dyDescent="0.25">
      <c r="A637" s="156">
        <f>IF(MouserOrderTable[[#This Row],[Qty.]]&gt;0,IF($A636="List #",1,$A636+1),IF($A636="List #",0,$A636))</f>
        <v>179</v>
      </c>
      <c r="B637" s="150" t="str">
        <f>MouserListTable[[#This Row],[SKU]]</f>
        <v>474-TOL-11952</v>
      </c>
      <c r="C637" s="150">
        <f>MouserListTable[[#This Row],['# Initial]]</f>
        <v>0</v>
      </c>
      <c r="D637" s="150" t="str">
        <f>MouserListTable[[#This Row],[Name]]</f>
        <v>Flush Cutters - Hakko</v>
      </c>
      <c r="E637" s="155">
        <f>MouserListTable[[#This Row],[Price (USD)]]</f>
        <v>6.95</v>
      </c>
      <c r="F637" s="155">
        <f>MouserListTable[[#This Row],[Total Price]]</f>
        <v>0</v>
      </c>
      <c r="H637" s="149"/>
      <c r="J637" s="149"/>
      <c r="K637" s="149"/>
    </row>
    <row r="638" spans="1:11" s="146" customFormat="1" x14ac:dyDescent="0.25">
      <c r="A638" s="156">
        <f>IF(MouserOrderTable[[#This Row],[Qty.]]&gt;0,IF($A637="List #",1,$A637+1),IF($A637="List #",0,$A637))</f>
        <v>180</v>
      </c>
      <c r="B638" s="150" t="str">
        <f>MouserListTable[[#This Row],[SKU]]</f>
        <v>474-TOL-09200</v>
      </c>
      <c r="C638" s="150">
        <f>MouserListTable[[#This Row],['# Initial]]</f>
        <v>1</v>
      </c>
      <c r="D638" s="150" t="str">
        <f>MouserListTable[[#This Row],[Name]]</f>
        <v>Hobby Knife</v>
      </c>
      <c r="E638" s="155">
        <f>MouserListTable[[#This Row],[Price (USD)]]</f>
        <v>2.95</v>
      </c>
      <c r="F638" s="155">
        <f>MouserListTable[[#This Row],[Total Price]]</f>
        <v>2.95</v>
      </c>
      <c r="H638" s="149"/>
      <c r="J638" s="149"/>
      <c r="K638" s="149"/>
    </row>
    <row r="639" spans="1:11" s="146" customFormat="1" x14ac:dyDescent="0.25">
      <c r="A639" s="156">
        <f>IF(MouserOrderTable[[#This Row],[Qty.]]&gt;0,IF($A638="List #",1,$A638+1),IF($A638="List #",0,$A638))</f>
        <v>181</v>
      </c>
      <c r="B639" s="150" t="str">
        <f>MouserListTable[[#This Row],[SKU]]</f>
        <v>474-TOL-10325</v>
      </c>
      <c r="C639" s="150">
        <f>MouserListTable[[#This Row],['# Initial]]</f>
        <v>1</v>
      </c>
      <c r="D639" s="150" t="str">
        <f>MouserListTable[[#This Row],[Name]]</f>
        <v>Hobby Knife Replacement Blades</v>
      </c>
      <c r="E639" s="155">
        <f>MouserListTable[[#This Row],[Price (USD)]]</f>
        <v>1.95</v>
      </c>
      <c r="F639" s="155">
        <f>MouserListTable[[#This Row],[Total Price]]</f>
        <v>1.95</v>
      </c>
      <c r="H639" s="149"/>
      <c r="J639" s="149"/>
      <c r="K639" s="149"/>
    </row>
    <row r="640" spans="1:11" s="146" customFormat="1" x14ac:dyDescent="0.25">
      <c r="A640" s="156">
        <f>IF(MouserOrderTable[[#This Row],[Qty.]]&gt;0,IF($A639="List #",1,$A639+1),IF($A639="List #",0,$A639))</f>
        <v>182</v>
      </c>
      <c r="B640" s="150" t="str">
        <f>MouserListTable[[#This Row],[SKU]]</f>
        <v>474-TOL-13114</v>
      </c>
      <c r="C640" s="150">
        <f>MouserListTable[[#This Row],['# Initial]]</f>
        <v>1</v>
      </c>
      <c r="D640" s="150" t="str">
        <f>MouserListTable[[#This Row],[Name]]</f>
        <v>Resistor Lead Bending Tool</v>
      </c>
      <c r="E640" s="155">
        <f>MouserListTable[[#This Row],[Price (USD)]]</f>
        <v>4.8</v>
      </c>
      <c r="F640" s="155">
        <f>MouserListTable[[#This Row],[Total Price]]</f>
        <v>4.8</v>
      </c>
      <c r="H640" s="149"/>
      <c r="J640" s="149"/>
      <c r="K640" s="149"/>
    </row>
    <row r="641" spans="1:11" s="146" customFormat="1" x14ac:dyDescent="0.25">
      <c r="A641" s="156">
        <f>IF(MouserOrderTable[[#This Row],[Qty.]]&gt;0,IF($A640="List #",1,$A640+1),IF($A640="List #",0,$A640))</f>
        <v>182</v>
      </c>
      <c r="B641" s="150" t="str">
        <f>MouserListTable[[#This Row],[SKU]]</f>
        <v>474-TOL-11528</v>
      </c>
      <c r="C641" s="150">
        <f>MouserListTable[[#This Row],['# Initial]]</f>
        <v>0</v>
      </c>
      <c r="D641" s="150" t="str">
        <f>MouserListTable[[#This Row],[Name]]</f>
        <v>Modular Plastic Storage Box - Medium (4 pack)</v>
      </c>
      <c r="E641" s="155">
        <f>MouserListTable[[#This Row],[Price (USD)]]</f>
        <v>3.95</v>
      </c>
      <c r="F641" s="155">
        <f>MouserListTable[[#This Row],[Total Price]]</f>
        <v>0</v>
      </c>
      <c r="H641" s="149"/>
      <c r="J641" s="149"/>
      <c r="K641" s="149"/>
    </row>
    <row r="642" spans="1:11" s="146" customFormat="1" x14ac:dyDescent="0.25">
      <c r="A642" s="156">
        <f>IF(MouserOrderTable[[#This Row],[Qty.]]&gt;0,IF($A641="List #",1,$A641+1),IF($A641="List #",0,$A641))</f>
        <v>182</v>
      </c>
      <c r="B642" s="150" t="str">
        <f>MouserListTable[[#This Row],[SKU]]</f>
        <v>474-TOL-11527</v>
      </c>
      <c r="C642" s="150">
        <f>MouserListTable[[#This Row],['# Initial]]</f>
        <v>0</v>
      </c>
      <c r="D642" s="150" t="str">
        <f>MouserListTable[[#This Row],[Name]]</f>
        <v>Modular Plastic Storage Box - Small (10 pack)</v>
      </c>
      <c r="E642" s="155">
        <f>MouserListTable[[#This Row],[Price (USD)]]</f>
        <v>3.95</v>
      </c>
      <c r="F642" s="155">
        <f>MouserListTable[[#This Row],[Total Price]]</f>
        <v>0</v>
      </c>
      <c r="H642" s="149"/>
      <c r="J642" s="149"/>
      <c r="K642" s="149"/>
    </row>
    <row r="643" spans="1:11" s="146" customFormat="1" x14ac:dyDescent="0.25">
      <c r="A643" s="156">
        <f>IF(MouserOrderTable[[#This Row],[Qty.]]&gt;0,IF($A642="List #",1,$A642+1),IF($A642="List #",0,$A642))</f>
        <v>182</v>
      </c>
      <c r="B643" s="150" t="str">
        <f>MouserListTable[[#This Row],[SKU]]</f>
        <v>485-2938</v>
      </c>
      <c r="C643" s="150">
        <f>MouserListTable[[#This Row],['# Initial]]</f>
        <v>0</v>
      </c>
      <c r="D643" s="150" t="str">
        <f>MouserListTable[[#This Row],[Name]]</f>
        <v>Latching 5-Compartment Storage Box</v>
      </c>
      <c r="E643" s="155">
        <f>MouserListTable[[#This Row],[Price (USD)]]</f>
        <v>2.5</v>
      </c>
      <c r="F643" s="155">
        <f>MouserListTable[[#This Row],[Total Price]]</f>
        <v>0</v>
      </c>
      <c r="H643" s="149"/>
      <c r="J643" s="149"/>
      <c r="K643" s="149"/>
    </row>
    <row r="644" spans="1:11" s="146" customFormat="1" x14ac:dyDescent="0.25">
      <c r="A644" s="156">
        <f>IF(MouserOrderTable[[#This Row],[Qty.]]&gt;0,IF($A643="List #",1,$A643+1),IF($A643="List #",0,$A643))</f>
        <v>183</v>
      </c>
      <c r="B644" s="150" t="str">
        <f>MouserListTable[[#This Row],[SKU]]</f>
        <v>485-433</v>
      </c>
      <c r="C644" s="150">
        <f>MouserListTable[[#This Row],['# Initial]]</f>
        <v>1</v>
      </c>
      <c r="D644" s="150" t="str">
        <f>MouserListTable[[#This Row],[Name]]</f>
        <v>Medium Modular Snap Boxes - SMD component storage - 2 pack - Pink</v>
      </c>
      <c r="E644" s="155">
        <f>MouserListTable[[#This Row],[Price (USD)]]</f>
        <v>2.95</v>
      </c>
      <c r="F644" s="155">
        <f>MouserListTable[[#This Row],[Total Price]]</f>
        <v>2.95</v>
      </c>
      <c r="H644" s="149"/>
      <c r="J644" s="149"/>
      <c r="K644" s="149"/>
    </row>
    <row r="645" spans="1:11" s="146" customFormat="1" x14ac:dyDescent="0.25">
      <c r="A645" s="156">
        <f>IF(MouserOrderTable[[#This Row],[Qty.]]&gt;0,IF($A644="List #",1,$A644+1),IF($A644="List #",0,$A644))</f>
        <v>184</v>
      </c>
      <c r="B645" s="150" t="str">
        <f>MouserListTable[[#This Row],[SKU]]</f>
        <v>485-432</v>
      </c>
      <c r="C645" s="150">
        <f>MouserListTable[[#This Row],['# Initial]]</f>
        <v>1</v>
      </c>
      <c r="D645" s="150" t="str">
        <f>MouserListTable[[#This Row],[Name]]</f>
        <v>Small Modular Snap Boxes - SMD component storage - 3 pack - Green</v>
      </c>
      <c r="E645" s="155">
        <f>MouserListTable[[#This Row],[Price (USD)]]</f>
        <v>2.95</v>
      </c>
      <c r="F645" s="155">
        <f>MouserListTable[[#This Row],[Total Price]]</f>
        <v>2.95</v>
      </c>
      <c r="H645" s="149"/>
      <c r="J645" s="149"/>
      <c r="K645" s="149"/>
    </row>
    <row r="646" spans="1:11" s="146" customFormat="1" x14ac:dyDescent="0.25">
      <c r="A646" s="156">
        <f>IF(MouserOrderTable[[#This Row],[Qty.]]&gt;0,IF($A645="List #",1,$A645+1),IF($A645="List #",0,$A645))</f>
        <v>185</v>
      </c>
      <c r="B646" s="150" t="str">
        <f>MouserListTable[[#This Row],[SKU]]</f>
        <v>485-427</v>
      </c>
      <c r="C646" s="150">
        <f>MouserListTable[[#This Row],['# Initial]]</f>
        <v>1</v>
      </c>
      <c r="D646" s="150" t="str">
        <f>MouserListTable[[#This Row],[Name]]</f>
        <v>Tiny Modular Snap Boxes - SMD component storage - 10 pack - Blue</v>
      </c>
      <c r="E646" s="155">
        <f>MouserListTable[[#This Row],[Price (USD)]]</f>
        <v>4</v>
      </c>
      <c r="F646" s="155">
        <f>MouserListTable[[#This Row],[Total Price]]</f>
        <v>4</v>
      </c>
      <c r="H646" s="149"/>
      <c r="J646" s="149"/>
      <c r="K646" s="149"/>
    </row>
    <row r="647" spans="1:11" s="146" customFormat="1" x14ac:dyDescent="0.25">
      <c r="A647" s="147">
        <f>SUBTOTAL(103,MouserOrderTable[List '#])</f>
        <v>633</v>
      </c>
      <c r="B647" s="147"/>
      <c r="C647" s="147">
        <f>SUBTOTAL(109,MouserOrderTable[Qty.])</f>
        <v>976</v>
      </c>
      <c r="D647" s="147"/>
      <c r="E647" s="148"/>
      <c r="F647" s="148">
        <f>SUBTOTAL(109,MouserOrderTable[Total Price (USD)])</f>
        <v>3958.6599999999939</v>
      </c>
      <c r="H647" s="149"/>
      <c r="J647" s="149"/>
      <c r="K647" s="149"/>
    </row>
    <row r="648" spans="1:11" s="146" customFormat="1" x14ac:dyDescent="0.25">
      <c r="A648" s="161"/>
      <c r="B648" s="120"/>
      <c r="C648" s="152"/>
      <c r="D648" s="150"/>
      <c r="E648" s="154"/>
      <c r="F648" s="162"/>
      <c r="H648" s="149"/>
      <c r="J648" s="149"/>
      <c r="K648" s="149"/>
    </row>
    <row r="649" spans="1:11" s="146" customFormat="1" x14ac:dyDescent="0.25">
      <c r="A649" s="161"/>
      <c r="B649" s="120"/>
      <c r="C649" s="152"/>
      <c r="D649" s="150"/>
      <c r="E649" s="154"/>
      <c r="F649" s="162"/>
      <c r="H649" s="149"/>
      <c r="J649" s="149"/>
      <c r="K649" s="149"/>
    </row>
    <row r="650" spans="1:11" s="146" customFormat="1" x14ac:dyDescent="0.25">
      <c r="A650" s="161"/>
      <c r="B650" s="120"/>
      <c r="C650" s="152"/>
      <c r="D650" s="150"/>
      <c r="E650" s="154"/>
      <c r="F650" s="162"/>
      <c r="H650" s="149"/>
      <c r="J650" s="149"/>
      <c r="K650" s="149"/>
    </row>
    <row r="651" spans="1:11" s="146" customFormat="1" x14ac:dyDescent="0.25">
      <c r="A651" s="149"/>
      <c r="B651" s="149"/>
      <c r="C651" s="149"/>
      <c r="D651" s="149"/>
      <c r="E651" s="149"/>
      <c r="F651" s="37"/>
      <c r="H651" s="149"/>
      <c r="J651" s="149"/>
      <c r="K651" s="149"/>
    </row>
    <row r="652" spans="1:11" x14ac:dyDescent="0.25">
      <c r="A652" s="139">
        <v>31</v>
      </c>
      <c r="B652" s="137" t="s">
        <v>2561</v>
      </c>
      <c r="C652" s="137">
        <v>5</v>
      </c>
      <c r="D652" s="137" t="s">
        <v>2560</v>
      </c>
      <c r="E652" s="137">
        <v>29.62</v>
      </c>
      <c r="F652" s="145">
        <v>148.1</v>
      </c>
    </row>
    <row r="653" spans="1:11" x14ac:dyDescent="0.25">
      <c r="A653" s="139">
        <v>32</v>
      </c>
      <c r="B653" s="137" t="s">
        <v>2562</v>
      </c>
      <c r="C653" s="137">
        <v>5</v>
      </c>
      <c r="D653" s="137" t="s">
        <v>2295</v>
      </c>
      <c r="E653" s="137">
        <v>14.95</v>
      </c>
      <c r="F653" s="145">
        <v>74.75</v>
      </c>
    </row>
    <row r="654" spans="1:11" x14ac:dyDescent="0.25">
      <c r="A654" s="139">
        <v>44</v>
      </c>
      <c r="B654" s="137" t="s">
        <v>2563</v>
      </c>
      <c r="C654" s="137">
        <v>15</v>
      </c>
      <c r="D654" s="137" t="s">
        <v>260</v>
      </c>
      <c r="E654" s="137">
        <v>2.95</v>
      </c>
      <c r="F654" s="145">
        <v>44.25</v>
      </c>
    </row>
    <row r="655" spans="1:11" x14ac:dyDescent="0.25">
      <c r="A655" s="142">
        <v>45</v>
      </c>
      <c r="B655" s="138" t="s">
        <v>2564</v>
      </c>
      <c r="C655" s="138">
        <v>5</v>
      </c>
      <c r="D655" s="138" t="s">
        <v>289</v>
      </c>
      <c r="E655" s="143">
        <v>6.95</v>
      </c>
      <c r="F655" s="144">
        <v>34.75</v>
      </c>
    </row>
    <row r="656" spans="1:11" x14ac:dyDescent="0.25">
      <c r="A656" s="139">
        <v>46</v>
      </c>
      <c r="B656" s="137" t="s">
        <v>2565</v>
      </c>
      <c r="C656" s="137">
        <v>5</v>
      </c>
      <c r="D656" s="137" t="s">
        <v>209</v>
      </c>
      <c r="E656" s="140">
        <v>3.95</v>
      </c>
      <c r="F656" s="141">
        <v>19.75</v>
      </c>
    </row>
    <row r="657" spans="1:6" x14ac:dyDescent="0.25">
      <c r="A657" s="142">
        <v>59</v>
      </c>
      <c r="B657" s="138" t="s">
        <v>2566</v>
      </c>
      <c r="C657" s="138">
        <v>2</v>
      </c>
      <c r="D657" s="138" t="s">
        <v>940</v>
      </c>
      <c r="E657" s="143">
        <v>7.95</v>
      </c>
      <c r="F657" s="144">
        <v>15.9</v>
      </c>
    </row>
    <row r="658" spans="1:6" x14ac:dyDescent="0.25">
      <c r="A658" s="139">
        <v>136</v>
      </c>
      <c r="B658" s="137" t="s">
        <v>2567</v>
      </c>
      <c r="C658" s="137">
        <v>25</v>
      </c>
      <c r="D658" s="137" t="s">
        <v>815</v>
      </c>
      <c r="E658" s="140">
        <v>0.95</v>
      </c>
      <c r="F658" s="141">
        <v>23.75</v>
      </c>
    </row>
  </sheetData>
  <mergeCells count="1">
    <mergeCell ref="A11:F11"/>
  </mergeCells>
  <conditionalFormatting sqref="A658:F658 A14:F650">
    <cfRule type="expression" dxfId="1324" priority="5223">
      <formula>AND(($C14=0),NOT(ISBLANK($C14)))</formula>
    </cfRule>
  </conditionalFormatting>
  <conditionalFormatting sqref="A657:F658">
    <cfRule type="expression" dxfId="1323" priority="48">
      <formula>AND(($C298=0),NOT(ISBLANK($C298)))</formula>
    </cfRule>
  </conditionalFormatting>
  <conditionalFormatting sqref="A654:F656">
    <cfRule type="expression" dxfId="1322" priority="40">
      <formula>AND(($C177=0),NOT(ISBLANK($C177)))</formula>
    </cfRule>
  </conditionalFormatting>
  <conditionalFormatting sqref="A653:F653">
    <cfRule type="expression" dxfId="1321" priority="32">
      <formula>AND(($C127=0),NOT(ISBLANK($C127)))</formula>
    </cfRule>
  </conditionalFormatting>
  <conditionalFormatting sqref="A652:F652">
    <cfRule type="expression" dxfId="1320" priority="16">
      <formula>AND(($C126=0),NOT(ISBLANK($C126)))</formula>
    </cfRule>
  </conditionalFormatting>
  <dataValidations count="1">
    <dataValidation allowBlank="1" showInputMessage="1" showErrorMessage="1" prompt="Title of this worksheet is in this cell" sqref="A11" xr:uid="{CC5369B9-D1E5-44C5-AE10-E8DE2951062D}"/>
  </dataValidations>
  <pageMargins left="0.7" right="0.7" top="0.75" bottom="0.75" header="0.3" footer="0.3"/>
  <pageSetup orientation="portrait" horizontalDpi="4294967294" verticalDpi="0"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expression" priority="5195" id="{22739006-7089-4D96-829B-70947DD7B479}">
            <xm:f>#REF!=FilterSpecs!$F$13</xm:f>
            <x14:dxf>
              <font>
                <b/>
                <i val="0"/>
                <color theme="0"/>
              </font>
              <fill>
                <patternFill>
                  <bgColor theme="9" tint="-0.499984740745262"/>
                </patternFill>
              </fill>
            </x14:dxf>
          </x14:cfRule>
          <x14:cfRule type="expression" priority="5196" id="{5CB9F437-F397-4152-8348-8F204627195D}">
            <xm:f>#REF!=FilterSpecs!$F$11</xm:f>
            <x14:dxf>
              <font>
                <b/>
                <i val="0"/>
                <color theme="0"/>
              </font>
              <fill>
                <patternFill>
                  <bgColor rgb="FF00B050"/>
                </patternFill>
              </fill>
            </x14:dxf>
          </x14:cfRule>
          <x14:cfRule type="expression" priority="5197" id="{8530F3ED-F081-4749-B895-F5E8C443CD94}">
            <xm:f>#REF!=FilterSpecs!$F$10</xm:f>
            <x14:dxf>
              <font>
                <b/>
                <i val="0"/>
                <color theme="0"/>
              </font>
              <fill>
                <patternFill>
                  <bgColor rgb="FF002060"/>
                </patternFill>
              </fill>
            </x14:dxf>
          </x14:cfRule>
          <x14:cfRule type="expression" priority="5198" id="{9D4A6C07-B0DC-4080-907C-B808D20DCF45}">
            <xm:f>#REF!=FilterSpecs!$F$9</xm:f>
            <x14:dxf>
              <font>
                <b/>
                <i val="0"/>
                <color theme="0"/>
              </font>
              <fill>
                <patternFill>
                  <bgColor rgb="FFFF0000"/>
                </patternFill>
              </fill>
            </x14:dxf>
          </x14:cfRule>
          <x14:cfRule type="expression" priority="5199" id="{98094B42-C5E8-4800-82AE-3363A709731F}">
            <xm:f>#REF!=FilterSpecs!$F$8</xm:f>
            <x14:dxf>
              <font>
                <b/>
                <i val="0"/>
                <color theme="0"/>
              </font>
              <fill>
                <patternFill>
                  <bgColor rgb="FFFFC000"/>
                </patternFill>
              </fill>
            </x14:dxf>
          </x14:cfRule>
          <x14:cfRule type="expression" priority="5200" id="{CE97812D-C1C6-46CB-8156-E92A0D9B976B}">
            <xm:f>#REF!=FilterSpecs!$F$6</xm:f>
            <x14:dxf>
              <font>
                <b val="0"/>
                <i val="0"/>
              </font>
              <fill>
                <patternFill patternType="none">
                  <bgColor auto="1"/>
                </patternFill>
              </fill>
            </x14:dxf>
          </x14:cfRule>
          <x14:cfRule type="expression" priority="5201" id="{27260CD0-EC55-43B5-93D7-A1C71E083DE4}">
            <xm:f>#REF!=FilterSpecs!$F$7</xm:f>
            <x14:dxf>
              <font>
                <b/>
                <i val="0"/>
                <color theme="0"/>
              </font>
              <fill>
                <patternFill>
                  <bgColor rgb="FF00B0F0"/>
                </patternFill>
              </fill>
            </x14:dxf>
          </x14:cfRule>
          <xm:sqref>A14:F650</xm:sqref>
        </x14:conditionalFormatting>
        <x14:conditionalFormatting xmlns:xm="http://schemas.microsoft.com/office/excel/2006/main">
          <x14:cfRule type="expression" priority="41" id="{E3756F8F-8D32-46CE-8C44-B83C51020DDA}">
            <xm:f>#REF!=FilterSpecs!$F$13</xm:f>
            <x14:dxf>
              <font>
                <b/>
                <i val="0"/>
                <color theme="0"/>
              </font>
              <fill>
                <patternFill>
                  <bgColor theme="9" tint="-0.499984740745262"/>
                </patternFill>
              </fill>
            </x14:dxf>
          </x14:cfRule>
          <x14:cfRule type="expression" priority="42" id="{1902C689-8FF3-4F63-B5C0-932E4DA70775}">
            <xm:f>#REF!=FilterSpecs!$F$11</xm:f>
            <x14:dxf>
              <font>
                <b/>
                <i val="0"/>
                <color theme="0"/>
              </font>
              <fill>
                <patternFill>
                  <bgColor rgb="FF00B050"/>
                </patternFill>
              </fill>
            </x14:dxf>
          </x14:cfRule>
          <x14:cfRule type="expression" priority="43" id="{51FEDB79-08C7-4A6D-990F-3E618EA9475D}">
            <xm:f>#REF!=FilterSpecs!$F$10</xm:f>
            <x14:dxf>
              <font>
                <b/>
                <i val="0"/>
                <color theme="0"/>
              </font>
              <fill>
                <patternFill>
                  <bgColor rgb="FF002060"/>
                </patternFill>
              </fill>
            </x14:dxf>
          </x14:cfRule>
          <x14:cfRule type="expression" priority="44" id="{3E6E10EF-FE0F-4C32-A8E3-5B9018818EE2}">
            <xm:f>#REF!=FilterSpecs!$F$9</xm:f>
            <x14:dxf>
              <font>
                <b/>
                <i val="0"/>
                <color theme="0"/>
              </font>
              <fill>
                <patternFill>
                  <bgColor rgb="FFFF0000"/>
                </patternFill>
              </fill>
            </x14:dxf>
          </x14:cfRule>
          <x14:cfRule type="expression" priority="45" id="{524B05B5-11A0-48F5-BFD8-0760C1D78157}">
            <xm:f>#REF!=FilterSpecs!$F$8</xm:f>
            <x14:dxf>
              <font>
                <b/>
                <i val="0"/>
                <color theme="0"/>
              </font>
              <fill>
                <patternFill>
                  <bgColor rgb="FFFFC000"/>
                </patternFill>
              </fill>
            </x14:dxf>
          </x14:cfRule>
          <x14:cfRule type="expression" priority="46" id="{4026513D-F6E6-4B14-84B7-62D01CA61BD2}">
            <xm:f>#REF!=FilterSpecs!$F$6</xm:f>
            <x14:dxf>
              <font>
                <b val="0"/>
                <i val="0"/>
              </font>
              <fill>
                <patternFill patternType="none">
                  <bgColor auto="1"/>
                </patternFill>
              </fill>
            </x14:dxf>
          </x14:cfRule>
          <x14:cfRule type="expression" priority="47" id="{20F2946A-997D-42DB-B223-046F704EE987}">
            <xm:f>#REF!=FilterSpecs!$F$7</xm:f>
            <x14:dxf>
              <font>
                <b/>
                <i val="0"/>
                <color theme="0"/>
              </font>
              <fill>
                <patternFill>
                  <bgColor rgb="FF00B0F0"/>
                </patternFill>
              </fill>
            </x14:dxf>
          </x14:cfRule>
          <xm:sqref>A657:F658</xm:sqref>
        </x14:conditionalFormatting>
        <x14:conditionalFormatting xmlns:xm="http://schemas.microsoft.com/office/excel/2006/main">
          <x14:cfRule type="expression" priority="33" id="{62D53B66-7602-4783-B698-B5F1A96C877B}">
            <xm:f>#REF!=FilterSpecs!$F$13</xm:f>
            <x14:dxf>
              <font>
                <b/>
                <i val="0"/>
                <color theme="0"/>
              </font>
              <fill>
                <patternFill>
                  <bgColor theme="9" tint="-0.499984740745262"/>
                </patternFill>
              </fill>
            </x14:dxf>
          </x14:cfRule>
          <x14:cfRule type="expression" priority="34" id="{1E76C5E0-A1A1-4748-939C-BE40C9875ADC}">
            <xm:f>#REF!=FilterSpecs!$F$11</xm:f>
            <x14:dxf>
              <font>
                <b/>
                <i val="0"/>
                <color theme="0"/>
              </font>
              <fill>
                <patternFill>
                  <bgColor rgb="FF00B050"/>
                </patternFill>
              </fill>
            </x14:dxf>
          </x14:cfRule>
          <x14:cfRule type="expression" priority="35" id="{DAF31E6D-C4E6-49E9-A57E-22C3F8726714}">
            <xm:f>#REF!=FilterSpecs!$F$10</xm:f>
            <x14:dxf>
              <font>
                <b/>
                <i val="0"/>
                <color theme="0"/>
              </font>
              <fill>
                <patternFill>
                  <bgColor rgb="FF002060"/>
                </patternFill>
              </fill>
            </x14:dxf>
          </x14:cfRule>
          <x14:cfRule type="expression" priority="36" id="{4AD2A092-3E69-4DCD-914A-A8D049DC6CDB}">
            <xm:f>#REF!=FilterSpecs!$F$9</xm:f>
            <x14:dxf>
              <font>
                <b/>
                <i val="0"/>
                <color theme="0"/>
              </font>
              <fill>
                <patternFill>
                  <bgColor rgb="FFFF0000"/>
                </patternFill>
              </fill>
            </x14:dxf>
          </x14:cfRule>
          <x14:cfRule type="expression" priority="37" id="{C527196D-7F6B-4533-BD83-3E43ADB5985B}">
            <xm:f>#REF!=FilterSpecs!$F$8</xm:f>
            <x14:dxf>
              <font>
                <b/>
                <i val="0"/>
                <color theme="0"/>
              </font>
              <fill>
                <patternFill>
                  <bgColor rgb="FFFFC000"/>
                </patternFill>
              </fill>
            </x14:dxf>
          </x14:cfRule>
          <x14:cfRule type="expression" priority="38" id="{F9FA6BAE-F826-488F-9EA3-06C23ACDFD8B}">
            <xm:f>#REF!=FilterSpecs!$F$6</xm:f>
            <x14:dxf>
              <font>
                <b val="0"/>
                <i val="0"/>
              </font>
              <fill>
                <patternFill patternType="none">
                  <bgColor auto="1"/>
                </patternFill>
              </fill>
            </x14:dxf>
          </x14:cfRule>
          <x14:cfRule type="expression" priority="39" id="{809F75CC-FFEB-4666-B070-F26337A1EDF3}">
            <xm:f>#REF!=FilterSpecs!$F$7</xm:f>
            <x14:dxf>
              <font>
                <b/>
                <i val="0"/>
                <color theme="0"/>
              </font>
              <fill>
                <patternFill>
                  <bgColor rgb="FF00B0F0"/>
                </patternFill>
              </fill>
            </x14:dxf>
          </x14:cfRule>
          <xm:sqref>A654:F656</xm:sqref>
        </x14:conditionalFormatting>
        <x14:conditionalFormatting xmlns:xm="http://schemas.microsoft.com/office/excel/2006/main">
          <x14:cfRule type="expression" priority="25" id="{0BD8421C-623F-440A-9D93-3F14686E9713}">
            <xm:f>#REF!=FilterSpecs!$F$13</xm:f>
            <x14:dxf>
              <font>
                <b/>
                <i val="0"/>
                <color theme="0"/>
              </font>
              <fill>
                <patternFill>
                  <bgColor theme="9" tint="-0.499984740745262"/>
                </patternFill>
              </fill>
            </x14:dxf>
          </x14:cfRule>
          <x14:cfRule type="expression" priority="26" id="{8671DD13-C5AF-4FB0-8874-F21FBFBE3B9B}">
            <xm:f>#REF!=FilterSpecs!$F$11</xm:f>
            <x14:dxf>
              <font>
                <b/>
                <i val="0"/>
                <color theme="0"/>
              </font>
              <fill>
                <patternFill>
                  <bgColor rgb="FF00B050"/>
                </patternFill>
              </fill>
            </x14:dxf>
          </x14:cfRule>
          <x14:cfRule type="expression" priority="27" id="{BFA9DB02-53C9-4AAC-B8D9-6BAF6257C82E}">
            <xm:f>#REF!=FilterSpecs!$F$10</xm:f>
            <x14:dxf>
              <font>
                <b/>
                <i val="0"/>
                <color theme="0"/>
              </font>
              <fill>
                <patternFill>
                  <bgColor rgb="FF002060"/>
                </patternFill>
              </fill>
            </x14:dxf>
          </x14:cfRule>
          <x14:cfRule type="expression" priority="28" id="{12ED9D4A-6C2D-45A6-95EE-099CFFD90155}">
            <xm:f>#REF!=FilterSpecs!$F$9</xm:f>
            <x14:dxf>
              <font>
                <b/>
                <i val="0"/>
                <color theme="0"/>
              </font>
              <fill>
                <patternFill>
                  <bgColor rgb="FFFF0000"/>
                </patternFill>
              </fill>
            </x14:dxf>
          </x14:cfRule>
          <x14:cfRule type="expression" priority="29" id="{BDF4E98A-9FF1-4AE6-A609-97899AB6B754}">
            <xm:f>#REF!=FilterSpecs!$F$8</xm:f>
            <x14:dxf>
              <font>
                <b/>
                <i val="0"/>
                <color theme="0"/>
              </font>
              <fill>
                <patternFill>
                  <bgColor rgb="FFFFC000"/>
                </patternFill>
              </fill>
            </x14:dxf>
          </x14:cfRule>
          <x14:cfRule type="expression" priority="30" id="{92259897-A89B-4B1B-A87C-66A3EDC5A723}">
            <xm:f>#REF!=FilterSpecs!$F$6</xm:f>
            <x14:dxf>
              <font>
                <b val="0"/>
                <i val="0"/>
              </font>
              <fill>
                <patternFill patternType="none">
                  <bgColor auto="1"/>
                </patternFill>
              </fill>
            </x14:dxf>
          </x14:cfRule>
          <x14:cfRule type="expression" priority="31" id="{9359A56E-C6F7-4A16-9788-A0A771A7FF71}">
            <xm:f>#REF!=FilterSpecs!$F$7</xm:f>
            <x14:dxf>
              <font>
                <b/>
                <i val="0"/>
                <color theme="0"/>
              </font>
              <fill>
                <patternFill>
                  <bgColor rgb="FF00B0F0"/>
                </patternFill>
              </fill>
            </x14:dxf>
          </x14:cfRule>
          <xm:sqref>A653:F653</xm:sqref>
        </x14:conditionalFormatting>
        <x14:conditionalFormatting xmlns:xm="http://schemas.microsoft.com/office/excel/2006/main">
          <x14:cfRule type="expression" priority="9" id="{8899FD8D-6D4F-440A-A9B1-7E2D0C0FC2A7}">
            <xm:f>#REF!=FilterSpecs!$F$13</xm:f>
            <x14:dxf>
              <font>
                <b/>
                <i val="0"/>
                <color theme="0"/>
              </font>
              <fill>
                <patternFill>
                  <bgColor theme="9" tint="-0.499984740745262"/>
                </patternFill>
              </fill>
            </x14:dxf>
          </x14:cfRule>
          <x14:cfRule type="expression" priority="10" id="{FAFA67F4-E645-44A7-BF97-C676DB329FCD}">
            <xm:f>#REF!=FilterSpecs!$F$11</xm:f>
            <x14:dxf>
              <font>
                <b/>
                <i val="0"/>
                <color theme="0"/>
              </font>
              <fill>
                <patternFill>
                  <bgColor rgb="FF00B050"/>
                </patternFill>
              </fill>
            </x14:dxf>
          </x14:cfRule>
          <x14:cfRule type="expression" priority="11" id="{29B9731F-8742-455F-9EA4-6848B0548CB5}">
            <xm:f>#REF!=FilterSpecs!$F$10</xm:f>
            <x14:dxf>
              <font>
                <b/>
                <i val="0"/>
                <color theme="0"/>
              </font>
              <fill>
                <patternFill>
                  <bgColor rgb="FF002060"/>
                </patternFill>
              </fill>
            </x14:dxf>
          </x14:cfRule>
          <x14:cfRule type="expression" priority="12" id="{B1638493-DCA9-4C3C-9AFD-A9E53B534D7D}">
            <xm:f>#REF!=FilterSpecs!$F$9</xm:f>
            <x14:dxf>
              <font>
                <b/>
                <i val="0"/>
                <color theme="0"/>
              </font>
              <fill>
                <patternFill>
                  <bgColor rgb="FFFF0000"/>
                </patternFill>
              </fill>
            </x14:dxf>
          </x14:cfRule>
          <x14:cfRule type="expression" priority="13" id="{514B7297-B8B6-42EB-A6B7-D1F21E739384}">
            <xm:f>#REF!=FilterSpecs!$F$8</xm:f>
            <x14:dxf>
              <font>
                <b/>
                <i val="0"/>
                <color theme="0"/>
              </font>
              <fill>
                <patternFill>
                  <bgColor rgb="FFFFC000"/>
                </patternFill>
              </fill>
            </x14:dxf>
          </x14:cfRule>
          <x14:cfRule type="expression" priority="14" id="{18152877-A204-4D77-84A4-77BCAC8C6CCE}">
            <xm:f>#REF!=FilterSpecs!$F$6</xm:f>
            <x14:dxf>
              <font>
                <b val="0"/>
                <i val="0"/>
              </font>
              <fill>
                <patternFill patternType="none">
                  <bgColor auto="1"/>
                </patternFill>
              </fill>
            </x14:dxf>
          </x14:cfRule>
          <x14:cfRule type="expression" priority="15" id="{D7CFD909-69DD-432A-86F8-75D4E42A8EF3}">
            <xm:f>#REF!=FilterSpecs!$F$7</xm:f>
            <x14:dxf>
              <font>
                <b/>
                <i val="0"/>
                <color theme="0"/>
              </font>
              <fill>
                <patternFill>
                  <bgColor rgb="FF00B0F0"/>
                </patternFill>
              </fill>
            </x14:dxf>
          </x14:cfRule>
          <xm:sqref>A652:F652</xm:sqref>
        </x14:conditionalFormatting>
        <x14:conditionalFormatting xmlns:xm="http://schemas.microsoft.com/office/excel/2006/main">
          <x14:cfRule type="expression" priority="1" id="{7D38D839-5683-4E24-A4B6-73C83C13D2D2}">
            <xm:f>#REF!=FilterSpecs!$F$13</xm:f>
            <x14:dxf>
              <font>
                <b/>
                <i val="0"/>
                <color theme="0"/>
              </font>
              <fill>
                <patternFill>
                  <bgColor theme="9" tint="-0.499984740745262"/>
                </patternFill>
              </fill>
            </x14:dxf>
          </x14:cfRule>
          <x14:cfRule type="expression" priority="2" id="{0AF3DFCA-64F6-407F-8464-60880580D06A}">
            <xm:f>#REF!=FilterSpecs!$F$11</xm:f>
            <x14:dxf>
              <font>
                <b/>
                <i val="0"/>
                <color theme="0"/>
              </font>
              <fill>
                <patternFill>
                  <bgColor rgb="FF00B050"/>
                </patternFill>
              </fill>
            </x14:dxf>
          </x14:cfRule>
          <x14:cfRule type="expression" priority="3" id="{9741EFD1-30BF-410D-991D-6F1B1AB425C4}">
            <xm:f>#REF!=FilterSpecs!$F$10</xm:f>
            <x14:dxf>
              <font>
                <b/>
                <i val="0"/>
                <color theme="0"/>
              </font>
              <fill>
                <patternFill>
                  <bgColor rgb="FF002060"/>
                </patternFill>
              </fill>
            </x14:dxf>
          </x14:cfRule>
          <x14:cfRule type="expression" priority="4" id="{064A875E-8BE7-4A0E-A985-8CF446B2B1A3}">
            <xm:f>#REF!=FilterSpecs!$F$9</xm:f>
            <x14:dxf>
              <font>
                <b/>
                <i val="0"/>
                <color theme="0"/>
              </font>
              <fill>
                <patternFill>
                  <bgColor rgb="FFFF0000"/>
                </patternFill>
              </fill>
            </x14:dxf>
          </x14:cfRule>
          <x14:cfRule type="expression" priority="5" id="{A374B3F6-A27E-4B69-89AF-882F7CC458E4}">
            <xm:f>#REF!=FilterSpecs!$F$8</xm:f>
            <x14:dxf>
              <font>
                <b/>
                <i val="0"/>
                <color theme="0"/>
              </font>
              <fill>
                <patternFill>
                  <bgColor rgb="FFFFC000"/>
                </patternFill>
              </fill>
            </x14:dxf>
          </x14:cfRule>
          <x14:cfRule type="expression" priority="6" id="{32AA2909-A3D8-4CB4-B5A8-65AE2141AF2F}">
            <xm:f>#REF!=FilterSpecs!$F$6</xm:f>
            <x14:dxf>
              <font>
                <b val="0"/>
                <i val="0"/>
              </font>
              <fill>
                <patternFill patternType="none">
                  <bgColor auto="1"/>
                </patternFill>
              </fill>
            </x14:dxf>
          </x14:cfRule>
          <x14:cfRule type="expression" priority="7" id="{70C3D30D-D5FB-429E-9BAF-669695B7342D}">
            <xm:f>#REF!=FilterSpecs!$F$7</xm:f>
            <x14:dxf>
              <font>
                <b/>
                <i val="0"/>
                <color theme="0"/>
              </font>
              <fill>
                <patternFill>
                  <bgColor rgb="FF00B0F0"/>
                </patternFill>
              </fill>
            </x14:dxf>
          </x14:cfRule>
          <xm:sqref>A658:F658</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F6090-FFC3-4118-9140-8EEDC01FB4BB}">
  <sheetPr codeName="Sheet22">
    <tabColor rgb="FF1F4E49"/>
  </sheetPr>
  <dimension ref="B1:S627"/>
  <sheetViews>
    <sheetView topLeftCell="F27" zoomScale="130" zoomScaleNormal="130" workbookViewId="0">
      <selection activeCell="J61" sqref="J61"/>
    </sheetView>
  </sheetViews>
  <sheetFormatPr defaultRowHeight="15" x14ac:dyDescent="0.25"/>
  <cols>
    <col min="1" max="1" width="3.85546875" customWidth="1"/>
    <col min="2" max="2" width="43.28515625" bestFit="1" customWidth="1"/>
    <col min="3" max="3" width="44.140625" bestFit="1" customWidth="1"/>
    <col min="4" max="4" width="14.85546875" customWidth="1"/>
    <col min="5" max="5" width="68.7109375" customWidth="1"/>
    <col min="6" max="6" width="12" customWidth="1"/>
    <col min="7" max="7" width="9.140625" customWidth="1"/>
    <col min="8" max="8" width="14.140625" hidden="1" customWidth="1"/>
    <col min="9" max="9" width="13.28515625" style="37" bestFit="1" customWidth="1"/>
    <col min="10" max="10" width="12.140625" style="37" customWidth="1"/>
    <col min="11" max="11" width="0.28515625" customWidth="1"/>
    <col min="12" max="12" width="0.42578125" hidden="1" customWidth="1"/>
    <col min="13" max="13" width="42.85546875" customWidth="1"/>
    <col min="14" max="14" width="13" customWidth="1"/>
    <col min="15" max="15" width="27.28515625" customWidth="1"/>
    <col min="16" max="16" width="38" customWidth="1"/>
    <col min="17" max="17" width="21.28515625" customWidth="1"/>
    <col min="19" max="19" width="22.28515625" customWidth="1"/>
  </cols>
  <sheetData>
    <row r="1" spans="2:19" ht="65.099999999999994" customHeight="1" thickBot="1" x14ac:dyDescent="0.3">
      <c r="B1" s="164" t="s">
        <v>986</v>
      </c>
      <c r="C1" s="164"/>
      <c r="D1" s="42"/>
      <c r="E1" s="38"/>
      <c r="F1" s="168" t="s">
        <v>1427</v>
      </c>
      <c r="G1" s="168"/>
      <c r="H1" s="168"/>
      <c r="I1" s="168"/>
      <c r="J1" s="168"/>
      <c r="K1" s="9"/>
      <c r="L1" s="3"/>
      <c r="M1" s="8"/>
      <c r="O1" s="3"/>
      <c r="P1" s="3"/>
      <c r="Q1" s="3"/>
      <c r="R1" s="3"/>
      <c r="S1" s="3"/>
    </row>
    <row r="2" spans="2:19" ht="30" customHeight="1" thickTop="1" thickBot="1" x14ac:dyDescent="0.3">
      <c r="B2" s="44" t="s">
        <v>884</v>
      </c>
      <c r="C2" s="41">
        <f>SUM(EquipmentTable[[#Totals],[Price]])</f>
        <v>4345.7699999999904</v>
      </c>
      <c r="D2" s="99"/>
      <c r="E2" s="38"/>
      <c r="F2" s="165" t="s">
        <v>15</v>
      </c>
      <c r="G2" s="166"/>
      <c r="H2" s="167"/>
      <c r="I2" s="169">
        <f ca="1">TODAY()</f>
        <v>43141</v>
      </c>
      <c r="J2" s="170"/>
      <c r="K2" s="9"/>
      <c r="L2" s="3"/>
    </row>
    <row r="3" spans="2:19" ht="49.9" customHeight="1" thickTop="1" x14ac:dyDescent="0.25">
      <c r="B3" s="3"/>
      <c r="C3" s="15"/>
      <c r="D3" s="15"/>
      <c r="E3" s="3"/>
      <c r="H3" s="3"/>
      <c r="I3"/>
      <c r="J3"/>
      <c r="K3" s="9"/>
      <c r="L3" s="3"/>
      <c r="M3" s="3"/>
    </row>
    <row r="37" spans="2:15" ht="15.75" thickBot="1" x14ac:dyDescent="0.3"/>
    <row r="38" spans="2:15" ht="7.9" customHeight="1" thickTop="1" x14ac:dyDescent="0.25">
      <c r="B38" s="16"/>
      <c r="C38" s="16"/>
      <c r="D38" s="16"/>
      <c r="E38" s="16"/>
      <c r="F38" s="16"/>
      <c r="G38" s="16"/>
      <c r="H38" s="16"/>
      <c r="I38" s="16"/>
      <c r="J38" s="16"/>
      <c r="K38" s="16"/>
      <c r="L38" s="16"/>
      <c r="M38" s="16"/>
    </row>
    <row r="39" spans="2:15" x14ac:dyDescent="0.25">
      <c r="B39" s="12" t="s">
        <v>1998</v>
      </c>
      <c r="C39" s="32" t="s">
        <v>18</v>
      </c>
      <c r="D39" s="32" t="s">
        <v>4</v>
      </c>
      <c r="E39" s="33" t="s">
        <v>17</v>
      </c>
      <c r="F39" s="33" t="s">
        <v>155</v>
      </c>
      <c r="G39" s="33" t="s">
        <v>3</v>
      </c>
      <c r="H39" s="33" t="s">
        <v>1199</v>
      </c>
      <c r="I39" s="34" t="s">
        <v>1</v>
      </c>
      <c r="J39" s="35" t="s">
        <v>2</v>
      </c>
      <c r="K39" s="33" t="s">
        <v>154</v>
      </c>
      <c r="L39" s="33" t="s">
        <v>19</v>
      </c>
      <c r="M39" s="33" t="s">
        <v>16</v>
      </c>
    </row>
    <row r="40" spans="2:15" ht="14.45" hidden="1" customHeight="1" x14ac:dyDescent="0.25">
      <c r="B40" s="29" t="str">
        <f>RawList!A4</f>
        <v>Primary Component</v>
      </c>
      <c r="C40" s="29" t="str">
        <f>RawList!B4</f>
        <v>Audible Notification/Queuing</v>
      </c>
      <c r="D40" s="29" t="str">
        <f>RawList!C4</f>
        <v>SparkFun</v>
      </c>
      <c r="E40" s="29" t="str">
        <f>RawList!H4</f>
        <v>WAV Trigger</v>
      </c>
      <c r="F40" s="29" t="str">
        <f>RawList!D4</f>
        <v>WIG-13660</v>
      </c>
      <c r="G40" s="101">
        <f>RawList!E4</f>
        <v>1</v>
      </c>
      <c r="H40" s="29" t="str">
        <f>IF(EquipmentTable[[#This Row],[Units]]&gt;0,"Quantity &gt; 0 Items","Quantity = 0 Items")</f>
        <v>Quantity &gt; 0 Items</v>
      </c>
      <c r="I40" s="102">
        <f>RawList!J4</f>
        <v>49.95</v>
      </c>
      <c r="J40" s="14">
        <f>VALUE(EquipmentTable[[#This Row],[Units]]*EquipmentTable[[#This Row],[Unit
 Price]])</f>
        <v>49.95</v>
      </c>
      <c r="K40" s="29" t="str">
        <f>RawList!G4</f>
        <v>https://cdn.sparkfun.com/r/92-92/assets/parts/1/1/0/7/3/12897-02.jpg</v>
      </c>
      <c r="L40" s="29"/>
      <c r="M40" s="29" t="str">
        <f>RawList!F4</f>
        <v>https://www.sparkfun.com/products/13660</v>
      </c>
      <c r="O40" s="3"/>
    </row>
    <row r="41" spans="2:15" ht="14.45" hidden="1" customHeight="1" x14ac:dyDescent="0.25">
      <c r="B41" s="29" t="str">
        <f>RawList!A5</f>
        <v>Primary Component</v>
      </c>
      <c r="C41" s="29" t="str">
        <f>RawList!B5</f>
        <v>Audible Notification/Queuing</v>
      </c>
      <c r="D41" s="29" t="str">
        <f>RawList!C5</f>
        <v>SparkFun</v>
      </c>
      <c r="E41" s="29" t="str">
        <f>RawList!H5</f>
        <v>Hamburger Mini Speaker</v>
      </c>
      <c r="F41" s="29" t="str">
        <f>RawList!D5</f>
        <v>COM-14023</v>
      </c>
      <c r="G41" s="101">
        <f>RawList!E5</f>
        <v>1</v>
      </c>
      <c r="H41" s="29" t="str">
        <f>IF(EquipmentTable[[#This Row],[Units]]&gt;0,"Quantity &gt; 0 Items","Quantity = 0 Items")</f>
        <v>Quantity &gt; 0 Items</v>
      </c>
      <c r="I41" s="102">
        <f>RawList!J5</f>
        <v>4.95</v>
      </c>
      <c r="J41" s="14">
        <f>VALUE(EquipmentTable[[#This Row],[Units]]*EquipmentTable[[#This Row],[Unit
 Price]])</f>
        <v>4.95</v>
      </c>
      <c r="K41" s="29" t="str">
        <f>RawList!G5</f>
        <v>https://cdn.sparkfun.com/r/92-92/assets/parts/1/1/8/3/1/14023-01.jpg</v>
      </c>
      <c r="L41" s="29"/>
      <c r="M41" s="29" t="str">
        <f>RawList!F5</f>
        <v>https://www.sparkfun.com/products/14023</v>
      </c>
      <c r="O41" s="3"/>
    </row>
    <row r="42" spans="2:15" ht="14.45" hidden="1" customHeight="1" x14ac:dyDescent="0.25">
      <c r="B42" s="29" t="str">
        <f>RawList!A6</f>
        <v>Primary Component</v>
      </c>
      <c r="C42" s="29" t="str">
        <f>RawList!B6</f>
        <v>Audible Notification/Queuing</v>
      </c>
      <c r="D42" s="29" t="str">
        <f>RawList!C6</f>
        <v>SparkFun</v>
      </c>
      <c r="E42" s="29" t="str">
        <f>RawList!H6</f>
        <v>Speaker - 0.5W (8 Ohm)</v>
      </c>
      <c r="F42" s="29" t="str">
        <f>RawList!D6</f>
        <v>COM-09151</v>
      </c>
      <c r="G42" s="101">
        <f>RawList!E6</f>
        <v>2</v>
      </c>
      <c r="H42" s="29" t="str">
        <f>IF(EquipmentTable[[#This Row],[Units]]&gt;0,"Quantity &gt; 0 Items","Quantity = 0 Items")</f>
        <v>Quantity &gt; 0 Items</v>
      </c>
      <c r="I42" s="102">
        <f>RawList!J6</f>
        <v>1.95</v>
      </c>
      <c r="J42" s="14">
        <f>VALUE(EquipmentTable[[#This Row],[Units]]*EquipmentTable[[#This Row],[Unit
 Price]])</f>
        <v>3.9</v>
      </c>
      <c r="K42" s="29" t="str">
        <f>RawList!G6</f>
        <v>https://cdn.sparkfun.com/r/92-92/assets/parts/2/5/7/0/09151-03-L.jpg</v>
      </c>
      <c r="L42" s="29"/>
      <c r="M42" s="29" t="str">
        <f>RawList!F6</f>
        <v>https://www.sparkfun.com/products/9151</v>
      </c>
    </row>
    <row r="43" spans="2:15" ht="14.45" hidden="1" customHeight="1" x14ac:dyDescent="0.25">
      <c r="B43" s="29" t="str">
        <f>RawList!A7</f>
        <v>Primary Component</v>
      </c>
      <c r="C43" s="29" t="str">
        <f>RawList!B7</f>
        <v>Audible Notification/Queuing</v>
      </c>
      <c r="D43" s="29" t="str">
        <f>RawList!C7</f>
        <v>SparkFun</v>
      </c>
      <c r="E43" s="29" t="str">
        <f>RawList!H7</f>
        <v>Speaker Terminal - 4 Spring</v>
      </c>
      <c r="F43" s="29" t="str">
        <f>RawList!D7</f>
        <v>COM-11145</v>
      </c>
      <c r="G43" s="101">
        <f>RawList!E7</f>
        <v>1</v>
      </c>
      <c r="H43" s="29" t="str">
        <f>IF(EquipmentTable[[#This Row],[Units]]&gt;0,"Quantity &gt; 0 Items","Quantity = 0 Items")</f>
        <v>Quantity &gt; 0 Items</v>
      </c>
      <c r="I43" s="102">
        <f>RawList!J7</f>
        <v>0.75</v>
      </c>
      <c r="J43" s="14">
        <f>VALUE(EquipmentTable[[#This Row],[Units]]*EquipmentTable[[#This Row],[Unit
 Price]])</f>
        <v>0.75</v>
      </c>
      <c r="K43" s="29" t="str">
        <f>RawList!G7</f>
        <v>https://cdn.sparkfun.com/r/92-92/assets/parts/6/6/0/6/11145-01.jpg</v>
      </c>
      <c r="L43" s="29"/>
      <c r="M43" s="29" t="str">
        <f>RawList!F7</f>
        <v>https://www.sparkfun.com/products/11145</v>
      </c>
    </row>
    <row r="44" spans="2:15" ht="14.45" hidden="1" customHeight="1" x14ac:dyDescent="0.25">
      <c r="B44" s="29" t="str">
        <f>RawList!A8</f>
        <v>Primary Component</v>
      </c>
      <c r="C44" s="29" t="str">
        <f>RawList!B8</f>
        <v>Audible Notification/Queuing</v>
      </c>
      <c r="D44" s="29" t="str">
        <f>RawList!C8</f>
        <v>SparkFun</v>
      </c>
      <c r="E44" s="29" t="str">
        <f>RawList!H8</f>
        <v>Vibration Motor</v>
      </c>
      <c r="F44" s="29" t="str">
        <f>RawList!D8</f>
        <v>ROB-08449</v>
      </c>
      <c r="G44" s="101">
        <f>RawList!E8</f>
        <v>2</v>
      </c>
      <c r="H44" s="29" t="str">
        <f>IF(EquipmentTable[[#This Row],[Units]]&gt;0,"Quantity &gt; 0 Items","Quantity = 0 Items")</f>
        <v>Quantity &gt; 0 Items</v>
      </c>
      <c r="I44" s="102">
        <f>RawList!J8</f>
        <v>4.95</v>
      </c>
      <c r="J44" s="14">
        <f>VALUE(EquipmentTable[[#This Row],[Units]]*EquipmentTable[[#This Row],[Unit
 Price]])</f>
        <v>9.9</v>
      </c>
      <c r="K44" s="29" t="str">
        <f>RawList!G8</f>
        <v>https://cdn.sparkfun.com/r/92-92/assets/parts/8/8/6/VibrationMotor-01-L.jpg</v>
      </c>
      <c r="L44" s="29"/>
      <c r="M44" s="29" t="str">
        <f>RawList!F8</f>
        <v>https://www.sparkfun.com/products/8449</v>
      </c>
    </row>
    <row r="45" spans="2:15" ht="14.45" hidden="1" customHeight="1" x14ac:dyDescent="0.25">
      <c r="B45" s="29" t="str">
        <f>RawList!A9</f>
        <v>Primary Component</v>
      </c>
      <c r="C45" s="29" t="str">
        <f>RawList!B9</f>
        <v>Audible Notification/Queuing</v>
      </c>
      <c r="D45" s="29" t="str">
        <f>RawList!C9</f>
        <v>SparkFun</v>
      </c>
      <c r="E45" s="29" t="str">
        <f>RawList!H9</f>
        <v>Text-to-Speech Module - Emic 2</v>
      </c>
      <c r="F45" s="29" t="str">
        <f>RawList!D9</f>
        <v>DEV-11711</v>
      </c>
      <c r="G45" s="101">
        <f>RawList!E9</f>
        <v>1</v>
      </c>
      <c r="H45" s="29" t="str">
        <f>IF(EquipmentTable[[#This Row],[Units]]&gt;0,"Quantity &gt; 0 Items","Quantity = 0 Items")</f>
        <v>Quantity &gt; 0 Items</v>
      </c>
      <c r="I45" s="102">
        <f>RawList!J9</f>
        <v>59.95</v>
      </c>
      <c r="J45" s="14">
        <f>VALUE(EquipmentTable[[#This Row],[Units]]*EquipmentTable[[#This Row],[Unit
 Price]])</f>
        <v>59.95</v>
      </c>
      <c r="K45" s="29" t="str">
        <f>RawList!G9</f>
        <v>https://cdn.sparkfun.com/r/92-92/assets/parts/7/8/9/4/11711-01.jpg</v>
      </c>
      <c r="L45" s="29"/>
      <c r="M45" s="29" t="str">
        <f>RawList!F9</f>
        <v>https://www.sparkfun.com/products/11711</v>
      </c>
    </row>
    <row r="46" spans="2:15" ht="14.45" hidden="1" customHeight="1" x14ac:dyDescent="0.25">
      <c r="B46" s="29" t="str">
        <f>RawList!A10</f>
        <v>Primary Component</v>
      </c>
      <c r="C46" s="29" t="str">
        <f>RawList!B10</f>
        <v>Audible Notification/Queuing</v>
      </c>
      <c r="D46" s="29" t="str">
        <f>RawList!C10</f>
        <v>SparkFun</v>
      </c>
      <c r="E46" s="29" t="str">
        <f>RawList!H10</f>
        <v>SparkFun MEMS Microphone Breakout - INMP401 (ADMP401)</v>
      </c>
      <c r="F46" s="29" t="str">
        <f>RawList!D10</f>
        <v>BOB-09868</v>
      </c>
      <c r="G46" s="101">
        <f>RawList!E10</f>
        <v>1</v>
      </c>
      <c r="H46" s="29" t="str">
        <f>IF(EquipmentTable[[#This Row],[Units]]&gt;0,"Quantity &gt; 0 Items","Quantity = 0 Items")</f>
        <v>Quantity &gt; 0 Items</v>
      </c>
      <c r="I46" s="102">
        <f>RawList!J10</f>
        <v>9.9499999999999993</v>
      </c>
      <c r="J46" s="14">
        <f>VALUE(EquipmentTable[[#This Row],[Units]]*EquipmentTable[[#This Row],[Unit
 Price]])</f>
        <v>9.9499999999999993</v>
      </c>
      <c r="K46" s="29" t="str">
        <f>RawList!G10</f>
        <v>https://cdn.sparkfun.com/r/92-92/assets/parts/3/9/5/1/09868-01a.jpg</v>
      </c>
      <c r="L46" s="29"/>
      <c r="M46" s="29" t="str">
        <f>RawList!F10</f>
        <v>https://www.sparkfun.com/products/9868</v>
      </c>
    </row>
    <row r="47" spans="2:15" ht="14.45" hidden="1" customHeight="1" x14ac:dyDescent="0.25">
      <c r="B47" s="29" t="str">
        <f>RawList!A11</f>
        <v>Primary Component</v>
      </c>
      <c r="C47" s="29" t="str">
        <f>RawList!B11</f>
        <v>Audible Notification/Queuing</v>
      </c>
      <c r="D47" s="29" t="str">
        <f>RawList!C11</f>
        <v>SparkFun</v>
      </c>
      <c r="E47" s="29" t="str">
        <f>RawList!H11</f>
        <v>Electret Microphone</v>
      </c>
      <c r="F47" s="29" t="str">
        <f>RawList!D11</f>
        <v>COM-08635</v>
      </c>
      <c r="G47" s="101">
        <f>RawList!E11</f>
        <v>1</v>
      </c>
      <c r="H47" s="29" t="str">
        <f>IF(EquipmentTable[[#This Row],[Units]]&gt;0,"Quantity &gt; 0 Items","Quantity = 0 Items")</f>
        <v>Quantity &gt; 0 Items</v>
      </c>
      <c r="I47" s="102">
        <f>RawList!J11</f>
        <v>0.95</v>
      </c>
      <c r="J47" s="14">
        <f>VALUE(EquipmentTable[[#This Row],[Units]]*EquipmentTable[[#This Row],[Unit
 Price]])</f>
        <v>0.95</v>
      </c>
      <c r="K47" s="29" t="str">
        <f>RawList!G11</f>
        <v>https://cdn.sparkfun.com/r/92-92/assets/parts/1/7/6/9/08635-03-L.jpg</v>
      </c>
      <c r="L47" s="29"/>
      <c r="M47" s="29" t="str">
        <f>RawList!F11</f>
        <v>https://www.sparkfun.com/products/8635</v>
      </c>
    </row>
    <row r="48" spans="2:15" ht="14.45" hidden="1" customHeight="1" x14ac:dyDescent="0.25">
      <c r="B48" s="29" t="str">
        <f>RawList!A12</f>
        <v>Primary Component</v>
      </c>
      <c r="C48" s="29" t="str">
        <f>RawList!B12</f>
        <v>Audible Notification/Queuing</v>
      </c>
      <c r="D48" s="29" t="str">
        <f>RawList!C12</f>
        <v>SparkFun</v>
      </c>
      <c r="E48" s="29" t="str">
        <f>RawList!H12</f>
        <v>SparkFun Electret Microphone Breakout</v>
      </c>
      <c r="F48" s="29" t="str">
        <f>RawList!D12</f>
        <v>BOB-12758</v>
      </c>
      <c r="G48" s="101">
        <f>RawList!E12</f>
        <v>1</v>
      </c>
      <c r="H48" s="29" t="str">
        <f>IF(EquipmentTable[[#This Row],[Units]]&gt;0,"Quantity &gt; 0 Items","Quantity = 0 Items")</f>
        <v>Quantity &gt; 0 Items</v>
      </c>
      <c r="I48" s="102">
        <f>RawList!J12</f>
        <v>5.95</v>
      </c>
      <c r="J48" s="14">
        <f>VALUE(EquipmentTable[[#This Row],[Units]]*EquipmentTable[[#This Row],[Unit
 Price]])</f>
        <v>5.95</v>
      </c>
      <c r="K48" s="29" t="str">
        <f>RawList!G12</f>
        <v>https://cdn.sparkfun.com/r/92-92/assets/parts/9/5/2/0/12758-02.jpg</v>
      </c>
      <c r="L48" s="29"/>
      <c r="M48" s="29" t="str">
        <f>RawList!F12</f>
        <v>https://www.sparkfun.com/products/12758</v>
      </c>
    </row>
    <row r="49" spans="2:13" ht="14.45" hidden="1" customHeight="1" x14ac:dyDescent="0.25">
      <c r="B49" s="29" t="str">
        <f>RawList!A13</f>
        <v>Primary Component</v>
      </c>
      <c r="C49" s="29" t="str">
        <f>RawList!B13</f>
        <v>Audible Notification/Queuing</v>
      </c>
      <c r="D49" s="29" t="str">
        <f>RawList!C13</f>
        <v>SparkFun</v>
      </c>
      <c r="E49" s="29" t="str">
        <f>RawList!H13</f>
        <v>SparkFun Sound Detector</v>
      </c>
      <c r="F49" s="29" t="str">
        <f>RawList!D13</f>
        <v>SEN-12642</v>
      </c>
      <c r="G49" s="101">
        <f>RawList!E13</f>
        <v>0</v>
      </c>
      <c r="H49" s="29" t="str">
        <f>IF(EquipmentTable[[#This Row],[Units]]&gt;0,"Quantity &gt; 0 Items","Quantity = 0 Items")</f>
        <v>Quantity = 0 Items</v>
      </c>
      <c r="I49" s="102">
        <f>RawList!J13</f>
        <v>10.95</v>
      </c>
      <c r="J49" s="14">
        <f>VALUE(EquipmentTable[[#This Row],[Units]]*EquipmentTable[[#This Row],[Unit
 Price]])</f>
        <v>0</v>
      </c>
      <c r="K49" s="29" t="str">
        <f>RawList!G13</f>
        <v>https://cdn.sparkfun.com/r/92-92/assets/parts/9/3/3/0/12642-01.jpg</v>
      </c>
      <c r="L49" s="29"/>
      <c r="M49" s="29" t="str">
        <f>RawList!F13</f>
        <v>https://www.sparkfun.com/products/12642</v>
      </c>
    </row>
    <row r="50" spans="2:13" ht="14.45" hidden="1" customHeight="1" x14ac:dyDescent="0.25">
      <c r="B50" s="29" t="str">
        <f>RawList!A14</f>
        <v>Primary Component</v>
      </c>
      <c r="C50" s="29" t="str">
        <f>RawList!B14</f>
        <v>Audible Notification/Queuing</v>
      </c>
      <c r="D50" s="29" t="str">
        <f>RawList!C14</f>
        <v>Adafruit</v>
      </c>
      <c r="E50" s="29" t="str">
        <f>RawList!H14</f>
        <v xml:space="preserve">Adafruit Wave Shield for Arduino Kit - v1.1 </v>
      </c>
      <c r="F50" s="29" t="str">
        <f>RawList!D14</f>
        <v>94</v>
      </c>
      <c r="G50" s="101">
        <f>RawList!E14</f>
        <v>0</v>
      </c>
      <c r="H50" s="29" t="str">
        <f>IF(EquipmentTable[[#This Row],[Units]]&gt;0,"Quantity &gt; 0 Items","Quantity = 0 Items")</f>
        <v>Quantity = 0 Items</v>
      </c>
      <c r="I50" s="102">
        <f>RawList!J14</f>
        <v>22</v>
      </c>
      <c r="J50" s="14">
        <f>VALUE(EquipmentTable[[#This Row],[Units]]*EquipmentTable[[#This Row],[Unit
 Price]])</f>
        <v>0</v>
      </c>
      <c r="K50" s="29">
        <f>RawList!G14</f>
        <v>0</v>
      </c>
      <c r="L50" s="29"/>
      <c r="M50" s="29">
        <f>RawList!F14</f>
        <v>0</v>
      </c>
    </row>
    <row r="51" spans="2:13" ht="14.45" hidden="1" customHeight="1" x14ac:dyDescent="0.25">
      <c r="B51" s="29" t="str">
        <f>RawList!A15</f>
        <v>Primary Component</v>
      </c>
      <c r="C51" s="29" t="str">
        <f>RawList!B15</f>
        <v>Audible Notification/Queuing</v>
      </c>
      <c r="D51" s="29" t="str">
        <f>RawList!C15</f>
        <v>Adafruit</v>
      </c>
      <c r="E51" s="29" t="str">
        <f>RawList!H15</f>
        <v xml:space="preserve">Mini External USB Stereo Speaker </v>
      </c>
      <c r="F51" s="29" t="str">
        <f>RawList!D15</f>
        <v>3369</v>
      </c>
      <c r="G51" s="101">
        <f>RawList!E15</f>
        <v>0</v>
      </c>
      <c r="H51" s="29" t="str">
        <f>IF(EquipmentTable[[#This Row],[Units]]&gt;0,"Quantity &gt; 0 Items","Quantity = 0 Items")</f>
        <v>Quantity = 0 Items</v>
      </c>
      <c r="I51" s="102">
        <f>RawList!J15</f>
        <v>12.5</v>
      </c>
      <c r="J51" s="14">
        <f>VALUE(EquipmentTable[[#This Row],[Units]]*EquipmentTable[[#This Row],[Unit
 Price]])</f>
        <v>0</v>
      </c>
      <c r="K51" s="29">
        <f>RawList!G15</f>
        <v>0</v>
      </c>
      <c r="L51" s="29"/>
      <c r="M51" s="29">
        <f>RawList!F15</f>
        <v>0</v>
      </c>
    </row>
    <row r="52" spans="2:13" ht="14.45" hidden="1" customHeight="1" x14ac:dyDescent="0.25">
      <c r="B52" s="29" t="str">
        <f>RawList!A16</f>
        <v>Primary Component</v>
      </c>
      <c r="C52" s="29" t="str">
        <f>RawList!B16</f>
        <v>Audible Notification/Queuing</v>
      </c>
      <c r="D52" s="29" t="str">
        <f>RawList!C16</f>
        <v>Adafruit</v>
      </c>
      <c r="E52" s="29" t="str">
        <f>RawList!H16</f>
        <v xml:space="preserve">Mini USB Microphone </v>
      </c>
      <c r="F52" s="29" t="str">
        <f>RawList!D16</f>
        <v>3367</v>
      </c>
      <c r="G52" s="101">
        <f>RawList!E16</f>
        <v>0</v>
      </c>
      <c r="H52" s="29" t="str">
        <f>IF(EquipmentTable[[#This Row],[Units]]&gt;0,"Quantity &gt; 0 Items","Quantity = 0 Items")</f>
        <v>Quantity = 0 Items</v>
      </c>
      <c r="I52" s="102">
        <f>RawList!J16</f>
        <v>5.95</v>
      </c>
      <c r="J52" s="14">
        <f>VALUE(EquipmentTable[[#This Row],[Units]]*EquipmentTable[[#This Row],[Unit
 Price]])</f>
        <v>0</v>
      </c>
      <c r="K52" s="29">
        <f>RawList!G16</f>
        <v>0</v>
      </c>
      <c r="L52" s="29"/>
      <c r="M52" s="29">
        <f>RawList!F16</f>
        <v>0</v>
      </c>
    </row>
    <row r="53" spans="2:13" ht="14.45" hidden="1" customHeight="1" x14ac:dyDescent="0.25">
      <c r="B53" s="29" t="str">
        <f>RawList!A17</f>
        <v>Primary Component</v>
      </c>
      <c r="C53" s="29" t="str">
        <f>RawList!B17</f>
        <v>Audible Notification/Queuing</v>
      </c>
      <c r="D53" s="29" t="str">
        <f>RawList!C17</f>
        <v>Adafruit</v>
      </c>
      <c r="E53" s="29" t="str">
        <f>RawList!H17</f>
        <v xml:space="preserve">Mono Enclosed Speaker - 3W 4 Ohm </v>
      </c>
      <c r="F53" s="29" t="str">
        <f>RawList!D17</f>
        <v>3351</v>
      </c>
      <c r="G53" s="101">
        <f>RawList!E17</f>
        <v>0</v>
      </c>
      <c r="H53" s="29" t="str">
        <f>IF(EquipmentTable[[#This Row],[Units]]&gt;0,"Quantity &gt; 0 Items","Quantity = 0 Items")</f>
        <v>Quantity = 0 Items</v>
      </c>
      <c r="I53" s="102">
        <f>RawList!J17</f>
        <v>3.95</v>
      </c>
      <c r="J53" s="14">
        <f>VALUE(EquipmentTable[[#This Row],[Units]]*EquipmentTable[[#This Row],[Unit
 Price]])</f>
        <v>0</v>
      </c>
      <c r="K53" s="29">
        <f>RawList!G17</f>
        <v>0</v>
      </c>
      <c r="L53" s="29"/>
      <c r="M53" s="29">
        <f>RawList!F17</f>
        <v>0</v>
      </c>
    </row>
    <row r="54" spans="2:13" ht="14.45" hidden="1" customHeight="1" x14ac:dyDescent="0.25">
      <c r="B54" s="29" t="str">
        <f>RawList!A18</f>
        <v>Primary Component</v>
      </c>
      <c r="C54" s="29" t="str">
        <f>RawList!B18</f>
        <v>Audible Notification/Queuing</v>
      </c>
      <c r="D54" s="29" t="str">
        <f>RawList!C18</f>
        <v>Adafruit</v>
      </c>
      <c r="E54" s="29" t="str">
        <f>RawList!H18</f>
        <v xml:space="preserve">Speaker - 3" Diameter - 4 Ohm 3 Watt </v>
      </c>
      <c r="F54" s="29" t="str">
        <f>RawList!D18</f>
        <v>1314</v>
      </c>
      <c r="G54" s="101">
        <f>RawList!E18</f>
        <v>0</v>
      </c>
      <c r="H54" s="29" t="str">
        <f>IF(EquipmentTable[[#This Row],[Units]]&gt;0,"Quantity &gt; 0 Items","Quantity = 0 Items")</f>
        <v>Quantity = 0 Items</v>
      </c>
      <c r="I54" s="102">
        <f>RawList!J18</f>
        <v>1.95</v>
      </c>
      <c r="J54" s="14">
        <f>VALUE(EquipmentTable[[#This Row],[Units]]*EquipmentTable[[#This Row],[Unit
 Price]])</f>
        <v>0</v>
      </c>
      <c r="K54" s="29">
        <f>RawList!G18</f>
        <v>0</v>
      </c>
      <c r="L54" s="29"/>
      <c r="M54" s="29">
        <f>RawList!F18</f>
        <v>0</v>
      </c>
    </row>
    <row r="55" spans="2:13" ht="14.45" hidden="1" customHeight="1" x14ac:dyDescent="0.25">
      <c r="B55" s="29" t="str">
        <f>RawList!A19</f>
        <v>Primary Component</v>
      </c>
      <c r="C55" s="29" t="str">
        <f>RawList!B19</f>
        <v>Audible Notification/Queuing</v>
      </c>
      <c r="D55" s="29" t="str">
        <f>RawList!C19</f>
        <v>Adafruit</v>
      </c>
      <c r="E55" s="29" t="str">
        <f>RawList!H19</f>
        <v xml:space="preserve">Speaker - 3" Diameter - 8 Ohm 1 Watt </v>
      </c>
      <c r="F55" s="29" t="str">
        <f>RawList!D19</f>
        <v>1313</v>
      </c>
      <c r="G55" s="101">
        <f>RawList!E19</f>
        <v>0</v>
      </c>
      <c r="H55" s="29" t="str">
        <f>IF(EquipmentTable[[#This Row],[Units]]&gt;0,"Quantity &gt; 0 Items","Quantity = 0 Items")</f>
        <v>Quantity = 0 Items</v>
      </c>
      <c r="I55" s="102">
        <f>RawList!J19</f>
        <v>1.95</v>
      </c>
      <c r="J55" s="14">
        <f>VALUE(EquipmentTable[[#This Row],[Units]]*EquipmentTable[[#This Row],[Unit
 Price]])</f>
        <v>0</v>
      </c>
      <c r="K55" s="29">
        <f>RawList!G19</f>
        <v>0</v>
      </c>
      <c r="L55" s="29"/>
      <c r="M55" s="29">
        <f>RawList!F19</f>
        <v>0</v>
      </c>
    </row>
    <row r="56" spans="2:13" ht="14.45" hidden="1" customHeight="1" x14ac:dyDescent="0.25">
      <c r="B56" s="29" t="str">
        <f>RawList!A20</f>
        <v>Primary Component</v>
      </c>
      <c r="C56" s="29" t="str">
        <f>RawList!B20</f>
        <v>Audible Notification/Queuing</v>
      </c>
      <c r="D56" s="29" t="str">
        <f>RawList!C20</f>
        <v>Adafruit</v>
      </c>
      <c r="E56" s="29" t="str">
        <f>RawList!H20</f>
        <v xml:space="preserve">Stereo Enclosed Speaker Set - 3W 4 Ohm </v>
      </c>
      <c r="F56" s="29" t="str">
        <f>RawList!D20</f>
        <v>1669</v>
      </c>
      <c r="G56" s="101">
        <f>RawList!E20</f>
        <v>0</v>
      </c>
      <c r="H56" s="29" t="str">
        <f>IF(EquipmentTable[[#This Row],[Units]]&gt;0,"Quantity &gt; 0 Items","Quantity = 0 Items")</f>
        <v>Quantity = 0 Items</v>
      </c>
      <c r="I56" s="102">
        <f>RawList!J20</f>
        <v>7.5</v>
      </c>
      <c r="J56" s="14">
        <f>VALUE(EquipmentTable[[#This Row],[Units]]*EquipmentTable[[#This Row],[Unit
 Price]])</f>
        <v>0</v>
      </c>
      <c r="K56" s="29">
        <f>RawList!G20</f>
        <v>0</v>
      </c>
      <c r="L56" s="29"/>
      <c r="M56" s="29">
        <f>RawList!F20</f>
        <v>0</v>
      </c>
    </row>
    <row r="57" spans="2:13" ht="14.45" hidden="1" customHeight="1" x14ac:dyDescent="0.25">
      <c r="B57" s="29" t="str">
        <f>RawList!A21</f>
        <v>Primary Component</v>
      </c>
      <c r="C57" s="29" t="str">
        <f>RawList!B21</f>
        <v>Audible Notification/Queuing</v>
      </c>
      <c r="D57" s="29" t="str">
        <f>RawList!C21</f>
        <v>Adafruit</v>
      </c>
      <c r="E57" s="29" t="str">
        <f>RawList!H21</f>
        <v xml:space="preserve">USB Powered Speakers </v>
      </c>
      <c r="F57" s="29" t="str">
        <f>RawList!D21</f>
        <v>1363</v>
      </c>
      <c r="G57" s="101">
        <f>RawList!E21</f>
        <v>0</v>
      </c>
      <c r="H57" s="29" t="str">
        <f>IF(EquipmentTable[[#This Row],[Units]]&gt;0,"Quantity &gt; 0 Items","Quantity = 0 Items")</f>
        <v>Quantity = 0 Items</v>
      </c>
      <c r="I57" s="102">
        <f>RawList!J21</f>
        <v>9.9499999999999993</v>
      </c>
      <c r="J57" s="14">
        <f>VALUE(EquipmentTable[[#This Row],[Units]]*EquipmentTable[[#This Row],[Unit
 Price]])</f>
        <v>0</v>
      </c>
      <c r="K57" s="29">
        <f>RawList!G21</f>
        <v>0</v>
      </c>
      <c r="L57" s="29"/>
      <c r="M57" s="29">
        <f>RawList!F21</f>
        <v>0</v>
      </c>
    </row>
    <row r="58" spans="2:13" ht="14.45" customHeight="1" x14ac:dyDescent="0.25">
      <c r="B58" s="29" t="str">
        <f>RawList!A22</f>
        <v>Primary Component</v>
      </c>
      <c r="C58" s="29" t="str">
        <f>RawList!B22</f>
        <v>Bluetooth</v>
      </c>
      <c r="D58" s="29" t="str">
        <f>RawList!C22</f>
        <v>SparkFun</v>
      </c>
      <c r="E58" s="29" t="str">
        <f>RawList!H22</f>
        <v>SparkFun XBee Explorer Regulated</v>
      </c>
      <c r="F58" s="29" t="str">
        <f>RawList!D22</f>
        <v>WRL-11373</v>
      </c>
      <c r="G58" s="101">
        <f>RawList!E22</f>
        <v>5</v>
      </c>
      <c r="H58" s="29" t="str">
        <f>IF(EquipmentTable[[#This Row],[Units]]&gt;0,"Quantity &gt; 0 Items","Quantity = 0 Items")</f>
        <v>Quantity &gt; 0 Items</v>
      </c>
      <c r="I58" s="102">
        <f>RawList!J22</f>
        <v>9.9499999999999993</v>
      </c>
      <c r="J58" s="14">
        <f>VALUE(EquipmentTable[[#This Row],[Units]]*EquipmentTable[[#This Row],[Unit
 Price]])</f>
        <v>49.75</v>
      </c>
      <c r="K58" s="29" t="str">
        <f>RawList!G22</f>
        <v>https://cdn.sparkfun.com/r/92-92/assets/parts/7/1/1/5/11373-01.jpg</v>
      </c>
      <c r="L58" s="29"/>
      <c r="M58" s="29" t="str">
        <f>RawList!F22</f>
        <v>https://www.sparkfun.com/products/11373</v>
      </c>
    </row>
    <row r="59" spans="2:13" ht="14.45" customHeight="1" x14ac:dyDescent="0.25">
      <c r="B59" s="29" t="str">
        <f>RawList!A23</f>
        <v>Primary Component</v>
      </c>
      <c r="C59" s="29" t="str">
        <f>RawList!B23</f>
        <v>Bluetooth</v>
      </c>
      <c r="D59" s="29" t="str">
        <f>RawList!C23</f>
        <v>SparkFun</v>
      </c>
      <c r="E59" s="29" t="str">
        <f>RawList!H23</f>
        <v>SparkFun XBee Explorer Dongle</v>
      </c>
      <c r="F59" s="29" t="str">
        <f>RawList!D23</f>
        <v>WRL-11697</v>
      </c>
      <c r="G59" s="101">
        <f>RawList!E23</f>
        <v>5</v>
      </c>
      <c r="H59" s="29" t="str">
        <f>IF(EquipmentTable[[#This Row],[Units]]&gt;0,"Quantity &gt; 0 Items","Quantity = 0 Items")</f>
        <v>Quantity &gt; 0 Items</v>
      </c>
      <c r="I59" s="102">
        <f>RawList!J23</f>
        <v>24.95</v>
      </c>
      <c r="J59" s="14">
        <f>VALUE(EquipmentTable[[#This Row],[Units]]*EquipmentTable[[#This Row],[Unit
 Price]])</f>
        <v>124.75</v>
      </c>
      <c r="K59" s="29" t="str">
        <f>RawList!G23</f>
        <v>https://cdn.sparkfun.com/r/92-92/assets/parts/7/8/6/5/11697-01b.jpg</v>
      </c>
      <c r="L59" s="29"/>
      <c r="M59" s="29" t="str">
        <f>RawList!F23</f>
        <v>https://www.sparkfun.com/products/11697</v>
      </c>
    </row>
    <row r="60" spans="2:13" ht="14.45" customHeight="1" x14ac:dyDescent="0.25">
      <c r="B60" s="29" t="str">
        <f>RawList!A24</f>
        <v>Primary Component</v>
      </c>
      <c r="C60" s="29" t="str">
        <f>RawList!B24</f>
        <v>Bluetooth</v>
      </c>
      <c r="D60" s="29" t="str">
        <f>RawList!C24</f>
        <v>SparkFun</v>
      </c>
      <c r="E60" s="29" t="str">
        <f>RawList!H24</f>
        <v>Bluetooth USB Module Mini</v>
      </c>
      <c r="F60" s="29" t="str">
        <f>RawList!D24</f>
        <v>WRL-09434</v>
      </c>
      <c r="G60" s="101">
        <f>RawList!E24</f>
        <v>5</v>
      </c>
      <c r="H60" s="29" t="str">
        <f>IF(EquipmentTable[[#This Row],[Units]]&gt;0,"Quantity &gt; 0 Items","Quantity = 0 Items")</f>
        <v>Quantity &gt; 0 Items</v>
      </c>
      <c r="I60" s="102">
        <f>RawList!J24</f>
        <v>10.95</v>
      </c>
      <c r="J60" s="14">
        <f>VALUE(EquipmentTable[[#This Row],[Units]]*EquipmentTable[[#This Row],[Unit
 Price]])</f>
        <v>54.75</v>
      </c>
      <c r="K60" s="29" t="str">
        <f>RawList!G24</f>
        <v>https://cdn.sparkfun.com/r/92-92/assets/parts/3/1/0/7/09434-03.jpg</v>
      </c>
      <c r="L60" s="29"/>
      <c r="M60" s="29" t="str">
        <f>RawList!F24</f>
        <v>https://www.sparkfun.com/products/9434</v>
      </c>
    </row>
    <row r="61" spans="2:13" ht="14.45" customHeight="1" x14ac:dyDescent="0.25">
      <c r="B61" s="29" t="str">
        <f>RawList!A25</f>
        <v>Primary Component</v>
      </c>
      <c r="C61" s="29" t="str">
        <f>RawList!B25</f>
        <v>Bluetooth</v>
      </c>
      <c r="D61" s="29" t="str">
        <f>RawList!C25</f>
        <v>SparkFun</v>
      </c>
      <c r="E61" s="29" t="str">
        <f>RawList!H25</f>
        <v>RN42-XV Bluetooth Module - PCB Antenna</v>
      </c>
      <c r="F61" s="29" t="str">
        <f>RawList!D25</f>
        <v>WRL-11601</v>
      </c>
      <c r="G61" s="101">
        <f>RawList!E25</f>
        <v>10</v>
      </c>
      <c r="H61" s="29" t="str">
        <f>IF(EquipmentTable[[#This Row],[Units]]&gt;0,"Quantity &gt; 0 Items","Quantity = 0 Items")</f>
        <v>Quantity &gt; 0 Items</v>
      </c>
      <c r="I61" s="102">
        <f>RawList!J25</f>
        <v>24.95</v>
      </c>
      <c r="J61" s="14">
        <f>VALUE(EquipmentTable[[#This Row],[Units]]*EquipmentTable[[#This Row],[Unit
 Price]])</f>
        <v>249.5</v>
      </c>
      <c r="K61" s="29" t="str">
        <f>RawList!G25</f>
        <v>https://cdn.sparkfun.com/r/92-92/assets/parts/7/6/1/7/11601-01.jpg</v>
      </c>
      <c r="L61" s="29"/>
      <c r="M61" s="29" t="str">
        <f>RawList!F25</f>
        <v>https://www.sparkfun.com/products/11601</v>
      </c>
    </row>
    <row r="62" spans="2:13" x14ac:dyDescent="0.25">
      <c r="B62" s="29" t="str">
        <f>RawList!A26</f>
        <v>Primary Component</v>
      </c>
      <c r="C62" s="29" t="str">
        <f>RawList!B26</f>
        <v>Data &amp; Signal Logging/Monitoring</v>
      </c>
      <c r="D62" s="29" t="str">
        <f>RawList!C26</f>
        <v>SparkFun</v>
      </c>
      <c r="E62" s="29" t="str">
        <f>RawList!H26</f>
        <v>SparkFun Logomatic v2 - Serial SD Datalogger (FAT32)</v>
      </c>
      <c r="F62" s="29" t="str">
        <f>RawList!D26</f>
        <v>WIG-12772</v>
      </c>
      <c r="G62" s="101">
        <f>RawList!E26</f>
        <v>1</v>
      </c>
      <c r="H62" s="29" t="str">
        <f>IF(EquipmentTable[[#This Row],[Units]]&gt;0,"Quantity &gt; 0 Items","Quantity = 0 Items")</f>
        <v>Quantity &gt; 0 Items</v>
      </c>
      <c r="I62" s="102">
        <f>RawList!J26</f>
        <v>54.95</v>
      </c>
      <c r="J62" s="14">
        <f>VALUE(EquipmentTable[[#This Row],[Units]]*EquipmentTable[[#This Row],[Unit
 Price]])</f>
        <v>54.95</v>
      </c>
      <c r="K62" s="29" t="str">
        <f>RawList!G26</f>
        <v>https://cdn.sparkfun.com/r/92-92/assets/parts/9/5/4/5/12772-01.jpg</v>
      </c>
      <c r="L62" s="29"/>
      <c r="M62" s="29" t="str">
        <f>RawList!F26</f>
        <v>https://www.sparkfun.com/products/12772</v>
      </c>
    </row>
    <row r="63" spans="2:13" x14ac:dyDescent="0.25">
      <c r="B63" s="29" t="str">
        <f>RawList!A27</f>
        <v>Primary Component</v>
      </c>
      <c r="C63" s="29" t="str">
        <f>RawList!B27</f>
        <v>Data &amp; Signal Logging/Monitoring</v>
      </c>
      <c r="D63" s="29" t="str">
        <f>RawList!C27</f>
        <v>SparkFun</v>
      </c>
      <c r="E63" s="29" t="str">
        <f>RawList!H27</f>
        <v>SparkFun OpenLog</v>
      </c>
      <c r="F63" s="29" t="str">
        <f>RawList!D27</f>
        <v>DEV-13712</v>
      </c>
      <c r="G63" s="101">
        <f>RawList!E27</f>
        <v>1</v>
      </c>
      <c r="H63" s="29" t="str">
        <f>IF(EquipmentTable[[#This Row],[Units]]&gt;0,"Quantity &gt; 0 Items","Quantity = 0 Items")</f>
        <v>Quantity &gt; 0 Items</v>
      </c>
      <c r="I63" s="102">
        <f>RawList!J27</f>
        <v>14.95</v>
      </c>
      <c r="J63" s="14">
        <f>VALUE(EquipmentTable[[#This Row],[Units]]*EquipmentTable[[#This Row],[Unit
 Price]])</f>
        <v>14.95</v>
      </c>
      <c r="K63" s="29" t="str">
        <f>RawList!G27</f>
        <v>https://cdn.sparkfun.com/r/92-92/assets/parts/1/1/2/0/2/13712-01a.jpg</v>
      </c>
      <c r="L63" s="29"/>
      <c r="M63" s="29" t="str">
        <f>RawList!F27</f>
        <v>https://www.sparkfun.com/products/13712</v>
      </c>
    </row>
    <row r="64" spans="2:13" x14ac:dyDescent="0.25">
      <c r="B64" s="29" t="str">
        <f>RawList!A28</f>
        <v>Primary Component</v>
      </c>
      <c r="C64" s="29" t="str">
        <f>RawList!B28</f>
        <v>Data &amp; Signal Logging/Monitoring</v>
      </c>
      <c r="D64" s="29" t="str">
        <f>RawList!C28</f>
        <v>SparkFun</v>
      </c>
      <c r="E64" s="29" t="str">
        <f>RawList!H28</f>
        <v>SparkFun microSD Shield</v>
      </c>
      <c r="F64" s="29" t="str">
        <f>RawList!D28</f>
        <v>DEV-12761</v>
      </c>
      <c r="G64" s="101">
        <f>RawList!E28</f>
        <v>1</v>
      </c>
      <c r="H64" s="29" t="str">
        <f>IF(EquipmentTable[[#This Row],[Units]]&gt;0,"Quantity &gt; 0 Items","Quantity = 0 Items")</f>
        <v>Quantity &gt; 0 Items</v>
      </c>
      <c r="I64" s="102">
        <f>RawList!J28</f>
        <v>14.95</v>
      </c>
      <c r="J64" s="14">
        <f>VALUE(EquipmentTable[[#This Row],[Units]]*EquipmentTable[[#This Row],[Unit
 Price]])</f>
        <v>14.95</v>
      </c>
      <c r="K64" s="29" t="str">
        <f>RawList!G28</f>
        <v>https://cdn.sparkfun.com/r/92-92/assets/parts/9/5/2/8/12761-05.jpg</v>
      </c>
      <c r="L64" s="29"/>
      <c r="M64" s="29" t="str">
        <f>RawList!F28</f>
        <v>https://www.sparkfun.com/products/12761</v>
      </c>
    </row>
    <row r="65" spans="2:13" x14ac:dyDescent="0.25">
      <c r="B65" s="29" t="str">
        <f>RawList!A29</f>
        <v>Primary Component</v>
      </c>
      <c r="C65" s="29" t="str">
        <f>RawList!B29</f>
        <v>Data &amp; Signal Logging/Monitoring</v>
      </c>
      <c r="D65" s="29" t="str">
        <f>RawList!C29</f>
        <v>SparkFun</v>
      </c>
      <c r="E65" s="29" t="str">
        <f>RawList!H29</f>
        <v>SparkFun microSD Sniffer</v>
      </c>
      <c r="F65" s="29" t="str">
        <f>RawList!D29</f>
        <v>TOL-09419</v>
      </c>
      <c r="G65" s="101">
        <f>RawList!E29</f>
        <v>1</v>
      </c>
      <c r="H65" s="29" t="str">
        <f>IF(EquipmentTable[[#This Row],[Units]]&gt;0,"Quantity &gt; 0 Items","Quantity = 0 Items")</f>
        <v>Quantity &gt; 0 Items</v>
      </c>
      <c r="I65" s="102">
        <f>RawList!J29</f>
        <v>9.9499999999999993</v>
      </c>
      <c r="J65" s="14">
        <f>VALUE(EquipmentTable[[#This Row],[Units]]*EquipmentTable[[#This Row],[Unit
 Price]])</f>
        <v>9.9499999999999993</v>
      </c>
      <c r="K65" s="29" t="str">
        <f>RawList!G29</f>
        <v>https://cdn.sparkfun.com/r/92-92/assets/parts/3/0/5/9/09419-01a.jpg</v>
      </c>
      <c r="L65" s="29"/>
      <c r="M65" s="29" t="str">
        <f>RawList!F29</f>
        <v>https://www.sparkfun.com/products/9419</v>
      </c>
    </row>
    <row r="66" spans="2:13" x14ac:dyDescent="0.25">
      <c r="B66" s="29" t="str">
        <f>RawList!A30</f>
        <v>Primary Component</v>
      </c>
      <c r="C66" s="29" t="str">
        <f>RawList!B30</f>
        <v>Data &amp; Signal Logging/Monitoring</v>
      </c>
      <c r="D66" s="29" t="str">
        <f>RawList!C30</f>
        <v>SparkFun</v>
      </c>
      <c r="E66" s="29" t="str">
        <f>RawList!H30</f>
        <v>SparkFun SD/MMC Card Breakout</v>
      </c>
      <c r="F66" s="29" t="str">
        <f>RawList!D30</f>
        <v>BOB-12941</v>
      </c>
      <c r="G66" s="101">
        <f>RawList!E30</f>
        <v>0</v>
      </c>
      <c r="H66" s="29" t="str">
        <f>IF(EquipmentTable[[#This Row],[Units]]&gt;0,"Quantity &gt; 0 Items","Quantity = 0 Items")</f>
        <v>Quantity = 0 Items</v>
      </c>
      <c r="I66" s="102">
        <f>RawList!J30</f>
        <v>9.9499999999999993</v>
      </c>
      <c r="J66" s="14">
        <f>VALUE(EquipmentTable[[#This Row],[Units]]*EquipmentTable[[#This Row],[Unit
 Price]])</f>
        <v>0</v>
      </c>
      <c r="K66" s="29" t="str">
        <f>RawList!G30</f>
        <v>https://cdn.sparkfun.com/r/92-92/assets/parts/9/8/7/2/12941-01.jpg</v>
      </c>
      <c r="L66" s="29"/>
      <c r="M66" s="29" t="str">
        <f>RawList!F30</f>
        <v>https://www.sparkfun.com/products/12941</v>
      </c>
    </row>
    <row r="67" spans="2:13" x14ac:dyDescent="0.25">
      <c r="B67" s="29" t="str">
        <f>RawList!A31</f>
        <v>Primary Component</v>
      </c>
      <c r="C67" s="29" t="str">
        <f>RawList!B31</f>
        <v>Data &amp; Signal Logging/Monitoring</v>
      </c>
      <c r="D67" s="29" t="str">
        <f>RawList!C31</f>
        <v>SparkFun</v>
      </c>
      <c r="E67" s="29" t="str">
        <f>RawList!H31</f>
        <v>SparkFun Level Shifting microSD Breakout</v>
      </c>
      <c r="F67" s="29" t="str">
        <f>RawList!D31</f>
        <v>DEV-13743</v>
      </c>
      <c r="G67" s="101">
        <f>RawList!E31</f>
        <v>5</v>
      </c>
      <c r="H67" s="29" t="str">
        <f>IF(EquipmentTable[[#This Row],[Units]]&gt;0,"Quantity &gt; 0 Items","Quantity = 0 Items")</f>
        <v>Quantity &gt; 0 Items</v>
      </c>
      <c r="I67" s="102">
        <f>RawList!J31</f>
        <v>4.95</v>
      </c>
      <c r="J67" s="14">
        <f>VALUE(EquipmentTable[[#This Row],[Units]]*EquipmentTable[[#This Row],[Unit
 Price]])</f>
        <v>24.75</v>
      </c>
      <c r="K67" s="29" t="str">
        <f>RawList!G31</f>
        <v>https://cdn.sparkfun.com/r/92-92/assets/parts/1/1/2/6/7/13743-01.jpg</v>
      </c>
      <c r="L67" s="29"/>
      <c r="M67" s="29" t="str">
        <f>RawList!F31</f>
        <v>https://www.sparkfun.com/products/13743</v>
      </c>
    </row>
    <row r="68" spans="2:13" x14ac:dyDescent="0.25">
      <c r="B68" s="29" t="str">
        <f>RawList!A32</f>
        <v>Primary Component</v>
      </c>
      <c r="C68" s="29" t="str">
        <f>RawList!B32</f>
        <v>Data &amp; Signal Logging/Monitoring</v>
      </c>
      <c r="D68" s="29" t="str">
        <f>RawList!C32</f>
        <v>SparkFun</v>
      </c>
      <c r="E68" s="29" t="str">
        <f>RawList!H32</f>
        <v>microSD Card with Adapter - 16GB (Class 10)</v>
      </c>
      <c r="F68" s="29" t="str">
        <f>RawList!D32</f>
        <v>COM-13833</v>
      </c>
      <c r="G68" s="101">
        <f>RawList!E32</f>
        <v>6</v>
      </c>
      <c r="H68" s="29" t="str">
        <f>IF(EquipmentTable[[#This Row],[Units]]&gt;0,"Quantity &gt; 0 Items","Quantity = 0 Items")</f>
        <v>Quantity &gt; 0 Items</v>
      </c>
      <c r="I68" s="102">
        <f>RawList!J32</f>
        <v>19.95</v>
      </c>
      <c r="J68" s="14">
        <f>VALUE(EquipmentTable[[#This Row],[Units]]*EquipmentTable[[#This Row],[Unit
 Price]])</f>
        <v>119.69999999999999</v>
      </c>
      <c r="K68" s="29" t="str">
        <f>RawList!G32</f>
        <v>https://cdn.sparkfun.com/r/92-92/assets/parts/1/1/4/3/0/13833-02.jpg</v>
      </c>
      <c r="L68" s="29"/>
      <c r="M68" s="29" t="str">
        <f>RawList!F32</f>
        <v>https://www.sparkfun.com/products/13833</v>
      </c>
    </row>
    <row r="69" spans="2:13" x14ac:dyDescent="0.25">
      <c r="B69" s="29" t="str">
        <f>RawList!A33</f>
        <v>Primary Component</v>
      </c>
      <c r="C69" s="29" t="str">
        <f>RawList!B33</f>
        <v>Data &amp; Signal Logging/Monitoring</v>
      </c>
      <c r="D69" s="29" t="str">
        <f>RawList!C33</f>
        <v>Adafruit</v>
      </c>
      <c r="E69" s="29" t="str">
        <f>RawList!H33</f>
        <v xml:space="preserve">4GB Blank SD/MicroSD Memory Card </v>
      </c>
      <c r="F69" s="29" t="str">
        <f>RawList!D33</f>
        <v>102</v>
      </c>
      <c r="G69" s="101">
        <f>RawList!E33</f>
        <v>2</v>
      </c>
      <c r="H69" s="29" t="str">
        <f>IF(EquipmentTable[[#This Row],[Units]]&gt;0,"Quantity &gt; 0 Items","Quantity = 0 Items")</f>
        <v>Quantity &gt; 0 Items</v>
      </c>
      <c r="I69" s="102">
        <f>RawList!J33</f>
        <v>7.95</v>
      </c>
      <c r="J69" s="14">
        <f>VALUE(EquipmentTable[[#This Row],[Units]]*EquipmentTable[[#This Row],[Unit
 Price]])</f>
        <v>15.9</v>
      </c>
      <c r="K69" s="29">
        <f>RawList!G33</f>
        <v>0</v>
      </c>
      <c r="L69" s="29"/>
      <c r="M69" s="29">
        <f>RawList!F33</f>
        <v>0</v>
      </c>
    </row>
    <row r="70" spans="2:13" x14ac:dyDescent="0.25">
      <c r="B70" s="29" t="str">
        <f>RawList!A34</f>
        <v>Primary Component</v>
      </c>
      <c r="C70" s="29" t="str">
        <f>RawList!B34</f>
        <v>Data &amp; Signal Logging/Monitoring</v>
      </c>
      <c r="D70" s="29" t="str">
        <f>RawList!C34</f>
        <v>Adafruit</v>
      </c>
      <c r="E70" s="29" t="str">
        <f>RawList!H34</f>
        <v>Pogo Pin Probe Clip</v>
      </c>
      <c r="F70" s="29" t="str">
        <f>RawList!D34</f>
        <v>1969</v>
      </c>
      <c r="G70" s="101">
        <f>RawList!E34</f>
        <v>1</v>
      </c>
      <c r="H70" s="29" t="str">
        <f>IF(EquipmentTable[[#This Row],[Units]]&gt;0,"Quantity &gt; 0 Items","Quantity = 0 Items")</f>
        <v>Quantity &gt; 0 Items</v>
      </c>
      <c r="I70" s="102">
        <f>RawList!J34</f>
        <v>2.95</v>
      </c>
      <c r="J70" s="14">
        <f>VALUE(EquipmentTable[[#This Row],[Units]]*EquipmentTable[[#This Row],[Unit
 Price]])</f>
        <v>2.95</v>
      </c>
      <c r="K70" s="29">
        <f>RawList!G34</f>
        <v>0</v>
      </c>
      <c r="L70" s="29"/>
      <c r="M70" s="29">
        <f>RawList!F34</f>
        <v>0</v>
      </c>
    </row>
    <row r="71" spans="2:13" x14ac:dyDescent="0.25">
      <c r="B71" s="29" t="str">
        <f>RawList!A35</f>
        <v>Primary Component</v>
      </c>
      <c r="C71" s="29" t="str">
        <f>RawList!B35</f>
        <v>Data &amp; Signal Logging/Monitoring</v>
      </c>
      <c r="D71" s="29" t="str">
        <f>RawList!C35</f>
        <v>Adafruit</v>
      </c>
      <c r="E71" s="29" t="str">
        <f>RawList!H35</f>
        <v xml:space="preserve">SD/MicroSD Memory Card - 16GB Class 10 - Adapter Included </v>
      </c>
      <c r="F71" s="29" t="str">
        <f>RawList!D35</f>
        <v>2693</v>
      </c>
      <c r="G71" s="101">
        <f>RawList!E35</f>
        <v>0</v>
      </c>
      <c r="H71" s="29" t="str">
        <f>IF(EquipmentTable[[#This Row],[Units]]&gt;0,"Quantity &gt; 0 Items","Quantity = 0 Items")</f>
        <v>Quantity = 0 Items</v>
      </c>
      <c r="I71" s="102">
        <f>RawList!J35</f>
        <v>19.95</v>
      </c>
      <c r="J71" s="14">
        <f>VALUE(EquipmentTable[[#This Row],[Units]]*EquipmentTable[[#This Row],[Unit
 Price]])</f>
        <v>0</v>
      </c>
      <c r="K71" s="29">
        <f>RawList!G35</f>
        <v>0</v>
      </c>
      <c r="L71" s="29"/>
      <c r="M71" s="29">
        <f>RawList!F35</f>
        <v>0</v>
      </c>
    </row>
    <row r="72" spans="2:13" x14ac:dyDescent="0.25">
      <c r="B72" s="29" t="str">
        <f>RawList!A36</f>
        <v>Primary Component</v>
      </c>
      <c r="C72" s="29" t="str">
        <f>RawList!B36</f>
        <v>Data &amp; Signal Logging/Monitoring</v>
      </c>
      <c r="D72" s="29" t="str">
        <f>RawList!C36</f>
        <v>Adafruit</v>
      </c>
      <c r="E72" s="29" t="str">
        <f>RawList!H36</f>
        <v xml:space="preserve">SD/MicroSD Memory Card (8 GB SDHC) </v>
      </c>
      <c r="F72" s="29" t="str">
        <f>RawList!D36</f>
        <v>1294</v>
      </c>
      <c r="G72" s="101">
        <f>RawList!E36</f>
        <v>0</v>
      </c>
      <c r="H72" s="29" t="str">
        <f>IF(EquipmentTable[[#This Row],[Units]]&gt;0,"Quantity &gt; 0 Items","Quantity = 0 Items")</f>
        <v>Quantity = 0 Items</v>
      </c>
      <c r="I72" s="102">
        <f>RawList!J36</f>
        <v>9.9499999999999993</v>
      </c>
      <c r="J72" s="14">
        <f>VALUE(EquipmentTable[[#This Row],[Units]]*EquipmentTable[[#This Row],[Unit
 Price]])</f>
        <v>0</v>
      </c>
      <c r="K72" s="29">
        <f>RawList!G36</f>
        <v>0</v>
      </c>
      <c r="L72" s="29"/>
      <c r="M72" s="29">
        <f>RawList!F36</f>
        <v>0</v>
      </c>
    </row>
    <row r="73" spans="2:13" x14ac:dyDescent="0.25">
      <c r="B73" s="29" t="str">
        <f>RawList!A37</f>
        <v>Primary Component</v>
      </c>
      <c r="C73" s="29" t="str">
        <f>RawList!B37</f>
        <v>Data &amp; Signal Logging/Monitoring</v>
      </c>
      <c r="D73" s="29" t="str">
        <f>RawList!C37</f>
        <v>SparkFun</v>
      </c>
      <c r="E73" s="29" t="str">
        <f>RawList!H37</f>
        <v>XMEGA Xprotolab</v>
      </c>
      <c r="F73" s="29" t="str">
        <f>RawList!D37</f>
        <v>DEV-11643</v>
      </c>
      <c r="G73" s="101">
        <f>RawList!E37</f>
        <v>0</v>
      </c>
      <c r="H73" s="29" t="str">
        <f>IF(EquipmentTable[[#This Row],[Units]]&gt;0,"Quantity &gt; 0 Items","Quantity = 0 Items")</f>
        <v>Quantity = 0 Items</v>
      </c>
      <c r="I73" s="102">
        <f>RawList!J37</f>
        <v>54.95</v>
      </c>
      <c r="J73" s="14">
        <f>VALUE(EquipmentTable[[#This Row],[Units]]*EquipmentTable[[#This Row],[Unit
 Price]])</f>
        <v>0</v>
      </c>
      <c r="K73" s="29" t="str">
        <f>RawList!G37</f>
        <v>https://cdn.sparkfun.com/r/92-92/assets/parts/7/7/1/7/11643-01.jpg</v>
      </c>
      <c r="L73" s="29"/>
      <c r="M73" s="29" t="str">
        <f>RawList!F37</f>
        <v>https://www.sparkfun.com/products/11643</v>
      </c>
    </row>
    <row r="74" spans="2:13" x14ac:dyDescent="0.25">
      <c r="B74" s="29" t="str">
        <f>RawList!A38</f>
        <v>Primary Component</v>
      </c>
      <c r="C74" s="29" t="str">
        <f>RawList!B38</f>
        <v>Data &amp; Signal Logging/Monitoring</v>
      </c>
      <c r="D74" s="29" t="str">
        <f>RawList!C38</f>
        <v>SparkFun</v>
      </c>
      <c r="E74" s="29" t="str">
        <f>RawList!H38</f>
        <v>microSD USB Reader</v>
      </c>
      <c r="F74" s="29" t="str">
        <f>RawList!D38</f>
        <v>COM-13004</v>
      </c>
      <c r="G74" s="101">
        <f>RawList!E38</f>
        <v>5</v>
      </c>
      <c r="H74" s="29" t="str">
        <f>IF(EquipmentTable[[#This Row],[Units]]&gt;0,"Quantity &gt; 0 Items","Quantity = 0 Items")</f>
        <v>Quantity &gt; 0 Items</v>
      </c>
      <c r="I74" s="102">
        <f>RawList!J38</f>
        <v>4.95</v>
      </c>
      <c r="J74" s="14">
        <f>VALUE(EquipmentTable[[#This Row],[Units]]*EquipmentTable[[#This Row],[Unit
 Price]])</f>
        <v>24.75</v>
      </c>
      <c r="K74" s="29" t="str">
        <f>RawList!G38</f>
        <v>https://cdn.sparkfun.com/r/92-92/assets/parts/9/9/5/8/13004-01.jpg</v>
      </c>
      <c r="L74" s="29"/>
      <c r="M74" s="29" t="str">
        <f>RawList!F38</f>
        <v>https://www.sparkfun.com/products/13004</v>
      </c>
    </row>
    <row r="75" spans="2:13" x14ac:dyDescent="0.25">
      <c r="B75" s="29" t="str">
        <f>RawList!A39</f>
        <v>Primary Component</v>
      </c>
      <c r="C75" s="29" t="str">
        <f>RawList!B39</f>
        <v>Data &amp; Signal Logging/Monitoring</v>
      </c>
      <c r="D75" s="29" t="str">
        <f>RawList!C39</f>
        <v>SparkFun</v>
      </c>
      <c r="E75" s="29" t="str">
        <f>RawList!H39</f>
        <v>SparkFun DeadOn RTC Breakout - DS3234</v>
      </c>
      <c r="F75" s="29" t="str">
        <f>RawList!D39</f>
        <v>BOB-10160</v>
      </c>
      <c r="G75" s="101">
        <f>RawList!E39</f>
        <v>1</v>
      </c>
      <c r="H75" s="29" t="str">
        <f>IF(EquipmentTable[[#This Row],[Units]]&gt;0,"Quantity &gt; 0 Items","Quantity = 0 Items")</f>
        <v>Quantity &gt; 0 Items</v>
      </c>
      <c r="I75" s="102">
        <f>RawList!J39</f>
        <v>19.95</v>
      </c>
      <c r="J75" s="14">
        <f>VALUE(EquipmentTable[[#This Row],[Units]]*EquipmentTable[[#This Row],[Unit
 Price]])</f>
        <v>19.95</v>
      </c>
      <c r="K75" s="29" t="str">
        <f>RawList!G39</f>
        <v>https://cdn.sparkfun.com/r/92-92/assets/parts/4/4/5/5/10160b-01.jpg</v>
      </c>
      <c r="L75" s="29"/>
      <c r="M75" s="29" t="str">
        <f>RawList!F39</f>
        <v>https://www.sparkfun.com/products/10160</v>
      </c>
    </row>
    <row r="76" spans="2:13" x14ac:dyDescent="0.25">
      <c r="B76" s="29" t="str">
        <f>RawList!A40</f>
        <v>Primary Component</v>
      </c>
      <c r="C76" s="29" t="str">
        <f>RawList!B40</f>
        <v>LED Indicators/Lighting</v>
      </c>
      <c r="D76" s="29" t="str">
        <f>RawList!C40</f>
        <v>SparkFun</v>
      </c>
      <c r="E76" s="29" t="str">
        <f>RawList!H40</f>
        <v>LED Light Bar - White (SMD)</v>
      </c>
      <c r="F76" s="29" t="str">
        <f>RawList!D40</f>
        <v>COM-12014</v>
      </c>
      <c r="G76" s="101">
        <f>RawList!E40</f>
        <v>1</v>
      </c>
      <c r="H76" s="29" t="str">
        <f>IF(EquipmentTable[[#This Row],[Units]]&gt;0,"Quantity &gt; 0 Items","Quantity = 0 Items")</f>
        <v>Quantity &gt; 0 Items</v>
      </c>
      <c r="I76" s="102">
        <f>RawList!J40</f>
        <v>3.95</v>
      </c>
      <c r="J76" s="14">
        <f>VALUE(EquipmentTable[[#This Row],[Units]]*EquipmentTable[[#This Row],[Unit
 Price]])</f>
        <v>3.95</v>
      </c>
      <c r="K76" s="29" t="str">
        <f>RawList!G40</f>
        <v>https://cdn.sparkfun.com/r/92-92/assets/parts/8/5/3/5/12014-01.jpg</v>
      </c>
      <c r="L76" s="29"/>
      <c r="M76" s="29" t="str">
        <f>RawList!F40</f>
        <v>https://www.sparkfun.com/products/12014</v>
      </c>
    </row>
    <row r="77" spans="2:13" x14ac:dyDescent="0.25">
      <c r="B77" s="29" t="str">
        <f>RawList!A41</f>
        <v>Primary Component</v>
      </c>
      <c r="C77" s="29" t="str">
        <f>RawList!B41</f>
        <v>LED Indicators/Lighting</v>
      </c>
      <c r="D77" s="29" t="str">
        <f>RawList!C41</f>
        <v>SparkFun</v>
      </c>
      <c r="E77" s="29" t="str">
        <f>RawList!H41</f>
        <v>7-Segment Display - 20mm (Blue)</v>
      </c>
      <c r="F77" s="29" t="str">
        <f>RawList!D41</f>
        <v>COM-11408</v>
      </c>
      <c r="G77" s="101">
        <f>RawList!E41</f>
        <v>1</v>
      </c>
      <c r="H77" s="29" t="str">
        <f>IF(EquipmentTable[[#This Row],[Units]]&gt;0,"Quantity &gt; 0 Items","Quantity = 0 Items")</f>
        <v>Quantity &gt; 0 Items</v>
      </c>
      <c r="I77" s="102">
        <f>RawList!J41</f>
        <v>2.95</v>
      </c>
      <c r="J77" s="14">
        <f>VALUE(EquipmentTable[[#This Row],[Units]]*EquipmentTable[[#This Row],[Unit
 Price]])</f>
        <v>2.95</v>
      </c>
      <c r="K77" s="29" t="str">
        <f>RawList!G41</f>
        <v>https://cdn.sparkfun.com/r/92-92/assets/parts/7/1/9/9/11408-03.jpg</v>
      </c>
      <c r="L77" s="29"/>
      <c r="M77" s="29" t="str">
        <f>RawList!F41</f>
        <v>https://www.sparkfun.com/products/11408</v>
      </c>
    </row>
    <row r="78" spans="2:13" x14ac:dyDescent="0.25">
      <c r="B78" s="29" t="str">
        <f>RawList!A42</f>
        <v>Primary Component</v>
      </c>
      <c r="C78" s="29" t="str">
        <f>RawList!B42</f>
        <v>LED Indicators/Lighting</v>
      </c>
      <c r="D78" s="29" t="str">
        <f>RawList!C42</f>
        <v>SparkFun</v>
      </c>
      <c r="E78" s="29" t="str">
        <f>RawList!H42</f>
        <v>Dual 7-Segment Display - LED (RGB)</v>
      </c>
      <c r="F78" s="29" t="str">
        <f>RawList!D42</f>
        <v>COM-13999</v>
      </c>
      <c r="G78" s="101">
        <f>RawList!E42</f>
        <v>1</v>
      </c>
      <c r="H78" s="29" t="str">
        <f>IF(EquipmentTable[[#This Row],[Units]]&gt;0,"Quantity &gt; 0 Items","Quantity = 0 Items")</f>
        <v>Quantity &gt; 0 Items</v>
      </c>
      <c r="I78" s="102">
        <f>RawList!J42</f>
        <v>3.95</v>
      </c>
      <c r="J78" s="14">
        <f>VALUE(EquipmentTable[[#This Row],[Units]]*EquipmentTable[[#This Row],[Unit
 Price]])</f>
        <v>3.95</v>
      </c>
      <c r="K78" s="29" t="str">
        <f>RawList!G42</f>
        <v>https://cdn.sparkfun.com/r/92-92/assets/parts/1/1/7/7/2/13999-01.jpg</v>
      </c>
      <c r="L78" s="29"/>
      <c r="M78" s="29" t="str">
        <f>RawList!F42</f>
        <v>https://www.sparkfun.com/products/13999</v>
      </c>
    </row>
    <row r="79" spans="2:13" x14ac:dyDescent="0.25">
      <c r="B79" s="29" t="str">
        <f>RawList!A43</f>
        <v>Primary Component</v>
      </c>
      <c r="C79" s="29" t="str">
        <f>RawList!B43</f>
        <v>LED Indicators/Lighting</v>
      </c>
      <c r="D79" s="29" t="str">
        <f>RawList!C43</f>
        <v>SparkFun</v>
      </c>
      <c r="E79" s="29" t="str">
        <f>RawList!H43</f>
        <v>10 Segment LED Bar Graph - Green</v>
      </c>
      <c r="F79" s="29" t="str">
        <f>RawList!D43</f>
        <v>COM-09938</v>
      </c>
      <c r="G79" s="101">
        <f>RawList!E43</f>
        <v>10</v>
      </c>
      <c r="H79" s="29" t="str">
        <f>IF(EquipmentTable[[#This Row],[Units]]&gt;0,"Quantity &gt; 0 Items","Quantity = 0 Items")</f>
        <v>Quantity &gt; 0 Items</v>
      </c>
      <c r="I79" s="102">
        <f>RawList!J43</f>
        <v>1.95</v>
      </c>
      <c r="J79" s="14">
        <f>VALUE(EquipmentTable[[#This Row],[Units]]*EquipmentTable[[#This Row],[Unit
 Price]])</f>
        <v>19.5</v>
      </c>
      <c r="K79" s="29" t="str">
        <f>RawList!G43</f>
        <v>https://cdn.sparkfun.com/r/92-92/assets/parts/3/9/3/1/09935-01.jpg</v>
      </c>
      <c r="L79" s="29"/>
      <c r="M79" s="29" t="str">
        <f>RawList!F43</f>
        <v>https://www.sparkfun.com/products/9938</v>
      </c>
    </row>
    <row r="80" spans="2:13" x14ac:dyDescent="0.25">
      <c r="B80" s="29" t="str">
        <f>RawList!A44</f>
        <v>Primary Component</v>
      </c>
      <c r="C80" s="29" t="str">
        <f>RawList!B44</f>
        <v>LED Indicators/Lighting</v>
      </c>
      <c r="D80" s="29" t="str">
        <f>RawList!C44</f>
        <v>SparkFun</v>
      </c>
      <c r="E80" s="29" t="str">
        <f>RawList!H44</f>
        <v>SparkFun RGB LED Breakout - WS2812B</v>
      </c>
      <c r="F80" s="29" t="str">
        <f>RawList!D44</f>
        <v>BOB-13282</v>
      </c>
      <c r="G80" s="101">
        <f>RawList!E44</f>
        <v>2</v>
      </c>
      <c r="H80" s="29" t="str">
        <f>IF(EquipmentTable[[#This Row],[Units]]&gt;0,"Quantity &gt; 0 Items","Quantity = 0 Items")</f>
        <v>Quantity &gt; 0 Items</v>
      </c>
      <c r="I80" s="102">
        <f>RawList!J44</f>
        <v>2.95</v>
      </c>
      <c r="J80" s="14">
        <f>VALUE(EquipmentTable[[#This Row],[Units]]*EquipmentTable[[#This Row],[Unit
 Price]])</f>
        <v>5.9</v>
      </c>
      <c r="K80" s="29" t="str">
        <f>RawList!G44</f>
        <v>https://cdn.sparkfun.com/r/92-92/assets/parts/1/0/5/2/2/13282-03.jpg</v>
      </c>
      <c r="L80" s="29"/>
      <c r="M80" s="29" t="str">
        <f>RawList!F44</f>
        <v>https://www.sparkfun.com/products/13282</v>
      </c>
    </row>
    <row r="81" spans="2:13" x14ac:dyDescent="0.25">
      <c r="B81" s="29" t="str">
        <f>RawList!A45</f>
        <v>Primary Component</v>
      </c>
      <c r="C81" s="29" t="str">
        <f>RawList!B45</f>
        <v>LED Indicators/Lighting</v>
      </c>
      <c r="D81" s="29" t="str">
        <f>RawList!C45</f>
        <v>SparkFun</v>
      </c>
      <c r="E81" s="29" t="str">
        <f>RawList!H45</f>
        <v xml:space="preserve">SparkFun LED Driver Breakout - LP55231 </v>
      </c>
      <c r="F81" s="29" t="str">
        <f>RawList!D45</f>
        <v>BOB-13884</v>
      </c>
      <c r="G81" s="101">
        <f>RawList!E45</f>
        <v>5</v>
      </c>
      <c r="H81" s="29" t="str">
        <f>IF(EquipmentTable[[#This Row],[Units]]&gt;0,"Quantity &gt; 0 Items","Quantity = 0 Items")</f>
        <v>Quantity &gt; 0 Items</v>
      </c>
      <c r="I81" s="102">
        <f>RawList!J45</f>
        <v>7.95</v>
      </c>
      <c r="J81" s="14">
        <f>VALUE(EquipmentTable[[#This Row],[Units]]*EquipmentTable[[#This Row],[Unit
 Price]])</f>
        <v>39.75</v>
      </c>
      <c r="K81" s="29" t="str">
        <f>RawList!G45</f>
        <v>https://cdn.sparkfun.com/r/92-92/assets/parts/1/1/5/2/0/13884-02.jpg</v>
      </c>
      <c r="L81" s="29"/>
      <c r="M81" s="29" t="str">
        <f>RawList!F45</f>
        <v>https://www.sparkfun.com/products/13884</v>
      </c>
    </row>
    <row r="82" spans="2:13" x14ac:dyDescent="0.25">
      <c r="B82" s="29" t="str">
        <f>RawList!A46</f>
        <v>Primary Component</v>
      </c>
      <c r="C82" s="29" t="str">
        <f>RawList!B46</f>
        <v>LED Indicators/Lighting</v>
      </c>
      <c r="D82" s="29" t="str">
        <f>RawList!C46</f>
        <v>SparkFun</v>
      </c>
      <c r="E82" s="29" t="str">
        <f>RawList!H46</f>
        <v>NeoPixel Stick - 8 x WS2812 5050 RGB LED</v>
      </c>
      <c r="F82" s="29" t="str">
        <f>RawList!D46</f>
        <v>COM-12661</v>
      </c>
      <c r="G82" s="101">
        <f>RawList!E46</f>
        <v>1</v>
      </c>
      <c r="H82" s="29" t="str">
        <f>IF(EquipmentTable[[#This Row],[Units]]&gt;0,"Quantity &gt; 0 Items","Quantity = 0 Items")</f>
        <v>Quantity &gt; 0 Items</v>
      </c>
      <c r="I82" s="102">
        <f>RawList!J46</f>
        <v>5.95</v>
      </c>
      <c r="J82" s="14">
        <f>VALUE(EquipmentTable[[#This Row],[Units]]*EquipmentTable[[#This Row],[Unit
 Price]])</f>
        <v>5.95</v>
      </c>
      <c r="K82" s="29" t="str">
        <f>RawList!G46</f>
        <v>https://cdn.sparkfun.com/r/92-92/assets/parts/9/3/7/2/12661-01a.jpg</v>
      </c>
      <c r="L82" s="29"/>
      <c r="M82" s="29" t="str">
        <f>RawList!F46</f>
        <v>https://www.sparkfun.com/products/12661</v>
      </c>
    </row>
    <row r="83" spans="2:13" x14ac:dyDescent="0.25">
      <c r="B83" s="29" t="str">
        <f>RawList!A47</f>
        <v>Primary Component</v>
      </c>
      <c r="C83" s="29" t="str">
        <f>RawList!B47</f>
        <v>LED Indicators/Lighting</v>
      </c>
      <c r="D83" s="29" t="str">
        <f>RawList!C47</f>
        <v>SparkFun</v>
      </c>
      <c r="E83" s="29" t="str">
        <f>RawList!H47</f>
        <v>Luxeon Rebel High Power LED - Warm White</v>
      </c>
      <c r="F83" s="29" t="str">
        <f>RawList!D47</f>
        <v>COM-09637</v>
      </c>
      <c r="G83" s="101">
        <f>RawList!E47</f>
        <v>3</v>
      </c>
      <c r="H83" s="29" t="str">
        <f>IF(EquipmentTable[[#This Row],[Units]]&gt;0,"Quantity &gt; 0 Items","Quantity = 0 Items")</f>
        <v>Quantity &gt; 0 Items</v>
      </c>
      <c r="I83" s="102">
        <f>RawList!J47</f>
        <v>4.95</v>
      </c>
      <c r="J83" s="14">
        <f>VALUE(EquipmentTable[[#This Row],[Units]]*EquipmentTable[[#This Row],[Unit
 Price]])</f>
        <v>14.850000000000001</v>
      </c>
      <c r="K83" s="29" t="str">
        <f>RawList!G47</f>
        <v>https://cdn.sparkfun.com/r/92-92/assets/parts/3/4/8/3/09637-01.jpg</v>
      </c>
      <c r="L83" s="29"/>
      <c r="M83" s="29" t="str">
        <f>RawList!F47</f>
        <v>https://www.sparkfun.com/products/9637</v>
      </c>
    </row>
    <row r="84" spans="2:13" x14ac:dyDescent="0.25">
      <c r="B84" s="29" t="str">
        <f>RawList!A48</f>
        <v>Primary Component</v>
      </c>
      <c r="C84" s="29" t="str">
        <f>RawList!B48</f>
        <v>LED Indicators/Lighting</v>
      </c>
      <c r="D84" s="29" t="str">
        <f>RawList!C48</f>
        <v>Adafruit</v>
      </c>
      <c r="E84" s="29" t="str">
        <f>RawList!H48</f>
        <v xml:space="preserve">White LED Backlight Module - Large 45mm x 86mm </v>
      </c>
      <c r="F84" s="29" t="str">
        <f>RawList!D48</f>
        <v>1621</v>
      </c>
      <c r="G84" s="101">
        <f>RawList!E48</f>
        <v>0</v>
      </c>
      <c r="H84" s="29" t="str">
        <f>IF(EquipmentTable[[#This Row],[Units]]&gt;0,"Quantity &gt; 0 Items","Quantity = 0 Items")</f>
        <v>Quantity = 0 Items</v>
      </c>
      <c r="I84" s="102">
        <f>RawList!J48</f>
        <v>2.95</v>
      </c>
      <c r="J84" s="14">
        <f>VALUE(EquipmentTable[[#This Row],[Units]]*EquipmentTable[[#This Row],[Unit
 Price]])</f>
        <v>0</v>
      </c>
      <c r="K84" s="29">
        <f>RawList!G48</f>
        <v>0</v>
      </c>
      <c r="L84" s="29"/>
      <c r="M84" s="29">
        <f>RawList!F48</f>
        <v>0</v>
      </c>
    </row>
    <row r="85" spans="2:13" x14ac:dyDescent="0.25">
      <c r="B85" s="29" t="str">
        <f>RawList!A49</f>
        <v>Primary Component</v>
      </c>
      <c r="C85" s="29" t="str">
        <f>RawList!B49</f>
        <v>LED Indicators/Lighting</v>
      </c>
      <c r="D85" s="29" t="str">
        <f>RawList!C49</f>
        <v>Adafruit</v>
      </c>
      <c r="E85" s="29" t="str">
        <f>RawList!H49</f>
        <v xml:space="preserve">White LED Backlight Module - Medium 23mm x 75mm </v>
      </c>
      <c r="F85" s="29" t="str">
        <f>RawList!D49</f>
        <v>1622</v>
      </c>
      <c r="G85" s="101">
        <f>RawList!E49</f>
        <v>0</v>
      </c>
      <c r="H85" s="29" t="str">
        <f>IF(EquipmentTable[[#This Row],[Units]]&gt;0,"Quantity &gt; 0 Items","Quantity = 0 Items")</f>
        <v>Quantity = 0 Items</v>
      </c>
      <c r="I85" s="102">
        <f>RawList!J49</f>
        <v>2.5</v>
      </c>
      <c r="J85" s="14">
        <f>VALUE(EquipmentTable[[#This Row],[Units]]*EquipmentTable[[#This Row],[Unit
 Price]])</f>
        <v>0</v>
      </c>
      <c r="K85" s="29">
        <f>RawList!G49</f>
        <v>0</v>
      </c>
      <c r="L85" s="29"/>
      <c r="M85" s="29">
        <f>RawList!F49</f>
        <v>0</v>
      </c>
    </row>
    <row r="86" spans="2:13" x14ac:dyDescent="0.25">
      <c r="B86" s="29" t="str">
        <f>RawList!A50</f>
        <v>Primary Component</v>
      </c>
      <c r="C86" s="29" t="str">
        <f>RawList!B50</f>
        <v>MCU/Development Board</v>
      </c>
      <c r="D86" s="29" t="str">
        <f>RawList!C50</f>
        <v>SparkFun</v>
      </c>
      <c r="E86" s="29" t="str">
        <f>RawList!H50</f>
        <v>Arduino Mega 2560 R3</v>
      </c>
      <c r="F86" s="29" t="str">
        <f>RawList!D50</f>
        <v>DEV-11061</v>
      </c>
      <c r="G86" s="101">
        <f>RawList!E50</f>
        <v>5</v>
      </c>
      <c r="H86" s="29" t="str">
        <f>IF(EquipmentTable[[#This Row],[Units]]&gt;0,"Quantity &gt; 0 Items","Quantity = 0 Items")</f>
        <v>Quantity &gt; 0 Items</v>
      </c>
      <c r="I86" s="102">
        <f>RawList!J50</f>
        <v>45.95</v>
      </c>
      <c r="J86" s="14">
        <f>VALUE(EquipmentTable[[#This Row],[Units]]*EquipmentTable[[#This Row],[Unit
 Price]])</f>
        <v>229.75</v>
      </c>
      <c r="K86" s="29" t="str">
        <f>RawList!G50</f>
        <v>https://cdn.sparkfun.com/r/92-92/assets/parts/6/4/3/3/11061-01c.jpg</v>
      </c>
      <c r="L86" s="29"/>
      <c r="M86" s="29" t="str">
        <f>RawList!F50</f>
        <v>https://www.sparkfun.com/products/11061</v>
      </c>
    </row>
    <row r="87" spans="2:13" x14ac:dyDescent="0.25">
      <c r="B87" s="29" t="str">
        <f>RawList!A51</f>
        <v>Primary Component</v>
      </c>
      <c r="C87" s="29" t="str">
        <f>RawList!B51</f>
        <v>Power Supply, Barrel Jack Wall Wart</v>
      </c>
      <c r="D87" s="29" t="str">
        <f>RawList!C51</f>
        <v>SparkFun</v>
      </c>
      <c r="E87" s="29" t="str">
        <f>RawList!H51</f>
        <v>Wall Adapter Power Supply - 5V DC 2A (Barrel Jack)</v>
      </c>
      <c r="F87" s="29" t="str">
        <f>RawList!D51</f>
        <v>TOL-12889</v>
      </c>
      <c r="G87" s="101">
        <f>RawList!E51</f>
        <v>0</v>
      </c>
      <c r="H87" s="29" t="str">
        <f>IF(EquipmentTable[[#This Row],[Units]]&gt;0,"Quantity &gt; 0 Items","Quantity = 0 Items")</f>
        <v>Quantity = 0 Items</v>
      </c>
      <c r="I87" s="102">
        <f>RawList!J51</f>
        <v>5.95</v>
      </c>
      <c r="J87" s="14">
        <f>VALUE(EquipmentTable[[#This Row],[Units]]*EquipmentTable[[#This Row],[Unit
 Price]])</f>
        <v>0</v>
      </c>
      <c r="K87" s="29" t="str">
        <f>RawList!G51</f>
        <v>https://cdn.sparkfun.com/r/92-92/assets/parts/9/7/8/1/12889-01.jpg</v>
      </c>
      <c r="L87" s="29"/>
      <c r="M87" s="29" t="str">
        <f>RawList!F51</f>
        <v>https://www.sparkfun.com/products/12889</v>
      </c>
    </row>
    <row r="88" spans="2:13" x14ac:dyDescent="0.25">
      <c r="B88" s="29" t="str">
        <f>RawList!A52</f>
        <v>Primary Component</v>
      </c>
      <c r="C88" s="29" t="str">
        <f>RawList!B52</f>
        <v>Power Supply, Barrel Jack Wall Wart</v>
      </c>
      <c r="D88" s="29" t="str">
        <f>RawList!C52</f>
        <v>SparkFun</v>
      </c>
      <c r="E88" s="29" t="str">
        <f>RawList!H52</f>
        <v>Wall Adapter Power Supply - 12VDC 600mA</v>
      </c>
      <c r="F88" s="29" t="str">
        <f>RawList!D52</f>
        <v>TOL-09442</v>
      </c>
      <c r="G88" s="101">
        <f>RawList!E52</f>
        <v>0</v>
      </c>
      <c r="H88" s="29" t="str">
        <f>IF(EquipmentTable[[#This Row],[Units]]&gt;0,"Quantity &gt; 0 Items","Quantity = 0 Items")</f>
        <v>Quantity = 0 Items</v>
      </c>
      <c r="I88" s="102">
        <f>RawList!J52</f>
        <v>5.95</v>
      </c>
      <c r="J88" s="14">
        <f>VALUE(EquipmentTable[[#This Row],[Units]]*EquipmentTable[[#This Row],[Unit
 Price]])</f>
        <v>0</v>
      </c>
      <c r="K88" s="29" t="str">
        <f>RawList!G52</f>
        <v>https://cdn.sparkfun.com/r/92-92/assets/parts/3/1/2/4/09442-01.jpg</v>
      </c>
      <c r="L88" s="29"/>
      <c r="M88" s="29" t="str">
        <f>RawList!F52</f>
        <v>https://www.sparkfun.com/products/9442</v>
      </c>
    </row>
    <row r="89" spans="2:13" x14ac:dyDescent="0.25">
      <c r="B89" s="29" t="str">
        <f>RawList!A53</f>
        <v>Primary Component</v>
      </c>
      <c r="C89" s="29" t="str">
        <f>RawList!B53</f>
        <v>Power Supply, Barrel Jack Wall Wart</v>
      </c>
      <c r="D89" s="29" t="str">
        <f>RawList!C53</f>
        <v>Adafruit</v>
      </c>
      <c r="E89" s="29" t="str">
        <f>RawList!H53</f>
        <v>5V 2A (2000mA) switching power supply - UL Listed</v>
      </c>
      <c r="F89" s="29" t="str">
        <f>RawList!D53</f>
        <v>276</v>
      </c>
      <c r="G89" s="101">
        <f>RawList!E53</f>
        <v>0</v>
      </c>
      <c r="H89" s="29" t="str">
        <f>IF(EquipmentTable[[#This Row],[Units]]&gt;0,"Quantity &gt; 0 Items","Quantity = 0 Items")</f>
        <v>Quantity = 0 Items</v>
      </c>
      <c r="I89" s="102">
        <f>RawList!J53</f>
        <v>7.95</v>
      </c>
      <c r="J89" s="14">
        <f>VALUE(EquipmentTable[[#This Row],[Units]]*EquipmentTable[[#This Row],[Unit
 Price]])</f>
        <v>0</v>
      </c>
      <c r="K89" s="29">
        <f>RawList!G53</f>
        <v>0</v>
      </c>
      <c r="L89" s="29"/>
      <c r="M89" s="29">
        <f>RawList!F53</f>
        <v>0</v>
      </c>
    </row>
    <row r="90" spans="2:13" x14ac:dyDescent="0.25">
      <c r="B90" s="29" t="str">
        <f>RawList!A54</f>
        <v>Primary Component</v>
      </c>
      <c r="C90" s="29" t="str">
        <f>RawList!B54</f>
        <v>Power Supply, Barrel Jack Wall Wart</v>
      </c>
      <c r="D90" s="29" t="str">
        <f>RawList!C54</f>
        <v>Adafruit</v>
      </c>
      <c r="E90" s="29" t="str">
        <f>RawList!H54</f>
        <v>Compact Switching Power Supply - Selectable Output 3-12VDC</v>
      </c>
      <c r="F90" s="29" t="str">
        <f>RawList!D54</f>
        <v>1448</v>
      </c>
      <c r="G90" s="101">
        <f>RawList!E54</f>
        <v>0</v>
      </c>
      <c r="H90" s="29" t="str">
        <f>IF(EquipmentTable[[#This Row],[Units]]&gt;0,"Quantity &gt; 0 Items","Quantity = 0 Items")</f>
        <v>Quantity = 0 Items</v>
      </c>
      <c r="I90" s="102">
        <f>RawList!J54</f>
        <v>14.95</v>
      </c>
      <c r="J90" s="14">
        <f>VALUE(EquipmentTable[[#This Row],[Units]]*EquipmentTable[[#This Row],[Unit
 Price]])</f>
        <v>0</v>
      </c>
      <c r="K90" s="29">
        <f>RawList!G54</f>
        <v>0</v>
      </c>
      <c r="L90" s="29"/>
      <c r="M90" s="29">
        <f>RawList!F54</f>
        <v>0</v>
      </c>
    </row>
    <row r="91" spans="2:13" x14ac:dyDescent="0.25">
      <c r="B91" s="29" t="str">
        <f>RawList!A55</f>
        <v>Primary Component</v>
      </c>
      <c r="C91" s="29" t="str">
        <f>RawList!B55</f>
        <v>Power Supply, Barrel Jack Cables/Adapters</v>
      </c>
      <c r="D91" s="29" t="str">
        <f>RawList!C55</f>
        <v>SparkFun</v>
      </c>
      <c r="E91" s="29" t="str">
        <f>RawList!H55</f>
        <v>Barrel Jack Extension Cable - M-F (6 ft)</v>
      </c>
      <c r="F91" s="29" t="str">
        <f>RawList!D55</f>
        <v>COM-11707</v>
      </c>
      <c r="G91" s="101">
        <f>RawList!E55</f>
        <v>5</v>
      </c>
      <c r="H91" s="29" t="str">
        <f>IF(EquipmentTable[[#This Row],[Units]]&gt;0,"Quantity &gt; 0 Items","Quantity = 0 Items")</f>
        <v>Quantity &gt; 0 Items</v>
      </c>
      <c r="I91" s="102">
        <f>RawList!J55</f>
        <v>1.95</v>
      </c>
      <c r="J91" s="14">
        <f>VALUE(EquipmentTable[[#This Row],[Units]]*EquipmentTable[[#This Row],[Unit
 Price]])</f>
        <v>9.75</v>
      </c>
      <c r="K91" s="29" t="str">
        <f>RawList!G55</f>
        <v>https://cdn.sparkfun.com/r/92-92/assets/parts/7/8/8/8/11707-01.jpg</v>
      </c>
      <c r="L91" s="29"/>
      <c r="M91" s="29" t="str">
        <f>RawList!F55</f>
        <v>https://www.sparkfun.com/products/11707</v>
      </c>
    </row>
    <row r="92" spans="2:13" x14ac:dyDescent="0.25">
      <c r="B92" s="29" t="str">
        <f>RawList!A56</f>
        <v>Primary Component</v>
      </c>
      <c r="C92" s="29" t="str">
        <f>RawList!B56</f>
        <v>Power Supply, Barrel Jack Cables/Adapters</v>
      </c>
      <c r="D92" s="29" t="str">
        <f>RawList!C56</f>
        <v>SparkFun</v>
      </c>
      <c r="E92" s="29" t="str">
        <f>RawList!H56</f>
        <v>Barrel Jack to 2-pin JST</v>
      </c>
      <c r="F92" s="29" t="str">
        <f>RawList!D56</f>
        <v>TOL-08734</v>
      </c>
      <c r="G92" s="101">
        <f>RawList!E56</f>
        <v>5</v>
      </c>
      <c r="H92" s="29" t="str">
        <f>IF(EquipmentTable[[#This Row],[Units]]&gt;0,"Quantity &gt; 0 Items","Quantity = 0 Items")</f>
        <v>Quantity &gt; 0 Items</v>
      </c>
      <c r="I92" s="102">
        <f>RawList!J56</f>
        <v>2.95</v>
      </c>
      <c r="J92" s="14">
        <f>VALUE(EquipmentTable[[#This Row],[Units]]*EquipmentTable[[#This Row],[Unit
 Price]])</f>
        <v>14.75</v>
      </c>
      <c r="K92" s="29" t="str">
        <f>RawList!G56</f>
        <v>https://cdn.sparkfun.com/r/92-92/assets/parts/1/9/2/1/08734-03-L.jpg</v>
      </c>
      <c r="L92" s="29"/>
      <c r="M92" s="29" t="str">
        <f>RawList!F56</f>
        <v>https://www.sparkfun.com/products/8734</v>
      </c>
    </row>
    <row r="93" spans="2:13" x14ac:dyDescent="0.25">
      <c r="B93" s="29" t="str">
        <f>RawList!A57</f>
        <v>Primary Component</v>
      </c>
      <c r="C93" s="29" t="str">
        <f>RawList!B57</f>
        <v>Power Supply, Barrel Jack Cables/Adapters</v>
      </c>
      <c r="D93" s="29" t="str">
        <f>RawList!C57</f>
        <v>SparkFun</v>
      </c>
      <c r="E93" s="29" t="str">
        <f>RawList!H57</f>
        <v>Barrel Jack Adapter - USB to 5.5mm</v>
      </c>
      <c r="F93" s="29" t="str">
        <f>RawList!D57</f>
        <v>TOL-08639</v>
      </c>
      <c r="G93" s="101">
        <f>RawList!E57</f>
        <v>5</v>
      </c>
      <c r="H93" s="29" t="str">
        <f>IF(EquipmentTable[[#This Row],[Units]]&gt;0,"Quantity &gt; 0 Items","Quantity = 0 Items")</f>
        <v>Quantity &gt; 0 Items</v>
      </c>
      <c r="I93" s="102">
        <f>RawList!J57</f>
        <v>2.95</v>
      </c>
      <c r="J93" s="14">
        <f>VALUE(EquipmentTable[[#This Row],[Units]]*EquipmentTable[[#This Row],[Unit
 Price]])</f>
        <v>14.75</v>
      </c>
      <c r="K93" s="29" t="str">
        <f>RawList!G57</f>
        <v>https://cdn.sparkfun.com/r/92-92/assets/parts/1/7/7/8/08639-01.jpg</v>
      </c>
      <c r="L93" s="29"/>
      <c r="M93" s="29" t="str">
        <f>RawList!F57</f>
        <v>https://www.sparkfun.com/products/8639</v>
      </c>
    </row>
    <row r="94" spans="2:13" x14ac:dyDescent="0.25">
      <c r="B94" s="29" t="str">
        <f>RawList!A58</f>
        <v>Primary Component</v>
      </c>
      <c r="C94" s="29" t="str">
        <f>RawList!B58</f>
        <v>Power Supply, Barrel Jack Cables/Adapters</v>
      </c>
      <c r="D94" s="29" t="str">
        <f>RawList!C58</f>
        <v>SparkFun</v>
      </c>
      <c r="E94" s="29" t="str">
        <f>RawList!H58</f>
        <v>Barrel Jack Power Switch - M-F (3\")</v>
      </c>
      <c r="F94" s="29" t="str">
        <f>RawList!D58</f>
        <v>COM-11705</v>
      </c>
      <c r="G94" s="101">
        <f>RawList!E58</f>
        <v>5</v>
      </c>
      <c r="H94" s="29" t="str">
        <f>IF(EquipmentTable[[#This Row],[Units]]&gt;0,"Quantity &gt; 0 Items","Quantity = 0 Items")</f>
        <v>Quantity &gt; 0 Items</v>
      </c>
      <c r="I94" s="102">
        <f>RawList!J58</f>
        <v>2.5</v>
      </c>
      <c r="J94" s="14">
        <f>VALUE(EquipmentTable[[#This Row],[Units]]*EquipmentTable[[#This Row],[Unit
 Price]])</f>
        <v>12.5</v>
      </c>
      <c r="K94" s="29" t="str">
        <f>RawList!G58</f>
        <v>https://cdn.sparkfun.com/r/92-92/assets/parts/7/8/8/6/11705-01.jpg</v>
      </c>
      <c r="L94" s="29"/>
      <c r="M94" s="29" t="str">
        <f>RawList!F58</f>
        <v>https://www.sparkfun.com/products/11705</v>
      </c>
    </row>
    <row r="95" spans="2:13" x14ac:dyDescent="0.25">
      <c r="B95" s="29" t="str">
        <f>RawList!A59</f>
        <v>Primary Component</v>
      </c>
      <c r="C95" s="29" t="str">
        <f>RawList!B59</f>
        <v>Power Supply, Barrel Jack Cables/Adapters</v>
      </c>
      <c r="D95" s="29" t="str">
        <f>RawList!C59</f>
        <v>Adafruit</v>
      </c>
      <c r="E95" s="29" t="str">
        <f>RawList!H59</f>
        <v>2.1mm female/male barrel jack extension cable - 1.5m / 5 ft</v>
      </c>
      <c r="F95" s="29" t="str">
        <f>RawList!D59</f>
        <v>327</v>
      </c>
      <c r="G95" s="101">
        <f>RawList!E59</f>
        <v>0</v>
      </c>
      <c r="H95" s="29" t="str">
        <f>IF(EquipmentTable[[#This Row],[Units]]&gt;0,"Quantity &gt; 0 Items","Quantity = 0 Items")</f>
        <v>Quantity = 0 Items</v>
      </c>
      <c r="I95" s="102">
        <f>RawList!J59</f>
        <v>2.95</v>
      </c>
      <c r="J95" s="14">
        <f>VALUE(EquipmentTable[[#This Row],[Units]]*EquipmentTable[[#This Row],[Unit
 Price]])</f>
        <v>0</v>
      </c>
      <c r="K95" s="29">
        <f>RawList!G59</f>
        <v>0</v>
      </c>
      <c r="L95" s="29"/>
      <c r="M95" s="29">
        <f>RawList!F59</f>
        <v>0</v>
      </c>
    </row>
    <row r="96" spans="2:13" x14ac:dyDescent="0.25">
      <c r="B96" s="29" t="str">
        <f>RawList!A60</f>
        <v>Primary Component</v>
      </c>
      <c r="C96" s="29" t="str">
        <f>RawList!B60</f>
        <v>Power Supply, Barrel Jack Cables/Adapters</v>
      </c>
      <c r="D96" s="29" t="str">
        <f>RawList!C60</f>
        <v>Adafruit</v>
      </c>
      <c r="E96" s="29" t="str">
        <f>RawList!H60</f>
        <v>2.1mm to 1.7mm DC jack adapter</v>
      </c>
      <c r="F96" s="29" t="str">
        <f>RawList!D60</f>
        <v>411</v>
      </c>
      <c r="G96" s="101">
        <f>RawList!E60</f>
        <v>1</v>
      </c>
      <c r="H96" s="29" t="str">
        <f>IF(EquipmentTable[[#This Row],[Units]]&gt;0,"Quantity &gt; 0 Items","Quantity = 0 Items")</f>
        <v>Quantity &gt; 0 Items</v>
      </c>
      <c r="I96" s="102">
        <f>RawList!J60</f>
        <v>2.5</v>
      </c>
      <c r="J96" s="14">
        <f>VALUE(EquipmentTable[[#This Row],[Units]]*EquipmentTable[[#This Row],[Unit
 Price]])</f>
        <v>2.5</v>
      </c>
      <c r="K96" s="29">
        <f>RawList!G60</f>
        <v>0</v>
      </c>
      <c r="L96" s="29"/>
      <c r="M96" s="29">
        <f>RawList!F60</f>
        <v>0</v>
      </c>
    </row>
    <row r="97" spans="2:13" x14ac:dyDescent="0.25">
      <c r="B97" s="29" t="str">
        <f>RawList!A61</f>
        <v>Primary Component</v>
      </c>
      <c r="C97" s="29" t="str">
        <f>RawList!B61</f>
        <v>Power Supply, Barrel Jack Cables/Adapters</v>
      </c>
      <c r="D97" s="29" t="str">
        <f>RawList!C61</f>
        <v>Adafruit</v>
      </c>
      <c r="E97" s="29" t="str">
        <f>RawList!H61</f>
        <v>2.1mm to 2.5mm DC Barrel Plug Adapter</v>
      </c>
      <c r="F97" s="29" t="str">
        <f>RawList!D61</f>
        <v>2897</v>
      </c>
      <c r="G97" s="101">
        <f>RawList!E61</f>
        <v>1</v>
      </c>
      <c r="H97" s="29" t="str">
        <f>IF(EquipmentTable[[#This Row],[Units]]&gt;0,"Quantity &gt; 0 Items","Quantity = 0 Items")</f>
        <v>Quantity &gt; 0 Items</v>
      </c>
      <c r="I97" s="102">
        <f>RawList!J61</f>
        <v>0.95</v>
      </c>
      <c r="J97" s="14">
        <f>VALUE(EquipmentTable[[#This Row],[Units]]*EquipmentTable[[#This Row],[Unit
 Price]])</f>
        <v>0.95</v>
      </c>
      <c r="K97" s="29">
        <f>RawList!G61</f>
        <v>0</v>
      </c>
      <c r="L97" s="29"/>
      <c r="M97" s="29">
        <f>RawList!F61</f>
        <v>0</v>
      </c>
    </row>
    <row r="98" spans="2:13" x14ac:dyDescent="0.25">
      <c r="B98" s="29" t="str">
        <f>RawList!A62</f>
        <v>Primary Component</v>
      </c>
      <c r="C98" s="29" t="str">
        <f>RawList!B62</f>
        <v>Power Supply, Barrel Jack Cables/Adapters</v>
      </c>
      <c r="D98" s="29" t="str">
        <f>RawList!C62</f>
        <v>Adafruit</v>
      </c>
      <c r="E98" s="29" t="str">
        <f>RawList!H62</f>
        <v>3.5 / 1.3mm or 3.8 / 1.1mm to 5.5 / 2.1mm DC Jack Adapter Cable</v>
      </c>
      <c r="F98" s="29" t="str">
        <f>RawList!D62</f>
        <v>2788</v>
      </c>
      <c r="G98" s="101">
        <f>RawList!E62</f>
        <v>1</v>
      </c>
      <c r="H98" s="29" t="str">
        <f>IF(EquipmentTable[[#This Row],[Units]]&gt;0,"Quantity &gt; 0 Items","Quantity = 0 Items")</f>
        <v>Quantity &gt; 0 Items</v>
      </c>
      <c r="I98" s="102">
        <f>RawList!J62</f>
        <v>0.95</v>
      </c>
      <c r="J98" s="14">
        <f>VALUE(EquipmentTable[[#This Row],[Units]]*EquipmentTable[[#This Row],[Unit
 Price]])</f>
        <v>0.95</v>
      </c>
      <c r="K98" s="29">
        <f>RawList!G62</f>
        <v>0</v>
      </c>
      <c r="L98" s="29"/>
      <c r="M98" s="29">
        <f>RawList!F62</f>
        <v>0</v>
      </c>
    </row>
    <row r="99" spans="2:13" x14ac:dyDescent="0.25">
      <c r="B99" s="29" t="str">
        <f>RawList!A63</f>
        <v>Primary Component</v>
      </c>
      <c r="C99" s="29" t="str">
        <f>RawList!B63</f>
        <v>Power Supply, USB Wall Wart</v>
      </c>
      <c r="D99" s="29" t="str">
        <f>RawList!C63</f>
        <v>SparkFun</v>
      </c>
      <c r="E99" s="29" t="str">
        <f>RawList!H63</f>
        <v>Wall Adapter Power Supply - 5V DC 2A (USB Micro-B)</v>
      </c>
      <c r="F99" s="29" t="str">
        <f>RawList!D63</f>
        <v>TOL-12890</v>
      </c>
      <c r="G99" s="101">
        <f>RawList!E63</f>
        <v>0</v>
      </c>
      <c r="H99" s="29" t="str">
        <f>IF(EquipmentTable[[#This Row],[Units]]&gt;0,"Quantity &gt; 0 Items","Quantity = 0 Items")</f>
        <v>Quantity = 0 Items</v>
      </c>
      <c r="I99" s="102">
        <f>RawList!J63</f>
        <v>5.95</v>
      </c>
      <c r="J99" s="14">
        <f>VALUE(EquipmentTable[[#This Row],[Units]]*EquipmentTable[[#This Row],[Unit
 Price]])</f>
        <v>0</v>
      </c>
      <c r="K99" s="29" t="str">
        <f>RawList!G63</f>
        <v>https://cdn.sparkfun.com/r/92-92/assets/parts/9/7/8/2/12890-01.jpg</v>
      </c>
      <c r="L99" s="29"/>
      <c r="M99" s="29" t="str">
        <f>RawList!F63</f>
        <v>https://www.sparkfun.com/products/12890</v>
      </c>
    </row>
    <row r="100" spans="2:13" x14ac:dyDescent="0.25">
      <c r="B100" s="29" t="str">
        <f>RawList!A64</f>
        <v>Primary Component</v>
      </c>
      <c r="C100" s="29" t="str">
        <f>RawList!B64</f>
        <v>Power Supply, USB Wall Wart</v>
      </c>
      <c r="D100" s="29" t="str">
        <f>RawList!C64</f>
        <v>Adafruit</v>
      </c>
      <c r="E100" s="29" t="str">
        <f>RawList!H64</f>
        <v>5V 1A (1000mA) USB port power supply - UL Listed</v>
      </c>
      <c r="F100" s="29" t="str">
        <f>RawList!D64</f>
        <v>501</v>
      </c>
      <c r="G100" s="101">
        <f>RawList!E64</f>
        <v>0</v>
      </c>
      <c r="H100" s="29" t="str">
        <f>IF(EquipmentTable[[#This Row],[Units]]&gt;0,"Quantity &gt; 0 Items","Quantity = 0 Items")</f>
        <v>Quantity = 0 Items</v>
      </c>
      <c r="I100" s="102">
        <f>RawList!J64</f>
        <v>5.95</v>
      </c>
      <c r="J100" s="14">
        <f>VALUE(EquipmentTable[[#This Row],[Units]]*EquipmentTable[[#This Row],[Unit
 Price]])</f>
        <v>0</v>
      </c>
      <c r="K100" s="29">
        <f>RawList!G64</f>
        <v>0</v>
      </c>
      <c r="L100" s="29"/>
      <c r="M100" s="29">
        <f>RawList!F64</f>
        <v>0</v>
      </c>
    </row>
    <row r="101" spans="2:13" x14ac:dyDescent="0.25">
      <c r="B101" s="29" t="str">
        <f>RawList!A65</f>
        <v>Primary Component</v>
      </c>
      <c r="C101" s="29" t="str">
        <f>RawList!B65</f>
        <v>Power Supply, USB Wall Wart</v>
      </c>
      <c r="D101" s="29" t="str">
        <f>RawList!C65</f>
        <v>Adafruit</v>
      </c>
      <c r="E101" s="29" t="str">
        <f>RawList!H65</f>
        <v>5V 2A Switching Power Supply w/ USB-A Connector</v>
      </c>
      <c r="F101" s="29" t="str">
        <f>RawList!D65</f>
        <v>1994</v>
      </c>
      <c r="G101" s="101">
        <f>RawList!E65</f>
        <v>5</v>
      </c>
      <c r="H101" s="29" t="str">
        <f>IF(EquipmentTable[[#This Row],[Units]]&gt;0,"Quantity &gt; 0 Items","Quantity = 0 Items")</f>
        <v>Quantity &gt; 0 Items</v>
      </c>
      <c r="I101" s="102">
        <f>RawList!J65</f>
        <v>6.95</v>
      </c>
      <c r="J101" s="14">
        <f>VALUE(EquipmentTable[[#This Row],[Units]]*EquipmentTable[[#This Row],[Unit
 Price]])</f>
        <v>34.75</v>
      </c>
      <c r="K101" s="29">
        <f>RawList!G65</f>
        <v>0</v>
      </c>
      <c r="L101" s="29"/>
      <c r="M101" s="29">
        <f>RawList!F65</f>
        <v>0</v>
      </c>
    </row>
    <row r="102" spans="2:13" x14ac:dyDescent="0.25">
      <c r="B102" s="29" t="str">
        <f>RawList!A66</f>
        <v>Primary Component</v>
      </c>
      <c r="C102" s="29" t="str">
        <f>RawList!B66</f>
        <v>Power Supply, USB Cables</v>
      </c>
      <c r="D102" s="29" t="str">
        <f>RawList!C66</f>
        <v>SparkFun</v>
      </c>
      <c r="E102" s="29" t="str">
        <f>RawList!H66</f>
        <v>USB Cable A to B - 6 Foot</v>
      </c>
      <c r="F102" s="29" t="str">
        <f>RawList!D66</f>
        <v>CAB-00512</v>
      </c>
      <c r="G102" s="101">
        <f>RawList!E66</f>
        <v>5</v>
      </c>
      <c r="H102" s="29" t="str">
        <f>IF(EquipmentTable[[#This Row],[Units]]&gt;0,"Quantity &gt; 0 Items","Quantity = 0 Items")</f>
        <v>Quantity &gt; 0 Items</v>
      </c>
      <c r="I102" s="102">
        <f>RawList!J66</f>
        <v>3.95</v>
      </c>
      <c r="J102" s="14">
        <f>VALUE(EquipmentTable[[#This Row],[Units]]*EquipmentTable[[#This Row],[Unit
 Price]])</f>
        <v>19.75</v>
      </c>
      <c r="K102" s="29" t="str">
        <f>RawList!G66</f>
        <v>https://cdn.sparkfun.com/r/92-92/assets/parts/2/7/7/00512-1.jpg</v>
      </c>
      <c r="L102" s="29"/>
      <c r="M102" s="29" t="str">
        <f>RawList!F66</f>
        <v>https://www.sparkfun.com/products/512</v>
      </c>
    </row>
    <row r="103" spans="2:13" x14ac:dyDescent="0.25">
      <c r="B103" s="29" t="str">
        <f>RawList!A67</f>
        <v>Primary Component</v>
      </c>
      <c r="C103" s="29" t="str">
        <f>RawList!B67</f>
        <v>Power Supply, USB Cables</v>
      </c>
      <c r="D103" s="29" t="str">
        <f>RawList!C67</f>
        <v>SparkFun</v>
      </c>
      <c r="E103" s="29" t="str">
        <f>RawList!H67</f>
        <v>SparkFun USB Mini-B Cable - 6 Foot</v>
      </c>
      <c r="F103" s="29" t="str">
        <f>RawList!D67</f>
        <v>CAB-11301</v>
      </c>
      <c r="G103" s="101">
        <f>RawList!E67</f>
        <v>5</v>
      </c>
      <c r="H103" s="29" t="str">
        <f>IF(EquipmentTable[[#This Row],[Units]]&gt;0,"Quantity &gt; 0 Items","Quantity = 0 Items")</f>
        <v>Quantity &gt; 0 Items</v>
      </c>
      <c r="I103" s="102">
        <f>RawList!J67</f>
        <v>3.95</v>
      </c>
      <c r="J103" s="14">
        <f>VALUE(EquipmentTable[[#This Row],[Units]]*EquipmentTable[[#This Row],[Unit
 Price]])</f>
        <v>19.75</v>
      </c>
      <c r="K103" s="29" t="str">
        <f>RawList!G67</f>
        <v>https://cdn.sparkfun.com/r/92-92/assets/parts/6/9/8/0/11301-01.jpg</v>
      </c>
      <c r="L103" s="29"/>
      <c r="M103" s="29" t="str">
        <f>RawList!F67</f>
        <v>https://www.sparkfun.com/products/11301</v>
      </c>
    </row>
    <row r="104" spans="2:13" x14ac:dyDescent="0.25">
      <c r="B104" s="29" t="str">
        <f>RawList!A68</f>
        <v>Primary Component</v>
      </c>
      <c r="C104" s="29" t="str">
        <f>RawList!B68</f>
        <v>Power Supply, USB Cables</v>
      </c>
      <c r="D104" s="29" t="str">
        <f>RawList!C68</f>
        <v>SparkFun</v>
      </c>
      <c r="E104" s="29" t="str">
        <f>RawList!H68</f>
        <v>USB Mini-B Cable - 6\"</v>
      </c>
      <c r="F104" s="29" t="str">
        <f>RawList!D68</f>
        <v>CAB-13243</v>
      </c>
      <c r="G104" s="101">
        <f>RawList!E68</f>
        <v>0</v>
      </c>
      <c r="H104" s="29" t="str">
        <f>IF(EquipmentTable[[#This Row],[Units]]&gt;0,"Quantity &gt; 0 Items","Quantity = 0 Items")</f>
        <v>Quantity = 0 Items</v>
      </c>
      <c r="I104" s="102">
        <f>RawList!J68</f>
        <v>1.95</v>
      </c>
      <c r="J104" s="14">
        <f>VALUE(EquipmentTable[[#This Row],[Units]]*EquipmentTable[[#This Row],[Unit
 Price]])</f>
        <v>0</v>
      </c>
      <c r="K104" s="29" t="str">
        <f>RawList!G68</f>
        <v>https://cdn.sparkfun.com/r/92-92/assets/parts/1/0/4/2/9/13243-01.jpg</v>
      </c>
      <c r="L104" s="29"/>
      <c r="M104" s="29" t="str">
        <f>RawList!F68</f>
        <v>https://www.sparkfun.com/products/13243</v>
      </c>
    </row>
    <row r="105" spans="2:13" x14ac:dyDescent="0.25">
      <c r="B105" s="29" t="str">
        <f>RawList!A69</f>
        <v>Primary Component</v>
      </c>
      <c r="C105" s="29" t="str">
        <f>RawList!B69</f>
        <v>Power Supply, USB Cables</v>
      </c>
      <c r="D105" s="29" t="str">
        <f>RawList!C69</f>
        <v>SparkFun</v>
      </c>
      <c r="E105" s="29" t="str">
        <f>RawList!H69</f>
        <v>Panel Mount USB to 4-pin Female Header Cable - 6\'</v>
      </c>
      <c r="F105" s="29" t="str">
        <f>RawList!D69</f>
        <v>CAB-10177</v>
      </c>
      <c r="G105" s="101">
        <f>RawList!E69</f>
        <v>1</v>
      </c>
      <c r="H105" s="29" t="str">
        <f>IF(EquipmentTable[[#This Row],[Units]]&gt;0,"Quantity &gt; 0 Items","Quantity = 0 Items")</f>
        <v>Quantity &gt; 0 Items</v>
      </c>
      <c r="I105" s="102">
        <f>RawList!J69</f>
        <v>2.95</v>
      </c>
      <c r="J105" s="14">
        <f>VALUE(EquipmentTable[[#This Row],[Units]]*EquipmentTable[[#This Row],[Unit
 Price]])</f>
        <v>2.95</v>
      </c>
      <c r="K105" s="29" t="str">
        <f>RawList!G69</f>
        <v>https://cdn.sparkfun.com/r/92-92/assets/parts/4/4/8/3/10177-01.jpg</v>
      </c>
      <c r="L105" s="29"/>
      <c r="M105" s="29" t="str">
        <f>RawList!F69</f>
        <v>https://www.sparkfun.com/products/10177</v>
      </c>
    </row>
    <row r="106" spans="2:13" x14ac:dyDescent="0.25">
      <c r="B106" s="29" t="str">
        <f>RawList!A70</f>
        <v>Primary Component</v>
      </c>
      <c r="C106" s="29" t="str">
        <f>RawList!B70</f>
        <v>Power Supply, USB Cables</v>
      </c>
      <c r="D106" s="29" t="str">
        <f>RawList!C70</f>
        <v>SparkFun</v>
      </c>
      <c r="E106" s="29" t="str">
        <f>RawList!H70</f>
        <v>USB micro-B Cable - 6 Foot</v>
      </c>
      <c r="F106" s="29" t="str">
        <f>RawList!D70</f>
        <v>CAB-10215</v>
      </c>
      <c r="G106" s="101">
        <f>RawList!E70</f>
        <v>5</v>
      </c>
      <c r="H106" s="29" t="str">
        <f>IF(EquipmentTable[[#This Row],[Units]]&gt;0,"Quantity &gt; 0 Items","Quantity = 0 Items")</f>
        <v>Quantity &gt; 0 Items</v>
      </c>
      <c r="I106" s="102">
        <f>RawList!J70</f>
        <v>4.95</v>
      </c>
      <c r="J106" s="14">
        <f>VALUE(EquipmentTable[[#This Row],[Units]]*EquipmentTable[[#This Row],[Unit
 Price]])</f>
        <v>24.75</v>
      </c>
      <c r="K106" s="29" t="str">
        <f>RawList!G70</f>
        <v>https://cdn.sparkfun.com/r/92-92/assets/parts/4/5/5/8/10215-01.jpg</v>
      </c>
      <c r="L106" s="29"/>
      <c r="M106" s="29" t="str">
        <f>RawList!F70</f>
        <v>https://www.sparkfun.com/products/10215</v>
      </c>
    </row>
    <row r="107" spans="2:13" x14ac:dyDescent="0.25">
      <c r="B107" s="29" t="str">
        <f>RawList!A71</f>
        <v>Primary Component</v>
      </c>
      <c r="C107" s="29" t="str">
        <f>RawList!B71</f>
        <v>Power Supply, USB Cables</v>
      </c>
      <c r="D107" s="29" t="str">
        <f>RawList!C71</f>
        <v>SparkFun</v>
      </c>
      <c r="E107" s="29" t="str">
        <f>RawList!H71</f>
        <v>USB Micro-B Cable - 6\"</v>
      </c>
      <c r="F107" s="29" t="str">
        <f>RawList!D71</f>
        <v>CAB-13244</v>
      </c>
      <c r="G107" s="101">
        <f>RawList!E71</f>
        <v>0</v>
      </c>
      <c r="H107" s="29" t="str">
        <f>IF(EquipmentTable[[#This Row],[Units]]&gt;0,"Quantity &gt; 0 Items","Quantity = 0 Items")</f>
        <v>Quantity = 0 Items</v>
      </c>
      <c r="I107" s="102">
        <f>RawList!J71</f>
        <v>1.95</v>
      </c>
      <c r="J107" s="14">
        <f>VALUE(EquipmentTable[[#This Row],[Units]]*EquipmentTable[[#This Row],[Unit
 Price]])</f>
        <v>0</v>
      </c>
      <c r="K107" s="29" t="str">
        <f>RawList!G71</f>
        <v>https://cdn.sparkfun.com/r/92-92/assets/parts/1/0/4/3/0/13244-01.jpg</v>
      </c>
      <c r="L107" s="29"/>
      <c r="M107" s="29" t="str">
        <f>RawList!F71</f>
        <v>https://www.sparkfun.com/products/13244</v>
      </c>
    </row>
    <row r="108" spans="2:13" x14ac:dyDescent="0.25">
      <c r="B108" s="29" t="str">
        <f>RawList!A72</f>
        <v>Primary Component</v>
      </c>
      <c r="C108" s="29" t="str">
        <f>RawList!B72</f>
        <v>Power Supply, USB Cables</v>
      </c>
      <c r="D108" s="29" t="str">
        <f>RawList!C72</f>
        <v>SparkFun</v>
      </c>
      <c r="E108" s="29" t="str">
        <f>RawList!H72</f>
        <v>SparkFun Hydra Power Cable - 6ft</v>
      </c>
      <c r="F108" s="29" t="str">
        <f>RawList!D72</f>
        <v>CAB-11579</v>
      </c>
      <c r="G108" s="101">
        <f>RawList!E72</f>
        <v>1</v>
      </c>
      <c r="H108" s="29" t="str">
        <f>IF(EquipmentTable[[#This Row],[Units]]&gt;0,"Quantity &gt; 0 Items","Quantity = 0 Items")</f>
        <v>Quantity &gt; 0 Items</v>
      </c>
      <c r="I108" s="102">
        <f>RawList!J72</f>
        <v>4.95</v>
      </c>
      <c r="J108" s="14">
        <f>VALUE(EquipmentTable[[#This Row],[Units]]*EquipmentTable[[#This Row],[Unit
 Price]])</f>
        <v>4.95</v>
      </c>
      <c r="K108" s="29" t="str">
        <f>RawList!G72</f>
        <v>https://cdn.sparkfun.com/r/92-92/assets/parts/7/5/6/8/11579-01.jpg</v>
      </c>
      <c r="L108" s="29"/>
      <c r="M108" s="29" t="str">
        <f>RawList!F72</f>
        <v>https://www.sparkfun.com/products/11579</v>
      </c>
    </row>
    <row r="109" spans="2:13" x14ac:dyDescent="0.25">
      <c r="B109" s="29" t="str">
        <f>RawList!A73</f>
        <v>Primary Component</v>
      </c>
      <c r="C109" s="29" t="str">
        <f>RawList!B73</f>
        <v>Power Supply, USB + Barrel Jack</v>
      </c>
      <c r="D109" s="29" t="str">
        <f>RawList!C73</f>
        <v>Adafruit</v>
      </c>
      <c r="E109" s="29" t="str">
        <f>RawList!H73</f>
        <v>MicroUSB Plug to 5.5/2.1mm DC Barrel Jack Adapter</v>
      </c>
      <c r="F109" s="29" t="str">
        <f>RawList!D73</f>
        <v>2727</v>
      </c>
      <c r="G109" s="101">
        <f>RawList!E73</f>
        <v>0</v>
      </c>
      <c r="H109" s="29" t="str">
        <f>IF(EquipmentTable[[#This Row],[Units]]&gt;0,"Quantity &gt; 0 Items","Quantity = 0 Items")</f>
        <v>Quantity = 0 Items</v>
      </c>
      <c r="I109" s="102">
        <f>RawList!J73</f>
        <v>1.95</v>
      </c>
      <c r="J109" s="14">
        <f>VALUE(EquipmentTable[[#This Row],[Units]]*EquipmentTable[[#This Row],[Unit
 Price]])</f>
        <v>0</v>
      </c>
      <c r="K109" s="29">
        <f>RawList!G73</f>
        <v>0</v>
      </c>
      <c r="L109" s="29"/>
      <c r="M109" s="29">
        <f>RawList!F73</f>
        <v>0</v>
      </c>
    </row>
    <row r="110" spans="2:13" x14ac:dyDescent="0.25">
      <c r="B110" s="29" t="str">
        <f>RawList!A74</f>
        <v>Primary Component</v>
      </c>
      <c r="C110" s="29" t="str">
        <f>RawList!B74</f>
        <v>Power Supply, USB + Barrel Jack</v>
      </c>
      <c r="D110" s="29" t="str">
        <f>RawList!C74</f>
        <v>Adafruit</v>
      </c>
      <c r="E110" s="29" t="str">
        <f>RawList!H74</f>
        <v>USB A Jack to 5.5/2.1mm jack adapter</v>
      </c>
      <c r="F110" s="29" t="str">
        <f>RawList!D74</f>
        <v>988</v>
      </c>
      <c r="G110" s="101">
        <f>RawList!E74</f>
        <v>0</v>
      </c>
      <c r="H110" s="29" t="str">
        <f>IF(EquipmentTable[[#This Row],[Units]]&gt;0,"Quantity &gt; 0 Items","Quantity = 0 Items")</f>
        <v>Quantity = 0 Items</v>
      </c>
      <c r="I110" s="102">
        <f>RawList!J74</f>
        <v>2.95</v>
      </c>
      <c r="J110" s="14">
        <f>VALUE(EquipmentTable[[#This Row],[Units]]*EquipmentTable[[#This Row],[Unit
 Price]])</f>
        <v>0</v>
      </c>
      <c r="K110" s="29">
        <f>RawList!G74</f>
        <v>0</v>
      </c>
      <c r="L110" s="29"/>
      <c r="M110" s="29">
        <f>RawList!F74</f>
        <v>0</v>
      </c>
    </row>
    <row r="111" spans="2:13" x14ac:dyDescent="0.25">
      <c r="B111" s="29" t="str">
        <f>RawList!A75</f>
        <v>Primary Component</v>
      </c>
      <c r="C111" s="29" t="str">
        <f>RawList!B75</f>
        <v>Power Supply, USB + Barrel Jack</v>
      </c>
      <c r="D111" s="29" t="str">
        <f>RawList!C75</f>
        <v>Adafruit</v>
      </c>
      <c r="E111" s="29" t="str">
        <f>RawList!H75</f>
        <v>USB to 2.1mm DC Booster Cable - 12V</v>
      </c>
      <c r="F111" s="29" t="str">
        <f>RawList!D75</f>
        <v>2778</v>
      </c>
      <c r="G111" s="101">
        <f>RawList!E75</f>
        <v>2</v>
      </c>
      <c r="H111" s="29" t="str">
        <f>IF(EquipmentTable[[#This Row],[Units]]&gt;0,"Quantity &gt; 0 Items","Quantity = 0 Items")</f>
        <v>Quantity &gt; 0 Items</v>
      </c>
      <c r="I111" s="102">
        <f>RawList!J75</f>
        <v>6.5</v>
      </c>
      <c r="J111" s="14">
        <f>VALUE(EquipmentTable[[#This Row],[Units]]*EquipmentTable[[#This Row],[Unit
 Price]])</f>
        <v>13</v>
      </c>
      <c r="K111" s="29">
        <f>RawList!G75</f>
        <v>0</v>
      </c>
      <c r="L111" s="29"/>
      <c r="M111" s="29">
        <f>RawList!F75</f>
        <v>0</v>
      </c>
    </row>
    <row r="112" spans="2:13" x14ac:dyDescent="0.25">
      <c r="B112" s="29" t="str">
        <f>RawList!A76</f>
        <v>Primary Component</v>
      </c>
      <c r="C112" s="29" t="str">
        <f>RawList!B76</f>
        <v>Power Supply, USB + Barrel Jack</v>
      </c>
      <c r="D112" s="29" t="str">
        <f>RawList!C76</f>
        <v>Adafruit</v>
      </c>
      <c r="E112" s="29" t="str">
        <f>RawList!H76</f>
        <v>USB to 2.1mm DC Booster Cable - 9V</v>
      </c>
      <c r="F112" s="29" t="str">
        <f>RawList!D76</f>
        <v>2777</v>
      </c>
      <c r="G112" s="101">
        <f>RawList!E76</f>
        <v>0</v>
      </c>
      <c r="H112" s="29" t="str">
        <f>IF(EquipmentTable[[#This Row],[Units]]&gt;0,"Quantity &gt; 0 Items","Quantity = 0 Items")</f>
        <v>Quantity = 0 Items</v>
      </c>
      <c r="I112" s="102">
        <f>RawList!J76</f>
        <v>6.5</v>
      </c>
      <c r="J112" s="14">
        <f>VALUE(EquipmentTable[[#This Row],[Units]]*EquipmentTable[[#This Row],[Unit
 Price]])</f>
        <v>0</v>
      </c>
      <c r="K112" s="29">
        <f>RawList!G76</f>
        <v>0</v>
      </c>
      <c r="L112" s="29"/>
      <c r="M112" s="29">
        <f>RawList!F76</f>
        <v>0</v>
      </c>
    </row>
    <row r="113" spans="2:13" x14ac:dyDescent="0.25">
      <c r="B113" s="29" t="str">
        <f>RawList!A77</f>
        <v>Primary Component</v>
      </c>
      <c r="C113" s="29" t="str">
        <f>RawList!B77</f>
        <v>Power Supply, USB + Barrel Jack</v>
      </c>
      <c r="D113" s="29" t="str">
        <f>RawList!C77</f>
        <v>Adafruit</v>
      </c>
      <c r="E113" s="29" t="str">
        <f>RawList!H77</f>
        <v>USB to 2.1mm Male Barrel Jack Cable - 22AWG &amp; 1 meter</v>
      </c>
      <c r="F113" s="29" t="str">
        <f>RawList!D77</f>
        <v>2697</v>
      </c>
      <c r="G113" s="101">
        <f>RawList!E77</f>
        <v>0</v>
      </c>
      <c r="H113" s="29" t="str">
        <f>IF(EquipmentTable[[#This Row],[Units]]&gt;0,"Quantity &gt; 0 Items","Quantity = 0 Items")</f>
        <v>Quantity = 0 Items</v>
      </c>
      <c r="I113" s="102">
        <f>RawList!J77</f>
        <v>2.75</v>
      </c>
      <c r="J113" s="14">
        <f>VALUE(EquipmentTable[[#This Row],[Units]]*EquipmentTable[[#This Row],[Unit
 Price]])</f>
        <v>0</v>
      </c>
      <c r="K113" s="29">
        <f>RawList!G77</f>
        <v>0</v>
      </c>
      <c r="L113" s="29"/>
      <c r="M113" s="29">
        <f>RawList!F77</f>
        <v>0</v>
      </c>
    </row>
    <row r="114" spans="2:13" x14ac:dyDescent="0.25">
      <c r="B114" s="29" t="str">
        <f>RawList!A78</f>
        <v>Primary Component</v>
      </c>
      <c r="C114" s="29" t="str">
        <f>RawList!B78</f>
        <v>Power Supply, USB + Barrel Jack</v>
      </c>
      <c r="D114" s="29" t="str">
        <f>RawList!C78</f>
        <v>Adafruit</v>
      </c>
      <c r="E114" s="29" t="str">
        <f>RawList!H78</f>
        <v>MicroUSB to 5.5/2.1mm DC Barrel Jack Adapter</v>
      </c>
      <c r="F114" s="29" t="str">
        <f>RawList!D78</f>
        <v>2789</v>
      </c>
      <c r="G114" s="101">
        <f>RawList!E78</f>
        <v>5</v>
      </c>
      <c r="H114" s="29" t="str">
        <f>IF(EquipmentTable[[#This Row],[Units]]&gt;0,"Quantity &gt; 0 Items","Quantity = 0 Items")</f>
        <v>Quantity &gt; 0 Items</v>
      </c>
      <c r="I114" s="102">
        <f>RawList!J78</f>
        <v>1.95</v>
      </c>
      <c r="J114" s="14">
        <f>VALUE(EquipmentTable[[#This Row],[Units]]*EquipmentTable[[#This Row],[Unit
 Price]])</f>
        <v>9.75</v>
      </c>
      <c r="K114" s="29">
        <f>RawList!G78</f>
        <v>0</v>
      </c>
      <c r="L114" s="29"/>
      <c r="M114" s="29">
        <f>RawList!F78</f>
        <v>0</v>
      </c>
    </row>
    <row r="115" spans="2:13" x14ac:dyDescent="0.25">
      <c r="B115" s="29" t="str">
        <f>RawList!A79</f>
        <v>Primary Component</v>
      </c>
      <c r="C115" s="29" t="str">
        <f>RawList!B79</f>
        <v>Power Supply, LiPO Battery Supply/Management</v>
      </c>
      <c r="D115" s="29" t="str">
        <f>RawList!C79</f>
        <v>SparkFun</v>
      </c>
      <c r="E115" s="29" t="str">
        <f>RawList!H79</f>
        <v>SparkFun LiPower Shield</v>
      </c>
      <c r="F115" s="29" t="str">
        <f>RawList!D79</f>
        <v>DEV-13158</v>
      </c>
      <c r="G115" s="101">
        <f>RawList!E79</f>
        <v>5</v>
      </c>
      <c r="H115" s="29" t="str">
        <f>IF(EquipmentTable[[#This Row],[Units]]&gt;0,"Quantity &gt; 0 Items","Quantity = 0 Items")</f>
        <v>Quantity &gt; 0 Items</v>
      </c>
      <c r="I115" s="102">
        <f>RawList!J79</f>
        <v>29.95</v>
      </c>
      <c r="J115" s="14">
        <f>VALUE(EquipmentTable[[#This Row],[Units]]*EquipmentTable[[#This Row],[Unit
 Price]])</f>
        <v>149.75</v>
      </c>
      <c r="K115" s="29" t="str">
        <f>RawList!G79</f>
        <v>https://cdn.sparkfun.com/r/92-92/assets/parts/1/0/2/7/0/13158-01.jpg</v>
      </c>
      <c r="L115" s="29"/>
      <c r="M115" s="29" t="str">
        <f>RawList!F79</f>
        <v>https://www.sparkfun.com/products/13158</v>
      </c>
    </row>
    <row r="116" spans="2:13" x14ac:dyDescent="0.25">
      <c r="B116" s="29" t="str">
        <f>RawList!A80</f>
        <v>Primary Component</v>
      </c>
      <c r="C116" s="29" t="str">
        <f>RawList!B80</f>
        <v>Power Supply, LiPO Battery Supply/Management</v>
      </c>
      <c r="D116" s="29" t="str">
        <f>RawList!C80</f>
        <v>SparkFun</v>
      </c>
      <c r="E116" s="29" t="str">
        <f>RawList!H80</f>
        <v>SparkFun USB LiPoly Charger - Single Cell</v>
      </c>
      <c r="F116" s="29" t="str">
        <f>RawList!D80</f>
        <v>PRT-12711</v>
      </c>
      <c r="G116" s="101">
        <f>RawList!E80</f>
        <v>5</v>
      </c>
      <c r="H116" s="29" t="str">
        <f>IF(EquipmentTable[[#This Row],[Units]]&gt;0,"Quantity &gt; 0 Items","Quantity = 0 Items")</f>
        <v>Quantity &gt; 0 Items</v>
      </c>
      <c r="I116" s="102">
        <f>RawList!J80</f>
        <v>14.95</v>
      </c>
      <c r="J116" s="14">
        <f>VALUE(EquipmentTable[[#This Row],[Units]]*EquipmentTable[[#This Row],[Unit
 Price]])</f>
        <v>74.75</v>
      </c>
      <c r="K116" s="29" t="str">
        <f>RawList!G80</f>
        <v>https://cdn.sparkfun.com/r/92-92/assets/parts/9/4/5/6/12711-01.jpg</v>
      </c>
      <c r="L116" s="29"/>
      <c r="M116" s="29" t="str">
        <f>RawList!F80</f>
        <v>https://www.sparkfun.com/products/12711</v>
      </c>
    </row>
    <row r="117" spans="2:13" x14ac:dyDescent="0.25">
      <c r="B117" s="29" t="str">
        <f>RawList!A81</f>
        <v>Primary Component</v>
      </c>
      <c r="C117" s="29" t="str">
        <f>RawList!B81</f>
        <v>Power Supply, LiPO Battery Supply/Management</v>
      </c>
      <c r="D117" s="29" t="str">
        <f>RawList!C81</f>
        <v>SparkFun</v>
      </c>
      <c r="E117" s="29" t="str">
        <f>RawList!H81</f>
        <v>SparkFun Battery Babysitter - LiPo Battery Manager</v>
      </c>
      <c r="F117" s="29" t="str">
        <f>RawList!D81</f>
        <v>PRT-13777</v>
      </c>
      <c r="G117" s="101">
        <f>RawList!E81</f>
        <v>1</v>
      </c>
      <c r="H117" s="29" t="str">
        <f>IF(EquipmentTable[[#This Row],[Units]]&gt;0,"Quantity &gt; 0 Items","Quantity = 0 Items")</f>
        <v>Quantity &gt; 0 Items</v>
      </c>
      <c r="I117" s="102">
        <f>RawList!J81</f>
        <v>19.95</v>
      </c>
      <c r="J117" s="14">
        <f>VALUE(EquipmentTable[[#This Row],[Units]]*EquipmentTable[[#This Row],[Unit
 Price]])</f>
        <v>19.95</v>
      </c>
      <c r="K117" s="29" t="str">
        <f>RawList!G81</f>
        <v>https://cdn.sparkfun.com/r/92-92/assets/parts/1/1/3/3/1/13777-01.jpg</v>
      </c>
      <c r="L117" s="29"/>
      <c r="M117" s="29" t="str">
        <f>RawList!F81</f>
        <v>https://www.sparkfun.com/products/13777</v>
      </c>
    </row>
    <row r="118" spans="2:13" x14ac:dyDescent="0.25">
      <c r="B118" s="29" t="str">
        <f>RawList!A82</f>
        <v>Primary Component</v>
      </c>
      <c r="C118" s="29" t="str">
        <f>RawList!B82</f>
        <v>Power Supply, LiPO Battery Supply/Management</v>
      </c>
      <c r="D118" s="29" t="str">
        <f>RawList!C82</f>
        <v>SparkFun</v>
      </c>
      <c r="E118" s="29" t="str">
        <f>RawList!H82</f>
        <v>Lithium Ion Battery - 6Ah</v>
      </c>
      <c r="F118" s="29" t="str">
        <f>RawList!D82</f>
        <v>PRT-13856</v>
      </c>
      <c r="G118" s="101">
        <f>RawList!E82</f>
        <v>5</v>
      </c>
      <c r="H118" s="29" t="str">
        <f>IF(EquipmentTable[[#This Row],[Units]]&gt;0,"Quantity &gt; 0 Items","Quantity = 0 Items")</f>
        <v>Quantity &gt; 0 Items</v>
      </c>
      <c r="I118" s="102">
        <f>RawList!J82</f>
        <v>29.95</v>
      </c>
      <c r="J118" s="14">
        <f>VALUE(EquipmentTable[[#This Row],[Units]]*EquipmentTable[[#This Row],[Unit
 Price]])</f>
        <v>149.75</v>
      </c>
      <c r="K118" s="29" t="str">
        <f>RawList!G82</f>
        <v>https://cdn.sparkfun.com/r/92-92/assets/parts/1/1/4/6/3/13856-01.jpg</v>
      </c>
      <c r="L118" s="29"/>
      <c r="M118" s="29" t="str">
        <f>RawList!F82</f>
        <v>https://www.sparkfun.com/products/13856</v>
      </c>
    </row>
    <row r="119" spans="2:13" x14ac:dyDescent="0.25">
      <c r="B119" s="29" t="str">
        <f>RawList!A83</f>
        <v>Primary Component</v>
      </c>
      <c r="C119" s="29" t="str">
        <f>RawList!B83</f>
        <v>Power Supply, LiPO Battery Supply/Management</v>
      </c>
      <c r="D119" s="29" t="str">
        <f>RawList!C83</f>
        <v>SparkFun</v>
      </c>
      <c r="E119" s="29" t="str">
        <f>RawList!H83</f>
        <v>Lithium Ion Battery - 2Ah</v>
      </c>
      <c r="F119" s="29" t="str">
        <f>RawList!D83</f>
        <v>PRT-13855</v>
      </c>
      <c r="G119" s="101">
        <f>RawList!E83</f>
        <v>2</v>
      </c>
      <c r="H119" s="29" t="str">
        <f>IF(EquipmentTable[[#This Row],[Units]]&gt;0,"Quantity &gt; 0 Items","Quantity = 0 Items")</f>
        <v>Quantity &gt; 0 Items</v>
      </c>
      <c r="I119" s="102">
        <f>RawList!J83</f>
        <v>12.95</v>
      </c>
      <c r="J119" s="14">
        <f>VALUE(EquipmentTable[[#This Row],[Units]]*EquipmentTable[[#This Row],[Unit
 Price]])</f>
        <v>25.9</v>
      </c>
      <c r="K119" s="29" t="str">
        <f>RawList!G83</f>
        <v>https://cdn.sparkfun.com/r/92-92/assets/parts/1/1/4/6/2/13855-01.jpg</v>
      </c>
      <c r="L119" s="29"/>
      <c r="M119" s="29" t="str">
        <f>RawList!F83</f>
        <v>https://www.sparkfun.com/products/13855</v>
      </c>
    </row>
    <row r="120" spans="2:13" x14ac:dyDescent="0.25">
      <c r="B120" s="29" t="str">
        <f>RawList!A84</f>
        <v>Primary Component</v>
      </c>
      <c r="C120" s="29" t="str">
        <f>RawList!B84</f>
        <v>Power Supply, Breadboard</v>
      </c>
      <c r="D120" s="29" t="str">
        <f>RawList!C84</f>
        <v>SparkFun</v>
      </c>
      <c r="E120" s="29" t="str">
        <f>RawList!H84</f>
        <v>SparkFun Breadboard Power Supply Stick - 5V/3.3V</v>
      </c>
      <c r="F120" s="29" t="str">
        <f>RawList!D84</f>
        <v>PRT-13032</v>
      </c>
      <c r="G120" s="101">
        <f>RawList!E84</f>
        <v>5</v>
      </c>
      <c r="H120" s="29" t="str">
        <f>IF(EquipmentTable[[#This Row],[Units]]&gt;0,"Quantity &gt; 0 Items","Quantity = 0 Items")</f>
        <v>Quantity &gt; 0 Items</v>
      </c>
      <c r="I120" s="102">
        <f>RawList!J84</f>
        <v>9.9499999999999993</v>
      </c>
      <c r="J120" s="14">
        <f>VALUE(EquipmentTable[[#This Row],[Units]]*EquipmentTable[[#This Row],[Unit
 Price]])</f>
        <v>49.75</v>
      </c>
      <c r="K120" s="29" t="str">
        <f>RawList!G84</f>
        <v>https://cdn.sparkfun.com/r/92-92/assets/parts/1/0/0/3/2/13032-01.jpg</v>
      </c>
      <c r="L120" s="29"/>
      <c r="M120" s="29" t="str">
        <f>RawList!F84</f>
        <v>https://www.sparkfun.com/products/13032</v>
      </c>
    </row>
    <row r="121" spans="2:13" x14ac:dyDescent="0.25">
      <c r="B121" s="29" t="str">
        <f>RawList!A85</f>
        <v>Primary Component</v>
      </c>
      <c r="C121" s="29" t="str">
        <f>RawList!B85</f>
        <v>Power Supply, Breadboard</v>
      </c>
      <c r="D121" s="29" t="str">
        <f>RawList!C85</f>
        <v>SparkFun</v>
      </c>
      <c r="E121" s="29" t="str">
        <f>RawList!H85</f>
        <v>SparkFun Breadboard Power Supply 5V/3.3V</v>
      </c>
      <c r="F121" s="29" t="str">
        <f>RawList!D85</f>
        <v>PRT-00114</v>
      </c>
      <c r="G121" s="101">
        <f>RawList!E85</f>
        <v>2</v>
      </c>
      <c r="H121" s="29" t="str">
        <f>IF(EquipmentTable[[#This Row],[Units]]&gt;0,"Quantity &gt; 0 Items","Quantity = 0 Items")</f>
        <v>Quantity &gt; 0 Items</v>
      </c>
      <c r="I121" s="102">
        <f>RawList!J85</f>
        <v>9.9499999999999993</v>
      </c>
      <c r="J121" s="14">
        <f>VALUE(EquipmentTable[[#This Row],[Units]]*EquipmentTable[[#This Row],[Unit
 Price]])</f>
        <v>19.899999999999999</v>
      </c>
      <c r="K121" s="29" t="str">
        <f>RawList!G85</f>
        <v>https://cdn.sparkfun.com/r/92-92/assets/parts/1/0/4/00114-05.jpg</v>
      </c>
      <c r="L121" s="29"/>
      <c r="M121" s="29" t="str">
        <f>RawList!F85</f>
        <v>https://www.sparkfun.com/products/114</v>
      </c>
    </row>
    <row r="122" spans="2:13" x14ac:dyDescent="0.25">
      <c r="B122" s="29" t="str">
        <f>RawList!A86</f>
        <v>Primary Component</v>
      </c>
      <c r="C122" s="29" t="str">
        <f>RawList!B86</f>
        <v>Power Supply, Breadboard</v>
      </c>
      <c r="D122" s="29" t="str">
        <f>RawList!C86</f>
        <v>Adafruit</v>
      </c>
      <c r="E122" s="29" t="str">
        <f>RawList!H86</f>
        <v>Adjustable breadboard power supply kit - v1.0</v>
      </c>
      <c r="F122" s="29" t="str">
        <f>RawList!D86</f>
        <v>184</v>
      </c>
      <c r="G122" s="101">
        <f>RawList!E86</f>
        <v>0</v>
      </c>
      <c r="H122" s="29" t="str">
        <f>IF(EquipmentTable[[#This Row],[Units]]&gt;0,"Quantity &gt; 0 Items","Quantity = 0 Items")</f>
        <v>Quantity = 0 Items</v>
      </c>
      <c r="I122" s="102">
        <f>RawList!J86</f>
        <v>14.95</v>
      </c>
      <c r="J122" s="14">
        <f>VALUE(EquipmentTable[[#This Row],[Units]]*EquipmentTable[[#This Row],[Unit
 Price]])</f>
        <v>0</v>
      </c>
      <c r="K122" s="29">
        <f>RawList!G86</f>
        <v>0</v>
      </c>
      <c r="L122" s="29"/>
      <c r="M122" s="29">
        <f>RawList!F86</f>
        <v>0</v>
      </c>
    </row>
    <row r="123" spans="2:13" x14ac:dyDescent="0.25">
      <c r="B123" s="29" t="str">
        <f>RawList!A87</f>
        <v>Primary Component</v>
      </c>
      <c r="C123" s="29" t="str">
        <f>RawList!B87</f>
        <v>Power Supply, Breadboard</v>
      </c>
      <c r="D123" s="29" t="str">
        <f>RawList!C87</f>
        <v>SparkFun</v>
      </c>
      <c r="E123" s="29" t="str">
        <f>RawList!H87</f>
        <v>DC Barrel Jack Adapter - Breadboard Compatible</v>
      </c>
      <c r="F123" s="29" t="str">
        <f>RawList!D87</f>
        <v>PRT-10811</v>
      </c>
      <c r="G123" s="101">
        <f>RawList!E87</f>
        <v>6</v>
      </c>
      <c r="H123" s="29" t="str">
        <f>IF(EquipmentTable[[#This Row],[Units]]&gt;0,"Quantity &gt; 0 Items","Quantity = 0 Items")</f>
        <v>Quantity &gt; 0 Items</v>
      </c>
      <c r="I123" s="102">
        <f>RawList!J87</f>
        <v>0.95</v>
      </c>
      <c r="J123" s="14">
        <f>VALUE(EquipmentTable[[#This Row],[Units]]*EquipmentTable[[#This Row],[Unit
 Price]])</f>
        <v>5.6999999999999993</v>
      </c>
      <c r="K123" s="29" t="str">
        <f>RawList!G87</f>
        <v>https://cdn.sparkfun.com/r/92-92/assets/parts/5/8/0/3/10811-01.jpg</v>
      </c>
      <c r="L123" s="29"/>
      <c r="M123" s="29" t="str">
        <f>RawList!F87</f>
        <v>https://www.sparkfun.com/products/10811</v>
      </c>
    </row>
    <row r="124" spans="2:13" x14ac:dyDescent="0.25">
      <c r="B124" s="29" t="str">
        <f>RawList!A88</f>
        <v>Primary Component</v>
      </c>
      <c r="C124" s="29" t="str">
        <f>RawList!B88</f>
        <v>Power Supply, Breadboard</v>
      </c>
      <c r="D124" s="29" t="str">
        <f>RawList!C88</f>
        <v>Adafruit</v>
      </c>
      <c r="E124" s="29" t="str">
        <f>RawList!H88</f>
        <v xml:space="preserve">Breadboard-friendly 2.1mm DC barrel jack </v>
      </c>
      <c r="F124" s="29" t="str">
        <f>RawList!D88</f>
        <v>373</v>
      </c>
      <c r="G124" s="101">
        <f>RawList!E88</f>
        <v>0</v>
      </c>
      <c r="H124" s="29" t="str">
        <f>IF(EquipmentTable[[#This Row],[Units]]&gt;0,"Quantity &gt; 0 Items","Quantity = 0 Items")</f>
        <v>Quantity = 0 Items</v>
      </c>
      <c r="I124" s="102">
        <f>RawList!J88</f>
        <v>0.95</v>
      </c>
      <c r="J124" s="14">
        <f>VALUE(EquipmentTable[[#This Row],[Units]]*EquipmentTable[[#This Row],[Unit
 Price]])</f>
        <v>0</v>
      </c>
      <c r="K124" s="29">
        <f>RawList!G88</f>
        <v>0</v>
      </c>
      <c r="L124" s="29"/>
      <c r="M124" s="29">
        <f>RawList!F88</f>
        <v>0</v>
      </c>
    </row>
    <row r="125" spans="2:13" x14ac:dyDescent="0.25">
      <c r="B125" s="29" t="str">
        <f>RawList!A89</f>
        <v>Primary Component</v>
      </c>
      <c r="C125" s="29" t="str">
        <f>RawList!B89</f>
        <v>Power Supply, Control/Switch</v>
      </c>
      <c r="D125" s="29" t="str">
        <f>RawList!C89</f>
        <v>SparkFun</v>
      </c>
      <c r="E125" s="29" t="str">
        <f>RawList!H89</f>
        <v>SparkFun MOSFET Power Controller</v>
      </c>
      <c r="F125" s="29" t="str">
        <f>RawList!D89</f>
        <v>PRT-11214</v>
      </c>
      <c r="G125" s="101">
        <f>RawList!E89</f>
        <v>5</v>
      </c>
      <c r="H125" s="29" t="str">
        <f>IF(EquipmentTable[[#This Row],[Units]]&gt;0,"Quantity &gt; 0 Items","Quantity = 0 Items")</f>
        <v>Quantity &gt; 0 Items</v>
      </c>
      <c r="I125" s="102">
        <f>RawList!J89</f>
        <v>6.95</v>
      </c>
      <c r="J125" s="14">
        <f>VALUE(EquipmentTable[[#This Row],[Units]]*EquipmentTable[[#This Row],[Unit
 Price]])</f>
        <v>34.75</v>
      </c>
      <c r="K125" s="29" t="str">
        <f>RawList!G89</f>
        <v>https://cdn.sparkfun.com/r/92-92/assets/parts/6/7/9/7/11214-02.jpg</v>
      </c>
      <c r="L125" s="29"/>
      <c r="M125" s="29" t="str">
        <f>RawList!F89</f>
        <v>https://www.sparkfun.com/products/11214</v>
      </c>
    </row>
    <row r="126" spans="2:13" x14ac:dyDescent="0.25">
      <c r="B126" s="29" t="str">
        <f>RawList!A90</f>
        <v>Primary Component</v>
      </c>
      <c r="C126" s="29" t="str">
        <f>RawList!B90</f>
        <v>Power Supply, Control/Switch</v>
      </c>
      <c r="D126" s="29" t="str">
        <f>RawList!C90</f>
        <v>Adafruit</v>
      </c>
      <c r="E126" s="29" t="str">
        <f>RawList!H90</f>
        <v>In-line power switch for 2.1mm barrel jack</v>
      </c>
      <c r="F126" s="29" t="str">
        <f>RawList!D90</f>
        <v>1125</v>
      </c>
      <c r="G126" s="101">
        <f>RawList!E90</f>
        <v>0</v>
      </c>
      <c r="H126" s="29" t="str">
        <f>IF(EquipmentTable[[#This Row],[Units]]&gt;0,"Quantity &gt; 0 Items","Quantity = 0 Items")</f>
        <v>Quantity = 0 Items</v>
      </c>
      <c r="I126" s="102">
        <f>RawList!J90</f>
        <v>2.5</v>
      </c>
      <c r="J126" s="14">
        <f>VALUE(EquipmentTable[[#This Row],[Units]]*EquipmentTable[[#This Row],[Unit
 Price]])</f>
        <v>0</v>
      </c>
      <c r="K126" s="29">
        <f>RawList!G90</f>
        <v>0</v>
      </c>
      <c r="L126" s="29"/>
      <c r="M126" s="29">
        <f>RawList!F90</f>
        <v>0</v>
      </c>
    </row>
    <row r="127" spans="2:13" x14ac:dyDescent="0.25">
      <c r="B127" s="29" t="str">
        <f>RawList!A91</f>
        <v>Primary Component</v>
      </c>
      <c r="C127" s="29" t="str">
        <f>RawList!B91</f>
        <v>Power Supply, DIY Cables</v>
      </c>
      <c r="D127" s="29" t="str">
        <f>RawList!C91</f>
        <v>Adafruit</v>
      </c>
      <c r="E127" s="29" t="str">
        <f>RawList!H91</f>
        <v>Waterproof DC Power Cable Set - 5.5/2.1mm</v>
      </c>
      <c r="F127" s="29" t="str">
        <f>RawList!D91</f>
        <v>743</v>
      </c>
      <c r="G127" s="101">
        <f>RawList!E91</f>
        <v>6</v>
      </c>
      <c r="H127" s="29" t="str">
        <f>IF(EquipmentTable[[#This Row],[Units]]&gt;0,"Quantity &gt; 0 Items","Quantity = 0 Items")</f>
        <v>Quantity &gt; 0 Items</v>
      </c>
      <c r="I127" s="102">
        <f>RawList!J91</f>
        <v>2.5</v>
      </c>
      <c r="J127" s="14">
        <f>VALUE(EquipmentTable[[#This Row],[Units]]*EquipmentTable[[#This Row],[Unit
 Price]])</f>
        <v>15</v>
      </c>
      <c r="K127" s="29">
        <f>RawList!G91</f>
        <v>0</v>
      </c>
      <c r="L127" s="29"/>
      <c r="M127" s="29">
        <f>RawList!F91</f>
        <v>0</v>
      </c>
    </row>
    <row r="128" spans="2:13" x14ac:dyDescent="0.25">
      <c r="B128" s="29" t="str">
        <f>RawList!A92</f>
        <v>Primary Component</v>
      </c>
      <c r="C128" s="29" t="str">
        <f>RawList!B92</f>
        <v>Power Supply, DIY Cables</v>
      </c>
      <c r="D128" s="29" t="str">
        <f>RawList!C92</f>
        <v>SparkFun</v>
      </c>
      <c r="E128" s="29" t="str">
        <f>RawList!H92</f>
        <v>DC Barrel Jack Adapter - Female</v>
      </c>
      <c r="F128" s="29" t="str">
        <f>RawList!D92</f>
        <v>PRT-10288</v>
      </c>
      <c r="G128" s="101">
        <f>RawList!E92</f>
        <v>0</v>
      </c>
      <c r="H128" s="29" t="str">
        <f>IF(EquipmentTable[[#This Row],[Units]]&gt;0,"Quantity &gt; 0 Items","Quantity = 0 Items")</f>
        <v>Quantity = 0 Items</v>
      </c>
      <c r="I128" s="102">
        <f>RawList!J92</f>
        <v>2.95</v>
      </c>
      <c r="J128" s="14">
        <f>VALUE(EquipmentTable[[#This Row],[Units]]*EquipmentTable[[#This Row],[Unit
 Price]])</f>
        <v>0</v>
      </c>
      <c r="K128" s="29" t="str">
        <f>RawList!G92</f>
        <v>https://cdn.sparkfun.com/r/92-92/assets/parts/4/6/8/4/10288-02.jpg</v>
      </c>
      <c r="L128" s="29"/>
      <c r="M128" s="29" t="str">
        <f>RawList!F92</f>
        <v>https://www.sparkfun.com/products/10288</v>
      </c>
    </row>
    <row r="129" spans="2:13" x14ac:dyDescent="0.25">
      <c r="B129" s="29" t="str">
        <f>RawList!A93</f>
        <v>Primary Component</v>
      </c>
      <c r="C129" s="29" t="str">
        <f>RawList!B93</f>
        <v>Power Supply, DIY Cables</v>
      </c>
      <c r="D129" s="29" t="str">
        <f>RawList!C93</f>
        <v>SparkFun</v>
      </c>
      <c r="E129" s="29" t="str">
        <f>RawList!H93</f>
        <v>DC Barrel Jack Adapter - Male</v>
      </c>
      <c r="F129" s="29" t="str">
        <f>RawList!D93</f>
        <v>PRT-10287</v>
      </c>
      <c r="G129" s="101">
        <f>RawList!E93</f>
        <v>0</v>
      </c>
      <c r="H129" s="29" t="str">
        <f>IF(EquipmentTable[[#This Row],[Units]]&gt;0,"Quantity &gt; 0 Items","Quantity = 0 Items")</f>
        <v>Quantity = 0 Items</v>
      </c>
      <c r="I129" s="102">
        <f>RawList!J93</f>
        <v>2.95</v>
      </c>
      <c r="J129" s="14">
        <f>VALUE(EquipmentTable[[#This Row],[Units]]*EquipmentTable[[#This Row],[Unit
 Price]])</f>
        <v>0</v>
      </c>
      <c r="K129" s="29" t="str">
        <f>RawList!G93</f>
        <v>https://cdn.sparkfun.com/r/92-92/assets/parts/4/6/8/3/10287-01.jpg</v>
      </c>
      <c r="L129" s="29"/>
      <c r="M129" s="29" t="str">
        <f>RawList!F93</f>
        <v>https://www.sparkfun.com/products/10287</v>
      </c>
    </row>
    <row r="130" spans="2:13" x14ac:dyDescent="0.25">
      <c r="B130" s="29" t="str">
        <f>RawList!A94</f>
        <v>Primary Component</v>
      </c>
      <c r="C130" s="29" t="str">
        <f>RawList!B94</f>
        <v>Power Supply, DIY Cables</v>
      </c>
      <c r="D130" s="29" t="str">
        <f>RawList!C94</f>
        <v>Adafruit</v>
      </c>
      <c r="E130" s="29" t="str">
        <f>RawList!H94</f>
        <v>Female DC Power adapter - 2.1mm jack to screw terminal block</v>
      </c>
      <c r="F130" s="29" t="str">
        <f>RawList!D94</f>
        <v>368</v>
      </c>
      <c r="G130" s="101">
        <f>RawList!E94</f>
        <v>0</v>
      </c>
      <c r="H130" s="29" t="str">
        <f>IF(EquipmentTable[[#This Row],[Units]]&gt;0,"Quantity &gt; 0 Items","Quantity = 0 Items")</f>
        <v>Quantity = 0 Items</v>
      </c>
      <c r="I130" s="102">
        <f>RawList!J94</f>
        <v>2</v>
      </c>
      <c r="J130" s="14">
        <f>VALUE(EquipmentTable[[#This Row],[Units]]*EquipmentTable[[#This Row],[Unit
 Price]])</f>
        <v>0</v>
      </c>
      <c r="K130" s="29">
        <f>RawList!G94</f>
        <v>0</v>
      </c>
      <c r="L130" s="29"/>
      <c r="M130" s="29">
        <f>RawList!F94</f>
        <v>0</v>
      </c>
    </row>
    <row r="131" spans="2:13" x14ac:dyDescent="0.25">
      <c r="B131" s="29" t="str">
        <f>RawList!A95</f>
        <v>Primary Component</v>
      </c>
      <c r="C131" s="29" t="str">
        <f>RawList!B95</f>
        <v>Power Supply, DIY Cables</v>
      </c>
      <c r="D131" s="29" t="str">
        <f>RawList!C95</f>
        <v>Adafruit</v>
      </c>
      <c r="E131" s="29" t="str">
        <f>RawList!H95</f>
        <v>Male DC Power adapter - 2.1mm plug to screw terminal block</v>
      </c>
      <c r="F131" s="29" t="str">
        <f>RawList!D95</f>
        <v>369</v>
      </c>
      <c r="G131" s="101">
        <f>RawList!E95</f>
        <v>0</v>
      </c>
      <c r="H131" s="29" t="str">
        <f>IF(EquipmentTable[[#This Row],[Units]]&gt;0,"Quantity &gt; 0 Items","Quantity = 0 Items")</f>
        <v>Quantity = 0 Items</v>
      </c>
      <c r="I131" s="102">
        <f>RawList!J95</f>
        <v>2</v>
      </c>
      <c r="J131" s="14">
        <f>VALUE(EquipmentTable[[#This Row],[Units]]*EquipmentTable[[#This Row],[Unit
 Price]])</f>
        <v>0</v>
      </c>
      <c r="K131" s="29">
        <f>RawList!G95</f>
        <v>0</v>
      </c>
      <c r="L131" s="29"/>
      <c r="M131" s="29">
        <f>RawList!F95</f>
        <v>0</v>
      </c>
    </row>
    <row r="132" spans="2:13" x14ac:dyDescent="0.25">
      <c r="B132" s="29" t="str">
        <f>RawList!A96</f>
        <v>Primary Component</v>
      </c>
      <c r="C132" s="29" t="str">
        <f>RawList!B96</f>
        <v>Power Supply, DIY Cables</v>
      </c>
      <c r="D132" s="29" t="str">
        <f>RawList!C96</f>
        <v>SparkFun</v>
      </c>
      <c r="E132" s="29" t="str">
        <f>RawList!H96</f>
        <v>DC Barrel Jack Plug - Female</v>
      </c>
      <c r="F132" s="29" t="str">
        <f>RawList!D96</f>
        <v>PRT-13126</v>
      </c>
      <c r="G132" s="101">
        <f>RawList!E96</f>
        <v>2</v>
      </c>
      <c r="H132" s="29" t="str">
        <f>IF(EquipmentTable[[#This Row],[Units]]&gt;0,"Quantity &gt; 0 Items","Quantity = 0 Items")</f>
        <v>Quantity &gt; 0 Items</v>
      </c>
      <c r="I132" s="102">
        <f>RawList!J96</f>
        <v>0.95</v>
      </c>
      <c r="J132" s="14">
        <f>VALUE(EquipmentTable[[#This Row],[Units]]*EquipmentTable[[#This Row],[Unit
 Price]])</f>
        <v>1.9</v>
      </c>
      <c r="K132" s="29" t="str">
        <f>RawList!G96</f>
        <v>https://cdn.sparkfun.com/r/92-92/assets/parts/1/0/1/9/0/13126-01.jpg</v>
      </c>
      <c r="L132" s="29"/>
      <c r="M132" s="29" t="str">
        <f>RawList!F96</f>
        <v>https://www.sparkfun.com/products/13126</v>
      </c>
    </row>
    <row r="133" spans="2:13" x14ac:dyDescent="0.25">
      <c r="B133" s="29" t="str">
        <f>RawList!A97</f>
        <v>Primary Component</v>
      </c>
      <c r="C133" s="29" t="str">
        <f>RawList!B97</f>
        <v>Power Supply, DIY Cables</v>
      </c>
      <c r="D133" s="29" t="str">
        <f>RawList!C97</f>
        <v>SparkFun</v>
      </c>
      <c r="E133" s="29" t="str">
        <f>RawList!H97</f>
        <v>DC Barrel Jack Plug - Male</v>
      </c>
      <c r="F133" s="29" t="str">
        <f>RawList!D97</f>
        <v>PRT-11476</v>
      </c>
      <c r="G133" s="101">
        <f>RawList!E97</f>
        <v>6</v>
      </c>
      <c r="H133" s="29" t="str">
        <f>IF(EquipmentTable[[#This Row],[Units]]&gt;0,"Quantity &gt; 0 Items","Quantity = 0 Items")</f>
        <v>Quantity &gt; 0 Items</v>
      </c>
      <c r="I133" s="102">
        <f>RawList!J97</f>
        <v>0.95</v>
      </c>
      <c r="J133" s="14">
        <f>VALUE(EquipmentTable[[#This Row],[Units]]*EquipmentTable[[#This Row],[Unit
 Price]])</f>
        <v>5.6999999999999993</v>
      </c>
      <c r="K133" s="29" t="str">
        <f>RawList!G97</f>
        <v>https://cdn.sparkfun.com/r/92-92/assets/parts/7/3/6/3/11476-01.jpg</v>
      </c>
      <c r="L133" s="29"/>
      <c r="M133" s="29" t="str">
        <f>RawList!F97</f>
        <v>https://www.sparkfun.com/products/11476</v>
      </c>
    </row>
    <row r="134" spans="2:13" x14ac:dyDescent="0.25">
      <c r="B134" s="29" t="str">
        <f>RawList!A98</f>
        <v>Primary Component</v>
      </c>
      <c r="C134" s="29" t="str">
        <f>RawList!B98</f>
        <v>Power Supply, DIY Cables</v>
      </c>
      <c r="D134" s="29" t="str">
        <f>RawList!C98</f>
        <v>SparkFun</v>
      </c>
      <c r="E134" s="29" t="str">
        <f>RawList!H98</f>
        <v>Car Adapter Plug - Red LED</v>
      </c>
      <c r="F134" s="29" t="str">
        <f>RawList!D98</f>
        <v>PRT-11474</v>
      </c>
      <c r="G134" s="101">
        <f>RawList!E98</f>
        <v>4</v>
      </c>
      <c r="H134" s="29" t="str">
        <f>IF(EquipmentTable[[#This Row],[Units]]&gt;0,"Quantity &gt; 0 Items","Quantity = 0 Items")</f>
        <v>Quantity &gt; 0 Items</v>
      </c>
      <c r="I134" s="102">
        <f>RawList!J98</f>
        <v>0.3</v>
      </c>
      <c r="J134" s="14">
        <f>VALUE(EquipmentTable[[#This Row],[Units]]*EquipmentTable[[#This Row],[Unit
 Price]])</f>
        <v>1.2</v>
      </c>
      <c r="K134" s="29" t="str">
        <f>RawList!G98</f>
        <v>https://cdn.sparkfun.com/r/92-92/assets/parts/7/3/6/1/11474-01.jpg</v>
      </c>
      <c r="L134" s="29"/>
      <c r="M134" s="29" t="str">
        <f>RawList!F98</f>
        <v>https://www.sparkfun.com/products/11474</v>
      </c>
    </row>
    <row r="135" spans="2:13" x14ac:dyDescent="0.25">
      <c r="B135" s="29" t="str">
        <f>RawList!A99</f>
        <v>Primary Component</v>
      </c>
      <c r="C135" s="29" t="str">
        <f>RawList!B99</f>
        <v>Power Supply, DIY Cables</v>
      </c>
      <c r="D135" s="29" t="str">
        <f>RawList!C99</f>
        <v>Adafruit</v>
      </c>
      <c r="E135" s="29" t="str">
        <f>RawList!H99</f>
        <v>USB DIY Connector - MicroB Female Plug</v>
      </c>
      <c r="F135" s="29" t="str">
        <f>RawList!D99</f>
        <v>1829</v>
      </c>
      <c r="G135" s="101">
        <f>RawList!E99</f>
        <v>0</v>
      </c>
      <c r="H135" s="29" t="str">
        <f>IF(EquipmentTable[[#This Row],[Units]]&gt;0,"Quantity &gt; 0 Items","Quantity = 0 Items")</f>
        <v>Quantity = 0 Items</v>
      </c>
      <c r="I135" s="102">
        <f>RawList!J99</f>
        <v>0.95</v>
      </c>
      <c r="J135" s="14">
        <f>VALUE(EquipmentTable[[#This Row],[Units]]*EquipmentTable[[#This Row],[Unit
 Price]])</f>
        <v>0</v>
      </c>
      <c r="K135" s="29">
        <f>RawList!G99</f>
        <v>0</v>
      </c>
      <c r="L135" s="29"/>
      <c r="M135" s="29">
        <f>RawList!F99</f>
        <v>0</v>
      </c>
    </row>
    <row r="136" spans="2:13" x14ac:dyDescent="0.25">
      <c r="B136" s="29" t="str">
        <f>RawList!A100</f>
        <v>Primary Component</v>
      </c>
      <c r="C136" s="29" t="str">
        <f>RawList!B100</f>
        <v>Power Supply, DIY Cables</v>
      </c>
      <c r="D136" s="29" t="str">
        <f>RawList!C100</f>
        <v>Adafruit</v>
      </c>
      <c r="E136" s="29" t="str">
        <f>RawList!H100</f>
        <v>USB DIY Connector Shell - Type A Socket</v>
      </c>
      <c r="F136" s="29" t="str">
        <f>RawList!D100</f>
        <v>1388</v>
      </c>
      <c r="G136" s="101">
        <f>RawList!E100</f>
        <v>0</v>
      </c>
      <c r="H136" s="29" t="str">
        <f>IF(EquipmentTable[[#This Row],[Units]]&gt;0,"Quantity &gt; 0 Items","Quantity = 0 Items")</f>
        <v>Quantity = 0 Items</v>
      </c>
      <c r="I136" s="102">
        <f>RawList!J100</f>
        <v>0.95</v>
      </c>
      <c r="J136" s="14">
        <f>VALUE(EquipmentTable[[#This Row],[Units]]*EquipmentTable[[#This Row],[Unit
 Price]])</f>
        <v>0</v>
      </c>
      <c r="K136" s="29">
        <f>RawList!G100</f>
        <v>0</v>
      </c>
      <c r="L136" s="29"/>
      <c r="M136" s="29">
        <f>RawList!F100</f>
        <v>0</v>
      </c>
    </row>
    <row r="137" spans="2:13" x14ac:dyDescent="0.25">
      <c r="B137" s="29" t="str">
        <f>RawList!A101</f>
        <v>Primary Component</v>
      </c>
      <c r="C137" s="29" t="str">
        <f>RawList!B101</f>
        <v>Power Supply, DIY Cables</v>
      </c>
      <c r="D137" s="29" t="str">
        <f>RawList!C101</f>
        <v>Adafruit</v>
      </c>
      <c r="E137" s="29" t="str">
        <f>RawList!H101</f>
        <v>USB DIY Connector Shell - Type Micro-B Plug</v>
      </c>
      <c r="F137" s="29" t="str">
        <f>RawList!D101</f>
        <v>1390</v>
      </c>
      <c r="G137" s="101">
        <f>RawList!E101</f>
        <v>0</v>
      </c>
      <c r="H137" s="29" t="str">
        <f>IF(EquipmentTable[[#This Row],[Units]]&gt;0,"Quantity &gt; 0 Items","Quantity = 0 Items")</f>
        <v>Quantity = 0 Items</v>
      </c>
      <c r="I137" s="102">
        <f>RawList!J101</f>
        <v>0.95</v>
      </c>
      <c r="J137" s="14">
        <f>VALUE(EquipmentTable[[#This Row],[Units]]*EquipmentTable[[#This Row],[Unit
 Price]])</f>
        <v>0</v>
      </c>
      <c r="K137" s="29">
        <f>RawList!G101</f>
        <v>0</v>
      </c>
      <c r="L137" s="29"/>
      <c r="M137" s="29">
        <f>RawList!F101</f>
        <v>0</v>
      </c>
    </row>
    <row r="138" spans="2:13" x14ac:dyDescent="0.25">
      <c r="B138" s="29" t="str">
        <f>RawList!A102</f>
        <v>Primary Component</v>
      </c>
      <c r="C138" s="29" t="str">
        <f>RawList!B102</f>
        <v>Power Supply, DIY Cables</v>
      </c>
      <c r="D138" s="29" t="str">
        <f>RawList!C102</f>
        <v>Adafruit</v>
      </c>
      <c r="E138" s="29" t="str">
        <f>RawList!H102</f>
        <v>USB DIY Connector Shell - Type Mini-B Plug</v>
      </c>
      <c r="F138" s="29" t="str">
        <f>RawList!D102</f>
        <v>1389</v>
      </c>
      <c r="G138" s="101">
        <f>RawList!E102</f>
        <v>0</v>
      </c>
      <c r="H138" s="29" t="str">
        <f>IF(EquipmentTable[[#This Row],[Units]]&gt;0,"Quantity &gt; 0 Items","Quantity = 0 Items")</f>
        <v>Quantity = 0 Items</v>
      </c>
      <c r="I138" s="102">
        <f>RawList!J102</f>
        <v>0.95</v>
      </c>
      <c r="J138" s="14">
        <f>VALUE(EquipmentTable[[#This Row],[Units]]*EquipmentTable[[#This Row],[Unit
 Price]])</f>
        <v>0</v>
      </c>
      <c r="K138" s="29">
        <f>RawList!G102</f>
        <v>0</v>
      </c>
      <c r="L138" s="29"/>
      <c r="M138" s="29">
        <f>RawList!F102</f>
        <v>0</v>
      </c>
    </row>
    <row r="139" spans="2:13" x14ac:dyDescent="0.25">
      <c r="B139" s="29" t="str">
        <f>RawList!A103</f>
        <v>Primary Component</v>
      </c>
      <c r="C139" s="29" t="str">
        <f>RawList!B103</f>
        <v>Power Supply, DIY Cables</v>
      </c>
      <c r="D139" s="29" t="str">
        <f>RawList!C103</f>
        <v>Adafruit</v>
      </c>
      <c r="E139" s="29" t="str">
        <f>RawList!H103</f>
        <v>USB DIY Slim Connector Shell - A-M Plug</v>
      </c>
      <c r="F139" s="29" t="str">
        <f>RawList!D103</f>
        <v>1827</v>
      </c>
      <c r="G139" s="101">
        <f>RawList!E103</f>
        <v>0</v>
      </c>
      <c r="H139" s="29" t="str">
        <f>IF(EquipmentTable[[#This Row],[Units]]&gt;0,"Quantity &gt; 0 Items","Quantity = 0 Items")</f>
        <v>Quantity = 0 Items</v>
      </c>
      <c r="I139" s="102">
        <f>RawList!J103</f>
        <v>0.95</v>
      </c>
      <c r="J139" s="14">
        <f>VALUE(EquipmentTable[[#This Row],[Units]]*EquipmentTable[[#This Row],[Unit
 Price]])</f>
        <v>0</v>
      </c>
      <c r="K139" s="29">
        <f>RawList!G103</f>
        <v>0</v>
      </c>
      <c r="L139" s="29"/>
      <c r="M139" s="29">
        <f>RawList!F103</f>
        <v>0</v>
      </c>
    </row>
    <row r="140" spans="2:13" x14ac:dyDescent="0.25">
      <c r="B140" s="29" t="str">
        <f>RawList!A104</f>
        <v>Primary Component</v>
      </c>
      <c r="C140" s="29" t="str">
        <f>RawList!B104</f>
        <v>Power Supply, DIY Cables</v>
      </c>
      <c r="D140" s="29" t="str">
        <f>RawList!C104</f>
        <v>Adafruit</v>
      </c>
      <c r="E140" s="29" t="str">
        <f>RawList!H104</f>
        <v>USB DIY Slim Connector Shell - MicroB Plug</v>
      </c>
      <c r="F140" s="29" t="str">
        <f>RawList!D104</f>
        <v>1826</v>
      </c>
      <c r="G140" s="101">
        <f>RawList!E104</f>
        <v>0</v>
      </c>
      <c r="H140" s="29" t="str">
        <f>IF(EquipmentTable[[#This Row],[Units]]&gt;0,"Quantity &gt; 0 Items","Quantity = 0 Items")</f>
        <v>Quantity = 0 Items</v>
      </c>
      <c r="I140" s="102">
        <f>RawList!J104</f>
        <v>0.95</v>
      </c>
      <c r="J140" s="14">
        <f>VALUE(EquipmentTable[[#This Row],[Units]]*EquipmentTable[[#This Row],[Unit
 Price]])</f>
        <v>0</v>
      </c>
      <c r="K140" s="29">
        <f>RawList!G104</f>
        <v>0</v>
      </c>
      <c r="L140" s="29"/>
      <c r="M140" s="29">
        <f>RawList!F104</f>
        <v>0</v>
      </c>
    </row>
    <row r="141" spans="2:13" x14ac:dyDescent="0.25">
      <c r="B141" s="29" t="str">
        <f>RawList!A105</f>
        <v>Primary Component</v>
      </c>
      <c r="C141" s="29" t="str">
        <f>RawList!B105</f>
        <v>Proximity/Distance</v>
      </c>
      <c r="D141" s="29" t="str">
        <f>RawList!C105</f>
        <v>SparkFun</v>
      </c>
      <c r="E141" s="29" t="str">
        <f>RawList!H105</f>
        <v>Optical Detector / Phototransistor - QRD1114</v>
      </c>
      <c r="F141" s="29" t="str">
        <f>RawList!D105</f>
        <v>SEN-00246</v>
      </c>
      <c r="G141" s="101">
        <f>RawList!E105</f>
        <v>5</v>
      </c>
      <c r="H141" s="29" t="str">
        <f>IF(EquipmentTable[[#This Row],[Units]]&gt;0,"Quantity &gt; 0 Items","Quantity = 0 Items")</f>
        <v>Quantity &gt; 0 Items</v>
      </c>
      <c r="I141" s="102">
        <f>RawList!J105</f>
        <v>0.95</v>
      </c>
      <c r="J141" s="14">
        <f>VALUE(EquipmentTable[[#This Row],[Units]]*EquipmentTable[[#This Row],[Unit
 Price]])</f>
        <v>4.75</v>
      </c>
      <c r="K141" s="29" t="str">
        <f>RawList!G105</f>
        <v>https://cdn.sparkfun.com/r/92-92/assets/parts/1/8/8/00246a-01.jpg</v>
      </c>
      <c r="L141" s="29"/>
      <c r="M141" s="29" t="str">
        <f>RawList!F105</f>
        <v>https://www.sparkfun.com/products/246</v>
      </c>
    </row>
    <row r="142" spans="2:13" x14ac:dyDescent="0.25">
      <c r="B142" s="29" t="str">
        <f>RawList!A106</f>
        <v>Primary Component</v>
      </c>
      <c r="C142" s="29" t="str">
        <f>RawList!B106</f>
        <v>Proximity/Distance</v>
      </c>
      <c r="D142" s="29" t="str">
        <f>RawList!C106</f>
        <v>SparkFun</v>
      </c>
      <c r="E142" s="29" t="str">
        <f>RawList!H106</f>
        <v>Infrared Emitters and Detectors</v>
      </c>
      <c r="F142" s="29" t="str">
        <f>RawList!D106</f>
        <v>SEN-00241</v>
      </c>
      <c r="G142" s="101">
        <f>RawList!E106</f>
        <v>20</v>
      </c>
      <c r="H142" s="29" t="str">
        <f>IF(EquipmentTable[[#This Row],[Units]]&gt;0,"Quantity &gt; 0 Items","Quantity = 0 Items")</f>
        <v>Quantity &gt; 0 Items</v>
      </c>
      <c r="I142" s="102">
        <f>RawList!J106</f>
        <v>1.95</v>
      </c>
      <c r="J142" s="14">
        <f>VALUE(EquipmentTable[[#This Row],[Units]]*EquipmentTable[[#This Row],[Unit
 Price]])</f>
        <v>39</v>
      </c>
      <c r="K142" s="29" t="str">
        <f>RawList!G106</f>
        <v>https://cdn.sparkfun.com/r/92-92/assets/parts/1/8/3/00241-02.jpg</v>
      </c>
      <c r="L142" s="29"/>
      <c r="M142" s="29" t="str">
        <f>RawList!F106</f>
        <v>https://www.sparkfun.com/products/241</v>
      </c>
    </row>
    <row r="143" spans="2:13" x14ac:dyDescent="0.25">
      <c r="B143" s="29" t="str">
        <f>RawList!A107</f>
        <v>Primary Component</v>
      </c>
      <c r="C143" s="29" t="str">
        <f>RawList!B107</f>
        <v>Proximity/Distance</v>
      </c>
      <c r="D143" s="29" t="str">
        <f>RawList!C107</f>
        <v>SparkFun</v>
      </c>
      <c r="E143" s="29" t="str">
        <f>RawList!H107</f>
        <v>SparkFun OpenPIR</v>
      </c>
      <c r="F143" s="29" t="str">
        <f>RawList!D107</f>
        <v>SEN-13968</v>
      </c>
      <c r="G143" s="101">
        <f>RawList!E107</f>
        <v>5</v>
      </c>
      <c r="H143" s="29" t="str">
        <f>IF(EquipmentTable[[#This Row],[Units]]&gt;0,"Quantity &gt; 0 Items","Quantity = 0 Items")</f>
        <v>Quantity &gt; 0 Items</v>
      </c>
      <c r="I143" s="102">
        <f>RawList!J107</f>
        <v>14.95</v>
      </c>
      <c r="J143" s="14">
        <f>VALUE(EquipmentTable[[#This Row],[Units]]*EquipmentTable[[#This Row],[Unit
 Price]])</f>
        <v>74.75</v>
      </c>
      <c r="K143" s="29" t="str">
        <f>RawList!G107</f>
        <v>https://cdn.sparkfun.com/r/92-92/assets/parts/1/1/7/0/6/13968-01.jpg</v>
      </c>
      <c r="L143" s="29"/>
      <c r="M143" s="29" t="str">
        <f>RawList!F107</f>
        <v>https://www.sparkfun.com/products/13968</v>
      </c>
    </row>
    <row r="144" spans="2:13" x14ac:dyDescent="0.25">
      <c r="B144" s="29" t="str">
        <f>RawList!A108</f>
        <v>Primary Component</v>
      </c>
      <c r="C144" s="29" t="str">
        <f>RawList!B108</f>
        <v>Proximity/Distance</v>
      </c>
      <c r="D144" s="29" t="str">
        <f>RawList!C108</f>
        <v>SparkFun</v>
      </c>
      <c r="E144" s="29" t="str">
        <f>RawList!H108</f>
        <v>Ultrasonic Sensor - HC-SR04</v>
      </c>
      <c r="F144" s="29" t="str">
        <f>RawList!D108</f>
        <v>SEN-13959</v>
      </c>
      <c r="G144" s="101">
        <f>RawList!E108</f>
        <v>10</v>
      </c>
      <c r="H144" s="29" t="str">
        <f>IF(EquipmentTable[[#This Row],[Units]]&gt;0,"Quantity &gt; 0 Items","Quantity = 0 Items")</f>
        <v>Quantity &gt; 0 Items</v>
      </c>
      <c r="I144" s="102">
        <f>RawList!J108</f>
        <v>3.95</v>
      </c>
      <c r="J144" s="14">
        <f>VALUE(EquipmentTable[[#This Row],[Units]]*EquipmentTable[[#This Row],[Unit
 Price]])</f>
        <v>39.5</v>
      </c>
      <c r="K144" s="29" t="str">
        <f>RawList!G108</f>
        <v>https://cdn.sparkfun.com/r/92-92/assets/parts/1/1/6/6/8/13959-01a.jpg</v>
      </c>
      <c r="L144" s="29"/>
      <c r="M144" s="29" t="str">
        <f>RawList!F108</f>
        <v>https://www.sparkfun.com/products/13959</v>
      </c>
    </row>
    <row r="145" spans="2:13" x14ac:dyDescent="0.25">
      <c r="B145" s="29" t="str">
        <f>RawList!A109</f>
        <v>Primary Component</v>
      </c>
      <c r="C145" s="29" t="str">
        <f>RawList!B109</f>
        <v>Proximity/Distance</v>
      </c>
      <c r="D145" s="29" t="str">
        <f>RawList!C109</f>
        <v>SparkFun</v>
      </c>
      <c r="E145" s="29" t="str">
        <f>RawList!H109</f>
        <v>SparkFun ToF Range Finder Sensor - VL6180</v>
      </c>
      <c r="F145" s="29" t="str">
        <f>RawList!D109</f>
        <v>SEN-12785</v>
      </c>
      <c r="G145" s="101">
        <f>RawList!E109</f>
        <v>0</v>
      </c>
      <c r="H145" s="29" t="str">
        <f>IF(EquipmentTable[[#This Row],[Units]]&gt;0,"Quantity &gt; 0 Items","Quantity = 0 Items")</f>
        <v>Quantity = 0 Items</v>
      </c>
      <c r="I145" s="102">
        <f>RawList!J109</f>
        <v>24.95</v>
      </c>
      <c r="J145" s="14">
        <f>VALUE(EquipmentTable[[#This Row],[Units]]*EquipmentTable[[#This Row],[Unit
 Price]])</f>
        <v>0</v>
      </c>
      <c r="K145" s="29" t="str">
        <f>RawList!G109</f>
        <v>https://cdn.sparkfun.com/r/92-92/assets/parts/9/5/9/7/12785-01.jpg</v>
      </c>
      <c r="L145" s="29"/>
      <c r="M145" s="29" t="str">
        <f>RawList!F109</f>
        <v>https://www.sparkfun.com/products/12785</v>
      </c>
    </row>
    <row r="146" spans="2:13" x14ac:dyDescent="0.25">
      <c r="B146" s="29" t="str">
        <f>RawList!A110</f>
        <v>Primary Component</v>
      </c>
      <c r="C146" s="29" t="str">
        <f>RawList!B110</f>
        <v>Proximity/Distance</v>
      </c>
      <c r="D146" s="29" t="str">
        <f>RawList!C110</f>
        <v>SparkFun</v>
      </c>
      <c r="E146" s="29" t="str">
        <f>RawList!H110</f>
        <v>ZX Distance and Gesture Sensor</v>
      </c>
      <c r="F146" s="29" t="str">
        <f>RawList!D110</f>
        <v>SEN-13162</v>
      </c>
      <c r="G146" s="101">
        <f>RawList!E110</f>
        <v>5</v>
      </c>
      <c r="H146" s="29" t="str">
        <f>IF(EquipmentTable[[#This Row],[Units]]&gt;0,"Quantity &gt; 0 Items","Quantity = 0 Items")</f>
        <v>Quantity &gt; 0 Items</v>
      </c>
      <c r="I146" s="102">
        <f>RawList!J110</f>
        <v>24.95</v>
      </c>
      <c r="J146" s="14">
        <f>VALUE(EquipmentTable[[#This Row],[Units]]*EquipmentTable[[#This Row],[Unit
 Price]])</f>
        <v>124.75</v>
      </c>
      <c r="K146" s="29" t="str">
        <f>RawList!G110</f>
        <v>https://cdn.sparkfun.com/r/92-92/assets/parts/1/0/2/7/9/13162-01a.jpg</v>
      </c>
      <c r="L146" s="29"/>
      <c r="M146" s="29" t="str">
        <f>RawList!F110</f>
        <v>https://www.sparkfun.com/products/13162</v>
      </c>
    </row>
    <row r="147" spans="2:13" x14ac:dyDescent="0.25">
      <c r="B147" s="29" t="str">
        <f>RawList!A111</f>
        <v>Primary Component</v>
      </c>
      <c r="C147" s="29" t="str">
        <f>RawList!B111</f>
        <v>Proximity/Distance</v>
      </c>
      <c r="D147" s="29" t="str">
        <f>RawList!C111</f>
        <v>SparkFun</v>
      </c>
      <c r="E147" s="29" t="str">
        <f>RawList!H111</f>
        <v>SparkFun RGB and Gesture Sensor - APDS-9960</v>
      </c>
      <c r="F147" s="29" t="str">
        <f>RawList!D111</f>
        <v>SEN-12787</v>
      </c>
      <c r="G147" s="101">
        <f>RawList!E111</f>
        <v>0</v>
      </c>
      <c r="H147" s="29" t="str">
        <f>IF(EquipmentTable[[#This Row],[Units]]&gt;0,"Quantity &gt; 0 Items","Quantity = 0 Items")</f>
        <v>Quantity = 0 Items</v>
      </c>
      <c r="I147" s="102">
        <f>RawList!J111</f>
        <v>14.95</v>
      </c>
      <c r="J147" s="14">
        <f>VALUE(EquipmentTable[[#This Row],[Units]]*EquipmentTable[[#This Row],[Unit
 Price]])</f>
        <v>0</v>
      </c>
      <c r="K147" s="29" t="str">
        <f>RawList!G111</f>
        <v>https://cdn.sparkfun.com/r/92-92/assets/parts/9/6/0/3/12787-01.jpg</v>
      </c>
      <c r="L147" s="29"/>
      <c r="M147" s="29" t="str">
        <f>RawList!F111</f>
        <v>https://www.sparkfun.com/products/12787</v>
      </c>
    </row>
    <row r="148" spans="2:13" x14ac:dyDescent="0.25">
      <c r="B148" s="29" t="str">
        <f>RawList!A112</f>
        <v>Primary Component</v>
      </c>
      <c r="C148" s="29" t="str">
        <f>RawList!B112</f>
        <v>Proximity/Distance</v>
      </c>
      <c r="D148" s="29" t="str">
        <f>RawList!C112</f>
        <v>SparkFun</v>
      </c>
      <c r="E148" s="29" t="str">
        <f>RawList!H112</f>
        <v>Qwiic Distance Sensor - RFD77402</v>
      </c>
      <c r="F148" s="29" t="str">
        <f>RawList!D112</f>
        <v>SPX-14343</v>
      </c>
      <c r="G148" s="101">
        <f>RawList!E112</f>
        <v>3</v>
      </c>
      <c r="H148" s="29" t="str">
        <f>IF(EquipmentTable[[#This Row],[Units]]&gt;0,"Quantity &gt; 0 Items","Quantity = 0 Items")</f>
        <v>Quantity &gt; 0 Items</v>
      </c>
      <c r="I148" s="102">
        <f>RawList!J112</f>
        <v>19.95</v>
      </c>
      <c r="J148" s="14">
        <f>VALUE(EquipmentTable[[#This Row],[Units]]*EquipmentTable[[#This Row],[Unit
 Price]])</f>
        <v>59.849999999999994</v>
      </c>
      <c r="K148" s="29" t="str">
        <f>RawList!G112</f>
        <v>https://cdn.sparkfun.com/r/92-92/assets/parts/1/2/3/1/9/ToFQuarter.jpg</v>
      </c>
      <c r="L148" s="29"/>
      <c r="M148" s="29" t="str">
        <f>RawList!F112</f>
        <v>https://www.sparkfun.com/products/14343</v>
      </c>
    </row>
    <row r="149" spans="2:13" x14ac:dyDescent="0.25">
      <c r="B149" s="29" t="str">
        <f>RawList!A114</f>
        <v>Primary Component</v>
      </c>
      <c r="C149" s="29" t="str">
        <f>RawList!B114</f>
        <v>Proximity/Distance</v>
      </c>
      <c r="D149" s="29" t="str">
        <f>RawList!C114</f>
        <v>SparkFun</v>
      </c>
      <c r="E149" s="29" t="str">
        <f>RawList!H114</f>
        <v>Infrared Proximity Sensor - Sharp GP2Y0A21YK</v>
      </c>
      <c r="F149" s="29" t="str">
        <f>RawList!D114</f>
        <v>SEN-00242</v>
      </c>
      <c r="G149" s="101">
        <f>RawList!E114</f>
        <v>0</v>
      </c>
      <c r="H149" s="29" t="str">
        <f>IF(EquipmentTable[[#This Row],[Units]]&gt;0,"Quantity &gt; 0 Items","Quantity = 0 Items")</f>
        <v>Quantity = 0 Items</v>
      </c>
      <c r="I149" s="102">
        <f>RawList!J114</f>
        <v>13.95</v>
      </c>
      <c r="J149" s="14">
        <f>VALUE(EquipmentTable[[#This Row],[Units]]*EquipmentTable[[#This Row],[Unit
 Price]])</f>
        <v>0</v>
      </c>
      <c r="K149" s="29" t="str">
        <f>RawList!G114</f>
        <v>https://cdn.sparkfun.com/r/92-92/assets/parts/1/8/4/00242-1.jpg</v>
      </c>
      <c r="L149" s="29"/>
      <c r="M149" s="29" t="str">
        <f>RawList!F114</f>
        <v>https://www.sparkfun.com/products/242</v>
      </c>
    </row>
    <row r="150" spans="2:13" x14ac:dyDescent="0.25">
      <c r="B150" s="29" t="str">
        <f>RawList!A115</f>
        <v>Primary Component</v>
      </c>
      <c r="C150" s="29" t="str">
        <f>RawList!B115</f>
        <v>Proximity/Distance</v>
      </c>
      <c r="D150" s="29" t="str">
        <f>RawList!C115</f>
        <v>SparkFun</v>
      </c>
      <c r="E150" s="29" t="str">
        <f>RawList!H115</f>
        <v>Infrared Sensor Jumper Wire - 3-Pin JST</v>
      </c>
      <c r="F150" s="29" t="str">
        <f>RawList!D115</f>
        <v>SEN-08733</v>
      </c>
      <c r="G150" s="101">
        <f>RawList!E115</f>
        <v>0</v>
      </c>
      <c r="H150" s="29" t="str">
        <f>IF(EquipmentTable[[#This Row],[Units]]&gt;0,"Quantity &gt; 0 Items","Quantity = 0 Items")</f>
        <v>Quantity = 0 Items</v>
      </c>
      <c r="I150" s="102">
        <f>RawList!J115</f>
        <v>1.5</v>
      </c>
      <c r="J150" s="14">
        <f>VALUE(EquipmentTable[[#This Row],[Units]]*EquipmentTable[[#This Row],[Unit
 Price]])</f>
        <v>0</v>
      </c>
      <c r="K150" s="29" t="str">
        <f>RawList!G115</f>
        <v>https://cdn.sparkfun.com/r/92-92/assets/parts/1/9/2/0/08733-03-L.jpg</v>
      </c>
      <c r="L150" s="29"/>
      <c r="M150" s="29" t="str">
        <f>RawList!F115</f>
        <v>https://www.sparkfun.com/products/8733</v>
      </c>
    </row>
    <row r="151" spans="2:13" x14ac:dyDescent="0.25">
      <c r="B151" s="29" t="str">
        <f>RawList!A116</f>
        <v>Primary Component</v>
      </c>
      <c r="C151" s="29" t="str">
        <f>RawList!B116</f>
        <v>Proximity/Distance</v>
      </c>
      <c r="D151" s="29" t="str">
        <f>RawList!C116</f>
        <v>Adafruit</v>
      </c>
      <c r="E151" s="29" t="str">
        <f>RawList!H116</f>
        <v xml:space="preserve">Adafruit AMG8833 IR Thermal Camera Breakout </v>
      </c>
      <c r="F151" s="29" t="str">
        <f>RawList!D116</f>
        <v>3538</v>
      </c>
      <c r="G151" s="101">
        <f>RawList!E116</f>
        <v>0</v>
      </c>
      <c r="H151" s="29" t="str">
        <f>IF(EquipmentTable[[#This Row],[Units]]&gt;0,"Quantity &gt; 0 Items","Quantity = 0 Items")</f>
        <v>Quantity = 0 Items</v>
      </c>
      <c r="I151" s="102">
        <f>RawList!J116</f>
        <v>39.950000000000003</v>
      </c>
      <c r="J151" s="14">
        <f>VALUE(EquipmentTable[[#This Row],[Units]]*EquipmentTable[[#This Row],[Unit
 Price]])</f>
        <v>0</v>
      </c>
      <c r="K151" s="29">
        <f>RawList!G116</f>
        <v>0</v>
      </c>
      <c r="L151" s="29"/>
      <c r="M151" s="29">
        <f>RawList!F116</f>
        <v>0</v>
      </c>
    </row>
    <row r="152" spans="2:13" x14ac:dyDescent="0.25">
      <c r="B152" s="29" t="str">
        <f>RawList!A117</f>
        <v>Primary Component</v>
      </c>
      <c r="C152" s="29" t="str">
        <f>RawList!B117</f>
        <v>Proximity/Distance</v>
      </c>
      <c r="D152" s="29" t="str">
        <f>RawList!C117</f>
        <v>Adafruit</v>
      </c>
      <c r="E152" s="29" t="str">
        <f>RawList!H117</f>
        <v>Adafruit VL53L0X Time of Flight Distance Sensor - ~30 to 1000mm</v>
      </c>
      <c r="F152" s="29" t="str">
        <f>RawList!D117</f>
        <v>3317</v>
      </c>
      <c r="G152" s="101">
        <f>RawList!E117</f>
        <v>10</v>
      </c>
      <c r="H152" s="29" t="str">
        <f>IF(EquipmentTable[[#This Row],[Units]]&gt;0,"Quantity &gt; 0 Items","Quantity = 0 Items")</f>
        <v>Quantity &gt; 0 Items</v>
      </c>
      <c r="I152" s="102">
        <f>RawList!J117</f>
        <v>14.95</v>
      </c>
      <c r="J152" s="14">
        <f>VALUE(EquipmentTable[[#This Row],[Units]]*EquipmentTable[[#This Row],[Unit
 Price]])</f>
        <v>149.5</v>
      </c>
      <c r="K152" s="29">
        <f>RawList!G117</f>
        <v>0</v>
      </c>
      <c r="L152" s="29"/>
      <c r="M152" s="29">
        <f>RawList!F117</f>
        <v>0</v>
      </c>
    </row>
    <row r="153" spans="2:13" x14ac:dyDescent="0.25">
      <c r="B153" s="29" t="str">
        <f>RawList!A118</f>
        <v>Primary Component</v>
      </c>
      <c r="C153" s="29" t="str">
        <f>RawList!B118</f>
        <v>Proximity/Distance</v>
      </c>
      <c r="D153" s="29" t="str">
        <f>RawList!C118</f>
        <v>Adafruit</v>
      </c>
      <c r="E153" s="29" t="str">
        <f>RawList!H118</f>
        <v>Adafruit VL6180X Time of Flight Distance Ranging Sensor (VL6180)</v>
      </c>
      <c r="F153" s="29" t="str">
        <f>RawList!D118</f>
        <v>3316</v>
      </c>
      <c r="G153" s="101">
        <f>RawList!E118</f>
        <v>0</v>
      </c>
      <c r="H153" s="29" t="str">
        <f>IF(EquipmentTable[[#This Row],[Units]]&gt;0,"Quantity &gt; 0 Items","Quantity = 0 Items")</f>
        <v>Quantity = 0 Items</v>
      </c>
      <c r="I153" s="102">
        <f>RawList!J118</f>
        <v>13.95</v>
      </c>
      <c r="J153" s="14">
        <f>VALUE(EquipmentTable[[#This Row],[Units]]*EquipmentTable[[#This Row],[Unit
 Price]])</f>
        <v>0</v>
      </c>
      <c r="K153" s="29">
        <f>RawList!G118</f>
        <v>0</v>
      </c>
      <c r="L153" s="29"/>
      <c r="M153" s="29">
        <f>RawList!F118</f>
        <v>0</v>
      </c>
    </row>
    <row r="154" spans="2:13" x14ac:dyDescent="0.25">
      <c r="B154" s="29" t="str">
        <f>RawList!A119</f>
        <v>Primary Component</v>
      </c>
      <c r="C154" s="29" t="str">
        <f>RawList!B119</f>
        <v>Proximity/Distance</v>
      </c>
      <c r="D154" s="29" t="str">
        <f>RawList!C119</f>
        <v>Adafruit</v>
      </c>
      <c r="E154" s="29" t="str">
        <f>RawList!H119</f>
        <v>IR Distance Sensor - Includes Cable (100cm-500cm) - GP2Y0A710K0F</v>
      </c>
      <c r="F154" s="29" t="str">
        <f>RawList!D119</f>
        <v>1568</v>
      </c>
      <c r="G154" s="101">
        <f>RawList!E119</f>
        <v>0</v>
      </c>
      <c r="H154" s="29" t="str">
        <f>IF(EquipmentTable[[#This Row],[Units]]&gt;0,"Quantity &gt; 0 Items","Quantity = 0 Items")</f>
        <v>Quantity = 0 Items</v>
      </c>
      <c r="I154" s="102">
        <f>RawList!J119</f>
        <v>24.95</v>
      </c>
      <c r="J154" s="14">
        <f>VALUE(EquipmentTable[[#This Row],[Units]]*EquipmentTable[[#This Row],[Unit
 Price]])</f>
        <v>0</v>
      </c>
      <c r="K154" s="29">
        <f>RawList!G119</f>
        <v>0</v>
      </c>
      <c r="L154" s="29"/>
      <c r="M154" s="29">
        <f>RawList!F119</f>
        <v>0</v>
      </c>
    </row>
    <row r="155" spans="2:13" x14ac:dyDescent="0.25">
      <c r="B155" s="29" t="str">
        <f>RawList!A120</f>
        <v>Primary Component</v>
      </c>
      <c r="C155" s="29" t="str">
        <f>RawList!B120</f>
        <v>Proximity/Distance</v>
      </c>
      <c r="D155" s="29" t="str">
        <f>RawList!C120</f>
        <v>Adafruit</v>
      </c>
      <c r="E155" s="29" t="str">
        <f>RawList!H120</f>
        <v>IR distance sensor includes cable (10cm-80cm) - GP2Y0A21YK0F</v>
      </c>
      <c r="F155" s="29" t="str">
        <f>RawList!D120</f>
        <v>164</v>
      </c>
      <c r="G155" s="101">
        <f>RawList!E120</f>
        <v>0</v>
      </c>
      <c r="H155" s="29" t="str">
        <f>IF(EquipmentTable[[#This Row],[Units]]&gt;0,"Quantity &gt; 0 Items","Quantity = 0 Items")</f>
        <v>Quantity = 0 Items</v>
      </c>
      <c r="I155" s="102">
        <f>RawList!J120</f>
        <v>14.95</v>
      </c>
      <c r="J155" s="14">
        <f>VALUE(EquipmentTable[[#This Row],[Units]]*EquipmentTable[[#This Row],[Unit
 Price]])</f>
        <v>0</v>
      </c>
      <c r="K155" s="29">
        <f>RawList!G120</f>
        <v>0</v>
      </c>
      <c r="L155" s="29"/>
      <c r="M155" s="29">
        <f>RawList!F120</f>
        <v>0</v>
      </c>
    </row>
    <row r="156" spans="2:13" x14ac:dyDescent="0.25">
      <c r="B156" s="29" t="str">
        <f>RawList!A121</f>
        <v>Primary Component</v>
      </c>
      <c r="C156" s="29" t="str">
        <f>RawList!B121</f>
        <v>Proximity/Distance</v>
      </c>
      <c r="D156" s="29" t="str">
        <f>RawList!C121</f>
        <v>Adafruit</v>
      </c>
      <c r="E156" s="29" t="str">
        <f>RawList!H121</f>
        <v>IR distance sensor includes cable (20cm-150cm) - GP2Y0A02YK</v>
      </c>
      <c r="F156" s="29" t="str">
        <f>RawList!D121</f>
        <v>1031</v>
      </c>
      <c r="G156" s="101">
        <f>RawList!E121</f>
        <v>0</v>
      </c>
      <c r="H156" s="29" t="str">
        <f>IF(EquipmentTable[[#This Row],[Units]]&gt;0,"Quantity &gt; 0 Items","Quantity = 0 Items")</f>
        <v>Quantity = 0 Items</v>
      </c>
      <c r="I156" s="102">
        <f>RawList!J121</f>
        <v>15.95</v>
      </c>
      <c r="J156" s="14">
        <f>VALUE(EquipmentTable[[#This Row],[Units]]*EquipmentTable[[#This Row],[Unit
 Price]])</f>
        <v>0</v>
      </c>
      <c r="K156" s="29">
        <f>RawList!G121</f>
        <v>0</v>
      </c>
      <c r="L156" s="29"/>
      <c r="M156" s="29">
        <f>RawList!F121</f>
        <v>0</v>
      </c>
    </row>
    <row r="157" spans="2:13" x14ac:dyDescent="0.25">
      <c r="B157" s="29" t="str">
        <f>RawList!A123</f>
        <v>Primary Component</v>
      </c>
      <c r="C157" s="29" t="str">
        <f>RawList!B123</f>
        <v>Touch/Vibration</v>
      </c>
      <c r="D157" s="29" t="str">
        <f>RawList!C123</f>
        <v>SparkFun</v>
      </c>
      <c r="E157" s="29" t="str">
        <f>RawList!H123</f>
        <v>Piezo Vibration Sensor - Large</v>
      </c>
      <c r="F157" s="29" t="str">
        <f>RawList!D123</f>
        <v>SEN-09196</v>
      </c>
      <c r="G157" s="101">
        <f>RawList!E123</f>
        <v>5</v>
      </c>
      <c r="H157" s="29" t="str">
        <f>IF(EquipmentTable[[#This Row],[Units]]&gt;0,"Quantity &gt; 0 Items","Quantity = 0 Items")</f>
        <v>Quantity &gt; 0 Items</v>
      </c>
      <c r="I157" s="102">
        <f>RawList!J123</f>
        <v>2.95</v>
      </c>
      <c r="J157" s="14">
        <f>VALUE(EquipmentTable[[#This Row],[Units]]*EquipmentTable[[#This Row],[Unit
 Price]])</f>
        <v>14.75</v>
      </c>
      <c r="K157" s="29" t="str">
        <f>RawList!G123</f>
        <v>https://cdn.sparkfun.com/r/92-92/assets/parts/2/6/4/2/09196-03-L.jpg</v>
      </c>
      <c r="L157" s="29"/>
      <c r="M157" s="29" t="str">
        <f>RawList!F123</f>
        <v>https://www.sparkfun.com/products/9196</v>
      </c>
    </row>
    <row r="158" spans="2:13" x14ac:dyDescent="0.25">
      <c r="B158" s="29" t="str">
        <f>RawList!A124</f>
        <v>Primary Component</v>
      </c>
      <c r="C158" s="29" t="str">
        <f>RawList!B124</f>
        <v>Touch/Vibration</v>
      </c>
      <c r="D158" s="29" t="str">
        <f>RawList!C124</f>
        <v>SparkFun</v>
      </c>
      <c r="E158" s="29" t="str">
        <f>RawList!H124</f>
        <v>Piezo Vibration Sensor - Large with Mass</v>
      </c>
      <c r="F158" s="29" t="str">
        <f>RawList!D124</f>
        <v>SEN-09197</v>
      </c>
      <c r="G158" s="101">
        <f>RawList!E124</f>
        <v>0</v>
      </c>
      <c r="H158" s="29" t="str">
        <f>IF(EquipmentTable[[#This Row],[Units]]&gt;0,"Quantity &gt; 0 Items","Quantity = 0 Items")</f>
        <v>Quantity = 0 Items</v>
      </c>
      <c r="I158" s="102">
        <f>RawList!J124</f>
        <v>2.95</v>
      </c>
      <c r="J158" s="14">
        <f>VALUE(EquipmentTable[[#This Row],[Units]]*EquipmentTable[[#This Row],[Unit
 Price]])</f>
        <v>0</v>
      </c>
      <c r="K158" s="29" t="str">
        <f>RawList!G124</f>
        <v>https://cdn.sparkfun.com/r/92-92/assets/parts/2/6/4/3/09197-02-L.jpg</v>
      </c>
      <c r="L158" s="29"/>
      <c r="M158" s="29" t="str">
        <f>RawList!F124</f>
        <v>https://www.sparkfun.com/products/9197</v>
      </c>
    </row>
    <row r="159" spans="2:13" x14ac:dyDescent="0.25">
      <c r="B159" s="29" t="str">
        <f>RawList!A125</f>
        <v>Primary Component</v>
      </c>
      <c r="C159" s="29" t="str">
        <f>RawList!B125</f>
        <v>Touch/Vibration</v>
      </c>
      <c r="D159" s="29" t="str">
        <f>RawList!C125</f>
        <v>SparkFun</v>
      </c>
      <c r="E159" s="29" t="str">
        <f>RawList!H125</f>
        <v>Piezo Vibration Sensor - Small Horizontal</v>
      </c>
      <c r="F159" s="29" t="str">
        <f>RawList!D125</f>
        <v>SEN-09198</v>
      </c>
      <c r="G159" s="101">
        <f>RawList!E125</f>
        <v>0</v>
      </c>
      <c r="H159" s="29" t="str">
        <f>IF(EquipmentTable[[#This Row],[Units]]&gt;0,"Quantity &gt; 0 Items","Quantity = 0 Items")</f>
        <v>Quantity = 0 Items</v>
      </c>
      <c r="I159" s="102">
        <f>RawList!J125</f>
        <v>2.95</v>
      </c>
      <c r="J159" s="14">
        <f>VALUE(EquipmentTable[[#This Row],[Units]]*EquipmentTable[[#This Row],[Unit
 Price]])</f>
        <v>0</v>
      </c>
      <c r="K159" s="29" t="str">
        <f>RawList!G125</f>
        <v>https://cdn.sparkfun.com/r/92-92/assets/parts/2/6/4/4/09198-03-L.jpg</v>
      </c>
      <c r="L159" s="29"/>
      <c r="M159" s="29" t="str">
        <f>RawList!F125</f>
        <v>https://www.sparkfun.com/products/9198</v>
      </c>
    </row>
    <row r="160" spans="2:13" x14ac:dyDescent="0.25">
      <c r="B160" s="29" t="str">
        <f>RawList!A126</f>
        <v>Primary Component</v>
      </c>
      <c r="C160" s="29" t="str">
        <f>RawList!B126</f>
        <v>Touch/Vibration</v>
      </c>
      <c r="D160" s="29" t="str">
        <f>RawList!C126</f>
        <v>SparkFun</v>
      </c>
      <c r="E160" s="29" t="str">
        <f>RawList!H126</f>
        <v>Piezo Vibration Sensor - Small Vertical</v>
      </c>
      <c r="F160" s="29" t="str">
        <f>RawList!D126</f>
        <v>SEN-09199</v>
      </c>
      <c r="G160" s="101">
        <f>RawList!E126</f>
        <v>0</v>
      </c>
      <c r="H160" s="29" t="str">
        <f>IF(EquipmentTable[[#This Row],[Units]]&gt;0,"Quantity &gt; 0 Items","Quantity = 0 Items")</f>
        <v>Quantity = 0 Items</v>
      </c>
      <c r="I160" s="102">
        <f>RawList!J126</f>
        <v>2.95</v>
      </c>
      <c r="J160" s="14">
        <f>VALUE(EquipmentTable[[#This Row],[Units]]*EquipmentTable[[#This Row],[Unit
 Price]])</f>
        <v>0</v>
      </c>
      <c r="K160" s="29" t="str">
        <f>RawList!G126</f>
        <v>https://cdn.sparkfun.com/r/92-92/assets/parts/2/6/4/5/09199-03-L.jpg</v>
      </c>
      <c r="L160" s="29"/>
      <c r="M160" s="29" t="str">
        <f>RawList!F126</f>
        <v>https://www.sparkfun.com/products/9199</v>
      </c>
    </row>
    <row r="161" spans="2:13" x14ac:dyDescent="0.25">
      <c r="B161" s="29" t="str">
        <f>RawList!A127</f>
        <v>Primary Component</v>
      </c>
      <c r="C161" s="29" t="str">
        <f>RawList!B127</f>
        <v>Touch/Vibration</v>
      </c>
      <c r="D161" s="29" t="str">
        <f>RawList!C127</f>
        <v>Adafruit</v>
      </c>
      <c r="E161" s="29" t="str">
        <f>RawList!H127</f>
        <v xml:space="preserve">Extra-long force-sensitive resistor (FSR) - Interlink 408 </v>
      </c>
      <c r="F161" s="29" t="str">
        <f>RawList!D127</f>
        <v>1071</v>
      </c>
      <c r="G161" s="101">
        <f>RawList!E127</f>
        <v>0</v>
      </c>
      <c r="H161" s="29" t="str">
        <f>IF(EquipmentTable[[#This Row],[Units]]&gt;0,"Quantity &gt; 0 Items","Quantity = 0 Items")</f>
        <v>Quantity = 0 Items</v>
      </c>
      <c r="I161" s="102">
        <f>RawList!J127</f>
        <v>17.95</v>
      </c>
      <c r="J161" s="14">
        <f>VALUE(EquipmentTable[[#This Row],[Units]]*EquipmentTable[[#This Row],[Unit
 Price]])</f>
        <v>0</v>
      </c>
      <c r="K161" s="29">
        <f>RawList!G127</f>
        <v>0</v>
      </c>
      <c r="L161" s="29"/>
      <c r="M161" s="29">
        <f>RawList!F127</f>
        <v>0</v>
      </c>
    </row>
    <row r="162" spans="2:13" x14ac:dyDescent="0.25">
      <c r="B162" s="29" t="str">
        <f>RawList!A128</f>
        <v>Primary Component</v>
      </c>
      <c r="C162" s="29" t="str">
        <f>RawList!B128</f>
        <v>Touch/Vibration</v>
      </c>
      <c r="D162" s="29" t="str">
        <f>RawList!C128</f>
        <v>SparkFun</v>
      </c>
      <c r="E162" s="29" t="str">
        <f>RawList!H128</f>
        <v>Force Sensitive Resistor - Long</v>
      </c>
      <c r="F162" s="29" t="str">
        <f>RawList!D128</f>
        <v>SEN-09674</v>
      </c>
      <c r="G162" s="101">
        <f>RawList!E128</f>
        <v>0</v>
      </c>
      <c r="H162" s="29" t="str">
        <f>IF(EquipmentTable[[#This Row],[Units]]&gt;0,"Quantity &gt; 0 Items","Quantity = 0 Items")</f>
        <v>Quantity = 0 Items</v>
      </c>
      <c r="I162" s="102">
        <f>RawList!J128</f>
        <v>20.95</v>
      </c>
      <c r="J162" s="14">
        <f>VALUE(EquipmentTable[[#This Row],[Units]]*EquipmentTable[[#This Row],[Unit
 Price]])</f>
        <v>0</v>
      </c>
      <c r="K162" s="29" t="str">
        <f>RawList!G128</f>
        <v>https://cdn.sparkfun.com/r/92-92/assets/parts/3/5/3/8/09674-01.jpg</v>
      </c>
      <c r="L162" s="29"/>
      <c r="M162" s="29" t="str">
        <f>RawList!F128</f>
        <v>https://www.sparkfun.com/products/9674</v>
      </c>
    </row>
    <row r="163" spans="2:13" x14ac:dyDescent="0.25">
      <c r="B163" s="29" t="str">
        <f>RawList!A129</f>
        <v>Primary Component</v>
      </c>
      <c r="C163" s="29" t="str">
        <f>RawList!B129</f>
        <v>Touch/Vibration</v>
      </c>
      <c r="D163" s="29" t="str">
        <f>RawList!C129</f>
        <v>SparkFun</v>
      </c>
      <c r="E163" s="29" t="str">
        <f>RawList!H129</f>
        <v>Force Sensitive Resistor - Small</v>
      </c>
      <c r="F163" s="29" t="str">
        <f>RawList!D129</f>
        <v>SEN-09673</v>
      </c>
      <c r="G163" s="101">
        <f>RawList!E129</f>
        <v>0</v>
      </c>
      <c r="H163" s="29" t="str">
        <f>IF(EquipmentTable[[#This Row],[Units]]&gt;0,"Quantity &gt; 0 Items","Quantity = 0 Items")</f>
        <v>Quantity = 0 Items</v>
      </c>
      <c r="I163" s="102">
        <f>RawList!J129</f>
        <v>5.95</v>
      </c>
      <c r="J163" s="14">
        <f>VALUE(EquipmentTable[[#This Row],[Units]]*EquipmentTable[[#This Row],[Unit
 Price]])</f>
        <v>0</v>
      </c>
      <c r="K163" s="29" t="str">
        <f>RawList!G129</f>
        <v>https://cdn.sparkfun.com/r/92-92/assets/parts/3/5/3/7/09673-01.jpg</v>
      </c>
      <c r="L163" s="29"/>
      <c r="M163" s="29" t="str">
        <f>RawList!F129</f>
        <v>https://www.sparkfun.com/products/9673</v>
      </c>
    </row>
    <row r="164" spans="2:13" x14ac:dyDescent="0.25">
      <c r="B164" s="29" t="str">
        <f>RawList!A130</f>
        <v>Primary Component</v>
      </c>
      <c r="C164" s="29" t="str">
        <f>RawList!B130</f>
        <v>Touch/Vibration</v>
      </c>
      <c r="D164" s="29" t="str">
        <f>RawList!C130</f>
        <v>SparkFun</v>
      </c>
      <c r="E164" s="29" t="str">
        <f>RawList!H130</f>
        <v>Force Sensitive Resistor - Square</v>
      </c>
      <c r="F164" s="29" t="str">
        <f>RawList!D130</f>
        <v>SEN-09376</v>
      </c>
      <c r="G164" s="101">
        <f>RawList!E130</f>
        <v>0</v>
      </c>
      <c r="H164" s="29" t="str">
        <f>IF(EquipmentTable[[#This Row],[Units]]&gt;0,"Quantity &gt; 0 Items","Quantity = 0 Items")</f>
        <v>Quantity = 0 Items</v>
      </c>
      <c r="I164" s="102">
        <f>RawList!J130</f>
        <v>9.9499999999999993</v>
      </c>
      <c r="J164" s="14">
        <f>VALUE(EquipmentTable[[#This Row],[Units]]*EquipmentTable[[#This Row],[Unit
 Price]])</f>
        <v>0</v>
      </c>
      <c r="K164" s="29" t="str">
        <f>RawList!G130</f>
        <v>https://cdn.sparkfun.com/r/92-92/assets/parts/2/9/6/8/09376-1.jpg</v>
      </c>
      <c r="L164" s="29"/>
      <c r="M164" s="29" t="str">
        <f>RawList!F130</f>
        <v>https://www.sparkfun.com/products/9376</v>
      </c>
    </row>
    <row r="165" spans="2:13" x14ac:dyDescent="0.25">
      <c r="B165" s="29" t="str">
        <f>RawList!A131</f>
        <v>Primary Component</v>
      </c>
      <c r="C165" s="29" t="str">
        <f>RawList!B131</f>
        <v>Touch/Vibration</v>
      </c>
      <c r="D165" s="29" t="str">
        <f>RawList!C131</f>
        <v>Adafruit</v>
      </c>
      <c r="E165" s="29" t="str">
        <f>RawList!H131</f>
        <v>Square Force-Sensitive Resistor (FSR) - Interlink 406</v>
      </c>
      <c r="F165" s="29" t="str">
        <f>RawList!D131</f>
        <v>1075</v>
      </c>
      <c r="G165" s="101">
        <f>RawList!E131</f>
        <v>4</v>
      </c>
      <c r="H165" s="29" t="str">
        <f>IF(EquipmentTable[[#This Row],[Units]]&gt;0,"Quantity &gt; 0 Items","Quantity = 0 Items")</f>
        <v>Quantity &gt; 0 Items</v>
      </c>
      <c r="I165" s="102">
        <f>RawList!J131</f>
        <v>7.95</v>
      </c>
      <c r="J165" s="14">
        <f>VALUE(EquipmentTable[[#This Row],[Units]]*EquipmentTable[[#This Row],[Unit
 Price]])</f>
        <v>31.8</v>
      </c>
      <c r="K165" s="29">
        <f>RawList!G131</f>
        <v>0</v>
      </c>
      <c r="L165" s="29"/>
      <c r="M165" s="29">
        <f>RawList!F131</f>
        <v>0</v>
      </c>
    </row>
    <row r="166" spans="2:13" x14ac:dyDescent="0.25">
      <c r="B166" s="29" t="str">
        <f>RawList!A132</f>
        <v>Primary Component</v>
      </c>
      <c r="C166" s="29" t="str">
        <f>RawList!B132</f>
        <v>Touch/Vibration</v>
      </c>
      <c r="D166" s="29" t="str">
        <f>RawList!C132</f>
        <v>SparkFun</v>
      </c>
      <c r="E166" s="29" t="str">
        <f>RawList!H132</f>
        <v>Force Sensitive Resistor 0.5\"</v>
      </c>
      <c r="F166" s="29" t="str">
        <f>RawList!D132</f>
        <v>SEN-09375</v>
      </c>
      <c r="G166" s="101">
        <f>RawList!E132</f>
        <v>0</v>
      </c>
      <c r="H166" s="29" t="str">
        <f>IF(EquipmentTable[[#This Row],[Units]]&gt;0,"Quantity &gt; 0 Items","Quantity = 0 Items")</f>
        <v>Quantity = 0 Items</v>
      </c>
      <c r="I166" s="102">
        <f>RawList!J132</f>
        <v>6.95</v>
      </c>
      <c r="J166" s="14">
        <f>VALUE(EquipmentTable[[#This Row],[Units]]*EquipmentTable[[#This Row],[Unit
 Price]])</f>
        <v>0</v>
      </c>
      <c r="K166" s="29" t="str">
        <f>RawList!G132</f>
        <v>https://cdn.sparkfun.com/r/92-92/assets/parts/2/9/6/7/09375-1.jpg</v>
      </c>
      <c r="L166" s="29"/>
      <c r="M166" s="29" t="str">
        <f>RawList!F132</f>
        <v>https://www.sparkfun.com/products/9375</v>
      </c>
    </row>
    <row r="167" spans="2:13" x14ac:dyDescent="0.25">
      <c r="B167" s="29" t="str">
        <f>RawList!A133</f>
        <v>Primary Component</v>
      </c>
      <c r="C167" s="29" t="str">
        <f>RawList!B133</f>
        <v>Touch/Vibration</v>
      </c>
      <c r="D167" s="29" t="str">
        <f>RawList!C133</f>
        <v>SparkFun</v>
      </c>
      <c r="E167" s="29" t="str">
        <f>RawList!H133</f>
        <v>Flex Sensor 4.5\"</v>
      </c>
      <c r="F167" s="29" t="str">
        <f>RawList!D133</f>
        <v>SEN-08606</v>
      </c>
      <c r="G167" s="101">
        <f>RawList!E133</f>
        <v>0</v>
      </c>
      <c r="H167" s="29" t="str">
        <f>IF(EquipmentTable[[#This Row],[Units]]&gt;0,"Quantity &gt; 0 Items","Quantity = 0 Items")</f>
        <v>Quantity = 0 Items</v>
      </c>
      <c r="I167" s="102">
        <f>RawList!J133</f>
        <v>12.95</v>
      </c>
      <c r="J167" s="14">
        <f>VALUE(EquipmentTable[[#This Row],[Units]]*EquipmentTable[[#This Row],[Unit
 Price]])</f>
        <v>0</v>
      </c>
      <c r="K167" s="29" t="str">
        <f>RawList!G133</f>
        <v>https://cdn.sparkfun.com/r/92-92/assets/parts/1/6/8/6/08606-03-L.jpg</v>
      </c>
      <c r="L167" s="29"/>
      <c r="M167" s="29" t="str">
        <f>RawList!F133</f>
        <v>https://www.sparkfun.com/products/8606</v>
      </c>
    </row>
    <row r="168" spans="2:13" x14ac:dyDescent="0.25">
      <c r="B168" s="29" t="str">
        <f>RawList!A134</f>
        <v>Primary Component</v>
      </c>
      <c r="C168" s="29" t="str">
        <f>RawList!B134</f>
        <v>Touch/Vibration</v>
      </c>
      <c r="D168" s="29" t="str">
        <f>RawList!C134</f>
        <v>SparkFun</v>
      </c>
      <c r="E168" s="29" t="str">
        <f>RawList!H134</f>
        <v>Piezo Element</v>
      </c>
      <c r="F168" s="29" t="str">
        <f>RawList!D134</f>
        <v>SEN-10293</v>
      </c>
      <c r="G168" s="101">
        <f>RawList!E134</f>
        <v>0</v>
      </c>
      <c r="H168" s="29" t="str">
        <f>IF(EquipmentTable[[#This Row],[Units]]&gt;0,"Quantity &gt; 0 Items","Quantity = 0 Items")</f>
        <v>Quantity = 0 Items</v>
      </c>
      <c r="I168" s="102">
        <f>RawList!J134</f>
        <v>1.5</v>
      </c>
      <c r="J168" s="14">
        <f>VALUE(EquipmentTable[[#This Row],[Units]]*EquipmentTable[[#This Row],[Unit
 Price]])</f>
        <v>0</v>
      </c>
      <c r="K168" s="29" t="str">
        <f>RawList!G134</f>
        <v>https://cdn.sparkfun.com/r/92-92/assets/parts/4/6/8/9/10293_01.jpg</v>
      </c>
      <c r="L168" s="29"/>
      <c r="M168" s="29" t="str">
        <f>RawList!F134</f>
        <v>https://www.sparkfun.com/products/10293</v>
      </c>
    </row>
    <row r="169" spans="2:13" x14ac:dyDescent="0.25">
      <c r="B169" s="29" t="str">
        <f>RawList!A135</f>
        <v>Primary Component</v>
      </c>
      <c r="C169" s="29" t="str">
        <f>RawList!B135</f>
        <v>Touch/Vibration</v>
      </c>
      <c r="D169" s="29" t="str">
        <f>RawList!C135</f>
        <v>Adafruit</v>
      </c>
      <c r="E169" s="29" t="str">
        <f>RawList!H135</f>
        <v xml:space="preserve">Large Enclosed Piezo Element w/Wires </v>
      </c>
      <c r="F169" s="29" t="str">
        <f>RawList!D135</f>
        <v>1739</v>
      </c>
      <c r="G169" s="101">
        <f>RawList!E135</f>
        <v>0</v>
      </c>
      <c r="H169" s="29" t="str">
        <f>IF(EquipmentTable[[#This Row],[Units]]&gt;0,"Quantity &gt; 0 Items","Quantity = 0 Items")</f>
        <v>Quantity = 0 Items</v>
      </c>
      <c r="I169" s="102">
        <f>RawList!J135</f>
        <v>0.95</v>
      </c>
      <c r="J169" s="14">
        <f>VALUE(EquipmentTable[[#This Row],[Units]]*EquipmentTable[[#This Row],[Unit
 Price]])</f>
        <v>0</v>
      </c>
      <c r="K169" s="29">
        <f>RawList!G135</f>
        <v>0</v>
      </c>
      <c r="L169" s="29"/>
      <c r="M169" s="29">
        <f>RawList!F135</f>
        <v>0</v>
      </c>
    </row>
    <row r="170" spans="2:13" x14ac:dyDescent="0.25">
      <c r="B170" s="29" t="str">
        <f>RawList!A136</f>
        <v>Primary Component</v>
      </c>
      <c r="C170" s="29" t="str">
        <f>RawList!B136</f>
        <v>Touch/Vibration</v>
      </c>
      <c r="D170" s="29" t="str">
        <f>RawList!C136</f>
        <v>SparkFun</v>
      </c>
      <c r="E170" s="29" t="str">
        <f>RawList!H136</f>
        <v>Tilt Sensor - AT407</v>
      </c>
      <c r="F170" s="29" t="str">
        <f>RawList!D136</f>
        <v>SEN-10289</v>
      </c>
      <c r="G170" s="101">
        <f>RawList!E136</f>
        <v>5</v>
      </c>
      <c r="H170" s="29" t="str">
        <f>IF(EquipmentTable[[#This Row],[Units]]&gt;0,"Quantity &gt; 0 Items","Quantity = 0 Items")</f>
        <v>Quantity &gt; 0 Items</v>
      </c>
      <c r="I170" s="102">
        <f>RawList!J136</f>
        <v>1.95</v>
      </c>
      <c r="J170" s="14">
        <f>VALUE(EquipmentTable[[#This Row],[Units]]*EquipmentTable[[#This Row],[Unit
 Price]])</f>
        <v>9.75</v>
      </c>
      <c r="K170" s="29" t="str">
        <f>RawList!G136</f>
        <v>https://cdn.sparkfun.com/r/92-92/assets/parts/4/6/8/5/10289-01.jpg</v>
      </c>
      <c r="L170" s="29"/>
      <c r="M170" s="29" t="str">
        <f>RawList!F136</f>
        <v>https://www.sparkfun.com/products/10289</v>
      </c>
    </row>
    <row r="171" spans="2:13" x14ac:dyDescent="0.25">
      <c r="B171" s="29" t="str">
        <f>RawList!A137</f>
        <v>Primary Component</v>
      </c>
      <c r="C171" s="29" t="str">
        <f>RawList!B137</f>
        <v>Touch/Vibration</v>
      </c>
      <c r="D171" s="29" t="str">
        <f>RawList!C137</f>
        <v>Adafruit</v>
      </c>
      <c r="E171" s="29" t="str">
        <f>RawList!H137</f>
        <v>DIY Sensor Film Kit - 4x6" Small Kit</v>
      </c>
      <c r="F171" s="29" t="str">
        <f>RawList!D137</f>
        <v>1917</v>
      </c>
      <c r="G171" s="101">
        <f>RawList!E137</f>
        <v>0</v>
      </c>
      <c r="H171" s="29" t="str">
        <f>IF(EquipmentTable[[#This Row],[Units]]&gt;0,"Quantity &gt; 0 Items","Quantity = 0 Items")</f>
        <v>Quantity = 0 Items</v>
      </c>
      <c r="I171" s="102">
        <f>RawList!J137</f>
        <v>18</v>
      </c>
      <c r="J171" s="14">
        <f>VALUE(EquipmentTable[[#This Row],[Units]]*EquipmentTable[[#This Row],[Unit
 Price]])</f>
        <v>0</v>
      </c>
      <c r="K171" s="29">
        <f>RawList!G137</f>
        <v>0</v>
      </c>
      <c r="L171" s="29"/>
      <c r="M171" s="29">
        <f>RawList!F137</f>
        <v>0</v>
      </c>
    </row>
    <row r="172" spans="2:13" x14ac:dyDescent="0.25">
      <c r="B172" s="29" t="str">
        <f>RawList!A138</f>
        <v>Primary Component</v>
      </c>
      <c r="C172" s="29" t="str">
        <f>RawList!B138</f>
        <v>Touch/Vibration</v>
      </c>
      <c r="D172" s="29" t="str">
        <f>RawList!C138</f>
        <v>Adafruit</v>
      </c>
      <c r="E172" s="29" t="str">
        <f>RawList!H138</f>
        <v>Pressure-Sensitive Conductive Sheet (Velostat/Linqstat)</v>
      </c>
      <c r="F172" s="29" t="str">
        <f>RawList!D138</f>
        <v>1361</v>
      </c>
      <c r="G172" s="101">
        <f>RawList!E138</f>
        <v>1</v>
      </c>
      <c r="H172" s="29" t="str">
        <f>IF(EquipmentTable[[#This Row],[Units]]&gt;0,"Quantity &gt; 0 Items","Quantity = 0 Items")</f>
        <v>Quantity &gt; 0 Items</v>
      </c>
      <c r="I172" s="102">
        <f>RawList!J138</f>
        <v>3.95</v>
      </c>
      <c r="J172" s="14">
        <f>VALUE(EquipmentTable[[#This Row],[Units]]*EquipmentTable[[#This Row],[Unit
 Price]])</f>
        <v>3.95</v>
      </c>
      <c r="K172" s="29">
        <f>RawList!G138</f>
        <v>0</v>
      </c>
      <c r="L172" s="29"/>
      <c r="M172" s="29">
        <f>RawList!F138</f>
        <v>0</v>
      </c>
    </row>
    <row r="173" spans="2:13" x14ac:dyDescent="0.25">
      <c r="B173" s="29" t="str">
        <f>RawList!A139</f>
        <v>Primary Component</v>
      </c>
      <c r="C173" s="29" t="str">
        <f>RawList!B139</f>
        <v>Touch/Vibration</v>
      </c>
      <c r="D173" s="29" t="str">
        <f>RawList!C139</f>
        <v>SparkFun</v>
      </c>
      <c r="E173" s="29" t="str">
        <f>RawList!H139</f>
        <v>EeonTex Pressure Sensing Fabric</v>
      </c>
      <c r="F173" s="29" t="str">
        <f>RawList!D139</f>
        <v>COM-14111</v>
      </c>
      <c r="G173" s="101">
        <f>RawList!E139</f>
        <v>2</v>
      </c>
      <c r="H173" s="29" t="str">
        <f>IF(EquipmentTable[[#This Row],[Units]]&gt;0,"Quantity &gt; 0 Items","Quantity = 0 Items")</f>
        <v>Quantity &gt; 0 Items</v>
      </c>
      <c r="I173" s="102">
        <f>RawList!J139</f>
        <v>24.95</v>
      </c>
      <c r="J173" s="14">
        <f>VALUE(EquipmentTable[[#This Row],[Units]]*EquipmentTable[[#This Row],[Unit
 Price]])</f>
        <v>49.9</v>
      </c>
      <c r="K173" s="29" t="str">
        <f>RawList!G139</f>
        <v>https://cdn.sparkfun.com/r/92-92/assets/parts/1/1/9/9/4/14111-01.jpg</v>
      </c>
      <c r="L173" s="29"/>
      <c r="M173" s="29" t="str">
        <f>RawList!F139</f>
        <v>https://www.sparkfun.com/products/14111</v>
      </c>
    </row>
    <row r="174" spans="2:13" x14ac:dyDescent="0.25">
      <c r="B174" s="29" t="str">
        <f>RawList!A140</f>
        <v>Primary Component</v>
      </c>
      <c r="C174" s="29" t="str">
        <f>RawList!B140</f>
        <v>Touch/Vibration</v>
      </c>
      <c r="D174" s="29" t="str">
        <f>RawList!C140</f>
        <v>Adafruit</v>
      </c>
      <c r="E174" s="29" t="str">
        <f>RawList!H140</f>
        <v>Woven Conductive Fabric - 20cm square</v>
      </c>
      <c r="F174" s="29" t="str">
        <f>RawList!D140</f>
        <v>1168</v>
      </c>
      <c r="G174" s="101">
        <f>RawList!E140</f>
        <v>1</v>
      </c>
      <c r="H174" s="29" t="str">
        <f>IF(EquipmentTable[[#This Row],[Units]]&gt;0,"Quantity &gt; 0 Items","Quantity = 0 Items")</f>
        <v>Quantity &gt; 0 Items</v>
      </c>
      <c r="I174" s="102">
        <f>RawList!J140</f>
        <v>4.95</v>
      </c>
      <c r="J174" s="14">
        <f>VALUE(EquipmentTable[[#This Row],[Units]]*EquipmentTable[[#This Row],[Unit
 Price]])</f>
        <v>4.95</v>
      </c>
      <c r="K174" s="29">
        <f>RawList!G140</f>
        <v>0</v>
      </c>
      <c r="L174" s="29"/>
      <c r="M174" s="29">
        <f>RawList!F140</f>
        <v>0</v>
      </c>
    </row>
    <row r="175" spans="2:13" x14ac:dyDescent="0.25">
      <c r="B175" s="29" t="str">
        <f>RawList!A141</f>
        <v>Primary Component</v>
      </c>
      <c r="C175" s="29" t="str">
        <f>RawList!B141</f>
        <v>User Interface, IO</v>
      </c>
      <c r="D175" s="29" t="str">
        <f>RawList!C141</f>
        <v>SparkFun</v>
      </c>
      <c r="E175" s="29" t="str">
        <f>RawList!H141</f>
        <v>LCD Button Shield V2</v>
      </c>
      <c r="F175" s="29" t="str">
        <f>RawList!D141</f>
        <v>DEV-13293</v>
      </c>
      <c r="G175" s="101">
        <f>RawList!E141</f>
        <v>5</v>
      </c>
      <c r="H175" s="29" t="str">
        <f>IF(EquipmentTable[[#This Row],[Units]]&gt;0,"Quantity &gt; 0 Items","Quantity = 0 Items")</f>
        <v>Quantity &gt; 0 Items</v>
      </c>
      <c r="I175" s="102">
        <f>RawList!J141</f>
        <v>12.95</v>
      </c>
      <c r="J175" s="14">
        <f>VALUE(EquipmentTable[[#This Row],[Units]]*EquipmentTable[[#This Row],[Unit
 Price]])</f>
        <v>64.75</v>
      </c>
      <c r="K175" s="29" t="str">
        <f>RawList!G141</f>
        <v>https://cdn.sparkfun.com/r/92-92/assets/parts/1/0/5/4/6/13293-01.jpg</v>
      </c>
      <c r="L175" s="29"/>
      <c r="M175" s="29" t="str">
        <f>RawList!F141</f>
        <v>https://www.sparkfun.com/products/13293</v>
      </c>
    </row>
    <row r="176" spans="2:13" x14ac:dyDescent="0.25">
      <c r="B176" s="29" t="str">
        <f>RawList!A142</f>
        <v>Primary Component</v>
      </c>
      <c r="C176" s="29" t="str">
        <f>RawList!B142</f>
        <v>User Interface, IO</v>
      </c>
      <c r="D176" s="29" t="str">
        <f>RawList!C142</f>
        <v>SparkFun</v>
      </c>
      <c r="E176" s="29" t="str">
        <f>RawList!H142</f>
        <v>Graphic LCD 128x64 STN LED Backlight</v>
      </c>
      <c r="F176" s="29" t="str">
        <f>RawList!D142</f>
        <v>LCD-00710</v>
      </c>
      <c r="G176" s="101">
        <f>RawList!E142</f>
        <v>1</v>
      </c>
      <c r="H176" s="29" t="str">
        <f>IF(EquipmentTable[[#This Row],[Units]]&gt;0,"Quantity &gt; 0 Items","Quantity = 0 Items")</f>
        <v>Quantity &gt; 0 Items</v>
      </c>
      <c r="I176" s="102">
        <f>RawList!J142</f>
        <v>19.95</v>
      </c>
      <c r="J176" s="14">
        <f>VALUE(EquipmentTable[[#This Row],[Units]]*EquipmentTable[[#This Row],[Unit
 Price]])</f>
        <v>19.95</v>
      </c>
      <c r="K176" s="29" t="str">
        <f>RawList!G142</f>
        <v>https://cdn.sparkfun.com/r/92-92/assets/parts/4/9/2/00710-01.jpg</v>
      </c>
      <c r="L176" s="29"/>
      <c r="M176" s="29" t="str">
        <f>RawList!F142</f>
        <v>https://www.sparkfun.com/products/710</v>
      </c>
    </row>
    <row r="177" spans="2:13" x14ac:dyDescent="0.25">
      <c r="B177" s="29" t="str">
        <f>RawList!A143</f>
        <v>Primary Component</v>
      </c>
      <c r="C177" s="29" t="str">
        <f>RawList!B143</f>
        <v>User Interface, IO</v>
      </c>
      <c r="D177" s="29" t="str">
        <f>RawList!C143</f>
        <v>SparkFun</v>
      </c>
      <c r="E177" s="29" t="str">
        <f>RawList!H143</f>
        <v>Serial Enabled 20x4 LCD - Black on Green 5V</v>
      </c>
      <c r="F177" s="29" t="str">
        <f>RawList!D143</f>
        <v>LCD-09568</v>
      </c>
      <c r="G177" s="101">
        <f>RawList!E143</f>
        <v>0</v>
      </c>
      <c r="H177" s="29" t="str">
        <f>IF(EquipmentTable[[#This Row],[Units]]&gt;0,"Quantity &gt; 0 Items","Quantity = 0 Items")</f>
        <v>Quantity = 0 Items</v>
      </c>
      <c r="I177" s="102">
        <f>RawList!J143</f>
        <v>29.95</v>
      </c>
      <c r="J177" s="14">
        <f>VALUE(EquipmentTable[[#This Row],[Units]]*EquipmentTable[[#This Row],[Unit
 Price]])</f>
        <v>0</v>
      </c>
      <c r="K177" s="29" t="str">
        <f>RawList!G143</f>
        <v>https://cdn.sparkfun.com/r/92-92/assets/parts/3/3/4/6/09568Actiona.jpg</v>
      </c>
      <c r="L177" s="29"/>
      <c r="M177" s="29" t="str">
        <f>RawList!F143</f>
        <v>https://www.sparkfun.com/products/9568</v>
      </c>
    </row>
    <row r="178" spans="2:13" x14ac:dyDescent="0.25">
      <c r="B178" s="29" t="str">
        <f>RawList!A144</f>
        <v>Primary Component</v>
      </c>
      <c r="C178" s="29" t="str">
        <f>RawList!B144</f>
        <v>User Interface, IO</v>
      </c>
      <c r="D178" s="29" t="str">
        <f>RawList!C144</f>
        <v>Adafruit</v>
      </c>
      <c r="E178" s="29" t="str">
        <f>RawList!H144</f>
        <v>Standard LCD 20x4 + extras - white on blue</v>
      </c>
      <c r="F178" s="29" t="str">
        <f>RawList!D144</f>
        <v>198</v>
      </c>
      <c r="G178" s="101">
        <f>RawList!E144</f>
        <v>0</v>
      </c>
      <c r="H178" s="29" t="str">
        <f>IF(EquipmentTable[[#This Row],[Units]]&gt;0,"Quantity &gt; 0 Items","Quantity = 0 Items")</f>
        <v>Quantity = 0 Items</v>
      </c>
      <c r="I178" s="102">
        <f>RawList!J144</f>
        <v>17.95</v>
      </c>
      <c r="J178" s="14">
        <f>VALUE(EquipmentTable[[#This Row],[Units]]*EquipmentTable[[#This Row],[Unit
 Price]])</f>
        <v>0</v>
      </c>
      <c r="K178" s="29">
        <f>RawList!G144</f>
        <v>0</v>
      </c>
      <c r="L178" s="29"/>
      <c r="M178" s="29">
        <f>RawList!F144</f>
        <v>0</v>
      </c>
    </row>
    <row r="179" spans="2:13" x14ac:dyDescent="0.25">
      <c r="B179" s="29" t="str">
        <f>RawList!A145</f>
        <v>Primary Component</v>
      </c>
      <c r="C179" s="29" t="str">
        <f>RawList!B145</f>
        <v>User Interface, IO</v>
      </c>
      <c r="D179" s="29" t="str">
        <f>RawList!C145</f>
        <v>Adafruit</v>
      </c>
      <c r="E179" s="29" t="str">
        <f>RawList!H145</f>
        <v xml:space="preserve">Liquid Crystal Light Valve - LCD Controllable Shutter Glass </v>
      </c>
      <c r="F179" s="29" t="str">
        <f>RawList!D145</f>
        <v>3330</v>
      </c>
      <c r="G179" s="101">
        <f>RawList!E145</f>
        <v>0</v>
      </c>
      <c r="H179" s="29" t="str">
        <f>IF(EquipmentTable[[#This Row],[Units]]&gt;0,"Quantity &gt; 0 Items","Quantity = 0 Items")</f>
        <v>Quantity = 0 Items</v>
      </c>
      <c r="I179" s="102">
        <f>RawList!J145</f>
        <v>7.5</v>
      </c>
      <c r="J179" s="14">
        <f>VALUE(EquipmentTable[[#This Row],[Units]]*EquipmentTable[[#This Row],[Unit
 Price]])</f>
        <v>0</v>
      </c>
      <c r="K179" s="29">
        <f>RawList!G145</f>
        <v>0</v>
      </c>
      <c r="L179" s="29"/>
      <c r="M179" s="29">
        <f>RawList!F145</f>
        <v>0</v>
      </c>
    </row>
    <row r="180" spans="2:13" x14ac:dyDescent="0.25">
      <c r="B180" s="29" t="str">
        <f>RawList!A146</f>
        <v>Primary Component</v>
      </c>
      <c r="C180" s="29" t="str">
        <f>RawList!B146</f>
        <v>User Interface, IO</v>
      </c>
      <c r="D180" s="29" t="str">
        <f>RawList!C146</f>
        <v>Adafruit</v>
      </c>
      <c r="E180" s="29" t="str">
        <f>RawList!H146</f>
        <v xml:space="preserve">Membrane 1x4 Keypad + Extras </v>
      </c>
      <c r="F180" s="29" t="str">
        <f>RawList!D146</f>
        <v>1332</v>
      </c>
      <c r="G180" s="101">
        <f>RawList!E146</f>
        <v>5</v>
      </c>
      <c r="H180" s="29" t="str">
        <f>IF(EquipmentTable[[#This Row],[Units]]&gt;0,"Quantity &gt; 0 Items","Quantity = 0 Items")</f>
        <v>Quantity &gt; 0 Items</v>
      </c>
      <c r="I180" s="102">
        <f>RawList!J146</f>
        <v>2.95</v>
      </c>
      <c r="J180" s="14">
        <f>VALUE(EquipmentTable[[#This Row],[Units]]*EquipmentTable[[#This Row],[Unit
 Price]])</f>
        <v>14.75</v>
      </c>
      <c r="K180" s="29">
        <f>RawList!G146</f>
        <v>0</v>
      </c>
      <c r="L180" s="29"/>
      <c r="M180" s="29">
        <f>RawList!F146</f>
        <v>0</v>
      </c>
    </row>
    <row r="181" spans="2:13" x14ac:dyDescent="0.25">
      <c r="B181" s="29" t="str">
        <f>RawList!A147</f>
        <v>Primary Component</v>
      </c>
      <c r="C181" s="29" t="str">
        <f>RawList!B147</f>
        <v>User Interface, IO</v>
      </c>
      <c r="D181" s="29" t="str">
        <f>RawList!C147</f>
        <v>Adafruit</v>
      </c>
      <c r="E181" s="29" t="str">
        <f>RawList!H147</f>
        <v xml:space="preserve">Membrane 3x4 Matrix Keypad + extras - 3x4 </v>
      </c>
      <c r="F181" s="29" t="str">
        <f>RawList!D147</f>
        <v>419</v>
      </c>
      <c r="G181" s="101">
        <f>RawList!E147</f>
        <v>1</v>
      </c>
      <c r="H181" s="29" t="str">
        <f>IF(EquipmentTable[[#This Row],[Units]]&gt;0,"Quantity &gt; 0 Items","Quantity = 0 Items")</f>
        <v>Quantity &gt; 0 Items</v>
      </c>
      <c r="I181" s="102">
        <f>RawList!J147</f>
        <v>3.95</v>
      </c>
      <c r="J181" s="14">
        <f>VALUE(EquipmentTable[[#This Row],[Units]]*EquipmentTable[[#This Row],[Unit
 Price]])</f>
        <v>3.95</v>
      </c>
      <c r="K181" s="29">
        <f>RawList!G147</f>
        <v>0</v>
      </c>
      <c r="L181" s="29"/>
      <c r="M181" s="29">
        <f>RawList!F147</f>
        <v>0</v>
      </c>
    </row>
    <row r="182" spans="2:13" hidden="1" x14ac:dyDescent="0.25">
      <c r="B182" s="29" t="str">
        <f>RawList!A148</f>
        <v>Primary Component</v>
      </c>
      <c r="C182" s="29" t="str">
        <f>RawList!B148</f>
        <v>Vitals/Environment Sensing</v>
      </c>
      <c r="D182" s="29" t="str">
        <f>RawList!C148</f>
        <v>SparkFun</v>
      </c>
      <c r="E182" s="29" t="str">
        <f>RawList!H148</f>
        <v>SparkFun Environmental Combo Breakout - CCS811/BME280 (Qwiic)</v>
      </c>
      <c r="F182" s="29" t="str">
        <f>RawList!D148</f>
        <v>SEN-14348</v>
      </c>
      <c r="G182" s="101">
        <f>RawList!E148</f>
        <v>1</v>
      </c>
      <c r="H182" s="29" t="str">
        <f>IF(EquipmentTable[[#This Row],[Units]]&gt;0,"Quantity &gt; 0 Items","Quantity = 0 Items")</f>
        <v>Quantity &gt; 0 Items</v>
      </c>
      <c r="I182" s="102">
        <f>RawList!J148</f>
        <v>34.950000000000003</v>
      </c>
      <c r="J182" s="14">
        <f>VALUE(EquipmentTable[[#This Row],[Units]]*EquipmentTable[[#This Row],[Unit
 Price]])</f>
        <v>34.950000000000003</v>
      </c>
      <c r="K182" s="29" t="str">
        <f>RawList!G148</f>
        <v>https://cdn.sparkfun.com/r/92-92/assets/parts/1/2/3/2/9/14348-01.jpg</v>
      </c>
      <c r="L182" s="29"/>
      <c r="M182" s="29" t="str">
        <f>RawList!F148</f>
        <v>https://www.sparkfun.com/products/14348</v>
      </c>
    </row>
    <row r="183" spans="2:13" hidden="1" x14ac:dyDescent="0.25">
      <c r="B183" s="29" t="str">
        <f>RawList!A149</f>
        <v>Primary Component</v>
      </c>
      <c r="C183" s="29" t="str">
        <f>RawList!B149</f>
        <v>Vitals/Environment Sensing</v>
      </c>
      <c r="D183" s="29" t="str">
        <f>RawList!C149</f>
        <v>SparkFun</v>
      </c>
      <c r="E183" s="29" t="str">
        <f>RawList!H149</f>
        <v>SparkFun Particle Sensor Breakout - MAX30105</v>
      </c>
      <c r="F183" s="29" t="str">
        <f>RawList!D149</f>
        <v>SEN-14045</v>
      </c>
      <c r="G183" s="101">
        <f>RawList!E149</f>
        <v>1</v>
      </c>
      <c r="H183" s="29" t="str">
        <f>IF(EquipmentTable[[#This Row],[Units]]&gt;0,"Quantity &gt; 0 Items","Quantity = 0 Items")</f>
        <v>Quantity &gt; 0 Items</v>
      </c>
      <c r="I183" s="102">
        <f>RawList!J149</f>
        <v>12.95</v>
      </c>
      <c r="J183" s="14">
        <f>VALUE(EquipmentTable[[#This Row],[Units]]*EquipmentTable[[#This Row],[Unit
 Price]])</f>
        <v>12.95</v>
      </c>
      <c r="K183" s="29" t="str">
        <f>RawList!G149</f>
        <v>https://cdn.sparkfun.com/r/92-92/assets/parts/1/1/8/7/4/14045-01.jpg</v>
      </c>
      <c r="L183" s="29"/>
      <c r="M183" s="29" t="str">
        <f>RawList!F149</f>
        <v>https://www.sparkfun.com/products/14045</v>
      </c>
    </row>
    <row r="184" spans="2:13" hidden="1" x14ac:dyDescent="0.25">
      <c r="B184" s="29" t="str">
        <f>RawList!A150</f>
        <v>Primary Component</v>
      </c>
      <c r="C184" s="29" t="str">
        <f>RawList!B150</f>
        <v>Vitals/Environment Sensing</v>
      </c>
      <c r="D184" s="29" t="str">
        <f>RawList!C150</f>
        <v>SparkFun</v>
      </c>
      <c r="E184" s="29" t="str">
        <f>RawList!H150</f>
        <v>Gas Sensor Breakout</v>
      </c>
      <c r="F184" s="29" t="str">
        <f>RawList!D150</f>
        <v>BOB-08891</v>
      </c>
      <c r="G184" s="101">
        <f>RawList!E150</f>
        <v>1</v>
      </c>
      <c r="H184" s="29" t="str">
        <f>IF(EquipmentTable[[#This Row],[Units]]&gt;0,"Quantity &gt; 0 Items","Quantity = 0 Items")</f>
        <v>Quantity &gt; 0 Items</v>
      </c>
      <c r="I184" s="102">
        <f>RawList!J150</f>
        <v>0.95</v>
      </c>
      <c r="J184" s="14">
        <f>VALUE(EquipmentTable[[#This Row],[Units]]*EquipmentTable[[#This Row],[Unit
 Price]])</f>
        <v>0.95</v>
      </c>
      <c r="K184" s="29" t="str">
        <f>RawList!G150</f>
        <v>https://cdn.sparkfun.com/r/92-92/assets/parts/2/1/6/8/08891-01.jpg</v>
      </c>
      <c r="L184" s="29"/>
      <c r="M184" s="29" t="str">
        <f>RawList!F150</f>
        <v>https://www.sparkfun.com/products/8891</v>
      </c>
    </row>
    <row r="185" spans="2:13" hidden="1" x14ac:dyDescent="0.25">
      <c r="B185" s="29" t="str">
        <f>RawList!A151</f>
        <v>Primary Component</v>
      </c>
      <c r="C185" s="29" t="str">
        <f>RawList!B151</f>
        <v>Vitals/Environment Sensing</v>
      </c>
      <c r="D185" s="29" t="str">
        <f>RawList!C151</f>
        <v>SparkFun</v>
      </c>
      <c r="E185" s="29" t="str">
        <f>RawList!H151</f>
        <v>Carbon Monoxide Sensor - MQ-7</v>
      </c>
      <c r="F185" s="29" t="str">
        <f>RawList!D151</f>
        <v>SEN-09403</v>
      </c>
      <c r="G185" s="101">
        <f>RawList!E151</f>
        <v>1</v>
      </c>
      <c r="H185" s="29" t="str">
        <f>IF(EquipmentTable[[#This Row],[Units]]&gt;0,"Quantity &gt; 0 Items","Quantity = 0 Items")</f>
        <v>Quantity &gt; 0 Items</v>
      </c>
      <c r="I185" s="102">
        <f>RawList!J151</f>
        <v>7.25</v>
      </c>
      <c r="J185" s="14">
        <f>VALUE(EquipmentTable[[#This Row],[Units]]*EquipmentTable[[#This Row],[Unit
 Price]])</f>
        <v>7.25</v>
      </c>
      <c r="K185" s="29" t="str">
        <f>RawList!G151</f>
        <v>https://cdn.sparkfun.com/r/92-92/assets/parts/3/0/1/8/09403-01.jpg</v>
      </c>
      <c r="L185" s="29"/>
      <c r="M185" s="29" t="str">
        <f>RawList!F151</f>
        <v>https://www.sparkfun.com/products/9403</v>
      </c>
    </row>
    <row r="186" spans="2:13" hidden="1" x14ac:dyDescent="0.25">
      <c r="B186" s="29" t="str">
        <f>RawList!A152</f>
        <v>Primary Component</v>
      </c>
      <c r="C186" s="29" t="str">
        <f>RawList!B152</f>
        <v>Vitals/Environment Sensing</v>
      </c>
      <c r="D186" s="29" t="str">
        <f>RawList!C152</f>
        <v>SparkFun</v>
      </c>
      <c r="E186" s="29" t="str">
        <f>RawList!H152</f>
        <v>SparkFun Luminosity Sensor Breakout - TSL2561</v>
      </c>
      <c r="F186" s="29" t="str">
        <f>RawList!D152</f>
        <v>SEN-12055</v>
      </c>
      <c r="G186" s="101">
        <f>RawList!E152</f>
        <v>0</v>
      </c>
      <c r="H186" s="29" t="str">
        <f>IF(EquipmentTable[[#This Row],[Units]]&gt;0,"Quantity &gt; 0 Items","Quantity = 0 Items")</f>
        <v>Quantity = 0 Items</v>
      </c>
      <c r="I186" s="102">
        <f>RawList!J152</f>
        <v>5.95</v>
      </c>
      <c r="J186" s="14">
        <f>VALUE(EquipmentTable[[#This Row],[Units]]*EquipmentTable[[#This Row],[Unit
 Price]])</f>
        <v>0</v>
      </c>
      <c r="K186" s="29" t="str">
        <f>RawList!G152</f>
        <v>https://cdn.sparkfun.com/r/92-92/assets/parts/8/6/4/4/12055-01.jpg</v>
      </c>
      <c r="L186" s="29"/>
      <c r="M186" s="29" t="str">
        <f>RawList!F152</f>
        <v>https://www.sparkfun.com/products/12055</v>
      </c>
    </row>
    <row r="187" spans="2:13" hidden="1" x14ac:dyDescent="0.25">
      <c r="B187" s="29" t="str">
        <f>RawList!A153</f>
        <v>Primary Component</v>
      </c>
      <c r="C187" s="29" t="str">
        <f>RawList!B153</f>
        <v>Vitals/Environment Sensing</v>
      </c>
      <c r="D187" s="29" t="str">
        <f>RawList!C153</f>
        <v>SparkFun</v>
      </c>
      <c r="E187" s="29" t="str">
        <f>RawList!H153</f>
        <v>SparkFun Ambient Light Sensor Breakout - TEMT6000</v>
      </c>
      <c r="F187" s="29" t="str">
        <f>RawList!D153</f>
        <v>BOB-08688</v>
      </c>
      <c r="G187" s="101">
        <f>RawList!E153</f>
        <v>2</v>
      </c>
      <c r="H187" s="29" t="str">
        <f>IF(EquipmentTable[[#This Row],[Units]]&gt;0,"Quantity &gt; 0 Items","Quantity = 0 Items")</f>
        <v>Quantity &gt; 0 Items</v>
      </c>
      <c r="I187" s="102">
        <f>RawList!J153</f>
        <v>3.95</v>
      </c>
      <c r="J187" s="14">
        <f>VALUE(EquipmentTable[[#This Row],[Units]]*EquipmentTable[[#This Row],[Unit
 Price]])</f>
        <v>7.9</v>
      </c>
      <c r="K187" s="29" t="str">
        <f>RawList!G153</f>
        <v>https://cdn.sparkfun.com/r/92-92/assets/parts/1/8/5/9/08688-01.jpg</v>
      </c>
      <c r="L187" s="29"/>
      <c r="M187" s="29" t="str">
        <f>RawList!F153</f>
        <v>https://www.sparkfun.com/products/8688</v>
      </c>
    </row>
    <row r="188" spans="2:13" x14ac:dyDescent="0.25">
      <c r="B188" s="29" t="str">
        <f>RawList!A154</f>
        <v>Primary Component</v>
      </c>
      <c r="C188" s="29" t="str">
        <f>RawList!B154</f>
        <v>WiFi</v>
      </c>
      <c r="D188" s="29" t="str">
        <f>RawList!C154</f>
        <v>SparkFun</v>
      </c>
      <c r="E188" s="29" t="str">
        <f>RawList!H154</f>
        <v>Edimax WiFi Adapter (EW-7811UN)</v>
      </c>
      <c r="F188" s="29" t="str">
        <f>RawList!D154</f>
        <v>WRL-13677</v>
      </c>
      <c r="G188" s="101">
        <f>RawList!E154</f>
        <v>3</v>
      </c>
      <c r="H188" s="29" t="str">
        <f>IF(EquipmentTable[[#This Row],[Units]]&gt;0,"Quantity &gt; 0 Items","Quantity = 0 Items")</f>
        <v>Quantity &gt; 0 Items</v>
      </c>
      <c r="I188" s="102">
        <f>RawList!J154</f>
        <v>14.95</v>
      </c>
      <c r="J188" s="14">
        <f>VALUE(EquipmentTable[[#This Row],[Units]]*EquipmentTable[[#This Row],[Unit
 Price]])</f>
        <v>44.849999999999994</v>
      </c>
      <c r="K188" s="29" t="str">
        <f>RawList!G154</f>
        <v>https://cdn.sparkfun.com/r/92-92/assets/parts/1/1/1/2/7/13677-01.jpg</v>
      </c>
      <c r="L188" s="29"/>
      <c r="M188" s="29" t="str">
        <f>RawList!F154</f>
        <v>https://www.sparkfun.com/products/13677</v>
      </c>
    </row>
    <row r="189" spans="2:13" x14ac:dyDescent="0.25">
      <c r="B189" s="29" t="str">
        <f>RawList!A155</f>
        <v>Primary Component</v>
      </c>
      <c r="C189" s="29" t="str">
        <f>RawList!B155</f>
        <v>WiFi</v>
      </c>
      <c r="D189" s="29" t="str">
        <f>RawList!C155</f>
        <v>SparkFun</v>
      </c>
      <c r="E189" s="29" t="str">
        <f>RawList!H155</f>
        <v>WiFi Module - ESP8266</v>
      </c>
      <c r="F189" s="29" t="str">
        <f>RawList!D155</f>
        <v>WRL-13678</v>
      </c>
      <c r="G189" s="101">
        <f>RawList!E155</f>
        <v>0</v>
      </c>
      <c r="H189" s="29" t="str">
        <f>IF(EquipmentTable[[#This Row],[Units]]&gt;0,"Quantity &gt; 0 Items","Quantity = 0 Items")</f>
        <v>Quantity = 0 Items</v>
      </c>
      <c r="I189" s="102">
        <f>RawList!J155</f>
        <v>6.95</v>
      </c>
      <c r="J189" s="14">
        <f>VALUE(EquipmentTable[[#This Row],[Units]]*EquipmentTable[[#This Row],[Unit
 Price]])</f>
        <v>0</v>
      </c>
      <c r="K189" s="29" t="str">
        <f>RawList!G155</f>
        <v>https://cdn.sparkfun.com/r/92-92/assets/parts/1/1/1/2/9/13678-01.jpg</v>
      </c>
      <c r="L189" s="29"/>
      <c r="M189" s="29" t="str">
        <f>RawList!F155</f>
        <v>https://www.sparkfun.com/products/13678</v>
      </c>
    </row>
    <row r="190" spans="2:13" hidden="1" x14ac:dyDescent="0.25">
      <c r="B190" s="29" t="str">
        <f>RawList!A160</f>
        <v>Secondary Component</v>
      </c>
      <c r="C190" s="29" t="str">
        <f>RawList!B160</f>
        <v>AVR/ISP Programmer Adapters/Cables</v>
      </c>
      <c r="D190" s="29" t="str">
        <f>RawList!C160</f>
        <v>SparkFun</v>
      </c>
      <c r="E190" s="29" t="str">
        <f>RawList!H160</f>
        <v>SparkFun ISP Pogo Adapter</v>
      </c>
      <c r="F190" s="29" t="str">
        <f>RawList!D160</f>
        <v>KIT-11591</v>
      </c>
      <c r="G190" s="101">
        <f>RawList!E160</f>
        <v>1</v>
      </c>
      <c r="H190" s="29" t="str">
        <f>IF(EquipmentTable[[#This Row],[Units]]&gt;0,"Quantity &gt; 0 Items","Quantity = 0 Items")</f>
        <v>Quantity &gt; 0 Items</v>
      </c>
      <c r="I190" s="36">
        <f>RawList!J160</f>
        <v>9.9499999999999993</v>
      </c>
      <c r="J190" s="14">
        <f>VALUE(EquipmentTable[[#This Row],[Units]]*EquipmentTable[[#This Row],[Unit
 Price]])</f>
        <v>9.9499999999999993</v>
      </c>
      <c r="K190" s="29" t="str">
        <f>RawList!G160</f>
        <v>https://cdn.sparkfun.com/r/92-92/assets/parts/7/5/9/7/11591-02.jpg</v>
      </c>
      <c r="L190" s="29"/>
      <c r="M190" s="29" t="str">
        <f>RawList!F160</f>
        <v>https://www.sparkfun.com/products/11591</v>
      </c>
    </row>
    <row r="191" spans="2:13" hidden="1" x14ac:dyDescent="0.25">
      <c r="B191" s="29" t="str">
        <f>RawList!A161</f>
        <v>Secondary Component</v>
      </c>
      <c r="C191" s="29" t="str">
        <f>RawList!B161</f>
        <v>AVR/ISP Programmer Adapters/Cables</v>
      </c>
      <c r="D191" s="29" t="str">
        <f>RawList!C161</f>
        <v>SparkFun</v>
      </c>
      <c r="E191" s="29" t="str">
        <f>RawList!H161</f>
        <v>AVR Programming Cable</v>
      </c>
      <c r="F191" s="29" t="str">
        <f>RawList!D161</f>
        <v>DEV-09215</v>
      </c>
      <c r="G191" s="101">
        <f>RawList!E161</f>
        <v>1</v>
      </c>
      <c r="H191" s="29" t="str">
        <f>IF(EquipmentTable[[#This Row],[Units]]&gt;0,"Quantity &gt; 0 Items","Quantity = 0 Items")</f>
        <v>Quantity &gt; 0 Items</v>
      </c>
      <c r="I191" s="36">
        <f>RawList!J161</f>
        <v>1.95</v>
      </c>
      <c r="J191" s="14">
        <f>VALUE(EquipmentTable[[#This Row],[Units]]*EquipmentTable[[#This Row],[Unit
 Price]])</f>
        <v>1.95</v>
      </c>
      <c r="K191" s="29" t="str">
        <f>RawList!G161</f>
        <v>https://cdn.sparkfun.com/r/92-92/assets/parts/2/6/7/5/09215-3.jpg</v>
      </c>
      <c r="L191" s="29"/>
      <c r="M191" s="29" t="str">
        <f>RawList!F161</f>
        <v>https://www.sparkfun.com/products/9215</v>
      </c>
    </row>
    <row r="192" spans="2:13" x14ac:dyDescent="0.25">
      <c r="B192" s="29" t="str">
        <f>RawList!A162</f>
        <v>Secondary Component</v>
      </c>
      <c r="C192" s="29" t="str">
        <f>RawList!B162</f>
        <v>Interface/Level/Logic Conversion</v>
      </c>
      <c r="D192" s="29" t="str">
        <f>RawList!C162</f>
        <v>SparkFun</v>
      </c>
      <c r="E192" s="29" t="str">
        <f>RawList!H162</f>
        <v>SparkFun Logic Level Converter - Bi-Directional</v>
      </c>
      <c r="F192" s="29" t="str">
        <f>RawList!D162</f>
        <v>BOB-12009</v>
      </c>
      <c r="G192" s="101">
        <f>RawList!E162</f>
        <v>10</v>
      </c>
      <c r="H192" s="29" t="str">
        <f>IF(EquipmentTable[[#This Row],[Units]]&gt;0,"Quantity &gt; 0 Items","Quantity = 0 Items")</f>
        <v>Quantity &gt; 0 Items</v>
      </c>
      <c r="I192" s="102">
        <f>RawList!J162</f>
        <v>2.8</v>
      </c>
      <c r="J192" s="14">
        <f>VALUE(EquipmentTable[[#This Row],[Units]]*EquipmentTable[[#This Row],[Unit
 Price]])</f>
        <v>28</v>
      </c>
      <c r="K192" s="29" t="str">
        <f>RawList!G162</f>
        <v>https://cdn.sparkfun.com/r/92-92/assets/parts/8/5/2/2/12009-06.jpg</v>
      </c>
      <c r="L192" s="29"/>
      <c r="M192" s="29" t="str">
        <f>RawList!F162</f>
        <v>https://www.sparkfun.com/products/12009</v>
      </c>
    </row>
    <row r="193" spans="2:13" x14ac:dyDescent="0.25">
      <c r="B193" s="29" t="str">
        <f>RawList!A163</f>
        <v>Secondary Component</v>
      </c>
      <c r="C193" s="29" t="str">
        <f>RawList!B163</f>
        <v>Interface/Level/Logic Conversion</v>
      </c>
      <c r="D193" s="29" t="str">
        <f>RawList!C163</f>
        <v>SparkFun</v>
      </c>
      <c r="E193" s="29" t="str">
        <f>RawList!H163</f>
        <v>SparkFun Level Translator Breakout - PCA9306</v>
      </c>
      <c r="F193" s="29" t="str">
        <f>RawList!D163</f>
        <v>BOB-11955</v>
      </c>
      <c r="G193" s="101">
        <f>RawList!E163</f>
        <v>2</v>
      </c>
      <c r="H193" s="29" t="str">
        <f>IF(EquipmentTable[[#This Row],[Units]]&gt;0,"Quantity &gt; 0 Items","Quantity = 0 Items")</f>
        <v>Quantity &gt; 0 Items</v>
      </c>
      <c r="I193" s="102">
        <f>RawList!J163</f>
        <v>6.95</v>
      </c>
      <c r="J193" s="14">
        <f>VALUE(EquipmentTable[[#This Row],[Units]]*EquipmentTable[[#This Row],[Unit
 Price]])</f>
        <v>13.9</v>
      </c>
      <c r="K193" s="29" t="str">
        <f>RawList!G163</f>
        <v>https://cdn.sparkfun.com/r/92-92/assets/parts/8/4/3/0/11955-01.jpg</v>
      </c>
      <c r="L193" s="29"/>
      <c r="M193" s="29" t="str">
        <f>RawList!F163</f>
        <v>https://www.sparkfun.com/products/11955</v>
      </c>
    </row>
    <row r="194" spans="2:13" x14ac:dyDescent="0.25">
      <c r="B194" s="29" t="str">
        <f>RawList!A164</f>
        <v>Secondary Component</v>
      </c>
      <c r="C194" s="29" t="str">
        <f>RawList!B164</f>
        <v>Interface/Level/Logic Conversion</v>
      </c>
      <c r="D194" s="29" t="str">
        <f>RawList!C164</f>
        <v>SparkFun</v>
      </c>
      <c r="E194" s="29" t="str">
        <f>RawList!H164</f>
        <v>SparkFun Voltage-Level Translator Breakout - TXB0104</v>
      </c>
      <c r="F194" s="29" t="str">
        <f>RawList!D164</f>
        <v>BOB-11771</v>
      </c>
      <c r="G194" s="101">
        <f>RawList!E164</f>
        <v>3</v>
      </c>
      <c r="H194" s="29" t="str">
        <f>IF(EquipmentTable[[#This Row],[Units]]&gt;0,"Quantity &gt; 0 Items","Quantity = 0 Items")</f>
        <v>Quantity &gt; 0 Items</v>
      </c>
      <c r="I194" s="102">
        <f>RawList!J164</f>
        <v>3.95</v>
      </c>
      <c r="J194" s="14">
        <f>VALUE(EquipmentTable[[#This Row],[Units]]*EquipmentTable[[#This Row],[Unit
 Price]])</f>
        <v>11.850000000000001</v>
      </c>
      <c r="K194" s="29" t="str">
        <f>RawList!G164</f>
        <v>https://cdn.sparkfun.com/r/92-92/assets/parts/8/0/0/6/11771-01.jpg</v>
      </c>
      <c r="L194" s="29"/>
      <c r="M194" s="29" t="str">
        <f>RawList!F164</f>
        <v>https://www.sparkfun.com/products/11771</v>
      </c>
    </row>
    <row r="195" spans="2:13" x14ac:dyDescent="0.25">
      <c r="B195" s="29" t="str">
        <f>RawList!A165</f>
        <v>Secondary Component</v>
      </c>
      <c r="C195" s="29" t="str">
        <f>RawList!B165</f>
        <v>Interface/Level/Logic Conversion</v>
      </c>
      <c r="D195" s="29" t="str">
        <f>RawList!C165</f>
        <v>SparkFun</v>
      </c>
      <c r="E195" s="29" t="str">
        <f>RawList!H165</f>
        <v>SparkFun I2C DAC Breakout - MCP4725</v>
      </c>
      <c r="F195" s="29" t="str">
        <f>RawList!D165</f>
        <v>BOB-12918</v>
      </c>
      <c r="G195" s="101">
        <f>RawList!E165</f>
        <v>5</v>
      </c>
      <c r="H195" s="29" t="str">
        <f>IF(EquipmentTable[[#This Row],[Units]]&gt;0,"Quantity &gt; 0 Items","Quantity = 0 Items")</f>
        <v>Quantity &gt; 0 Items</v>
      </c>
      <c r="I195" s="102">
        <f>RawList!J165</f>
        <v>4.95</v>
      </c>
      <c r="J195" s="14">
        <f>VALUE(EquipmentTable[[#This Row],[Units]]*EquipmentTable[[#This Row],[Unit
 Price]])</f>
        <v>24.75</v>
      </c>
      <c r="K195" s="29" t="str">
        <f>RawList!G165</f>
        <v>https://cdn.sparkfun.com/r/92-92/assets/parts/9/8/3/2/12918-01.jpg</v>
      </c>
      <c r="L195" s="29"/>
      <c r="M195" s="29" t="str">
        <f>RawList!F165</f>
        <v>https://www.sparkfun.com/products/12918</v>
      </c>
    </row>
    <row r="196" spans="2:13" x14ac:dyDescent="0.25">
      <c r="B196" s="29" t="str">
        <f>RawList!A166</f>
        <v>Secondary Component</v>
      </c>
      <c r="C196" s="29" t="str">
        <f>RawList!B166</f>
        <v>Interface/Level/Logic Conversion</v>
      </c>
      <c r="D196" s="29" t="str">
        <f>RawList!C166</f>
        <v>Adafruit</v>
      </c>
      <c r="E196" s="29" t="str">
        <f>RawList!H166</f>
        <v xml:space="preserve">MCP4725 Breakout Board - 12-Bit DAC w/I2C Interface </v>
      </c>
      <c r="F196" s="29" t="str">
        <f>RawList!D166</f>
        <v>935</v>
      </c>
      <c r="G196" s="101">
        <f>RawList!E166</f>
        <v>0</v>
      </c>
      <c r="H196" s="29" t="str">
        <f>IF(EquipmentTable[[#This Row],[Units]]&gt;0,"Quantity &gt; 0 Items","Quantity = 0 Items")</f>
        <v>Quantity = 0 Items</v>
      </c>
      <c r="I196" s="102">
        <f>RawList!J166</f>
        <v>4.95</v>
      </c>
      <c r="J196" s="14">
        <f>VALUE(EquipmentTable[[#This Row],[Units]]*EquipmentTable[[#This Row],[Unit
 Price]])</f>
        <v>0</v>
      </c>
      <c r="K196" s="29">
        <f>RawList!G166</f>
        <v>0</v>
      </c>
      <c r="L196" s="29"/>
      <c r="M196" s="29">
        <f>RawList!F166</f>
        <v>0</v>
      </c>
    </row>
    <row r="197" spans="2:13" x14ac:dyDescent="0.25">
      <c r="B197" s="29" t="str">
        <f>RawList!A167</f>
        <v>Secondary Component</v>
      </c>
      <c r="C197" s="29" t="str">
        <f>RawList!B167</f>
        <v>Interface/Level/Logic Conversion</v>
      </c>
      <c r="D197" s="29" t="str">
        <f>RawList!C167</f>
        <v>Adafruit</v>
      </c>
      <c r="E197" s="29" t="str">
        <f>RawList!H167</f>
        <v xml:space="preserve">Adafruit I2C Non-Volatile FRAM Breakout - 256Kbit / 32KByte </v>
      </c>
      <c r="F197" s="29" t="str">
        <f>RawList!D167</f>
        <v>1895</v>
      </c>
      <c r="G197" s="101">
        <f>RawList!E167</f>
        <v>0</v>
      </c>
      <c r="H197" s="29" t="str">
        <f>IF(EquipmentTable[[#This Row],[Units]]&gt;0,"Quantity &gt; 0 Items","Quantity = 0 Items")</f>
        <v>Quantity = 0 Items</v>
      </c>
      <c r="I197" s="102">
        <f>RawList!J167</f>
        <v>9.9499999999999993</v>
      </c>
      <c r="J197" s="14">
        <f>VALUE(EquipmentTable[[#This Row],[Units]]*EquipmentTable[[#This Row],[Unit
 Price]])</f>
        <v>0</v>
      </c>
      <c r="K197" s="29">
        <f>RawList!G167</f>
        <v>0</v>
      </c>
      <c r="L197" s="29"/>
      <c r="M197" s="29">
        <f>RawList!F167</f>
        <v>0</v>
      </c>
    </row>
    <row r="198" spans="2:13" x14ac:dyDescent="0.25">
      <c r="B198" s="29" t="str">
        <f>RawList!A168</f>
        <v>Secondary Component</v>
      </c>
      <c r="C198" s="29" t="str">
        <f>RawList!B168</f>
        <v>Interface/Level/Logic Conversion</v>
      </c>
      <c r="D198" s="29" t="str">
        <f>RawList!C168</f>
        <v>Adafruit</v>
      </c>
      <c r="E198" s="29" t="str">
        <f>RawList!H168</f>
        <v xml:space="preserve">Adafruit SPI Non-Volatile FRAM Breakout - 64Kbit / 8KByte </v>
      </c>
      <c r="F198" s="29" t="str">
        <f>RawList!D168</f>
        <v>1897</v>
      </c>
      <c r="G198" s="101">
        <f>RawList!E168</f>
        <v>0</v>
      </c>
      <c r="H198" s="29" t="str">
        <f>IF(EquipmentTable[[#This Row],[Units]]&gt;0,"Quantity &gt; 0 Items","Quantity = 0 Items")</f>
        <v>Quantity = 0 Items</v>
      </c>
      <c r="I198" s="102">
        <f>RawList!J168</f>
        <v>5.95</v>
      </c>
      <c r="J198" s="14">
        <f>VALUE(EquipmentTable[[#This Row],[Units]]*EquipmentTable[[#This Row],[Unit
 Price]])</f>
        <v>0</v>
      </c>
      <c r="K198" s="29">
        <f>RawList!G168</f>
        <v>0</v>
      </c>
      <c r="L198" s="29"/>
      <c r="M198" s="29">
        <f>RawList!F168</f>
        <v>0</v>
      </c>
    </row>
    <row r="199" spans="2:13" hidden="1" x14ac:dyDescent="0.25">
      <c r="B199" s="29" t="str">
        <f>RawList!A169</f>
        <v>Secondary Component</v>
      </c>
      <c r="C199" s="29" t="str">
        <f>RawList!B169</f>
        <v>QWIIC System/Components</v>
      </c>
      <c r="D199" s="29" t="str">
        <f>RawList!C169</f>
        <v>SparkFun</v>
      </c>
      <c r="E199" s="29" t="str">
        <f>RawList!H169</f>
        <v>Qwiic Cable - Breadboard Jumper (4-pin)</v>
      </c>
      <c r="F199" s="29" t="str">
        <f>RawList!D169</f>
        <v>PRT-14425</v>
      </c>
      <c r="G199" s="101">
        <f>RawList!E169</f>
        <v>15</v>
      </c>
      <c r="H199" s="29" t="str">
        <f>IF(EquipmentTable[[#This Row],[Units]]&gt;0,"Quantity &gt; 0 Items","Quantity = 0 Items")</f>
        <v>Quantity &gt; 0 Items</v>
      </c>
      <c r="I199" s="102">
        <f>RawList!J169</f>
        <v>1.5</v>
      </c>
      <c r="J199" s="14">
        <f>VALUE(EquipmentTable[[#This Row],[Units]]*EquipmentTable[[#This Row],[Unit
 Price]])</f>
        <v>22.5</v>
      </c>
      <c r="K199" s="29" t="str">
        <f>RawList!G169</f>
        <v>https://cdn.sparkfun.com/r/92-92/assets/parts/1/2/4/5/1/14425-01.jpg</v>
      </c>
      <c r="L199" s="29"/>
      <c r="M199" s="29" t="str">
        <f>RawList!F169</f>
        <v>https://www.sparkfun.com/products/14425</v>
      </c>
    </row>
    <row r="200" spans="2:13" hidden="1" x14ac:dyDescent="0.25">
      <c r="B200" s="29" t="str">
        <f>RawList!A170</f>
        <v>Secondary Component</v>
      </c>
      <c r="C200" s="29" t="str">
        <f>RawList!B170</f>
        <v>QWIIC System/Components</v>
      </c>
      <c r="D200" s="29" t="str">
        <f>RawList!C170</f>
        <v>SparkFun</v>
      </c>
      <c r="E200" s="29" t="str">
        <f>RawList!H170</f>
        <v>1-Wire to Qwiic Bridge - DS28E17</v>
      </c>
      <c r="F200" s="29" t="str">
        <f>RawList!D170</f>
        <v>SPX-14291</v>
      </c>
      <c r="G200" s="101">
        <f>RawList!E170</f>
        <v>1</v>
      </c>
      <c r="H200" s="29" t="str">
        <f>IF(EquipmentTable[[#This Row],[Units]]&gt;0,"Quantity &gt; 0 Items","Quantity = 0 Items")</f>
        <v>Quantity &gt; 0 Items</v>
      </c>
      <c r="I200" s="102">
        <f>RawList!J170</f>
        <v>14.95</v>
      </c>
      <c r="J200" s="14">
        <f>VALUE(EquipmentTable[[#This Row],[Units]]*EquipmentTable[[#This Row],[Unit
 Price]])</f>
        <v>14.95</v>
      </c>
      <c r="K200" s="29" t="str">
        <f>RawList!G170</f>
        <v>https://cdn.sparkfun.com/r/92-92/assets/parts/1/2/2/5/0/1Wire_to_Qwiic_Bridge_DS28E17_05.jpg</v>
      </c>
      <c r="L200" s="29"/>
      <c r="M200" s="29" t="str">
        <f>RawList!F170</f>
        <v>https://www.sparkfun.com/products/14291</v>
      </c>
    </row>
    <row r="201" spans="2:13" hidden="1" x14ac:dyDescent="0.25">
      <c r="B201" s="29" t="str">
        <f>RawList!A171</f>
        <v>Secondary Component</v>
      </c>
      <c r="C201" s="29" t="str">
        <f>RawList!B171</f>
        <v>QWIIC System/Components</v>
      </c>
      <c r="D201" s="29" t="str">
        <f>RawList!C171</f>
        <v>SparkFun</v>
      </c>
      <c r="E201" s="29" t="str">
        <f>RawList!H171</f>
        <v>Qwiic Shield for Arduino</v>
      </c>
      <c r="F201" s="29" t="str">
        <f>RawList!D171</f>
        <v>SPX-14286</v>
      </c>
      <c r="G201" s="101">
        <f>RawList!E171</f>
        <v>0</v>
      </c>
      <c r="H201" s="29" t="str">
        <f>IF(EquipmentTable[[#This Row],[Units]]&gt;0,"Quantity &gt; 0 Items","Quantity = 0 Items")</f>
        <v>Quantity = 0 Items</v>
      </c>
      <c r="I201" s="102">
        <f>RawList!J171</f>
        <v>2.95</v>
      </c>
      <c r="J201" s="14">
        <f>VALUE(EquipmentTable[[#This Row],[Units]]*EquipmentTable[[#This Row],[Unit
 Price]])</f>
        <v>0</v>
      </c>
      <c r="K201" s="29" t="str">
        <f>RawList!G171</f>
        <v>https://cdn.sparkfun.com/r/92-92/assets/parts/1/2/2/4/5/Qwiic_Shield_for_Arduino_X1.1_04.jpg</v>
      </c>
      <c r="L201" s="29"/>
      <c r="M201" s="29" t="str">
        <f>RawList!F171</f>
        <v>https://www.sparkfun.com/products/14286</v>
      </c>
    </row>
    <row r="202" spans="2:13" hidden="1" x14ac:dyDescent="0.25">
      <c r="B202" s="29" t="str">
        <f>RawList!A172</f>
        <v>Secondary Component</v>
      </c>
      <c r="C202" s="29" t="str">
        <f>RawList!B172</f>
        <v>QWIIC System/Components</v>
      </c>
      <c r="D202" s="29" t="str">
        <f>RawList!C172</f>
        <v>SparkFun</v>
      </c>
      <c r="E202" s="29" t="str">
        <f>RawList!H172</f>
        <v>Qwiic Mux Shield for Arduino - PCA9548A</v>
      </c>
      <c r="F202" s="29" t="str">
        <f>RawList!D172</f>
        <v>SPX-14257</v>
      </c>
      <c r="G202" s="101">
        <f>RawList!E172</f>
        <v>0</v>
      </c>
      <c r="H202" s="29" t="str">
        <f>IF(EquipmentTable[[#This Row],[Units]]&gt;0,"Quantity &gt; 0 Items","Quantity = 0 Items")</f>
        <v>Quantity = 0 Items</v>
      </c>
      <c r="I202" s="102">
        <f>RawList!J172</f>
        <v>9.9499999999999993</v>
      </c>
      <c r="J202" s="14">
        <f>VALUE(EquipmentTable[[#This Row],[Units]]*EquipmentTable[[#This Row],[Unit
 Price]])</f>
        <v>0</v>
      </c>
      <c r="K202" s="29" t="str">
        <f>RawList!G172</f>
        <v>https://cdn.sparkfun.com/r/92-92/assets/parts/1/2/2/0/5/Qwiic_Mux_Shield_Arduino_04.jpg</v>
      </c>
      <c r="L202" s="29"/>
      <c r="M202" s="29" t="str">
        <f>RawList!F172</f>
        <v>https://www.sparkfun.com/products/14257</v>
      </c>
    </row>
    <row r="203" spans="2:13" hidden="1" x14ac:dyDescent="0.25">
      <c r="B203" s="29" t="str">
        <f>RawList!A173</f>
        <v>Secondary Component</v>
      </c>
      <c r="C203" s="29" t="str">
        <f>RawList!B173</f>
        <v>QWIIC System/Components</v>
      </c>
      <c r="D203" s="29" t="str">
        <f>RawList!C173</f>
        <v>SparkFun</v>
      </c>
      <c r="E203" s="29" t="str">
        <f>RawList!H173</f>
        <v>Qwiic Mux - PCA9548A</v>
      </c>
      <c r="F203" s="29" t="str">
        <f>RawList!D173</f>
        <v>SPX-14293</v>
      </c>
      <c r="G203" s="101">
        <f>RawList!E173</f>
        <v>1</v>
      </c>
      <c r="H203" s="29" t="str">
        <f>IF(EquipmentTable[[#This Row],[Units]]&gt;0,"Quantity &gt; 0 Items","Quantity = 0 Items")</f>
        <v>Quantity &gt; 0 Items</v>
      </c>
      <c r="I203" s="102">
        <f>RawList!J173</f>
        <v>14.95</v>
      </c>
      <c r="J203" s="14">
        <f>VALUE(EquipmentTable[[#This Row],[Units]]*EquipmentTable[[#This Row],[Unit
 Price]])</f>
        <v>14.95</v>
      </c>
      <c r="K203" s="29" t="str">
        <f>RawList!G173</f>
        <v>https://cdn.sparkfun.com/r/92-92/assets/parts/1/2/2/5/2/Qwiic-Mux-PCA9548A-3.jpg</v>
      </c>
      <c r="L203" s="29"/>
      <c r="M203" s="29" t="str">
        <f>RawList!F173</f>
        <v>https://www.sparkfun.com/products/14293</v>
      </c>
    </row>
    <row r="204" spans="2:13" hidden="1" x14ac:dyDescent="0.25">
      <c r="B204" s="29" t="str">
        <f>RawList!A174</f>
        <v>Secondary Component</v>
      </c>
      <c r="C204" s="29" t="str">
        <f>RawList!B174</f>
        <v>QWIIC System/Components</v>
      </c>
      <c r="D204" s="29" t="str">
        <f>RawList!C174</f>
        <v>SparkFun</v>
      </c>
      <c r="E204" s="29" t="str">
        <f>RawList!H174</f>
        <v>Qwiic Human Presence Sensor - AK9750</v>
      </c>
      <c r="F204" s="29" t="str">
        <f>RawList!D174</f>
        <v>SPX-14289</v>
      </c>
      <c r="G204" s="101">
        <f>RawList!E174</f>
        <v>0</v>
      </c>
      <c r="H204" s="29" t="str">
        <f>IF(EquipmentTable[[#This Row],[Units]]&gt;0,"Quantity &gt; 0 Items","Quantity = 0 Items")</f>
        <v>Quantity = 0 Items</v>
      </c>
      <c r="I204" s="102">
        <f>RawList!J174</f>
        <v>39.950000000000003</v>
      </c>
      <c r="J204" s="14">
        <f>VALUE(EquipmentTable[[#This Row],[Units]]*EquipmentTable[[#This Row],[Unit
 Price]])</f>
        <v>0</v>
      </c>
      <c r="K204" s="29" t="str">
        <f>RawList!G174</f>
        <v>https://cdn.sparkfun.com/r/92-92/assets/parts/1/2/2/4/8/Qwiic-AK9750-3.jpg</v>
      </c>
      <c r="L204" s="29"/>
      <c r="M204" s="29" t="str">
        <f>RawList!F174</f>
        <v>https://www.sparkfun.com/products/14289</v>
      </c>
    </row>
    <row r="205" spans="2:13" hidden="1" x14ac:dyDescent="0.25">
      <c r="B205" s="29" t="str">
        <f>RawList!A175</f>
        <v>Secondary Component</v>
      </c>
      <c r="C205" s="29" t="str">
        <f>RawList!B175</f>
        <v>QWIIC System/Components</v>
      </c>
      <c r="D205" s="29" t="str">
        <f>RawList!C175</f>
        <v>SparkFun</v>
      </c>
      <c r="E205" s="29" t="str">
        <f>RawList!H175</f>
        <v>Qwiic Micro OLED</v>
      </c>
      <c r="F205" s="29" t="str">
        <f>RawList!D175</f>
        <v>SPX-14269</v>
      </c>
      <c r="G205" s="101">
        <f>RawList!E175</f>
        <v>0</v>
      </c>
      <c r="H205" s="29" t="str">
        <f>IF(EquipmentTable[[#This Row],[Units]]&gt;0,"Quantity &gt; 0 Items","Quantity = 0 Items")</f>
        <v>Quantity = 0 Items</v>
      </c>
      <c r="I205" s="102">
        <f>RawList!J175</f>
        <v>14.95</v>
      </c>
      <c r="J205" s="14">
        <f>VALUE(EquipmentTable[[#This Row],[Units]]*EquipmentTable[[#This Row],[Unit
 Price]])</f>
        <v>0</v>
      </c>
      <c r="K205" s="29" t="str">
        <f>RawList!G175</f>
        <v>https://cdn.sparkfun.com/r/92-92/assets/parts/1/2/2/2/4/Qwiic_Micro_OLED_04.jpg</v>
      </c>
      <c r="L205" s="29"/>
      <c r="M205" s="29" t="str">
        <f>RawList!F175</f>
        <v>https://www.sparkfun.com/products/14269</v>
      </c>
    </row>
    <row r="206" spans="2:13" hidden="1" x14ac:dyDescent="0.25">
      <c r="B206" s="29" t="str">
        <f>RawList!A176</f>
        <v>Secondary Component</v>
      </c>
      <c r="C206" s="29" t="str">
        <f>RawList!B176</f>
        <v>QWIIC System/Components</v>
      </c>
      <c r="D206" s="29" t="str">
        <f>RawList!C176</f>
        <v>SparkFun</v>
      </c>
      <c r="E206" s="29" t="str">
        <f>RawList!H176</f>
        <v>Qwiic Cable - 50mm</v>
      </c>
      <c r="F206" s="29" t="str">
        <f>RawList!D176</f>
        <v>PRT-14426</v>
      </c>
      <c r="G206" s="101">
        <f>RawList!E176</f>
        <v>10</v>
      </c>
      <c r="H206" s="29" t="str">
        <f>IF(EquipmentTable[[#This Row],[Units]]&gt;0,"Quantity &gt; 0 Items","Quantity = 0 Items")</f>
        <v>Quantity &gt; 0 Items</v>
      </c>
      <c r="I206" s="102">
        <f>RawList!J176</f>
        <v>0.95</v>
      </c>
      <c r="J206" s="14">
        <f>VALUE(EquipmentTable[[#This Row],[Units]]*EquipmentTable[[#This Row],[Unit
 Price]])</f>
        <v>9.5</v>
      </c>
      <c r="K206" s="29" t="str">
        <f>RawList!G176</f>
        <v>https://cdn.sparkfun.com/r/92-92/assets/parts/1/2/4/5/2/14426-01.jpg</v>
      </c>
      <c r="L206" s="29"/>
      <c r="M206" s="29" t="str">
        <f>RawList!F176</f>
        <v>https://www.sparkfun.com/products/14426</v>
      </c>
    </row>
    <row r="207" spans="2:13" hidden="1" x14ac:dyDescent="0.25">
      <c r="B207" s="29" t="str">
        <f>RawList!A177</f>
        <v>Secondary Component</v>
      </c>
      <c r="C207" s="29" t="str">
        <f>RawList!B177</f>
        <v>QWIIC System/Components</v>
      </c>
      <c r="D207" s="29" t="str">
        <f>RawList!C177</f>
        <v>SparkFun</v>
      </c>
      <c r="E207" s="29" t="str">
        <f>RawList!H177</f>
        <v>Qwiic Cable - 100mm</v>
      </c>
      <c r="F207" s="29" t="str">
        <f>RawList!D177</f>
        <v>PRT-14427</v>
      </c>
      <c r="G207" s="101">
        <f>RawList!E177</f>
        <v>5</v>
      </c>
      <c r="H207" s="29" t="str">
        <f>IF(EquipmentTable[[#This Row],[Units]]&gt;0,"Quantity &gt; 0 Items","Quantity = 0 Items")</f>
        <v>Quantity &gt; 0 Items</v>
      </c>
      <c r="I207" s="102">
        <f>RawList!J177</f>
        <v>1.5</v>
      </c>
      <c r="J207" s="14">
        <f>VALUE(EquipmentTable[[#This Row],[Units]]*EquipmentTable[[#This Row],[Unit
 Price]])</f>
        <v>7.5</v>
      </c>
      <c r="K207" s="29" t="str">
        <f>RawList!G177</f>
        <v>https://cdn.sparkfun.com/r/92-92/assets/parts/1/2/4/5/3/14427-01.jpg</v>
      </c>
      <c r="L207" s="29"/>
      <c r="M207" s="29" t="str">
        <f>RawList!F177</f>
        <v>https://www.sparkfun.com/products/14427</v>
      </c>
    </row>
    <row r="208" spans="2:13" hidden="1" x14ac:dyDescent="0.25">
      <c r="B208" s="29" t="str">
        <f>RawList!A178</f>
        <v>Secondary Component</v>
      </c>
      <c r="C208" s="29" t="str">
        <f>RawList!B178</f>
        <v>QWIIC System/Components</v>
      </c>
      <c r="D208" s="29" t="str">
        <f>RawList!C178</f>
        <v>SparkFun</v>
      </c>
      <c r="E208" s="29" t="str">
        <f>RawList!H178</f>
        <v>Qwiic Cable - 200mm</v>
      </c>
      <c r="F208" s="29" t="str">
        <f>RawList!D178</f>
        <v>PRT-14428</v>
      </c>
      <c r="G208" s="101">
        <f>RawList!E178</f>
        <v>5</v>
      </c>
      <c r="H208" s="29" t="str">
        <f>IF(EquipmentTable[[#This Row],[Units]]&gt;0,"Quantity &gt; 0 Items","Quantity = 0 Items")</f>
        <v>Quantity &gt; 0 Items</v>
      </c>
      <c r="I208" s="102">
        <f>RawList!J178</f>
        <v>1.5</v>
      </c>
      <c r="J208" s="14">
        <f>VALUE(EquipmentTable[[#This Row],[Units]]*EquipmentTable[[#This Row],[Unit
 Price]])</f>
        <v>7.5</v>
      </c>
      <c r="K208" s="29" t="str">
        <f>RawList!G178</f>
        <v>https://cdn.sparkfun.com/r/92-92/assets/parts/1/2/4/5/4/14428-01.jpg</v>
      </c>
      <c r="L208" s="29"/>
      <c r="M208" s="29" t="str">
        <f>RawList!F178</f>
        <v>https://www.sparkfun.com/products/14428</v>
      </c>
    </row>
    <row r="209" spans="2:13" hidden="1" x14ac:dyDescent="0.25">
      <c r="B209" s="29" t="str">
        <f>RawList!A179</f>
        <v>Secondary Component</v>
      </c>
      <c r="C209" s="29" t="str">
        <f>RawList!B179</f>
        <v>QWIIC System/Components</v>
      </c>
      <c r="D209" s="29" t="str">
        <f>RawList!C179</f>
        <v>SparkFun</v>
      </c>
      <c r="E209" s="29" t="str">
        <f>RawList!H179</f>
        <v>Qwiic Cable - 500mm</v>
      </c>
      <c r="F209" s="29" t="str">
        <f>RawList!D179</f>
        <v>PRT-14429</v>
      </c>
      <c r="G209" s="101">
        <f>RawList!E179</f>
        <v>1</v>
      </c>
      <c r="H209" s="29" t="str">
        <f>IF(EquipmentTable[[#This Row],[Units]]&gt;0,"Quantity &gt; 0 Items","Quantity = 0 Items")</f>
        <v>Quantity &gt; 0 Items</v>
      </c>
      <c r="I209" s="102">
        <f>RawList!J179</f>
        <v>1.95</v>
      </c>
      <c r="J209" s="14">
        <f>VALUE(EquipmentTable[[#This Row],[Units]]*EquipmentTable[[#This Row],[Unit
 Price]])</f>
        <v>1.95</v>
      </c>
      <c r="K209" s="29" t="str">
        <f>RawList!G179</f>
        <v>https://cdn.sparkfun.com/r/92-92/assets/parts/1/2/4/5/5/14429-01.jpg</v>
      </c>
      <c r="L209" s="29"/>
      <c r="M209" s="29" t="str">
        <f>RawList!F179</f>
        <v>https://www.sparkfun.com/products/14429</v>
      </c>
    </row>
    <row r="210" spans="2:13" hidden="1" x14ac:dyDescent="0.25">
      <c r="B210" s="29" t="str">
        <f>RawList!A180</f>
        <v>Secondary Component</v>
      </c>
      <c r="C210" s="29" t="str">
        <f>RawList!B180</f>
        <v>QWIIC System/Components</v>
      </c>
      <c r="D210" s="29" t="str">
        <f>RawList!C180</f>
        <v>SparkFun</v>
      </c>
      <c r="E210" s="29" t="str">
        <f>RawList!H180</f>
        <v>Qwiic Connector SMD - Black 10 Pcs</v>
      </c>
      <c r="F210" s="29" t="str">
        <f>RawList!D180</f>
        <v>SPX-14323</v>
      </c>
      <c r="G210" s="101">
        <f>RawList!E180</f>
        <v>2</v>
      </c>
      <c r="H210" s="29" t="str">
        <f>IF(EquipmentTable[[#This Row],[Units]]&gt;0,"Quantity &gt; 0 Items","Quantity = 0 Items")</f>
        <v>Quantity &gt; 0 Items</v>
      </c>
      <c r="I210" s="102">
        <f>RawList!J180</f>
        <v>2.95</v>
      </c>
      <c r="J210" s="14">
        <f>VALUE(EquipmentTable[[#This Row],[Units]]*EquipmentTable[[#This Row],[Unit
 Price]])</f>
        <v>5.9</v>
      </c>
      <c r="K210" s="29" t="str">
        <f>RawList!G180</f>
        <v>https://cdn.sparkfun.com/r/92-92/assets/parts/1/2/2/8/9/Qwiic_Connector_SMD-Black-1.jpg</v>
      </c>
      <c r="L210" s="29"/>
      <c r="M210" s="29" t="str">
        <f>RawList!F180</f>
        <v>https://www.sparkfun.com/products/14323</v>
      </c>
    </row>
    <row r="211" spans="2:13" hidden="1" x14ac:dyDescent="0.25">
      <c r="B211" s="29" t="str">
        <f>RawList!A181</f>
        <v>Secondary Component</v>
      </c>
      <c r="C211" s="29" t="str">
        <f>RawList!B181</f>
        <v>QWIIC System/Components</v>
      </c>
      <c r="D211" s="29" t="str">
        <f>RawList!C181</f>
        <v>SparkFun</v>
      </c>
      <c r="E211" s="29" t="str">
        <f>RawList!H181</f>
        <v>Qwiic Connector SMD - White 10 Pcs</v>
      </c>
      <c r="F211" s="29" t="str">
        <f>RawList!D181</f>
        <v>SPX-14324</v>
      </c>
      <c r="G211" s="101">
        <f>RawList!E181</f>
        <v>1</v>
      </c>
      <c r="H211" s="29" t="str">
        <f>IF(EquipmentTable[[#This Row],[Units]]&gt;0,"Quantity &gt; 0 Items","Quantity = 0 Items")</f>
        <v>Quantity &gt; 0 Items</v>
      </c>
      <c r="I211" s="102">
        <f>RawList!J181</f>
        <v>2.95</v>
      </c>
      <c r="J211" s="14">
        <f>VALUE(EquipmentTable[[#This Row],[Units]]*EquipmentTable[[#This Row],[Unit
 Price]])</f>
        <v>2.95</v>
      </c>
      <c r="K211" s="29" t="str">
        <f>RawList!G181</f>
        <v>https://cdn.sparkfun.com/r/92-92/assets/parts/1/2/2/9/0/Qwiic_Connector_SMD-White-2.jpg</v>
      </c>
      <c r="L211" s="29"/>
      <c r="M211" s="29" t="str">
        <f>RawList!F181</f>
        <v>https://www.sparkfun.com/products/14324</v>
      </c>
    </row>
    <row r="212" spans="2:13" x14ac:dyDescent="0.25">
      <c r="B212" s="29" t="str">
        <f>RawList!A182</f>
        <v>Secondary Component</v>
      </c>
      <c r="C212" s="29" t="str">
        <f>RawList!B182</f>
        <v>Signal Multiplexing/Conditioning</v>
      </c>
      <c r="D212" s="29" t="str">
        <f>RawList!C182</f>
        <v>SparkFun</v>
      </c>
      <c r="E212" s="29" t="str">
        <f>RawList!H182</f>
        <v>Mux Shield II</v>
      </c>
      <c r="F212" s="29" t="str">
        <f>RawList!D182</f>
        <v>DEV-11723</v>
      </c>
      <c r="G212" s="101">
        <f>RawList!E182</f>
        <v>0</v>
      </c>
      <c r="H212" s="29" t="str">
        <f>IF(EquipmentTable[[#This Row],[Units]]&gt;0,"Quantity &gt; 0 Items","Quantity = 0 Items")</f>
        <v>Quantity = 0 Items</v>
      </c>
      <c r="I212" s="102">
        <f>RawList!J182</f>
        <v>24.95</v>
      </c>
      <c r="J212" s="14">
        <f>VALUE(EquipmentTable[[#This Row],[Units]]*EquipmentTable[[#This Row],[Unit
 Price]])</f>
        <v>0</v>
      </c>
      <c r="K212" s="29" t="str">
        <f>RawList!G182</f>
        <v>https://cdn.sparkfun.com/r/92-92/assets/parts/7/9/3/4/11723-01.jpg</v>
      </c>
      <c r="L212" s="29"/>
      <c r="M212" s="29" t="str">
        <f>RawList!F182</f>
        <v>https://www.sparkfun.com/products/11723</v>
      </c>
    </row>
    <row r="213" spans="2:13" x14ac:dyDescent="0.25">
      <c r="B213" s="29" t="str">
        <f>RawList!A183</f>
        <v>Secondary Component</v>
      </c>
      <c r="C213" s="29" t="str">
        <f>RawList!B183</f>
        <v>Signal Multiplexing/Conditioning</v>
      </c>
      <c r="D213" s="29" t="str">
        <f>RawList!C183</f>
        <v>SparkFun</v>
      </c>
      <c r="E213" s="29" t="str">
        <f>RawList!H183</f>
        <v>SparkFun Analog/Digital MUX Breakout - CD74HC4067</v>
      </c>
      <c r="F213" s="29" t="str">
        <f>RawList!D183</f>
        <v>BOB-09056</v>
      </c>
      <c r="G213" s="101">
        <f>RawList!E183</f>
        <v>6</v>
      </c>
      <c r="H213" s="29" t="str">
        <f>IF(EquipmentTable[[#This Row],[Units]]&gt;0,"Quantity &gt; 0 Items","Quantity = 0 Items")</f>
        <v>Quantity &gt; 0 Items</v>
      </c>
      <c r="I213" s="102">
        <f>RawList!J183</f>
        <v>4.95</v>
      </c>
      <c r="J213" s="14">
        <f>VALUE(EquipmentTable[[#This Row],[Units]]*EquipmentTable[[#This Row],[Unit
 Price]])</f>
        <v>29.700000000000003</v>
      </c>
      <c r="K213" s="29" t="str">
        <f>RawList!G183</f>
        <v>https://cdn.sparkfun.com/r/92-92/assets/parts/2/4/2/0/09056-01.jpg</v>
      </c>
      <c r="L213" s="29"/>
      <c r="M213" s="29" t="str">
        <f>RawList!F183</f>
        <v>https://www.sparkfun.com/products/9056</v>
      </c>
    </row>
    <row r="214" spans="2:13" x14ac:dyDescent="0.25">
      <c r="B214" s="29" t="str">
        <f>RawList!A184</f>
        <v>Secondary Component</v>
      </c>
      <c r="C214" s="29" t="str">
        <f>RawList!B184</f>
        <v>Signal Multiplexing/Conditioning</v>
      </c>
      <c r="D214" s="29" t="str">
        <f>RawList!C184</f>
        <v>Adafruit</v>
      </c>
      <c r="E214" s="29" t="str">
        <f>RawList!H184</f>
        <v xml:space="preserve">TCA9548A I2C Multiplexer </v>
      </c>
      <c r="F214" s="29" t="str">
        <f>RawList!D184</f>
        <v>2717</v>
      </c>
      <c r="G214" s="101">
        <f>RawList!E184</f>
        <v>0</v>
      </c>
      <c r="H214" s="29" t="str">
        <f>IF(EquipmentTable[[#This Row],[Units]]&gt;0,"Quantity &gt; 0 Items","Quantity = 0 Items")</f>
        <v>Quantity = 0 Items</v>
      </c>
      <c r="I214" s="102">
        <f>RawList!J184</f>
        <v>6.95</v>
      </c>
      <c r="J214" s="14">
        <f>VALUE(EquipmentTable[[#This Row],[Units]]*EquipmentTable[[#This Row],[Unit
 Price]])</f>
        <v>0</v>
      </c>
      <c r="K214" s="29">
        <f>RawList!G184</f>
        <v>0</v>
      </c>
      <c r="L214" s="29"/>
      <c r="M214" s="29">
        <f>RawList!F184</f>
        <v>0</v>
      </c>
    </row>
    <row r="215" spans="2:13" x14ac:dyDescent="0.25">
      <c r="B215" s="29" t="str">
        <f>RawList!A185</f>
        <v>Secondary Component</v>
      </c>
      <c r="C215" s="29" t="str">
        <f>RawList!B185</f>
        <v>Signal Multiplexing/Conditioning</v>
      </c>
      <c r="D215" s="29" t="str">
        <f>RawList!C185</f>
        <v>SparkFun</v>
      </c>
      <c r="E215" s="29" t="str">
        <f>RawList!H185</f>
        <v>SparkFun Opto-isolator Breakout</v>
      </c>
      <c r="F215" s="29" t="str">
        <f>RawList!D185</f>
        <v>BOB-09118</v>
      </c>
      <c r="G215" s="101">
        <f>RawList!E185</f>
        <v>8</v>
      </c>
      <c r="H215" s="29" t="str">
        <f>IF(EquipmentTable[[#This Row],[Units]]&gt;0,"Quantity &gt; 0 Items","Quantity = 0 Items")</f>
        <v>Quantity &gt; 0 Items</v>
      </c>
      <c r="I215" s="102">
        <f>RawList!J185</f>
        <v>4.95</v>
      </c>
      <c r="J215" s="14">
        <f>VALUE(EquipmentTable[[#This Row],[Units]]*EquipmentTable[[#This Row],[Unit
 Price]])</f>
        <v>39.6</v>
      </c>
      <c r="K215" s="29" t="str">
        <f>RawList!G185</f>
        <v>https://cdn.sparkfun.com/r/92-92/assets/parts/2/5/2/2/09118-02.jpg</v>
      </c>
      <c r="L215" s="29"/>
      <c r="M215" s="29" t="str">
        <f>RawList!F185</f>
        <v>https://www.sparkfun.com/products/9118</v>
      </c>
    </row>
    <row r="216" spans="2:13" x14ac:dyDescent="0.25">
      <c r="B216" s="29" t="str">
        <f>RawList!A186</f>
        <v>Secondary Component</v>
      </c>
      <c r="C216" s="29" t="str">
        <f>RawList!B186</f>
        <v>Signal Multiplexing/Conditioning</v>
      </c>
      <c r="D216" s="29" t="str">
        <f>RawList!C186</f>
        <v>Adafruit</v>
      </c>
      <c r="E216" s="29" t="str">
        <f>RawList!H186</f>
        <v xml:space="preserve">ADS1115 16-Bit ADC - 4 Channel with Programmable Gain Amplifier </v>
      </c>
      <c r="F216" s="29" t="str">
        <f>RawList!D186</f>
        <v>1085</v>
      </c>
      <c r="G216" s="101">
        <f>RawList!E186</f>
        <v>0</v>
      </c>
      <c r="H216" s="29" t="str">
        <f>IF(EquipmentTable[[#This Row],[Units]]&gt;0,"Quantity &gt; 0 Items","Quantity = 0 Items")</f>
        <v>Quantity = 0 Items</v>
      </c>
      <c r="I216" s="102">
        <f>RawList!J186</f>
        <v>14.95</v>
      </c>
      <c r="J216" s="14">
        <f>VALUE(EquipmentTable[[#This Row],[Units]]*EquipmentTable[[#This Row],[Unit
 Price]])</f>
        <v>0</v>
      </c>
      <c r="K216" s="29">
        <f>RawList!G186</f>
        <v>0</v>
      </c>
      <c r="L216" s="29"/>
      <c r="M216" s="29">
        <f>RawList!F186</f>
        <v>0</v>
      </c>
    </row>
    <row r="217" spans="2:13" x14ac:dyDescent="0.25">
      <c r="B217" s="29" t="str">
        <f>RawList!A187</f>
        <v>Secondary Component</v>
      </c>
      <c r="C217" s="29" t="str">
        <f>RawList!B187</f>
        <v>Signal Multiplexing/Conditioning</v>
      </c>
      <c r="D217" s="29" t="str">
        <f>RawList!C187</f>
        <v>Adafruit</v>
      </c>
      <c r="E217" s="29" t="str">
        <f>RawList!H187</f>
        <v xml:space="preserve">MCP3008 - 8-Channel 10-Bit ADC With SPI Interface </v>
      </c>
      <c r="F217" s="29" t="str">
        <f>RawList!D187</f>
        <v>856</v>
      </c>
      <c r="G217" s="101">
        <f>RawList!E187</f>
        <v>0</v>
      </c>
      <c r="H217" s="29" t="str">
        <f>IF(EquipmentTable[[#This Row],[Units]]&gt;0,"Quantity &gt; 0 Items","Quantity = 0 Items")</f>
        <v>Quantity = 0 Items</v>
      </c>
      <c r="I217" s="102">
        <f>RawList!J187</f>
        <v>3.75</v>
      </c>
      <c r="J217" s="14">
        <f>VALUE(EquipmentTable[[#This Row],[Units]]*EquipmentTable[[#This Row],[Unit
 Price]])</f>
        <v>0</v>
      </c>
      <c r="K217" s="29">
        <f>RawList!G187</f>
        <v>0</v>
      </c>
      <c r="L217" s="29"/>
      <c r="M217" s="29">
        <f>RawList!F187</f>
        <v>0</v>
      </c>
    </row>
    <row r="218" spans="2:13" x14ac:dyDescent="0.25">
      <c r="B218" s="29" t="str">
        <f>RawList!A188</f>
        <v>Secondary Component</v>
      </c>
      <c r="C218" s="29" t="str">
        <f>RawList!B188</f>
        <v>USB Cables/Adapters</v>
      </c>
      <c r="D218" s="29" t="str">
        <f>RawList!C188</f>
        <v>SparkFun</v>
      </c>
      <c r="E218" s="29" t="str">
        <f>RawList!H188</f>
        <v>USB OTG Cable - Female A to Micro A - 4\"</v>
      </c>
      <c r="F218" s="29" t="str">
        <f>RawList!D188</f>
        <v>CAB-11604</v>
      </c>
      <c r="G218" s="101">
        <f>RawList!E188</f>
        <v>0</v>
      </c>
      <c r="H218" s="29" t="str">
        <f>IF(EquipmentTable[[#This Row],[Units]]&gt;0,"Quantity &gt; 0 Items","Quantity = 0 Items")</f>
        <v>Quantity = 0 Items</v>
      </c>
      <c r="I218" s="102">
        <f>RawList!J188</f>
        <v>2.95</v>
      </c>
      <c r="J218" s="14">
        <f>VALUE(EquipmentTable[[#This Row],[Units]]*EquipmentTable[[#This Row],[Unit
 Price]])</f>
        <v>0</v>
      </c>
      <c r="K218" s="29" t="str">
        <f>RawList!G188</f>
        <v>https://cdn.sparkfun.com/r/92-92/assets/parts/7/6/2/8/11604-01.jpg</v>
      </c>
      <c r="L218" s="29"/>
      <c r="M218" s="29" t="str">
        <f>RawList!F188</f>
        <v>https://www.sparkfun.com/products/11604</v>
      </c>
    </row>
    <row r="219" spans="2:13" x14ac:dyDescent="0.25">
      <c r="B219" s="29" t="str">
        <f>RawList!A189</f>
        <v>Secondary Component</v>
      </c>
      <c r="C219" s="29" t="str">
        <f>RawList!B189</f>
        <v>USB Cables/Adapters</v>
      </c>
      <c r="D219" s="29" t="str">
        <f>RawList!C189</f>
        <v>SparkFun</v>
      </c>
      <c r="E219" s="29" t="str">
        <f>RawList!H189</f>
        <v>USB OTG Cable - Female A to Micro B - 5in</v>
      </c>
      <c r="F219" s="29" t="str">
        <f>RawList!D189</f>
        <v>CAB-14276</v>
      </c>
      <c r="G219" s="101">
        <f>RawList!E189</f>
        <v>0</v>
      </c>
      <c r="H219" s="29" t="str">
        <f>IF(EquipmentTable[[#This Row],[Units]]&gt;0,"Quantity &gt; 0 Items","Quantity = 0 Items")</f>
        <v>Quantity = 0 Items</v>
      </c>
      <c r="I219" s="102">
        <f>RawList!J189</f>
        <v>2.95</v>
      </c>
      <c r="J219" s="14">
        <f>VALUE(EquipmentTable[[#This Row],[Units]]*EquipmentTable[[#This Row],[Unit
 Price]])</f>
        <v>0</v>
      </c>
      <c r="K219" s="29" t="str">
        <f>RawList!G189</f>
        <v>https://cdn.sparkfun.com/r/92-92/assets/parts/1/2/2/3/1/14276-01.jpg</v>
      </c>
      <c r="L219" s="29"/>
      <c r="M219" s="29" t="str">
        <f>RawList!F189</f>
        <v>https://www.sparkfun.com/products/14276</v>
      </c>
    </row>
    <row r="220" spans="2:13" x14ac:dyDescent="0.25">
      <c r="B220" s="29" t="str">
        <f>RawList!A190</f>
        <v>Secondary Component</v>
      </c>
      <c r="C220" s="29" t="str">
        <f>RawList!B190</f>
        <v>USB Cables/Adapters</v>
      </c>
      <c r="D220" s="29" t="str">
        <f>RawList!C190</f>
        <v>Adafruit</v>
      </c>
      <c r="E220" s="29" t="str">
        <f>RawList!H190</f>
        <v>USB OTG Host Cable - MicroB OTG male to A female</v>
      </c>
      <c r="F220" s="29" t="str">
        <f>RawList!D190</f>
        <v>1099</v>
      </c>
      <c r="G220" s="101">
        <f>RawList!E190</f>
        <v>0</v>
      </c>
      <c r="H220" s="29" t="str">
        <f>IF(EquipmentTable[[#This Row],[Units]]&gt;0,"Quantity &gt; 0 Items","Quantity = 0 Items")</f>
        <v>Quantity = 0 Items</v>
      </c>
      <c r="I220" s="102">
        <f>RawList!J190</f>
        <v>2.5</v>
      </c>
      <c r="J220" s="14">
        <f>VALUE(EquipmentTable[[#This Row],[Units]]*EquipmentTable[[#This Row],[Unit
 Price]])</f>
        <v>0</v>
      </c>
      <c r="K220" s="29">
        <f>RawList!G190</f>
        <v>0</v>
      </c>
      <c r="L220" s="29"/>
      <c r="M220" s="29">
        <f>RawList!F190</f>
        <v>0</v>
      </c>
    </row>
    <row r="221" spans="2:13" x14ac:dyDescent="0.25">
      <c r="B221" s="29" t="str">
        <f>RawList!A191</f>
        <v>Secondary Component</v>
      </c>
      <c r="C221" s="29" t="str">
        <f>RawList!B191</f>
        <v>USB Cables/Adapters</v>
      </c>
      <c r="D221" s="29" t="str">
        <f>RawList!C191</f>
        <v>Adafruit</v>
      </c>
      <c r="E221" s="29" t="str">
        <f>RawList!H191</f>
        <v>Tiny OTG Adapter - USB Micro to USB</v>
      </c>
      <c r="F221" s="29" t="str">
        <f>RawList!D191</f>
        <v>2910</v>
      </c>
      <c r="G221" s="101">
        <f>RawList!E191</f>
        <v>5</v>
      </c>
      <c r="H221" s="29" t="str">
        <f>IF(EquipmentTable[[#This Row],[Units]]&gt;0,"Quantity &gt; 0 Items","Quantity = 0 Items")</f>
        <v>Quantity &gt; 0 Items</v>
      </c>
      <c r="I221" s="102">
        <f>RawList!J191</f>
        <v>2.95</v>
      </c>
      <c r="J221" s="14">
        <f>VALUE(EquipmentTable[[#This Row],[Units]]*EquipmentTable[[#This Row],[Unit
 Price]])</f>
        <v>14.75</v>
      </c>
      <c r="K221" s="29">
        <f>RawList!G191</f>
        <v>0</v>
      </c>
      <c r="L221" s="29"/>
      <c r="M221" s="29">
        <f>RawList!F191</f>
        <v>0</v>
      </c>
    </row>
    <row r="222" spans="2:13" x14ac:dyDescent="0.25">
      <c r="B222" s="29" t="str">
        <f>RawList!A192</f>
        <v>Secondary Component</v>
      </c>
      <c r="C222" s="29" t="str">
        <f>RawList!B192</f>
        <v>USB Cables/Adapters</v>
      </c>
      <c r="D222" s="29" t="str">
        <f>RawList!C192</f>
        <v>SparkFun</v>
      </c>
      <c r="E222" s="29" t="str">
        <f>RawList!H192</f>
        <v>USB to TTL Serial Cable</v>
      </c>
      <c r="F222" s="29" t="str">
        <f>RawList!D192</f>
        <v>CAB-12977</v>
      </c>
      <c r="G222" s="101">
        <f>RawList!E192</f>
        <v>1</v>
      </c>
      <c r="H222" s="29" t="str">
        <f>IF(EquipmentTable[[#This Row],[Units]]&gt;0,"Quantity &gt; 0 Items","Quantity = 0 Items")</f>
        <v>Quantity &gt; 0 Items</v>
      </c>
      <c r="I222" s="102">
        <f>RawList!J192</f>
        <v>9.9499999999999993</v>
      </c>
      <c r="J222" s="14">
        <f>VALUE(EquipmentTable[[#This Row],[Units]]*EquipmentTable[[#This Row],[Unit
 Price]])</f>
        <v>9.9499999999999993</v>
      </c>
      <c r="K222" s="29" t="str">
        <f>RawList!G192</f>
        <v>https://cdn.sparkfun.com/r/92-92/assets/parts/9/9/1/8/12977-00.jpg</v>
      </c>
      <c r="L222" s="29"/>
      <c r="M222" s="29" t="str">
        <f>RawList!F192</f>
        <v>https://www.sparkfun.com/products/12977</v>
      </c>
    </row>
    <row r="223" spans="2:13" x14ac:dyDescent="0.25">
      <c r="B223" s="29" t="str">
        <f>RawList!A193</f>
        <v>Secondary Component</v>
      </c>
      <c r="C223" s="29" t="str">
        <f>RawList!B193</f>
        <v>USB Cables/Adapters</v>
      </c>
      <c r="D223" s="29" t="str">
        <f>RawList!C193</f>
        <v>Adafruit</v>
      </c>
      <c r="E223" s="29" t="str">
        <f>RawList!H193</f>
        <v>USB Cable with Switch</v>
      </c>
      <c r="F223" s="29" t="str">
        <f>RawList!D193</f>
        <v>1620</v>
      </c>
      <c r="G223" s="101">
        <f>RawList!E193</f>
        <v>0</v>
      </c>
      <c r="H223" s="29" t="str">
        <f>IF(EquipmentTable[[#This Row],[Units]]&gt;0,"Quantity &gt; 0 Items","Quantity = 0 Items")</f>
        <v>Quantity = 0 Items</v>
      </c>
      <c r="I223" s="102">
        <f>RawList!J193</f>
        <v>2.95</v>
      </c>
      <c r="J223" s="14">
        <f>VALUE(EquipmentTable[[#This Row],[Units]]*EquipmentTable[[#This Row],[Unit
 Price]])</f>
        <v>0</v>
      </c>
      <c r="K223" s="29">
        <f>RawList!G193</f>
        <v>0</v>
      </c>
      <c r="L223" s="29"/>
      <c r="M223" s="29">
        <f>RawList!F193</f>
        <v>0</v>
      </c>
    </row>
    <row r="224" spans="2:13" x14ac:dyDescent="0.25">
      <c r="B224" s="29" t="str">
        <f>RawList!A194</f>
        <v>Secondary Component</v>
      </c>
      <c r="C224" s="29" t="str">
        <f>RawList!B194</f>
        <v>USB Cables/Adapters</v>
      </c>
      <c r="D224" s="29" t="str">
        <f>RawList!C194</f>
        <v>SparkFun</v>
      </c>
      <c r="E224" s="29" t="str">
        <f>RawList!H194</f>
        <v>SparkFun Cerberus USB Cable - 6ft</v>
      </c>
      <c r="F224" s="29" t="str">
        <f>RawList!D194</f>
        <v>CAB-12016</v>
      </c>
      <c r="G224" s="101">
        <f>RawList!E194</f>
        <v>1</v>
      </c>
      <c r="H224" s="29" t="str">
        <f>IF(EquipmentTable[[#This Row],[Units]]&gt;0,"Quantity &gt; 0 Items","Quantity = 0 Items")</f>
        <v>Quantity &gt; 0 Items</v>
      </c>
      <c r="I224" s="102">
        <f>RawList!J194</f>
        <v>6.97</v>
      </c>
      <c r="J224" s="14">
        <f>VALUE(EquipmentTable[[#This Row],[Units]]*EquipmentTable[[#This Row],[Unit
 Price]])</f>
        <v>6.97</v>
      </c>
      <c r="K224" s="29" t="str">
        <f>RawList!G194</f>
        <v>https://cdn.sparkfun.com/r/92-92/assets/parts/8/5/3/9/12016-01.jpg</v>
      </c>
      <c r="L224" s="29"/>
      <c r="M224" s="29" t="str">
        <f>RawList!F194</f>
        <v>https://www.sparkfun.com/products/12016</v>
      </c>
    </row>
    <row r="225" spans="2:13" x14ac:dyDescent="0.25">
      <c r="B225" s="29" t="str">
        <f>RawList!A195</f>
        <v>Secondary Component</v>
      </c>
      <c r="C225" s="29" t="str">
        <f>RawList!B195</f>
        <v>USB/Serial Interface Breakouts</v>
      </c>
      <c r="D225" s="29" t="str">
        <f>RawList!C195</f>
        <v>SparkFun</v>
      </c>
      <c r="E225" s="29" t="str">
        <f>RawList!H195</f>
        <v>SparkFun Serial Basic Breakout - CH340G</v>
      </c>
      <c r="F225" s="29" t="str">
        <f>RawList!D195</f>
        <v>DEV-14050</v>
      </c>
      <c r="G225" s="101">
        <f>RawList!E195</f>
        <v>5</v>
      </c>
      <c r="H225" s="29" t="str">
        <f>IF(EquipmentTable[[#This Row],[Units]]&gt;0,"Quantity &gt; 0 Items","Quantity = 0 Items")</f>
        <v>Quantity &gt; 0 Items</v>
      </c>
      <c r="I225" s="102">
        <f>RawList!J195</f>
        <v>6.95</v>
      </c>
      <c r="J225" s="14">
        <f>VALUE(EquipmentTable[[#This Row],[Units]]*EquipmentTable[[#This Row],[Unit
 Price]])</f>
        <v>34.75</v>
      </c>
      <c r="K225" s="29" t="str">
        <f>RawList!G195</f>
        <v>https://cdn.sparkfun.com/r/92-92/assets/parts/1/1/8/8/8/14050-01.jpg</v>
      </c>
      <c r="L225" s="29"/>
      <c r="M225" s="29" t="str">
        <f>RawList!F195</f>
        <v>https://www.sparkfun.com/products/14050</v>
      </c>
    </row>
    <row r="226" spans="2:13" x14ac:dyDescent="0.25">
      <c r="B226" s="29" t="str">
        <f>RawList!A196</f>
        <v>Secondary Component</v>
      </c>
      <c r="C226" s="29" t="str">
        <f>RawList!B196</f>
        <v>USB/Serial Interface Breakouts</v>
      </c>
      <c r="D226" s="29" t="str">
        <f>RawList!C196</f>
        <v>SparkFun</v>
      </c>
      <c r="E226" s="29" t="str">
        <f>RawList!H196</f>
        <v>SparkFun USB UART Serial Breakout - CY7C65213</v>
      </c>
      <c r="F226" s="29" t="str">
        <f>RawList!D196</f>
        <v>BOB-13830</v>
      </c>
      <c r="G226" s="101">
        <f>RawList!E196</f>
        <v>5</v>
      </c>
      <c r="H226" s="29" t="str">
        <f>IF(EquipmentTable[[#This Row],[Units]]&gt;0,"Quantity &gt; 0 Items","Quantity = 0 Items")</f>
        <v>Quantity &gt; 0 Items</v>
      </c>
      <c r="I226" s="102">
        <f>RawList!J196</f>
        <v>12.95</v>
      </c>
      <c r="J226" s="14">
        <f>VALUE(EquipmentTable[[#This Row],[Units]]*EquipmentTable[[#This Row],[Unit
 Price]])</f>
        <v>64.75</v>
      </c>
      <c r="K226" s="29" t="str">
        <f>RawList!G196</f>
        <v>https://cdn.sparkfun.com/r/92-92/assets/parts/1/1/4/2/7/13830-01.jpg</v>
      </c>
      <c r="L226" s="29"/>
      <c r="M226" s="29" t="str">
        <f>RawList!F196</f>
        <v>https://www.sparkfun.com/products/13830</v>
      </c>
    </row>
    <row r="227" spans="2:13" x14ac:dyDescent="0.25">
      <c r="B227" s="29" t="str">
        <f>RawList!A197</f>
        <v>Secondary Component</v>
      </c>
      <c r="C227" s="29" t="str">
        <f>RawList!B197</f>
        <v>USB/Serial Interface Breakouts</v>
      </c>
      <c r="D227" s="29" t="str">
        <f>RawList!C197</f>
        <v>SparkFun</v>
      </c>
      <c r="E227" s="29" t="str">
        <f>RawList!H197</f>
        <v>SparkFun USB to Serial Breakout - FT232RL</v>
      </c>
      <c r="F227" s="29" t="str">
        <f>RawList!D197</f>
        <v>BOB-12731</v>
      </c>
      <c r="G227" s="101">
        <f>RawList!E197</f>
        <v>0</v>
      </c>
      <c r="H227" s="29" t="str">
        <f>IF(EquipmentTable[[#This Row],[Units]]&gt;0,"Quantity &gt; 0 Items","Quantity = 0 Items")</f>
        <v>Quantity = 0 Items</v>
      </c>
      <c r="I227" s="102">
        <f>RawList!J197</f>
        <v>14.95</v>
      </c>
      <c r="J227" s="14">
        <f>VALUE(EquipmentTable[[#This Row],[Units]]*EquipmentTable[[#This Row],[Unit
 Price]])</f>
        <v>0</v>
      </c>
      <c r="K227" s="29" t="str">
        <f>RawList!G197</f>
        <v>https://cdn.sparkfun.com/r/92-92/assets/parts/9/4/9/6/12731-01.jpg</v>
      </c>
      <c r="L227" s="29"/>
      <c r="M227" s="29" t="str">
        <f>RawList!F197</f>
        <v>https://www.sparkfun.com/products/12731</v>
      </c>
    </row>
    <row r="228" spans="2:13" x14ac:dyDescent="0.25">
      <c r="B228" s="29" t="str">
        <f>RawList!A198</f>
        <v>Secondary Component</v>
      </c>
      <c r="C228" s="29" t="str">
        <f>RawList!B198</f>
        <v>USB/Serial Interface Breakouts</v>
      </c>
      <c r="D228" s="29" t="str">
        <f>RawList!C198</f>
        <v>SparkFun</v>
      </c>
      <c r="E228" s="29" t="str">
        <f>RawList!H198</f>
        <v>SparkFun FT231X Breakout</v>
      </c>
      <c r="F228" s="29" t="str">
        <f>RawList!D198</f>
        <v>BOB-13263</v>
      </c>
      <c r="G228" s="101">
        <f>RawList!E198</f>
        <v>1</v>
      </c>
      <c r="H228" s="29" t="str">
        <f>IF(EquipmentTable[[#This Row],[Units]]&gt;0,"Quantity &gt; 0 Items","Quantity = 0 Items")</f>
        <v>Quantity &gt; 0 Items</v>
      </c>
      <c r="I228" s="102">
        <f>RawList!J198</f>
        <v>11.95</v>
      </c>
      <c r="J228" s="14">
        <f>VALUE(EquipmentTable[[#This Row],[Units]]*EquipmentTable[[#This Row],[Unit
 Price]])</f>
        <v>11.95</v>
      </c>
      <c r="K228" s="29" t="str">
        <f>RawList!G198</f>
        <v>https://cdn.sparkfun.com/r/92-92/assets/parts/1/0/4/6/9/13263-01.jpg</v>
      </c>
      <c r="L228" s="29"/>
      <c r="M228" s="29" t="str">
        <f>RawList!F198</f>
        <v>https://www.sparkfun.com/products/13263</v>
      </c>
    </row>
    <row r="229" spans="2:13" hidden="1" x14ac:dyDescent="0.25">
      <c r="B229" s="29" t="str">
        <f>RawList!A200</f>
        <v>Advanced &amp; Optional Components</v>
      </c>
      <c r="C229" s="29" t="str">
        <f>RawList!B200</f>
        <v>Energy Harvesting</v>
      </c>
      <c r="D229" s="29" t="str">
        <f>RawList!C200</f>
        <v>SparkFun</v>
      </c>
      <c r="E229" s="29" t="str">
        <f>RawList!H200</f>
        <v>SparkFun Sunny Buddy - MPPT Solar Charger</v>
      </c>
      <c r="F229" s="29" t="str">
        <f>RawList!D200</f>
        <v>PRT-12885</v>
      </c>
      <c r="G229" s="101">
        <f>RawList!E200</f>
        <v>1</v>
      </c>
      <c r="H229" s="29" t="str">
        <f>IF(EquipmentTable[[#This Row],[Units]]&gt;0,"Quantity &gt; 0 Items","Quantity = 0 Items")</f>
        <v>Quantity &gt; 0 Items</v>
      </c>
      <c r="I229" s="36">
        <f>RawList!J200</f>
        <v>24.95</v>
      </c>
      <c r="J229" s="14">
        <f>VALUE(EquipmentTable[[#This Row],[Units]]*EquipmentTable[[#This Row],[Unit
 Price]])</f>
        <v>24.95</v>
      </c>
      <c r="K229" s="29" t="str">
        <f>RawList!G200</f>
        <v>https://cdn.sparkfun.com/r/92-92/assets/parts/9/7/7/2/12885-01.jpg</v>
      </c>
      <c r="L229" s="29"/>
      <c r="M229" s="29" t="str">
        <f>RawList!F200</f>
        <v>https://www.sparkfun.com/products/12885</v>
      </c>
    </row>
    <row r="230" spans="2:13" hidden="1" x14ac:dyDescent="0.25">
      <c r="B230" s="29" t="str">
        <f>RawList!A200</f>
        <v>Advanced &amp; Optional Components</v>
      </c>
      <c r="C230" s="29" t="str">
        <f>RawList!B200</f>
        <v>Energy Harvesting</v>
      </c>
      <c r="D230" s="29" t="str">
        <f>RawList!C200</f>
        <v>SparkFun</v>
      </c>
      <c r="E230" s="29" t="str">
        <f>RawList!H200</f>
        <v>SparkFun Sunny Buddy - MPPT Solar Charger</v>
      </c>
      <c r="F230" s="29" t="str">
        <f>RawList!D200</f>
        <v>PRT-12885</v>
      </c>
      <c r="G230" s="101">
        <f>RawList!E200</f>
        <v>1</v>
      </c>
      <c r="H230" s="29" t="str">
        <f>IF(EquipmentTable[[#This Row],[Units]]&gt;0,"Quantity &gt; 0 Items","Quantity = 0 Items")</f>
        <v>Quantity &gt; 0 Items</v>
      </c>
      <c r="I230" s="102">
        <f>RawList!J200</f>
        <v>24.95</v>
      </c>
      <c r="J230" s="14">
        <f>VALUE(EquipmentTable[[#This Row],[Units]]*EquipmentTable[[#This Row],[Unit
 Price]])</f>
        <v>24.95</v>
      </c>
      <c r="K230" s="29" t="str">
        <f>RawList!G200</f>
        <v>https://cdn.sparkfun.com/r/92-92/assets/parts/9/7/7/2/12885-01.jpg</v>
      </c>
      <c r="L230" s="29"/>
      <c r="M230" s="29" t="str">
        <f>RawList!F200</f>
        <v>https://www.sparkfun.com/products/12885</v>
      </c>
    </row>
    <row r="231" spans="2:13" hidden="1" x14ac:dyDescent="0.25">
      <c r="B231" s="29" t="str">
        <f>RawList!A201</f>
        <v>Advanced &amp; Optional Components</v>
      </c>
      <c r="C231" s="29" t="str">
        <f>RawList!B201</f>
        <v>GPS Logging/Fencing</v>
      </c>
      <c r="D231" s="29" t="str">
        <f>RawList!C201</f>
        <v>SparkFun</v>
      </c>
      <c r="E231" s="29" t="str">
        <f>RawList!H201</f>
        <v>Antenna GPS Embedded SMA</v>
      </c>
      <c r="F231" s="29" t="str">
        <f>RawList!D201</f>
        <v>GPS-00177</v>
      </c>
      <c r="G231" s="101">
        <f>RawList!E201</f>
        <v>1</v>
      </c>
      <c r="H231" s="29" t="str">
        <f>IF(EquipmentTable[[#This Row],[Units]]&gt;0,"Quantity &gt; 0 Items","Quantity = 0 Items")</f>
        <v>Quantity &gt; 0 Items</v>
      </c>
      <c r="I231" s="102">
        <f>RawList!J201</f>
        <v>11.95</v>
      </c>
      <c r="J231" s="14">
        <f>VALUE(EquipmentTable[[#This Row],[Units]]*EquipmentTable[[#This Row],[Unit
 Price]])</f>
        <v>11.95</v>
      </c>
      <c r="K231" s="29" t="str">
        <f>RawList!G201</f>
        <v>https://cdn.sparkfun.com/r/92-92/assets/parts/1/4/7/00177-01.jpg</v>
      </c>
      <c r="L231" s="29"/>
      <c r="M231" s="29" t="str">
        <f>RawList!F201</f>
        <v>https://www.sparkfun.com/products/177</v>
      </c>
    </row>
    <row r="232" spans="2:13" hidden="1" x14ac:dyDescent="0.25">
      <c r="B232" s="29" t="str">
        <f>RawList!A202</f>
        <v>Advanced &amp; Optional Components</v>
      </c>
      <c r="C232" s="29" t="str">
        <f>RawList!B202</f>
        <v>GPS Logging/Fencing</v>
      </c>
      <c r="D232" s="29" t="str">
        <f>RawList!C202</f>
        <v>SparkFun</v>
      </c>
      <c r="E232" s="29" t="str">
        <f>RawList!H202</f>
        <v>GeoFence - GPS Boundary Widget</v>
      </c>
      <c r="F232" s="29" t="str">
        <f>RawList!D202</f>
        <v>SPX-14416</v>
      </c>
      <c r="G232" s="101">
        <f>RawList!E202</f>
        <v>1</v>
      </c>
      <c r="H232" s="29" t="str">
        <f>IF(EquipmentTable[[#This Row],[Units]]&gt;0,"Quantity &gt; 0 Items","Quantity = 0 Items")</f>
        <v>Quantity &gt; 0 Items</v>
      </c>
      <c r="I232" s="102">
        <f>RawList!J202</f>
        <v>49.95</v>
      </c>
      <c r="J232" s="14">
        <f>VALUE(EquipmentTable[[#This Row],[Units]]*EquipmentTable[[#This Row],[Unit
 Price]])</f>
        <v>49.95</v>
      </c>
      <c r="K232" s="29" t="str">
        <f>RawList!G202</f>
        <v>https://cdn.sparkfun.com/r/92-92/assets/parts/1/2/4/4/2/20170801_112457_Scaled.jpg</v>
      </c>
      <c r="L232" s="29"/>
      <c r="M232" s="29" t="str">
        <f>RawList!F202</f>
        <v>https://www.sparkfun.com/products/14416</v>
      </c>
    </row>
    <row r="233" spans="2:13" hidden="1" x14ac:dyDescent="0.25">
      <c r="B233" s="29" t="str">
        <f>RawList!A203</f>
        <v>Advanced &amp; Optional Components</v>
      </c>
      <c r="C233" s="29" t="str">
        <f>RawList!B203</f>
        <v>GPS Logging/Fencing</v>
      </c>
      <c r="D233" s="29" t="str">
        <f>RawList!C203</f>
        <v>SparkFun</v>
      </c>
      <c r="E233" s="29" t="str">
        <f>RawList!H203</f>
        <v>SparkFun GPS Logger Shield</v>
      </c>
      <c r="F233" s="29" t="str">
        <f>RawList!D203</f>
        <v>GPS-13750</v>
      </c>
      <c r="G233" s="101">
        <f>RawList!E203</f>
        <v>0</v>
      </c>
      <c r="H233" s="29" t="str">
        <f>IF(EquipmentTable[[#This Row],[Units]]&gt;0,"Quantity &gt; 0 Items","Quantity = 0 Items")</f>
        <v>Quantity = 0 Items</v>
      </c>
      <c r="I233" s="102">
        <f>RawList!J203</f>
        <v>44.95</v>
      </c>
      <c r="J233" s="14">
        <f>VALUE(EquipmentTable[[#This Row],[Units]]*EquipmentTable[[#This Row],[Unit
 Price]])</f>
        <v>0</v>
      </c>
      <c r="K233" s="29" t="str">
        <f>RawList!G203</f>
        <v>https://cdn.sparkfun.com/r/92-92/assets/parts/1/1/2/8/4/13750-01.jpg</v>
      </c>
      <c r="L233" s="29"/>
      <c r="M233" s="29" t="str">
        <f>RawList!F203</f>
        <v>https://www.sparkfun.com/products/13750</v>
      </c>
    </row>
    <row r="234" spans="2:13" hidden="1" x14ac:dyDescent="0.25">
      <c r="B234" s="29" t="str">
        <f>RawList!A204</f>
        <v>Advanced &amp; Optional Components</v>
      </c>
      <c r="C234" s="29" t="str">
        <f>RawList!B204</f>
        <v>GPS Logging/Fencing</v>
      </c>
      <c r="D234" s="29" t="str">
        <f>RawList!C204</f>
        <v>SparkFun</v>
      </c>
      <c r="E234" s="29" t="str">
        <f>RawList!H204</f>
        <v>SparkFun Venus GPS Logger - SMA Connector</v>
      </c>
      <c r="F234" s="29" t="str">
        <f>RawList!D204</f>
        <v>GPS-10920</v>
      </c>
      <c r="G234" s="101">
        <f>RawList!E204</f>
        <v>1</v>
      </c>
      <c r="H234" s="29" t="str">
        <f>IF(EquipmentTable[[#This Row],[Units]]&gt;0,"Quantity &gt; 0 Items","Quantity = 0 Items")</f>
        <v>Quantity &gt; 0 Items</v>
      </c>
      <c r="I234" s="102">
        <f>RawList!J204</f>
        <v>59.95</v>
      </c>
      <c r="J234" s="14">
        <f>VALUE(EquipmentTable[[#This Row],[Units]]*EquipmentTable[[#This Row],[Unit
 Price]])</f>
        <v>59.95</v>
      </c>
      <c r="K234" s="29" t="str">
        <f>RawList!G204</f>
        <v>https://cdn.sparkfun.com/r/92-92/assets/parts/6/0/5/3/10920-01a.jpg</v>
      </c>
      <c r="L234" s="29"/>
      <c r="M234" s="29" t="str">
        <f>RawList!F204</f>
        <v>https://www.sparkfun.com/products/10920</v>
      </c>
    </row>
    <row r="235" spans="2:13" hidden="1" x14ac:dyDescent="0.25">
      <c r="B235" s="29" t="str">
        <f>RawList!A206</f>
        <v>Advanced &amp; Optional Components</v>
      </c>
      <c r="C235" s="29" t="str">
        <f>RawList!B206</f>
        <v>GSM/Cellular Communication</v>
      </c>
      <c r="D235" s="29" t="str">
        <f>RawList!C206</f>
        <v>Adafruit</v>
      </c>
      <c r="E235" s="29" t="str">
        <f>RawList!H206</f>
        <v>Adafruit FONA 800 Shield - Voice/Data Cellular GSM for Arduino</v>
      </c>
      <c r="F235" s="29" t="str">
        <f>RawList!D206</f>
        <v>2468</v>
      </c>
      <c r="G235" s="101">
        <f>RawList!E206</f>
        <v>1</v>
      </c>
      <c r="H235" s="29" t="str">
        <f>IF(EquipmentTable[[#This Row],[Units]]&gt;0,"Quantity &gt; 0 Items","Quantity = 0 Items")</f>
        <v>Quantity &gt; 0 Items</v>
      </c>
      <c r="I235" s="36">
        <f>RawList!J206</f>
        <v>39.950000000000003</v>
      </c>
      <c r="J235" s="14">
        <f>VALUE(EquipmentTable[[#This Row],[Units]]*EquipmentTable[[#This Row],[Unit
 Price]])</f>
        <v>39.950000000000003</v>
      </c>
      <c r="K235" s="29">
        <f>RawList!G206</f>
        <v>0</v>
      </c>
      <c r="L235" s="29"/>
      <c r="M235" s="29">
        <f>RawList!F206</f>
        <v>0</v>
      </c>
    </row>
    <row r="236" spans="2:13" hidden="1" x14ac:dyDescent="0.25">
      <c r="B236" s="29" t="str">
        <f>RawList!A207</f>
        <v>Advanced &amp; Optional Components</v>
      </c>
      <c r="C236" s="29" t="str">
        <f>RawList!B207</f>
        <v>GSM/Cellular Communication</v>
      </c>
      <c r="D236" s="29" t="str">
        <f>RawList!C207</f>
        <v>Adafruit</v>
      </c>
      <c r="E236" s="29" t="str">
        <f>RawList!H207</f>
        <v>GSM 2G SIM Card from Ting &amp; Adafruit - Data/Voice/Text USA Only</v>
      </c>
      <c r="F236" s="29" t="str">
        <f>RawList!D207</f>
        <v>2505</v>
      </c>
      <c r="G236" s="101">
        <f>RawList!E207</f>
        <v>1</v>
      </c>
      <c r="H236" s="29" t="str">
        <f>IF(EquipmentTable[[#This Row],[Units]]&gt;0,"Quantity &gt; 0 Items","Quantity = 0 Items")</f>
        <v>Quantity &gt; 0 Items</v>
      </c>
      <c r="I236" s="36">
        <f>RawList!J207</f>
        <v>9</v>
      </c>
      <c r="J236" s="14">
        <f>VALUE(EquipmentTable[[#This Row],[Units]]*EquipmentTable[[#This Row],[Unit
 Price]])</f>
        <v>9</v>
      </c>
      <c r="K236" s="29">
        <f>RawList!G207</f>
        <v>0</v>
      </c>
      <c r="L236" s="29"/>
      <c r="M236" s="29">
        <f>RawList!F207</f>
        <v>0</v>
      </c>
    </row>
    <row r="237" spans="2:13" hidden="1" x14ac:dyDescent="0.25">
      <c r="B237" s="29" t="str">
        <f>RawList!A208</f>
        <v>Advanced &amp; Optional Components</v>
      </c>
      <c r="C237" s="29" t="str">
        <f>RawList!B208</f>
        <v>GSM/Cellular Communication</v>
      </c>
      <c r="D237" s="29" t="str">
        <f>RawList!C208</f>
        <v>Adafruit</v>
      </c>
      <c r="E237" s="29" t="str">
        <f>RawList!H208</f>
        <v>Slim Sticker-type GSM/Cellular Quad-Band Antenna - 3dBi uFL</v>
      </c>
      <c r="F237" s="29" t="str">
        <f>RawList!D208</f>
        <v>1991</v>
      </c>
      <c r="G237" s="101">
        <f>RawList!E208</f>
        <v>1</v>
      </c>
      <c r="H237" s="29" t="str">
        <f>IF(EquipmentTable[[#This Row],[Units]]&gt;0,"Quantity &gt; 0 Items","Quantity = 0 Items")</f>
        <v>Quantity &gt; 0 Items</v>
      </c>
      <c r="I237" s="36">
        <f>RawList!J208</f>
        <v>2.95</v>
      </c>
      <c r="J237" s="14">
        <f>VALUE(EquipmentTable[[#This Row],[Units]]*EquipmentTable[[#This Row],[Unit
 Price]])</f>
        <v>2.95</v>
      </c>
      <c r="K237" s="29">
        <f>RawList!G208</f>
        <v>0</v>
      </c>
      <c r="L237" s="29"/>
      <c r="M237" s="29">
        <f>RawList!F208</f>
        <v>0</v>
      </c>
    </row>
    <row r="238" spans="2:13" hidden="1" x14ac:dyDescent="0.25">
      <c r="B238" s="29" t="str">
        <f>RawList!A209</f>
        <v>Advanced &amp; Optional Components</v>
      </c>
      <c r="C238" s="29" t="str">
        <f>RawList!B209</f>
        <v>High-Precision Compass</v>
      </c>
      <c r="D238" s="29" t="str">
        <f>RawList!C209</f>
        <v>SparkFun</v>
      </c>
      <c r="E238" s="29" t="str">
        <f>RawList!H209</f>
        <v>SparkFun HMC6343 Breakout</v>
      </c>
      <c r="F238" s="29" t="str">
        <f>RawList!D209</f>
        <v>SEN-12916</v>
      </c>
      <c r="G238" s="101">
        <f>RawList!E209</f>
        <v>1</v>
      </c>
      <c r="H238" s="29" t="str">
        <f>IF(EquipmentTable[[#This Row],[Units]]&gt;0,"Quantity &gt; 0 Items","Quantity = 0 Items")</f>
        <v>Quantity &gt; 0 Items</v>
      </c>
      <c r="I238" s="36">
        <f>RawList!J209</f>
        <v>149.94999999999999</v>
      </c>
      <c r="J238" s="14">
        <f>VALUE(EquipmentTable[[#This Row],[Units]]*EquipmentTable[[#This Row],[Unit
 Price]])</f>
        <v>149.94999999999999</v>
      </c>
      <c r="K238" s="29" t="str">
        <f>RawList!G209</f>
        <v>https://cdn.sparkfun.com/r/92-92/assets/parts/9/8/2/8/12916-01.jpg</v>
      </c>
      <c r="L238" s="29"/>
      <c r="M238" s="29" t="str">
        <f>RawList!F209</f>
        <v>https://www.sparkfun.com/products/12916</v>
      </c>
    </row>
    <row r="239" spans="2:13" hidden="1" x14ac:dyDescent="0.25">
      <c r="B239" s="29" t="str">
        <f>RawList!A209</f>
        <v>Advanced &amp; Optional Components</v>
      </c>
      <c r="C239" s="29" t="str">
        <f>RawList!B209</f>
        <v>High-Precision Compass</v>
      </c>
      <c r="D239" s="29" t="str">
        <f>RawList!C209</f>
        <v>SparkFun</v>
      </c>
      <c r="E239" s="29" t="str">
        <f>RawList!H209</f>
        <v>SparkFun HMC6343 Breakout</v>
      </c>
      <c r="F239" s="29" t="str">
        <f>RawList!D209</f>
        <v>SEN-12916</v>
      </c>
      <c r="G239" s="101">
        <f>RawList!E209</f>
        <v>1</v>
      </c>
      <c r="H239" s="29" t="str">
        <f>IF(EquipmentTable[[#This Row],[Units]]&gt;0,"Quantity &gt; 0 Items","Quantity = 0 Items")</f>
        <v>Quantity &gt; 0 Items</v>
      </c>
      <c r="I239" s="102">
        <f>RawList!J209</f>
        <v>149.94999999999999</v>
      </c>
      <c r="J239" s="14">
        <f>VALUE(EquipmentTable[[#This Row],[Units]]*EquipmentTable[[#This Row],[Unit
 Price]])</f>
        <v>149.94999999999999</v>
      </c>
      <c r="K239" s="29" t="str">
        <f>RawList!G210</f>
        <v>https://cdn.sparkfun.com/r/92-92/assets/parts/1/1/8/7/0/14043-01.jpg</v>
      </c>
      <c r="L239" s="29"/>
      <c r="M239" s="29" t="str">
        <f>RawList!F210</f>
        <v>https://www.sparkfun.com/products/14043</v>
      </c>
    </row>
    <row r="240" spans="2:13" hidden="1" x14ac:dyDescent="0.25">
      <c r="B240" s="29" t="str">
        <f>RawList!A210</f>
        <v>Advanced &amp; Optional Components</v>
      </c>
      <c r="C240" s="29" t="str">
        <f>RawList!B210</f>
        <v>Lidar</v>
      </c>
      <c r="D240" s="29" t="str">
        <f>RawList!C210</f>
        <v>SparkFun</v>
      </c>
      <c r="E240" s="29" t="str">
        <f>RawList!H210</f>
        <v>LIDAR-Lite Accessory Cable</v>
      </c>
      <c r="F240" s="29" t="str">
        <f>RawList!D210</f>
        <v>CAB-14043</v>
      </c>
      <c r="G240" s="101">
        <f>RawList!E210</f>
        <v>1</v>
      </c>
      <c r="H240" s="29" t="str">
        <f>IF(EquipmentTable[[#This Row],[Units]]&gt;0,"Quantity &gt; 0 Items","Quantity = 0 Items")</f>
        <v>Quantity &gt; 0 Items</v>
      </c>
      <c r="I240" s="102">
        <f>RawList!J210</f>
        <v>4.95</v>
      </c>
      <c r="J240" s="14">
        <f>VALUE(EquipmentTable[[#This Row],[Units]]*EquipmentTable[[#This Row],[Unit
 Price]])</f>
        <v>4.95</v>
      </c>
      <c r="K240" s="29" t="str">
        <f>RawList!G210</f>
        <v>https://cdn.sparkfun.com/r/92-92/assets/parts/1/1/8/7/0/14043-01.jpg</v>
      </c>
      <c r="L240" s="29"/>
      <c r="M240" s="29" t="str">
        <f>RawList!F210</f>
        <v>https://www.sparkfun.com/products/14043</v>
      </c>
    </row>
    <row r="241" spans="2:13" hidden="1" x14ac:dyDescent="0.25">
      <c r="B241" s="29" t="str">
        <f>RawList!A211</f>
        <v>Advanced &amp; Optional Components</v>
      </c>
      <c r="C241" s="29" t="str">
        <f>RawList!B211</f>
        <v>Lidar</v>
      </c>
      <c r="D241" s="29" t="str">
        <f>RawList!C211</f>
        <v>SparkFun</v>
      </c>
      <c r="E241" s="29" t="str">
        <f>RawList!H211</f>
        <v>Scanse Sweep</v>
      </c>
      <c r="F241" s="29" t="str">
        <f>RawList!D211</f>
        <v>SEN-14117</v>
      </c>
      <c r="G241" s="101">
        <f>RawList!E211</f>
        <v>1</v>
      </c>
      <c r="H241" s="29" t="str">
        <f>IF(EquipmentTable[[#This Row],[Units]]&gt;0,"Quantity &gt; 0 Items","Quantity = 0 Items")</f>
        <v>Quantity &gt; 0 Items</v>
      </c>
      <c r="I241" s="102">
        <f>RawList!J211</f>
        <v>349</v>
      </c>
      <c r="J241" s="14">
        <f>VALUE(EquipmentTable[[#This Row],[Units]]*EquipmentTable[[#This Row],[Unit
 Price]])</f>
        <v>349</v>
      </c>
      <c r="K241" s="29" t="str">
        <f>RawList!G211</f>
        <v>https://cdn.sparkfun.com/r/92-92/assets/parts/1/2/0/0/3/14117-04a.jpg</v>
      </c>
      <c r="L241" s="29"/>
      <c r="M241" s="29" t="str">
        <f>RawList!F211</f>
        <v>https://www.sparkfun.com/products/14117</v>
      </c>
    </row>
    <row r="242" spans="2:13" hidden="1" x14ac:dyDescent="0.25">
      <c r="B242" s="29" t="str">
        <f>RawList!A212</f>
        <v>Advanced &amp; Optional Components</v>
      </c>
      <c r="C242" s="29" t="str">
        <f>RawList!B212</f>
        <v>Lidar</v>
      </c>
      <c r="D242" s="29" t="str">
        <f>RawList!C212</f>
        <v>SparkFun</v>
      </c>
      <c r="E242" s="29" t="str">
        <f>RawList!H212</f>
        <v xml:space="preserve">Slip Ring - 6 Wire (2A) </v>
      </c>
      <c r="F242" s="29" t="str">
        <f>RawList!D212</f>
        <v>ROB-13064</v>
      </c>
      <c r="G242" s="101">
        <f>RawList!E212</f>
        <v>1</v>
      </c>
      <c r="H242" s="29" t="str">
        <f>IF(EquipmentTable[[#This Row],[Units]]&gt;0,"Quantity &gt; 0 Items","Quantity = 0 Items")</f>
        <v>Quantity &gt; 0 Items</v>
      </c>
      <c r="I242" s="102">
        <f>RawList!J212</f>
        <v>14.95</v>
      </c>
      <c r="J242" s="14">
        <f>VALUE(EquipmentTable[[#This Row],[Units]]*EquipmentTable[[#This Row],[Unit
 Price]])</f>
        <v>14.95</v>
      </c>
      <c r="K242" s="29" t="str">
        <f>RawList!G212</f>
        <v>https://cdn.sparkfun.com/r/92-92/assets/parts/1/0/0/9/5/13064-01.jpg</v>
      </c>
      <c r="L242" s="29"/>
      <c r="M242" s="29" t="str">
        <f>RawList!F212</f>
        <v>https://www.sparkfun.com/products/13064</v>
      </c>
    </row>
    <row r="243" spans="2:13" hidden="1" x14ac:dyDescent="0.25">
      <c r="B243" s="29" t="str">
        <f>RawList!A213</f>
        <v>Advanced &amp; Optional Components</v>
      </c>
      <c r="C243" s="29" t="str">
        <f>RawList!B213</f>
        <v>Movement/IMU</v>
      </c>
      <c r="D243" s="29" t="str">
        <f>RawList!C213</f>
        <v>SparkFun</v>
      </c>
      <c r="E243" s="29" t="str">
        <f>RawList!H213</f>
        <v>SparkFun 9DoF IMU Breakout - LSM9DS1</v>
      </c>
      <c r="F243" s="29" t="str">
        <f>RawList!D213</f>
        <v>SEN-13284</v>
      </c>
      <c r="G243" s="101">
        <f>RawList!E213</f>
        <v>1</v>
      </c>
      <c r="H243" s="29" t="str">
        <f>IF(EquipmentTable[[#This Row],[Units]]&gt;0,"Quantity &gt; 0 Items","Quantity = 0 Items")</f>
        <v>Quantity &gt; 0 Items</v>
      </c>
      <c r="I243" s="102">
        <f>RawList!J213</f>
        <v>24.95</v>
      </c>
      <c r="J243" s="14">
        <f>VALUE(EquipmentTable[[#This Row],[Units]]*EquipmentTable[[#This Row],[Unit
 Price]])</f>
        <v>24.95</v>
      </c>
      <c r="K243" s="29" t="str">
        <f>RawList!G213</f>
        <v>https://cdn.sparkfun.com/r/92-92/assets/parts/1/0/5/3/3/13284-02.jpg</v>
      </c>
      <c r="L243" s="29"/>
      <c r="M243" s="29" t="str">
        <f>RawList!F213</f>
        <v>https://www.sparkfun.com/products/13284</v>
      </c>
    </row>
    <row r="244" spans="2:13" hidden="1" x14ac:dyDescent="0.25">
      <c r="B244" s="29" t="str">
        <f>RawList!A215</f>
        <v>Advanced &amp; Optional Components</v>
      </c>
      <c r="C244" s="29" t="str">
        <f>RawList!B215</f>
        <v>User Interface, Touchscreen</v>
      </c>
      <c r="D244" s="29" t="str">
        <f>RawList!C215</f>
        <v>SparkFun</v>
      </c>
      <c r="E244" s="29" t="str">
        <f>RawList!H215</f>
        <v>Display Module - 7\" Touchscreen LCD</v>
      </c>
      <c r="F244" s="29" t="str">
        <f>RawList!D215</f>
        <v>LCD-12725</v>
      </c>
      <c r="G244" s="101">
        <f>RawList!E215</f>
        <v>0</v>
      </c>
      <c r="H244" s="29" t="str">
        <f>IF(EquipmentTable[[#This Row],[Units]]&gt;0,"Quantity &gt; 0 Items","Quantity = 0 Items")</f>
        <v>Quantity = 0 Items</v>
      </c>
      <c r="I244" s="36">
        <f>RawList!J215</f>
        <v>179.95</v>
      </c>
      <c r="J244" s="14">
        <f>VALUE(EquipmentTable[[#This Row],[Units]]*EquipmentTable[[#This Row],[Unit
 Price]])</f>
        <v>0</v>
      </c>
      <c r="K244" s="29" t="str">
        <f>RawList!G215</f>
        <v>https://cdn.sparkfun.com/r/92-92/assets/parts/9/4/8/2/12725-01.jpg</v>
      </c>
      <c r="L244" s="29"/>
      <c r="M244" s="29" t="str">
        <f>RawList!F215</f>
        <v>https://www.sparkfun.com/products/12725</v>
      </c>
    </row>
    <row r="245" spans="2:13" hidden="1" x14ac:dyDescent="0.25">
      <c r="B245" s="29" t="str">
        <f>RawList!A216</f>
        <v>Advanced &amp; Optional Components</v>
      </c>
      <c r="C245" s="29" t="str">
        <f>RawList!B216</f>
        <v>User Interface, Touchscreen</v>
      </c>
      <c r="D245" s="29" t="str">
        <f>RawList!C216</f>
        <v>SparkFun</v>
      </c>
      <c r="E245" s="29" t="str">
        <f>RawList!H216</f>
        <v>Arduino Display Module - 3.2\" Touchscreen LCD</v>
      </c>
      <c r="F245" s="29" t="str">
        <f>RawList!D216</f>
        <v>LCD-11741</v>
      </c>
      <c r="G245" s="101">
        <f>RawList!E216</f>
        <v>1</v>
      </c>
      <c r="H245" s="29" t="str">
        <f>IF(EquipmentTable[[#This Row],[Units]]&gt;0,"Quantity &gt; 0 Items","Quantity = 0 Items")</f>
        <v>Quantity &gt; 0 Items</v>
      </c>
      <c r="I245" s="36">
        <f>RawList!J216</f>
        <v>84.95</v>
      </c>
      <c r="J245" s="14">
        <f>VALUE(EquipmentTable[[#This Row],[Units]]*EquipmentTable[[#This Row],[Unit
 Price]])</f>
        <v>84.95</v>
      </c>
      <c r="K245" s="29" t="str">
        <f>RawList!G216</f>
        <v>https://cdn.sparkfun.com/r/92-92/assets/parts/7/9/6/3/11741-01a.jpg</v>
      </c>
      <c r="L245" s="29"/>
      <c r="M245" s="29" t="str">
        <f>RawList!F216</f>
        <v>https://www.sparkfun.com/products/11741</v>
      </c>
    </row>
    <row r="246" spans="2:13" hidden="1" x14ac:dyDescent="0.25">
      <c r="B246" s="29" t="str">
        <f>RawList!A217</f>
        <v>Advanced &amp; Optional Components</v>
      </c>
      <c r="C246" s="29" t="str">
        <f>RawList!B217</f>
        <v>User Interface, Touchscreen</v>
      </c>
      <c r="D246" s="29" t="str">
        <f>RawList!C217</f>
        <v>SparkFun</v>
      </c>
      <c r="E246" s="29" t="str">
        <f>RawList!H217</f>
        <v>Serial TFT LCD - 3.2\" with Touchscreen (uLCD-32PTU-GFX)</v>
      </c>
      <c r="F246" s="29" t="str">
        <f>RawList!D217</f>
        <v>LCD-11677</v>
      </c>
      <c r="G246" s="101">
        <f>RawList!E217</f>
        <v>0</v>
      </c>
      <c r="H246" s="29" t="str">
        <f>IF(EquipmentTable[[#This Row],[Units]]&gt;0,"Quantity &gt; 0 Items","Quantity = 0 Items")</f>
        <v>Quantity = 0 Items</v>
      </c>
      <c r="I246" s="36">
        <f>RawList!J217</f>
        <v>84.95</v>
      </c>
      <c r="J246" s="14">
        <f>VALUE(EquipmentTable[[#This Row],[Units]]*EquipmentTable[[#This Row],[Unit
 Price]])</f>
        <v>0</v>
      </c>
      <c r="K246" s="29" t="str">
        <f>RawList!G217</f>
        <v>https://cdn.sparkfun.com/r/92-92/assets/parts/7/7/7/7/11677-01.jpg</v>
      </c>
      <c r="L246" s="29"/>
      <c r="M246" s="29" t="str">
        <f>RawList!F217</f>
        <v>https://www.sparkfun.com/products/11677</v>
      </c>
    </row>
    <row r="247" spans="2:13" hidden="1" x14ac:dyDescent="0.25">
      <c r="B247" s="29" t="str">
        <f>RawList!A218</f>
        <v>Advanced &amp; Optional Components</v>
      </c>
      <c r="C247" s="29" t="str">
        <f>RawList!B218</f>
        <v>User Interface, Touchscreen</v>
      </c>
      <c r="D247" s="29" t="str">
        <f>RawList!C218</f>
        <v>Adafruit</v>
      </c>
      <c r="E247" s="29" t="str">
        <f>RawList!H218</f>
        <v>2.8" TFT LCD with Cap Touch Breakout Board w/MicroSD Socket</v>
      </c>
      <c r="F247" s="29" t="str">
        <f>RawList!D218</f>
        <v>2090</v>
      </c>
      <c r="G247" s="101">
        <f>RawList!E218</f>
        <v>0</v>
      </c>
      <c r="H247" s="29" t="str">
        <f>IF(EquipmentTable[[#This Row],[Units]]&gt;0,"Quantity &gt; 0 Items","Quantity = 0 Items")</f>
        <v>Quantity = 0 Items</v>
      </c>
      <c r="I247" s="36">
        <f>RawList!J218</f>
        <v>39.950000000000003</v>
      </c>
      <c r="J247" s="14">
        <f>VALUE(EquipmentTable[[#This Row],[Units]]*EquipmentTable[[#This Row],[Unit
 Price]])</f>
        <v>0</v>
      </c>
      <c r="K247" s="29">
        <f>RawList!G218</f>
        <v>0</v>
      </c>
      <c r="L247" s="29"/>
      <c r="M247" s="29">
        <f>RawList!F218</f>
        <v>0</v>
      </c>
    </row>
    <row r="248" spans="2:13" hidden="1" x14ac:dyDescent="0.25">
      <c r="B248" s="29" t="str">
        <f>RawList!A219</f>
        <v>Advanced &amp; Optional Components</v>
      </c>
      <c r="C248" s="29" t="str">
        <f>RawList!B219</f>
        <v>User Interface, Touchscreen</v>
      </c>
      <c r="D248" s="29" t="str">
        <f>RawList!C219</f>
        <v>Adafruit</v>
      </c>
      <c r="E248" s="29" t="str">
        <f>RawList!H219</f>
        <v>2.8" TFT Touch Shield for Arduino w/Capacitive Touch</v>
      </c>
      <c r="F248" s="29" t="str">
        <f>RawList!D219</f>
        <v>1947</v>
      </c>
      <c r="G248" s="101">
        <f>RawList!E219</f>
        <v>0</v>
      </c>
      <c r="H248" s="29" t="str">
        <f>IF(EquipmentTable[[#This Row],[Units]]&gt;0,"Quantity &gt; 0 Items","Quantity = 0 Items")</f>
        <v>Quantity = 0 Items</v>
      </c>
      <c r="I248" s="36">
        <f>RawList!J219</f>
        <v>44.95</v>
      </c>
      <c r="J248" s="14">
        <f>VALUE(EquipmentTable[[#This Row],[Units]]*EquipmentTable[[#This Row],[Unit
 Price]])</f>
        <v>0</v>
      </c>
      <c r="K248" s="29">
        <f>RawList!G219</f>
        <v>0</v>
      </c>
      <c r="L248" s="29"/>
      <c r="M248" s="29">
        <f>RawList!F219</f>
        <v>0</v>
      </c>
    </row>
    <row r="249" spans="2:13" hidden="1" x14ac:dyDescent="0.25">
      <c r="B249" s="29" t="str">
        <f>RawList!A220</f>
        <v>Advanced &amp; Optional Components</v>
      </c>
      <c r="C249" s="29" t="str">
        <f>RawList!B220</f>
        <v>User Interface, Touchscreen</v>
      </c>
      <c r="D249" s="29" t="str">
        <f>RawList!C220</f>
        <v>SparkFun</v>
      </c>
      <c r="E249" s="29" t="str">
        <f>RawList!H220</f>
        <v>USB-to-Serial Bridge - ÂµUSB-PA5</v>
      </c>
      <c r="F249" s="29" t="str">
        <f>RawList!D220</f>
        <v>DEV-11814</v>
      </c>
      <c r="G249" s="101">
        <f>RawList!E220</f>
        <v>1</v>
      </c>
      <c r="H249" s="29" t="str">
        <f>IF(EquipmentTable[[#This Row],[Units]]&gt;0,"Quantity &gt; 0 Items","Quantity = 0 Items")</f>
        <v>Quantity &gt; 0 Items</v>
      </c>
      <c r="I249" s="36">
        <f>RawList!J220</f>
        <v>24.95</v>
      </c>
      <c r="J249" s="14">
        <f>VALUE(EquipmentTable[[#This Row],[Units]]*EquipmentTable[[#This Row],[Unit
 Price]])</f>
        <v>24.95</v>
      </c>
      <c r="K249" s="29" t="str">
        <f>RawList!G220</f>
        <v>https://cdn.sparkfun.com/r/92-92/assets/parts/8/1/4/6/11814-01.jpg</v>
      </c>
      <c r="L249" s="29"/>
      <c r="M249" s="29" t="str">
        <f>RawList!F220</f>
        <v>https://www.sparkfun.com/products/11814</v>
      </c>
    </row>
    <row r="250" spans="2:13" hidden="1" x14ac:dyDescent="0.25">
      <c r="B250" s="29" t="str">
        <f>RawList!A221</f>
        <v>Advanced &amp; Optional Components</v>
      </c>
      <c r="C250" s="29" t="str">
        <f>RawList!B221</f>
        <v>Vitals/Health Status Sensing</v>
      </c>
      <c r="D250" s="29" t="str">
        <f>RawList!C221</f>
        <v>SparkFun</v>
      </c>
      <c r="E250" s="29" t="str">
        <f>RawList!H221</f>
        <v>BITalino (r)evolution Board Kit</v>
      </c>
      <c r="F250" s="29" t="str">
        <f>RawList!D221</f>
        <v>DEV-14022</v>
      </c>
      <c r="G250" s="101">
        <f>RawList!E221</f>
        <v>1</v>
      </c>
      <c r="H250" s="29" t="str">
        <f>IF(EquipmentTable[[#This Row],[Units]]&gt;0,"Quantity &gt; 0 Items","Quantity = 0 Items")</f>
        <v>Quantity &gt; 0 Items</v>
      </c>
      <c r="I250" s="36">
        <f>RawList!J221</f>
        <v>209.95</v>
      </c>
      <c r="J250" s="14">
        <f>VALUE(EquipmentTable[[#This Row],[Units]]*EquipmentTable[[#This Row],[Unit
 Price]])</f>
        <v>209.95</v>
      </c>
      <c r="K250" s="29" t="str">
        <f>RawList!G221</f>
        <v>https://cdn.sparkfun.com/r/92-92/assets/parts/1/1/8/2/8/14022-01a.jpg</v>
      </c>
      <c r="L250" s="29"/>
      <c r="M250" s="29" t="str">
        <f>RawList!F221</f>
        <v>https://www.sparkfun.com/products/14022</v>
      </c>
    </row>
    <row r="251" spans="2:13" hidden="1" x14ac:dyDescent="0.25">
      <c r="B251" s="29" t="str">
        <f>RawList!A221</f>
        <v>Advanced &amp; Optional Components</v>
      </c>
      <c r="C251" s="29" t="str">
        <f>RawList!B221</f>
        <v>Vitals/Health Status Sensing</v>
      </c>
      <c r="D251" s="29" t="str">
        <f>RawList!C221</f>
        <v>SparkFun</v>
      </c>
      <c r="E251" s="29" t="str">
        <f>RawList!H221</f>
        <v>BITalino (r)evolution Board Kit</v>
      </c>
      <c r="F251" s="29" t="str">
        <f>RawList!D221</f>
        <v>DEV-14022</v>
      </c>
      <c r="G251" s="101">
        <f>RawList!E221</f>
        <v>1</v>
      </c>
      <c r="H251" s="29" t="str">
        <f>IF(EquipmentTable[[#This Row],[Units]]&gt;0,"Quantity &gt; 0 Items","Quantity = 0 Items")</f>
        <v>Quantity &gt; 0 Items</v>
      </c>
      <c r="I251" s="102">
        <f>RawList!J221</f>
        <v>209.95</v>
      </c>
      <c r="J251" s="14">
        <f>VALUE(EquipmentTable[[#This Row],[Units]]*EquipmentTable[[#This Row],[Unit
 Price]])</f>
        <v>209.95</v>
      </c>
      <c r="K251" s="29" t="str">
        <f>RawList!G222</f>
        <v>https://cdn.sparkfun.com/r/92-92/assets/parts/1/0/6/0/0/13316-01a.jpg</v>
      </c>
      <c r="L251" s="29"/>
      <c r="M251" s="29" t="str">
        <f>RawList!F222</f>
        <v>https://www.sparkfun.com/products/13316</v>
      </c>
    </row>
    <row r="252" spans="2:13" hidden="1" x14ac:dyDescent="0.25">
      <c r="B252" s="29" t="str">
        <f>RawList!A223</f>
        <v>Advanced &amp; Optional Components</v>
      </c>
      <c r="C252" s="29" t="str">
        <f>RawList!B223</f>
        <v>Wireless Charging</v>
      </c>
      <c r="D252" s="29" t="str">
        <f>RawList!C223</f>
        <v>Adafruit</v>
      </c>
      <c r="E252" s="29" t="str">
        <f>RawList!H223</f>
        <v>Inductive Charging Set - 5V @ 500mA max</v>
      </c>
      <c r="F252" s="29" t="str">
        <f>RawList!D223</f>
        <v>1407</v>
      </c>
      <c r="G252" s="101">
        <f>RawList!E223</f>
        <v>0</v>
      </c>
      <c r="H252" s="29" t="str">
        <f>IF(EquipmentTable[[#This Row],[Units]]&gt;0,"Quantity &gt; 0 Items","Quantity = 0 Items")</f>
        <v>Quantity = 0 Items</v>
      </c>
      <c r="I252" s="36">
        <f>RawList!J223</f>
        <v>9.9499999999999993</v>
      </c>
      <c r="J252" s="14">
        <f>VALUE(EquipmentTable[[#This Row],[Units]]*EquipmentTable[[#This Row],[Unit
 Price]])</f>
        <v>0</v>
      </c>
      <c r="K252" s="29">
        <f>RawList!G223</f>
        <v>0</v>
      </c>
      <c r="L252" s="29"/>
      <c r="M252" s="29">
        <f>RawList!F223</f>
        <v>0</v>
      </c>
    </row>
    <row r="253" spans="2:13" hidden="1" x14ac:dyDescent="0.25">
      <c r="B253" s="29" t="str">
        <f>RawList!A224</f>
        <v>Advanced &amp; Optional Components</v>
      </c>
      <c r="C253" s="29" t="str">
        <f>RawList!B224</f>
        <v>Wireless Charging</v>
      </c>
      <c r="D253" s="29" t="str">
        <f>RawList!C224</f>
        <v>Adafruit</v>
      </c>
      <c r="E253" s="29" t="str">
        <f>RawList!H224</f>
        <v xml:space="preserve">Universal Qi Wireless Charging Module - 20mm Forward MicroUSB </v>
      </c>
      <c r="F253" s="29" t="str">
        <f>RawList!D224</f>
        <v>2116</v>
      </c>
      <c r="G253" s="101">
        <f>RawList!E224</f>
        <v>0</v>
      </c>
      <c r="H253" s="29" t="str">
        <f>IF(EquipmentTable[[#This Row],[Units]]&gt;0,"Quantity &gt; 0 Items","Quantity = 0 Items")</f>
        <v>Quantity = 0 Items</v>
      </c>
      <c r="I253" s="36">
        <f>RawList!J224</f>
        <v>24.95</v>
      </c>
      <c r="J253" s="14">
        <f>VALUE(EquipmentTable[[#This Row],[Units]]*EquipmentTable[[#This Row],[Unit
 Price]])</f>
        <v>0</v>
      </c>
      <c r="K253" s="29">
        <f>RawList!G224</f>
        <v>0</v>
      </c>
      <c r="L253" s="29"/>
      <c r="M253" s="29">
        <f>RawList!F224</f>
        <v>0</v>
      </c>
    </row>
    <row r="254" spans="2:13" hidden="1" x14ac:dyDescent="0.25">
      <c r="B254" s="29" t="str">
        <f>RawList!A225</f>
        <v>Advanced &amp; Optional Components</v>
      </c>
      <c r="C254" s="29" t="str">
        <f>RawList!B225</f>
        <v>Wireless Charging</v>
      </c>
      <c r="D254" s="29" t="str">
        <f>RawList!C225</f>
        <v>Adafruit</v>
      </c>
      <c r="E254" s="29" t="str">
        <f>RawList!H225</f>
        <v xml:space="preserve">Universal Qi Wireless Charging Transmitter </v>
      </c>
      <c r="F254" s="29" t="str">
        <f>RawList!D225</f>
        <v>2162</v>
      </c>
      <c r="G254" s="101">
        <f>RawList!E225</f>
        <v>0</v>
      </c>
      <c r="H254" s="29" t="str">
        <f>IF(EquipmentTable[[#This Row],[Units]]&gt;0,"Quantity &gt; 0 Items","Quantity = 0 Items")</f>
        <v>Quantity = 0 Items</v>
      </c>
      <c r="I254" s="36">
        <f>RawList!J225</f>
        <v>26.95</v>
      </c>
      <c r="J254" s="14">
        <f>VALUE(EquipmentTable[[#This Row],[Units]]*EquipmentTable[[#This Row],[Unit
 Price]])</f>
        <v>0</v>
      </c>
      <c r="K254" s="29">
        <f>RawList!G225</f>
        <v>0</v>
      </c>
      <c r="L254" s="29"/>
      <c r="M254" s="29">
        <f>RawList!F225</f>
        <v>0</v>
      </c>
    </row>
    <row r="255" spans="2:13" hidden="1" x14ac:dyDescent="0.25">
      <c r="B255" s="29" t="str">
        <f>RawList!A226</f>
        <v>Advanced &amp; Optional Components</v>
      </c>
      <c r="C255" s="29" t="str">
        <f>RawList!B226</f>
        <v>Wireless Charging</v>
      </c>
      <c r="D255" s="29" t="str">
        <f>RawList!C226</f>
        <v>Adafruit</v>
      </c>
      <c r="E255" s="29" t="str">
        <f>RawList!H226</f>
        <v>Universal Qi Wireless Receiver Module</v>
      </c>
      <c r="F255" s="29" t="str">
        <f>RawList!D226</f>
        <v>1901</v>
      </c>
      <c r="G255" s="101">
        <f>RawList!E226</f>
        <v>0</v>
      </c>
      <c r="H255" s="29" t="str">
        <f>IF(EquipmentTable[[#This Row],[Units]]&gt;0,"Quantity &gt; 0 Items","Quantity = 0 Items")</f>
        <v>Quantity = 0 Items</v>
      </c>
      <c r="I255" s="36">
        <f>RawList!J226</f>
        <v>14.95</v>
      </c>
      <c r="J255" s="14">
        <f>VALUE(EquipmentTable[[#This Row],[Units]]*EquipmentTable[[#This Row],[Unit
 Price]])</f>
        <v>0</v>
      </c>
      <c r="K255" s="29">
        <f>RawList!G226</f>
        <v>0</v>
      </c>
      <c r="L255" s="29"/>
      <c r="M255" s="29">
        <f>RawList!F226</f>
        <v>0</v>
      </c>
    </row>
    <row r="256" spans="2:13" hidden="1" x14ac:dyDescent="0.25">
      <c r="B256" s="29" t="str">
        <f>RawList!A226</f>
        <v>Advanced &amp; Optional Components</v>
      </c>
      <c r="C256" s="29" t="str">
        <f>RawList!B226</f>
        <v>Wireless Charging</v>
      </c>
      <c r="D256" s="29" t="str">
        <f>RawList!C226</f>
        <v>Adafruit</v>
      </c>
      <c r="E256" s="29" t="str">
        <f>RawList!H226</f>
        <v>Universal Qi Wireless Receiver Module</v>
      </c>
      <c r="F256" s="29" t="str">
        <f>RawList!D226</f>
        <v>1901</v>
      </c>
      <c r="G256" s="101">
        <f>RawList!E226</f>
        <v>0</v>
      </c>
      <c r="H256" s="29" t="str">
        <f>IF(EquipmentTable[[#This Row],[Units]]&gt;0,"Quantity &gt; 0 Items","Quantity = 0 Items")</f>
        <v>Quantity = 0 Items</v>
      </c>
      <c r="I256" s="102">
        <f>RawList!J226</f>
        <v>14.95</v>
      </c>
      <c r="J256" s="14">
        <f>VALUE(EquipmentTable[[#This Row],[Units]]*EquipmentTable[[#This Row],[Unit
 Price]])</f>
        <v>0</v>
      </c>
      <c r="K256" s="29" t="str">
        <f>RawList!G227</f>
        <v>https://cdn.sparkfun.com/r/92-92/assets/parts/1/2/0/3/4/14135-03.jpg</v>
      </c>
      <c r="L256" s="29"/>
      <c r="M256" s="29" t="str">
        <f>RawList!F227</f>
        <v>https://www.sparkfun.com/products/14135</v>
      </c>
    </row>
    <row r="257" spans="2:13" hidden="1" x14ac:dyDescent="0.25">
      <c r="B257" s="29" t="str">
        <f>RawList!A227</f>
        <v>Smart-Home/IoT Network Integration (Fixed)</v>
      </c>
      <c r="C257" s="29" t="str">
        <f>RawList!B227</f>
        <v>Linux + Arduino Home Base Station</v>
      </c>
      <c r="D257" s="29" t="str">
        <f>RawList!C227</f>
        <v>SparkFun</v>
      </c>
      <c r="E257" s="29" t="str">
        <f>RawList!H227</f>
        <v>Arduino Tian</v>
      </c>
      <c r="F257" s="29" t="str">
        <f>RawList!D227</f>
        <v>DEV-14135</v>
      </c>
      <c r="G257" s="101">
        <f>RawList!E227</f>
        <v>1</v>
      </c>
      <c r="H257" s="29" t="str">
        <f>IF(EquipmentTable[[#This Row],[Units]]&gt;0,"Quantity &gt; 0 Items","Quantity = 0 Items")</f>
        <v>Quantity &gt; 0 Items</v>
      </c>
      <c r="I257" s="102">
        <f>RawList!J227</f>
        <v>94.95</v>
      </c>
      <c r="J257" s="14">
        <f>VALUE(EquipmentTable[[#This Row],[Units]]*EquipmentTable[[#This Row],[Unit
 Price]])</f>
        <v>94.95</v>
      </c>
      <c r="K257" s="29" t="str">
        <f>RawList!G227</f>
        <v>https://cdn.sparkfun.com/r/92-92/assets/parts/1/2/0/3/4/14135-03.jpg</v>
      </c>
      <c r="L257" s="29"/>
      <c r="M257" s="29" t="str">
        <f>RawList!F227</f>
        <v>https://www.sparkfun.com/products/14135</v>
      </c>
    </row>
    <row r="258" spans="2:13" hidden="1" x14ac:dyDescent="0.25">
      <c r="B258" s="29" t="str">
        <f>RawList!A228</f>
        <v>Smart-Home/IoT Network Integration (Fixed)</v>
      </c>
      <c r="C258" s="29" t="str">
        <f>RawList!B228</f>
        <v>BeagleBone Black Iot/Base Station</v>
      </c>
      <c r="D258" s="29" t="str">
        <f>RawList!C228</f>
        <v>SparkFun</v>
      </c>
      <c r="E258" s="29" t="str">
        <f>RawList!H228</f>
        <v>BeagleBone Black Wireless</v>
      </c>
      <c r="F258" s="29" t="str">
        <f>RawList!D228</f>
        <v>DEV-14162</v>
      </c>
      <c r="G258" s="101">
        <f>RawList!E228</f>
        <v>1</v>
      </c>
      <c r="H258" s="29" t="str">
        <f>IF(EquipmentTable[[#This Row],[Units]]&gt;0,"Quantity &gt; 0 Items","Quantity = 0 Items")</f>
        <v>Quantity &gt; 0 Items</v>
      </c>
      <c r="I258" s="102">
        <f>RawList!J228</f>
        <v>69.95</v>
      </c>
      <c r="J258" s="14">
        <f>VALUE(EquipmentTable[[#This Row],[Units]]*EquipmentTable[[#This Row],[Unit
 Price]])</f>
        <v>69.95</v>
      </c>
      <c r="K258" s="29" t="str">
        <f>RawList!G228</f>
        <v>https://cdn.sparkfun.com/r/92-92/assets/parts/1/2/0/7/6/14162-02.jpg</v>
      </c>
      <c r="L258" s="29"/>
      <c r="M258" s="29" t="str">
        <f>RawList!F228</f>
        <v>https://www.sparkfun.com/products/14162</v>
      </c>
    </row>
    <row r="259" spans="2:13" hidden="1" x14ac:dyDescent="0.25">
      <c r="B259" s="29" t="str">
        <f>RawList!A229</f>
        <v>Smart-Home/IoT Network Integration (Fixed)</v>
      </c>
      <c r="C259" s="29" t="str">
        <f>RawList!B229</f>
        <v>BeagleBone Black Iot/Base Station</v>
      </c>
      <c r="D259" s="29" t="str">
        <f>RawList!C229</f>
        <v>SparkFun</v>
      </c>
      <c r="E259" s="29" t="str">
        <f>RawList!H229</f>
        <v>SparkFun BeagleBone Black Proto Cape</v>
      </c>
      <c r="F259" s="29" t="str">
        <f>RawList!D229</f>
        <v>DEV-12774</v>
      </c>
      <c r="G259" s="101">
        <f>RawList!E229</f>
        <v>0</v>
      </c>
      <c r="H259" s="29" t="str">
        <f>IF(EquipmentTable[[#This Row],[Units]]&gt;0,"Quantity &gt; 0 Items","Quantity = 0 Items")</f>
        <v>Quantity = 0 Items</v>
      </c>
      <c r="I259" s="102">
        <f>RawList!J229</f>
        <v>9.9499999999999993</v>
      </c>
      <c r="J259" s="14">
        <f>VALUE(EquipmentTable[[#This Row],[Units]]*EquipmentTable[[#This Row],[Unit
 Price]])</f>
        <v>0</v>
      </c>
      <c r="K259" s="29" t="str">
        <f>RawList!G229</f>
        <v>https://cdn.sparkfun.com/r/92-92/assets/parts/9/5/5/9/12774-02.jpg</v>
      </c>
      <c r="L259" s="29"/>
      <c r="M259" s="29" t="str">
        <f>RawList!F229</f>
        <v>https://www.sparkfun.com/products/12774</v>
      </c>
    </row>
    <row r="260" spans="2:13" hidden="1" x14ac:dyDescent="0.25">
      <c r="B260" s="29" t="str">
        <f>RawList!A230</f>
        <v>Smart-Home/IoT Network Integration (Fixed)</v>
      </c>
      <c r="C260" s="29" t="str">
        <f>RawList!B230</f>
        <v>BeagleBone Black Iot/Base Station</v>
      </c>
      <c r="D260" s="29" t="str">
        <f>RawList!C230</f>
        <v>SparkFun</v>
      </c>
      <c r="E260" s="29" t="str">
        <f>RawList!H230</f>
        <v>BeagleBone Black Cape - LCD (7.0\")</v>
      </c>
      <c r="F260" s="29" t="str">
        <f>RawList!D230</f>
        <v>DEV-12086</v>
      </c>
      <c r="G260" s="101">
        <f>RawList!E230</f>
        <v>0</v>
      </c>
      <c r="H260" s="29" t="str">
        <f>IF(EquipmentTable[[#This Row],[Units]]&gt;0,"Quantity &gt; 0 Items","Quantity = 0 Items")</f>
        <v>Quantity = 0 Items</v>
      </c>
      <c r="I260" s="102">
        <f>RawList!J230</f>
        <v>99.95</v>
      </c>
      <c r="J260" s="14">
        <f>VALUE(EquipmentTable[[#This Row],[Units]]*EquipmentTable[[#This Row],[Unit
 Price]])</f>
        <v>0</v>
      </c>
      <c r="K260" s="29" t="str">
        <f>RawList!G230</f>
        <v>https://cdn.sparkfun.com/r/92-92/assets/parts/8/7/1/8/12086-01.jpg</v>
      </c>
      <c r="L260" s="29"/>
      <c r="M260" s="29" t="str">
        <f>RawList!F230</f>
        <v>https://www.sparkfun.com/products/12086</v>
      </c>
    </row>
    <row r="261" spans="2:13" hidden="1" x14ac:dyDescent="0.25">
      <c r="B261" s="29" t="str">
        <f>RawList!A231</f>
        <v>Smart-Home/IoT Network Integration (Fixed)</v>
      </c>
      <c r="C261" s="29" t="str">
        <f>RawList!B231</f>
        <v>BeagleBone Black Iot/Base Station</v>
      </c>
      <c r="D261" s="29" t="str">
        <f>RawList!C231</f>
        <v>SparkFun</v>
      </c>
      <c r="E261" s="29" t="str">
        <f>RawList!H231</f>
        <v>BeagleBone Black Cape - LCD (4.3\")</v>
      </c>
      <c r="F261" s="29" t="str">
        <f>RawList!D231</f>
        <v>DEV-12085</v>
      </c>
      <c r="G261" s="101">
        <f>RawList!E231</f>
        <v>0</v>
      </c>
      <c r="H261" s="29" t="str">
        <f>IF(EquipmentTable[[#This Row],[Units]]&gt;0,"Quantity &gt; 0 Items","Quantity = 0 Items")</f>
        <v>Quantity = 0 Items</v>
      </c>
      <c r="I261" s="102">
        <f>RawList!J231</f>
        <v>65.95</v>
      </c>
      <c r="J261" s="14">
        <f>VALUE(EquipmentTable[[#This Row],[Units]]*EquipmentTable[[#This Row],[Unit
 Price]])</f>
        <v>0</v>
      </c>
      <c r="K261" s="29" t="str">
        <f>RawList!G231</f>
        <v>https://cdn.sparkfun.com/r/92-92/assets/parts/8/7/1/7/12085-01.jpg</v>
      </c>
      <c r="L261" s="29"/>
      <c r="M261" s="29" t="str">
        <f>RawList!F231</f>
        <v>https://www.sparkfun.com/products/12085</v>
      </c>
    </row>
    <row r="262" spans="2:13" hidden="1" x14ac:dyDescent="0.25">
      <c r="B262" s="29" t="str">
        <f>RawList!A232</f>
        <v>Smart-Home/IoT Network Integration (Fixed)</v>
      </c>
      <c r="C262" s="29" t="str">
        <f>RawList!B232</f>
        <v>BeagleBone Black Iot/Base Station</v>
      </c>
      <c r="D262" s="29" t="str">
        <f>RawList!C232</f>
        <v>SparkFun</v>
      </c>
      <c r="E262" s="29" t="str">
        <f>RawList!H232</f>
        <v>BeagleBone Black Enclosure - Clear Plastic</v>
      </c>
      <c r="F262" s="29" t="str">
        <f>RawList!D232</f>
        <v>PRT-12842</v>
      </c>
      <c r="G262" s="101">
        <f>RawList!E232</f>
        <v>0</v>
      </c>
      <c r="H262" s="29" t="str">
        <f>IF(EquipmentTable[[#This Row],[Units]]&gt;0,"Quantity &gt; 0 Items","Quantity = 0 Items")</f>
        <v>Quantity = 0 Items</v>
      </c>
      <c r="I262" s="102">
        <f>RawList!J232</f>
        <v>7.95</v>
      </c>
      <c r="J262" s="14">
        <f>VALUE(EquipmentTable[[#This Row],[Units]]*EquipmentTable[[#This Row],[Unit
 Price]])</f>
        <v>0</v>
      </c>
      <c r="K262" s="29" t="str">
        <f>RawList!G232</f>
        <v>https://cdn.sparkfun.com/r/92-92/assets/parts/9/6/9/2/12842-01.jpg</v>
      </c>
      <c r="L262" s="29"/>
      <c r="M262" s="29" t="str">
        <f>RawList!F232</f>
        <v>https://www.sparkfun.com/products/12842</v>
      </c>
    </row>
    <row r="263" spans="2:13" hidden="1" x14ac:dyDescent="0.25">
      <c r="B263" s="29" t="str">
        <f>RawList!A233</f>
        <v>Smart-Home/IoT Network Integration (Fixed)</v>
      </c>
      <c r="C263" s="29" t="str">
        <f>RawList!B233</f>
        <v>BeagleBone Black Iot/Base Station</v>
      </c>
      <c r="D263" s="29" t="str">
        <f>RawList!C233</f>
        <v>Adafruit</v>
      </c>
      <c r="E263" s="29" t="str">
        <f>RawList!H233</f>
        <v>4.3" LCD Capacitive Touchscreen Display Cape for BeagleBone</v>
      </c>
      <c r="F263" s="29" t="str">
        <f>RawList!D233</f>
        <v>3396</v>
      </c>
      <c r="G263" s="101">
        <f>RawList!E233</f>
        <v>1</v>
      </c>
      <c r="H263" s="29" t="str">
        <f>IF(EquipmentTable[[#This Row],[Units]]&gt;0,"Quantity &gt; 0 Items","Quantity = 0 Items")</f>
        <v>Quantity &gt; 0 Items</v>
      </c>
      <c r="I263" s="102">
        <f>RawList!J233</f>
        <v>49.95</v>
      </c>
      <c r="J263" s="14">
        <f>VALUE(EquipmentTable[[#This Row],[Units]]*EquipmentTable[[#This Row],[Unit
 Price]])</f>
        <v>49.95</v>
      </c>
      <c r="K263" s="29">
        <f>RawList!G233</f>
        <v>0</v>
      </c>
      <c r="L263" s="29"/>
      <c r="M263" s="29">
        <f>RawList!F233</f>
        <v>0</v>
      </c>
    </row>
    <row r="264" spans="2:13" hidden="1" x14ac:dyDescent="0.25">
      <c r="B264" s="29" t="str">
        <f>RawList!A234</f>
        <v>Smart-Home/IoT Network Integration (Fixed)</v>
      </c>
      <c r="C264" s="29" t="str">
        <f>RawList!B234</f>
        <v>BeagleBone Black Iot/Base Station</v>
      </c>
      <c r="D264" s="29" t="str">
        <f>RawList!C234</f>
        <v>Adafruit</v>
      </c>
      <c r="E264" s="29" t="str">
        <f>RawList!H234</f>
        <v>Adafruit BBB Case - Enclosure for Beagle Bone Black</v>
      </c>
      <c r="F264" s="29" t="str">
        <f>RawList!D234</f>
        <v>1555</v>
      </c>
      <c r="G264" s="101">
        <f>RawList!E234</f>
        <v>0</v>
      </c>
      <c r="H264" s="29" t="str">
        <f>IF(EquipmentTable[[#This Row],[Units]]&gt;0,"Quantity &gt; 0 Items","Quantity = 0 Items")</f>
        <v>Quantity = 0 Items</v>
      </c>
      <c r="I264" s="102">
        <f>RawList!J234</f>
        <v>9.9499999999999993</v>
      </c>
      <c r="J264" s="14">
        <f>VALUE(EquipmentTable[[#This Row],[Units]]*EquipmentTable[[#This Row],[Unit
 Price]])</f>
        <v>0</v>
      </c>
      <c r="K264" s="29">
        <f>RawList!G234</f>
        <v>0</v>
      </c>
      <c r="L264" s="29"/>
      <c r="M264" s="29">
        <f>RawList!F234</f>
        <v>0</v>
      </c>
    </row>
    <row r="265" spans="2:13" hidden="1" x14ac:dyDescent="0.25">
      <c r="B265" s="29" t="str">
        <f>RawList!A235</f>
        <v>Smart-Home/IoT Network Integration (Fixed)</v>
      </c>
      <c r="C265" s="29" t="str">
        <f>RawList!B235</f>
        <v>BeagleBone Black Iot/Base Station</v>
      </c>
      <c r="D265" s="29" t="str">
        <f>RawList!C235</f>
        <v>Adafruit</v>
      </c>
      <c r="E265" s="29" t="str">
        <f>RawList!H235</f>
        <v>Adafruit Bone Box - Enclosure for Beagle Bone/Beagle Bone Black</v>
      </c>
      <c r="F265" s="29" t="str">
        <f>RawList!D235</f>
        <v>699</v>
      </c>
      <c r="G265" s="101">
        <f>RawList!E235</f>
        <v>0</v>
      </c>
      <c r="H265" s="29" t="str">
        <f>IF(EquipmentTable[[#This Row],[Units]]&gt;0,"Quantity &gt; 0 Items","Quantity = 0 Items")</f>
        <v>Quantity = 0 Items</v>
      </c>
      <c r="I265" s="102">
        <f>RawList!J235</f>
        <v>19.95</v>
      </c>
      <c r="J265" s="14">
        <f>VALUE(EquipmentTable[[#This Row],[Units]]*EquipmentTable[[#This Row],[Unit
 Price]])</f>
        <v>0</v>
      </c>
      <c r="K265" s="29">
        <f>RawList!G235</f>
        <v>0</v>
      </c>
      <c r="L265" s="29"/>
      <c r="M265" s="29">
        <f>RawList!F235</f>
        <v>0</v>
      </c>
    </row>
    <row r="266" spans="2:13" hidden="1" x14ac:dyDescent="0.25">
      <c r="B266" s="29" t="str">
        <f>RawList!A236</f>
        <v>Smart-Home/IoT Network Integration (Fixed)</v>
      </c>
      <c r="C266" s="29" t="str">
        <f>RawList!B236</f>
        <v>BeagleBone Black Iot/Base Station</v>
      </c>
      <c r="D266" s="29" t="str">
        <f>RawList!C236</f>
        <v>Adafruit</v>
      </c>
      <c r="E266" s="29" t="str">
        <f>RawList!H236</f>
        <v>Adafruit Proto Cape Kit for Beagle Bone &amp; Beagle Bone Black</v>
      </c>
      <c r="F266" s="29" t="str">
        <f>RawList!D236</f>
        <v>572</v>
      </c>
      <c r="G266" s="101">
        <f>RawList!E236</f>
        <v>1</v>
      </c>
      <c r="H266" s="29" t="str">
        <f>IF(EquipmentTable[[#This Row],[Units]]&gt;0,"Quantity &gt; 0 Items","Quantity = 0 Items")</f>
        <v>Quantity &gt; 0 Items</v>
      </c>
      <c r="I266" s="102">
        <f>RawList!J236</f>
        <v>9.9499999999999993</v>
      </c>
      <c r="J266" s="14">
        <f>VALUE(EquipmentTable[[#This Row],[Units]]*EquipmentTable[[#This Row],[Unit
 Price]])</f>
        <v>9.9499999999999993</v>
      </c>
      <c r="K266" s="29">
        <f>RawList!G236</f>
        <v>0</v>
      </c>
      <c r="L266" s="29"/>
      <c r="M266" s="29">
        <f>RawList!F236</f>
        <v>0</v>
      </c>
    </row>
    <row r="267" spans="2:13" hidden="1" x14ac:dyDescent="0.25">
      <c r="B267" s="29" t="str">
        <f>RawList!A237</f>
        <v>Smart-Home/IoT Network Integration (Fixed)</v>
      </c>
      <c r="C267" s="29" t="str">
        <f>RawList!B237</f>
        <v>BeagleBone Black Iot/Base Station</v>
      </c>
      <c r="D267" s="29" t="str">
        <f>RawList!C237</f>
        <v>Adafruit</v>
      </c>
      <c r="E267" s="29" t="str">
        <f>RawList!H237</f>
        <v>Adafruit Proto Plate for Beagle Bone &amp; Beagle Bone Black</v>
      </c>
      <c r="F267" s="29" t="str">
        <f>RawList!D237</f>
        <v>702</v>
      </c>
      <c r="G267" s="101">
        <f>RawList!E237</f>
        <v>0</v>
      </c>
      <c r="H267" s="29" t="str">
        <f>IF(EquipmentTable[[#This Row],[Units]]&gt;0,"Quantity &gt; 0 Items","Quantity = 0 Items")</f>
        <v>Quantity = 0 Items</v>
      </c>
      <c r="I267" s="102">
        <f>RawList!J237</f>
        <v>7.95</v>
      </c>
      <c r="J267" s="14">
        <f>VALUE(EquipmentTable[[#This Row],[Units]]*EquipmentTable[[#This Row],[Unit
 Price]])</f>
        <v>0</v>
      </c>
      <c r="K267" s="29">
        <f>RawList!G237</f>
        <v>0</v>
      </c>
      <c r="L267" s="29"/>
      <c r="M267" s="29">
        <f>RawList!F237</f>
        <v>0</v>
      </c>
    </row>
    <row r="268" spans="2:13" hidden="1" x14ac:dyDescent="0.25">
      <c r="B268" s="29" t="str">
        <f>RawList!A238</f>
        <v>Smart-Home/IoT Network Integration (Fixed)</v>
      </c>
      <c r="C268" s="29" t="str">
        <f>RawList!B238</f>
        <v>BeagleBone Black Iot/Base Station</v>
      </c>
      <c r="D268" s="29" t="str">
        <f>RawList!C238</f>
        <v>Adafruit</v>
      </c>
      <c r="E268" s="29" t="str">
        <f>RawList!H238</f>
        <v>Anidees Beaglebone Black Case - Black Aluminum with Smoke Top</v>
      </c>
      <c r="F268" s="29" t="str">
        <f>RawList!D238</f>
        <v>2627</v>
      </c>
      <c r="G268" s="101">
        <f>RawList!E238</f>
        <v>1</v>
      </c>
      <c r="H268" s="29" t="str">
        <f>IF(EquipmentTable[[#This Row],[Units]]&gt;0,"Quantity &gt; 0 Items","Quantity = 0 Items")</f>
        <v>Quantity &gt; 0 Items</v>
      </c>
      <c r="I268" s="102">
        <f>RawList!J238</f>
        <v>39.950000000000003</v>
      </c>
      <c r="J268" s="14">
        <f>VALUE(EquipmentTable[[#This Row],[Units]]*EquipmentTable[[#This Row],[Unit
 Price]])</f>
        <v>39.950000000000003</v>
      </c>
      <c r="K268" s="29">
        <f>RawList!G238</f>
        <v>0</v>
      </c>
      <c r="L268" s="29"/>
      <c r="M268" s="29">
        <f>RawList!F238</f>
        <v>0</v>
      </c>
    </row>
    <row r="269" spans="2:13" hidden="1" x14ac:dyDescent="0.25">
      <c r="B269" s="29" t="str">
        <f>RawList!A239</f>
        <v>Smart-Home/IoT Network Integration (Fixed)</v>
      </c>
      <c r="C269" s="29" t="str">
        <f>RawList!B239</f>
        <v>BeagleBone Black Iot/Base Station</v>
      </c>
      <c r="D269" s="29" t="str">
        <f>RawList!C239</f>
        <v>Adafruit</v>
      </c>
      <c r="E269" s="29" t="str">
        <f>RawList!H239</f>
        <v>Anidees BeagleBoneBlack Case - Silver Aluminum with Crystal Top</v>
      </c>
      <c r="F269" s="29" t="str">
        <f>RawList!D239</f>
        <v>2628</v>
      </c>
      <c r="G269" s="101">
        <f>RawList!E239</f>
        <v>0</v>
      </c>
      <c r="H269" s="29" t="str">
        <f>IF(EquipmentTable[[#This Row],[Units]]&gt;0,"Quantity &gt; 0 Items","Quantity = 0 Items")</f>
        <v>Quantity = 0 Items</v>
      </c>
      <c r="I269" s="102">
        <f>RawList!J239</f>
        <v>39.950000000000003</v>
      </c>
      <c r="J269" s="14">
        <f>VALUE(EquipmentTable[[#This Row],[Units]]*EquipmentTable[[#This Row],[Unit
 Price]])</f>
        <v>0</v>
      </c>
      <c r="K269" s="29">
        <f>RawList!G239</f>
        <v>0</v>
      </c>
      <c r="L269" s="29"/>
      <c r="M269" s="29">
        <f>RawList!F239</f>
        <v>0</v>
      </c>
    </row>
    <row r="270" spans="2:13" hidden="1" x14ac:dyDescent="0.25">
      <c r="B270" s="29" t="str">
        <f>RawList!A241</f>
        <v>Smart-Home/IoT Network Integration (Fixed)</v>
      </c>
      <c r="C270" s="29" t="str">
        <f>RawList!B241</f>
        <v>mBed Platform Base Station</v>
      </c>
      <c r="D270" s="29" t="str">
        <f>RawList!C241</f>
        <v>SparkFun</v>
      </c>
      <c r="E270" s="29" t="str">
        <f>RawList!H241</f>
        <v>mbed - LPC1768 (Cortex-M3)</v>
      </c>
      <c r="F270" s="29" t="str">
        <f>RawList!D241</f>
        <v>DEV-09564</v>
      </c>
      <c r="G270" s="101">
        <f>RawList!E241</f>
        <v>1</v>
      </c>
      <c r="H270" s="29" t="str">
        <f>IF(EquipmentTable[[#This Row],[Units]]&gt;0,"Quantity &gt; 0 Items","Quantity = 0 Items")</f>
        <v>Quantity &gt; 0 Items</v>
      </c>
      <c r="I270" s="36">
        <f>RawList!J241</f>
        <v>54.95</v>
      </c>
      <c r="J270" s="14">
        <f>VALUE(EquipmentTable[[#This Row],[Units]]*EquipmentTable[[#This Row],[Unit
 Price]])</f>
        <v>54.95</v>
      </c>
      <c r="K270" s="29" t="str">
        <f>RawList!G241</f>
        <v>https://cdn.sparkfun.com/r/92-92/assets/parts/3/3/3/6/09564-05.jpg</v>
      </c>
      <c r="L270" s="29"/>
      <c r="M270" s="29" t="str">
        <f>RawList!F241</f>
        <v>https://www.sparkfun.com/products/9564</v>
      </c>
    </row>
    <row r="271" spans="2:13" hidden="1" x14ac:dyDescent="0.25">
      <c r="B271" s="29" t="str">
        <f>RawList!A242</f>
        <v>Smart-Home/IoT Network Integration (Fixed)</v>
      </c>
      <c r="C271" s="29" t="str">
        <f>RawList!B242</f>
        <v>mBed Platform Base Station</v>
      </c>
      <c r="D271" s="29" t="str">
        <f>RawList!C242</f>
        <v>SparkFun</v>
      </c>
      <c r="E271" s="29" t="str">
        <f>RawList!H242</f>
        <v>mbed Application Board</v>
      </c>
      <c r="F271" s="29" t="str">
        <f>RawList!D242</f>
        <v>DEV-11695</v>
      </c>
      <c r="G271" s="101">
        <f>RawList!E242</f>
        <v>0</v>
      </c>
      <c r="H271" s="29" t="str">
        <f>IF(EquipmentTable[[#This Row],[Units]]&gt;0,"Quantity &gt; 0 Items","Quantity = 0 Items")</f>
        <v>Quantity = 0 Items</v>
      </c>
      <c r="I271" s="36">
        <f>RawList!J242</f>
        <v>59.95</v>
      </c>
      <c r="J271" s="14">
        <f>VALUE(EquipmentTable[[#This Row],[Units]]*EquipmentTable[[#This Row],[Unit
 Price]])</f>
        <v>0</v>
      </c>
      <c r="K271" s="29" t="str">
        <f>RawList!G242</f>
        <v>https://cdn.sparkfun.com/r/92-92/assets/parts/7/8/5/9/11695-01.jpg</v>
      </c>
      <c r="L271" s="29"/>
      <c r="M271" s="29" t="str">
        <f>RawList!F242</f>
        <v>https://www.sparkfun.com/products/11695</v>
      </c>
    </row>
    <row r="272" spans="2:13" hidden="1" x14ac:dyDescent="0.25">
      <c r="B272" s="29" t="str">
        <f>RawList!A243</f>
        <v>Smart-Home/IoT Network Integration (Fixed)</v>
      </c>
      <c r="C272" s="29" t="str">
        <f>RawList!B243</f>
        <v>Intel Edison Iot/Base Station</v>
      </c>
      <c r="D272" s="29" t="str">
        <f>RawList!C243</f>
        <v>SparkFun</v>
      </c>
      <c r="E272" s="29" t="str">
        <f>RawList!H243</f>
        <v>IntelÂ® Edison and Arduino Breakout Kit</v>
      </c>
      <c r="F272" s="29" t="str">
        <f>RawList!D243</f>
        <v>DEV-13097</v>
      </c>
      <c r="G272" s="101">
        <f>RawList!E243</f>
        <v>1</v>
      </c>
      <c r="H272" s="29" t="str">
        <f>IF(EquipmentTable[[#This Row],[Units]]&gt;0,"Quantity &gt; 0 Items","Quantity = 0 Items")</f>
        <v>Quantity &gt; 0 Items</v>
      </c>
      <c r="I272" s="36">
        <f>RawList!J243</f>
        <v>99.95</v>
      </c>
      <c r="J272" s="14">
        <f>VALUE(EquipmentTable[[#This Row],[Units]]*EquipmentTable[[#This Row],[Unit
 Price]])</f>
        <v>99.95</v>
      </c>
      <c r="K272" s="29" t="str">
        <f>RawList!G243</f>
        <v>https://cdn.sparkfun.com/r/92-92/assets/parts/1/0/1/3/9/13097-06.jpg</v>
      </c>
      <c r="L272" s="29"/>
      <c r="M272" s="29" t="str">
        <f>RawList!F243</f>
        <v>https://www.sparkfun.com/products/13097</v>
      </c>
    </row>
    <row r="273" spans="2:13" hidden="1" x14ac:dyDescent="0.25">
      <c r="B273" s="29" t="str">
        <f>RawList!A244</f>
        <v>Smart-Home/IoT Network Integration (Fixed)</v>
      </c>
      <c r="C273" s="29" t="str">
        <f>RawList!B244</f>
        <v>Intel Edison Iot/Base Station</v>
      </c>
      <c r="D273" s="29" t="str">
        <f>RawList!C244</f>
        <v>SparkFun</v>
      </c>
      <c r="E273" s="29" t="str">
        <f>RawList!H244</f>
        <v>SparkFun Block for IntelÂ® Edison - Base</v>
      </c>
      <c r="F273" s="29" t="str">
        <f>RawList!D244</f>
        <v>DEV-13045</v>
      </c>
      <c r="G273" s="101">
        <f>RawList!E244</f>
        <v>1</v>
      </c>
      <c r="H273" s="29" t="str">
        <f>IF(EquipmentTable[[#This Row],[Units]]&gt;0,"Quantity &gt; 0 Items","Quantity = 0 Items")</f>
        <v>Quantity &gt; 0 Items</v>
      </c>
      <c r="I273" s="36">
        <f>RawList!J244</f>
        <v>19.95</v>
      </c>
      <c r="J273" s="14">
        <f>VALUE(EquipmentTable[[#This Row],[Units]]*EquipmentTable[[#This Row],[Unit
 Price]])</f>
        <v>19.95</v>
      </c>
      <c r="K273" s="29" t="str">
        <f>RawList!G244</f>
        <v>https://cdn.sparkfun.com/r/92-92/assets/parts/1/0/0/4/7/13045-01.jpg</v>
      </c>
      <c r="L273" s="29"/>
      <c r="M273" s="29" t="str">
        <f>RawList!F244</f>
        <v>https://www.sparkfun.com/products/13045</v>
      </c>
    </row>
    <row r="274" spans="2:13" hidden="1" x14ac:dyDescent="0.25">
      <c r="B274" s="29" t="str">
        <f>RawList!A245</f>
        <v>Smart-Home/IoT Network Integration (Fixed)</v>
      </c>
      <c r="C274" s="29" t="str">
        <f>RawList!B245</f>
        <v>Intel Edison Iot/Base Station</v>
      </c>
      <c r="D274" s="29" t="str">
        <f>RawList!C245</f>
        <v>SparkFun</v>
      </c>
      <c r="E274" s="29" t="str">
        <f>RawList!H245</f>
        <v>SparkFun Block for IntelÂ® Edison - GPIO</v>
      </c>
      <c r="F274" s="29" t="str">
        <f>RawList!D245</f>
        <v>DEV-13038</v>
      </c>
      <c r="G274" s="101">
        <f>RawList!E245</f>
        <v>1</v>
      </c>
      <c r="H274" s="29" t="str">
        <f>IF(EquipmentTable[[#This Row],[Units]]&gt;0,"Quantity &gt; 0 Items","Quantity = 0 Items")</f>
        <v>Quantity &gt; 0 Items</v>
      </c>
      <c r="I274" s="36">
        <f>RawList!J245</f>
        <v>9.9499999999999993</v>
      </c>
      <c r="J274" s="14">
        <f>VALUE(EquipmentTable[[#This Row],[Units]]*EquipmentTable[[#This Row],[Unit
 Price]])</f>
        <v>9.9499999999999993</v>
      </c>
      <c r="K274" s="29" t="str">
        <f>RawList!G245</f>
        <v>https://cdn.sparkfun.com/r/92-92/assets/parts/1/0/0/3/9/13038-04.jpg</v>
      </c>
      <c r="L274" s="29"/>
      <c r="M274" s="29" t="str">
        <f>RawList!F245</f>
        <v>https://www.sparkfun.com/products/13038</v>
      </c>
    </row>
    <row r="275" spans="2:13" hidden="1" x14ac:dyDescent="0.25">
      <c r="B275" s="29" t="str">
        <f>RawList!A246</f>
        <v>Smart-Home/IoT Network Integration (Fixed)</v>
      </c>
      <c r="C275" s="29" t="str">
        <f>RawList!B246</f>
        <v>Intel Edison Iot/Base Station</v>
      </c>
      <c r="D275" s="29" t="str">
        <f>RawList!C246</f>
        <v>SparkFun</v>
      </c>
      <c r="E275" s="29" t="str">
        <f>RawList!H246</f>
        <v>SparkFun Block for IntelÂ® Edison - I2C</v>
      </c>
      <c r="F275" s="29" t="str">
        <f>RawList!D246</f>
        <v>DEV-13034</v>
      </c>
      <c r="G275" s="101">
        <f>RawList!E246</f>
        <v>1</v>
      </c>
      <c r="H275" s="29" t="str">
        <f>IF(EquipmentTable[[#This Row],[Units]]&gt;0,"Quantity &gt; 0 Items","Quantity = 0 Items")</f>
        <v>Quantity &gt; 0 Items</v>
      </c>
      <c r="I275" s="36">
        <f>RawList!J246</f>
        <v>9.9499999999999993</v>
      </c>
      <c r="J275" s="14">
        <f>VALUE(EquipmentTable[[#This Row],[Units]]*EquipmentTable[[#This Row],[Unit
 Price]])</f>
        <v>9.9499999999999993</v>
      </c>
      <c r="K275" s="29" t="str">
        <f>RawList!G246</f>
        <v>https://cdn.sparkfun.com/r/92-92/assets/parts/1/0/0/3/5/13034-01_1.jpg</v>
      </c>
      <c r="L275" s="29"/>
      <c r="M275" s="29" t="str">
        <f>RawList!F246</f>
        <v>https://www.sparkfun.com/products/13034</v>
      </c>
    </row>
    <row r="276" spans="2:13" hidden="1" x14ac:dyDescent="0.25">
      <c r="B276" s="29" t="str">
        <f>RawList!A247</f>
        <v>Smart-Home/IoT Network Integration (Fixed)</v>
      </c>
      <c r="C276" s="29" t="str">
        <f>RawList!B247</f>
        <v>Intel Edison Iot/Base Station</v>
      </c>
      <c r="D276" s="29" t="str">
        <f>RawList!C247</f>
        <v>SparkFun</v>
      </c>
      <c r="E276" s="29" t="str">
        <f>RawList!H247</f>
        <v>SparkFun Block for IntelÂ® Edison - microSD</v>
      </c>
      <c r="F276" s="29" t="str">
        <f>RawList!D247</f>
        <v>DEV-13041</v>
      </c>
      <c r="G276" s="101">
        <f>RawList!E247</f>
        <v>1</v>
      </c>
      <c r="H276" s="29" t="str">
        <f>IF(EquipmentTable[[#This Row],[Units]]&gt;0,"Quantity &gt; 0 Items","Quantity = 0 Items")</f>
        <v>Quantity &gt; 0 Items</v>
      </c>
      <c r="I276" s="36">
        <f>RawList!J247</f>
        <v>9.9499999999999993</v>
      </c>
      <c r="J276" s="14">
        <f>VALUE(EquipmentTable[[#This Row],[Units]]*EquipmentTable[[#This Row],[Unit
 Price]])</f>
        <v>9.9499999999999993</v>
      </c>
      <c r="K276" s="29" t="str">
        <f>RawList!G247</f>
        <v>https://cdn.sparkfun.com/r/92-92/assets/parts/1/0/0/4/2/13041-01.jpg</v>
      </c>
      <c r="L276" s="29"/>
      <c r="M276" s="29" t="str">
        <f>RawList!F247</f>
        <v>https://www.sparkfun.com/products/13041</v>
      </c>
    </row>
    <row r="277" spans="2:13" hidden="1" x14ac:dyDescent="0.25">
      <c r="B277" s="29" t="str">
        <f>RawList!A248</f>
        <v>Smart-Home/IoT Network Integration (Fixed)</v>
      </c>
      <c r="C277" s="29" t="str">
        <f>RawList!B248</f>
        <v>Intel Edison Iot/Base Station</v>
      </c>
      <c r="D277" s="29" t="str">
        <f>RawList!C248</f>
        <v>SparkFun</v>
      </c>
      <c r="E277" s="29" t="str">
        <f>RawList!H248</f>
        <v>SparkFun Block for IntelÂ® Edison - Power</v>
      </c>
      <c r="F277" s="29" t="str">
        <f>RawList!D248</f>
        <v>DEV-13727</v>
      </c>
      <c r="G277" s="101">
        <f>RawList!E248</f>
        <v>1</v>
      </c>
      <c r="H277" s="29" t="str">
        <f>IF(EquipmentTable[[#This Row],[Units]]&gt;0,"Quantity &gt; 0 Items","Quantity = 0 Items")</f>
        <v>Quantity &gt; 0 Items</v>
      </c>
      <c r="I277" s="36">
        <f>RawList!J248</f>
        <v>9.9499999999999993</v>
      </c>
      <c r="J277" s="14">
        <f>VALUE(EquipmentTable[[#This Row],[Units]]*EquipmentTable[[#This Row],[Unit
 Price]])</f>
        <v>9.9499999999999993</v>
      </c>
      <c r="K277" s="29" t="str">
        <f>RawList!G248</f>
        <v>https://cdn.sparkfun.com/r/92-92/assets/parts/1/1/2/3/7/13727-01.jpg</v>
      </c>
      <c r="L277" s="29"/>
      <c r="M277" s="29" t="str">
        <f>RawList!F248</f>
        <v>https://www.sparkfun.com/products/13727</v>
      </c>
    </row>
    <row r="278" spans="2:13" hidden="1" x14ac:dyDescent="0.25">
      <c r="B278" s="29" t="str">
        <f>RawList!A249</f>
        <v>Smart-Home/IoT Network Integration (Fixed)</v>
      </c>
      <c r="C278" s="29" t="str">
        <f>RawList!B249</f>
        <v>Intel Edison Iot/Base Station</v>
      </c>
      <c r="D278" s="29" t="str">
        <f>RawList!C249</f>
        <v>SparkFun</v>
      </c>
      <c r="E278" s="29" t="str">
        <f>RawList!H249</f>
        <v>SparkFun Block for IntelÂ® Edison - OLED</v>
      </c>
      <c r="F278" s="29" t="str">
        <f>RawList!D249</f>
        <v>DEV-13035</v>
      </c>
      <c r="G278" s="101">
        <f>RawList!E249</f>
        <v>1</v>
      </c>
      <c r="H278" s="29" t="str">
        <f>IF(EquipmentTable[[#This Row],[Units]]&gt;0,"Quantity &gt; 0 Items","Quantity = 0 Items")</f>
        <v>Quantity &gt; 0 Items</v>
      </c>
      <c r="I278" s="36">
        <f>RawList!J249</f>
        <v>14.95</v>
      </c>
      <c r="J278" s="14">
        <f>VALUE(EquipmentTable[[#This Row],[Units]]*EquipmentTable[[#This Row],[Unit
 Price]])</f>
        <v>14.95</v>
      </c>
      <c r="K278" s="29" t="str">
        <f>RawList!G249</f>
        <v>https://cdn.sparkfun.com/r/92-92/assets/parts/1/0/0/3/6/13035-01.jpg</v>
      </c>
      <c r="L278" s="29"/>
      <c r="M278" s="29" t="str">
        <f>RawList!F249</f>
        <v>https://www.sparkfun.com/products/13035</v>
      </c>
    </row>
    <row r="279" spans="2:13" hidden="1" x14ac:dyDescent="0.25">
      <c r="B279" s="29" t="str">
        <f>RawList!A250</f>
        <v>Smart-Home/IoT Network Integration (Fixed)</v>
      </c>
      <c r="C279" s="29" t="str">
        <f>RawList!B250</f>
        <v>Intel Edison Iot/Base Station</v>
      </c>
      <c r="D279" s="29" t="str">
        <f>RawList!C250</f>
        <v>SparkFun</v>
      </c>
      <c r="E279" s="29" t="str">
        <f>RawList!H250</f>
        <v>SparkFun Block for Intel Edison - ADC</v>
      </c>
      <c r="F279" s="29" t="str">
        <f>RawList!D250</f>
        <v>DEV-13770</v>
      </c>
      <c r="G279" s="101">
        <f>RawList!E250</f>
        <v>1</v>
      </c>
      <c r="H279" s="29" t="str">
        <f>IF(EquipmentTable[[#This Row],[Units]]&gt;0,"Quantity &gt; 0 Items","Quantity = 0 Items")</f>
        <v>Quantity &gt; 0 Items</v>
      </c>
      <c r="I279" s="36">
        <f>RawList!J250</f>
        <v>9.9499999999999993</v>
      </c>
      <c r="J279" s="14">
        <f>VALUE(EquipmentTable[[#This Row],[Units]]*EquipmentTable[[#This Row],[Unit
 Price]])</f>
        <v>9.9499999999999993</v>
      </c>
      <c r="K279" s="29" t="str">
        <f>RawList!G250</f>
        <v>https://cdn.sparkfun.com/r/92-92/assets/parts/1/1/3/2/1/13770-00.jpg</v>
      </c>
      <c r="L279" s="29"/>
      <c r="M279" s="29" t="str">
        <f>RawList!F250</f>
        <v>https://www.sparkfun.com/products/13770</v>
      </c>
    </row>
    <row r="280" spans="2:13" hidden="1" x14ac:dyDescent="0.25">
      <c r="B280" s="29" t="str">
        <f>RawList!A251</f>
        <v>Smart-Home/IoT Network Integration (Fixed)</v>
      </c>
      <c r="C280" s="29" t="str">
        <f>RawList!B251</f>
        <v>Intel Edison Iot/Base Station</v>
      </c>
      <c r="D280" s="29" t="str">
        <f>RawList!C251</f>
        <v>SparkFun</v>
      </c>
      <c r="E280" s="29" t="str">
        <f>RawList!H251</f>
        <v>IntelÂ® Edison Hardware Pack</v>
      </c>
      <c r="F280" s="29" t="str">
        <f>RawList!D251</f>
        <v>COM-13187</v>
      </c>
      <c r="G280" s="101">
        <f>RawList!E251</f>
        <v>4</v>
      </c>
      <c r="H280" s="29" t="str">
        <f>IF(EquipmentTable[[#This Row],[Units]]&gt;0,"Quantity &gt; 0 Items","Quantity = 0 Items")</f>
        <v>Quantity &gt; 0 Items</v>
      </c>
      <c r="I280" s="36">
        <f>RawList!J251</f>
        <v>2.95</v>
      </c>
      <c r="J280" s="14">
        <f>VALUE(EquipmentTable[[#This Row],[Units]]*EquipmentTable[[#This Row],[Unit
 Price]])</f>
        <v>11.8</v>
      </c>
      <c r="K280" s="29" t="str">
        <f>RawList!G251</f>
        <v>https://cdn.sparkfun.com/r/92-92/assets/parts/1/0/3/2/4/13187-01.jpg</v>
      </c>
      <c r="L280" s="29"/>
      <c r="M280" s="29" t="str">
        <f>RawList!F251</f>
        <v>https://www.sparkfun.com/products/13187</v>
      </c>
    </row>
    <row r="281" spans="2:13" hidden="1" x14ac:dyDescent="0.25">
      <c r="B281" s="29" t="str">
        <f>RawList!A251</f>
        <v>Smart-Home/IoT Network Integration (Fixed)</v>
      </c>
      <c r="C281" s="29" t="str">
        <f>RawList!B251</f>
        <v>Intel Edison Iot/Base Station</v>
      </c>
      <c r="D281" s="29" t="str">
        <f>RawList!C251</f>
        <v>SparkFun</v>
      </c>
      <c r="E281" s="29" t="str">
        <f>RawList!H251</f>
        <v>IntelÂ® Edison Hardware Pack</v>
      </c>
      <c r="F281" s="29" t="str">
        <f>RawList!D251</f>
        <v>COM-13187</v>
      </c>
      <c r="G281" s="101">
        <f>RawList!E251</f>
        <v>4</v>
      </c>
      <c r="H281" s="29" t="str">
        <f>IF(EquipmentTable[[#This Row],[Units]]&gt;0,"Quantity &gt; 0 Items","Quantity = 0 Items")</f>
        <v>Quantity &gt; 0 Items</v>
      </c>
      <c r="I281" s="102">
        <f>RawList!J251</f>
        <v>2.95</v>
      </c>
      <c r="J281" s="14">
        <f>VALUE(EquipmentTable[[#This Row],[Units]]*EquipmentTable[[#This Row],[Unit
 Price]])</f>
        <v>11.8</v>
      </c>
      <c r="K281" s="29" t="str">
        <f>RawList!G252</f>
        <v>https://cdn.sparkfun.com/r/92-92/assets/parts/1/2/4/6/8/14438-01.jpg</v>
      </c>
      <c r="L281" s="29"/>
      <c r="M281" s="29" t="str">
        <f>RawList!F252</f>
        <v>https://www.sparkfun.com/products/14438</v>
      </c>
    </row>
    <row r="282" spans="2:13" hidden="1" x14ac:dyDescent="0.25">
      <c r="B282" s="29" t="str">
        <f>RawList!A252</f>
        <v>Smart-Home/IoT Network Integration (Fixed)</v>
      </c>
      <c r="C282" s="29" t="str">
        <f>RawList!B252</f>
        <v>Onion Omega2+ + Arduino Base Station</v>
      </c>
      <c r="D282" s="29" t="str">
        <f>RawList!C252</f>
        <v>SparkFun</v>
      </c>
      <c r="E282" s="29" t="str">
        <f>RawList!H252</f>
        <v>Arduino Dock R2 for Onion Omega</v>
      </c>
      <c r="F282" s="29" t="str">
        <f>RawList!D252</f>
        <v>DEV-14438</v>
      </c>
      <c r="G282" s="101">
        <f>RawList!E252</f>
        <v>1</v>
      </c>
      <c r="H282" s="29" t="str">
        <f>IF(EquipmentTable[[#This Row],[Units]]&gt;0,"Quantity &gt; 0 Items","Quantity = 0 Items")</f>
        <v>Quantity &gt; 0 Items</v>
      </c>
      <c r="I282" s="102">
        <f>RawList!J252</f>
        <v>20</v>
      </c>
      <c r="J282" s="14">
        <f>VALUE(EquipmentTable[[#This Row],[Units]]*EquipmentTable[[#This Row],[Unit
 Price]])</f>
        <v>20</v>
      </c>
      <c r="K282" s="29" t="str">
        <f>RawList!G252</f>
        <v>https://cdn.sparkfun.com/r/92-92/assets/parts/1/2/4/6/8/14438-01.jpg</v>
      </c>
      <c r="L282" s="29"/>
      <c r="M282" s="29" t="str">
        <f>RawList!F252</f>
        <v>https://www.sparkfun.com/products/14438</v>
      </c>
    </row>
    <row r="283" spans="2:13" hidden="1" x14ac:dyDescent="0.25">
      <c r="B283" s="29" t="str">
        <f>RawList!A253</f>
        <v>Smart-Home/IoT Network Integration (Fixed)</v>
      </c>
      <c r="C283" s="29" t="str">
        <f>RawList!B253</f>
        <v>Onion Omega2+ + Arduino Base Station</v>
      </c>
      <c r="D283" s="29" t="str">
        <f>RawList!C253</f>
        <v>SparkFun</v>
      </c>
      <c r="E283" s="29" t="str">
        <f>RawList!H253</f>
        <v>Onion Omega2+ IoT Computer</v>
      </c>
      <c r="F283" s="29" t="str">
        <f>RawList!D253</f>
        <v>DEV-14431</v>
      </c>
      <c r="G283" s="101">
        <f>RawList!E253</f>
        <v>1</v>
      </c>
      <c r="H283" s="29" t="str">
        <f>IF(EquipmentTable[[#This Row],[Units]]&gt;0,"Quantity &gt; 0 Items","Quantity = 0 Items")</f>
        <v>Quantity &gt; 0 Items</v>
      </c>
      <c r="I283" s="102">
        <f>RawList!J253</f>
        <v>9</v>
      </c>
      <c r="J283" s="14">
        <f>VALUE(EquipmentTable[[#This Row],[Units]]*EquipmentTable[[#This Row],[Unit
 Price]])</f>
        <v>9</v>
      </c>
      <c r="K283" s="29" t="str">
        <f>RawList!G253</f>
        <v>https://cdn.sparkfun.com/r/92-92/assets/parts/1/2/4/6/1/14431-01.jpg</v>
      </c>
      <c r="L283" s="29"/>
      <c r="M283" s="29" t="str">
        <f>RawList!F253</f>
        <v>https://www.sparkfun.com/products/14431</v>
      </c>
    </row>
    <row r="284" spans="2:13" hidden="1" x14ac:dyDescent="0.25">
      <c r="B284" s="29" t="str">
        <f>RawList!A254</f>
        <v>Smart-Home/IoT Network Integration (Fixed)</v>
      </c>
      <c r="C284" s="29" t="str">
        <f>RawList!B254</f>
        <v>Onion Omega2+ + Arduino Base Station</v>
      </c>
      <c r="D284" s="29" t="str">
        <f>RawList!C254</f>
        <v>SparkFun</v>
      </c>
      <c r="E284" s="29" t="str">
        <f>RawList!H254</f>
        <v>Proto Expansion Board for Onion Omega</v>
      </c>
      <c r="F284" s="29" t="str">
        <f>RawList!D254</f>
        <v>DEV-14443</v>
      </c>
      <c r="G284" s="101">
        <f>RawList!E254</f>
        <v>1</v>
      </c>
      <c r="H284" s="29" t="str">
        <f>IF(EquipmentTable[[#This Row],[Units]]&gt;0,"Quantity &gt; 0 Items","Quantity = 0 Items")</f>
        <v>Quantity &gt; 0 Items</v>
      </c>
      <c r="I284" s="102">
        <f>RawList!J254</f>
        <v>5</v>
      </c>
      <c r="J284" s="14">
        <f>VALUE(EquipmentTable[[#This Row],[Units]]*EquipmentTable[[#This Row],[Unit
 Price]])</f>
        <v>5</v>
      </c>
      <c r="K284" s="29" t="str">
        <f>RawList!G254</f>
        <v>https://cdn.sparkfun.com/r/92-92/assets/parts/1/2/4/7/3/14443-01.jpg</v>
      </c>
      <c r="L284" s="29"/>
      <c r="M284" s="29" t="str">
        <f>RawList!F254</f>
        <v>https://www.sparkfun.com/products/14443</v>
      </c>
    </row>
    <row r="285" spans="2:13" hidden="1" x14ac:dyDescent="0.25">
      <c r="B285" s="29" t="str">
        <f>RawList!A255</f>
        <v>Smart-Home/IoT Network Integration (Fixed)</v>
      </c>
      <c r="C285" s="29" t="str">
        <f>RawList!B255</f>
        <v>Onion Omega2+ + Arduino Base Station</v>
      </c>
      <c r="D285" s="29" t="str">
        <f>RawList!C255</f>
        <v>SparkFun</v>
      </c>
      <c r="E285" s="29" t="str">
        <f>RawList!H255</f>
        <v>OLED Expansion Board for Onion Omega</v>
      </c>
      <c r="F285" s="29" t="str">
        <f>RawList!D255</f>
        <v>DEV-14442</v>
      </c>
      <c r="G285" s="101">
        <f>RawList!E255</f>
        <v>1</v>
      </c>
      <c r="H285" s="29" t="str">
        <f>IF(EquipmentTable[[#This Row],[Units]]&gt;0,"Quantity &gt; 0 Items","Quantity = 0 Items")</f>
        <v>Quantity &gt; 0 Items</v>
      </c>
      <c r="I285" s="102">
        <f>RawList!J255</f>
        <v>15</v>
      </c>
      <c r="J285" s="14">
        <f>VALUE(EquipmentTable[[#This Row],[Units]]*EquipmentTable[[#This Row],[Unit
 Price]])</f>
        <v>15</v>
      </c>
      <c r="K285" s="29" t="str">
        <f>RawList!G255</f>
        <v>https://cdn.sparkfun.com/r/92-92/assets/parts/1/2/4/7/2/14442-01.jpg</v>
      </c>
      <c r="L285" s="29"/>
      <c r="M285" s="29" t="str">
        <f>RawList!F255</f>
        <v>https://www.sparkfun.com/products/14442</v>
      </c>
    </row>
    <row r="286" spans="2:13" hidden="1" x14ac:dyDescent="0.25">
      <c r="B286" s="29" t="str">
        <f>RawList!A256</f>
        <v>Smart-Home/IoT Network Integration (Fixed)</v>
      </c>
      <c r="C286" s="29" t="str">
        <f>RawList!B256</f>
        <v>Onion Omega2+ + Arduino Base Station</v>
      </c>
      <c r="D286" s="29" t="str">
        <f>RawList!C256</f>
        <v>SparkFun</v>
      </c>
      <c r="E286" s="29" t="str">
        <f>RawList!H256</f>
        <v>Ethernet Expansion Board for Onion Omega</v>
      </c>
      <c r="F286" s="29" t="str">
        <f>RawList!D256</f>
        <v>DEV-14441</v>
      </c>
      <c r="G286" s="101">
        <f>RawList!E256</f>
        <v>1</v>
      </c>
      <c r="H286" s="29" t="str">
        <f>IF(EquipmentTable[[#This Row],[Units]]&gt;0,"Quantity &gt; 0 Items","Quantity = 0 Items")</f>
        <v>Quantity &gt; 0 Items</v>
      </c>
      <c r="I286" s="102">
        <f>RawList!J256</f>
        <v>15</v>
      </c>
      <c r="J286" s="14">
        <f>VALUE(EquipmentTable[[#This Row],[Units]]*EquipmentTable[[#This Row],[Unit
 Price]])</f>
        <v>15</v>
      </c>
      <c r="K286" s="29" t="str">
        <f>RawList!G256</f>
        <v>https://cdn.sparkfun.com/r/92-92/assets/parts/1/2/4/7/1/14441-02.jpg</v>
      </c>
      <c r="L286" s="29"/>
      <c r="M286" s="29" t="str">
        <f>RawList!F256</f>
        <v>https://www.sparkfun.com/products/14441</v>
      </c>
    </row>
    <row r="287" spans="2:13" hidden="1" x14ac:dyDescent="0.25">
      <c r="B287" s="29" t="str">
        <f>RawList!A257</f>
        <v>Smart-Home/IoT Network Integration (Fixed)</v>
      </c>
      <c r="C287" s="29" t="str">
        <f>RawList!B257</f>
        <v>Onion Omega2+ + Arduino Base Station</v>
      </c>
      <c r="D287" s="29" t="str">
        <f>RawList!C257</f>
        <v>SparkFun</v>
      </c>
      <c r="E287" s="29" t="str">
        <f>RawList!H257</f>
        <v>Mini Dock for Onion Omega</v>
      </c>
      <c r="F287" s="29" t="str">
        <f>RawList!D257</f>
        <v>DEV-14437</v>
      </c>
      <c r="G287" s="101">
        <f>RawList!E257</f>
        <v>1</v>
      </c>
      <c r="H287" s="29" t="str">
        <f>IF(EquipmentTable[[#This Row],[Units]]&gt;0,"Quantity &gt; 0 Items","Quantity = 0 Items")</f>
        <v>Quantity &gt; 0 Items</v>
      </c>
      <c r="I287" s="102">
        <f>RawList!J257</f>
        <v>15</v>
      </c>
      <c r="J287" s="14">
        <f>VALUE(EquipmentTable[[#This Row],[Units]]*EquipmentTable[[#This Row],[Unit
 Price]])</f>
        <v>15</v>
      </c>
      <c r="K287" s="29" t="str">
        <f>RawList!G257</f>
        <v>https://cdn.sparkfun.com/r/92-92/assets/parts/1/2/4/6/7/14437-01.jpg</v>
      </c>
      <c r="L287" s="29"/>
      <c r="M287" s="29" t="str">
        <f>RawList!F257</f>
        <v>https://www.sparkfun.com/products/14437</v>
      </c>
    </row>
    <row r="288" spans="2:13" hidden="1" x14ac:dyDescent="0.25">
      <c r="B288" s="29" t="str">
        <f>RawList!A258</f>
        <v>Smart-Home/IoT Network Integration (Fixed)</v>
      </c>
      <c r="C288" s="29" t="str">
        <f>RawList!B258</f>
        <v>Onion Omega2+ + Arduino Base Station</v>
      </c>
      <c r="D288" s="29" t="str">
        <f>RawList!C258</f>
        <v>SparkFun</v>
      </c>
      <c r="E288" s="29" t="str">
        <f>RawList!H258</f>
        <v>Breadboard Dock for Onion Omega</v>
      </c>
      <c r="F288" s="29" t="str">
        <f>RawList!D258</f>
        <v>DEV-14436</v>
      </c>
      <c r="G288" s="101">
        <f>RawList!E258</f>
        <v>1</v>
      </c>
      <c r="H288" s="29" t="str">
        <f>IF(EquipmentTable[[#This Row],[Units]]&gt;0,"Quantity &gt; 0 Items","Quantity = 0 Items")</f>
        <v>Quantity &gt; 0 Items</v>
      </c>
      <c r="I288" s="102">
        <f>RawList!J258</f>
        <v>10</v>
      </c>
      <c r="J288" s="14">
        <f>VALUE(EquipmentTable[[#This Row],[Units]]*EquipmentTable[[#This Row],[Unit
 Price]])</f>
        <v>10</v>
      </c>
      <c r="K288" s="29" t="str">
        <f>RawList!G258</f>
        <v>https://cdn.sparkfun.com/r/92-92/assets/parts/1/2/4/6/6/14436-01.jpg</v>
      </c>
      <c r="L288" s="29"/>
      <c r="M288" s="29" t="str">
        <f>RawList!F258</f>
        <v>https://www.sparkfun.com/products/14436</v>
      </c>
    </row>
    <row r="289" spans="2:13" hidden="1" x14ac:dyDescent="0.25">
      <c r="B289" s="29" t="str">
        <f>RawList!A259</f>
        <v>Smart-Home/IoT Network Integration (Portable)</v>
      </c>
      <c r="C289" s="29" t="str">
        <f>RawList!B259</f>
        <v>Onion Omega2+ Handheld</v>
      </c>
      <c r="D289" s="29" t="str">
        <f>RawList!C259</f>
        <v>SparkFun</v>
      </c>
      <c r="E289" s="29" t="str">
        <f>RawList!H259</f>
        <v>Expansion Dock for Onion Omega</v>
      </c>
      <c r="F289" s="29" t="str">
        <f>RawList!D259</f>
        <v>DEV-14439</v>
      </c>
      <c r="G289" s="101">
        <f>RawList!E259</f>
        <v>1</v>
      </c>
      <c r="H289" s="29" t="str">
        <f>IF(EquipmentTable[[#This Row],[Units]]&gt;0,"Quantity &gt; 0 Items","Quantity = 0 Items")</f>
        <v>Quantity &gt; 0 Items</v>
      </c>
      <c r="I289" s="102">
        <f>RawList!J259</f>
        <v>15</v>
      </c>
      <c r="J289" s="14">
        <f>VALUE(EquipmentTable[[#This Row],[Units]]*EquipmentTable[[#This Row],[Unit
 Price]])</f>
        <v>15</v>
      </c>
      <c r="K289" s="29" t="str">
        <f>RawList!G259</f>
        <v>https://cdn.sparkfun.com/r/92-92/assets/parts/1/2/4/6/9/14439-03.jpg</v>
      </c>
      <c r="L289" s="29"/>
      <c r="M289" s="29" t="str">
        <f>RawList!F259</f>
        <v>https://www.sparkfun.com/products/14439</v>
      </c>
    </row>
    <row r="290" spans="2:13" hidden="1" x14ac:dyDescent="0.25">
      <c r="B290" s="29" t="str">
        <f>RawList!A260</f>
        <v>Smart-Home/IoT Network Integration (Portable)</v>
      </c>
      <c r="C290" s="29" t="str">
        <f>RawList!B260</f>
        <v>Onion Omega2+ Handheld</v>
      </c>
      <c r="D290" s="29" t="str">
        <f>RawList!C260</f>
        <v>SparkFun</v>
      </c>
      <c r="E290" s="29" t="str">
        <f>RawList!H260</f>
        <v>Onion Omega2+ IoT Computer</v>
      </c>
      <c r="F290" s="29" t="str">
        <f>RawList!D260</f>
        <v>DEV-14431</v>
      </c>
      <c r="G290" s="101">
        <f>RawList!E260</f>
        <v>1</v>
      </c>
      <c r="H290" s="29" t="str">
        <f>IF(EquipmentTable[[#This Row],[Units]]&gt;0,"Quantity &gt; 0 Items","Quantity = 0 Items")</f>
        <v>Quantity &gt; 0 Items</v>
      </c>
      <c r="I290" s="102">
        <f>RawList!J260</f>
        <v>9</v>
      </c>
      <c r="J290" s="14">
        <f>VALUE(EquipmentTable[[#This Row],[Units]]*EquipmentTable[[#This Row],[Unit
 Price]])</f>
        <v>9</v>
      </c>
      <c r="K290" s="29" t="str">
        <f>RawList!G260</f>
        <v>https://cdn.sparkfun.com/r/92-92/assets/parts/1/2/4/6/1/14431-01.jpg</v>
      </c>
      <c r="L290" s="29"/>
      <c r="M290" s="29" t="str">
        <f>RawList!F260</f>
        <v>https://www.sparkfun.com/products/14431</v>
      </c>
    </row>
    <row r="291" spans="2:13" hidden="1" x14ac:dyDescent="0.25">
      <c r="B291" s="29" t="str">
        <f>RawList!A261</f>
        <v>Smart-Home/IoT Network Integration (Portable)</v>
      </c>
      <c r="C291" s="29" t="str">
        <f>RawList!B261</f>
        <v>Onion Omega2+ Handheld</v>
      </c>
      <c r="D291" s="29" t="str">
        <f>RawList!C261</f>
        <v>SparkFun</v>
      </c>
      <c r="E291" s="29" t="str">
        <f>RawList!H261</f>
        <v>GPS Expansion Board for Onion Omega</v>
      </c>
      <c r="F291" s="29" t="str">
        <f>RawList!D261</f>
        <v>DEV-14446</v>
      </c>
      <c r="G291" s="101">
        <f>RawList!E261</f>
        <v>1</v>
      </c>
      <c r="H291" s="29" t="str">
        <f>IF(EquipmentTable[[#This Row],[Units]]&gt;0,"Quantity &gt; 0 Items","Quantity = 0 Items")</f>
        <v>Quantity &gt; 0 Items</v>
      </c>
      <c r="I291" s="102">
        <f>RawList!J261</f>
        <v>30</v>
      </c>
      <c r="J291" s="14">
        <f>VALUE(EquipmentTable[[#This Row],[Units]]*EquipmentTable[[#This Row],[Unit
 Price]])</f>
        <v>30</v>
      </c>
      <c r="K291" s="29" t="str">
        <f>RawList!G261</f>
        <v>https://cdn.sparkfun.com/r/92-92/assets/parts/1/2/4/7/6/14446-01.jpg</v>
      </c>
      <c r="L291" s="29"/>
      <c r="M291" s="29" t="str">
        <f>RawList!F261</f>
        <v>https://www.sparkfun.com/products/14446</v>
      </c>
    </row>
    <row r="292" spans="2:13" hidden="1" x14ac:dyDescent="0.25">
      <c r="B292" s="29" t="str">
        <f>RawList!A262</f>
        <v>Smart-Home/IoT Network Integration (Portable)</v>
      </c>
      <c r="C292" s="29" t="str">
        <f>RawList!B262</f>
        <v>Onion Omega2+ Handheld</v>
      </c>
      <c r="D292" s="29" t="str">
        <f>RawList!C262</f>
        <v>SparkFun</v>
      </c>
      <c r="E292" s="29" t="str">
        <f>RawList!H262</f>
        <v>Proto Expansion Board for Onion Omega</v>
      </c>
      <c r="F292" s="29" t="str">
        <f>RawList!D262</f>
        <v>DEV-14443</v>
      </c>
      <c r="G292" s="101">
        <f>RawList!E262</f>
        <v>1</v>
      </c>
      <c r="H292" s="29" t="str">
        <f>IF(EquipmentTable[[#This Row],[Units]]&gt;0,"Quantity &gt; 0 Items","Quantity = 0 Items")</f>
        <v>Quantity &gt; 0 Items</v>
      </c>
      <c r="I292" s="102">
        <f>RawList!J262</f>
        <v>5</v>
      </c>
      <c r="J292" s="14">
        <f>VALUE(EquipmentTable[[#This Row],[Units]]*EquipmentTable[[#This Row],[Unit
 Price]])</f>
        <v>5</v>
      </c>
      <c r="K292" s="29" t="str">
        <f>RawList!G262</f>
        <v>https://cdn.sparkfun.com/r/92-92/assets/parts/1/2/4/7/3/14443-01.jpg</v>
      </c>
      <c r="L292" s="29"/>
      <c r="M292" s="29" t="str">
        <f>RawList!F262</f>
        <v>https://www.sparkfun.com/products/14443</v>
      </c>
    </row>
    <row r="293" spans="2:13" hidden="1" x14ac:dyDescent="0.25">
      <c r="B293" s="29" t="str">
        <f>RawList!A263</f>
        <v>Smart-Home/IoT Network Integration (Portable)</v>
      </c>
      <c r="C293" s="29" t="str">
        <f>RawList!B263</f>
        <v>Onion Omega2+ Handheld</v>
      </c>
      <c r="D293" s="29" t="str">
        <f>RawList!C263</f>
        <v>SparkFun</v>
      </c>
      <c r="E293" s="29" t="str">
        <f>RawList!H263</f>
        <v>OLED Expansion Board for Onion Omega</v>
      </c>
      <c r="F293" s="29" t="str">
        <f>RawList!D263</f>
        <v>DEV-14442</v>
      </c>
      <c r="G293" s="101">
        <f>RawList!E263</f>
        <v>1</v>
      </c>
      <c r="H293" s="29" t="str">
        <f>IF(EquipmentTable[[#This Row],[Units]]&gt;0,"Quantity &gt; 0 Items","Quantity = 0 Items")</f>
        <v>Quantity &gt; 0 Items</v>
      </c>
      <c r="I293" s="102">
        <f>RawList!J263</f>
        <v>15</v>
      </c>
      <c r="J293" s="14">
        <f>VALUE(EquipmentTable[[#This Row],[Units]]*EquipmentTable[[#This Row],[Unit
 Price]])</f>
        <v>15</v>
      </c>
      <c r="K293" s="29" t="str">
        <f>RawList!G263</f>
        <v>https://cdn.sparkfun.com/r/92-92/assets/parts/1/2/4/7/2/14442-01.jpg</v>
      </c>
      <c r="L293" s="29"/>
      <c r="M293" s="29" t="str">
        <f>RawList!F263</f>
        <v>https://www.sparkfun.com/products/14442</v>
      </c>
    </row>
    <row r="294" spans="2:13" hidden="1" x14ac:dyDescent="0.25">
      <c r="B294" s="29" t="str">
        <f>RawList!A264</f>
        <v>Smart-Home/IoT Network Integration (Portable)</v>
      </c>
      <c r="C294" s="29" t="str">
        <f>RawList!B264</f>
        <v>Realtek Ameba Handheld</v>
      </c>
      <c r="D294" s="29" t="str">
        <f>RawList!C264</f>
        <v>SparkFun</v>
      </c>
      <c r="E294" s="29" t="str">
        <f>RawList!H264</f>
        <v>Realtek Ameba Board</v>
      </c>
      <c r="F294" s="29" t="str">
        <f>RawList!D264</f>
        <v>WRL-14280</v>
      </c>
      <c r="G294" s="101">
        <f>RawList!E264</f>
        <v>1</v>
      </c>
      <c r="H294" s="29" t="str">
        <f>IF(EquipmentTable[[#This Row],[Units]]&gt;0,"Quantity &gt; 0 Items","Quantity = 0 Items")</f>
        <v>Quantity &gt; 0 Items</v>
      </c>
      <c r="I294" s="102">
        <f>RawList!J264</f>
        <v>24.95</v>
      </c>
      <c r="J294" s="14">
        <f>VALUE(EquipmentTable[[#This Row],[Units]]*EquipmentTable[[#This Row],[Unit
 Price]])</f>
        <v>24.95</v>
      </c>
      <c r="K294" s="29" t="str">
        <f>RawList!G264</f>
        <v>https://cdn.sparkfun.com/r/92-92/assets/parts/1/2/2/3/6/14280-01.jpg</v>
      </c>
      <c r="L294" s="29"/>
      <c r="M294" s="29" t="str">
        <f>RawList!F264</f>
        <v>https://www.sparkfun.com/products/14280</v>
      </c>
    </row>
    <row r="295" spans="2:13" hidden="1" x14ac:dyDescent="0.25">
      <c r="B295" s="29" t="str">
        <f>RawList!A265</f>
        <v>Smart-Home/IoT Network Integration (Portable)</v>
      </c>
      <c r="C295" s="29" t="str">
        <f>RawList!B265</f>
        <v>Phone/Computer App Companion</v>
      </c>
      <c r="D295" s="29" t="str">
        <f>RawList!C265</f>
        <v>SparkFun</v>
      </c>
      <c r="E295" s="29" t="str">
        <f>RawList!H265</f>
        <v>IOIO-OTG - V2.2</v>
      </c>
      <c r="F295" s="29" t="str">
        <f>RawList!D265</f>
        <v>DEV-13613</v>
      </c>
      <c r="G295" s="101">
        <f>RawList!E265</f>
        <v>1</v>
      </c>
      <c r="H295" s="29" t="str">
        <f>IF(EquipmentTable[[#This Row],[Units]]&gt;0,"Quantity &gt; 0 Items","Quantity = 0 Items")</f>
        <v>Quantity &gt; 0 Items</v>
      </c>
      <c r="I295" s="102">
        <f>RawList!J265</f>
        <v>39.950000000000003</v>
      </c>
      <c r="J295" s="14">
        <f>VALUE(EquipmentTable[[#This Row],[Units]]*EquipmentTable[[#This Row],[Unit
 Price]])</f>
        <v>39.950000000000003</v>
      </c>
      <c r="K295" s="29" t="str">
        <f>RawList!G265</f>
        <v>https://cdn.sparkfun.com/r/92-92/assets/parts/1/0/9/8/3/13613-01.jpg</v>
      </c>
      <c r="L295" s="29"/>
      <c r="M295" s="29" t="str">
        <f>RawList!F265</f>
        <v>https://www.sparkfun.com/products/13613</v>
      </c>
    </row>
    <row r="296" spans="2:13" hidden="1" x14ac:dyDescent="0.25">
      <c r="B296" s="29" t="str">
        <f>RawList!A266</f>
        <v>Smart-Home/IoT Network Integration (Portable)</v>
      </c>
      <c r="C296" s="29" t="str">
        <f>RawList!B266</f>
        <v>MicroView Watch/Relay</v>
      </c>
      <c r="D296" s="29" t="str">
        <f>RawList!C266</f>
        <v>SparkFun</v>
      </c>
      <c r="E296" s="29" t="str">
        <f>RawList!H266</f>
        <v>SparkFun MicroView - OLED Arduino Module</v>
      </c>
      <c r="F296" s="29" t="str">
        <f>RawList!D266</f>
        <v>DEV-12923</v>
      </c>
      <c r="G296" s="101">
        <f>RawList!E266</f>
        <v>1</v>
      </c>
      <c r="H296" s="29" t="str">
        <f>IF(EquipmentTable[[#This Row],[Units]]&gt;0,"Quantity &gt; 0 Items","Quantity = 0 Items")</f>
        <v>Quantity &gt; 0 Items</v>
      </c>
      <c r="I296" s="102">
        <f>RawList!J266</f>
        <v>39.950000000000003</v>
      </c>
      <c r="J296" s="14">
        <f>VALUE(EquipmentTable[[#This Row],[Units]]*EquipmentTable[[#This Row],[Unit
 Price]])</f>
        <v>39.950000000000003</v>
      </c>
      <c r="K296" s="29" t="str">
        <f>RawList!G266</f>
        <v>https://cdn.sparkfun.com/r/92-92/assets/parts/9/8/4/5/12923-01.jpg</v>
      </c>
      <c r="L296" s="29"/>
      <c r="M296" s="29" t="str">
        <f>RawList!F266</f>
        <v>https://www.sparkfun.com/products/12923</v>
      </c>
    </row>
    <row r="297" spans="2:13" hidden="1" x14ac:dyDescent="0.25">
      <c r="B297" s="29" t="str">
        <f>RawList!A267</f>
        <v>Smart-Home/IoT Network Integration (Portable)</v>
      </c>
      <c r="C297" s="29" t="str">
        <f>RawList!B267</f>
        <v>MicroView Watch/Relay</v>
      </c>
      <c r="D297" s="29" t="str">
        <f>RawList!C267</f>
        <v>SparkFun</v>
      </c>
      <c r="E297" s="29" t="str">
        <f>RawList!H267</f>
        <v>SparkFun MicroView - USB Programmer</v>
      </c>
      <c r="F297" s="29" t="str">
        <f>RawList!D267</f>
        <v>DEV-12924</v>
      </c>
      <c r="G297" s="101">
        <f>RawList!E267</f>
        <v>1</v>
      </c>
      <c r="H297" s="29" t="str">
        <f>IF(EquipmentTable[[#This Row],[Units]]&gt;0,"Quantity &gt; 0 Items","Quantity = 0 Items")</f>
        <v>Quantity &gt; 0 Items</v>
      </c>
      <c r="I297" s="102">
        <f>RawList!J267</f>
        <v>14.95</v>
      </c>
      <c r="J297" s="14">
        <f>VALUE(EquipmentTable[[#This Row],[Units]]*EquipmentTable[[#This Row],[Unit
 Price]])</f>
        <v>14.95</v>
      </c>
      <c r="K297" s="29" t="str">
        <f>RawList!G267</f>
        <v>https://cdn.sparkfun.com/r/92-92/assets/parts/9/8/4/6/12924-01.jpg</v>
      </c>
      <c r="L297" s="29"/>
      <c r="M297" s="29" t="str">
        <f>RawList!F267</f>
        <v>https://www.sparkfun.com/products/12924</v>
      </c>
    </row>
    <row r="298" spans="2:13" x14ac:dyDescent="0.25">
      <c r="B298" s="29" t="str">
        <f>RawList!A268</f>
        <v>Hardware Component</v>
      </c>
      <c r="C298" s="29" t="str">
        <f>RawList!B268</f>
        <v>Breadboard/Protoboard</v>
      </c>
      <c r="D298" s="29" t="str">
        <f>RawList!C268</f>
        <v>SparkFun</v>
      </c>
      <c r="E298" s="29" t="str">
        <f>RawList!H268</f>
        <v>Breadboard - Giant</v>
      </c>
      <c r="F298" s="29" t="str">
        <f>RawList!D268</f>
        <v>PRT-12614</v>
      </c>
      <c r="G298" s="101">
        <f>RawList!E268</f>
        <v>1</v>
      </c>
      <c r="H298" s="29" t="str">
        <f>IF(EquipmentTable[[#This Row],[Units]]&gt;0,"Quantity &gt; 0 Items","Quantity = 0 Items")</f>
        <v>Quantity &gt; 0 Items</v>
      </c>
      <c r="I298" s="102">
        <f>RawList!J268</f>
        <v>19.95</v>
      </c>
      <c r="J298" s="14">
        <f>VALUE(EquipmentTable[[#This Row],[Units]]*EquipmentTable[[#This Row],[Unit
 Price]])</f>
        <v>19.95</v>
      </c>
      <c r="K298" s="29" t="str">
        <f>RawList!G268</f>
        <v>https://cdn.sparkfun.com/r/92-92/assets/parts/9/2/8/1/12614-01.jpg</v>
      </c>
      <c r="L298" s="29"/>
      <c r="M298" s="29" t="str">
        <f>RawList!F268</f>
        <v>https://www.sparkfun.com/products/12614</v>
      </c>
    </row>
    <row r="299" spans="2:13" x14ac:dyDescent="0.25">
      <c r="B299" s="29" t="str">
        <f>RawList!A269</f>
        <v>Hardware Component</v>
      </c>
      <c r="C299" s="29" t="str">
        <f>RawList!B269</f>
        <v>Breadboard/Protoboard</v>
      </c>
      <c r="D299" s="29" t="str">
        <f>RawList!C269</f>
        <v>SparkFun</v>
      </c>
      <c r="E299" s="29" t="str">
        <f>RawList!H269</f>
        <v>Breadboard - Mini Modular (Red)</v>
      </c>
      <c r="F299" s="29" t="str">
        <f>RawList!D269</f>
        <v>PRT-12044</v>
      </c>
      <c r="G299" s="101">
        <f>RawList!E269</f>
        <v>0</v>
      </c>
      <c r="H299" s="29" t="str">
        <f>IF(EquipmentTable[[#This Row],[Units]]&gt;0,"Quantity &gt; 0 Items","Quantity = 0 Items")</f>
        <v>Quantity = 0 Items</v>
      </c>
      <c r="I299" s="102">
        <f>RawList!J269</f>
        <v>3.95</v>
      </c>
      <c r="J299" s="14">
        <f>VALUE(EquipmentTable[[#This Row],[Units]]*EquipmentTable[[#This Row],[Unit
 Price]])</f>
        <v>0</v>
      </c>
      <c r="K299" s="29" t="str">
        <f>RawList!G269</f>
        <v>https://cdn.sparkfun.com/r/92-92/assets/parts/8/6/2/7/12044-01.jpg</v>
      </c>
      <c r="L299" s="29"/>
      <c r="M299" s="29" t="str">
        <f>RawList!F269</f>
        <v>https://www.sparkfun.com/products/12044</v>
      </c>
    </row>
    <row r="300" spans="2:13" x14ac:dyDescent="0.25">
      <c r="B300" s="29" t="str">
        <f>RawList!A270</f>
        <v>Hardware Component</v>
      </c>
      <c r="C300" s="29" t="str">
        <f>RawList!B270</f>
        <v>Breadboard/Protoboard</v>
      </c>
      <c r="D300" s="29" t="str">
        <f>RawList!C270</f>
        <v>SparkFun</v>
      </c>
      <c r="E300" s="29" t="str">
        <f>RawList!H270</f>
        <v>Breadboard - Mini Modular (Black)</v>
      </c>
      <c r="F300" s="29" t="str">
        <f>RawList!D270</f>
        <v>PRT-12047</v>
      </c>
      <c r="G300" s="101">
        <f>RawList!E270</f>
        <v>20</v>
      </c>
      <c r="H300" s="29" t="str">
        <f>IF(EquipmentTable[[#This Row],[Units]]&gt;0,"Quantity &gt; 0 Items","Quantity = 0 Items")</f>
        <v>Quantity &gt; 0 Items</v>
      </c>
      <c r="I300" s="102">
        <f>RawList!J270</f>
        <v>3.95</v>
      </c>
      <c r="J300" s="14">
        <f>VALUE(EquipmentTable[[#This Row],[Units]]*EquipmentTable[[#This Row],[Unit
 Price]])</f>
        <v>79</v>
      </c>
      <c r="K300" s="29" t="str">
        <f>RawList!G270</f>
        <v>https://cdn.sparkfun.com/r/92-92/assets/parts/8/6/3/0/12047-01.jpg</v>
      </c>
      <c r="L300" s="29"/>
      <c r="M300" s="29" t="str">
        <f>RawList!F270</f>
        <v>https://www.sparkfun.com/products/12047</v>
      </c>
    </row>
    <row r="301" spans="2:13" x14ac:dyDescent="0.25">
      <c r="B301" s="29" t="str">
        <f>RawList!A271</f>
        <v>Hardware Component</v>
      </c>
      <c r="C301" s="29" t="str">
        <f>RawList!B271</f>
        <v>Breadboard/Protoboard</v>
      </c>
      <c r="D301" s="29" t="str">
        <f>RawList!C271</f>
        <v>Adafruit</v>
      </c>
      <c r="E301" s="29" t="str">
        <f>RawList!H271</f>
        <v>Tiny breadboard</v>
      </c>
      <c r="F301" s="29" t="str">
        <f>RawList!D271</f>
        <v>65</v>
      </c>
      <c r="G301" s="101">
        <f>RawList!E271</f>
        <v>0</v>
      </c>
      <c r="H301" s="29" t="str">
        <f>IF(EquipmentTable[[#This Row],[Units]]&gt;0,"Quantity &gt; 0 Items","Quantity = 0 Items")</f>
        <v>Quantity = 0 Items</v>
      </c>
      <c r="I301" s="102">
        <f>RawList!J271</f>
        <v>4</v>
      </c>
      <c r="J301" s="14">
        <f>VALUE(EquipmentTable[[#This Row],[Units]]*EquipmentTable[[#This Row],[Unit
 Price]])</f>
        <v>0</v>
      </c>
      <c r="K301" s="29">
        <f>RawList!G271</f>
        <v>0</v>
      </c>
      <c r="L301" s="29"/>
      <c r="M301" s="29">
        <f>RawList!F271</f>
        <v>0</v>
      </c>
    </row>
    <row r="302" spans="2:13" x14ac:dyDescent="0.25">
      <c r="B302" s="29" t="str">
        <f>RawList!A272</f>
        <v>Hardware Component</v>
      </c>
      <c r="C302" s="29" t="str">
        <f>RawList!B272</f>
        <v>Breadboard/Protoboard</v>
      </c>
      <c r="D302" s="29" t="str">
        <f>RawList!C272</f>
        <v>SparkFun</v>
      </c>
      <c r="E302" s="29" t="str">
        <f>RawList!H272</f>
        <v>SparkFun Solder-able Breadboard - Large</v>
      </c>
      <c r="F302" s="29" t="str">
        <f>RawList!D272</f>
        <v>PRT-12699</v>
      </c>
      <c r="G302" s="101">
        <f>RawList!E272</f>
        <v>15</v>
      </c>
      <c r="H302" s="29" t="str">
        <f>IF(EquipmentTable[[#This Row],[Units]]&gt;0,"Quantity &gt; 0 Items","Quantity = 0 Items")</f>
        <v>Quantity &gt; 0 Items</v>
      </c>
      <c r="I302" s="102">
        <f>RawList!J272</f>
        <v>8.5</v>
      </c>
      <c r="J302" s="14">
        <f>VALUE(EquipmentTable[[#This Row],[Units]]*EquipmentTable[[#This Row],[Unit
 Price]])</f>
        <v>127.5</v>
      </c>
      <c r="K302" s="29" t="str">
        <f>RawList!G272</f>
        <v>https://cdn.sparkfun.com/r/92-92/assets/parts/9/4/3/9/12699-02.jpg</v>
      </c>
      <c r="L302" s="29"/>
      <c r="M302" s="29" t="str">
        <f>RawList!F272</f>
        <v>https://www.sparkfun.com/products/12699</v>
      </c>
    </row>
    <row r="303" spans="2:13" x14ac:dyDescent="0.25">
      <c r="B303" s="29" t="str">
        <f>RawList!A273</f>
        <v>Hardware Component</v>
      </c>
      <c r="C303" s="29" t="str">
        <f>RawList!B273</f>
        <v>Breadboard/Protoboard</v>
      </c>
      <c r="D303" s="29" t="str">
        <f>RawList!C273</f>
        <v>SparkFun</v>
      </c>
      <c r="E303" s="29" t="str">
        <f>RawList!H273</f>
        <v>SparkFun Solder-able Breadboard</v>
      </c>
      <c r="F303" s="29" t="str">
        <f>RawList!D273</f>
        <v>PRT-12070</v>
      </c>
      <c r="G303" s="101">
        <f>RawList!E273</f>
        <v>1</v>
      </c>
      <c r="H303" s="29" t="str">
        <f>IF(EquipmentTable[[#This Row],[Units]]&gt;0,"Quantity &gt; 0 Items","Quantity = 0 Items")</f>
        <v>Quantity &gt; 0 Items</v>
      </c>
      <c r="I303" s="102">
        <f>RawList!J273</f>
        <v>4.95</v>
      </c>
      <c r="J303" s="14">
        <f>VALUE(EquipmentTable[[#This Row],[Units]]*EquipmentTable[[#This Row],[Unit
 Price]])</f>
        <v>4.95</v>
      </c>
      <c r="K303" s="29" t="str">
        <f>RawList!G273</f>
        <v>https://cdn.sparkfun.com/r/92-92/assets/parts/8/6/7/7/12070-01.jpg</v>
      </c>
      <c r="L303" s="29"/>
      <c r="M303" s="29" t="str">
        <f>RawList!F273</f>
        <v>https://www.sparkfun.com/products/12070</v>
      </c>
    </row>
    <row r="304" spans="2:13" x14ac:dyDescent="0.25">
      <c r="B304" s="29" t="str">
        <f>RawList!A274</f>
        <v>Hardware Component</v>
      </c>
      <c r="C304" s="29" t="str">
        <f>RawList!B274</f>
        <v>Breadboard/Protoboard</v>
      </c>
      <c r="D304" s="29" t="str">
        <f>RawList!C274</f>
        <v>SparkFun</v>
      </c>
      <c r="E304" s="29" t="str">
        <f>RawList!H274</f>
        <v>SparkFun Solder-able Breadboard - Mini</v>
      </c>
      <c r="F304" s="29" t="str">
        <f>RawList!D274</f>
        <v>PRT-12702</v>
      </c>
      <c r="G304" s="101">
        <f>RawList!E274</f>
        <v>0</v>
      </c>
      <c r="H304" s="29" t="str">
        <f>IF(EquipmentTable[[#This Row],[Units]]&gt;0,"Quantity &gt; 0 Items","Quantity = 0 Items")</f>
        <v>Quantity = 0 Items</v>
      </c>
      <c r="I304" s="102">
        <f>RawList!J274</f>
        <v>2.95</v>
      </c>
      <c r="J304" s="14">
        <f>VALUE(EquipmentTable[[#This Row],[Units]]*EquipmentTable[[#This Row],[Unit
 Price]])</f>
        <v>0</v>
      </c>
      <c r="K304" s="29" t="str">
        <f>RawList!G274</f>
        <v>https://cdn.sparkfun.com/r/92-92/assets/parts/9/4/4/3/12702-01.jpg</v>
      </c>
      <c r="L304" s="29"/>
      <c r="M304" s="29" t="str">
        <f>RawList!F274</f>
        <v>https://www.sparkfun.com/products/12702</v>
      </c>
    </row>
    <row r="305" spans="2:13" x14ac:dyDescent="0.25">
      <c r="B305" s="29" t="str">
        <f>RawList!A275</f>
        <v>Hardware Component</v>
      </c>
      <c r="C305" s="29" t="str">
        <f>RawList!B275</f>
        <v>Breadboard/Protoboard</v>
      </c>
      <c r="D305" s="29" t="str">
        <f>RawList!C275</f>
        <v>SparkFun</v>
      </c>
      <c r="E305" s="29" t="str">
        <f>RawList!H275</f>
        <v>SparkFun ProtoShield Kit</v>
      </c>
      <c r="F305" s="29" t="str">
        <f>RawList!D275</f>
        <v>DEV-07914</v>
      </c>
      <c r="G305" s="101">
        <f>RawList!E275</f>
        <v>1</v>
      </c>
      <c r="H305" s="29" t="str">
        <f>IF(EquipmentTable[[#This Row],[Units]]&gt;0,"Quantity &gt; 0 Items","Quantity = 0 Items")</f>
        <v>Quantity &gt; 0 Items</v>
      </c>
      <c r="I305" s="102">
        <f>RawList!J275</f>
        <v>9.9499999999999993</v>
      </c>
      <c r="J305" s="14">
        <f>VALUE(EquipmentTable[[#This Row],[Units]]*EquipmentTable[[#This Row],[Unit
 Price]])</f>
        <v>9.9499999999999993</v>
      </c>
      <c r="K305" s="29" t="str">
        <f>RawList!G275</f>
        <v>https://cdn.sparkfun.com/r/92-92/assets/parts/5/6/3/07914-001.jpg</v>
      </c>
      <c r="L305" s="29"/>
      <c r="M305" s="29" t="str">
        <f>RawList!F275</f>
        <v>https://www.sparkfun.com/products/7914</v>
      </c>
    </row>
    <row r="306" spans="2:13" x14ac:dyDescent="0.25">
      <c r="B306" s="29" t="str">
        <f>RawList!A276</f>
        <v>Hardware Component</v>
      </c>
      <c r="C306" s="29" t="str">
        <f>RawList!B276</f>
        <v>Breadboard/Protoboard</v>
      </c>
      <c r="D306" s="29" t="str">
        <f>RawList!C276</f>
        <v>Adafruit</v>
      </c>
      <c r="E306" s="29" t="str">
        <f>RawList!H276</f>
        <v>Adafruit Proto Shield for Arduino Kit - Stackable Version R3</v>
      </c>
      <c r="F306" s="29" t="str">
        <f>RawList!D276</f>
        <v>2077</v>
      </c>
      <c r="G306" s="101">
        <f>RawList!E276</f>
        <v>0</v>
      </c>
      <c r="H306" s="29" t="str">
        <f>IF(EquipmentTable[[#This Row],[Units]]&gt;0,"Quantity &gt; 0 Items","Quantity = 0 Items")</f>
        <v>Quantity = 0 Items</v>
      </c>
      <c r="I306" s="102">
        <f>RawList!J276</f>
        <v>9.9499999999999993</v>
      </c>
      <c r="J306" s="14">
        <f>VALUE(EquipmentTable[[#This Row],[Units]]*EquipmentTable[[#This Row],[Unit
 Price]])</f>
        <v>0</v>
      </c>
      <c r="K306" s="29">
        <f>RawList!G276</f>
        <v>0</v>
      </c>
      <c r="L306" s="29"/>
      <c r="M306" s="29">
        <f>RawList!F276</f>
        <v>0</v>
      </c>
    </row>
    <row r="307" spans="2:13" x14ac:dyDescent="0.25">
      <c r="B307" s="29" t="str">
        <f>RawList!A277</f>
        <v>Hardware Component</v>
      </c>
      <c r="C307" s="29" t="str">
        <f>RawList!B277</f>
        <v>Breadboard/Protoboard</v>
      </c>
      <c r="D307" s="29" t="str">
        <f>RawList!C277</f>
        <v>Adafruit</v>
      </c>
      <c r="E307" s="29" t="str">
        <f>RawList!H277</f>
        <v>Proto-Screwshield (Wingshield) R3 Kit for Arduino</v>
      </c>
      <c r="F307" s="29" t="str">
        <f>RawList!D277</f>
        <v>196</v>
      </c>
      <c r="G307" s="101">
        <f>RawList!E277</f>
        <v>0</v>
      </c>
      <c r="H307" s="29" t="str">
        <f>IF(EquipmentTable[[#This Row],[Units]]&gt;0,"Quantity &gt; 0 Items","Quantity = 0 Items")</f>
        <v>Quantity = 0 Items</v>
      </c>
      <c r="I307" s="102">
        <f>RawList!J277</f>
        <v>14.95</v>
      </c>
      <c r="J307" s="14">
        <f>VALUE(EquipmentTable[[#This Row],[Units]]*EquipmentTable[[#This Row],[Unit
 Price]])</f>
        <v>0</v>
      </c>
      <c r="K307" s="29">
        <f>RawList!G277</f>
        <v>0</v>
      </c>
      <c r="L307" s="29"/>
      <c r="M307" s="29">
        <f>RawList!F277</f>
        <v>0</v>
      </c>
    </row>
    <row r="308" spans="2:13" x14ac:dyDescent="0.25">
      <c r="B308" s="29" t="str">
        <f>RawList!A278</f>
        <v>Hardware Component</v>
      </c>
      <c r="C308" s="29" t="str">
        <f>RawList!B278</f>
        <v>Breadboard/Protoboard</v>
      </c>
      <c r="D308" s="29" t="str">
        <f>RawList!C278</f>
        <v>Adafruit</v>
      </c>
      <c r="E308" s="29" t="str">
        <f>RawList!H278</f>
        <v>Mega protoshield for Arduino</v>
      </c>
      <c r="F308" s="29" t="str">
        <f>RawList!D278</f>
        <v>192</v>
      </c>
      <c r="G308" s="101">
        <f>RawList!E278</f>
        <v>0</v>
      </c>
      <c r="H308" s="29" t="str">
        <f>IF(EquipmentTable[[#This Row],[Units]]&gt;0,"Quantity &gt; 0 Items","Quantity = 0 Items")</f>
        <v>Quantity = 0 Items</v>
      </c>
      <c r="I308" s="102">
        <f>RawList!J278</f>
        <v>14.95</v>
      </c>
      <c r="J308" s="14">
        <f>VALUE(EquipmentTable[[#This Row],[Units]]*EquipmentTable[[#This Row],[Unit
 Price]])</f>
        <v>0</v>
      </c>
      <c r="K308" s="29">
        <f>RawList!G278</f>
        <v>0</v>
      </c>
      <c r="L308" s="29"/>
      <c r="M308" s="29">
        <f>RawList!F278</f>
        <v>0</v>
      </c>
    </row>
    <row r="309" spans="2:13" x14ac:dyDescent="0.25">
      <c r="B309" s="29" t="str">
        <f>RawList!A279</f>
        <v>Hardware Component</v>
      </c>
      <c r="C309" s="29" t="str">
        <f>RawList!B279</f>
        <v>Breadboard/Protoboard</v>
      </c>
      <c r="D309" s="29" t="str">
        <f>RawList!C279</f>
        <v>Adafruit</v>
      </c>
      <c r="E309" s="29" t="str">
        <f>RawList!H279</f>
        <v>Large Solderless Breadboard</v>
      </c>
      <c r="F309" s="29" t="str">
        <f>RawList!D279</f>
        <v>443</v>
      </c>
      <c r="G309" s="101">
        <f>RawList!E279</f>
        <v>0</v>
      </c>
      <c r="H309" s="29" t="str">
        <f>IF(EquipmentTable[[#This Row],[Units]]&gt;0,"Quantity &gt; 0 Items","Quantity = 0 Items")</f>
        <v>Quantity = 0 Items</v>
      </c>
      <c r="I309" s="102">
        <f>RawList!J279</f>
        <v>19.95</v>
      </c>
      <c r="J309" s="14">
        <f>VALUE(EquipmentTable[[#This Row],[Units]]*EquipmentTable[[#This Row],[Unit
 Price]])</f>
        <v>0</v>
      </c>
      <c r="K309" s="29">
        <f>RawList!G279</f>
        <v>0</v>
      </c>
      <c r="L309" s="29"/>
      <c r="M309" s="29">
        <f>RawList!F279</f>
        <v>0</v>
      </c>
    </row>
    <row r="310" spans="2:13" x14ac:dyDescent="0.25">
      <c r="B310" s="29" t="str">
        <f>RawList!A280</f>
        <v>Hardware Component</v>
      </c>
      <c r="C310" s="29" t="str">
        <f>RawList!B280</f>
        <v>Breadboard/Protoboard</v>
      </c>
      <c r="D310" s="29" t="str">
        <f>RawList!C280</f>
        <v>Adafruit</v>
      </c>
      <c r="E310" s="29" t="str">
        <f>RawList!H280</f>
        <v>Mini Solderless Breadboard - 2x4 Points</v>
      </c>
      <c r="F310" s="29" t="str">
        <f>RawList!D280</f>
        <v>2017</v>
      </c>
      <c r="G310" s="101">
        <f>RawList!E280</f>
        <v>0</v>
      </c>
      <c r="H310" s="29" t="str">
        <f>IF(EquipmentTable[[#This Row],[Units]]&gt;0,"Quantity &gt; 0 Items","Quantity = 0 Items")</f>
        <v>Quantity = 0 Items</v>
      </c>
      <c r="I310" s="102">
        <f>RawList!J280</f>
        <v>0.75</v>
      </c>
      <c r="J310" s="14">
        <f>VALUE(EquipmentTable[[#This Row],[Units]]*EquipmentTable[[#This Row],[Unit
 Price]])</f>
        <v>0</v>
      </c>
      <c r="K310" s="29">
        <f>RawList!G280</f>
        <v>0</v>
      </c>
      <c r="L310" s="29"/>
      <c r="M310" s="29">
        <f>RawList!F280</f>
        <v>0</v>
      </c>
    </row>
    <row r="311" spans="2:13" x14ac:dyDescent="0.25">
      <c r="B311" s="29" t="str">
        <f>RawList!A281</f>
        <v>Hardware Component</v>
      </c>
      <c r="C311" s="29" t="str">
        <f>RawList!B281</f>
        <v>Breadboard/Protoboard</v>
      </c>
      <c r="D311" s="29" t="str">
        <f>RawList!C281</f>
        <v>Adafruit</v>
      </c>
      <c r="E311" s="29" t="str">
        <f>RawList!H281</f>
        <v>Mini Solderless Breadboard - 2x8 Points</v>
      </c>
      <c r="F311" s="29" t="str">
        <f>RawList!D281</f>
        <v>2018</v>
      </c>
      <c r="G311" s="101">
        <f>RawList!E281</f>
        <v>0</v>
      </c>
      <c r="H311" s="29" t="str">
        <f>IF(EquipmentTable[[#This Row],[Units]]&gt;0,"Quantity &gt; 0 Items","Quantity = 0 Items")</f>
        <v>Quantity = 0 Items</v>
      </c>
      <c r="I311" s="102">
        <f>RawList!J281</f>
        <v>0.95</v>
      </c>
      <c r="J311" s="14">
        <f>VALUE(EquipmentTable[[#This Row],[Units]]*EquipmentTable[[#This Row],[Unit
 Price]])</f>
        <v>0</v>
      </c>
      <c r="K311" s="29">
        <f>RawList!G281</f>
        <v>0</v>
      </c>
      <c r="L311" s="29"/>
      <c r="M311" s="29">
        <f>RawList!F281</f>
        <v>0</v>
      </c>
    </row>
    <row r="312" spans="2:13" x14ac:dyDescent="0.25">
      <c r="B312" s="29" t="str">
        <f>RawList!A282</f>
        <v>Hardware Component</v>
      </c>
      <c r="C312" s="29" t="str">
        <f>RawList!B282</f>
        <v>Breadboard/Protoboard</v>
      </c>
      <c r="D312" s="29" t="str">
        <f>RawList!C282</f>
        <v>Adafruit</v>
      </c>
      <c r="E312" s="29" t="str">
        <f>RawList!H282</f>
        <v>Mini Solderless Breadboard - 4x4 Points</v>
      </c>
      <c r="F312" s="29" t="str">
        <f>RawList!D282</f>
        <v>2463</v>
      </c>
      <c r="G312" s="101">
        <f>RawList!E282</f>
        <v>0</v>
      </c>
      <c r="H312" s="29" t="str">
        <f>IF(EquipmentTable[[#This Row],[Units]]&gt;0,"Quantity &gt; 0 Items","Quantity = 0 Items")</f>
        <v>Quantity = 0 Items</v>
      </c>
      <c r="I312" s="102">
        <f>RawList!J282</f>
        <v>0.95</v>
      </c>
      <c r="J312" s="14">
        <f>VALUE(EquipmentTable[[#This Row],[Units]]*EquipmentTable[[#This Row],[Unit
 Price]])</f>
        <v>0</v>
      </c>
      <c r="K312" s="29">
        <f>RawList!G282</f>
        <v>0</v>
      </c>
      <c r="L312" s="29"/>
      <c r="M312" s="29">
        <f>RawList!F282</f>
        <v>0</v>
      </c>
    </row>
    <row r="313" spans="2:13" x14ac:dyDescent="0.25">
      <c r="B313" s="29" t="str">
        <f>RawList!A283</f>
        <v>Hardware Component</v>
      </c>
      <c r="C313" s="29" t="str">
        <f>RawList!B283</f>
        <v>Breadboard/Protoboard</v>
      </c>
      <c r="D313" s="29" t="str">
        <f>RawList!C283</f>
        <v>SparkFun</v>
      </c>
      <c r="E313" s="29" t="str">
        <f>RawList!H283</f>
        <v>SparkFun Snappable Protoboard</v>
      </c>
      <c r="F313" s="29" t="str">
        <f>RawList!D283</f>
        <v>PRT-13268</v>
      </c>
      <c r="G313" s="101">
        <f>RawList!E283</f>
        <v>5</v>
      </c>
      <c r="H313" s="29" t="str">
        <f>IF(EquipmentTable[[#This Row],[Units]]&gt;0,"Quantity &gt; 0 Items","Quantity = 0 Items")</f>
        <v>Quantity &gt; 0 Items</v>
      </c>
      <c r="I313" s="102">
        <f>RawList!J283</f>
        <v>7.95</v>
      </c>
      <c r="J313" s="14">
        <f>VALUE(EquipmentTable[[#This Row],[Units]]*EquipmentTable[[#This Row],[Unit
 Price]])</f>
        <v>39.75</v>
      </c>
      <c r="K313" s="29" t="str">
        <f>RawList!G283</f>
        <v>https://cdn.sparkfun.com/r/92-92/assets/parts/1/0/4/8/9/13268-01.jpg</v>
      </c>
      <c r="L313" s="29"/>
      <c r="M313" s="29" t="str">
        <f>RawList!F283</f>
        <v>https://www.sparkfun.com/products/13268</v>
      </c>
    </row>
    <row r="314" spans="2:13" x14ac:dyDescent="0.25">
      <c r="B314" s="29" t="str">
        <f>RawList!A284</f>
        <v>Hardware Component</v>
      </c>
      <c r="C314" s="29" t="str">
        <f>RawList!B284</f>
        <v>Breadboard/Protoboard</v>
      </c>
      <c r="D314" s="29" t="str">
        <f>RawList!C284</f>
        <v>SparkFun</v>
      </c>
      <c r="E314" s="29" t="str">
        <f>RawList!H284</f>
        <v>SparkFun Big Red Box Proto Board</v>
      </c>
      <c r="F314" s="29" t="str">
        <f>RawList!D284</f>
        <v>DEV-13317</v>
      </c>
      <c r="G314" s="101">
        <f>RawList!E284</f>
        <v>10</v>
      </c>
      <c r="H314" s="29" t="str">
        <f>IF(EquipmentTable[[#This Row],[Units]]&gt;0,"Quantity &gt; 0 Items","Quantity = 0 Items")</f>
        <v>Quantity &gt; 0 Items</v>
      </c>
      <c r="I314" s="102">
        <f>RawList!J284</f>
        <v>7.95</v>
      </c>
      <c r="J314" s="14">
        <f>VALUE(EquipmentTable[[#This Row],[Units]]*EquipmentTable[[#This Row],[Unit
 Price]])</f>
        <v>79.5</v>
      </c>
      <c r="K314" s="29" t="str">
        <f>RawList!G284</f>
        <v>https://cdn.sparkfun.com/r/92-92/assets/parts/1/0/6/0/3/13317-01.jpg</v>
      </c>
      <c r="L314" s="29"/>
      <c r="M314" s="29" t="str">
        <f>RawList!F284</f>
        <v>https://www.sparkfun.com/products/13317</v>
      </c>
    </row>
    <row r="315" spans="2:13" x14ac:dyDescent="0.25">
      <c r="B315" s="29" t="str">
        <f>RawList!A285</f>
        <v>Hardware Component</v>
      </c>
      <c r="C315" s="29" t="str">
        <f>RawList!B285</f>
        <v>Enclosures/Mounts</v>
      </c>
      <c r="D315" s="29" t="str">
        <f>RawList!C285</f>
        <v>SparkFun</v>
      </c>
      <c r="E315" s="29" t="str">
        <f>RawList!H285</f>
        <v>Big Red Box - Enclosure</v>
      </c>
      <c r="F315" s="29" t="str">
        <f>RawList!D285</f>
        <v>PRT-11366</v>
      </c>
      <c r="G315" s="101">
        <f>RawList!E285</f>
        <v>5</v>
      </c>
      <c r="H315" s="29" t="str">
        <f>IF(EquipmentTable[[#This Row],[Units]]&gt;0,"Quantity &gt; 0 Items","Quantity = 0 Items")</f>
        <v>Quantity &gt; 0 Items</v>
      </c>
      <c r="I315" s="102">
        <f>RawList!J285</f>
        <v>8.9499999999999993</v>
      </c>
      <c r="J315" s="14">
        <f>VALUE(EquipmentTable[[#This Row],[Units]]*EquipmentTable[[#This Row],[Unit
 Price]])</f>
        <v>44.75</v>
      </c>
      <c r="K315" s="29" t="str">
        <f>RawList!G285</f>
        <v>https://cdn.sparkfun.com/r/92-92/assets/parts/7/1/0/7/11366-01.jpg</v>
      </c>
      <c r="L315" s="29"/>
      <c r="M315" s="29" t="str">
        <f>RawList!F285</f>
        <v>https://www.sparkfun.com/products/11366</v>
      </c>
    </row>
    <row r="316" spans="2:13" x14ac:dyDescent="0.25">
      <c r="B316" s="29" t="str">
        <f>RawList!A286</f>
        <v>Hardware Component</v>
      </c>
      <c r="C316" s="29" t="str">
        <f>RawList!B286</f>
        <v>Enclosures/Mounts</v>
      </c>
      <c r="D316" s="29" t="str">
        <f>RawList!C286</f>
        <v>SparkFun</v>
      </c>
      <c r="E316" s="29" t="str">
        <f>RawList!H286</f>
        <v>Arduino Project Enclosure</v>
      </c>
      <c r="F316" s="29" t="str">
        <f>RawList!D286</f>
        <v>PRT-10088</v>
      </c>
      <c r="G316" s="101">
        <f>RawList!E286</f>
        <v>5</v>
      </c>
      <c r="H316" s="29" t="str">
        <f>IF(EquipmentTable[[#This Row],[Units]]&gt;0,"Quantity &gt; 0 Items","Quantity = 0 Items")</f>
        <v>Quantity &gt; 0 Items</v>
      </c>
      <c r="I316" s="102">
        <f>RawList!J286</f>
        <v>11.95</v>
      </c>
      <c r="J316" s="14">
        <f>VALUE(EquipmentTable[[#This Row],[Units]]*EquipmentTable[[#This Row],[Unit
 Price]])</f>
        <v>59.75</v>
      </c>
      <c r="K316" s="29" t="str">
        <f>RawList!G286</f>
        <v>https://cdn.sparkfun.com/r/92-92/assets/parts/4/3/1/1/10088-01.jpg</v>
      </c>
      <c r="L316" s="29"/>
      <c r="M316" s="29" t="str">
        <f>RawList!F286</f>
        <v>https://www.sparkfun.com/products/10088</v>
      </c>
    </row>
    <row r="317" spans="2:13" x14ac:dyDescent="0.25">
      <c r="B317" s="29" t="str">
        <f>RawList!A287</f>
        <v>Hardware Component</v>
      </c>
      <c r="C317" s="29" t="str">
        <f>RawList!B287</f>
        <v>Enclosures/Mounts</v>
      </c>
      <c r="D317" s="29" t="str">
        <f>RawList!C287</f>
        <v>SparkFun</v>
      </c>
      <c r="E317" s="29" t="str">
        <f>RawList!H287</f>
        <v>IOIO and Breadboard Holder</v>
      </c>
      <c r="F317" s="29" t="str">
        <f>RawList!D287</f>
        <v>DEV-11632</v>
      </c>
      <c r="G317" s="101">
        <f>RawList!E287</f>
        <v>1</v>
      </c>
      <c r="H317" s="29" t="str">
        <f>IF(EquipmentTable[[#This Row],[Units]]&gt;0,"Quantity &gt; 0 Items","Quantity = 0 Items")</f>
        <v>Quantity &gt; 0 Items</v>
      </c>
      <c r="I317" s="102">
        <f>RawList!J287</f>
        <v>0.1</v>
      </c>
      <c r="J317" s="14">
        <f>VALUE(EquipmentTable[[#This Row],[Units]]*EquipmentTable[[#This Row],[Unit
 Price]])</f>
        <v>0.1</v>
      </c>
      <c r="K317" s="29" t="str">
        <f>RawList!G287</f>
        <v>https://cdn.sparkfun.com/r/92-92/assets/parts/7/6/8/8/11632-01.jpg</v>
      </c>
      <c r="L317" s="29"/>
      <c r="M317" s="29" t="str">
        <f>RawList!F287</f>
        <v>https://www.sparkfun.com/products/11632</v>
      </c>
    </row>
    <row r="318" spans="2:13" x14ac:dyDescent="0.25">
      <c r="B318" s="29" t="str">
        <f>RawList!A288</f>
        <v>Tools</v>
      </c>
      <c r="C318" s="29" t="str">
        <f>RawList!B288</f>
        <v>Enclosures/Mounts</v>
      </c>
      <c r="D318" s="29" t="str">
        <f>RawList!C288</f>
        <v>Adafruit</v>
      </c>
      <c r="E318" s="29" t="str">
        <f>RawList!H288</f>
        <v>Extruded Aluminum Enclosure Box - 100mm x 67mm x 26mm</v>
      </c>
      <c r="F318" s="29" t="str">
        <f>RawList!D288</f>
        <v>2229</v>
      </c>
      <c r="G318" s="101">
        <f>RawList!E288</f>
        <v>0</v>
      </c>
      <c r="H318" s="29" t="str">
        <f>IF(EquipmentTable[[#This Row],[Units]]&gt;0,"Quantity &gt; 0 Items","Quantity = 0 Items")</f>
        <v>Quantity = 0 Items</v>
      </c>
      <c r="I318" s="102">
        <f>RawList!J288</f>
        <v>7.5</v>
      </c>
      <c r="J318" s="14">
        <f>VALUE(EquipmentTable[[#This Row],[Units]]*EquipmentTable[[#This Row],[Unit
 Price]])</f>
        <v>0</v>
      </c>
      <c r="K318" s="29">
        <f>RawList!G288</f>
        <v>0</v>
      </c>
      <c r="L318" s="29"/>
      <c r="M318" s="29">
        <f>RawList!F288</f>
        <v>0</v>
      </c>
    </row>
    <row r="319" spans="2:13" x14ac:dyDescent="0.25">
      <c r="B319" s="29" t="str">
        <f>RawList!A289</f>
        <v>Tools</v>
      </c>
      <c r="C319" s="29" t="str">
        <f>RawList!B289</f>
        <v>Enclosures/Mounts</v>
      </c>
      <c r="D319" s="29" t="str">
        <f>RawList!C289</f>
        <v>Adafruit</v>
      </c>
      <c r="E319" s="29" t="str">
        <f>RawList!H289</f>
        <v>Extruded Aluminum Enclosure Box - 94mm x 83mm x 30mm</v>
      </c>
      <c r="F319" s="29" t="str">
        <f>RawList!D289</f>
        <v>2230</v>
      </c>
      <c r="G319" s="101">
        <f>RawList!E289</f>
        <v>0</v>
      </c>
      <c r="H319" s="29" t="str">
        <f>IF(EquipmentTable[[#This Row],[Units]]&gt;0,"Quantity &gt; 0 Items","Quantity = 0 Items")</f>
        <v>Quantity = 0 Items</v>
      </c>
      <c r="I319" s="102">
        <f>RawList!J289</f>
        <v>5.95</v>
      </c>
      <c r="J319" s="14">
        <f>VALUE(EquipmentTable[[#This Row],[Units]]*EquipmentTable[[#This Row],[Unit
 Price]])</f>
        <v>0</v>
      </c>
      <c r="K319" s="29">
        <f>RawList!G289</f>
        <v>0</v>
      </c>
      <c r="L319" s="29"/>
      <c r="M319" s="29">
        <f>RawList!F289</f>
        <v>0</v>
      </c>
    </row>
    <row r="320" spans="2:13" x14ac:dyDescent="0.25">
      <c r="B320" s="29" t="str">
        <f>RawList!A290</f>
        <v>Hardware Component</v>
      </c>
      <c r="C320" s="29" t="str">
        <f>RawList!B290</f>
        <v>Hardware Components/Accessories</v>
      </c>
      <c r="D320" s="29" t="str">
        <f>RawList!C290</f>
        <v>SparkFun</v>
      </c>
      <c r="E320" s="29" t="str">
        <f>RawList!H290</f>
        <v>Silicone Bumpers - Large (10x16.5mm, 4 pack)</v>
      </c>
      <c r="F320" s="29" t="str">
        <f>RawList!D290</f>
        <v>COM-10594</v>
      </c>
      <c r="G320" s="101">
        <f>RawList!E290</f>
        <v>5</v>
      </c>
      <c r="H320" s="29" t="str">
        <f>IF(EquipmentTable[[#This Row],[Units]]&gt;0,"Quantity &gt; 0 Items","Quantity = 0 Items")</f>
        <v>Quantity &gt; 0 Items</v>
      </c>
      <c r="I320" s="102">
        <f>RawList!J290</f>
        <v>0.95</v>
      </c>
      <c r="J320" s="14">
        <f>VALUE(EquipmentTable[[#This Row],[Units]]*EquipmentTable[[#This Row],[Unit
 Price]])</f>
        <v>4.75</v>
      </c>
      <c r="K320" s="29" t="str">
        <f>RawList!G290</f>
        <v>https://cdn.sparkfun.com/r/92-92/assets/parts/5/1/6/0/10594-01.jpg</v>
      </c>
      <c r="L320" s="29"/>
      <c r="M320" s="29" t="str">
        <f>RawList!F290</f>
        <v>https://www.sparkfun.com/products/10594</v>
      </c>
    </row>
    <row r="321" spans="2:13" x14ac:dyDescent="0.25">
      <c r="B321" s="29" t="str">
        <f>RawList!A291</f>
        <v>Hardware Component</v>
      </c>
      <c r="C321" s="29" t="str">
        <f>RawList!B291</f>
        <v>Hardware Components/Accessories</v>
      </c>
      <c r="D321" s="29" t="str">
        <f>RawList!C291</f>
        <v>SparkFun</v>
      </c>
      <c r="E321" s="29" t="str">
        <f>RawList!H291</f>
        <v>Silicone Bumpers - Small, Clear (8x2mm, 5 pack)</v>
      </c>
      <c r="F321" s="29" t="str">
        <f>RawList!D291</f>
        <v>PRT-10230</v>
      </c>
      <c r="G321" s="101">
        <f>RawList!E291</f>
        <v>5</v>
      </c>
      <c r="H321" s="29" t="str">
        <f>IF(EquipmentTable[[#This Row],[Units]]&gt;0,"Quantity &gt; 0 Items","Quantity = 0 Items")</f>
        <v>Quantity &gt; 0 Items</v>
      </c>
      <c r="I321" s="102">
        <f>RawList!J291</f>
        <v>0.95</v>
      </c>
      <c r="J321" s="14">
        <f>VALUE(EquipmentTable[[#This Row],[Units]]*EquipmentTable[[#This Row],[Unit
 Price]])</f>
        <v>4.75</v>
      </c>
      <c r="K321" s="29" t="str">
        <f>RawList!G291</f>
        <v>https://cdn.sparkfun.com/r/92-92/assets/parts/4/5/8/0/10230-01a.jpg</v>
      </c>
      <c r="L321" s="29"/>
      <c r="M321" s="29" t="str">
        <f>RawList!F291</f>
        <v>https://www.sparkfun.com/products/10230</v>
      </c>
    </row>
    <row r="322" spans="2:13" x14ac:dyDescent="0.25">
      <c r="B322" s="29" t="str">
        <f>RawList!A292</f>
        <v>Hardware Component</v>
      </c>
      <c r="C322" s="29" t="str">
        <f>RawList!B292</f>
        <v>Hardware Components/Accessories</v>
      </c>
      <c r="D322" s="29" t="str">
        <f>RawList!C292</f>
        <v>Adafruit</v>
      </c>
      <c r="E322" s="29" t="str">
        <f>RawList!H292</f>
        <v xml:space="preserve">Little Rubber Bumper Feet - Pack of 4 </v>
      </c>
      <c r="F322" s="29" t="str">
        <f>RawList!D292</f>
        <v>550</v>
      </c>
      <c r="G322" s="101">
        <f>RawList!E292</f>
        <v>0</v>
      </c>
      <c r="H322" s="29" t="str">
        <f>IF(EquipmentTable[[#This Row],[Units]]&gt;0,"Quantity &gt; 0 Items","Quantity = 0 Items")</f>
        <v>Quantity = 0 Items</v>
      </c>
      <c r="I322" s="102">
        <f>RawList!J292</f>
        <v>0.95</v>
      </c>
      <c r="J322" s="14">
        <f>VALUE(EquipmentTable[[#This Row],[Units]]*EquipmentTable[[#This Row],[Unit
 Price]])</f>
        <v>0</v>
      </c>
      <c r="K322" s="29">
        <f>RawList!G292</f>
        <v>0</v>
      </c>
      <c r="L322" s="29"/>
      <c r="M322" s="29">
        <f>RawList!F292</f>
        <v>0</v>
      </c>
    </row>
    <row r="323" spans="2:13" x14ac:dyDescent="0.25">
      <c r="B323" s="29" t="str">
        <f>RawList!A293</f>
        <v>Hardware Component</v>
      </c>
      <c r="C323" s="29" t="str">
        <f>RawList!B293</f>
        <v>Hardware Components/Accessories</v>
      </c>
      <c r="D323" s="29" t="str">
        <f>RawList!C293</f>
        <v>SparkFun</v>
      </c>
      <c r="E323" s="29" t="str">
        <f>RawList!H293</f>
        <v>Heat Shrink Kit</v>
      </c>
      <c r="F323" s="29" t="str">
        <f>RawList!D293</f>
        <v>PRT-09353</v>
      </c>
      <c r="G323" s="101">
        <f>RawList!E293</f>
        <v>2</v>
      </c>
      <c r="H323" s="29" t="str">
        <f>IF(EquipmentTable[[#This Row],[Units]]&gt;0,"Quantity &gt; 0 Items","Quantity = 0 Items")</f>
        <v>Quantity &gt; 0 Items</v>
      </c>
      <c r="I323" s="102">
        <f>RawList!J293</f>
        <v>7.95</v>
      </c>
      <c r="J323" s="14">
        <f>VALUE(EquipmentTable[[#This Row],[Units]]*EquipmentTable[[#This Row],[Unit
 Price]])</f>
        <v>15.9</v>
      </c>
      <c r="K323" s="29" t="str">
        <f>RawList!G293</f>
        <v>https://cdn.sparkfun.com/r/92-92/assets/parts/2/9/2/3/09353-01.jpg</v>
      </c>
      <c r="L323" s="29"/>
      <c r="M323" s="29" t="str">
        <f>RawList!F293</f>
        <v>https://www.sparkfun.com/products/9353</v>
      </c>
    </row>
    <row r="324" spans="2:13" x14ac:dyDescent="0.25">
      <c r="B324" s="29" t="str">
        <f>RawList!A294</f>
        <v>Hardware Component</v>
      </c>
      <c r="C324" s="29" t="str">
        <f>RawList!B294</f>
        <v>Hardware Components/Accessories</v>
      </c>
      <c r="D324" s="29" t="str">
        <f>RawList!C294</f>
        <v>Adafruit</v>
      </c>
      <c r="E324" s="29" t="str">
        <f>RawList!H294</f>
        <v>Heat Shrink Pack</v>
      </c>
      <c r="F324" s="29" t="str">
        <f>RawList!D294</f>
        <v>344</v>
      </c>
      <c r="G324" s="101">
        <f>RawList!E294</f>
        <v>0</v>
      </c>
      <c r="H324" s="29" t="str">
        <f>IF(EquipmentTable[[#This Row],[Units]]&gt;0,"Quantity &gt; 0 Items","Quantity = 0 Items")</f>
        <v>Quantity = 0 Items</v>
      </c>
      <c r="I324" s="102">
        <f>RawList!J294</f>
        <v>4.95</v>
      </c>
      <c r="J324" s="14">
        <f>VALUE(EquipmentTable[[#This Row],[Units]]*EquipmentTable[[#This Row],[Unit
 Price]])</f>
        <v>0</v>
      </c>
      <c r="K324" s="29">
        <f>RawList!G294</f>
        <v>0</v>
      </c>
      <c r="L324" s="29"/>
      <c r="M324" s="29">
        <f>RawList!F294</f>
        <v>0</v>
      </c>
    </row>
    <row r="325" spans="2:13" x14ac:dyDescent="0.25">
      <c r="B325" s="29" t="str">
        <f>RawList!A295</f>
        <v>Hardware Component</v>
      </c>
      <c r="C325" s="29" t="str">
        <f>RawList!B295</f>
        <v>Plastics Fabrication</v>
      </c>
      <c r="D325" s="29" t="str">
        <f>RawList!C295</f>
        <v>SparkFun</v>
      </c>
      <c r="E325" s="29" t="str">
        <f>RawList!H295</f>
        <v>Polymorph - 1000g</v>
      </c>
      <c r="F325" s="29" t="str">
        <f>RawList!D295</f>
        <v>TOL-10951</v>
      </c>
      <c r="G325" s="101">
        <f>RawList!E295</f>
        <v>1</v>
      </c>
      <c r="H325" s="29" t="str">
        <f>IF(EquipmentTable[[#This Row],[Units]]&gt;0,"Quantity &gt; 0 Items","Quantity = 0 Items")</f>
        <v>Quantity &gt; 0 Items</v>
      </c>
      <c r="I325" s="102">
        <f>RawList!J295</f>
        <v>34.950000000000003</v>
      </c>
      <c r="J325" s="14">
        <f>VALUE(EquipmentTable[[#This Row],[Units]]*EquipmentTable[[#This Row],[Unit
 Price]])</f>
        <v>34.950000000000003</v>
      </c>
      <c r="K325" s="29" t="str">
        <f>RawList!G295</f>
        <v>https://cdn.sparkfun.com/r/92-92/assets/parts/6/1/2/8/10951-01a.jpg</v>
      </c>
      <c r="L325" s="29"/>
      <c r="M325" s="29" t="str">
        <f>RawList!F295</f>
        <v>https://www.sparkfun.com/products/10951</v>
      </c>
    </row>
    <row r="326" spans="2:13" x14ac:dyDescent="0.25">
      <c r="B326" s="29" t="str">
        <f>RawList!A296</f>
        <v>Hardware Component</v>
      </c>
      <c r="C326" s="29" t="str">
        <f>RawList!B296</f>
        <v>Plastics Fabrication</v>
      </c>
      <c r="D326" s="29" t="str">
        <f>RawList!C296</f>
        <v>SparkFun</v>
      </c>
      <c r="E326" s="29" t="str">
        <f>RawList!H296</f>
        <v>Polymorph - 250g</v>
      </c>
      <c r="F326" s="29" t="str">
        <f>RawList!D296</f>
        <v>TOL-10950</v>
      </c>
      <c r="G326" s="101">
        <f>RawList!E296</f>
        <v>0</v>
      </c>
      <c r="H326" s="29" t="str">
        <f>IF(EquipmentTable[[#This Row],[Units]]&gt;0,"Quantity &gt; 0 Items","Quantity = 0 Items")</f>
        <v>Quantity = 0 Items</v>
      </c>
      <c r="I326" s="102">
        <f>RawList!J296</f>
        <v>9.9499999999999993</v>
      </c>
      <c r="J326" s="14">
        <f>VALUE(EquipmentTable[[#This Row],[Units]]*EquipmentTable[[#This Row],[Unit
 Price]])</f>
        <v>0</v>
      </c>
      <c r="K326" s="29" t="str">
        <f>RawList!G296</f>
        <v>https://cdn.sparkfun.com/r/92-92/assets/parts/6/1/2/7/10950-01.jpg</v>
      </c>
      <c r="L326" s="29"/>
      <c r="M326" s="29" t="str">
        <f>RawList!F296</f>
        <v>https://www.sparkfun.com/products/10950</v>
      </c>
    </row>
    <row r="327" spans="2:13" x14ac:dyDescent="0.25">
      <c r="B327" s="29" t="str">
        <f>RawList!A297</f>
        <v>Hardware Component</v>
      </c>
      <c r="C327" s="29" t="str">
        <f>RawList!B297</f>
        <v>Plastics Fabrication</v>
      </c>
      <c r="D327" s="29" t="str">
        <f>RawList!C297</f>
        <v>Adafruit</v>
      </c>
      <c r="E327" s="29" t="str">
        <f>RawList!H297</f>
        <v>Hand-Moldable Plastic - Low Temperature Thermoplastic - 100g Bag</v>
      </c>
      <c r="F327" s="29" t="str">
        <f>RawList!D297</f>
        <v>2504</v>
      </c>
      <c r="G327" s="101">
        <f>RawList!E297</f>
        <v>3</v>
      </c>
      <c r="H327" s="29" t="str">
        <f>IF(EquipmentTable[[#This Row],[Units]]&gt;0,"Quantity &gt; 0 Items","Quantity = 0 Items")</f>
        <v>Quantity &gt; 0 Items</v>
      </c>
      <c r="I327" s="102">
        <f>RawList!J297</f>
        <v>4.95</v>
      </c>
      <c r="J327" s="14">
        <f>VALUE(EquipmentTable[[#This Row],[Units]]*EquipmentTable[[#This Row],[Unit
 Price]])</f>
        <v>14.850000000000001</v>
      </c>
      <c r="K327" s="29">
        <f>RawList!G297</f>
        <v>0</v>
      </c>
      <c r="L327" s="29"/>
      <c r="M327" s="29">
        <f>RawList!F297</f>
        <v>0</v>
      </c>
    </row>
    <row r="328" spans="2:13" x14ac:dyDescent="0.25">
      <c r="B328" s="29" t="str">
        <f>RawList!A298</f>
        <v>Hardware Component</v>
      </c>
      <c r="C328" s="29" t="str">
        <f>RawList!B298</f>
        <v>Plastics Fabrication</v>
      </c>
      <c r="D328" s="29" t="str">
        <f>RawList!C298</f>
        <v>Adafruit</v>
      </c>
      <c r="E328" s="29" t="str">
        <f>RawList!H298</f>
        <v>Sugru - Black and White Pack</v>
      </c>
      <c r="F328" s="29" t="str">
        <f>RawList!D298</f>
        <v>437</v>
      </c>
      <c r="G328" s="101">
        <f>RawList!E298</f>
        <v>1</v>
      </c>
      <c r="H328" s="29" t="str">
        <f>IF(EquipmentTable[[#This Row],[Units]]&gt;0,"Quantity &gt; 0 Items","Quantity = 0 Items")</f>
        <v>Quantity &gt; 0 Items</v>
      </c>
      <c r="I328" s="102">
        <f>RawList!J298</f>
        <v>17.95</v>
      </c>
      <c r="J328" s="14">
        <f>VALUE(EquipmentTable[[#This Row],[Units]]*EquipmentTable[[#This Row],[Unit
 Price]])</f>
        <v>17.95</v>
      </c>
      <c r="K328" s="29">
        <f>RawList!G298</f>
        <v>0</v>
      </c>
      <c r="L328" s="29"/>
      <c r="M328" s="29">
        <f>RawList!F298</f>
        <v>0</v>
      </c>
    </row>
    <row r="329" spans="2:13" x14ac:dyDescent="0.25">
      <c r="B329" s="29" t="str">
        <f>RawList!A299</f>
        <v>Hardware Component</v>
      </c>
      <c r="C329" s="29" t="str">
        <f>RawList!B299</f>
        <v>Heat Insulation/Dissipation</v>
      </c>
      <c r="D329" s="29" t="str">
        <f>RawList!C299</f>
        <v>SparkFun</v>
      </c>
      <c r="E329" s="29" t="str">
        <f>RawList!H299</f>
        <v>Small Heatsink</v>
      </c>
      <c r="F329" s="29" t="str">
        <f>RawList!D299</f>
        <v>PRT-11510</v>
      </c>
      <c r="G329" s="101">
        <f>RawList!E299</f>
        <v>3</v>
      </c>
      <c r="H329" s="29" t="str">
        <f>IF(EquipmentTable[[#This Row],[Units]]&gt;0,"Quantity &gt; 0 Items","Quantity = 0 Items")</f>
        <v>Quantity &gt; 0 Items</v>
      </c>
      <c r="I329" s="102">
        <f>RawList!J299</f>
        <v>1.95</v>
      </c>
      <c r="J329" s="14">
        <f>VALUE(EquipmentTable[[#This Row],[Units]]*EquipmentTable[[#This Row],[Unit
 Price]])</f>
        <v>5.85</v>
      </c>
      <c r="K329" s="29" t="str">
        <f>RawList!G299</f>
        <v>https://cdn.sparkfun.com/r/92-92/assets/parts/5/7/0/4/10746-02a.jpg</v>
      </c>
      <c r="L329" s="29"/>
      <c r="M329" s="29" t="str">
        <f>RawList!F299</f>
        <v>https://www.sparkfun.com/products/11510</v>
      </c>
    </row>
    <row r="330" spans="2:13" x14ac:dyDescent="0.25">
      <c r="B330" s="29" t="str">
        <f>RawList!A300</f>
        <v>Hardware Component</v>
      </c>
      <c r="C330" s="29" t="str">
        <f>RawList!B300</f>
        <v>Heat Insulation/Dissipation</v>
      </c>
      <c r="D330" s="29" t="str">
        <f>RawList!C300</f>
        <v>SparkFun</v>
      </c>
      <c r="E330" s="29" t="str">
        <f>RawList!H300</f>
        <v>Medium Heatsink</v>
      </c>
      <c r="F330" s="29" t="str">
        <f>RawList!D300</f>
        <v>PRT-14340</v>
      </c>
      <c r="G330" s="101">
        <f>RawList!E300</f>
        <v>3</v>
      </c>
      <c r="H330" s="29" t="str">
        <f>IF(EquipmentTable[[#This Row],[Units]]&gt;0,"Quantity &gt; 0 Items","Quantity = 0 Items")</f>
        <v>Quantity &gt; 0 Items</v>
      </c>
      <c r="I330" s="102">
        <f>RawList!J300</f>
        <v>1.5</v>
      </c>
      <c r="J330" s="14">
        <f>VALUE(EquipmentTable[[#This Row],[Units]]*EquipmentTable[[#This Row],[Unit
 Price]])</f>
        <v>4.5</v>
      </c>
      <c r="K330" s="29" t="str">
        <f>RawList!G300</f>
        <v>https://cdn.sparkfun.com/r/92-92/assets/parts/1/2/3/1/6/14340-01.jpg</v>
      </c>
      <c r="L330" s="29"/>
      <c r="M330" s="29" t="str">
        <f>RawList!F300</f>
        <v>https://www.sparkfun.com/products/14340</v>
      </c>
    </row>
    <row r="331" spans="2:13" x14ac:dyDescent="0.25">
      <c r="B331" s="29" t="str">
        <f>RawList!A301</f>
        <v>Hardware Component</v>
      </c>
      <c r="C331" s="29" t="str">
        <f>RawList!B301</f>
        <v>Heat Insulation/Dissipation</v>
      </c>
      <c r="D331" s="29" t="str">
        <f>RawList!C301</f>
        <v>SparkFun</v>
      </c>
      <c r="E331" s="29" t="str">
        <f>RawList!H301</f>
        <v>Heatsink TO-220</v>
      </c>
      <c r="F331" s="29" t="str">
        <f>RawList!D301</f>
        <v>PRT-00121</v>
      </c>
      <c r="G331" s="101">
        <f>RawList!E301</f>
        <v>3</v>
      </c>
      <c r="H331" s="29" t="str">
        <f>IF(EquipmentTable[[#This Row],[Units]]&gt;0,"Quantity &gt; 0 Items","Quantity = 0 Items")</f>
        <v>Quantity &gt; 0 Items</v>
      </c>
      <c r="I331" s="102">
        <f>RawList!J301</f>
        <v>0.95</v>
      </c>
      <c r="J331" s="14">
        <f>VALUE(EquipmentTable[[#This Row],[Units]]*EquipmentTable[[#This Row],[Unit
 Price]])</f>
        <v>2.8499999999999996</v>
      </c>
      <c r="K331" s="29" t="str">
        <f>RawList!G301</f>
        <v>https://cdn.sparkfun.com/r/92-92/assets/parts/1/1/0/00121-02.jpg</v>
      </c>
      <c r="L331" s="29"/>
      <c r="M331" s="29" t="str">
        <f>RawList!F301</f>
        <v>https://www.sparkfun.com/products/121</v>
      </c>
    </row>
    <row r="332" spans="2:13" x14ac:dyDescent="0.25">
      <c r="B332" s="29" t="str">
        <f>RawList!A302</f>
        <v>Hardware Component</v>
      </c>
      <c r="C332" s="29" t="str">
        <f>RawList!B302</f>
        <v>Heat Insulation/Dissipation</v>
      </c>
      <c r="D332" s="29" t="str">
        <f>RawList!C302</f>
        <v>Adafruit</v>
      </c>
      <c r="E332" s="29" t="str">
        <f>RawList!H302</f>
        <v xml:space="preserve">TO-220 Clip-On Heatsink </v>
      </c>
      <c r="F332" s="29" t="str">
        <f>RawList!D302</f>
        <v>977</v>
      </c>
      <c r="G332" s="101">
        <f>RawList!E302</f>
        <v>10</v>
      </c>
      <c r="H332" s="29" t="str">
        <f>IF(EquipmentTable[[#This Row],[Units]]&gt;0,"Quantity &gt; 0 Items","Quantity = 0 Items")</f>
        <v>Quantity &gt; 0 Items</v>
      </c>
      <c r="I332" s="102">
        <f>RawList!J302</f>
        <v>0.75</v>
      </c>
      <c r="J332" s="14">
        <f>VALUE(EquipmentTable[[#This Row],[Units]]*EquipmentTable[[#This Row],[Unit
 Price]])</f>
        <v>7.5</v>
      </c>
      <c r="K332" s="29">
        <f>RawList!G302</f>
        <v>0</v>
      </c>
      <c r="L332" s="29"/>
      <c r="M332" s="29">
        <f>RawList!F302</f>
        <v>0</v>
      </c>
    </row>
    <row r="333" spans="2:13" x14ac:dyDescent="0.25">
      <c r="B333" s="29" t="str">
        <f>RawList!A303</f>
        <v>Hardware Component</v>
      </c>
      <c r="C333" s="29" t="str">
        <f>RawList!B303</f>
        <v>Heat Insulation/Dissipation</v>
      </c>
      <c r="D333" s="29" t="str">
        <f>RawList!C303</f>
        <v>SparkFun</v>
      </c>
      <c r="E333" s="29" t="str">
        <f>RawList!H303</f>
        <v>Heatsink Compound</v>
      </c>
      <c r="F333" s="29" t="str">
        <f>RawList!D303</f>
        <v>PRT-09599</v>
      </c>
      <c r="G333" s="101">
        <f>RawList!E303</f>
        <v>2</v>
      </c>
      <c r="H333" s="29" t="str">
        <f>IF(EquipmentTable[[#This Row],[Units]]&gt;0,"Quantity &gt; 0 Items","Quantity = 0 Items")</f>
        <v>Quantity &gt; 0 Items</v>
      </c>
      <c r="I333" s="102">
        <f>RawList!J303</f>
        <v>1.95</v>
      </c>
      <c r="J333" s="14">
        <f>VALUE(EquipmentTable[[#This Row],[Units]]*EquipmentTable[[#This Row],[Unit
 Price]])</f>
        <v>3.9</v>
      </c>
      <c r="K333" s="29" t="str">
        <f>RawList!G303</f>
        <v>https://cdn.sparkfun.com/r/92-92/assets/parts/3/4/2/2/09599-01.jpg</v>
      </c>
      <c r="L333" s="29"/>
      <c r="M333" s="29" t="str">
        <f>RawList!F303</f>
        <v>https://www.sparkfun.com/products/9599</v>
      </c>
    </row>
    <row r="334" spans="2:13" x14ac:dyDescent="0.25">
      <c r="B334" s="29" t="str">
        <f>RawList!A304</f>
        <v>Hardware Component</v>
      </c>
      <c r="C334" s="29" t="str">
        <f>RawList!B304</f>
        <v>Heat Insulation/Dissipation</v>
      </c>
      <c r="D334" s="29" t="str">
        <f>RawList!C304</f>
        <v>SparkFun</v>
      </c>
      <c r="E334" s="29" t="str">
        <f>RawList!H304</f>
        <v>Theragrip Thermal Tape</v>
      </c>
      <c r="F334" s="29" t="str">
        <f>RawList!D304</f>
        <v>PRT-09771</v>
      </c>
      <c r="G334" s="101">
        <f>RawList!E304</f>
        <v>3</v>
      </c>
      <c r="H334" s="29" t="str">
        <f>IF(EquipmentTable[[#This Row],[Units]]&gt;0,"Quantity &gt; 0 Items","Quantity = 0 Items")</f>
        <v>Quantity &gt; 0 Items</v>
      </c>
      <c r="I334" s="102">
        <f>RawList!J304</f>
        <v>3.95</v>
      </c>
      <c r="J334" s="14">
        <f>VALUE(EquipmentTable[[#This Row],[Units]]*EquipmentTable[[#This Row],[Unit
 Price]])</f>
        <v>11.850000000000001</v>
      </c>
      <c r="K334" s="29" t="str">
        <f>RawList!G304</f>
        <v>https://cdn.sparkfun.com/r/92-92/assets/parts/3/7/4/5/09771-04.jpg</v>
      </c>
      <c r="L334" s="29"/>
      <c r="M334" s="29" t="str">
        <f>RawList!F304</f>
        <v>https://www.sparkfun.com/products/9771</v>
      </c>
    </row>
    <row r="335" spans="2:13" x14ac:dyDescent="0.25">
      <c r="B335" s="29" t="str">
        <f>RawList!A305</f>
        <v>Hardware Component</v>
      </c>
      <c r="C335" s="29" t="str">
        <f>RawList!B305</f>
        <v>Standoffs/Screws</v>
      </c>
      <c r="D335" s="29" t="str">
        <f>RawList!C305</f>
        <v>SparkFun</v>
      </c>
      <c r="E335" s="29" t="str">
        <f>RawList!H305</f>
        <v>Standoff - Nylon (4-40; 3/4\"; 10 pack)</v>
      </c>
      <c r="F335" s="29" t="str">
        <f>RawList!D305</f>
        <v>PRT-11796</v>
      </c>
      <c r="G335" s="101">
        <f>RawList!E305</f>
        <v>3</v>
      </c>
      <c r="H335" s="29" t="str">
        <f>IF(EquipmentTable[[#This Row],[Units]]&gt;0,"Quantity &gt; 0 Items","Quantity = 0 Items")</f>
        <v>Quantity &gt; 0 Items</v>
      </c>
      <c r="I335" s="102">
        <f>RawList!J305</f>
        <v>3.95</v>
      </c>
      <c r="J335" s="14">
        <f>VALUE(EquipmentTable[[#This Row],[Units]]*EquipmentTable[[#This Row],[Unit
 Price]])</f>
        <v>11.850000000000001</v>
      </c>
      <c r="K335" s="29" t="str">
        <f>RawList!G305</f>
        <v>https://cdn.sparkfun.com/r/92-92/assets/parts/8/0/8/2/10315_03b.jpg</v>
      </c>
      <c r="L335" s="29"/>
      <c r="M335" s="29" t="str">
        <f>RawList!F305</f>
        <v>https://www.sparkfun.com/products/11796</v>
      </c>
    </row>
    <row r="336" spans="2:13" x14ac:dyDescent="0.25">
      <c r="B336" s="29" t="str">
        <f>RawList!A306</f>
        <v>Hardware Component</v>
      </c>
      <c r="C336" s="29" t="str">
        <f>RawList!B306</f>
        <v>Standoffs/Screws</v>
      </c>
      <c r="D336" s="29" t="str">
        <f>RawList!C306</f>
        <v>SparkFun</v>
      </c>
      <c r="E336" s="29" t="str">
        <f>RawList!H306</f>
        <v>Standoff - Nylon (4-40; 3/8\"; 10 pack)</v>
      </c>
      <c r="F336" s="29" t="str">
        <f>RawList!D306</f>
        <v>PRT-10927</v>
      </c>
      <c r="G336" s="101">
        <f>RawList!E306</f>
        <v>5</v>
      </c>
      <c r="H336" s="29" t="str">
        <f>IF(EquipmentTable[[#This Row],[Units]]&gt;0,"Quantity &gt; 0 Items","Quantity = 0 Items")</f>
        <v>Quantity &gt; 0 Items</v>
      </c>
      <c r="I336" s="102">
        <f>RawList!J306</f>
        <v>2.95</v>
      </c>
      <c r="J336" s="14">
        <f>VALUE(EquipmentTable[[#This Row],[Units]]*EquipmentTable[[#This Row],[Unit
 Price]])</f>
        <v>14.75</v>
      </c>
      <c r="K336" s="29" t="str">
        <f>RawList!G306</f>
        <v>https://cdn.sparkfun.com/r/92-92/assets/parts/6/0/7/1/10927-03.jpg</v>
      </c>
      <c r="L336" s="29"/>
      <c r="M336" s="29" t="str">
        <f>RawList!F306</f>
        <v>https://www.sparkfun.com/products/10927</v>
      </c>
    </row>
    <row r="337" spans="2:13" x14ac:dyDescent="0.25">
      <c r="B337" s="29" t="str">
        <f>RawList!A307</f>
        <v>Hardware Component</v>
      </c>
      <c r="C337" s="29" t="str">
        <f>RawList!B307</f>
        <v>Standoffs/Screws</v>
      </c>
      <c r="D337" s="29" t="str">
        <f>RawList!C307</f>
        <v>SparkFun</v>
      </c>
      <c r="E337" s="29" t="str">
        <f>RawList!H307</f>
        <v>Screw - Phillips Head (1/4\", 4-40, 10 pack)</v>
      </c>
      <c r="F337" s="29" t="str">
        <f>RawList!D307</f>
        <v>PRT-10453</v>
      </c>
      <c r="G337" s="101">
        <f>RawList!E307</f>
        <v>5</v>
      </c>
      <c r="H337" s="29" t="str">
        <f>IF(EquipmentTable[[#This Row],[Units]]&gt;0,"Quantity &gt; 0 Items","Quantity = 0 Items")</f>
        <v>Quantity &gt; 0 Items</v>
      </c>
      <c r="I337" s="102">
        <f>RawList!J307</f>
        <v>1.5</v>
      </c>
      <c r="J337" s="14">
        <f>VALUE(EquipmentTable[[#This Row],[Units]]*EquipmentTable[[#This Row],[Unit
 Price]])</f>
        <v>7.5</v>
      </c>
      <c r="K337" s="29" t="str">
        <f>RawList!G307</f>
        <v>https://cdn.sparkfun.com/r/92-92/assets/parts/4/9/4/7/10453-01.jpg</v>
      </c>
      <c r="L337" s="29"/>
      <c r="M337" s="29" t="str">
        <f>RawList!F307</f>
        <v>https://www.sparkfun.com/products/10453</v>
      </c>
    </row>
    <row r="338" spans="2:13" x14ac:dyDescent="0.25">
      <c r="B338" s="29" t="str">
        <f>RawList!A308</f>
        <v>Hardware Component</v>
      </c>
      <c r="C338" s="29" t="str">
        <f>RawList!B308</f>
        <v>Standoffs/Screws</v>
      </c>
      <c r="D338" s="29" t="str">
        <f>RawList!C308</f>
        <v>SparkFun</v>
      </c>
      <c r="E338" s="29" t="str">
        <f>RawList!H308</f>
        <v>Standoff - Metal (1\", 4-40, 10 pack)</v>
      </c>
      <c r="F338" s="29" t="str">
        <f>RawList!D308</f>
        <v>PRT-10738</v>
      </c>
      <c r="G338" s="101">
        <f>RawList!E308</f>
        <v>3</v>
      </c>
      <c r="H338" s="29" t="str">
        <f>IF(EquipmentTable[[#This Row],[Units]]&gt;0,"Quantity &gt; 0 Items","Quantity = 0 Items")</f>
        <v>Quantity &gt; 0 Items</v>
      </c>
      <c r="I338" s="102">
        <f>RawList!J308</f>
        <v>3.95</v>
      </c>
      <c r="J338" s="14">
        <f>VALUE(EquipmentTable[[#This Row],[Units]]*EquipmentTable[[#This Row],[Unit
 Price]])</f>
        <v>11.850000000000001</v>
      </c>
      <c r="K338" s="29" t="str">
        <f>RawList!G308</f>
        <v>https://cdn.sparkfun.com/r/92-92/assets/parts/5/6/4/4/10738-01.jpg</v>
      </c>
      <c r="L338" s="29"/>
      <c r="M338" s="29" t="str">
        <f>RawList!F308</f>
        <v>https://www.sparkfun.com/products/10738</v>
      </c>
    </row>
    <row r="339" spans="2:13" x14ac:dyDescent="0.25">
      <c r="B339" s="29" t="str">
        <f>RawList!A309</f>
        <v>Hardware Component</v>
      </c>
      <c r="C339" s="29" t="str">
        <f>RawList!B309</f>
        <v>Standoffs/Screws</v>
      </c>
      <c r="D339" s="29" t="str">
        <f>RawList!C309</f>
        <v>SparkFun</v>
      </c>
      <c r="E339" s="29" t="str">
        <f>RawList!H309</f>
        <v>Screw - Phillips Head (1\", 4-40, 10 pack)</v>
      </c>
      <c r="F339" s="29" t="str">
        <f>RawList!D309</f>
        <v>PRT-10450</v>
      </c>
      <c r="G339" s="101">
        <f>RawList!E309</f>
        <v>5</v>
      </c>
      <c r="H339" s="29" t="str">
        <f>IF(EquipmentTable[[#This Row],[Units]]&gt;0,"Quantity &gt; 0 Items","Quantity = 0 Items")</f>
        <v>Quantity &gt; 0 Items</v>
      </c>
      <c r="I339" s="102">
        <f>RawList!J309</f>
        <v>0.46</v>
      </c>
      <c r="J339" s="14">
        <f>VALUE(EquipmentTable[[#This Row],[Units]]*EquipmentTable[[#This Row],[Unit
 Price]])</f>
        <v>2.3000000000000003</v>
      </c>
      <c r="K339" s="29" t="str">
        <f>RawList!G309</f>
        <v>https://cdn.sparkfun.com/r/92-92/assets/parts/4/9/3/9/10450-02.jpg</v>
      </c>
      <c r="L339" s="29"/>
      <c r="M339" s="29" t="str">
        <f>RawList!F309</f>
        <v>https://www.sparkfun.com/products/10450</v>
      </c>
    </row>
    <row r="340" spans="2:13" x14ac:dyDescent="0.25">
      <c r="B340" s="29" t="str">
        <f>RawList!A310</f>
        <v>Hardware Component</v>
      </c>
      <c r="C340" s="29" t="str">
        <f>RawList!B310</f>
        <v>Standoffs/Screws</v>
      </c>
      <c r="D340" s="29" t="str">
        <f>RawList!C310</f>
        <v>SparkFun</v>
      </c>
      <c r="E340" s="29" t="str">
        <f>RawList!H310</f>
        <v>Standoff - Metal Hex (4-40; 3/8\"; 10 pack)</v>
      </c>
      <c r="F340" s="29" t="str">
        <f>RawList!D310</f>
        <v>PRT-10463</v>
      </c>
      <c r="G340" s="101">
        <f>RawList!E310</f>
        <v>10</v>
      </c>
      <c r="H340" s="29" t="str">
        <f>IF(EquipmentTable[[#This Row],[Units]]&gt;0,"Quantity &gt; 0 Items","Quantity = 0 Items")</f>
        <v>Quantity &gt; 0 Items</v>
      </c>
      <c r="I340" s="102">
        <f>RawList!J310</f>
        <v>3.95</v>
      </c>
      <c r="J340" s="14">
        <f>VALUE(EquipmentTable[[#This Row],[Units]]*EquipmentTable[[#This Row],[Unit
 Price]])</f>
        <v>39.5</v>
      </c>
      <c r="K340" s="29" t="str">
        <f>RawList!G310</f>
        <v>https://cdn.sparkfun.com/r/92-92/assets/parts/4/9/5/4/10463-01.jpg</v>
      </c>
      <c r="L340" s="29"/>
      <c r="M340" s="29" t="str">
        <f>RawList!F310</f>
        <v>https://www.sparkfun.com/products/10463</v>
      </c>
    </row>
    <row r="341" spans="2:13" hidden="1" x14ac:dyDescent="0.25">
      <c r="B341" s="29" t="str">
        <f>RawList!A311</f>
        <v>Hardware Component</v>
      </c>
      <c r="C341" s="29" t="str">
        <f>RawList!B311</f>
        <v>Trace/Shielding Construction</v>
      </c>
      <c r="D341" s="29" t="str">
        <f>RawList!C311</f>
        <v>SparkFun</v>
      </c>
      <c r="E341" s="29" t="str">
        <f>RawList!H311</f>
        <v>Copper Tape - 5mm (50ft)</v>
      </c>
      <c r="F341" s="29" t="str">
        <f>RawList!D311</f>
        <v>PRT-10561</v>
      </c>
      <c r="G341" s="101">
        <f>RawList!E311</f>
        <v>1</v>
      </c>
      <c r="H341" s="29" t="str">
        <f>IF(EquipmentTable[[#This Row],[Units]]&gt;0,"Quantity &gt; 0 Items","Quantity = 0 Items")</f>
        <v>Quantity &gt; 0 Items</v>
      </c>
      <c r="I341" s="102">
        <f>RawList!J311</f>
        <v>2.95</v>
      </c>
      <c r="J341" s="14">
        <f>VALUE(EquipmentTable[[#This Row],[Units]]*EquipmentTable[[#This Row],[Unit
 Price]])</f>
        <v>2.95</v>
      </c>
      <c r="K341" s="29" t="str">
        <f>RawList!G311</f>
        <v>https://cdn.sparkfun.com/r/92-92/assets/parts/5/1/8/1/10561-01.jpg</v>
      </c>
      <c r="L341" s="29"/>
      <c r="M341" s="29" t="str">
        <f>RawList!F311</f>
        <v>https://www.sparkfun.com/products/10561</v>
      </c>
    </row>
    <row r="342" spans="2:13" hidden="1" x14ac:dyDescent="0.25">
      <c r="B342" s="29" t="str">
        <f>RawList!A312</f>
        <v>Hardware Component</v>
      </c>
      <c r="C342" s="29" t="str">
        <f>RawList!B312</f>
        <v>Trace/Shielding Construction</v>
      </c>
      <c r="D342" s="29" t="str">
        <f>RawList!C312</f>
        <v>SparkFun</v>
      </c>
      <c r="E342" s="29" t="str">
        <f>RawList!H312</f>
        <v>Copper Tape - Conductive Adhesive, 5mm (50ft)</v>
      </c>
      <c r="F342" s="29" t="str">
        <f>RawList!D312</f>
        <v>PRT-13827</v>
      </c>
      <c r="G342" s="101">
        <f>RawList!E312</f>
        <v>1</v>
      </c>
      <c r="H342" s="29" t="str">
        <f>IF(EquipmentTable[[#This Row],[Units]]&gt;0,"Quantity &gt; 0 Items","Quantity = 0 Items")</f>
        <v>Quantity &gt; 0 Items</v>
      </c>
      <c r="I342" s="102">
        <f>RawList!J312</f>
        <v>3.95</v>
      </c>
      <c r="J342" s="14">
        <f>VALUE(EquipmentTable[[#This Row],[Units]]*EquipmentTable[[#This Row],[Unit
 Price]])</f>
        <v>3.95</v>
      </c>
      <c r="K342" s="29" t="str">
        <f>RawList!G312</f>
        <v>https://cdn.sparkfun.com/r/92-92/assets/parts/1/1/4/2/2/13827-01.jpg</v>
      </c>
      <c r="L342" s="29"/>
      <c r="M342" s="29" t="str">
        <f>RawList!F312</f>
        <v>https://www.sparkfun.com/products/13827</v>
      </c>
    </row>
    <row r="343" spans="2:13" x14ac:dyDescent="0.25">
      <c r="B343" s="29" t="str">
        <f>RawList!A313</f>
        <v>Low-Level Electronics</v>
      </c>
      <c r="C343" s="29" t="str">
        <f>RawList!B313</f>
        <v>Buttons/Switches/Knobs</v>
      </c>
      <c r="D343" s="29" t="str">
        <f>RawList!C313</f>
        <v>SparkFun</v>
      </c>
      <c r="E343" s="29" t="str">
        <f>RawList!H313</f>
        <v>LED Tactile Button Breakout</v>
      </c>
      <c r="F343" s="29" t="str">
        <f>RawList!D313</f>
        <v>BOB-10467</v>
      </c>
      <c r="G343" s="101">
        <f>RawList!E313</f>
        <v>4</v>
      </c>
      <c r="H343" s="29" t="str">
        <f>IF(EquipmentTable[[#This Row],[Units]]&gt;0,"Quantity &gt; 0 Items","Quantity = 0 Items")</f>
        <v>Quantity &gt; 0 Items</v>
      </c>
      <c r="I343" s="102">
        <f>RawList!J313</f>
        <v>1.5</v>
      </c>
      <c r="J343" s="14">
        <f>VALUE(EquipmentTable[[#This Row],[Units]]*EquipmentTable[[#This Row],[Unit
 Price]])</f>
        <v>6</v>
      </c>
      <c r="K343" s="29" t="str">
        <f>RawList!G313</f>
        <v>https://cdn.sparkfun.com/r/92-92/assets/parts/4/9/5/9/10467-01.jpg</v>
      </c>
      <c r="L343" s="29"/>
      <c r="M343" s="29" t="str">
        <f>RawList!F313</f>
        <v>https://www.sparkfun.com/products/10467</v>
      </c>
    </row>
    <row r="344" spans="2:13" x14ac:dyDescent="0.25">
      <c r="B344" s="29" t="str">
        <f>RawList!A314</f>
        <v>Low-Level Electronics</v>
      </c>
      <c r="C344" s="29" t="str">
        <f>RawList!B314</f>
        <v>Buttons/Switches/Knobs</v>
      </c>
      <c r="D344" s="29" t="str">
        <f>RawList!C314</f>
        <v>SparkFun</v>
      </c>
      <c r="E344" s="29" t="str">
        <f>RawList!H314</f>
        <v>LED Tactile Button - Blue</v>
      </c>
      <c r="F344" s="29" t="str">
        <f>RawList!D314</f>
        <v>COM-10443</v>
      </c>
      <c r="G344" s="101">
        <f>RawList!E314</f>
        <v>1</v>
      </c>
      <c r="H344" s="29" t="str">
        <f>IF(EquipmentTable[[#This Row],[Units]]&gt;0,"Quantity &gt; 0 Items","Quantity = 0 Items")</f>
        <v>Quantity &gt; 0 Items</v>
      </c>
      <c r="I344" s="102">
        <f>RawList!J314</f>
        <v>1.95</v>
      </c>
      <c r="J344" s="14">
        <f>VALUE(EquipmentTable[[#This Row],[Units]]*EquipmentTable[[#This Row],[Unit
 Price]])</f>
        <v>1.95</v>
      </c>
      <c r="K344" s="29" t="str">
        <f>RawList!G314</f>
        <v>https://cdn.sparkfun.com/r/92-92/assets/parts/4/9/3/1/10443-01.jpg</v>
      </c>
      <c r="L344" s="29"/>
      <c r="M344" s="29" t="str">
        <f>RawList!F314</f>
        <v>https://www.sparkfun.com/products/10443</v>
      </c>
    </row>
    <row r="345" spans="2:13" x14ac:dyDescent="0.25">
      <c r="B345" s="29" t="str">
        <f>RawList!A315</f>
        <v>Low-Level Electronics</v>
      </c>
      <c r="C345" s="29" t="str">
        <f>RawList!B315</f>
        <v>Buttons/Switches/Knobs</v>
      </c>
      <c r="D345" s="29" t="str">
        <f>RawList!C315</f>
        <v>SparkFun</v>
      </c>
      <c r="E345" s="29" t="str">
        <f>RawList!H315</f>
        <v>LED Tactile Button - Green</v>
      </c>
      <c r="F345" s="29" t="str">
        <f>RawList!D315</f>
        <v>COM-10440</v>
      </c>
      <c r="G345" s="101">
        <f>RawList!E315</f>
        <v>1</v>
      </c>
      <c r="H345" s="29" t="str">
        <f>IF(EquipmentTable[[#This Row],[Units]]&gt;0,"Quantity &gt; 0 Items","Quantity = 0 Items")</f>
        <v>Quantity &gt; 0 Items</v>
      </c>
      <c r="I345" s="102">
        <f>RawList!J315</f>
        <v>1.95</v>
      </c>
      <c r="J345" s="14">
        <f>VALUE(EquipmentTable[[#This Row],[Units]]*EquipmentTable[[#This Row],[Unit
 Price]])</f>
        <v>1.95</v>
      </c>
      <c r="K345" s="29" t="str">
        <f>RawList!G315</f>
        <v>https://cdn.sparkfun.com/r/92-92/assets/parts/4/9/2/8/10440-01.jpg</v>
      </c>
      <c r="L345" s="29"/>
      <c r="M345" s="29" t="str">
        <f>RawList!F315</f>
        <v>https://www.sparkfun.com/products/10440</v>
      </c>
    </row>
    <row r="346" spans="2:13" x14ac:dyDescent="0.25">
      <c r="B346" s="29" t="str">
        <f>RawList!A316</f>
        <v>Low-Level Electronics</v>
      </c>
      <c r="C346" s="29" t="str">
        <f>RawList!B316</f>
        <v>Buttons/Switches/Knobs</v>
      </c>
      <c r="D346" s="29" t="str">
        <f>RawList!C316</f>
        <v>SparkFun</v>
      </c>
      <c r="E346" s="29" t="str">
        <f>RawList!H316</f>
        <v>LED Tactile Button - Red</v>
      </c>
      <c r="F346" s="29" t="str">
        <f>RawList!D316</f>
        <v>COM-10442</v>
      </c>
      <c r="G346" s="101">
        <f>RawList!E316</f>
        <v>1</v>
      </c>
      <c r="H346" s="29" t="str">
        <f>IF(EquipmentTable[[#This Row],[Units]]&gt;0,"Quantity &gt; 0 Items","Quantity = 0 Items")</f>
        <v>Quantity &gt; 0 Items</v>
      </c>
      <c r="I346" s="102">
        <f>RawList!J316</f>
        <v>1.95</v>
      </c>
      <c r="J346" s="14">
        <f>VALUE(EquipmentTable[[#This Row],[Units]]*EquipmentTable[[#This Row],[Unit
 Price]])</f>
        <v>1.95</v>
      </c>
      <c r="K346" s="29" t="str">
        <f>RawList!G316</f>
        <v>https://cdn.sparkfun.com/r/92-92/assets/parts/4/9/3/0/10442-01.jpg</v>
      </c>
      <c r="L346" s="29"/>
      <c r="M346" s="29" t="str">
        <f>RawList!F316</f>
        <v>https://www.sparkfun.com/products/10442</v>
      </c>
    </row>
    <row r="347" spans="2:13" x14ac:dyDescent="0.25">
      <c r="B347" s="29" t="str">
        <f>RawList!A317</f>
        <v>Low-Level Electronics</v>
      </c>
      <c r="C347" s="29" t="str">
        <f>RawList!B317</f>
        <v>Buttons/Switches/Knobs</v>
      </c>
      <c r="D347" s="29" t="str">
        <f>RawList!C317</f>
        <v>SparkFun</v>
      </c>
      <c r="E347" s="29" t="str">
        <f>RawList!H317</f>
        <v>LED Tactile Button - Orange</v>
      </c>
      <c r="F347" s="29" t="str">
        <f>RawList!D317</f>
        <v>COM-10441</v>
      </c>
      <c r="G347" s="101">
        <f>RawList!E317</f>
        <v>0</v>
      </c>
      <c r="H347" s="29" t="str">
        <f>IF(EquipmentTable[[#This Row],[Units]]&gt;0,"Quantity &gt; 0 Items","Quantity = 0 Items")</f>
        <v>Quantity = 0 Items</v>
      </c>
      <c r="I347" s="102">
        <f>RawList!J317</f>
        <v>1.95</v>
      </c>
      <c r="J347" s="14">
        <f>VALUE(EquipmentTable[[#This Row],[Units]]*EquipmentTable[[#This Row],[Unit
 Price]])</f>
        <v>0</v>
      </c>
      <c r="K347" s="29" t="str">
        <f>RawList!G317</f>
        <v>https://cdn.sparkfun.com/r/92-92/assets/parts/4/9/2/9/10441-01b.jpg</v>
      </c>
      <c r="L347" s="29"/>
      <c r="M347" s="29" t="str">
        <f>RawList!F317</f>
        <v>https://www.sparkfun.com/products/10441</v>
      </c>
    </row>
    <row r="348" spans="2:13" x14ac:dyDescent="0.25">
      <c r="B348" s="29" t="str">
        <f>RawList!A318</f>
        <v>Low-Level Electronics</v>
      </c>
      <c r="C348" s="29" t="str">
        <f>RawList!B318</f>
        <v>Buttons/Switches/Knobs</v>
      </c>
      <c r="D348" s="29" t="str">
        <f>RawList!C318</f>
        <v>SparkFun</v>
      </c>
      <c r="E348" s="29" t="str">
        <f>RawList!H318</f>
        <v>LED Tactile Button- White</v>
      </c>
      <c r="F348" s="29" t="str">
        <f>RawList!D318</f>
        <v>COM-10439</v>
      </c>
      <c r="G348" s="101">
        <f>RawList!E318</f>
        <v>1</v>
      </c>
      <c r="H348" s="29" t="str">
        <f>IF(EquipmentTable[[#This Row],[Units]]&gt;0,"Quantity &gt; 0 Items","Quantity = 0 Items")</f>
        <v>Quantity &gt; 0 Items</v>
      </c>
      <c r="I348" s="102">
        <f>RawList!J318</f>
        <v>1.95</v>
      </c>
      <c r="J348" s="14">
        <f>VALUE(EquipmentTable[[#This Row],[Units]]*EquipmentTable[[#This Row],[Unit
 Price]])</f>
        <v>1.95</v>
      </c>
      <c r="K348" s="29" t="str">
        <f>RawList!G318</f>
        <v>https://cdn.sparkfun.com/r/92-92/assets/parts/4/9/2/7/10439-01.jpg</v>
      </c>
      <c r="L348" s="29"/>
      <c r="M348" s="29" t="str">
        <f>RawList!F318</f>
        <v>https://www.sparkfun.com/products/10439</v>
      </c>
    </row>
    <row r="349" spans="2:13" x14ac:dyDescent="0.25">
      <c r="B349" s="29" t="str">
        <f>RawList!A319</f>
        <v>Low-Level Electronics</v>
      </c>
      <c r="C349" s="29" t="str">
        <f>RawList!B319</f>
        <v>Buttons/Switches/Knobs</v>
      </c>
      <c r="D349" s="29" t="str">
        <f>RawList!C319</f>
        <v>Adafruit</v>
      </c>
      <c r="E349" s="29" t="str">
        <f>RawList!H319</f>
        <v xml:space="preserve">Tactile Switch Buttons (12mm square, 6mm tall) x 10 pack </v>
      </c>
      <c r="F349" s="29" t="str">
        <f>RawList!D319</f>
        <v>1119</v>
      </c>
      <c r="G349" s="101">
        <f>RawList!E319</f>
        <v>0</v>
      </c>
      <c r="H349" s="29" t="str">
        <f>IF(EquipmentTable[[#This Row],[Units]]&gt;0,"Quantity &gt; 0 Items","Quantity = 0 Items")</f>
        <v>Quantity = 0 Items</v>
      </c>
      <c r="I349" s="102">
        <f>RawList!J319</f>
        <v>2.5</v>
      </c>
      <c r="J349" s="14">
        <f>VALUE(EquipmentTable[[#This Row],[Units]]*EquipmentTable[[#This Row],[Unit
 Price]])</f>
        <v>0</v>
      </c>
      <c r="K349" s="29">
        <f>RawList!G319</f>
        <v>0</v>
      </c>
      <c r="L349" s="29"/>
      <c r="M349" s="29">
        <f>RawList!F319</f>
        <v>0</v>
      </c>
    </row>
    <row r="350" spans="2:13" x14ac:dyDescent="0.25">
      <c r="B350" s="29" t="str">
        <f>RawList!A320</f>
        <v>Low-Level Electronics</v>
      </c>
      <c r="C350" s="29" t="str">
        <f>RawList!B320</f>
        <v>Buttons/Switches/Knobs</v>
      </c>
      <c r="D350" s="29" t="str">
        <f>RawList!C320</f>
        <v>SparkFun</v>
      </c>
      <c r="E350" s="29" t="str">
        <f>RawList!H320</f>
        <v>Mini Pushbutton Switch</v>
      </c>
      <c r="F350" s="29" t="str">
        <f>RawList!D320</f>
        <v>COM-00097</v>
      </c>
      <c r="G350" s="101">
        <f>RawList!E320</f>
        <v>2</v>
      </c>
      <c r="H350" s="29" t="str">
        <f>IF(EquipmentTable[[#This Row],[Units]]&gt;0,"Quantity &gt; 0 Items","Quantity = 0 Items")</f>
        <v>Quantity &gt; 0 Items</v>
      </c>
      <c r="I350" s="102">
        <f>RawList!J320</f>
        <v>0.35</v>
      </c>
      <c r="J350" s="14">
        <f>VALUE(EquipmentTable[[#This Row],[Units]]*EquipmentTable[[#This Row],[Unit
 Price]])</f>
        <v>0.7</v>
      </c>
      <c r="K350" s="29" t="str">
        <f>RawList!G320</f>
        <v>https://cdn.sparkfun.com/r/92-92/assets/parts/9/0/00097-03-L.jpg</v>
      </c>
      <c r="L350" s="29"/>
      <c r="M350" s="29" t="str">
        <f>RawList!F320</f>
        <v>https://www.sparkfun.com/products/97</v>
      </c>
    </row>
    <row r="351" spans="2:13" x14ac:dyDescent="0.25">
      <c r="B351" s="29" t="str">
        <f>RawList!A321</f>
        <v>Low-Level Electronics</v>
      </c>
      <c r="C351" s="29" t="str">
        <f>RawList!B321</f>
        <v>Buttons/Switches/Knobs</v>
      </c>
      <c r="D351" s="29" t="str">
        <f>RawList!C321</f>
        <v>SparkFun</v>
      </c>
      <c r="E351" s="29" t="str">
        <f>RawList!H321</f>
        <v>Mini Pushbutton Switch - Tall</v>
      </c>
      <c r="F351" s="29" t="str">
        <f>RawList!D321</f>
        <v>COM-08605</v>
      </c>
      <c r="G351" s="101">
        <f>RawList!E321</f>
        <v>2</v>
      </c>
      <c r="H351" s="29" t="str">
        <f>IF(EquipmentTable[[#This Row],[Units]]&gt;0,"Quantity &gt; 0 Items","Quantity = 0 Items")</f>
        <v>Quantity &gt; 0 Items</v>
      </c>
      <c r="I351" s="102">
        <f>RawList!J321</f>
        <v>0.5</v>
      </c>
      <c r="J351" s="14">
        <f>VALUE(EquipmentTable[[#This Row],[Units]]*EquipmentTable[[#This Row],[Unit
 Price]])</f>
        <v>1</v>
      </c>
      <c r="K351" s="29" t="str">
        <f>RawList!G321</f>
        <v>https://cdn.sparkfun.com/r/92-92/assets/parts/1/6/7/9/08605-04-L.jpg</v>
      </c>
      <c r="L351" s="29"/>
      <c r="M351" s="29" t="str">
        <f>RawList!F321</f>
        <v>https://www.sparkfun.com/products/8605</v>
      </c>
    </row>
    <row r="352" spans="2:13" x14ac:dyDescent="0.25">
      <c r="B352" s="29" t="str">
        <f>RawList!A322</f>
        <v>Low-Level Electronics</v>
      </c>
      <c r="C352" s="29" t="str">
        <f>RawList!B322</f>
        <v>Buttons/Switches/Knobs</v>
      </c>
      <c r="D352" s="29" t="str">
        <f>RawList!C322</f>
        <v>SparkFun</v>
      </c>
      <c r="E352" s="29" t="str">
        <f>RawList!H322</f>
        <v>Momentary Pushbutton Switch - 12mm Square</v>
      </c>
      <c r="F352" s="29" t="str">
        <f>RawList!D322</f>
        <v>COM-09190</v>
      </c>
      <c r="G352" s="101">
        <f>RawList!E322</f>
        <v>2</v>
      </c>
      <c r="H352" s="29" t="str">
        <f>IF(EquipmentTable[[#This Row],[Units]]&gt;0,"Quantity &gt; 0 Items","Quantity = 0 Items")</f>
        <v>Quantity &gt; 0 Items</v>
      </c>
      <c r="I352" s="102">
        <f>RawList!J322</f>
        <v>0.5</v>
      </c>
      <c r="J352" s="14">
        <f>VALUE(EquipmentTable[[#This Row],[Units]]*EquipmentTable[[#This Row],[Unit
 Price]])</f>
        <v>1</v>
      </c>
      <c r="K352" s="29" t="str">
        <f>RawList!G322</f>
        <v>https://cdn.sparkfun.com/r/92-92/assets/parts/2/6/2/9/09190-03-L.jpg</v>
      </c>
      <c r="L352" s="29"/>
      <c r="M352" s="29" t="str">
        <f>RawList!F322</f>
        <v>https://www.sparkfun.com/products/9190</v>
      </c>
    </row>
    <row r="353" spans="2:13" x14ac:dyDescent="0.25">
      <c r="B353" s="29" t="str">
        <f>RawList!A323</f>
        <v>Low-Level Electronics</v>
      </c>
      <c r="C353" s="29" t="str">
        <f>RawList!B323</f>
        <v>Buttons/Switches/Knobs</v>
      </c>
      <c r="D353" s="29" t="str">
        <f>RawList!C323</f>
        <v>Adafruit</v>
      </c>
      <c r="E353" s="29" t="str">
        <f>RawList!H323</f>
        <v xml:space="preserve">Mini Illuminated Momentary Pushbutton - Blue Power Symbol </v>
      </c>
      <c r="F353" s="29" t="str">
        <f>RawList!D323</f>
        <v>3105</v>
      </c>
      <c r="G353" s="101">
        <f>RawList!E323</f>
        <v>0</v>
      </c>
      <c r="H353" s="29" t="str">
        <f>IF(EquipmentTable[[#This Row],[Units]]&gt;0,"Quantity &gt; 0 Items","Quantity = 0 Items")</f>
        <v>Quantity = 0 Items</v>
      </c>
      <c r="I353" s="102">
        <f>RawList!J323</f>
        <v>1.95</v>
      </c>
      <c r="J353" s="14">
        <f>VALUE(EquipmentTable[[#This Row],[Units]]*EquipmentTable[[#This Row],[Unit
 Price]])</f>
        <v>0</v>
      </c>
      <c r="K353" s="29">
        <f>RawList!G323</f>
        <v>0</v>
      </c>
      <c r="L353" s="29"/>
      <c r="M353" s="29">
        <f>RawList!F323</f>
        <v>0</v>
      </c>
    </row>
    <row r="354" spans="2:13" x14ac:dyDescent="0.25">
      <c r="B354" s="29" t="str">
        <f>RawList!A324</f>
        <v>Low-Level Electronics</v>
      </c>
      <c r="C354" s="29" t="str">
        <f>RawList!B324</f>
        <v>Buttons/Switches/Knobs</v>
      </c>
      <c r="D354" s="29" t="str">
        <f>RawList!C324</f>
        <v>Adafruit</v>
      </c>
      <c r="E354" s="29" t="str">
        <f>RawList!H324</f>
        <v>Mini Illuminated Momentary Pushbutton - Red Power Symbol</v>
      </c>
      <c r="F354" s="29" t="str">
        <f>RawList!D324</f>
        <v>3104</v>
      </c>
      <c r="G354" s="101">
        <f>RawList!E324</f>
        <v>0</v>
      </c>
      <c r="H354" s="29" t="str">
        <f>IF(EquipmentTable[[#This Row],[Units]]&gt;0,"Quantity &gt; 0 Items","Quantity = 0 Items")</f>
        <v>Quantity = 0 Items</v>
      </c>
      <c r="I354" s="102">
        <f>RawList!J324</f>
        <v>1.95</v>
      </c>
      <c r="J354" s="14">
        <f>VALUE(EquipmentTable[[#This Row],[Units]]*EquipmentTable[[#This Row],[Unit
 Price]])</f>
        <v>0</v>
      </c>
      <c r="K354" s="29">
        <f>RawList!G324</f>
        <v>0</v>
      </c>
      <c r="L354" s="29"/>
      <c r="M354" s="29">
        <f>RawList!F324</f>
        <v>0</v>
      </c>
    </row>
    <row r="355" spans="2:13" x14ac:dyDescent="0.25">
      <c r="B355" s="29" t="str">
        <f>RawList!A325</f>
        <v>Low-Level Electronics</v>
      </c>
      <c r="C355" s="29" t="str">
        <f>RawList!B325</f>
        <v>Buttons/Switches/Knobs</v>
      </c>
      <c r="D355" s="29" t="str">
        <f>RawList!C325</f>
        <v>SparkFun</v>
      </c>
      <c r="E355" s="29" t="str">
        <f>RawList!H325</f>
        <v>Right Angle Tactile Button</v>
      </c>
      <c r="F355" s="29" t="str">
        <f>RawList!D325</f>
        <v>COM-10791</v>
      </c>
      <c r="G355" s="101">
        <f>RawList!E325</f>
        <v>5</v>
      </c>
      <c r="H355" s="29" t="str">
        <f>IF(EquipmentTable[[#This Row],[Units]]&gt;0,"Quantity &gt; 0 Items","Quantity = 0 Items")</f>
        <v>Quantity &gt; 0 Items</v>
      </c>
      <c r="I355" s="102">
        <f>RawList!J325</f>
        <v>0.5</v>
      </c>
      <c r="J355" s="14">
        <f>VALUE(EquipmentTable[[#This Row],[Units]]*EquipmentTable[[#This Row],[Unit
 Price]])</f>
        <v>2.5</v>
      </c>
      <c r="K355" s="29" t="str">
        <f>RawList!G325</f>
        <v>https://cdn.sparkfun.com/r/92-92/assets/parts/5/7/7/6/10791-01.jpg</v>
      </c>
      <c r="L355" s="29"/>
      <c r="M355" s="29" t="str">
        <f>RawList!F325</f>
        <v>https://www.sparkfun.com/products/10791</v>
      </c>
    </row>
    <row r="356" spans="2:13" x14ac:dyDescent="0.25">
      <c r="B356" s="29" t="str">
        <f>RawList!A326</f>
        <v>Low-Level Electronics</v>
      </c>
      <c r="C356" s="29" t="str">
        <f>RawList!B326</f>
        <v>Buttons/Switches/Knobs</v>
      </c>
      <c r="D356" s="29" t="str">
        <f>RawList!C326</f>
        <v>SparkFun</v>
      </c>
      <c r="E356" s="29" t="str">
        <f>RawList!H326</f>
        <v>Rocker Switch - SPST (right-angle)</v>
      </c>
      <c r="F356" s="29" t="str">
        <f>RawList!D326</f>
        <v>COM-08837</v>
      </c>
      <c r="G356" s="101">
        <f>RawList!E326</f>
        <v>7</v>
      </c>
      <c r="H356" s="29" t="str">
        <f>IF(EquipmentTable[[#This Row],[Units]]&gt;0,"Quantity &gt; 0 Items","Quantity = 0 Items")</f>
        <v>Quantity &gt; 0 Items</v>
      </c>
      <c r="I356" s="102">
        <f>RawList!J326</f>
        <v>0.95</v>
      </c>
      <c r="J356" s="14">
        <f>VALUE(EquipmentTable[[#This Row],[Units]]*EquipmentTable[[#This Row],[Unit
 Price]])</f>
        <v>6.6499999999999995</v>
      </c>
      <c r="K356" s="29" t="str">
        <f>RawList!G326</f>
        <v>https://cdn.sparkfun.com/r/92-92/assets/parts/1/8/4/7/08837-03-L.jpg</v>
      </c>
      <c r="L356" s="29"/>
      <c r="M356" s="29" t="str">
        <f>RawList!F326</f>
        <v>https://www.sparkfun.com/products/8837</v>
      </c>
    </row>
    <row r="357" spans="2:13" x14ac:dyDescent="0.25">
      <c r="B357" s="29" t="str">
        <f>RawList!A327</f>
        <v>Low-Level Electronics</v>
      </c>
      <c r="C357" s="29" t="str">
        <f>RawList!B327</f>
        <v>Buttons/Switches/Knobs</v>
      </c>
      <c r="D357" s="29" t="str">
        <f>RawList!C327</f>
        <v>SparkFun</v>
      </c>
      <c r="E357" s="29" t="str">
        <f>RawList!H327</f>
        <v>SPDT Mini Power Switch</v>
      </c>
      <c r="F357" s="29" t="str">
        <f>RawList!D327</f>
        <v>COM-00102</v>
      </c>
      <c r="G357" s="101">
        <f>RawList!E327</f>
        <v>2</v>
      </c>
      <c r="H357" s="29" t="str">
        <f>IF(EquipmentTable[[#This Row],[Units]]&gt;0,"Quantity &gt; 0 Items","Quantity = 0 Items")</f>
        <v>Quantity &gt; 0 Items</v>
      </c>
      <c r="I357" s="102">
        <f>RawList!J327</f>
        <v>1.5</v>
      </c>
      <c r="J357" s="14">
        <f>VALUE(EquipmentTable[[#This Row],[Units]]*EquipmentTable[[#This Row],[Unit
 Price]])</f>
        <v>3</v>
      </c>
      <c r="K357" s="29" t="str">
        <f>RawList!G327</f>
        <v>https://cdn.sparkfun.com/r/92-92/assets/parts/9/5/00102-02-L.jpg</v>
      </c>
      <c r="L357" s="29"/>
      <c r="M357" s="29" t="str">
        <f>RawList!F327</f>
        <v>https://www.sparkfun.com/products/102</v>
      </c>
    </row>
    <row r="358" spans="2:13" x14ac:dyDescent="0.25">
      <c r="B358" s="29" t="str">
        <f>RawList!A328</f>
        <v>Low-Level Electronics</v>
      </c>
      <c r="C358" s="29" t="str">
        <f>RawList!B328</f>
        <v>Buttons/Switches/Knobs</v>
      </c>
      <c r="D358" s="29" t="str">
        <f>RawList!C328</f>
        <v>SparkFun</v>
      </c>
      <c r="E358" s="29" t="str">
        <f>RawList!H328</f>
        <v>SPDT Slide Switch</v>
      </c>
      <c r="F358" s="29" t="str">
        <f>RawList!D328</f>
        <v>COM-09609</v>
      </c>
      <c r="G358" s="101">
        <f>RawList!E328</f>
        <v>5</v>
      </c>
      <c r="H358" s="29" t="str">
        <f>IF(EquipmentTable[[#This Row],[Units]]&gt;0,"Quantity &gt; 0 Items","Quantity = 0 Items")</f>
        <v>Quantity &gt; 0 Items</v>
      </c>
      <c r="I358" s="102">
        <f>RawList!J328</f>
        <v>0.75</v>
      </c>
      <c r="J358" s="14">
        <f>VALUE(EquipmentTable[[#This Row],[Units]]*EquipmentTable[[#This Row],[Unit
 Price]])</f>
        <v>3.75</v>
      </c>
      <c r="K358" s="29" t="str">
        <f>RawList!G328</f>
        <v>https://cdn.sparkfun.com/r/92-92/assets/parts/3/4/3/1/09609-01.jpg</v>
      </c>
      <c r="L358" s="29"/>
      <c r="M358" s="29" t="str">
        <f>RawList!F328</f>
        <v>https://www.sparkfun.com/products/9609</v>
      </c>
    </row>
    <row r="359" spans="2:13" x14ac:dyDescent="0.25">
      <c r="B359" s="29" t="str">
        <f>RawList!A329</f>
        <v>Low-Level Electronics</v>
      </c>
      <c r="C359" s="29" t="str">
        <f>RawList!B329</f>
        <v>Buttons/Switches/Knobs</v>
      </c>
      <c r="D359" s="29" t="str">
        <f>RawList!C329</f>
        <v>SparkFun</v>
      </c>
      <c r="E359" s="29" t="str">
        <f>RawList!H329</f>
        <v>Cherry MX Switch</v>
      </c>
      <c r="F359" s="29" t="str">
        <f>RawList!D329</f>
        <v>COM-13834</v>
      </c>
      <c r="G359" s="101">
        <f>RawList!E329</f>
        <v>1</v>
      </c>
      <c r="H359" s="29" t="str">
        <f>IF(EquipmentTable[[#This Row],[Units]]&gt;0,"Quantity &gt; 0 Items","Quantity = 0 Items")</f>
        <v>Quantity &gt; 0 Items</v>
      </c>
      <c r="I359" s="102">
        <f>RawList!J329</f>
        <v>0.95</v>
      </c>
      <c r="J359" s="14">
        <f>VALUE(EquipmentTable[[#This Row],[Units]]*EquipmentTable[[#This Row],[Unit
 Price]])</f>
        <v>0.95</v>
      </c>
      <c r="K359" s="29" t="str">
        <f>RawList!G329</f>
        <v>https://cdn.sparkfun.com/r/92-92/assets/parts/1/1/4/3/1/13834-01.jpg</v>
      </c>
      <c r="L359" s="29"/>
      <c r="M359" s="29" t="str">
        <f>RawList!F329</f>
        <v>https://www.sparkfun.com/products/13834</v>
      </c>
    </row>
    <row r="360" spans="2:13" x14ac:dyDescent="0.25">
      <c r="B360" s="29" t="str">
        <f>RawList!A330</f>
        <v>Low-Level Electronics</v>
      </c>
      <c r="C360" s="29" t="str">
        <f>RawList!B330</f>
        <v>Buttons/Switches/Knobs</v>
      </c>
      <c r="D360" s="29" t="str">
        <f>RawList!C330</f>
        <v>SparkFun</v>
      </c>
      <c r="E360" s="29" t="str">
        <f>RawList!H330</f>
        <v>5-way Tactile Switch</v>
      </c>
      <c r="F360" s="29" t="str">
        <f>RawList!D330</f>
        <v>COM-10063</v>
      </c>
      <c r="G360" s="101">
        <f>RawList!E330</f>
        <v>1</v>
      </c>
      <c r="H360" s="29" t="str">
        <f>IF(EquipmentTable[[#This Row],[Units]]&gt;0,"Quantity &gt; 0 Items","Quantity = 0 Items")</f>
        <v>Quantity &gt; 0 Items</v>
      </c>
      <c r="I360" s="102">
        <f>RawList!J330</f>
        <v>1.95</v>
      </c>
      <c r="J360" s="14">
        <f>VALUE(EquipmentTable[[#This Row],[Units]]*EquipmentTable[[#This Row],[Unit
 Price]])</f>
        <v>1.95</v>
      </c>
      <c r="K360" s="29" t="str">
        <f>RawList!G330</f>
        <v>https://cdn.sparkfun.com/r/92-92/assets/parts/4/3/3/7/10063-01.jpg</v>
      </c>
      <c r="L360" s="29"/>
      <c r="M360" s="29" t="str">
        <f>RawList!F330</f>
        <v>https://www.sparkfun.com/products/10063</v>
      </c>
    </row>
    <row r="361" spans="2:13" x14ac:dyDescent="0.25">
      <c r="B361" s="29" t="str">
        <f>RawList!A331</f>
        <v>Low-Level Electronics</v>
      </c>
      <c r="C361" s="29" t="str">
        <f>RawList!B331</f>
        <v>Buttons/Switches/Knobs</v>
      </c>
      <c r="D361" s="29" t="str">
        <f>RawList!C331</f>
        <v>SparkFun</v>
      </c>
      <c r="E361" s="29" t="str">
        <f>RawList!H331</f>
        <v>Thumb Slide Joystick</v>
      </c>
      <c r="F361" s="29" t="str">
        <f>RawList!D331</f>
        <v>COM-09426</v>
      </c>
      <c r="G361" s="101">
        <f>RawList!E331</f>
        <v>1</v>
      </c>
      <c r="H361" s="29" t="str">
        <f>IF(EquipmentTable[[#This Row],[Units]]&gt;0,"Quantity &gt; 0 Items","Quantity = 0 Items")</f>
        <v>Quantity &gt; 0 Items</v>
      </c>
      <c r="I361" s="102">
        <f>RawList!J331</f>
        <v>3.5</v>
      </c>
      <c r="J361" s="14">
        <f>VALUE(EquipmentTable[[#This Row],[Units]]*EquipmentTable[[#This Row],[Unit
 Price]])</f>
        <v>3.5</v>
      </c>
      <c r="K361" s="29" t="str">
        <f>RawList!G331</f>
        <v>https://cdn.sparkfun.com/r/92-92/assets/parts/3/0/7/2/09426-01.jpg</v>
      </c>
      <c r="L361" s="29"/>
      <c r="M361" s="29" t="str">
        <f>RawList!F331</f>
        <v>https://www.sparkfun.com/products/9426</v>
      </c>
    </row>
    <row r="362" spans="2:13" x14ac:dyDescent="0.25">
      <c r="B362" s="29" t="str">
        <f>RawList!A332</f>
        <v>Low-Level Electronics</v>
      </c>
      <c r="C362" s="29" t="str">
        <f>RawList!B332</f>
        <v>Buttons/Switches/Knobs</v>
      </c>
      <c r="D362" s="29" t="str">
        <f>RawList!C332</f>
        <v>SparkFun</v>
      </c>
      <c r="E362" s="29" t="str">
        <f>RawList!H332</f>
        <v>Black Metal Knob - 14x24mm</v>
      </c>
      <c r="F362" s="29" t="str">
        <f>RawList!D332</f>
        <v>COM-10002</v>
      </c>
      <c r="G362" s="101">
        <f>RawList!E332</f>
        <v>3</v>
      </c>
      <c r="H362" s="29" t="str">
        <f>IF(EquipmentTable[[#This Row],[Units]]&gt;0,"Quantity &gt; 0 Items","Quantity = 0 Items")</f>
        <v>Quantity &gt; 0 Items</v>
      </c>
      <c r="I362" s="102">
        <f>RawList!J332</f>
        <v>1.5</v>
      </c>
      <c r="J362" s="14">
        <f>VALUE(EquipmentTable[[#This Row],[Units]]*EquipmentTable[[#This Row],[Unit
 Price]])</f>
        <v>4.5</v>
      </c>
      <c r="K362" s="29" t="str">
        <f>RawList!G332</f>
        <v>https://cdn.sparkfun.com/r/92-92/assets/parts/4/1/4/6/10002-01.jpg</v>
      </c>
      <c r="L362" s="29"/>
      <c r="M362" s="29" t="str">
        <f>RawList!F332</f>
        <v>https://www.sparkfun.com/products/10002</v>
      </c>
    </row>
    <row r="363" spans="2:13" x14ac:dyDescent="0.25">
      <c r="B363" s="29" t="str">
        <f>RawList!A333</f>
        <v>Low-Level Electronics</v>
      </c>
      <c r="C363" s="29" t="str">
        <f>RawList!B333</f>
        <v>Buttons/Switches/Knobs</v>
      </c>
      <c r="D363" s="29" t="str">
        <f>RawList!C333</f>
        <v>SparkFun</v>
      </c>
      <c r="E363" s="29" t="str">
        <f>RawList!H333</f>
        <v>Silver Metal Knob - 14x24mm</v>
      </c>
      <c r="F363" s="29" t="str">
        <f>RawList!D333</f>
        <v>COM-10001</v>
      </c>
      <c r="G363" s="101">
        <f>RawList!E333</f>
        <v>0</v>
      </c>
      <c r="H363" s="29" t="str">
        <f>IF(EquipmentTable[[#This Row],[Units]]&gt;0,"Quantity &gt; 0 Items","Quantity = 0 Items")</f>
        <v>Quantity = 0 Items</v>
      </c>
      <c r="I363" s="102">
        <f>RawList!J333</f>
        <v>1.5</v>
      </c>
      <c r="J363" s="14">
        <f>VALUE(EquipmentTable[[#This Row],[Units]]*EquipmentTable[[#This Row],[Unit
 Price]])</f>
        <v>0</v>
      </c>
      <c r="K363" s="29" t="str">
        <f>RawList!G333</f>
        <v>https://cdn.sparkfun.com/r/92-92/assets/parts/4/1/4/6/10002-01.jpg</v>
      </c>
      <c r="L363" s="29"/>
      <c r="M363" s="29" t="str">
        <f>RawList!F333</f>
        <v>https://www.sparkfun.com/products/10002</v>
      </c>
    </row>
    <row r="364" spans="2:13" x14ac:dyDescent="0.25">
      <c r="B364" s="29" t="str">
        <f>RawList!A334</f>
        <v>Low-Level Electronics</v>
      </c>
      <c r="C364" s="29" t="str">
        <f>RawList!B334</f>
        <v>Buttons/Switches/Knobs</v>
      </c>
      <c r="D364" s="29" t="str">
        <f>RawList!C334</f>
        <v>Adafruit</v>
      </c>
      <c r="E364" s="29" t="str">
        <f>RawList!H334</f>
        <v xml:space="preserve">Potentiometer Knob - Soft Touch T18 - White </v>
      </c>
      <c r="F364" s="29" t="str">
        <f>RawList!D334</f>
        <v>2047</v>
      </c>
      <c r="G364" s="101">
        <f>RawList!E334</f>
        <v>0</v>
      </c>
      <c r="H364" s="29" t="str">
        <f>IF(EquipmentTable[[#This Row],[Units]]&gt;0,"Quantity &gt; 0 Items","Quantity = 0 Items")</f>
        <v>Quantity = 0 Items</v>
      </c>
      <c r="I364" s="102">
        <f>RawList!J334</f>
        <v>0.5</v>
      </c>
      <c r="J364" s="14">
        <f>VALUE(EquipmentTable[[#This Row],[Units]]*EquipmentTable[[#This Row],[Unit
 Price]])</f>
        <v>0</v>
      </c>
      <c r="K364" s="29">
        <f>RawList!G334</f>
        <v>0</v>
      </c>
      <c r="L364" s="29"/>
      <c r="M364" s="29">
        <f>RawList!F334</f>
        <v>0</v>
      </c>
    </row>
    <row r="365" spans="2:13" x14ac:dyDescent="0.25">
      <c r="B365" s="29" t="str">
        <f>RawList!A335</f>
        <v>Low-Level Electronics</v>
      </c>
      <c r="C365" s="29" t="str">
        <f>RawList!B335</f>
        <v>Buttons/Switches/Knobs</v>
      </c>
      <c r="D365" s="29" t="str">
        <f>RawList!C335</f>
        <v>Adafruit</v>
      </c>
      <c r="E365" s="29" t="str">
        <f>RawList!H335</f>
        <v xml:space="preserve">Scrubber Knob for Rotary Encoder - 35mm </v>
      </c>
      <c r="F365" s="29" t="str">
        <f>RawList!D335</f>
        <v>2055</v>
      </c>
      <c r="G365" s="101">
        <f>RawList!E335</f>
        <v>0</v>
      </c>
      <c r="H365" s="29" t="str">
        <f>IF(EquipmentTable[[#This Row],[Units]]&gt;0,"Quantity &gt; 0 Items","Quantity = 0 Items")</f>
        <v>Quantity = 0 Items</v>
      </c>
      <c r="I365" s="102">
        <f>RawList!J335</f>
        <v>0.95</v>
      </c>
      <c r="J365" s="14">
        <f>VALUE(EquipmentTable[[#This Row],[Units]]*EquipmentTable[[#This Row],[Unit
 Price]])</f>
        <v>0</v>
      </c>
      <c r="K365" s="29">
        <f>RawList!G335</f>
        <v>0</v>
      </c>
      <c r="L365" s="29"/>
      <c r="M365" s="29">
        <f>RawList!F335</f>
        <v>0</v>
      </c>
    </row>
    <row r="366" spans="2:13" x14ac:dyDescent="0.25">
      <c r="B366" s="29" t="str">
        <f>RawList!A336</f>
        <v>Low-Level Electronics</v>
      </c>
      <c r="C366" s="29" t="str">
        <f>RawList!B336</f>
        <v>Buttons/Switches/Knobs</v>
      </c>
      <c r="D366" s="29" t="str">
        <f>RawList!C336</f>
        <v>Adafruit</v>
      </c>
      <c r="E366" s="29" t="str">
        <f>RawList!H336</f>
        <v xml:space="preserve">Slim Metal Potentiometer Knob - 10mm Diameter x 10mm - T18 </v>
      </c>
      <c r="F366" s="29" t="str">
        <f>RawList!D336</f>
        <v>2058</v>
      </c>
      <c r="G366" s="101">
        <f>RawList!E336</f>
        <v>0</v>
      </c>
      <c r="H366" s="29" t="str">
        <f>IF(EquipmentTable[[#This Row],[Units]]&gt;0,"Quantity &gt; 0 Items","Quantity = 0 Items")</f>
        <v>Quantity = 0 Items</v>
      </c>
      <c r="I366" s="102">
        <f>RawList!J336</f>
        <v>0.95</v>
      </c>
      <c r="J366" s="14">
        <f>VALUE(EquipmentTable[[#This Row],[Units]]*EquipmentTable[[#This Row],[Unit
 Price]])</f>
        <v>0</v>
      </c>
      <c r="K366" s="29">
        <f>RawList!G336</f>
        <v>0</v>
      </c>
      <c r="L366" s="29"/>
      <c r="M366" s="29">
        <f>RawList!F336</f>
        <v>0</v>
      </c>
    </row>
    <row r="367" spans="2:13" x14ac:dyDescent="0.25">
      <c r="B367" s="29" t="str">
        <f>RawList!A337</f>
        <v>Low-Level Electronics</v>
      </c>
      <c r="C367" s="29" t="str">
        <f>RawList!B337</f>
        <v>Buttons/Switches/Knobs</v>
      </c>
      <c r="D367" s="29" t="str">
        <f>RawList!C337</f>
        <v>Adafruit</v>
      </c>
      <c r="E367" s="29" t="str">
        <f>RawList!H337</f>
        <v xml:space="preserve">Solid Machined Metal Knob - 1" Diameter </v>
      </c>
      <c r="F367" s="29" t="str">
        <f>RawList!D337</f>
        <v>2056</v>
      </c>
      <c r="G367" s="101">
        <f>RawList!E337</f>
        <v>0</v>
      </c>
      <c r="H367" s="29" t="str">
        <f>IF(EquipmentTable[[#This Row],[Units]]&gt;0,"Quantity &gt; 0 Items","Quantity = 0 Items")</f>
        <v>Quantity = 0 Items</v>
      </c>
      <c r="I367" s="102">
        <f>RawList!J337</f>
        <v>3.95</v>
      </c>
      <c r="J367" s="14">
        <f>VALUE(EquipmentTable[[#This Row],[Units]]*EquipmentTable[[#This Row],[Unit
 Price]])</f>
        <v>0</v>
      </c>
      <c r="K367" s="29">
        <f>RawList!G337</f>
        <v>0</v>
      </c>
      <c r="L367" s="29"/>
      <c r="M367" s="29">
        <f>RawList!F337</f>
        <v>0</v>
      </c>
    </row>
    <row r="368" spans="2:13" x14ac:dyDescent="0.25">
      <c r="B368" s="29" t="str">
        <f>RawList!A338</f>
        <v>Low-Level Electronics</v>
      </c>
      <c r="C368" s="29" t="str">
        <f>RawList!B338</f>
        <v>Connectors, IDC</v>
      </c>
      <c r="D368" s="29" t="str">
        <f>RawList!C338</f>
        <v>Adafruit</v>
      </c>
      <c r="E368" s="29" t="str">
        <f>RawList!H338</f>
        <v xml:space="preserve">IDC Breakout Helper - 2x16 (32 pin) </v>
      </c>
      <c r="F368" s="29" t="str">
        <f>RawList!D338</f>
        <v>2103</v>
      </c>
      <c r="G368" s="101">
        <f>RawList!E338</f>
        <v>0</v>
      </c>
      <c r="H368" s="29" t="str">
        <f>IF(EquipmentTable[[#This Row],[Units]]&gt;0,"Quantity &gt; 0 Items","Quantity = 0 Items")</f>
        <v>Quantity = 0 Items</v>
      </c>
      <c r="I368" s="102">
        <f>RawList!J338</f>
        <v>1.95</v>
      </c>
      <c r="J368" s="14">
        <f>VALUE(EquipmentTable[[#This Row],[Units]]*EquipmentTable[[#This Row],[Unit
 Price]])</f>
        <v>0</v>
      </c>
      <c r="K368" s="29">
        <f>RawList!G338</f>
        <v>0</v>
      </c>
      <c r="L368" s="29"/>
      <c r="M368" s="29">
        <f>RawList!F338</f>
        <v>0</v>
      </c>
    </row>
    <row r="369" spans="2:13" x14ac:dyDescent="0.25">
      <c r="B369" s="29" t="str">
        <f>RawList!A339</f>
        <v>Low-Level Electronics</v>
      </c>
      <c r="C369" s="29" t="str">
        <f>RawList!B339</f>
        <v>Connectors, IDC</v>
      </c>
      <c r="D369" s="29" t="str">
        <f>RawList!C339</f>
        <v>Adafruit</v>
      </c>
      <c r="E369" s="29" t="str">
        <f>RawList!H339</f>
        <v>IDC Breakout Helper - 2x20 (40 pin)</v>
      </c>
      <c r="F369" s="29" t="str">
        <f>RawList!D339</f>
        <v>2270</v>
      </c>
      <c r="G369" s="101">
        <f>RawList!E339</f>
        <v>0</v>
      </c>
      <c r="H369" s="29" t="str">
        <f>IF(EquipmentTable[[#This Row],[Units]]&gt;0,"Quantity &gt; 0 Items","Quantity = 0 Items")</f>
        <v>Quantity = 0 Items</v>
      </c>
      <c r="I369" s="102">
        <f>RawList!J339</f>
        <v>2.25</v>
      </c>
      <c r="J369" s="14">
        <f>VALUE(EquipmentTable[[#This Row],[Units]]*EquipmentTable[[#This Row],[Unit
 Price]])</f>
        <v>0</v>
      </c>
      <c r="K369" s="29">
        <f>RawList!G339</f>
        <v>0</v>
      </c>
      <c r="L369" s="29"/>
      <c r="M369" s="29">
        <f>RawList!F339</f>
        <v>0</v>
      </c>
    </row>
    <row r="370" spans="2:13" x14ac:dyDescent="0.25">
      <c r="B370" s="29" t="str">
        <f>RawList!A340</f>
        <v>Low-Level Electronics</v>
      </c>
      <c r="C370" s="29" t="str">
        <f>RawList!B340</f>
        <v>Connectors, IDC</v>
      </c>
      <c r="D370" s="29" t="str">
        <f>RawList!C340</f>
        <v>Adafruit</v>
      </c>
      <c r="E370" s="29" t="str">
        <f>RawList!H340</f>
        <v>IDC Breakout Helper - 2x5 (10 pin)</v>
      </c>
      <c r="F370" s="29" t="str">
        <f>RawList!D340</f>
        <v>2102</v>
      </c>
      <c r="G370" s="101">
        <f>RawList!E340</f>
        <v>10</v>
      </c>
      <c r="H370" s="29" t="str">
        <f>IF(EquipmentTable[[#This Row],[Units]]&gt;0,"Quantity &gt; 0 Items","Quantity = 0 Items")</f>
        <v>Quantity &gt; 0 Items</v>
      </c>
      <c r="I370" s="102">
        <f>RawList!J340</f>
        <v>0.95</v>
      </c>
      <c r="J370" s="14">
        <f>VALUE(EquipmentTable[[#This Row],[Units]]*EquipmentTable[[#This Row],[Unit
 Price]])</f>
        <v>9.5</v>
      </c>
      <c r="K370" s="29">
        <f>RawList!G340</f>
        <v>0</v>
      </c>
      <c r="L370" s="29"/>
      <c r="M370" s="29">
        <f>RawList!F340</f>
        <v>0</v>
      </c>
    </row>
    <row r="371" spans="2:13" x14ac:dyDescent="0.25">
      <c r="B371" s="29" t="str">
        <f>RawList!A341</f>
        <v>Low-Level Electronics</v>
      </c>
      <c r="C371" s="29" t="str">
        <f>RawList!B341</f>
        <v>Connectors, JST</v>
      </c>
      <c r="D371" s="29" t="str">
        <f>RawList!C341</f>
        <v>SparkFun</v>
      </c>
      <c r="E371" s="29" t="str">
        <f>RawList!H341</f>
        <v>JST Right-Angle Connector - Through-Hole 2-Pin</v>
      </c>
      <c r="F371" s="29" t="str">
        <f>RawList!D341</f>
        <v>PRT-09749</v>
      </c>
      <c r="G371" s="101">
        <f>RawList!E341</f>
        <v>10</v>
      </c>
      <c r="H371" s="29" t="str">
        <f>IF(EquipmentTable[[#This Row],[Units]]&gt;0,"Quantity &gt; 0 Items","Quantity = 0 Items")</f>
        <v>Quantity &gt; 0 Items</v>
      </c>
      <c r="I371" s="102">
        <f>RawList!J341</f>
        <v>0.95</v>
      </c>
      <c r="J371" s="14">
        <f>VALUE(EquipmentTable[[#This Row],[Units]]*EquipmentTable[[#This Row],[Unit
 Price]])</f>
        <v>9.5</v>
      </c>
      <c r="K371" s="29" t="str">
        <f>RawList!G341</f>
        <v>https://cdn.sparkfun.com/r/92-92/assets/parts/3/7/0/9/09749-01.jpg</v>
      </c>
      <c r="L371" s="29"/>
      <c r="M371" s="29" t="str">
        <f>RawList!F341</f>
        <v>https://www.sparkfun.com/products/9749</v>
      </c>
    </row>
    <row r="372" spans="2:13" x14ac:dyDescent="0.25">
      <c r="B372" s="29" t="str">
        <f>RawList!A342</f>
        <v>Low-Level Electronics</v>
      </c>
      <c r="C372" s="29" t="str">
        <f>RawList!B342</f>
        <v>Connectors, JST</v>
      </c>
      <c r="D372" s="29" t="str">
        <f>RawList!C342</f>
        <v>SparkFun</v>
      </c>
      <c r="E372" s="29" t="str">
        <f>RawList!H342</f>
        <v>JST Right Angle Connector - Through-Hole 3-Pin</v>
      </c>
      <c r="F372" s="29" t="str">
        <f>RawList!D342</f>
        <v>PRT-09750</v>
      </c>
      <c r="G372" s="101">
        <f>RawList!E342</f>
        <v>5</v>
      </c>
      <c r="H372" s="29" t="str">
        <f>IF(EquipmentTable[[#This Row],[Units]]&gt;0,"Quantity &gt; 0 Items","Quantity = 0 Items")</f>
        <v>Quantity &gt; 0 Items</v>
      </c>
      <c r="I372" s="102">
        <f>RawList!J342</f>
        <v>0.95</v>
      </c>
      <c r="J372" s="14">
        <f>VALUE(EquipmentTable[[#This Row],[Units]]*EquipmentTable[[#This Row],[Unit
 Price]])</f>
        <v>4.75</v>
      </c>
      <c r="K372" s="29" t="str">
        <f>RawList!G342</f>
        <v>https://cdn.sparkfun.com/r/92-92/assets/parts/3/7/1/0/09750-01.jpg</v>
      </c>
      <c r="L372" s="29"/>
      <c r="M372" s="29" t="str">
        <f>RawList!F342</f>
        <v>https://www.sparkfun.com/products/9750</v>
      </c>
    </row>
    <row r="373" spans="2:13" x14ac:dyDescent="0.25">
      <c r="B373" s="29" t="str">
        <f>RawList!A343</f>
        <v>Low-Level Electronics</v>
      </c>
      <c r="C373" s="29" t="str">
        <f>RawList!B343</f>
        <v>Connectors, JST</v>
      </c>
      <c r="D373" s="29" t="str">
        <f>RawList!C343</f>
        <v>SparkFun</v>
      </c>
      <c r="E373" s="29" t="str">
        <f>RawList!H343</f>
        <v>JST RCY Connector - Male/Female Set (2-pin)</v>
      </c>
      <c r="F373" s="29" t="str">
        <f>RawList!D343</f>
        <v>PRT-10501</v>
      </c>
      <c r="G373" s="101">
        <f>RawList!E343</f>
        <v>0</v>
      </c>
      <c r="H373" s="29" t="str">
        <f>IF(EquipmentTable[[#This Row],[Units]]&gt;0,"Quantity &gt; 0 Items","Quantity = 0 Items")</f>
        <v>Quantity = 0 Items</v>
      </c>
      <c r="I373" s="102">
        <f>RawList!J343</f>
        <v>0.5</v>
      </c>
      <c r="J373" s="14">
        <f>VALUE(EquipmentTable[[#This Row],[Units]]*EquipmentTable[[#This Row],[Unit
 Price]])</f>
        <v>0</v>
      </c>
      <c r="K373" s="29" t="str">
        <f>RawList!G343</f>
        <v>https://cdn.sparkfun.com/r/92-92/assets/parts/5/0/3/5/10501-01.jpg</v>
      </c>
      <c r="L373" s="29"/>
      <c r="M373" s="29" t="str">
        <f>RawList!F343</f>
        <v>https://www.sparkfun.com/products/10501</v>
      </c>
    </row>
    <row r="374" spans="2:13" x14ac:dyDescent="0.25">
      <c r="B374" s="29" t="str">
        <f>RawList!A344</f>
        <v>Low-Level Electronics</v>
      </c>
      <c r="C374" s="29" t="str">
        <f>RawList!B344</f>
        <v>Connectors, JST</v>
      </c>
      <c r="D374" s="29" t="str">
        <f>RawList!C344</f>
        <v>SparkFun</v>
      </c>
      <c r="E374" s="29" t="str">
        <f>RawList!H344</f>
        <v>JST Right Angle Connector - White</v>
      </c>
      <c r="F374" s="29" t="str">
        <f>RawList!D344</f>
        <v>PRT-08612</v>
      </c>
      <c r="G374" s="101">
        <f>RawList!E344</f>
        <v>0</v>
      </c>
      <c r="H374" s="29" t="str">
        <f>IF(EquipmentTable[[#This Row],[Units]]&gt;0,"Quantity &gt; 0 Items","Quantity = 0 Items")</f>
        <v>Quantity = 0 Items</v>
      </c>
      <c r="I374" s="102">
        <f>RawList!J344</f>
        <v>0.95</v>
      </c>
      <c r="J374" s="14">
        <f>VALUE(EquipmentTable[[#This Row],[Units]]*EquipmentTable[[#This Row],[Unit
 Price]])</f>
        <v>0</v>
      </c>
      <c r="K374" s="29" t="str">
        <f>RawList!G344</f>
        <v>https://cdn.sparkfun.com/r/92-92/assets/parts/1/6/9/6/08612-04-L.jpg</v>
      </c>
      <c r="L374" s="29"/>
      <c r="M374" s="29" t="str">
        <f>RawList!F344</f>
        <v>https://www.sparkfun.com/products/8612</v>
      </c>
    </row>
    <row r="375" spans="2:13" x14ac:dyDescent="0.25">
      <c r="B375" s="29" t="str">
        <f>RawList!A345</f>
        <v>Low-Level Electronics</v>
      </c>
      <c r="C375" s="29" t="str">
        <f>RawList!B345</f>
        <v>Connectors, JST</v>
      </c>
      <c r="D375" s="29" t="str">
        <f>RawList!C345</f>
        <v>SparkFun</v>
      </c>
      <c r="E375" s="29" t="str">
        <f>RawList!H345</f>
        <v>JST Vertical Connector</v>
      </c>
      <c r="F375" s="29" t="str">
        <f>RawList!D345</f>
        <v>PRT-08613</v>
      </c>
      <c r="G375" s="101">
        <f>RawList!E345</f>
        <v>0</v>
      </c>
      <c r="H375" s="29" t="str">
        <f>IF(EquipmentTable[[#This Row],[Units]]&gt;0,"Quantity &gt; 0 Items","Quantity = 0 Items")</f>
        <v>Quantity = 0 Items</v>
      </c>
      <c r="I375" s="102">
        <f>RawList!J345</f>
        <v>0.95</v>
      </c>
      <c r="J375" s="14">
        <f>VALUE(EquipmentTable[[#This Row],[Units]]*EquipmentTable[[#This Row],[Unit
 Price]])</f>
        <v>0</v>
      </c>
      <c r="K375" s="29" t="str">
        <f>RawList!G345</f>
        <v>https://cdn.sparkfun.com/r/92-92/assets/parts/1/6/9/7/08613-04-L.jpg</v>
      </c>
      <c r="L375" s="29"/>
      <c r="M375" s="29" t="str">
        <f>RawList!F345</f>
        <v>https://www.sparkfun.com/products/8613</v>
      </c>
    </row>
    <row r="376" spans="2:13" x14ac:dyDescent="0.25">
      <c r="B376" s="29" t="str">
        <f>RawList!A346</f>
        <v>Low-Level Electronics</v>
      </c>
      <c r="C376" s="29" t="str">
        <f>RawList!B346</f>
        <v>Connectors, JST</v>
      </c>
      <c r="D376" s="29" t="str">
        <f>RawList!C346</f>
        <v>Adafruit</v>
      </c>
      <c r="E376" s="29" t="str">
        <f>RawList!H346</f>
        <v xml:space="preserve">JST-PH 2-Pin SMT Right Angle Breakout Board </v>
      </c>
      <c r="F376" s="29" t="str">
        <f>RawList!D346</f>
        <v>1862</v>
      </c>
      <c r="G376" s="101">
        <f>RawList!E346</f>
        <v>0</v>
      </c>
      <c r="H376" s="29" t="str">
        <f>IF(EquipmentTable[[#This Row],[Units]]&gt;0,"Quantity &gt; 0 Items","Quantity = 0 Items")</f>
        <v>Quantity = 0 Items</v>
      </c>
      <c r="I376" s="102">
        <f>RawList!J346</f>
        <v>1.5</v>
      </c>
      <c r="J376" s="14">
        <f>VALUE(EquipmentTable[[#This Row],[Units]]*EquipmentTable[[#This Row],[Unit
 Price]])</f>
        <v>0</v>
      </c>
      <c r="K376" s="29">
        <f>RawList!G346</f>
        <v>0</v>
      </c>
      <c r="L376" s="29"/>
      <c r="M376" s="29">
        <f>RawList!F346</f>
        <v>0</v>
      </c>
    </row>
    <row r="377" spans="2:13" x14ac:dyDescent="0.25">
      <c r="B377" s="29" t="str">
        <f>RawList!A347</f>
        <v>Low-Level Electronics</v>
      </c>
      <c r="C377" s="29" t="str">
        <f>RawList!B347</f>
        <v>Connectors, JST</v>
      </c>
      <c r="D377" s="29" t="str">
        <f>RawList!C347</f>
        <v>Adafruit</v>
      </c>
      <c r="E377" s="29" t="str">
        <f>RawList!H347</f>
        <v xml:space="preserve">JST-PH 2-Pin SMT Right Angle Connector </v>
      </c>
      <c r="F377" s="29" t="str">
        <f>RawList!D347</f>
        <v>1769</v>
      </c>
      <c r="G377" s="101">
        <f>RawList!E347</f>
        <v>0</v>
      </c>
      <c r="H377" s="29" t="str">
        <f>IF(EquipmentTable[[#This Row],[Units]]&gt;0,"Quantity &gt; 0 Items","Quantity = 0 Items")</f>
        <v>Quantity = 0 Items</v>
      </c>
      <c r="I377" s="102">
        <f>RawList!J347</f>
        <v>0.75</v>
      </c>
      <c r="J377" s="14">
        <f>VALUE(EquipmentTable[[#This Row],[Units]]*EquipmentTable[[#This Row],[Unit
 Price]])</f>
        <v>0</v>
      </c>
      <c r="K377" s="29">
        <f>RawList!G347</f>
        <v>0</v>
      </c>
      <c r="L377" s="29"/>
      <c r="M377" s="29">
        <f>RawList!F347</f>
        <v>0</v>
      </c>
    </row>
    <row r="378" spans="2:13" x14ac:dyDescent="0.25">
      <c r="B378" s="29" t="str">
        <f>RawList!A348</f>
        <v>Low-Level Electronics</v>
      </c>
      <c r="C378" s="29" t="str">
        <f>RawList!B348</f>
        <v>Connectors, JST</v>
      </c>
      <c r="D378" s="29" t="str">
        <f>RawList!C348</f>
        <v>Adafruit</v>
      </c>
      <c r="E378" s="29" t="str">
        <f>RawList!H348</f>
        <v xml:space="preserve">Switched JST-PH 2-Pin SMT Right Angle Breakout Board </v>
      </c>
      <c r="F378" s="29" t="str">
        <f>RawList!D348</f>
        <v>1863</v>
      </c>
      <c r="G378" s="101">
        <f>RawList!E348</f>
        <v>0</v>
      </c>
      <c r="H378" s="29" t="str">
        <f>IF(EquipmentTable[[#This Row],[Units]]&gt;0,"Quantity &gt; 0 Items","Quantity = 0 Items")</f>
        <v>Quantity = 0 Items</v>
      </c>
      <c r="I378" s="102">
        <f>RawList!J348</f>
        <v>2.5</v>
      </c>
      <c r="J378" s="14">
        <f>VALUE(EquipmentTable[[#This Row],[Units]]*EquipmentTable[[#This Row],[Unit
 Price]])</f>
        <v>0</v>
      </c>
      <c r="K378" s="29">
        <f>RawList!G348</f>
        <v>0</v>
      </c>
      <c r="L378" s="29"/>
      <c r="M378" s="29">
        <f>RawList!F348</f>
        <v>0</v>
      </c>
    </row>
    <row r="379" spans="2:13" x14ac:dyDescent="0.25">
      <c r="B379" s="29" t="str">
        <f>RawList!A349</f>
        <v>Low-Level Electronics</v>
      </c>
      <c r="C379" s="29" t="str">
        <f>RawList!B349</f>
        <v>Connectors, Polarized (Molex)</v>
      </c>
      <c r="D379" s="29" t="str">
        <f>RawList!C349</f>
        <v>SparkFun</v>
      </c>
      <c r="E379" s="29" t="str">
        <f>RawList!H349</f>
        <v>Polarized Connectors - Header (2-Pin)</v>
      </c>
      <c r="F379" s="29" t="str">
        <f>RawList!D349</f>
        <v>PRT-08233</v>
      </c>
      <c r="G379" s="101">
        <f>RawList!E349</f>
        <v>0</v>
      </c>
      <c r="H379" s="29" t="str">
        <f>IF(EquipmentTable[[#This Row],[Units]]&gt;0,"Quantity &gt; 0 Items","Quantity = 0 Items")</f>
        <v>Quantity = 0 Items</v>
      </c>
      <c r="I379" s="102">
        <f>RawList!J349</f>
        <v>0.45</v>
      </c>
      <c r="J379" s="14">
        <f>VALUE(EquipmentTable[[#This Row],[Units]]*EquipmentTable[[#This Row],[Unit
 Price]])</f>
        <v>0</v>
      </c>
      <c r="K379" s="29" t="str">
        <f>RawList!G349</f>
        <v>https://cdn.sparkfun.com/r/92-92/assets/parts/5/5/8/Connectors.jpg</v>
      </c>
      <c r="L379" s="29"/>
      <c r="M379" s="29" t="str">
        <f>RawList!F349</f>
        <v>https://www.sparkfun.com/products/8233</v>
      </c>
    </row>
    <row r="380" spans="2:13" x14ac:dyDescent="0.25">
      <c r="B380" s="29" t="str">
        <f>RawList!A350</f>
        <v>Low-Level Electronics</v>
      </c>
      <c r="C380" s="29" t="str">
        <f>RawList!B350</f>
        <v>Connectors, Polarized (Molex)</v>
      </c>
      <c r="D380" s="29" t="str">
        <f>RawList!C350</f>
        <v>SparkFun</v>
      </c>
      <c r="E380" s="29" t="str">
        <f>RawList!H350</f>
        <v>Polarized Connectors - Housing (2-Pin)</v>
      </c>
      <c r="F380" s="29" t="str">
        <f>RawList!D350</f>
        <v>PRT-08095</v>
      </c>
      <c r="G380" s="101">
        <f>RawList!E350</f>
        <v>0</v>
      </c>
      <c r="H380" s="29" t="str">
        <f>IF(EquipmentTable[[#This Row],[Units]]&gt;0,"Quantity &gt; 0 Items","Quantity = 0 Items")</f>
        <v>Quantity = 0 Items</v>
      </c>
      <c r="I380" s="102">
        <f>RawList!J350</f>
        <v>0.45</v>
      </c>
      <c r="J380" s="14">
        <f>VALUE(EquipmentTable[[#This Row],[Units]]*EquipmentTable[[#This Row],[Unit
 Price]])</f>
        <v>0</v>
      </c>
      <c r="K380" s="29" t="str">
        <f>RawList!G350</f>
        <v>https://cdn.sparkfun.com/r/92-92/assets/parts/6/6/1/08095-03-L.jpg</v>
      </c>
      <c r="L380" s="29"/>
      <c r="M380" s="29" t="str">
        <f>RawList!F350</f>
        <v>https://www.sparkfun.com/products/8095</v>
      </c>
    </row>
    <row r="381" spans="2:13" x14ac:dyDescent="0.25">
      <c r="B381" s="29" t="str">
        <f>RawList!A351</f>
        <v>Low-Level Electronics</v>
      </c>
      <c r="C381" s="29" t="str">
        <f>RawList!B351</f>
        <v>Connectors, Polarized (Molex)</v>
      </c>
      <c r="D381" s="29" t="str">
        <f>RawList!C351</f>
        <v>SparkFun</v>
      </c>
      <c r="E381" s="29" t="str">
        <f>RawList!H351</f>
        <v>Polarized Connectors - Header (3-Pin)</v>
      </c>
      <c r="F381" s="29" t="str">
        <f>RawList!D351</f>
        <v>PRT-08232</v>
      </c>
      <c r="G381" s="101">
        <f>RawList!E351</f>
        <v>6</v>
      </c>
      <c r="H381" s="29" t="str">
        <f>IF(EquipmentTable[[#This Row],[Units]]&gt;0,"Quantity &gt; 0 Items","Quantity = 0 Items")</f>
        <v>Quantity &gt; 0 Items</v>
      </c>
      <c r="I381" s="102">
        <f>RawList!J351</f>
        <v>0.45</v>
      </c>
      <c r="J381" s="14">
        <f>VALUE(EquipmentTable[[#This Row],[Units]]*EquipmentTable[[#This Row],[Unit
 Price]])</f>
        <v>2.7</v>
      </c>
      <c r="K381" s="29" t="str">
        <f>RawList!G351</f>
        <v>https://cdn.sparkfun.com/r/92-92/assets/parts/1/7/0/8/Connectors.jpg</v>
      </c>
      <c r="L381" s="29"/>
      <c r="M381" s="29" t="str">
        <f>RawList!F351</f>
        <v>https://www.sparkfun.com/products/8232</v>
      </c>
    </row>
    <row r="382" spans="2:13" x14ac:dyDescent="0.25">
      <c r="B382" s="29" t="str">
        <f>RawList!A352</f>
        <v>Low-Level Electronics</v>
      </c>
      <c r="C382" s="29" t="str">
        <f>RawList!B352</f>
        <v>Connectors, Polarized (Molex)</v>
      </c>
      <c r="D382" s="29" t="str">
        <f>RawList!C352</f>
        <v>SparkFun</v>
      </c>
      <c r="E382" s="29" t="str">
        <f>RawList!H352</f>
        <v>Polarized Connectors - Housing (3-Pin)</v>
      </c>
      <c r="F382" s="29" t="str">
        <f>RawList!D352</f>
        <v>PRT-08096</v>
      </c>
      <c r="G382" s="101">
        <f>RawList!E352</f>
        <v>6</v>
      </c>
      <c r="H382" s="29" t="str">
        <f>IF(EquipmentTable[[#This Row],[Units]]&gt;0,"Quantity &gt; 0 Items","Quantity = 0 Items")</f>
        <v>Quantity &gt; 0 Items</v>
      </c>
      <c r="I382" s="102">
        <f>RawList!J352</f>
        <v>0.45</v>
      </c>
      <c r="J382" s="14">
        <f>VALUE(EquipmentTable[[#This Row],[Units]]*EquipmentTable[[#This Row],[Unit
 Price]])</f>
        <v>2.7</v>
      </c>
      <c r="K382" s="29" t="str">
        <f>RawList!G352</f>
        <v>https://cdn.sparkfun.com/r/92-92/assets/parts/6/6/2/Connectors.jpg</v>
      </c>
      <c r="L382" s="29"/>
      <c r="M382" s="29" t="str">
        <f>RawList!F352</f>
        <v>https://www.sparkfun.com/products/8096</v>
      </c>
    </row>
    <row r="383" spans="2:13" x14ac:dyDescent="0.25">
      <c r="B383" s="29" t="str">
        <f>RawList!A353</f>
        <v>Low-Level Electronics</v>
      </c>
      <c r="C383" s="29" t="str">
        <f>RawList!B353</f>
        <v>Connectors, Polarized (Molex)</v>
      </c>
      <c r="D383" s="29" t="str">
        <f>RawList!C353</f>
        <v>SparkFun</v>
      </c>
      <c r="E383" s="29" t="str">
        <f>RawList!H353</f>
        <v>Polarized Connectors - Header (4-Pin)</v>
      </c>
      <c r="F383" s="29" t="str">
        <f>RawList!D353</f>
        <v>PRT-08231</v>
      </c>
      <c r="G383" s="101">
        <f>RawList!E353</f>
        <v>6</v>
      </c>
      <c r="H383" s="29" t="str">
        <f>IF(EquipmentTable[[#This Row],[Units]]&gt;0,"Quantity &gt; 0 Items","Quantity = 0 Items")</f>
        <v>Quantity &gt; 0 Items</v>
      </c>
      <c r="I383" s="102">
        <f>RawList!J353</f>
        <v>0.45</v>
      </c>
      <c r="J383" s="14">
        <f>VALUE(EquipmentTable[[#This Row],[Units]]*EquipmentTable[[#This Row],[Unit
 Price]])</f>
        <v>2.7</v>
      </c>
      <c r="K383" s="29" t="str">
        <f>RawList!G353</f>
        <v>https://cdn.sparkfun.com/r/92-92/assets/parts/4/9/9/Connectors.jpg</v>
      </c>
      <c r="L383" s="29"/>
      <c r="M383" s="29" t="str">
        <f>RawList!F353</f>
        <v>https://www.sparkfun.com/products/8231</v>
      </c>
    </row>
    <row r="384" spans="2:13" x14ac:dyDescent="0.25">
      <c r="B384" s="29" t="str">
        <f>RawList!A354</f>
        <v>Low-Level Electronics</v>
      </c>
      <c r="C384" s="29" t="str">
        <f>RawList!B354</f>
        <v>Connectors, Polarized (Molex)</v>
      </c>
      <c r="D384" s="29" t="str">
        <f>RawList!C354</f>
        <v>SparkFun</v>
      </c>
      <c r="E384" s="29" t="str">
        <f>RawList!H354</f>
        <v>Polarized Connectors - Housing (4-Pin)</v>
      </c>
      <c r="F384" s="29" t="str">
        <f>RawList!D354</f>
        <v>PRT-08097</v>
      </c>
      <c r="G384" s="101">
        <f>RawList!E354</f>
        <v>6</v>
      </c>
      <c r="H384" s="29" t="str">
        <f>IF(EquipmentTable[[#This Row],[Units]]&gt;0,"Quantity &gt; 0 Items","Quantity = 0 Items")</f>
        <v>Quantity &gt; 0 Items</v>
      </c>
      <c r="I384" s="102">
        <f>RawList!J354</f>
        <v>0.45</v>
      </c>
      <c r="J384" s="14">
        <f>VALUE(EquipmentTable[[#This Row],[Units]]*EquipmentTable[[#This Row],[Unit
 Price]])</f>
        <v>2.7</v>
      </c>
      <c r="K384" s="29" t="str">
        <f>RawList!G354</f>
        <v>https://cdn.sparkfun.com/r/92-92/assets/parts/6/6/3/Connectors.jpg</v>
      </c>
      <c r="L384" s="29"/>
      <c r="M384" s="29" t="str">
        <f>RawList!F354</f>
        <v>https://www.sparkfun.com/products/8097</v>
      </c>
    </row>
    <row r="385" spans="2:13" x14ac:dyDescent="0.25">
      <c r="B385" s="29" t="str">
        <f>RawList!A355</f>
        <v>Low-Level Electronics</v>
      </c>
      <c r="C385" s="29" t="str">
        <f>RawList!B355</f>
        <v>Connectors, Polarized (Molex)</v>
      </c>
      <c r="D385" s="29" t="str">
        <f>RawList!C355</f>
        <v>SparkFun</v>
      </c>
      <c r="E385" s="29" t="str">
        <f>RawList!H355</f>
        <v>Polarized Connectors - Crimp Pins</v>
      </c>
      <c r="F385" s="29" t="str">
        <f>RawList!D355</f>
        <v>PRT-08100</v>
      </c>
      <c r="G385" s="101">
        <f>RawList!E355</f>
        <v>6</v>
      </c>
      <c r="H385" s="29" t="str">
        <f>IF(EquipmentTable[[#This Row],[Units]]&gt;0,"Quantity &gt; 0 Items","Quantity = 0 Items")</f>
        <v>Quantity &gt; 0 Items</v>
      </c>
      <c r="I385" s="102">
        <f>RawList!J355</f>
        <v>1.95</v>
      </c>
      <c r="J385" s="14">
        <f>VALUE(EquipmentTable[[#This Row],[Units]]*EquipmentTable[[#This Row],[Unit
 Price]])</f>
        <v>11.7</v>
      </c>
      <c r="K385" s="29" t="str">
        <f>RawList!G355</f>
        <v>https://cdn.sparkfun.com/r/92-92/assets/parts/6/6/6/08100-01a.jpg</v>
      </c>
      <c r="L385" s="29"/>
      <c r="M385" s="29" t="str">
        <f>RawList!F355</f>
        <v>https://www.sparkfun.com/products/8100</v>
      </c>
    </row>
    <row r="386" spans="2:13" x14ac:dyDescent="0.25">
      <c r="B386" s="29" t="str">
        <f>RawList!A356</f>
        <v>Low-Level Electronics</v>
      </c>
      <c r="C386" s="29" t="str">
        <f>RawList!B356</f>
        <v>Connectors, Ribbon Crimp</v>
      </c>
      <c r="D386" s="29" t="str">
        <f>RawList!C356</f>
        <v>SparkFun</v>
      </c>
      <c r="E386" s="29" t="str">
        <f>RawList!H356</f>
        <v>Ribbon Crimp Connector - 6-pin (2x3, Female)</v>
      </c>
      <c r="F386" s="29" t="str">
        <f>RawList!D356</f>
        <v>PRT-10651</v>
      </c>
      <c r="G386" s="101">
        <f>RawList!E356</f>
        <v>10</v>
      </c>
      <c r="H386" s="29" t="str">
        <f>IF(EquipmentTable[[#This Row],[Units]]&gt;0,"Quantity &gt; 0 Items","Quantity = 0 Items")</f>
        <v>Quantity &gt; 0 Items</v>
      </c>
      <c r="I386" s="102">
        <f>RawList!J356</f>
        <v>0.35</v>
      </c>
      <c r="J386" s="14">
        <f>VALUE(EquipmentTable[[#This Row],[Units]]*EquipmentTable[[#This Row],[Unit
 Price]])</f>
        <v>3.5</v>
      </c>
      <c r="K386" s="29" t="str">
        <f>RawList!G356</f>
        <v>https://cdn.sparkfun.com/r/92-92/assets/parts/5/4/2/6/10651-02.jpg</v>
      </c>
      <c r="L386" s="29"/>
      <c r="M386" s="29" t="str">
        <f>RawList!F356</f>
        <v>https://www.sparkfun.com/products/10651</v>
      </c>
    </row>
    <row r="387" spans="2:13" x14ac:dyDescent="0.25">
      <c r="B387" s="29" t="str">
        <f>RawList!A357</f>
        <v>Low-Level Electronics</v>
      </c>
      <c r="C387" s="29" t="str">
        <f>RawList!B357</f>
        <v>Connectors, Ribbon Crimp</v>
      </c>
      <c r="D387" s="29" t="str">
        <f>RawList!C357</f>
        <v>SparkFun</v>
      </c>
      <c r="E387" s="29" t="str">
        <f>RawList!H357</f>
        <v>Ribbon Crimp Connector - 10-pin (2x5, Female)</v>
      </c>
      <c r="F387" s="29" t="str">
        <f>RawList!D357</f>
        <v>PRT-10650</v>
      </c>
      <c r="G387" s="101">
        <f>RawList!E357</f>
        <v>10</v>
      </c>
      <c r="H387" s="29" t="str">
        <f>IF(EquipmentTable[[#This Row],[Units]]&gt;0,"Quantity &gt; 0 Items","Quantity = 0 Items")</f>
        <v>Quantity &gt; 0 Items</v>
      </c>
      <c r="I387" s="102">
        <f>RawList!J357</f>
        <v>0.5</v>
      </c>
      <c r="J387" s="14">
        <f>VALUE(EquipmentTable[[#This Row],[Units]]*EquipmentTable[[#This Row],[Unit
 Price]])</f>
        <v>5</v>
      </c>
      <c r="K387" s="29" t="str">
        <f>RawList!G357</f>
        <v>https://cdn.sparkfun.com/r/92-92/assets/parts/5/4/2/5/10650-02.jpg</v>
      </c>
      <c r="L387" s="29"/>
      <c r="M387" s="29" t="str">
        <f>RawList!F357</f>
        <v>https://www.sparkfun.com/products/10650</v>
      </c>
    </row>
    <row r="388" spans="2:13" x14ac:dyDescent="0.25">
      <c r="B388" s="29" t="str">
        <f>RawList!A358</f>
        <v>Low-Level Electronics</v>
      </c>
      <c r="C388" s="29" t="str">
        <f>RawList!B358</f>
        <v>Connectors, Spring/Screw Terminals</v>
      </c>
      <c r="D388" s="29" t="str">
        <f>RawList!C358</f>
        <v>SparkFun</v>
      </c>
      <c r="E388" s="29" t="str">
        <f>RawList!H358</f>
        <v>Screw Terminals 2.54mm Pitch (2-Pin)</v>
      </c>
      <c r="F388" s="29" t="str">
        <f>RawList!D358</f>
        <v>PRT-10571</v>
      </c>
      <c r="G388" s="101">
        <f>RawList!E358</f>
        <v>0</v>
      </c>
      <c r="H388" s="29" t="str">
        <f>IF(EquipmentTable[[#This Row],[Units]]&gt;0,"Quantity &gt; 0 Items","Quantity = 0 Items")</f>
        <v>Quantity = 0 Items</v>
      </c>
      <c r="I388" s="102">
        <f>RawList!J358</f>
        <v>0.75</v>
      </c>
      <c r="J388" s="14">
        <f>VALUE(EquipmentTable[[#This Row],[Units]]*EquipmentTable[[#This Row],[Unit
 Price]])</f>
        <v>0</v>
      </c>
      <c r="K388" s="29" t="str">
        <f>RawList!G358</f>
        <v>https://cdn.sparkfun.com/r/92-92/assets/parts/5/2/0/4/10571-01.jpg</v>
      </c>
      <c r="L388" s="29"/>
      <c r="M388" s="29" t="str">
        <f>RawList!F358</f>
        <v>https://www.sparkfun.com/products/10571</v>
      </c>
    </row>
    <row r="389" spans="2:13" x14ac:dyDescent="0.25">
      <c r="B389" s="29" t="str">
        <f>RawList!A359</f>
        <v>Low-Level Electronics</v>
      </c>
      <c r="C389" s="29" t="str">
        <f>RawList!B359</f>
        <v>Connectors, Spring/Screw Terminals</v>
      </c>
      <c r="D389" s="29" t="str">
        <f>RawList!C359</f>
        <v>SparkFun</v>
      </c>
      <c r="E389" s="29" t="str">
        <f>RawList!H359</f>
        <v>Screw Terminals 5mm Pitch (2-Pin)</v>
      </c>
      <c r="F389" s="29" t="str">
        <f>RawList!D359</f>
        <v>PRT-08432</v>
      </c>
      <c r="G389" s="101">
        <f>RawList!E359</f>
        <v>10</v>
      </c>
      <c r="H389" s="29" t="str">
        <f>IF(EquipmentTable[[#This Row],[Units]]&gt;0,"Quantity &gt; 0 Items","Quantity = 0 Items")</f>
        <v>Quantity &gt; 0 Items</v>
      </c>
      <c r="I389" s="102">
        <f>RawList!J359</f>
        <v>0.95</v>
      </c>
      <c r="J389" s="14">
        <f>VALUE(EquipmentTable[[#This Row],[Units]]*EquipmentTable[[#This Row],[Unit
 Price]])</f>
        <v>9.5</v>
      </c>
      <c r="K389" s="29" t="str">
        <f>RawList!G359</f>
        <v>https://cdn.sparkfun.com/r/92-92/assets/parts/1/3/6/5/2PinScrewTerminal-01-L.jpg</v>
      </c>
      <c r="L389" s="29"/>
      <c r="M389" s="29" t="str">
        <f>RawList!F359</f>
        <v>https://www.sparkfun.com/products/8432</v>
      </c>
    </row>
    <row r="390" spans="2:13" x14ac:dyDescent="0.25">
      <c r="B390" s="29" t="str">
        <f>RawList!A360</f>
        <v>Low-Level Electronics</v>
      </c>
      <c r="C390" s="29" t="str">
        <f>RawList!B360</f>
        <v>Connectors, Spring/Screw Terminals</v>
      </c>
      <c r="D390" s="29" t="str">
        <f>RawList!C360</f>
        <v>SparkFun</v>
      </c>
      <c r="E390" s="29" t="str">
        <f>RawList!H360</f>
        <v>Screw Terminals 5mm Pitch (3-Pin)</v>
      </c>
      <c r="F390" s="29" t="str">
        <f>RawList!D360</f>
        <v>PRT-08433</v>
      </c>
      <c r="G390" s="101">
        <f>RawList!E360</f>
        <v>10</v>
      </c>
      <c r="H390" s="29" t="str">
        <f>IF(EquipmentTable[[#This Row],[Units]]&gt;0,"Quantity &gt; 0 Items","Quantity = 0 Items")</f>
        <v>Quantity &gt; 0 Items</v>
      </c>
      <c r="I390" s="102">
        <f>RawList!J360</f>
        <v>0.95</v>
      </c>
      <c r="J390" s="14">
        <f>VALUE(EquipmentTable[[#This Row],[Units]]*EquipmentTable[[#This Row],[Unit
 Price]])</f>
        <v>9.5</v>
      </c>
      <c r="K390" s="29" t="str">
        <f>RawList!G360</f>
        <v>https://cdn.sparkfun.com/r/92-92/assets/parts/1/3/6/4/3PinScrewTerminal-01-L.jpg</v>
      </c>
      <c r="L390" s="29"/>
      <c r="M390" s="29" t="str">
        <f>RawList!F360</f>
        <v>https://www.sparkfun.com/products/8433</v>
      </c>
    </row>
    <row r="391" spans="2:13" x14ac:dyDescent="0.25">
      <c r="B391" s="29" t="str">
        <f>RawList!A361</f>
        <v>Low-Level Electronics</v>
      </c>
      <c r="C391" s="29" t="str">
        <f>RawList!B361</f>
        <v>Connectors, Spring/Screw Terminals</v>
      </c>
      <c r="D391" s="29" t="str">
        <f>RawList!C361</f>
        <v>SparkFun</v>
      </c>
      <c r="E391" s="29" t="str">
        <f>RawList!H361</f>
        <v>Spring Terminals - PCB Mount (2-Pin)</v>
      </c>
      <c r="F391" s="29" t="str">
        <f>RawList!D361</f>
        <v>PRT-08073</v>
      </c>
      <c r="G391" s="101">
        <f>RawList!E361</f>
        <v>0</v>
      </c>
      <c r="H391" s="29" t="str">
        <f>IF(EquipmentTable[[#This Row],[Units]]&gt;0,"Quantity &gt; 0 Items","Quantity = 0 Items")</f>
        <v>Quantity = 0 Items</v>
      </c>
      <c r="I391" s="102">
        <f>RawList!J361</f>
        <v>1.5</v>
      </c>
      <c r="J391" s="14">
        <f>VALUE(EquipmentTable[[#This Row],[Units]]*EquipmentTable[[#This Row],[Unit
 Price]])</f>
        <v>0</v>
      </c>
      <c r="K391" s="29" t="str">
        <f>RawList!G361</f>
        <v>https://cdn.sparkfun.com/r/92-92/assets/parts/6/5/2/08073-01.jpg</v>
      </c>
      <c r="L391" s="29"/>
      <c r="M391" s="29" t="str">
        <f>RawList!F361</f>
        <v>https://www.sparkfun.com/products/8073</v>
      </c>
    </row>
    <row r="392" spans="2:13" x14ac:dyDescent="0.25">
      <c r="B392" s="29" t="str">
        <f>RawList!A362</f>
        <v>Low-Level Electronics</v>
      </c>
      <c r="C392" s="29" t="str">
        <f>RawList!B362</f>
        <v>Connectors, Spring/Screw Terminals</v>
      </c>
      <c r="D392" s="29" t="str">
        <f>RawList!C362</f>
        <v>SparkFun</v>
      </c>
      <c r="E392" s="29" t="str">
        <f>RawList!H362</f>
        <v>Spring Terminals - PCB Mount (3-Pin)</v>
      </c>
      <c r="F392" s="29" t="str">
        <f>RawList!D362</f>
        <v>PRT-08074</v>
      </c>
      <c r="G392" s="101">
        <f>RawList!E362</f>
        <v>0</v>
      </c>
      <c r="H392" s="29" t="str">
        <f>IF(EquipmentTable[[#This Row],[Units]]&gt;0,"Quantity &gt; 0 Items","Quantity = 0 Items")</f>
        <v>Quantity = 0 Items</v>
      </c>
      <c r="I392" s="102">
        <f>RawList!J362</f>
        <v>1.5</v>
      </c>
      <c r="J392" s="14">
        <f>VALUE(EquipmentTable[[#This Row],[Units]]*EquipmentTable[[#This Row],[Unit
 Price]])</f>
        <v>0</v>
      </c>
      <c r="K392" s="29" t="str">
        <f>RawList!G362</f>
        <v>https://cdn.sparkfun.com/r/92-92/assets/parts/6/5/3/08074-01.jpg</v>
      </c>
      <c r="L392" s="29"/>
      <c r="M392" s="29" t="str">
        <f>RawList!F362</f>
        <v>https://www.sparkfun.com/products/8074</v>
      </c>
    </row>
    <row r="393" spans="2:13" x14ac:dyDescent="0.25">
      <c r="B393" s="29" t="str">
        <f>RawList!A363</f>
        <v>Low-Level Electronics</v>
      </c>
      <c r="C393" s="29" t="str">
        <f>RawList!B363</f>
        <v>Connectors, Spring/Screw Terminals</v>
      </c>
      <c r="D393" s="29" t="str">
        <f>RawList!C363</f>
        <v>SparkFun</v>
      </c>
      <c r="E393" s="29" t="str">
        <f>RawList!H363</f>
        <v>Spring Terminals - PCB Mount (4-Pin)</v>
      </c>
      <c r="F393" s="29" t="str">
        <f>RawList!D363</f>
        <v>PRT-08075</v>
      </c>
      <c r="G393" s="101">
        <f>RawList!E363</f>
        <v>0</v>
      </c>
      <c r="H393" s="29" t="str">
        <f>IF(EquipmentTable[[#This Row],[Units]]&gt;0,"Quantity &gt; 0 Items","Quantity = 0 Items")</f>
        <v>Quantity = 0 Items</v>
      </c>
      <c r="I393" s="102">
        <f>RawList!J363</f>
        <v>1.5</v>
      </c>
      <c r="J393" s="14">
        <f>VALUE(EquipmentTable[[#This Row],[Units]]*EquipmentTable[[#This Row],[Unit
 Price]])</f>
        <v>0</v>
      </c>
      <c r="K393" s="29" t="str">
        <f>RawList!G363</f>
        <v>https://cdn.sparkfun.com/r/92-92/assets/parts/6/5/4/08075-01.jpg</v>
      </c>
      <c r="L393" s="29"/>
      <c r="M393" s="29" t="str">
        <f>RawList!F363</f>
        <v>https://www.sparkfun.com/products/8075</v>
      </c>
    </row>
    <row r="394" spans="2:13" x14ac:dyDescent="0.25">
      <c r="B394" s="29" t="str">
        <f>RawList!A364</f>
        <v>Low-Level Electronics</v>
      </c>
      <c r="C394" s="29" t="str">
        <f>RawList!B364</f>
        <v>Connectors, Spring/Screw Terminals</v>
      </c>
      <c r="D394" s="29" t="str">
        <f>RawList!C364</f>
        <v>SparkFun</v>
      </c>
      <c r="E394" s="29" t="str">
        <f>RawList!H364</f>
        <v>Spring Terminals - PCB Mount (6-Pin)</v>
      </c>
      <c r="F394" s="29" t="str">
        <f>RawList!D364</f>
        <v>PRT-08077</v>
      </c>
      <c r="G394" s="101">
        <f>RawList!E364</f>
        <v>2</v>
      </c>
      <c r="H394" s="29" t="str">
        <f>IF(EquipmentTable[[#This Row],[Units]]&gt;0,"Quantity &gt; 0 Items","Quantity = 0 Items")</f>
        <v>Quantity &gt; 0 Items</v>
      </c>
      <c r="I394" s="102">
        <f>RawList!J364</f>
        <v>1.5</v>
      </c>
      <c r="J394" s="14">
        <f>VALUE(EquipmentTable[[#This Row],[Units]]*EquipmentTable[[#This Row],[Unit
 Price]])</f>
        <v>3</v>
      </c>
      <c r="K394" s="29" t="str">
        <f>RawList!G364</f>
        <v>https://cdn.sparkfun.com/r/92-92/assets/parts/6/5/6/08077-01.jpg</v>
      </c>
      <c r="L394" s="29"/>
      <c r="M394" s="29" t="str">
        <f>RawList!F364</f>
        <v>https://www.sparkfun.com/products/8077</v>
      </c>
    </row>
    <row r="395" spans="2:13" x14ac:dyDescent="0.25">
      <c r="B395" s="29" t="str">
        <f>RawList!A365</f>
        <v>Low-Level Electronics</v>
      </c>
      <c r="C395" s="29" t="str">
        <f>RawList!B365</f>
        <v>Connectors, USB</v>
      </c>
      <c r="D395" s="29" t="str">
        <f>RawList!C365</f>
        <v>SparkFun</v>
      </c>
      <c r="E395" s="29" t="str">
        <f>RawList!H365</f>
        <v>USB Female Type B Connector</v>
      </c>
      <c r="F395" s="29" t="str">
        <f>RawList!D365</f>
        <v>PRT-00139</v>
      </c>
      <c r="G395" s="101">
        <f>RawList!E365</f>
        <v>0</v>
      </c>
      <c r="H395" s="29" t="str">
        <f>IF(EquipmentTable[[#This Row],[Units]]&gt;0,"Quantity &gt; 0 Items","Quantity = 0 Items")</f>
        <v>Quantity = 0 Items</v>
      </c>
      <c r="I395" s="102">
        <f>RawList!J365</f>
        <v>1.25</v>
      </c>
      <c r="J395" s="14">
        <f>VALUE(EquipmentTable[[#This Row],[Units]]*EquipmentTable[[#This Row],[Unit
 Price]])</f>
        <v>0</v>
      </c>
      <c r="K395" s="29" t="str">
        <f>RawList!G365</f>
        <v>https://cdn.sparkfun.com/r/92-92/assets/parts/1/2/3/00139-03-L.jpg</v>
      </c>
      <c r="L395" s="29"/>
      <c r="M395" s="29" t="str">
        <f>RawList!F365</f>
        <v>https://www.sparkfun.com/products/139</v>
      </c>
    </row>
    <row r="396" spans="2:13" x14ac:dyDescent="0.25">
      <c r="B396" s="29" t="str">
        <f>RawList!A366</f>
        <v>Low-Level Electronics</v>
      </c>
      <c r="C396" s="29" t="str">
        <f>RawList!B366</f>
        <v>Connectors, USB</v>
      </c>
      <c r="D396" s="29" t="str">
        <f>RawList!C366</f>
        <v>SparkFun</v>
      </c>
      <c r="E396" s="29" t="str">
        <f>RawList!H366</f>
        <v>SparkFun microB USB Breakout</v>
      </c>
      <c r="F396" s="29" t="str">
        <f>RawList!D366</f>
        <v>BOB-12035</v>
      </c>
      <c r="G396" s="101">
        <f>RawList!E366</f>
        <v>0</v>
      </c>
      <c r="H396" s="29" t="str">
        <f>IF(EquipmentTable[[#This Row],[Units]]&gt;0,"Quantity &gt; 0 Items","Quantity = 0 Items")</f>
        <v>Quantity = 0 Items</v>
      </c>
      <c r="I396" s="102">
        <f>RawList!J366</f>
        <v>1.95</v>
      </c>
      <c r="J396" s="14">
        <f>VALUE(EquipmentTable[[#This Row],[Units]]*EquipmentTable[[#This Row],[Unit
 Price]])</f>
        <v>0</v>
      </c>
      <c r="K396" s="29" t="str">
        <f>RawList!G366</f>
        <v>https://cdn.sparkfun.com/r/92-92/assets/parts/8/5/7/8/12035-01.jpg</v>
      </c>
      <c r="L396" s="29"/>
      <c r="M396" s="29" t="str">
        <f>RawList!F366</f>
        <v>https://www.sparkfun.com/products/12035</v>
      </c>
    </row>
    <row r="397" spans="2:13" x14ac:dyDescent="0.25">
      <c r="B397" s="29" t="str">
        <f>RawList!A367</f>
        <v>Low-Level Electronics</v>
      </c>
      <c r="C397" s="29" t="str">
        <f>RawList!B367</f>
        <v>Connectors, USB</v>
      </c>
      <c r="D397" s="29" t="str">
        <f>RawList!C367</f>
        <v>SparkFun</v>
      </c>
      <c r="E397" s="29" t="str">
        <f>RawList!H367</f>
        <v>SparkFun USB MicroB Plug Breakout</v>
      </c>
      <c r="F397" s="29" t="str">
        <f>RawList!D367</f>
        <v>BOB-10031</v>
      </c>
      <c r="G397" s="101">
        <f>RawList!E367</f>
        <v>0</v>
      </c>
      <c r="H397" s="29" t="str">
        <f>IF(EquipmentTable[[#This Row],[Units]]&gt;0,"Quantity &gt; 0 Items","Quantity = 0 Items")</f>
        <v>Quantity = 0 Items</v>
      </c>
      <c r="I397" s="102">
        <f>RawList!J367</f>
        <v>3.95</v>
      </c>
      <c r="J397" s="14">
        <f>VALUE(EquipmentTable[[#This Row],[Units]]*EquipmentTable[[#This Row],[Unit
 Price]])</f>
        <v>0</v>
      </c>
      <c r="K397" s="29" t="str">
        <f>RawList!G367</f>
        <v>https://cdn.sparkfun.com/r/92-92/assets/parts/4/2/1/8/10031-01a.jpg</v>
      </c>
      <c r="L397" s="29"/>
      <c r="M397" s="29" t="str">
        <f>RawList!F367</f>
        <v>https://www.sparkfun.com/products/10031</v>
      </c>
    </row>
    <row r="398" spans="2:13" x14ac:dyDescent="0.25">
      <c r="B398" s="29" t="str">
        <f>RawList!A368</f>
        <v>Low-Level Electronics</v>
      </c>
      <c r="C398" s="29" t="str">
        <f>RawList!B368</f>
        <v>Connectors, USB</v>
      </c>
      <c r="D398" s="29" t="str">
        <f>RawList!C368</f>
        <v>SparkFun</v>
      </c>
      <c r="E398" s="29" t="str">
        <f>RawList!H368</f>
        <v>SparkFun USB Mini-B Breakout</v>
      </c>
      <c r="F398" s="29" t="str">
        <f>RawList!D368</f>
        <v>BOB-09966</v>
      </c>
      <c r="G398" s="101">
        <f>RawList!E368</f>
        <v>0</v>
      </c>
      <c r="H398" s="29" t="str">
        <f>IF(EquipmentTable[[#This Row],[Units]]&gt;0,"Quantity &gt; 0 Items","Quantity = 0 Items")</f>
        <v>Quantity = 0 Items</v>
      </c>
      <c r="I398" s="102">
        <f>RawList!J368</f>
        <v>1.95</v>
      </c>
      <c r="J398" s="14">
        <f>VALUE(EquipmentTable[[#This Row],[Units]]*EquipmentTable[[#This Row],[Unit
 Price]])</f>
        <v>0</v>
      </c>
      <c r="K398" s="29" t="str">
        <f>RawList!G368</f>
        <v>https://cdn.sparkfun.com/r/92-92/assets/parts/4/0/9/9/09966-01.jpg</v>
      </c>
      <c r="L398" s="29"/>
      <c r="M398" s="29" t="str">
        <f>RawList!F368</f>
        <v>https://www.sparkfun.com/products/9966</v>
      </c>
    </row>
    <row r="399" spans="2:13" x14ac:dyDescent="0.25">
      <c r="B399" s="29" t="str">
        <f>RawList!A369</f>
        <v>Low-Level Electronics</v>
      </c>
      <c r="C399" s="29" t="str">
        <f>RawList!B369</f>
        <v>Connectors/Sockets/Terminals, Other</v>
      </c>
      <c r="D399" s="29" t="str">
        <f>RawList!C369</f>
        <v>SparkFun</v>
      </c>
      <c r="E399" s="29" t="str">
        <f>RawList!H369</f>
        <v>Amphenol FCI Clincher Connector (2 Position, Female)</v>
      </c>
      <c r="F399" s="29" t="str">
        <f>RawList!D369</f>
        <v>COM-14194</v>
      </c>
      <c r="G399" s="101">
        <f>RawList!E369</f>
        <v>0</v>
      </c>
      <c r="H399" s="29" t="str">
        <f>IF(EquipmentTable[[#This Row],[Units]]&gt;0,"Quantity &gt; 0 Items","Quantity = 0 Items")</f>
        <v>Quantity = 0 Items</v>
      </c>
      <c r="I399" s="102">
        <f>RawList!J369</f>
        <v>1.95</v>
      </c>
      <c r="J399" s="14">
        <f>VALUE(EquipmentTable[[#This Row],[Units]]*EquipmentTable[[#This Row],[Unit
 Price]])</f>
        <v>0</v>
      </c>
      <c r="K399" s="29" t="str">
        <f>RawList!G369</f>
        <v>https://cdn.sparkfun.com/r/92-92/assets/parts/1/2/1/3/3/14194-01.jpg</v>
      </c>
      <c r="L399" s="29"/>
      <c r="M399" s="29" t="str">
        <f>RawList!F369</f>
        <v>https://www.sparkfun.com/products/14194</v>
      </c>
    </row>
    <row r="400" spans="2:13" x14ac:dyDescent="0.25">
      <c r="B400" s="29" t="str">
        <f>RawList!A370</f>
        <v>Low-Level Electronics</v>
      </c>
      <c r="C400" s="29" t="str">
        <f>RawList!B370</f>
        <v>Connectors/Sockets/Terminals, Other</v>
      </c>
      <c r="D400" s="29" t="str">
        <f>RawList!C370</f>
        <v>SparkFun</v>
      </c>
      <c r="E400" s="29" t="str">
        <f>RawList!H370</f>
        <v>Amphenol FCI Clincher Connector (2 Position, Male)</v>
      </c>
      <c r="F400" s="29" t="str">
        <f>RawList!D370</f>
        <v>COM-14195</v>
      </c>
      <c r="G400" s="101">
        <f>RawList!E370</f>
        <v>9</v>
      </c>
      <c r="H400" s="29" t="str">
        <f>IF(EquipmentTable[[#This Row],[Units]]&gt;0,"Quantity &gt; 0 Items","Quantity = 0 Items")</f>
        <v>Quantity &gt; 0 Items</v>
      </c>
      <c r="I400" s="102">
        <f>RawList!J370</f>
        <v>1.95</v>
      </c>
      <c r="J400" s="14">
        <f>VALUE(EquipmentTable[[#This Row],[Units]]*EquipmentTable[[#This Row],[Unit
 Price]])</f>
        <v>17.55</v>
      </c>
      <c r="K400" s="29" t="str">
        <f>RawList!G370</f>
        <v>https://cdn.sparkfun.com/r/92-92/assets/parts/1/2/1/3/4/14195-01.jpg</v>
      </c>
      <c r="L400" s="29"/>
      <c r="M400" s="29" t="str">
        <f>RawList!F370</f>
        <v>https://www.sparkfun.com/products/14195</v>
      </c>
    </row>
    <row r="401" spans="2:13" x14ac:dyDescent="0.25">
      <c r="B401" s="29" t="str">
        <f>RawList!A371</f>
        <v>Low-Level Electronics</v>
      </c>
      <c r="C401" s="29" t="str">
        <f>RawList!B371</f>
        <v>Connectors/Sockets/Terminals, Other</v>
      </c>
      <c r="D401" s="29" t="str">
        <f>RawList!C371</f>
        <v>SparkFun</v>
      </c>
      <c r="E401" s="29" t="str">
        <f>RawList!H371</f>
        <v>Jumper - 2 Pin</v>
      </c>
      <c r="F401" s="29" t="str">
        <f>RawList!D371</f>
        <v>PRT-09044</v>
      </c>
      <c r="G401" s="101">
        <f>RawList!E371</f>
        <v>0</v>
      </c>
      <c r="H401" s="29" t="str">
        <f>IF(EquipmentTable[[#This Row],[Units]]&gt;0,"Quantity &gt; 0 Items","Quantity = 0 Items")</f>
        <v>Quantity = 0 Items</v>
      </c>
      <c r="I401" s="102">
        <f>RawList!J371</f>
        <v>0.35</v>
      </c>
      <c r="J401" s="14">
        <f>VALUE(EquipmentTable[[#This Row],[Units]]*EquipmentTable[[#This Row],[Unit
 Price]])</f>
        <v>0</v>
      </c>
      <c r="K401" s="29" t="str">
        <f>RawList!G371</f>
        <v>https://cdn.sparkfun.com/r/92-92/assets/parts/2/4/0/7/09044-02-L.jpg</v>
      </c>
      <c r="L401" s="29"/>
      <c r="M401" s="29" t="str">
        <f>RawList!F371</f>
        <v>https://www.sparkfun.com/products/9044</v>
      </c>
    </row>
    <row r="402" spans="2:13" x14ac:dyDescent="0.25">
      <c r="B402" s="29" t="str">
        <f>RawList!A372</f>
        <v>Low-Level Electronics</v>
      </c>
      <c r="C402" s="29" t="str">
        <f>RawList!B372</f>
        <v>Connectors/Sockets/Terminals, Other</v>
      </c>
      <c r="D402" s="29" t="str">
        <f>RawList!C372</f>
        <v>Adafruit</v>
      </c>
      <c r="E402" s="29" t="str">
        <f>RawList!H372</f>
        <v xml:space="preserve">Jumper Shunt with Handle (0.1" / 2.54mm) – 10 Pack </v>
      </c>
      <c r="F402" s="29">
        <f>RawList!D372</f>
        <v>3525</v>
      </c>
      <c r="G402" s="101">
        <f>RawList!E372</f>
        <v>1</v>
      </c>
      <c r="H402" s="29" t="str">
        <f>IF(EquipmentTable[[#This Row],[Units]]&gt;0,"Quantity &gt; 0 Items","Quantity = 0 Items")</f>
        <v>Quantity &gt; 0 Items</v>
      </c>
      <c r="I402" s="102">
        <f>RawList!J372</f>
        <v>0.95</v>
      </c>
      <c r="J402" s="14">
        <f>VALUE(EquipmentTable[[#This Row],[Units]]*EquipmentTable[[#This Row],[Unit
 Price]])</f>
        <v>0.95</v>
      </c>
      <c r="K402" s="29">
        <f>RawList!G372</f>
        <v>0</v>
      </c>
      <c r="L402" s="29"/>
      <c r="M402" s="29">
        <f>RawList!F372</f>
        <v>0</v>
      </c>
    </row>
    <row r="403" spans="2:13" x14ac:dyDescent="0.25">
      <c r="B403" s="29" t="str">
        <f>RawList!A373</f>
        <v>Low-Level Electronics</v>
      </c>
      <c r="C403" s="29" t="str">
        <f>RawList!B373</f>
        <v>DIP/TO-#/SMD Components</v>
      </c>
      <c r="D403" s="29" t="str">
        <f>RawList!C373</f>
        <v>SparkFun</v>
      </c>
      <c r="E403" s="29" t="str">
        <f>RawList!H373</f>
        <v>SparkFun Beginner Parts Kit</v>
      </c>
      <c r="F403" s="29" t="str">
        <f>RawList!D373</f>
        <v>KIT-13973</v>
      </c>
      <c r="G403" s="101">
        <f>RawList!E373</f>
        <v>0</v>
      </c>
      <c r="H403" s="29" t="str">
        <f>IF(EquipmentTable[[#This Row],[Units]]&gt;0,"Quantity &gt; 0 Items","Quantity = 0 Items")</f>
        <v>Quantity = 0 Items</v>
      </c>
      <c r="I403" s="102">
        <f>RawList!J373</f>
        <v>14.95</v>
      </c>
      <c r="J403" s="14">
        <f>VALUE(EquipmentTable[[#This Row],[Units]]*EquipmentTable[[#This Row],[Unit
 Price]])</f>
        <v>0</v>
      </c>
      <c r="K403" s="29" t="str">
        <f>RawList!G373</f>
        <v>https://cdn.sparkfun.com/r/92-92/assets/parts/1/1/7/1/5/13973-05.jpg</v>
      </c>
      <c r="L403" s="29"/>
      <c r="M403" s="29" t="str">
        <f>RawList!F373</f>
        <v>https://www.sparkfun.com/products/13973</v>
      </c>
    </row>
    <row r="404" spans="2:13" x14ac:dyDescent="0.25">
      <c r="B404" s="29" t="str">
        <f>RawList!A374</f>
        <v>Low-Level Electronics</v>
      </c>
      <c r="C404" s="29" t="str">
        <f>RawList!B374</f>
        <v>DIP/TO-#/SMD Components</v>
      </c>
      <c r="D404" s="29" t="str">
        <f>RawList!C374</f>
        <v>Adafruit</v>
      </c>
      <c r="E404" s="29" t="str">
        <f>RawList!H374</f>
        <v>Adafruit Parts Pal</v>
      </c>
      <c r="F404" s="29" t="str">
        <f>RawList!D374</f>
        <v>2975</v>
      </c>
      <c r="G404" s="101">
        <f>RawList!E374</f>
        <v>1</v>
      </c>
      <c r="H404" s="29" t="str">
        <f>IF(EquipmentTable[[#This Row],[Units]]&gt;0,"Quantity &gt; 0 Items","Quantity = 0 Items")</f>
        <v>Quantity &gt; 0 Items</v>
      </c>
      <c r="I404" s="102">
        <f>RawList!J374</f>
        <v>19.95</v>
      </c>
      <c r="J404" s="14">
        <f>VALUE(EquipmentTable[[#This Row],[Units]]*EquipmentTable[[#This Row],[Unit
 Price]])</f>
        <v>19.95</v>
      </c>
      <c r="K404" s="29">
        <f>RawList!G374</f>
        <v>0</v>
      </c>
      <c r="L404" s="29"/>
      <c r="M404" s="29">
        <f>RawList!F374</f>
        <v>0</v>
      </c>
    </row>
    <row r="405" spans="2:13" x14ac:dyDescent="0.25">
      <c r="B405" s="29" t="str">
        <f>RawList!A375</f>
        <v>Low-Level Electronics</v>
      </c>
      <c r="C405" s="29" t="str">
        <f>RawList!B375</f>
        <v>DIP/TO-#/SMD Components</v>
      </c>
      <c r="D405" s="29" t="str">
        <f>RawList!C375</f>
        <v>SparkFun</v>
      </c>
      <c r="E405" s="29" t="str">
        <f>RawList!H375</f>
        <v>Transistor - PNP (2N3906)</v>
      </c>
      <c r="F405" s="29" t="str">
        <f>RawList!D375</f>
        <v>COM-00522</v>
      </c>
      <c r="G405" s="101">
        <f>RawList!E375</f>
        <v>0</v>
      </c>
      <c r="H405" s="29" t="str">
        <f>IF(EquipmentTable[[#This Row],[Units]]&gt;0,"Quantity &gt; 0 Items","Quantity = 0 Items")</f>
        <v>Quantity = 0 Items</v>
      </c>
      <c r="I405" s="102">
        <f>RawList!J375</f>
        <v>0.5</v>
      </c>
      <c r="J405" s="14">
        <f>VALUE(EquipmentTable[[#This Row],[Units]]*EquipmentTable[[#This Row],[Unit
 Price]])</f>
        <v>0</v>
      </c>
      <c r="K405" s="29" t="str">
        <f>RawList!G375</f>
        <v>https://cdn.sparkfun.com/r/92-92/assets/parts/1/6/5/00522-1.jpg</v>
      </c>
      <c r="L405" s="29"/>
      <c r="M405" s="29" t="str">
        <f>RawList!F375</f>
        <v>https://www.sparkfun.com/products/522</v>
      </c>
    </row>
    <row r="406" spans="2:13" x14ac:dyDescent="0.25">
      <c r="B406" s="29" t="str">
        <f>RawList!A376</f>
        <v>Low-Level Electronics</v>
      </c>
      <c r="C406" s="29" t="str">
        <f>RawList!B376</f>
        <v>DIP/TO-#/SMD Components</v>
      </c>
      <c r="D406" s="29" t="str">
        <f>RawList!C376</f>
        <v>SparkFun</v>
      </c>
      <c r="E406" s="29" t="str">
        <f>RawList!H376</f>
        <v>Transistor - NPN (2N3904)</v>
      </c>
      <c r="F406" s="29" t="str">
        <f>RawList!D376</f>
        <v>COM-00521</v>
      </c>
      <c r="G406" s="101">
        <f>RawList!E376</f>
        <v>0</v>
      </c>
      <c r="H406" s="29" t="str">
        <f>IF(EquipmentTable[[#This Row],[Units]]&gt;0,"Quantity &gt; 0 Items","Quantity = 0 Items")</f>
        <v>Quantity = 0 Items</v>
      </c>
      <c r="I406" s="102">
        <f>RawList!J376</f>
        <v>0.5</v>
      </c>
      <c r="J406" s="14">
        <f>VALUE(EquipmentTable[[#This Row],[Units]]*EquipmentTable[[#This Row],[Unit
 Price]])</f>
        <v>0</v>
      </c>
      <c r="K406" s="29" t="str">
        <f>RawList!G376</f>
        <v>https://cdn.sparkfun.com/r/92-92/assets/parts/2/9/9/00521-1.jpg</v>
      </c>
      <c r="L406" s="29"/>
      <c r="M406" s="29" t="str">
        <f>RawList!F376</f>
        <v>https://www.sparkfun.com/products/521</v>
      </c>
    </row>
    <row r="407" spans="2:13" x14ac:dyDescent="0.25">
      <c r="B407" s="29" t="str">
        <f>RawList!A377</f>
        <v>Low-Level Electronics</v>
      </c>
      <c r="C407" s="29" t="str">
        <f>RawList!B377</f>
        <v>DIP/TO-#/SMD Components</v>
      </c>
      <c r="D407" s="29" t="str">
        <f>RawList!C377</f>
        <v>SparkFun</v>
      </c>
      <c r="E407" s="29" t="str">
        <f>RawList!H377</f>
        <v>Transistor - NPN (BC547)</v>
      </c>
      <c r="F407" s="29" t="str">
        <f>RawList!D377</f>
        <v>COM-08928</v>
      </c>
      <c r="G407" s="101">
        <f>RawList!E377</f>
        <v>0</v>
      </c>
      <c r="H407" s="29" t="str">
        <f>IF(EquipmentTable[[#This Row],[Units]]&gt;0,"Quantity &gt; 0 Items","Quantity = 0 Items")</f>
        <v>Quantity = 0 Items</v>
      </c>
      <c r="I407" s="102">
        <f>RawList!J377</f>
        <v>0.5</v>
      </c>
      <c r="J407" s="14">
        <f>VALUE(EquipmentTable[[#This Row],[Units]]*EquipmentTable[[#This Row],[Unit
 Price]])</f>
        <v>0</v>
      </c>
      <c r="K407" s="29" t="str">
        <f>RawList!G377</f>
        <v>https://cdn.sparkfun.com/r/92-92/assets/parts/2/2/0/7/08928-03-L.jpg</v>
      </c>
      <c r="L407" s="29"/>
      <c r="M407" s="29" t="str">
        <f>RawList!F377</f>
        <v>https://www.sparkfun.com/products/8928</v>
      </c>
    </row>
    <row r="408" spans="2:13" x14ac:dyDescent="0.25">
      <c r="B408" s="29" t="str">
        <f>RawList!A378</f>
        <v>Low-Level Electronics</v>
      </c>
      <c r="C408" s="29" t="str">
        <f>RawList!B378</f>
        <v>DIP/TO-#/SMD Components</v>
      </c>
      <c r="D408" s="29" t="str">
        <f>RawList!C378</f>
        <v>SparkFun</v>
      </c>
      <c r="E408" s="29" t="str">
        <f>RawList!H378</f>
        <v>N-Channel MOSFET 60V 30A</v>
      </c>
      <c r="F408" s="29" t="str">
        <f>RawList!D378</f>
        <v>COM-10213</v>
      </c>
      <c r="G408" s="101">
        <f>RawList!E378</f>
        <v>0</v>
      </c>
      <c r="H408" s="29" t="str">
        <f>IF(EquipmentTable[[#This Row],[Units]]&gt;0,"Quantity &gt; 0 Items","Quantity = 0 Items")</f>
        <v>Quantity = 0 Items</v>
      </c>
      <c r="I408" s="102">
        <f>RawList!J378</f>
        <v>0.95</v>
      </c>
      <c r="J408" s="14">
        <f>VALUE(EquipmentTable[[#This Row],[Units]]*EquipmentTable[[#This Row],[Unit
 Price]])</f>
        <v>0</v>
      </c>
      <c r="K408" s="29" t="str">
        <f>RawList!G378</f>
        <v>https://cdn.sparkfun.com/r/92-92/assets/parts/4/5/5/5/10213-01.jpg</v>
      </c>
      <c r="L408" s="29"/>
      <c r="M408" s="29" t="str">
        <f>RawList!F378</f>
        <v>https://www.sparkfun.com/products/10213</v>
      </c>
    </row>
    <row r="409" spans="2:13" x14ac:dyDescent="0.25">
      <c r="B409" s="29" t="str">
        <f>RawList!A379</f>
        <v>Low-Level Electronics</v>
      </c>
      <c r="C409" s="29" t="str">
        <f>RawList!B379</f>
        <v>DIP/TO-#/SMD Components</v>
      </c>
      <c r="D409" s="29" t="str">
        <f>RawList!C379</f>
        <v>SparkFun</v>
      </c>
      <c r="E409" s="29" t="str">
        <f>RawList!H379</f>
        <v>P-Channel MOSFET 60V 27A</v>
      </c>
      <c r="F409" s="29" t="str">
        <f>RawList!D379</f>
        <v>COM-10349</v>
      </c>
      <c r="G409" s="101">
        <f>RawList!E379</f>
        <v>0</v>
      </c>
      <c r="H409" s="29" t="str">
        <f>IF(EquipmentTable[[#This Row],[Units]]&gt;0,"Quantity &gt; 0 Items","Quantity = 0 Items")</f>
        <v>Quantity = 0 Items</v>
      </c>
      <c r="I409" s="102">
        <f>RawList!J379</f>
        <v>0.95</v>
      </c>
      <c r="J409" s="14">
        <f>VALUE(EquipmentTable[[#This Row],[Units]]*EquipmentTable[[#This Row],[Unit
 Price]])</f>
        <v>0</v>
      </c>
      <c r="K409" s="29" t="str">
        <f>RawList!G379</f>
        <v>https://cdn.sparkfun.com/r/92-92/assets/parts/4/7/7/8/10349-01.jpg</v>
      </c>
      <c r="L409" s="29"/>
      <c r="M409" s="29" t="str">
        <f>RawList!F379</f>
        <v>https://www.sparkfun.com/products/10349</v>
      </c>
    </row>
    <row r="410" spans="2:13" x14ac:dyDescent="0.25">
      <c r="B410" s="29" t="str">
        <f>RawList!A380</f>
        <v>Low-Level Electronics</v>
      </c>
      <c r="C410" s="29" t="str">
        <f>RawList!B380</f>
        <v>DIP/TO-#/SMD Components</v>
      </c>
      <c r="D410" s="29" t="str">
        <f>RawList!C380</f>
        <v>SparkFun</v>
      </c>
      <c r="E410" s="29" t="str">
        <f>RawList!H380</f>
        <v>P-Channel MOSFET 20V 24A - low Vgs(th)</v>
      </c>
      <c r="F410" s="29" t="str">
        <f>RawList!D380</f>
        <v>COM-12901</v>
      </c>
      <c r="G410" s="101">
        <f>RawList!E380</f>
        <v>0</v>
      </c>
      <c r="H410" s="29" t="str">
        <f>IF(EquipmentTable[[#This Row],[Units]]&gt;0,"Quantity &gt; 0 Items","Quantity = 0 Items")</f>
        <v>Quantity = 0 Items</v>
      </c>
      <c r="I410" s="102">
        <f>RawList!J380</f>
        <v>1.95</v>
      </c>
      <c r="J410" s="14">
        <f>VALUE(EquipmentTable[[#This Row],[Units]]*EquipmentTable[[#This Row],[Unit
 Price]])</f>
        <v>0</v>
      </c>
      <c r="K410" s="29" t="str">
        <f>RawList!G380</f>
        <v>https://cdn.sparkfun.com/r/92-92/assets/parts/9/8/0/2/12901-01.jpg</v>
      </c>
      <c r="L410" s="29"/>
      <c r="M410" s="29" t="str">
        <f>RawList!F380</f>
        <v>https://www.sparkfun.com/products/12901</v>
      </c>
    </row>
    <row r="411" spans="2:13" x14ac:dyDescent="0.25">
      <c r="B411" s="29" t="str">
        <f>RawList!A381</f>
        <v>Low-Level Electronics</v>
      </c>
      <c r="C411" s="29" t="str">
        <f>RawList!B381</f>
        <v>DIP/TO-#/SMD Components</v>
      </c>
      <c r="D411" s="29" t="str">
        <f>RawList!C381</f>
        <v>SparkFun</v>
      </c>
      <c r="E411" s="29" t="str">
        <f>RawList!H381</f>
        <v>TL431 - Voltage Reference</v>
      </c>
      <c r="F411" s="29" t="str">
        <f>RawList!D381</f>
        <v>COM-11078</v>
      </c>
      <c r="G411" s="101">
        <f>RawList!E381</f>
        <v>6</v>
      </c>
      <c r="H411" s="29" t="str">
        <f>IF(EquipmentTable[[#This Row],[Units]]&gt;0,"Quantity &gt; 0 Items","Quantity = 0 Items")</f>
        <v>Quantity &gt; 0 Items</v>
      </c>
      <c r="I411" s="102">
        <f>RawList!J381</f>
        <v>0.5</v>
      </c>
      <c r="J411" s="14">
        <f>VALUE(EquipmentTable[[#This Row],[Units]]*EquipmentTable[[#This Row],[Unit
 Price]])</f>
        <v>3</v>
      </c>
      <c r="K411" s="29" t="str">
        <f>RawList!G381</f>
        <v>https://cdn.sparkfun.com/r/92-92/assets/parts/6/4/6/8/11078-01.jpg</v>
      </c>
      <c r="L411" s="29"/>
      <c r="M411" s="29" t="str">
        <f>RawList!F381</f>
        <v>https://www.sparkfun.com/products/11078</v>
      </c>
    </row>
    <row r="412" spans="2:13" x14ac:dyDescent="0.25">
      <c r="B412" s="29" t="str">
        <f>RawList!A382</f>
        <v>Low-Level Electronics</v>
      </c>
      <c r="C412" s="29" t="str">
        <f>RawList!B382</f>
        <v>DIP/TO-#/SMD Components</v>
      </c>
      <c r="D412" s="29" t="str">
        <f>RawList!C382</f>
        <v>SparkFun</v>
      </c>
      <c r="E412" s="29" t="str">
        <f>RawList!H382</f>
        <v>Voltage Regulator - 3.3V</v>
      </c>
      <c r="F412" s="29" t="str">
        <f>RawList!D382</f>
        <v>COM-00526</v>
      </c>
      <c r="G412" s="101">
        <f>RawList!E382</f>
        <v>2</v>
      </c>
      <c r="H412" s="29" t="str">
        <f>IF(EquipmentTable[[#This Row],[Units]]&gt;0,"Quantity &gt; 0 Items","Quantity = 0 Items")</f>
        <v>Quantity &gt; 0 Items</v>
      </c>
      <c r="I412" s="102">
        <f>RawList!J382</f>
        <v>1.95</v>
      </c>
      <c r="J412" s="14">
        <f>VALUE(EquipmentTable[[#This Row],[Units]]*EquipmentTable[[#This Row],[Unit
 Price]])</f>
        <v>3.9</v>
      </c>
      <c r="K412" s="29" t="str">
        <f>RawList!G382</f>
        <v>https://cdn.sparkfun.com/r/92-92/assets/parts/3/0/2/00526-03-L.jpg</v>
      </c>
      <c r="L412" s="29"/>
      <c r="M412" s="29" t="str">
        <f>RawList!F382</f>
        <v>https://www.sparkfun.com/products/526</v>
      </c>
    </row>
    <row r="413" spans="2:13" x14ac:dyDescent="0.25">
      <c r="B413" s="29" t="str">
        <f>RawList!A383</f>
        <v>Low-Level Electronics</v>
      </c>
      <c r="C413" s="29" t="str">
        <f>RawList!B383</f>
        <v>DIP/TO-#/SMD Components</v>
      </c>
      <c r="D413" s="29" t="str">
        <f>RawList!C383</f>
        <v>SparkFun</v>
      </c>
      <c r="E413" s="29" t="str">
        <f>RawList!H383</f>
        <v>Voltage Regulator - 5V</v>
      </c>
      <c r="F413" s="29" t="str">
        <f>RawList!D383</f>
        <v>COM-00107</v>
      </c>
      <c r="G413" s="101">
        <f>RawList!E383</f>
        <v>3</v>
      </c>
      <c r="H413" s="29" t="str">
        <f>IF(EquipmentTable[[#This Row],[Units]]&gt;0,"Quantity &gt; 0 Items","Quantity = 0 Items")</f>
        <v>Quantity &gt; 0 Items</v>
      </c>
      <c r="I413" s="102">
        <f>RawList!J383</f>
        <v>0.95</v>
      </c>
      <c r="J413" s="14">
        <f>VALUE(EquipmentTable[[#This Row],[Units]]*EquipmentTable[[#This Row],[Unit
 Price]])</f>
        <v>2.8499999999999996</v>
      </c>
      <c r="K413" s="29" t="str">
        <f>RawList!G383</f>
        <v>https://cdn.sparkfun.com/r/92-92/assets/parts/9/9/00107-1.jpg</v>
      </c>
      <c r="L413" s="29"/>
      <c r="M413" s="29" t="str">
        <f>RawList!F383</f>
        <v>https://www.sparkfun.com/products/107</v>
      </c>
    </row>
    <row r="414" spans="2:13" x14ac:dyDescent="0.25">
      <c r="B414" s="29" t="str">
        <f>RawList!A384</f>
        <v>Low-Level Electronics</v>
      </c>
      <c r="C414" s="29" t="str">
        <f>RawList!B384</f>
        <v>DIP/TO-#/SMD Components</v>
      </c>
      <c r="D414" s="29" t="str">
        <f>RawList!C384</f>
        <v>SparkFun</v>
      </c>
      <c r="E414" s="29" t="str">
        <f>RawList!H384</f>
        <v>Voltage Regulator - 12V</v>
      </c>
      <c r="F414" s="29" t="str">
        <f>RawList!D384</f>
        <v>COM-12766</v>
      </c>
      <c r="G414" s="101">
        <f>RawList!E384</f>
        <v>2</v>
      </c>
      <c r="H414" s="29" t="str">
        <f>IF(EquipmentTable[[#This Row],[Units]]&gt;0,"Quantity &gt; 0 Items","Quantity = 0 Items")</f>
        <v>Quantity &gt; 0 Items</v>
      </c>
      <c r="I414" s="102">
        <f>RawList!J384</f>
        <v>1.5</v>
      </c>
      <c r="J414" s="14">
        <f>VALUE(EquipmentTable[[#This Row],[Units]]*EquipmentTable[[#This Row],[Unit
 Price]])</f>
        <v>3</v>
      </c>
      <c r="K414" s="29" t="str">
        <f>RawList!G384</f>
        <v>https://cdn.sparkfun.com/r/92-92/assets/parts/4/4/2/4/12766-01.jpg</v>
      </c>
      <c r="L414" s="29"/>
      <c r="M414" s="29" t="str">
        <f>RawList!F384</f>
        <v>https://www.sparkfun.com/products/12766</v>
      </c>
    </row>
    <row r="415" spans="2:13" x14ac:dyDescent="0.25">
      <c r="B415" s="29" t="str">
        <f>RawList!A385</f>
        <v>Low-Level Electronics</v>
      </c>
      <c r="C415" s="29" t="str">
        <f>RawList!B385</f>
        <v>DIP/TO-#/SMD Components</v>
      </c>
      <c r="D415" s="29" t="str">
        <f>RawList!C385</f>
        <v>SparkFun</v>
      </c>
      <c r="E415" s="29" t="str">
        <f>RawList!H385</f>
        <v>Voltage Regulator - Adjustable</v>
      </c>
      <c r="F415" s="29" t="str">
        <f>RawList!D385</f>
        <v>COM-00527</v>
      </c>
      <c r="G415" s="101">
        <f>RawList!E385</f>
        <v>1</v>
      </c>
      <c r="H415" s="29" t="str">
        <f>IF(EquipmentTable[[#This Row],[Units]]&gt;0,"Quantity &gt; 0 Items","Quantity = 0 Items")</f>
        <v>Quantity &gt; 0 Items</v>
      </c>
      <c r="I415" s="102">
        <f>RawList!J385</f>
        <v>1.95</v>
      </c>
      <c r="J415" s="14">
        <f>VALUE(EquipmentTable[[#This Row],[Units]]*EquipmentTable[[#This Row],[Unit
 Price]])</f>
        <v>1.95</v>
      </c>
      <c r="K415" s="29" t="str">
        <f>RawList!G385</f>
        <v>https://cdn.sparkfun.com/r/92-92/assets/parts/3/5/8/LM317.jpg</v>
      </c>
      <c r="L415" s="29"/>
      <c r="M415" s="29" t="str">
        <f>RawList!F385</f>
        <v>https://www.sparkfun.com/products/527</v>
      </c>
    </row>
    <row r="416" spans="2:13" x14ac:dyDescent="0.25">
      <c r="B416" s="29" t="str">
        <f>RawList!A386</f>
        <v>Low-Level Electronics</v>
      </c>
      <c r="C416" s="29" t="str">
        <f>RawList!B386</f>
        <v>DIP/TO-#/SMD Components</v>
      </c>
      <c r="D416" s="29" t="str">
        <f>RawList!C386</f>
        <v>SparkFun</v>
      </c>
      <c r="E416" s="29" t="str">
        <f>RawList!H386</f>
        <v>DIP Sockets Solder Tail - 8-Pin</v>
      </c>
      <c r="F416" s="29" t="str">
        <f>RawList!D386</f>
        <v>PRT-07937</v>
      </c>
      <c r="G416" s="101">
        <f>RawList!E386</f>
        <v>1</v>
      </c>
      <c r="H416" s="29" t="str">
        <f>IF(EquipmentTable[[#This Row],[Units]]&gt;0,"Quantity &gt; 0 Items","Quantity = 0 Items")</f>
        <v>Quantity &gt; 0 Items</v>
      </c>
      <c r="I416" s="102">
        <f>RawList!J386</f>
        <v>0.5</v>
      </c>
      <c r="J416" s="14">
        <f>VALUE(EquipmentTable[[#This Row],[Units]]*EquipmentTable[[#This Row],[Unit
 Price]])</f>
        <v>0.5</v>
      </c>
      <c r="K416" s="29" t="str">
        <f>RawList!G386</f>
        <v>https://cdn.sparkfun.com/r/92-92/assets/parts/2/2/4/DIP-8.jpg</v>
      </c>
      <c r="L416" s="29"/>
      <c r="M416" s="29" t="str">
        <f>RawList!F386</f>
        <v>https://www.sparkfun.com/products/7937</v>
      </c>
    </row>
    <row r="417" spans="2:13" x14ac:dyDescent="0.25">
      <c r="B417" s="29" t="str">
        <f>RawList!A387</f>
        <v>Low-Level Electronics</v>
      </c>
      <c r="C417" s="29" t="str">
        <f>RawList!B387</f>
        <v>DIP/TO-#/SMD Components</v>
      </c>
      <c r="D417" s="29" t="str">
        <f>RawList!C387</f>
        <v>Adafruit</v>
      </c>
      <c r="E417" s="29" t="str">
        <f>RawList!H387</f>
        <v>IC Socket - for 8-pin 0.3" Chips - Pack of 3</v>
      </c>
      <c r="F417" s="29" t="str">
        <f>RawList!D387</f>
        <v>2202</v>
      </c>
      <c r="G417" s="101">
        <f>RawList!E387</f>
        <v>0</v>
      </c>
      <c r="H417" s="29" t="str">
        <f>IF(EquipmentTable[[#This Row],[Units]]&gt;0,"Quantity &gt; 0 Items","Quantity = 0 Items")</f>
        <v>Quantity = 0 Items</v>
      </c>
      <c r="I417" s="102">
        <f>RawList!J387</f>
        <v>0.75</v>
      </c>
      <c r="J417" s="14">
        <f>VALUE(EquipmentTable[[#This Row],[Units]]*EquipmentTable[[#This Row],[Unit
 Price]])</f>
        <v>0</v>
      </c>
      <c r="K417" s="29">
        <f>RawList!G387</f>
        <v>0</v>
      </c>
      <c r="L417" s="29"/>
      <c r="M417" s="29">
        <f>RawList!F387</f>
        <v>0</v>
      </c>
    </row>
    <row r="418" spans="2:13" x14ac:dyDescent="0.25">
      <c r="B418" s="29" t="str">
        <f>RawList!A388</f>
        <v>Low-Level Electronics</v>
      </c>
      <c r="C418" s="29" t="str">
        <f>RawList!B388</f>
        <v>DIP/TO-#/SMD Components</v>
      </c>
      <c r="D418" s="29" t="str">
        <f>RawList!C388</f>
        <v>SparkFun</v>
      </c>
      <c r="E418" s="29" t="str">
        <f>RawList!H388</f>
        <v>Op-Amp (Through-Hole) - LM358</v>
      </c>
      <c r="F418" s="29" t="str">
        <f>RawList!D388</f>
        <v>COM-09456</v>
      </c>
      <c r="G418" s="101">
        <f>RawList!E388</f>
        <v>5</v>
      </c>
      <c r="H418" s="29" t="str">
        <f>IF(EquipmentTable[[#This Row],[Units]]&gt;0,"Quantity &gt; 0 Items","Quantity = 0 Items")</f>
        <v>Quantity &gt; 0 Items</v>
      </c>
      <c r="I418" s="102">
        <f>RawList!J388</f>
        <v>0.95</v>
      </c>
      <c r="J418" s="14">
        <f>VALUE(EquipmentTable[[#This Row],[Units]]*EquipmentTable[[#This Row],[Unit
 Price]])</f>
        <v>4.75</v>
      </c>
      <c r="K418" s="29" t="str">
        <f>RawList!G388</f>
        <v>https://cdn.sparkfun.com/r/92-92/assets/parts/2/7/8/8/09456-01.jpg</v>
      </c>
      <c r="L418" s="29"/>
      <c r="M418" s="29" t="str">
        <f>RawList!F388</f>
        <v>https://www.sparkfun.com/products/9456</v>
      </c>
    </row>
    <row r="419" spans="2:13" x14ac:dyDescent="0.25">
      <c r="B419" s="29" t="str">
        <f>RawList!A389</f>
        <v>Low-Level Electronics</v>
      </c>
      <c r="C419" s="29" t="str">
        <f>RawList!B389</f>
        <v>DIP/TO-#/SMD Components</v>
      </c>
      <c r="D419" s="29" t="str">
        <f>RawList!C389</f>
        <v>SparkFun</v>
      </c>
      <c r="E419" s="29" t="str">
        <f>RawList!H389</f>
        <v>Digital Potentiometer - 10K</v>
      </c>
      <c r="F419" s="29" t="str">
        <f>RawList!D389</f>
        <v>COM-10613</v>
      </c>
      <c r="G419" s="101">
        <f>RawList!E389</f>
        <v>1</v>
      </c>
      <c r="H419" s="29" t="str">
        <f>IF(EquipmentTable[[#This Row],[Units]]&gt;0,"Quantity &gt; 0 Items","Quantity = 0 Items")</f>
        <v>Quantity &gt; 0 Items</v>
      </c>
      <c r="I419" s="102">
        <f>RawList!J389</f>
        <v>1.5</v>
      </c>
      <c r="J419" s="14">
        <f>VALUE(EquipmentTable[[#This Row],[Units]]*EquipmentTable[[#This Row],[Unit
 Price]])</f>
        <v>1.5</v>
      </c>
      <c r="K419" s="29" t="str">
        <f>RawList!G389</f>
        <v>https://cdn.sparkfun.com/r/92-92/assets/parts/5/2/6/9/10613-01.jpg</v>
      </c>
      <c r="L419" s="29"/>
      <c r="M419" s="29" t="str">
        <f>RawList!F389</f>
        <v>https://www.sparkfun.com/products/10613</v>
      </c>
    </row>
    <row r="420" spans="2:13" x14ac:dyDescent="0.25">
      <c r="B420" s="29" t="str">
        <f>RawList!A390</f>
        <v>Low-Level Electronics</v>
      </c>
      <c r="C420" s="29" t="str">
        <f>RawList!B390</f>
        <v>DIP/TO-#/SMD Components</v>
      </c>
      <c r="D420" s="29" t="str">
        <f>RawList!C390</f>
        <v>SparkFun</v>
      </c>
      <c r="E420" s="29" t="str">
        <f>RawList!H390</f>
        <v>555 Timer</v>
      </c>
      <c r="F420" s="29" t="str">
        <f>RawList!D390</f>
        <v>COM-09273</v>
      </c>
      <c r="G420" s="101">
        <f>RawList!E390</f>
        <v>2</v>
      </c>
      <c r="H420" s="29" t="str">
        <f>IF(EquipmentTable[[#This Row],[Units]]&gt;0,"Quantity &gt; 0 Items","Quantity = 0 Items")</f>
        <v>Quantity &gt; 0 Items</v>
      </c>
      <c r="I420" s="102">
        <f>RawList!J390</f>
        <v>0.95</v>
      </c>
      <c r="J420" s="14">
        <f>VALUE(EquipmentTable[[#This Row],[Units]]*EquipmentTable[[#This Row],[Unit
 Price]])</f>
        <v>1.9</v>
      </c>
      <c r="K420" s="29" t="str">
        <f>RawList!G390</f>
        <v>https://cdn.sparkfun.com/r/92-92/assets/parts/2/7/9/0/09273-1.jpg</v>
      </c>
      <c r="L420" s="29"/>
      <c r="M420" s="29" t="str">
        <f>RawList!F390</f>
        <v>https://www.sparkfun.com/products/9273</v>
      </c>
    </row>
    <row r="421" spans="2:13" x14ac:dyDescent="0.25">
      <c r="B421" s="29" t="str">
        <f>RawList!A391</f>
        <v>Low-Level Electronics</v>
      </c>
      <c r="C421" s="29" t="str">
        <f>RawList!B391</f>
        <v>DIP/TO-#/SMD Components</v>
      </c>
      <c r="D421" s="29" t="str">
        <f>RawList!C391</f>
        <v>SparkFun</v>
      </c>
      <c r="E421" s="29" t="str">
        <f>RawList!H391</f>
        <v>Analog to Digital Converter - MCP3002</v>
      </c>
      <c r="F421" s="29" t="str">
        <f>RawList!D391</f>
        <v>COM-08636</v>
      </c>
      <c r="G421" s="101">
        <f>RawList!E391</f>
        <v>3</v>
      </c>
      <c r="H421" s="29" t="str">
        <f>IF(EquipmentTable[[#This Row],[Units]]&gt;0,"Quantity &gt; 0 Items","Quantity = 0 Items")</f>
        <v>Quantity &gt; 0 Items</v>
      </c>
      <c r="I421" s="102">
        <f>RawList!J391</f>
        <v>2.2999999999999998</v>
      </c>
      <c r="J421" s="14">
        <f>VALUE(EquipmentTable[[#This Row],[Units]]*EquipmentTable[[#This Row],[Unit
 Price]])</f>
        <v>6.8999999999999995</v>
      </c>
      <c r="K421" s="29" t="str">
        <f>RawList!G391</f>
        <v>https://cdn.sparkfun.com/r/92-92/assets/parts/1/7/7/0/08636-03-L.jpg</v>
      </c>
      <c r="L421" s="29"/>
      <c r="M421" s="29" t="str">
        <f>RawList!F391</f>
        <v>https://www.sparkfun.com/products/8636</v>
      </c>
    </row>
    <row r="422" spans="2:13" x14ac:dyDescent="0.25">
      <c r="B422" s="29" t="str">
        <f>RawList!A392</f>
        <v>Low-Level Electronics</v>
      </c>
      <c r="C422" s="29" t="str">
        <f>RawList!B392</f>
        <v>DIP/TO-#/SMD Components</v>
      </c>
      <c r="D422" s="29" t="str">
        <f>RawList!C392</f>
        <v>SparkFun</v>
      </c>
      <c r="E422" s="29" t="str">
        <f>RawList!H392</f>
        <v>Step Up/Down Inverting Switching Regulator</v>
      </c>
      <c r="F422" s="29" t="str">
        <f>RawList!D392</f>
        <v>COM-00317</v>
      </c>
      <c r="G422" s="101">
        <f>RawList!E392</f>
        <v>1</v>
      </c>
      <c r="H422" s="29" t="str">
        <f>IF(EquipmentTable[[#This Row],[Units]]&gt;0,"Quantity &gt; 0 Items","Quantity = 0 Items")</f>
        <v>Quantity &gt; 0 Items</v>
      </c>
      <c r="I422" s="102">
        <f>RawList!J392</f>
        <v>1.95</v>
      </c>
      <c r="J422" s="14">
        <f>VALUE(EquipmentTable[[#This Row],[Units]]*EquipmentTable[[#This Row],[Unit
 Price]])</f>
        <v>1.95</v>
      </c>
      <c r="K422" s="29" t="str">
        <f>RawList!G392</f>
        <v>https://cdn.sparkfun.com/r/92-92/assets/parts/2/5/3/dc_dc_regulator.jpg</v>
      </c>
      <c r="L422" s="29"/>
      <c r="M422" s="29" t="str">
        <f>RawList!F392</f>
        <v>https://www.sparkfun.com/products/317</v>
      </c>
    </row>
    <row r="423" spans="2:13" x14ac:dyDescent="0.25">
      <c r="B423" s="29" t="str">
        <f>RawList!A393</f>
        <v>Low-Level Electronics</v>
      </c>
      <c r="C423" s="29" t="str">
        <f>RawList!B393</f>
        <v>DIP/TO-#/SMD Components</v>
      </c>
      <c r="D423" s="29" t="str">
        <f>RawList!C393</f>
        <v>Adafruit</v>
      </c>
      <c r="E423" s="29" t="str">
        <f>RawList!H393</f>
        <v xml:space="preserve">74AHCT125 - Quad Level-Shifter (3V to 5V) - 74AHCT125 </v>
      </c>
      <c r="F423" s="29" t="str">
        <f>RawList!D393</f>
        <v>1787</v>
      </c>
      <c r="G423" s="101">
        <f>RawList!E393</f>
        <v>0</v>
      </c>
      <c r="H423" s="29" t="str">
        <f>IF(EquipmentTable[[#This Row],[Units]]&gt;0,"Quantity &gt; 0 Items","Quantity = 0 Items")</f>
        <v>Quantity = 0 Items</v>
      </c>
      <c r="I423" s="102">
        <f>RawList!J393</f>
        <v>1.5</v>
      </c>
      <c r="J423" s="14">
        <f>VALUE(EquipmentTable[[#This Row],[Units]]*EquipmentTable[[#This Row],[Unit
 Price]])</f>
        <v>0</v>
      </c>
      <c r="K423" s="29">
        <f>RawList!G393</f>
        <v>0</v>
      </c>
      <c r="L423" s="29"/>
      <c r="M423" s="29">
        <f>RawList!F393</f>
        <v>0</v>
      </c>
    </row>
    <row r="424" spans="2:13" x14ac:dyDescent="0.25">
      <c r="B424" s="29" t="str">
        <f>RawList!A394</f>
        <v>Low-Level Electronics</v>
      </c>
      <c r="C424" s="29" t="str">
        <f>RawList!B394</f>
        <v>DIP/TO-#/SMD Components</v>
      </c>
      <c r="D424" s="29" t="str">
        <f>RawList!C394</f>
        <v>SparkFun</v>
      </c>
      <c r="E424" s="29" t="str">
        <f>RawList!H394</f>
        <v>I2C EEPROM - 256kbit</v>
      </c>
      <c r="F424" s="29" t="str">
        <f>RawList!D394</f>
        <v>COM-00525</v>
      </c>
      <c r="G424" s="101">
        <f>RawList!E394</f>
        <v>0</v>
      </c>
      <c r="H424" s="29" t="str">
        <f>IF(EquipmentTable[[#This Row],[Units]]&gt;0,"Quantity &gt; 0 Items","Quantity = 0 Items")</f>
        <v>Quantity = 0 Items</v>
      </c>
      <c r="I424" s="102">
        <f>RawList!J394</f>
        <v>1.95</v>
      </c>
      <c r="J424" s="14">
        <f>VALUE(EquipmentTable[[#This Row],[Units]]*EquipmentTable[[#This Row],[Unit
 Price]])</f>
        <v>0</v>
      </c>
      <c r="K424" s="29" t="str">
        <f>RawList!G394</f>
        <v>https://cdn.sparkfun.com/r/92-92/assets/parts/3/0/5/EEPROM.jpg</v>
      </c>
      <c r="L424" s="29"/>
      <c r="M424" s="29" t="str">
        <f>RawList!F394</f>
        <v>https://www.sparkfun.com/products/525</v>
      </c>
    </row>
    <row r="425" spans="2:13" x14ac:dyDescent="0.25">
      <c r="B425" s="29" t="str">
        <f>RawList!A395</f>
        <v>Low-Level Electronics</v>
      </c>
      <c r="C425" s="29" t="str">
        <f>RawList!B395</f>
        <v>DIP/TO-#/SMD Components</v>
      </c>
      <c r="D425" s="29" t="str">
        <f>RawList!C395</f>
        <v>SparkFun</v>
      </c>
      <c r="E425" s="29" t="str">
        <f>RawList!H395</f>
        <v>Shift Register 8-Bit - SN74HC595</v>
      </c>
      <c r="F425" s="29" t="str">
        <f>RawList!D395</f>
        <v>COM-13699</v>
      </c>
      <c r="G425" s="101">
        <f>RawList!E395</f>
        <v>0</v>
      </c>
      <c r="H425" s="29" t="str">
        <f>IF(EquipmentTable[[#This Row],[Units]]&gt;0,"Quantity &gt; 0 Items","Quantity = 0 Items")</f>
        <v>Quantity = 0 Items</v>
      </c>
      <c r="I425" s="102">
        <f>RawList!J395</f>
        <v>0.95</v>
      </c>
      <c r="J425" s="14">
        <f>VALUE(EquipmentTable[[#This Row],[Units]]*EquipmentTable[[#This Row],[Unit
 Price]])</f>
        <v>0</v>
      </c>
      <c r="K425" s="29" t="str">
        <f>RawList!G395</f>
        <v>https://cdn.sparkfun.com/r/92-92/assets/parts/1/1/1/7/5/13699-01.jpg</v>
      </c>
      <c r="L425" s="29"/>
      <c r="M425" s="29" t="str">
        <f>RawList!F395</f>
        <v>https://www.sparkfun.com/products/13699</v>
      </c>
    </row>
    <row r="426" spans="2:13" x14ac:dyDescent="0.25">
      <c r="B426" s="29" t="str">
        <f>RawList!A396</f>
        <v>Low-Level Electronics</v>
      </c>
      <c r="C426" s="29" t="str">
        <f>RawList!B396</f>
        <v>DIP/TO-#/SMD Components</v>
      </c>
      <c r="D426" s="29" t="str">
        <f>RawList!C396</f>
        <v>SparkFun</v>
      </c>
      <c r="E426" s="29" t="str">
        <f>RawList!H396</f>
        <v>SparkFun Shift-In Breakout - SN74HC165</v>
      </c>
      <c r="F426" s="29" t="str">
        <f>RawList!D396</f>
        <v>BOB-11733</v>
      </c>
      <c r="G426" s="101">
        <f>RawList!E396</f>
        <v>0</v>
      </c>
      <c r="H426" s="29" t="str">
        <f>IF(EquipmentTable[[#This Row],[Units]]&gt;0,"Quantity &gt; 0 Items","Quantity = 0 Items")</f>
        <v>Quantity = 0 Items</v>
      </c>
      <c r="I426" s="102">
        <f>RawList!J396</f>
        <v>3.95</v>
      </c>
      <c r="J426" s="14">
        <f>VALUE(EquipmentTable[[#This Row],[Units]]*EquipmentTable[[#This Row],[Unit
 Price]])</f>
        <v>0</v>
      </c>
      <c r="K426" s="29" t="str">
        <f>RawList!G396</f>
        <v>https://cdn.sparkfun.com/r/92-92/assets/parts/7/9/4/5/11733-01a.jpg</v>
      </c>
      <c r="L426" s="29"/>
      <c r="M426" s="29" t="str">
        <f>RawList!F396</f>
        <v>https://www.sparkfun.com/products/11733</v>
      </c>
    </row>
    <row r="427" spans="2:13" x14ac:dyDescent="0.25">
      <c r="B427" s="29" t="str">
        <f>RawList!A397</f>
        <v>Low-Level Electronics</v>
      </c>
      <c r="C427" s="29" t="str">
        <f>RawList!B397</f>
        <v>DIP/TO-#/SMD Components</v>
      </c>
      <c r="D427" s="29" t="str">
        <f>RawList!C397</f>
        <v>SparkFun</v>
      </c>
      <c r="E427" s="29" t="str">
        <f>RawList!H397</f>
        <v>DIP Switch - 8 Position</v>
      </c>
      <c r="F427" s="29" t="str">
        <f>RawList!D397</f>
        <v>COM-08034</v>
      </c>
      <c r="G427" s="101">
        <f>RawList!E397</f>
        <v>5</v>
      </c>
      <c r="H427" s="29" t="str">
        <f>IF(EquipmentTable[[#This Row],[Units]]&gt;0,"Quantity &gt; 0 Items","Quantity = 0 Items")</f>
        <v>Quantity &gt; 0 Items</v>
      </c>
      <c r="I427" s="102">
        <f>RawList!J397</f>
        <v>1.5</v>
      </c>
      <c r="J427" s="14">
        <f>VALUE(EquipmentTable[[#This Row],[Units]]*EquipmentTable[[#This Row],[Unit
 Price]])</f>
        <v>7.5</v>
      </c>
      <c r="K427" s="29" t="str">
        <f>RawList!G397</f>
        <v>https://cdn.sparkfun.com/r/92-92/assets/parts/6/5/0/08034-1.jpg</v>
      </c>
      <c r="L427" s="29"/>
      <c r="M427" s="29" t="str">
        <f>RawList!F397</f>
        <v>https://www.sparkfun.com/products/8034</v>
      </c>
    </row>
    <row r="428" spans="2:13" x14ac:dyDescent="0.25">
      <c r="B428" s="29" t="str">
        <f>RawList!A398</f>
        <v>Low-Level Electronics</v>
      </c>
      <c r="C428" s="29" t="str">
        <f>RawList!B398</f>
        <v>Headers, Stackable</v>
      </c>
      <c r="D428" s="29" t="str">
        <f>RawList!C398</f>
        <v>SparkFun</v>
      </c>
      <c r="E428" s="29" t="str">
        <f>RawList!H398</f>
        <v>Stackable Header - 3 Pin (Female, 0.1\")</v>
      </c>
      <c r="F428" s="29" t="str">
        <f>RawList!D398</f>
        <v>PRT-13875</v>
      </c>
      <c r="G428" s="101">
        <f>RawList!E398</f>
        <v>0</v>
      </c>
      <c r="H428" s="29" t="str">
        <f>IF(EquipmentTable[[#This Row],[Units]]&gt;0,"Quantity &gt; 0 Items","Quantity = 0 Items")</f>
        <v>Quantity = 0 Items</v>
      </c>
      <c r="I428" s="102">
        <f>RawList!J398</f>
        <v>0.5</v>
      </c>
      <c r="J428" s="14">
        <f>VALUE(EquipmentTable[[#This Row],[Units]]*EquipmentTable[[#This Row],[Unit
 Price]])</f>
        <v>0</v>
      </c>
      <c r="K428" s="29" t="str">
        <f>RawList!G398</f>
        <v>https://cdn.sparkfun.com/r/92-92/assets/parts/1/1/3/2/7/13875-02.jpg</v>
      </c>
      <c r="L428" s="29"/>
      <c r="M428" s="29" t="str">
        <f>RawList!F398</f>
        <v>https://www.sparkfun.com/products/13875</v>
      </c>
    </row>
    <row r="429" spans="2:13" x14ac:dyDescent="0.25">
      <c r="B429" s="29" t="str">
        <f>RawList!A399</f>
        <v>Low-Level Electronics</v>
      </c>
      <c r="C429" s="29" t="str">
        <f>RawList!B399</f>
        <v>Headers, Stackable</v>
      </c>
      <c r="D429" s="29" t="str">
        <f>RawList!C399</f>
        <v>SparkFun</v>
      </c>
      <c r="E429" s="29" t="str">
        <f>RawList!H399</f>
        <v>Stackable Header - 2x23 Pin Female</v>
      </c>
      <c r="F429" s="29" t="str">
        <f>RawList!D399</f>
        <v>PRT-12790</v>
      </c>
      <c r="G429" s="101">
        <f>RawList!E399</f>
        <v>1</v>
      </c>
      <c r="H429" s="29" t="str">
        <f>IF(EquipmentTable[[#This Row],[Units]]&gt;0,"Quantity &gt; 0 Items","Quantity = 0 Items")</f>
        <v>Quantity &gt; 0 Items</v>
      </c>
      <c r="I429" s="102">
        <f>RawList!J399</f>
        <v>2.95</v>
      </c>
      <c r="J429" s="14">
        <f>VALUE(EquipmentTable[[#This Row],[Units]]*EquipmentTable[[#This Row],[Unit
 Price]])</f>
        <v>2.95</v>
      </c>
      <c r="K429" s="29" t="str">
        <f>RawList!G399</f>
        <v>https://cdn.sparkfun.com/r/92-92/assets/parts/9/6/0/8/12790-01.jpg</v>
      </c>
      <c r="L429" s="29"/>
      <c r="M429" s="29" t="str">
        <f>RawList!F399</f>
        <v>https://www.sparkfun.com/products/12790</v>
      </c>
    </row>
    <row r="430" spans="2:13" x14ac:dyDescent="0.25">
      <c r="B430" s="29" t="str">
        <f>RawList!A400</f>
        <v>Low-Level Electronics</v>
      </c>
      <c r="C430" s="29" t="str">
        <f>RawList!B400</f>
        <v>Headers, Stackable</v>
      </c>
      <c r="D430" s="29" t="str">
        <f>RawList!C400</f>
        <v>SparkFun</v>
      </c>
      <c r="E430" s="29" t="str">
        <f>RawList!H400</f>
        <v>Arduino Stackable Header Kit</v>
      </c>
      <c r="F430" s="29" t="str">
        <f>RawList!D400</f>
        <v>PRT-10007</v>
      </c>
      <c r="G430" s="101">
        <f>RawList!E400</f>
        <v>0</v>
      </c>
      <c r="H430" s="29" t="str">
        <f>IF(EquipmentTable[[#This Row],[Units]]&gt;0,"Quantity &gt; 0 Items","Quantity = 0 Items")</f>
        <v>Quantity = 0 Items</v>
      </c>
      <c r="I430" s="102">
        <f>RawList!J400</f>
        <v>1.5</v>
      </c>
      <c r="J430" s="14">
        <f>VALUE(EquipmentTable[[#This Row],[Units]]*EquipmentTable[[#This Row],[Unit
 Price]])</f>
        <v>0</v>
      </c>
      <c r="K430" s="29" t="str">
        <f>RawList!G400</f>
        <v>https://cdn.sparkfun.com/r/92-92/assets/parts/4/1/6/6/10007-01.jpg</v>
      </c>
      <c r="L430" s="29"/>
      <c r="M430" s="29" t="str">
        <f>RawList!F400</f>
        <v>https://www.sparkfun.com/products/10007</v>
      </c>
    </row>
    <row r="431" spans="2:13" x14ac:dyDescent="0.25">
      <c r="B431" s="29" t="str">
        <f>RawList!A401</f>
        <v>Low-Level Electronics</v>
      </c>
      <c r="C431" s="29" t="str">
        <f>RawList!B401</f>
        <v>Headers, Stackable</v>
      </c>
      <c r="D431" s="29" t="str">
        <f>RawList!C401</f>
        <v>SparkFun</v>
      </c>
      <c r="E431" s="29" t="str">
        <f>RawList!H401</f>
        <v>Arduino Stackable Header - 10 Pin</v>
      </c>
      <c r="F431" s="29" t="str">
        <f>RawList!D401</f>
        <v>PRT-11376</v>
      </c>
      <c r="G431" s="101">
        <f>RawList!E401</f>
        <v>0</v>
      </c>
      <c r="H431" s="29" t="str">
        <f>IF(EquipmentTable[[#This Row],[Units]]&gt;0,"Quantity &gt; 0 Items","Quantity = 0 Items")</f>
        <v>Quantity = 0 Items</v>
      </c>
      <c r="I431" s="102">
        <f>RawList!J401</f>
        <v>0.5</v>
      </c>
      <c r="J431" s="14">
        <f>VALUE(EquipmentTable[[#This Row],[Units]]*EquipmentTable[[#This Row],[Unit
 Price]])</f>
        <v>0</v>
      </c>
      <c r="K431" s="29" t="str">
        <f>RawList!G401</f>
        <v>https://cdn.sparkfun.com/r/92-92/assets/parts/7/1/2/2/11376-01a.jpg</v>
      </c>
      <c r="L431" s="29"/>
      <c r="M431" s="29" t="str">
        <f>RawList!F401</f>
        <v>https://www.sparkfun.com/products/11376</v>
      </c>
    </row>
    <row r="432" spans="2:13" x14ac:dyDescent="0.25">
      <c r="B432" s="29" t="str">
        <f>RawList!A402</f>
        <v>Low-Level Electronics</v>
      </c>
      <c r="C432" s="29" t="str">
        <f>RawList!B402</f>
        <v>Headers, Stackable</v>
      </c>
      <c r="D432" s="29" t="str">
        <f>RawList!C402</f>
        <v>SparkFun</v>
      </c>
      <c r="E432" s="29" t="str">
        <f>RawList!H402</f>
        <v>ESP32 Thing Stackable Header Set</v>
      </c>
      <c r="F432" s="29" t="str">
        <f>RawList!D402</f>
        <v>PRT-14311</v>
      </c>
      <c r="G432" s="101">
        <f>RawList!E402</f>
        <v>0</v>
      </c>
      <c r="H432" s="29" t="str">
        <f>IF(EquipmentTable[[#This Row],[Units]]&gt;0,"Quantity &gt; 0 Items","Quantity = 0 Items")</f>
        <v>Quantity = 0 Items</v>
      </c>
      <c r="I432" s="102">
        <f>RawList!J402</f>
        <v>1.5</v>
      </c>
      <c r="J432" s="14">
        <f>VALUE(EquipmentTable[[#This Row],[Units]]*EquipmentTable[[#This Row],[Unit
 Price]])</f>
        <v>0</v>
      </c>
      <c r="K432" s="29" t="str">
        <f>RawList!G402</f>
        <v>https://cdn.sparkfun.com/r/92-92/assets/parts/1/2/2/7/9/14311-01.jpg</v>
      </c>
      <c r="L432" s="29"/>
      <c r="M432" s="29" t="str">
        <f>RawList!F402</f>
        <v>https://www.sparkfun.com/products/14311</v>
      </c>
    </row>
    <row r="433" spans="2:13" x14ac:dyDescent="0.25">
      <c r="B433" s="29" t="str">
        <f>RawList!A403</f>
        <v>Low-Level Electronics</v>
      </c>
      <c r="C433" s="29" t="str">
        <f>RawList!B403</f>
        <v>Headers, Stackable</v>
      </c>
      <c r="D433" s="29" t="str">
        <f>RawList!C403</f>
        <v>SparkFun</v>
      </c>
      <c r="E433" s="29" t="str">
        <f>RawList!H403</f>
        <v>Photon Stackable Header - 12 Pin</v>
      </c>
      <c r="F433" s="29" t="str">
        <f>RawList!D403</f>
        <v>PRT-14322</v>
      </c>
      <c r="G433" s="101">
        <f>RawList!E403</f>
        <v>0</v>
      </c>
      <c r="H433" s="29" t="str">
        <f>IF(EquipmentTable[[#This Row],[Units]]&gt;0,"Quantity &gt; 0 Items","Quantity = 0 Items")</f>
        <v>Quantity = 0 Items</v>
      </c>
      <c r="I433" s="102">
        <f>RawList!J403</f>
        <v>0.5</v>
      </c>
      <c r="J433" s="14">
        <f>VALUE(EquipmentTable[[#This Row],[Units]]*EquipmentTable[[#This Row],[Unit
 Price]])</f>
        <v>0</v>
      </c>
      <c r="K433" s="29" t="str">
        <f>RawList!G403</f>
        <v>https://cdn.sparkfun.com/r/92-92/assets/parts/1/0/6/5/6/14322-02.jpg</v>
      </c>
      <c r="L433" s="29"/>
      <c r="M433" s="29" t="str">
        <f>RawList!F403</f>
        <v>https://www.sparkfun.com/products/14322</v>
      </c>
    </row>
    <row r="434" spans="2:13" x14ac:dyDescent="0.25">
      <c r="B434" s="29" t="str">
        <f>RawList!A404</f>
        <v>Low-Level Electronics</v>
      </c>
      <c r="C434" s="29" t="str">
        <f>RawList!B404</f>
        <v>Headers, Stackable</v>
      </c>
      <c r="D434" s="29" t="str">
        <f>RawList!C404</f>
        <v>SparkFun</v>
      </c>
      <c r="E434" s="29" t="str">
        <f>RawList!H404</f>
        <v>Teensy Header Kit</v>
      </c>
      <c r="F434" s="29" t="str">
        <f>RawList!D404</f>
        <v>PRT-13925</v>
      </c>
      <c r="G434" s="101">
        <f>RawList!E404</f>
        <v>0</v>
      </c>
      <c r="H434" s="29" t="str">
        <f>IF(EquipmentTable[[#This Row],[Units]]&gt;0,"Quantity &gt; 0 Items","Quantity = 0 Items")</f>
        <v>Quantity = 0 Items</v>
      </c>
      <c r="I434" s="102">
        <f>RawList!J404</f>
        <v>1.5</v>
      </c>
      <c r="J434" s="14">
        <f>VALUE(EquipmentTable[[#This Row],[Units]]*EquipmentTable[[#This Row],[Unit
 Price]])</f>
        <v>0</v>
      </c>
      <c r="K434" s="29" t="str">
        <f>RawList!G404</f>
        <v>https://cdn.sparkfun.com/r/92-92/assets/parts/1/1/5/9/7/13925-01.jpg</v>
      </c>
      <c r="L434" s="29"/>
      <c r="M434" s="29" t="str">
        <f>RawList!F404</f>
        <v>https://www.sparkfun.com/products/13925</v>
      </c>
    </row>
    <row r="435" spans="2:13" x14ac:dyDescent="0.25">
      <c r="B435" s="29" t="str">
        <f>RawList!A405</f>
        <v>Low-Level Electronics</v>
      </c>
      <c r="C435" s="29" t="str">
        <f>RawList!B405</f>
        <v>Headers, Stackable</v>
      </c>
      <c r="D435" s="29" t="str">
        <f>RawList!C405</f>
        <v>Adafruit</v>
      </c>
      <c r="E435" s="29" t="str">
        <f>RawList!H405</f>
        <v>Shield stacking headers for Arduino (R3 Compatible)</v>
      </c>
      <c r="F435" s="29" t="str">
        <f>RawList!D405</f>
        <v>85</v>
      </c>
      <c r="G435" s="101">
        <f>RawList!E405</f>
        <v>5</v>
      </c>
      <c r="H435" s="29" t="str">
        <f>IF(EquipmentTable[[#This Row],[Units]]&gt;0,"Quantity &gt; 0 Items","Quantity = 0 Items")</f>
        <v>Quantity &gt; 0 Items</v>
      </c>
      <c r="I435" s="102">
        <f>RawList!J405</f>
        <v>1.95</v>
      </c>
      <c r="J435" s="14">
        <f>VALUE(EquipmentTable[[#This Row],[Units]]*EquipmentTable[[#This Row],[Unit
 Price]])</f>
        <v>9.75</v>
      </c>
      <c r="K435" s="29">
        <f>RawList!G405</f>
        <v>0</v>
      </c>
      <c r="L435" s="29"/>
      <c r="M435" s="29">
        <f>RawList!F405</f>
        <v>0</v>
      </c>
    </row>
    <row r="436" spans="2:13" x14ac:dyDescent="0.25">
      <c r="B436" s="29" t="str">
        <f>RawList!A406</f>
        <v>Low-Level Electronics</v>
      </c>
      <c r="C436" s="29" t="str">
        <f>RawList!B406</f>
        <v>Headers, Stackable</v>
      </c>
      <c r="D436" s="29" t="str">
        <f>RawList!C406</f>
        <v>Adafruit</v>
      </c>
      <c r="E436" s="29" t="str">
        <f>RawList!H406</f>
        <v>36-pin Stacking header - pack of 5!</v>
      </c>
      <c r="F436" s="29" t="str">
        <f>RawList!D406</f>
        <v>3366</v>
      </c>
      <c r="G436" s="101">
        <f>RawList!E406</f>
        <v>1</v>
      </c>
      <c r="H436" s="29" t="str">
        <f>IF(EquipmentTable[[#This Row],[Units]]&gt;0,"Quantity &gt; 0 Items","Quantity = 0 Items")</f>
        <v>Quantity &gt; 0 Items</v>
      </c>
      <c r="I436" s="102">
        <f>RawList!J406</f>
        <v>2.95</v>
      </c>
      <c r="J436" s="14">
        <f>VALUE(EquipmentTable[[#This Row],[Units]]*EquipmentTable[[#This Row],[Unit
 Price]])</f>
        <v>2.95</v>
      </c>
      <c r="K436" s="29">
        <f>RawList!G406</f>
        <v>0</v>
      </c>
      <c r="L436" s="29"/>
      <c r="M436" s="29">
        <f>RawList!F406</f>
        <v>0</v>
      </c>
    </row>
    <row r="437" spans="2:13" x14ac:dyDescent="0.25">
      <c r="B437" s="29" t="str">
        <f>RawList!A407</f>
        <v>Low-Level Electronics</v>
      </c>
      <c r="C437" s="29" t="str">
        <f>RawList!B407</f>
        <v>Headers, Male</v>
      </c>
      <c r="D437" s="29" t="str">
        <f>RawList!C407</f>
        <v>SparkFun</v>
      </c>
      <c r="E437" s="29" t="str">
        <f>RawList!H407</f>
        <v>Header - 2x3 (Male, 0.1\")</v>
      </c>
      <c r="F437" s="29" t="str">
        <f>RawList!D407</f>
        <v>PRT-12807</v>
      </c>
      <c r="G437" s="101">
        <f>RawList!E407</f>
        <v>0</v>
      </c>
      <c r="H437" s="29" t="str">
        <f>IF(EquipmentTable[[#This Row],[Units]]&gt;0,"Quantity &gt; 0 Items","Quantity = 0 Items")</f>
        <v>Quantity = 0 Items</v>
      </c>
      <c r="I437" s="102">
        <f>RawList!J407</f>
        <v>0.5</v>
      </c>
      <c r="J437" s="14">
        <f>VALUE(EquipmentTable[[#This Row],[Units]]*EquipmentTable[[#This Row],[Unit
 Price]])</f>
        <v>0</v>
      </c>
      <c r="K437" s="29" t="str">
        <f>RawList!G407</f>
        <v>https://cdn.sparkfun.com/r/92-92/assets/parts/3/8/1/2/12807-02.jpg</v>
      </c>
      <c r="L437" s="29"/>
      <c r="M437" s="29" t="str">
        <f>RawList!F407</f>
        <v>https://www.sparkfun.com/products/12807</v>
      </c>
    </row>
    <row r="438" spans="2:13" x14ac:dyDescent="0.25">
      <c r="B438" s="29" t="str">
        <f>RawList!A408</f>
        <v>Low-Level Electronics</v>
      </c>
      <c r="C438" s="29" t="str">
        <f>RawList!B408</f>
        <v>Headers, Male</v>
      </c>
      <c r="D438" s="29" t="str">
        <f>RawList!C408</f>
        <v>SparkFun</v>
      </c>
      <c r="E438" s="29" t="str">
        <f>RawList!H408</f>
        <v xml:space="preserve">Header - 2x8 (Male, 0.1\") </v>
      </c>
      <c r="F438" s="29" t="str">
        <f>RawList!D408</f>
        <v>PRT-13156</v>
      </c>
      <c r="G438" s="101">
        <f>RawList!E408</f>
        <v>0</v>
      </c>
      <c r="H438" s="29" t="str">
        <f>IF(EquipmentTable[[#This Row],[Units]]&gt;0,"Quantity &gt; 0 Items","Quantity = 0 Items")</f>
        <v>Quantity = 0 Items</v>
      </c>
      <c r="I438" s="102">
        <f>RawList!J408</f>
        <v>0.95</v>
      </c>
      <c r="J438" s="14">
        <f>VALUE(EquipmentTable[[#This Row],[Units]]*EquipmentTable[[#This Row],[Unit
 Price]])</f>
        <v>0</v>
      </c>
      <c r="K438" s="29" t="str">
        <f>RawList!G408</f>
        <v>https://cdn.sparkfun.com/r/92-92/assets/parts/5/6/1/7/13156-01.jpg</v>
      </c>
      <c r="L438" s="29"/>
      <c r="M438" s="29" t="str">
        <f>RawList!F408</f>
        <v>https://www.sparkfun.com/products/13156</v>
      </c>
    </row>
    <row r="439" spans="2:13" x14ac:dyDescent="0.25">
      <c r="B439" s="29" t="str">
        <f>RawList!A409</f>
        <v>Low-Level Electronics</v>
      </c>
      <c r="C439" s="29" t="str">
        <f>RawList!B409</f>
        <v>Headers, Male</v>
      </c>
      <c r="D439" s="29" t="str">
        <f>RawList!C409</f>
        <v>SparkFun</v>
      </c>
      <c r="E439" s="29" t="str">
        <f>RawList!H409</f>
        <v>Header - 2x23-pin Male (PTH, 0.1\")</v>
      </c>
      <c r="F439" s="29" t="str">
        <f>RawList!D409</f>
        <v>PRT-12791</v>
      </c>
      <c r="G439" s="101">
        <f>RawList!E409</f>
        <v>1</v>
      </c>
      <c r="H439" s="29" t="str">
        <f>IF(EquipmentTable[[#This Row],[Units]]&gt;0,"Quantity &gt; 0 Items","Quantity = 0 Items")</f>
        <v>Quantity &gt; 0 Items</v>
      </c>
      <c r="I439" s="102">
        <f>RawList!J409</f>
        <v>0.95</v>
      </c>
      <c r="J439" s="14">
        <f>VALUE(EquipmentTable[[#This Row],[Units]]*EquipmentTable[[#This Row],[Unit
 Price]])</f>
        <v>0.95</v>
      </c>
      <c r="K439" s="29" t="str">
        <f>RawList!G409</f>
        <v>https://cdn.sparkfun.com/r/92-92/assets/parts/9/6/0/9/12791-01.jpg</v>
      </c>
      <c r="L439" s="29"/>
      <c r="M439" s="29" t="str">
        <f>RawList!F409</f>
        <v>https://www.sparkfun.com/products/12791</v>
      </c>
    </row>
    <row r="440" spans="2:13" x14ac:dyDescent="0.25">
      <c r="B440" s="29" t="str">
        <f>RawList!A410</f>
        <v>Low-Level Electronics</v>
      </c>
      <c r="C440" s="29" t="str">
        <f>RawList!B410</f>
        <v>Headers, Male</v>
      </c>
      <c r="D440" s="29" t="str">
        <f>RawList!C410</f>
        <v>SparkFun</v>
      </c>
      <c r="E440" s="29" t="str">
        <f>RawList!H410</f>
        <v>Break Away Headers - Straight</v>
      </c>
      <c r="F440" s="29" t="str">
        <f>RawList!D410</f>
        <v>PRT-00116</v>
      </c>
      <c r="G440" s="101">
        <f>RawList!E410</f>
        <v>0</v>
      </c>
      <c r="H440" s="29" t="str">
        <f>IF(EquipmentTable[[#This Row],[Units]]&gt;0,"Quantity &gt; 0 Items","Quantity = 0 Items")</f>
        <v>Quantity = 0 Items</v>
      </c>
      <c r="I440" s="102">
        <f>RawList!J410</f>
        <v>1.5</v>
      </c>
      <c r="J440" s="14">
        <f>VALUE(EquipmentTable[[#This Row],[Units]]*EquipmentTable[[#This Row],[Unit
 Price]])</f>
        <v>0</v>
      </c>
      <c r="K440" s="29" t="str">
        <f>RawList!G410</f>
        <v>https://cdn.sparkfun.com/r/92-92/assets/parts/1/0/6/00116-02-L.jpg</v>
      </c>
      <c r="L440" s="29"/>
      <c r="M440" s="29" t="str">
        <f>RawList!F410</f>
        <v>https://www.sparkfun.com/products/116</v>
      </c>
    </row>
    <row r="441" spans="2:13" x14ac:dyDescent="0.25">
      <c r="B441" s="29" t="str">
        <f>RawList!A411</f>
        <v>Low-Level Electronics</v>
      </c>
      <c r="C441" s="29" t="str">
        <f>RawList!B411</f>
        <v>Headers, Male</v>
      </c>
      <c r="D441" s="29" t="str">
        <f>RawList!C411</f>
        <v>Adafruit</v>
      </c>
      <c r="E441" s="29" t="str">
        <f>RawList!H411</f>
        <v>Break-away 0.1" 36-pin strip male header (10 pieces)</v>
      </c>
      <c r="F441" s="29" t="str">
        <f>RawList!D411</f>
        <v>392</v>
      </c>
      <c r="G441" s="101">
        <f>RawList!E411</f>
        <v>1</v>
      </c>
      <c r="H441" s="29" t="str">
        <f>IF(EquipmentTable[[#This Row],[Units]]&gt;0,"Quantity &gt; 0 Items","Quantity = 0 Items")</f>
        <v>Quantity &gt; 0 Items</v>
      </c>
      <c r="I441" s="102">
        <f>RawList!J411</f>
        <v>4.95</v>
      </c>
      <c r="J441" s="14">
        <f>VALUE(EquipmentTable[[#This Row],[Units]]*EquipmentTable[[#This Row],[Unit
 Price]])</f>
        <v>4.95</v>
      </c>
      <c r="K441" s="29">
        <f>RawList!G411</f>
        <v>0</v>
      </c>
      <c r="L441" s="29"/>
      <c r="M441" s="29">
        <f>RawList!F411</f>
        <v>0</v>
      </c>
    </row>
    <row r="442" spans="2:13" x14ac:dyDescent="0.25">
      <c r="B442" s="29" t="str">
        <f>RawList!A412</f>
        <v>Low-Level Electronics</v>
      </c>
      <c r="C442" s="29" t="str">
        <f>RawList!B412</f>
        <v>Headers, Male</v>
      </c>
      <c r="D442" s="29" t="str">
        <f>RawList!C412</f>
        <v>Adafruit</v>
      </c>
      <c r="E442" s="29" t="str">
        <f>RawList!H412</f>
        <v xml:space="preserve">36-pin 0.1" Short Break-away Male Header - Pack of 10 </v>
      </c>
      <c r="F442" s="29" t="str">
        <f>RawList!D412</f>
        <v>3009</v>
      </c>
      <c r="G442" s="101">
        <f>RawList!E412</f>
        <v>1</v>
      </c>
      <c r="H442" s="29" t="str">
        <f>IF(EquipmentTable[[#This Row],[Units]]&gt;0,"Quantity &gt; 0 Items","Quantity = 0 Items")</f>
        <v>Quantity &gt; 0 Items</v>
      </c>
      <c r="I442" s="102">
        <f>RawList!J412</f>
        <v>4.95</v>
      </c>
      <c r="J442" s="14">
        <f>VALUE(EquipmentTable[[#This Row],[Units]]*EquipmentTable[[#This Row],[Unit
 Price]])</f>
        <v>4.95</v>
      </c>
      <c r="K442" s="29">
        <f>RawList!G412</f>
        <v>0</v>
      </c>
      <c r="L442" s="29"/>
      <c r="M442" s="29">
        <f>RawList!F412</f>
        <v>0</v>
      </c>
    </row>
    <row r="443" spans="2:13" x14ac:dyDescent="0.25">
      <c r="B443" s="29" t="str">
        <f>RawList!A413</f>
        <v>Low-Level Electronics</v>
      </c>
      <c r="C443" s="29" t="str">
        <f>RawList!B413</f>
        <v>Headers, Male</v>
      </c>
      <c r="D443" s="29" t="str">
        <f>RawList!C413</f>
        <v>SparkFun</v>
      </c>
      <c r="E443" s="29" t="str">
        <f>RawList!H413</f>
        <v>Break Away Headers - Long</v>
      </c>
      <c r="F443" s="29" t="str">
        <f>RawList!D413</f>
        <v>PRT-10158</v>
      </c>
      <c r="G443" s="101">
        <f>RawList!E413</f>
        <v>5</v>
      </c>
      <c r="H443" s="29" t="str">
        <f>IF(EquipmentTable[[#This Row],[Units]]&gt;0,"Quantity &gt; 0 Items","Quantity = 0 Items")</f>
        <v>Quantity &gt; 0 Items</v>
      </c>
      <c r="I443" s="102">
        <f>RawList!J413</f>
        <v>2.95</v>
      </c>
      <c r="J443" s="14">
        <f>VALUE(EquipmentTable[[#This Row],[Units]]*EquipmentTable[[#This Row],[Unit
 Price]])</f>
        <v>14.75</v>
      </c>
      <c r="K443" s="29" t="str">
        <f>RawList!G413</f>
        <v>https://cdn.sparkfun.com/r/92-92/assets/parts/4/4/5/2/10158-01.jpg</v>
      </c>
      <c r="L443" s="29"/>
      <c r="M443" s="29" t="str">
        <f>RawList!F413</f>
        <v>https://www.sparkfun.com/products/10158</v>
      </c>
    </row>
    <row r="444" spans="2:13" x14ac:dyDescent="0.25">
      <c r="B444" s="29" t="str">
        <f>RawList!A414</f>
        <v>Low-Level Electronics</v>
      </c>
      <c r="C444" s="29" t="str">
        <f>RawList!B414</f>
        <v>Headers, Male</v>
      </c>
      <c r="D444" s="29" t="str">
        <f>RawList!C414</f>
        <v>SparkFun</v>
      </c>
      <c r="E444" s="29" t="str">
        <f>RawList!H414</f>
        <v>Break Away Headers - 40-pin Male (Long Centered, PTH, 0.1\")</v>
      </c>
      <c r="F444" s="29" t="str">
        <f>RawList!D414</f>
        <v>PRT-12693</v>
      </c>
      <c r="G444" s="101">
        <f>RawList!E414</f>
        <v>5</v>
      </c>
      <c r="H444" s="29" t="str">
        <f>IF(EquipmentTable[[#This Row],[Units]]&gt;0,"Quantity &gt; 0 Items","Quantity = 0 Items")</f>
        <v>Quantity &gt; 0 Items</v>
      </c>
      <c r="I444" s="102">
        <f>RawList!J414</f>
        <v>0.75</v>
      </c>
      <c r="J444" s="14">
        <f>VALUE(EquipmentTable[[#This Row],[Units]]*EquipmentTable[[#This Row],[Unit
 Price]])</f>
        <v>3.75</v>
      </c>
      <c r="K444" s="29" t="str">
        <f>RawList!G414</f>
        <v>https://cdn.sparkfun.com/r/92-92/assets/parts/9/4/2/7/12693-02.jpg</v>
      </c>
      <c r="L444" s="29"/>
      <c r="M444" s="29" t="str">
        <f>RawList!F414</f>
        <v>https://www.sparkfun.com/products/12693</v>
      </c>
    </row>
    <row r="445" spans="2:13" x14ac:dyDescent="0.25">
      <c r="B445" s="29" t="str">
        <f>RawList!A415</f>
        <v>Low-Level Electronics</v>
      </c>
      <c r="C445" s="29" t="str">
        <f>RawList!B415</f>
        <v>Headers, Male</v>
      </c>
      <c r="D445" s="29" t="str">
        <f>RawList!C415</f>
        <v>Adafruit</v>
      </c>
      <c r="E445" s="29" t="str">
        <f>RawList!H415</f>
        <v>Extra-long break-away 0.1" 16-pin strip male header (5 pieces)</v>
      </c>
      <c r="F445" s="29" t="str">
        <f>RawList!D415</f>
        <v>400</v>
      </c>
      <c r="G445" s="101">
        <f>RawList!E415</f>
        <v>0</v>
      </c>
      <c r="H445" s="29" t="str">
        <f>IF(EquipmentTable[[#This Row],[Units]]&gt;0,"Quantity &gt; 0 Items","Quantity = 0 Items")</f>
        <v>Quantity = 0 Items</v>
      </c>
      <c r="I445" s="102">
        <f>RawList!J415</f>
        <v>3</v>
      </c>
      <c r="J445" s="14">
        <f>VALUE(EquipmentTable[[#This Row],[Units]]*EquipmentTable[[#This Row],[Unit
 Price]])</f>
        <v>0</v>
      </c>
      <c r="K445" s="29">
        <f>RawList!G415</f>
        <v>0</v>
      </c>
      <c r="L445" s="29"/>
      <c r="M445" s="29">
        <f>RawList!F415</f>
        <v>0</v>
      </c>
    </row>
    <row r="446" spans="2:13" x14ac:dyDescent="0.25">
      <c r="B446" s="29" t="str">
        <f>RawList!A416</f>
        <v>Low-Level Electronics</v>
      </c>
      <c r="C446" s="29" t="str">
        <f>RawList!B416</f>
        <v>Headers, Male</v>
      </c>
      <c r="D446" s="29" t="str">
        <f>RawList!C416</f>
        <v>SparkFun</v>
      </c>
      <c r="E446" s="29" t="str">
        <f>RawList!H416</f>
        <v>Break Away Male Headers - Right Angle</v>
      </c>
      <c r="F446" s="29" t="str">
        <f>RawList!D416</f>
        <v>PRT-00553</v>
      </c>
      <c r="G446" s="101">
        <f>RawList!E416</f>
        <v>0</v>
      </c>
      <c r="H446" s="29" t="str">
        <f>IF(EquipmentTable[[#This Row],[Units]]&gt;0,"Quantity &gt; 0 Items","Quantity = 0 Items")</f>
        <v>Quantity = 0 Items</v>
      </c>
      <c r="I446" s="102">
        <f>RawList!J416</f>
        <v>1.95</v>
      </c>
      <c r="J446" s="14">
        <f>VALUE(EquipmentTable[[#This Row],[Units]]*EquipmentTable[[#This Row],[Unit
 Price]])</f>
        <v>0</v>
      </c>
      <c r="K446" s="29" t="str">
        <f>RawList!G416</f>
        <v>https://cdn.sparkfun.com/r/92-92/assets/parts/3/7/8/00553-03-L.jpg</v>
      </c>
      <c r="L446" s="29"/>
      <c r="M446" s="29" t="str">
        <f>RawList!F416</f>
        <v>https://www.sparkfun.com/products/553</v>
      </c>
    </row>
    <row r="447" spans="2:13" x14ac:dyDescent="0.25">
      <c r="B447" s="29" t="str">
        <f>RawList!A417</f>
        <v>Low-Level Electronics</v>
      </c>
      <c r="C447" s="29" t="str">
        <f>RawList!B417</f>
        <v>Headers, Male</v>
      </c>
      <c r="D447" s="29" t="str">
        <f>RawList!C417</f>
        <v>Adafruit</v>
      </c>
      <c r="E447" s="29" t="str">
        <f>RawList!H417</f>
        <v xml:space="preserve">Break-away 0.1" 36-pin strip right-angle male header (10 pack) </v>
      </c>
      <c r="F447" s="29" t="str">
        <f>RawList!D417</f>
        <v>1540</v>
      </c>
      <c r="G447" s="101">
        <f>RawList!E417</f>
        <v>0</v>
      </c>
      <c r="H447" s="29" t="str">
        <f>IF(EquipmentTable[[#This Row],[Units]]&gt;0,"Quantity &gt; 0 Items","Quantity = 0 Items")</f>
        <v>Quantity = 0 Items</v>
      </c>
      <c r="I447" s="102">
        <f>RawList!J417</f>
        <v>5.95</v>
      </c>
      <c r="J447" s="14">
        <f>VALUE(EquipmentTable[[#This Row],[Units]]*EquipmentTable[[#This Row],[Unit
 Price]])</f>
        <v>0</v>
      </c>
      <c r="K447" s="29">
        <f>RawList!G417</f>
        <v>0</v>
      </c>
      <c r="L447" s="29"/>
      <c r="M447" s="29">
        <f>RawList!F417</f>
        <v>0</v>
      </c>
    </row>
    <row r="448" spans="2:13" x14ac:dyDescent="0.25">
      <c r="B448" s="29" t="str">
        <f>RawList!A418</f>
        <v>Low-Level Electronics</v>
      </c>
      <c r="C448" s="29" t="str">
        <f>RawList!B418</f>
        <v>Headers, Male</v>
      </c>
      <c r="D448" s="29" t="str">
        <f>RawList!C418</f>
        <v>Adafruit</v>
      </c>
      <c r="E448" s="29" t="str">
        <f>RawList!H418</f>
        <v>Break-away 0.1" 2x20-pin Strip Dual Male Header</v>
      </c>
      <c r="F448" s="29" t="str">
        <f>RawList!D418</f>
        <v>2822</v>
      </c>
      <c r="G448" s="101">
        <f>RawList!E418</f>
        <v>0</v>
      </c>
      <c r="H448" s="29" t="str">
        <f>IF(EquipmentTable[[#This Row],[Units]]&gt;0,"Quantity &gt; 0 Items","Quantity = 0 Items")</f>
        <v>Quantity = 0 Items</v>
      </c>
      <c r="I448" s="102">
        <f>RawList!J418</f>
        <v>0.95</v>
      </c>
      <c r="J448" s="14">
        <f>VALUE(EquipmentTable[[#This Row],[Units]]*EquipmentTable[[#This Row],[Unit
 Price]])</f>
        <v>0</v>
      </c>
      <c r="K448" s="29">
        <f>RawList!G418</f>
        <v>0</v>
      </c>
      <c r="L448" s="29"/>
      <c r="M448" s="29">
        <f>RawList!F418</f>
        <v>0</v>
      </c>
    </row>
    <row r="449" spans="2:13" x14ac:dyDescent="0.25">
      <c r="B449" s="29" t="str">
        <f>RawList!A419</f>
        <v>Low-Level Electronics</v>
      </c>
      <c r="C449" s="29" t="str">
        <f>RawList!B419</f>
        <v>Headers, Male</v>
      </c>
      <c r="D449" s="29" t="str">
        <f>RawList!C419</f>
        <v>Adafruit</v>
      </c>
      <c r="E449" s="29" t="str">
        <f>RawList!H419</f>
        <v>Break-away 0.1" 2x36-pin strip dual male header (10 pieces)</v>
      </c>
      <c r="F449" s="29" t="str">
        <f>RawList!D419</f>
        <v>1539</v>
      </c>
      <c r="G449" s="101">
        <f>RawList!E419</f>
        <v>1</v>
      </c>
      <c r="H449" s="29" t="str">
        <f>IF(EquipmentTable[[#This Row],[Units]]&gt;0,"Quantity &gt; 0 Items","Quantity = 0 Items")</f>
        <v>Quantity &gt; 0 Items</v>
      </c>
      <c r="I449" s="102">
        <f>RawList!J419</f>
        <v>7.5</v>
      </c>
      <c r="J449" s="14">
        <f>VALUE(EquipmentTable[[#This Row],[Units]]*EquipmentTable[[#This Row],[Unit
 Price]])</f>
        <v>7.5</v>
      </c>
      <c r="K449" s="29">
        <f>RawList!G419</f>
        <v>0</v>
      </c>
      <c r="L449" s="29"/>
      <c r="M449" s="29">
        <f>RawList!F419</f>
        <v>0</v>
      </c>
    </row>
    <row r="450" spans="2:13" x14ac:dyDescent="0.25">
      <c r="B450" s="29" t="str">
        <f>RawList!A420</f>
        <v>Low-Level Electronics</v>
      </c>
      <c r="C450" s="29" t="str">
        <f>RawList!B420</f>
        <v>Headers, Male</v>
      </c>
      <c r="D450" s="29" t="str">
        <f>RawList!C420</f>
        <v>Adafruit</v>
      </c>
      <c r="E450" s="29" t="str">
        <f>RawList!H420</f>
        <v xml:space="preserve">Break-away 0.1" 2x36-pin strip right-angle male header (5 pack) </v>
      </c>
      <c r="F450" s="29" t="str">
        <f>RawList!D420</f>
        <v>1541</v>
      </c>
      <c r="G450" s="101">
        <f>RawList!E420</f>
        <v>1</v>
      </c>
      <c r="H450" s="29" t="str">
        <f>IF(EquipmentTable[[#This Row],[Units]]&gt;0,"Quantity &gt; 0 Items","Quantity = 0 Items")</f>
        <v>Quantity &gt; 0 Items</v>
      </c>
      <c r="I450" s="102">
        <f>RawList!J420</f>
        <v>5.95</v>
      </c>
      <c r="J450" s="14">
        <f>VALUE(EquipmentTable[[#This Row],[Units]]*EquipmentTable[[#This Row],[Unit
 Price]])</f>
        <v>5.95</v>
      </c>
      <c r="K450" s="29">
        <f>RawList!G420</f>
        <v>0</v>
      </c>
      <c r="L450" s="29"/>
      <c r="M450" s="29">
        <f>RawList!F420</f>
        <v>0</v>
      </c>
    </row>
    <row r="451" spans="2:13" x14ac:dyDescent="0.25">
      <c r="B451" s="29" t="str">
        <f>RawList!A421</f>
        <v>Low-Level Electronics</v>
      </c>
      <c r="C451" s="29" t="str">
        <f>RawList!B421</f>
        <v>Headers, Male</v>
      </c>
      <c r="D451" s="29" t="str">
        <f>RawList!C421</f>
        <v>SparkFun</v>
      </c>
      <c r="E451" s="29" t="str">
        <f>RawList!H421</f>
        <v>Break Away Headers - Right Angle 2x40</v>
      </c>
      <c r="F451" s="29" t="str">
        <f>RawList!D421</f>
        <v>COM-12792</v>
      </c>
      <c r="G451" s="101">
        <f>RawList!E421</f>
        <v>0</v>
      </c>
      <c r="H451" s="29" t="str">
        <f>IF(EquipmentTable[[#This Row],[Units]]&gt;0,"Quantity &gt; 0 Items","Quantity = 0 Items")</f>
        <v>Quantity = 0 Items</v>
      </c>
      <c r="I451" s="102">
        <f>RawList!J421</f>
        <v>1.95</v>
      </c>
      <c r="J451" s="14">
        <f>VALUE(EquipmentTable[[#This Row],[Units]]*EquipmentTable[[#This Row],[Unit
 Price]])</f>
        <v>0</v>
      </c>
      <c r="K451" s="29" t="str">
        <f>RawList!G421</f>
        <v>https://cdn.sparkfun.com/r/92-92/assets/parts/9/6/1/0/12792-01.jpg</v>
      </c>
      <c r="L451" s="29"/>
      <c r="M451" s="29" t="str">
        <f>RawList!F421</f>
        <v>https://www.sparkfun.com/products/12792</v>
      </c>
    </row>
    <row r="452" spans="2:13" x14ac:dyDescent="0.25">
      <c r="B452" s="29" t="str">
        <f>RawList!A422</f>
        <v>Low-Level Electronics</v>
      </c>
      <c r="C452" s="29" t="str">
        <f>RawList!B422</f>
        <v>Headers, Male</v>
      </c>
      <c r="D452" s="29" t="str">
        <f>RawList!C422</f>
        <v>SparkFun</v>
      </c>
      <c r="E452" s="29" t="str">
        <f>RawList!H422</f>
        <v>Break Away Headers - Right Angle 3x40</v>
      </c>
      <c r="F452" s="29" t="str">
        <f>RawList!D422</f>
        <v>COM-10095</v>
      </c>
      <c r="G452" s="101">
        <f>RawList!E422</f>
        <v>0</v>
      </c>
      <c r="H452" s="29" t="str">
        <f>IF(EquipmentTable[[#This Row],[Units]]&gt;0,"Quantity &gt; 0 Items","Quantity = 0 Items")</f>
        <v>Quantity = 0 Items</v>
      </c>
      <c r="I452" s="102">
        <f>RawList!J422</f>
        <v>4.95</v>
      </c>
      <c r="J452" s="14">
        <f>VALUE(EquipmentTable[[#This Row],[Units]]*EquipmentTable[[#This Row],[Unit
 Price]])</f>
        <v>0</v>
      </c>
      <c r="K452" s="29" t="str">
        <f>RawList!G422</f>
        <v>https://cdn.sparkfun.com/r/92-92/assets/parts/4/3/1/9/10095-01.jpg</v>
      </c>
      <c r="L452" s="29"/>
      <c r="M452" s="29" t="str">
        <f>RawList!F422</f>
        <v>https://www.sparkfun.com/products/10095</v>
      </c>
    </row>
    <row r="453" spans="2:13" x14ac:dyDescent="0.25">
      <c r="B453" s="29" t="str">
        <f>RawList!A423</f>
        <v>Low-Level Electronics</v>
      </c>
      <c r="C453" s="29" t="str">
        <f>RawList!B423</f>
        <v>Headers, Male</v>
      </c>
      <c r="D453" s="29" t="str">
        <f>RawList!C423</f>
        <v>SparkFun</v>
      </c>
      <c r="E453" s="29" t="str">
        <f>RawList!H423</f>
        <v>2mm 10pin XBee Header</v>
      </c>
      <c r="F453" s="29" t="str">
        <f>RawList!D423</f>
        <v>PRT-10112</v>
      </c>
      <c r="G453" s="101">
        <f>RawList!E423</f>
        <v>0</v>
      </c>
      <c r="H453" s="29" t="str">
        <f>IF(EquipmentTable[[#This Row],[Units]]&gt;0,"Quantity &gt; 0 Items","Quantity = 0 Items")</f>
        <v>Quantity = 0 Items</v>
      </c>
      <c r="I453" s="102">
        <f>RawList!J423</f>
        <v>0.95</v>
      </c>
      <c r="J453" s="14">
        <f>VALUE(EquipmentTable[[#This Row],[Units]]*EquipmentTable[[#This Row],[Unit
 Price]])</f>
        <v>0</v>
      </c>
      <c r="K453" s="29" t="str">
        <f>RawList!G423</f>
        <v>https://cdn.sparkfun.com/r/92-92/assets/parts/4/3/6/0/10112-01.jpg</v>
      </c>
      <c r="L453" s="29"/>
      <c r="M453" s="29" t="str">
        <f>RawList!F423</f>
        <v>https://www.sparkfun.com/products/10112</v>
      </c>
    </row>
    <row r="454" spans="2:13" x14ac:dyDescent="0.25">
      <c r="B454" s="29" t="str">
        <f>RawList!A424</f>
        <v>Low-Level Electronics</v>
      </c>
      <c r="C454" s="29" t="str">
        <f>RawList!B424</f>
        <v>Headers, Male</v>
      </c>
      <c r="D454" s="29" t="str">
        <f>RawList!C424</f>
        <v>Adafruit</v>
      </c>
      <c r="E454" s="29" t="str">
        <f>RawList!H424</f>
        <v>2mm Pitch 40-Pin Break-apart Male Headers - Pack of 5</v>
      </c>
      <c r="F454" s="29" t="str">
        <f>RawList!D424</f>
        <v>2671</v>
      </c>
      <c r="G454" s="101">
        <f>RawList!E424</f>
        <v>1</v>
      </c>
      <c r="H454" s="29" t="str">
        <f>IF(EquipmentTable[[#This Row],[Units]]&gt;0,"Quantity &gt; 0 Items","Quantity = 0 Items")</f>
        <v>Quantity &gt; 0 Items</v>
      </c>
      <c r="I454" s="102">
        <f>RawList!J424</f>
        <v>2.95</v>
      </c>
      <c r="J454" s="14">
        <f>VALUE(EquipmentTable[[#This Row],[Units]]*EquipmentTable[[#This Row],[Unit
 Price]])</f>
        <v>2.95</v>
      </c>
      <c r="K454" s="29">
        <f>RawList!G424</f>
        <v>0</v>
      </c>
      <c r="L454" s="29"/>
      <c r="M454" s="29">
        <f>RawList!F424</f>
        <v>0</v>
      </c>
    </row>
    <row r="455" spans="2:13" x14ac:dyDescent="0.25">
      <c r="B455" s="29" t="str">
        <f>RawList!A425</f>
        <v>Low-Level Electronics</v>
      </c>
      <c r="C455" s="29" t="str">
        <f>RawList!B425</f>
        <v>Headers, Female</v>
      </c>
      <c r="D455" s="29" t="str">
        <f>RawList!C425</f>
        <v>Adafruit</v>
      </c>
      <c r="E455" s="29" t="str">
        <f>RawList!H425</f>
        <v xml:space="preserve">Feather Header Kit - 12-pin and 16-pin Female Header Set </v>
      </c>
      <c r="F455" s="29" t="str">
        <f>RawList!D425</f>
        <v>2886</v>
      </c>
      <c r="G455" s="101">
        <f>RawList!E425</f>
        <v>0</v>
      </c>
      <c r="H455" s="29" t="str">
        <f>IF(EquipmentTable[[#This Row],[Units]]&gt;0,"Quantity &gt; 0 Items","Quantity = 0 Items")</f>
        <v>Quantity = 0 Items</v>
      </c>
      <c r="I455" s="102">
        <f>RawList!J425</f>
        <v>0.95</v>
      </c>
      <c r="J455" s="14">
        <f>VALUE(EquipmentTable[[#This Row],[Units]]*EquipmentTable[[#This Row],[Unit
 Price]])</f>
        <v>0</v>
      </c>
      <c r="K455" s="29">
        <f>RawList!G425</f>
        <v>0</v>
      </c>
      <c r="L455" s="29"/>
      <c r="M455" s="29">
        <f>RawList!F425</f>
        <v>0</v>
      </c>
    </row>
    <row r="456" spans="2:13" x14ac:dyDescent="0.25">
      <c r="B456" s="29" t="str">
        <f>RawList!A426</f>
        <v>Low-Level Electronics</v>
      </c>
      <c r="C456" s="29" t="str">
        <f>RawList!B426</f>
        <v>Headers, Female</v>
      </c>
      <c r="D456" s="29" t="str">
        <f>RawList!C426</f>
        <v>Adafruit</v>
      </c>
      <c r="E456" s="29" t="str">
        <f>RawList!H426</f>
        <v>36-pin 0.1" Female header - pack of 5!</v>
      </c>
      <c r="F456" s="29" t="str">
        <f>RawList!D426</f>
        <v>598</v>
      </c>
      <c r="G456" s="101">
        <f>RawList!E426</f>
        <v>1</v>
      </c>
      <c r="H456" s="29" t="str">
        <f>IF(EquipmentTable[[#This Row],[Units]]&gt;0,"Quantity &gt; 0 Items","Quantity = 0 Items")</f>
        <v>Quantity &gt; 0 Items</v>
      </c>
      <c r="I456" s="102">
        <f>RawList!J426</f>
        <v>2.95</v>
      </c>
      <c r="J456" s="14">
        <f>VALUE(EquipmentTable[[#This Row],[Units]]*EquipmentTable[[#This Row],[Unit
 Price]])</f>
        <v>2.95</v>
      </c>
      <c r="K456" s="29">
        <f>RawList!G426</f>
        <v>0</v>
      </c>
      <c r="L456" s="29"/>
      <c r="M456" s="29">
        <f>RawList!F426</f>
        <v>0</v>
      </c>
    </row>
    <row r="457" spans="2:13" x14ac:dyDescent="0.25">
      <c r="B457" s="29" t="str">
        <f>RawList!A427</f>
        <v>Low-Level Electronics</v>
      </c>
      <c r="C457" s="29" t="str">
        <f>RawList!B427</f>
        <v>Headers, Female</v>
      </c>
      <c r="D457" s="29" t="str">
        <f>RawList!C427</f>
        <v>Adafruit</v>
      </c>
      <c r="E457" s="29" t="str">
        <f>RawList!H427</f>
        <v xml:space="preserve">36-pin 0.1" Short Female Header - Pack of 5 </v>
      </c>
      <c r="F457" s="29" t="str">
        <f>RawList!D427</f>
        <v>3008</v>
      </c>
      <c r="G457" s="101">
        <f>RawList!E427</f>
        <v>1</v>
      </c>
      <c r="H457" s="29" t="str">
        <f>IF(EquipmentTable[[#This Row],[Units]]&gt;0,"Quantity &gt; 0 Items","Quantity = 0 Items")</f>
        <v>Quantity &gt; 0 Items</v>
      </c>
      <c r="I457" s="102">
        <f>RawList!J427</f>
        <v>7.95</v>
      </c>
      <c r="J457" s="14">
        <f>VALUE(EquipmentTable[[#This Row],[Units]]*EquipmentTable[[#This Row],[Unit
 Price]])</f>
        <v>7.95</v>
      </c>
      <c r="K457" s="29">
        <f>RawList!G427</f>
        <v>0</v>
      </c>
      <c r="L457" s="29"/>
      <c r="M457" s="29">
        <f>RawList!F427</f>
        <v>0</v>
      </c>
    </row>
    <row r="458" spans="2:13" x14ac:dyDescent="0.25">
      <c r="B458" s="29" t="str">
        <f>RawList!A428</f>
        <v>Low-Level Electronics</v>
      </c>
      <c r="C458" s="29" t="str">
        <f>RawList!B428</f>
        <v>Headers, Female</v>
      </c>
      <c r="D458" s="29" t="str">
        <f>RawList!C428</f>
        <v>Adafruit</v>
      </c>
      <c r="E458" s="29" t="str">
        <f>RawList!H428</f>
        <v>0.1" 36-pin Strip Right-Angle Female/Socket Header (5 pack)</v>
      </c>
      <c r="F458" s="29" t="str">
        <f>RawList!D428</f>
        <v>1542</v>
      </c>
      <c r="G458" s="101">
        <f>RawList!E428</f>
        <v>1</v>
      </c>
      <c r="H458" s="29" t="str">
        <f>IF(EquipmentTable[[#This Row],[Units]]&gt;0,"Quantity &gt; 0 Items","Quantity = 0 Items")</f>
        <v>Quantity &gt; 0 Items</v>
      </c>
      <c r="I458" s="102">
        <f>RawList!J428</f>
        <v>4.95</v>
      </c>
      <c r="J458" s="14">
        <f>VALUE(EquipmentTable[[#This Row],[Units]]*EquipmentTable[[#This Row],[Unit
 Price]])</f>
        <v>4.95</v>
      </c>
      <c r="K458" s="29">
        <f>RawList!G428</f>
        <v>0</v>
      </c>
      <c r="L458" s="29"/>
      <c r="M458" s="29">
        <f>RawList!F428</f>
        <v>0</v>
      </c>
    </row>
    <row r="459" spans="2:13" x14ac:dyDescent="0.25">
      <c r="B459" s="29" t="str">
        <f>RawList!A429</f>
        <v>Low-Level Electronics</v>
      </c>
      <c r="C459" s="29" t="str">
        <f>RawList!B429</f>
        <v>Headers, Female</v>
      </c>
      <c r="D459" s="29" t="str">
        <f>RawList!C429</f>
        <v>Adafruit</v>
      </c>
      <c r="E459" s="29" t="str">
        <f>RawList!H429</f>
        <v>0.1" 2x36-pin Strip Straight Socket (Female) Header (5 pack)</v>
      </c>
      <c r="F459" s="29" t="str">
        <f>RawList!D429</f>
        <v>1544</v>
      </c>
      <c r="G459" s="101">
        <f>RawList!E429</f>
        <v>1</v>
      </c>
      <c r="H459" s="29" t="str">
        <f>IF(EquipmentTable[[#This Row],[Units]]&gt;0,"Quantity &gt; 0 Items","Quantity = 0 Items")</f>
        <v>Quantity &gt; 0 Items</v>
      </c>
      <c r="I459" s="102">
        <f>RawList!J429</f>
        <v>5.95</v>
      </c>
      <c r="J459" s="14">
        <f>VALUE(EquipmentTable[[#This Row],[Units]]*EquipmentTable[[#This Row],[Unit
 Price]])</f>
        <v>5.95</v>
      </c>
      <c r="K459" s="29">
        <f>RawList!G429</f>
        <v>0</v>
      </c>
      <c r="L459" s="29"/>
      <c r="M459" s="29">
        <f>RawList!F429</f>
        <v>0</v>
      </c>
    </row>
    <row r="460" spans="2:13" x14ac:dyDescent="0.25">
      <c r="B460" s="29" t="str">
        <f>RawList!A430</f>
        <v>Low-Level Electronics</v>
      </c>
      <c r="C460" s="29" t="str">
        <f>RawList!B430</f>
        <v>Headers, Female</v>
      </c>
      <c r="D460" s="29" t="str">
        <f>RawList!C430</f>
        <v>Adafruit</v>
      </c>
      <c r="E460" s="29" t="str">
        <f>RawList!H430</f>
        <v xml:space="preserve">0.1" 2x20-pin Strip Right Angle Female Header </v>
      </c>
      <c r="F460" s="29" t="str">
        <f>RawList!D430</f>
        <v>2823</v>
      </c>
      <c r="G460" s="101">
        <f>RawList!E430</f>
        <v>0</v>
      </c>
      <c r="H460" s="29" t="str">
        <f>IF(EquipmentTable[[#This Row],[Units]]&gt;0,"Quantity &gt; 0 Items","Quantity = 0 Items")</f>
        <v>Quantity = 0 Items</v>
      </c>
      <c r="I460" s="102">
        <f>RawList!J430</f>
        <v>1.5</v>
      </c>
      <c r="J460" s="14">
        <f>VALUE(EquipmentTable[[#This Row],[Units]]*EquipmentTable[[#This Row],[Unit
 Price]])</f>
        <v>0</v>
      </c>
      <c r="K460" s="29">
        <f>RawList!G430</f>
        <v>0</v>
      </c>
      <c r="L460" s="29"/>
      <c r="M460" s="29">
        <f>RawList!F430</f>
        <v>0</v>
      </c>
    </row>
    <row r="461" spans="2:13" x14ac:dyDescent="0.25">
      <c r="B461" s="29" t="str">
        <f>RawList!A431</f>
        <v>Low-Level Electronics</v>
      </c>
      <c r="C461" s="29" t="str">
        <f>RawList!B431</f>
        <v>Headers, Female</v>
      </c>
      <c r="D461" s="29" t="str">
        <f>RawList!C431</f>
        <v>Adafruit</v>
      </c>
      <c r="E461" s="29" t="str">
        <f>RawList!H431</f>
        <v>0.1" 2x36-pin Strip Right-Angle Socket (Female) Header (5 pack)</v>
      </c>
      <c r="F461" s="29" t="str">
        <f>RawList!D431</f>
        <v>1543</v>
      </c>
      <c r="G461" s="101">
        <f>RawList!E431</f>
        <v>1</v>
      </c>
      <c r="H461" s="29" t="str">
        <f>IF(EquipmentTable[[#This Row],[Units]]&gt;0,"Quantity &gt; 0 Items","Quantity = 0 Items")</f>
        <v>Quantity &gt; 0 Items</v>
      </c>
      <c r="I461" s="102">
        <f>RawList!J431</f>
        <v>7.95</v>
      </c>
      <c r="J461" s="14">
        <f>VALUE(EquipmentTable[[#This Row],[Units]]*EquipmentTable[[#This Row],[Unit
 Price]])</f>
        <v>7.95</v>
      </c>
      <c r="K461" s="29">
        <f>RawList!G431</f>
        <v>0</v>
      </c>
      <c r="L461" s="29"/>
      <c r="M461" s="29">
        <f>RawList!F431</f>
        <v>0</v>
      </c>
    </row>
    <row r="462" spans="2:13" x14ac:dyDescent="0.25">
      <c r="B462" s="29" t="str">
        <f>RawList!A432</f>
        <v>Low-Level Electronics</v>
      </c>
      <c r="C462" s="29" t="str">
        <f>RawList!B432</f>
        <v>Headers, Female</v>
      </c>
      <c r="D462" s="29" t="str">
        <f>RawList!C432</f>
        <v>Adafruit</v>
      </c>
      <c r="E462" s="29" t="str">
        <f>RawList!H432</f>
        <v xml:space="preserve">2x40 Right Angle Edge Connector for micro:bit </v>
      </c>
      <c r="F462" s="29" t="str">
        <f>RawList!D432</f>
        <v>3342</v>
      </c>
      <c r="G462" s="101">
        <f>RawList!E432</f>
        <v>0</v>
      </c>
      <c r="H462" s="29" t="str">
        <f>IF(EquipmentTable[[#This Row],[Units]]&gt;0,"Quantity &gt; 0 Items","Quantity = 0 Items")</f>
        <v>Quantity = 0 Items</v>
      </c>
      <c r="I462" s="102">
        <f>RawList!J432</f>
        <v>0</v>
      </c>
      <c r="J462" s="14">
        <f>VALUE(EquipmentTable[[#This Row],[Units]]*EquipmentTable[[#This Row],[Unit
 Price]])</f>
        <v>0</v>
      </c>
      <c r="K462" s="29">
        <f>RawList!G432</f>
        <v>0</v>
      </c>
      <c r="L462" s="29"/>
      <c r="M462" s="29">
        <f>RawList!F432</f>
        <v>0</v>
      </c>
    </row>
    <row r="463" spans="2:13" x14ac:dyDescent="0.25">
      <c r="B463" s="29" t="str">
        <f>RawList!A433</f>
        <v>Low-Level Electronics</v>
      </c>
      <c r="C463" s="29" t="str">
        <f>RawList!B433</f>
        <v>Headers, Female</v>
      </c>
      <c r="D463" s="29" t="str">
        <f>RawList!C433</f>
        <v>SparkFun</v>
      </c>
      <c r="E463" s="29" t="str">
        <f>RawList!H433</f>
        <v>Header - 2x3 (Female, 0.1\")</v>
      </c>
      <c r="F463" s="29" t="str">
        <f>RawList!D433</f>
        <v>PRT-13010</v>
      </c>
      <c r="G463" s="101">
        <f>RawList!E433</f>
        <v>0</v>
      </c>
      <c r="H463" s="29" t="str">
        <f>IF(EquipmentTable[[#This Row],[Units]]&gt;0,"Quantity &gt; 0 Items","Quantity = 0 Items")</f>
        <v>Quantity = 0 Items</v>
      </c>
      <c r="I463" s="102">
        <f>RawList!J433</f>
        <v>0.5</v>
      </c>
      <c r="J463" s="14">
        <f>VALUE(EquipmentTable[[#This Row],[Units]]*EquipmentTable[[#This Row],[Unit
 Price]])</f>
        <v>0</v>
      </c>
      <c r="K463" s="29" t="str">
        <f>RawList!G433</f>
        <v>https://cdn.sparkfun.com/r/92-92/assets/parts/8/1/2/1/13010-01a.jpg</v>
      </c>
      <c r="L463" s="29"/>
      <c r="M463" s="29" t="str">
        <f>RawList!F433</f>
        <v>https://www.sparkfun.com/products/13010</v>
      </c>
    </row>
    <row r="464" spans="2:13" x14ac:dyDescent="0.25">
      <c r="B464" s="29" t="str">
        <f>RawList!A434</f>
        <v>Low-Level Electronics</v>
      </c>
      <c r="C464" s="29" t="str">
        <f>RawList!B434</f>
        <v>Headers, Female</v>
      </c>
      <c r="D464" s="29" t="str">
        <f>RawList!C434</f>
        <v>SparkFun</v>
      </c>
      <c r="E464" s="29" t="str">
        <f>RawList!H434</f>
        <v>2x3 Pin Shrouded Header</v>
      </c>
      <c r="F464" s="29" t="str">
        <f>RawList!D434</f>
        <v>PRT-10877</v>
      </c>
      <c r="G464" s="101">
        <f>RawList!E434</f>
        <v>5</v>
      </c>
      <c r="H464" s="29" t="str">
        <f>IF(EquipmentTable[[#This Row],[Units]]&gt;0,"Quantity &gt; 0 Items","Quantity = 0 Items")</f>
        <v>Quantity &gt; 0 Items</v>
      </c>
      <c r="I464" s="102">
        <f>RawList!J434</f>
        <v>1.5</v>
      </c>
      <c r="J464" s="14">
        <f>VALUE(EquipmentTable[[#This Row],[Units]]*EquipmentTable[[#This Row],[Unit
 Price]])</f>
        <v>7.5</v>
      </c>
      <c r="K464" s="29" t="str">
        <f>RawList!G434</f>
        <v>https://cdn.sparkfun.com/r/92-92/assets/parts/5/9/3/3/10877-01b.jpg</v>
      </c>
      <c r="L464" s="29"/>
      <c r="M464" s="29" t="str">
        <f>RawList!F434</f>
        <v>https://www.sparkfun.com/products/10877</v>
      </c>
    </row>
    <row r="465" spans="2:13" x14ac:dyDescent="0.25">
      <c r="B465" s="29" t="str">
        <f>RawList!A435</f>
        <v>Low-Level Electronics</v>
      </c>
      <c r="C465" s="29" t="str">
        <f>RawList!B435</f>
        <v>Headers, Female</v>
      </c>
      <c r="D465" s="29" t="str">
        <f>RawList!C435</f>
        <v>SparkFun</v>
      </c>
      <c r="E465" s="29" t="str">
        <f>RawList!H435</f>
        <v>2x5 Pin Shrouded Header</v>
      </c>
      <c r="F465" s="29" t="str">
        <f>RawList!D435</f>
        <v>PRT-08506</v>
      </c>
      <c r="G465" s="101">
        <f>RawList!E435</f>
        <v>5</v>
      </c>
      <c r="H465" s="29" t="str">
        <f>IF(EquipmentTable[[#This Row],[Units]]&gt;0,"Quantity &gt; 0 Items","Quantity = 0 Items")</f>
        <v>Quantity &gt; 0 Items</v>
      </c>
      <c r="I465" s="102">
        <f>RawList!J435</f>
        <v>1.5</v>
      </c>
      <c r="J465" s="14">
        <f>VALUE(EquipmentTable[[#This Row],[Units]]*EquipmentTable[[#This Row],[Unit
 Price]])</f>
        <v>7.5</v>
      </c>
      <c r="K465" s="29" t="str">
        <f>RawList!G435</f>
        <v>https://cdn.sparkfun.com/r/92-92/assets/parts/1/1/7/4/08506-02.jpg</v>
      </c>
      <c r="L465" s="29"/>
      <c r="M465" s="29" t="str">
        <f>RawList!F435</f>
        <v>https://www.sparkfun.com/products/8506</v>
      </c>
    </row>
    <row r="466" spans="2:13" x14ac:dyDescent="0.25">
      <c r="B466" s="29" t="str">
        <f>RawList!A436</f>
        <v>Low-Level Electronics</v>
      </c>
      <c r="C466" s="29" t="str">
        <f>RawList!B436</f>
        <v>Headers, Female</v>
      </c>
      <c r="D466" s="29" t="str">
        <f>RawList!C436</f>
        <v>Adafruit</v>
      </c>
      <c r="E466" s="29" t="str">
        <f>RawList!H436</f>
        <v>Adafruit 6-pin AVR ISP Breadboard Adapter Mini Kit</v>
      </c>
      <c r="F466" s="29" t="str">
        <f>RawList!D436</f>
        <v>1465</v>
      </c>
      <c r="G466" s="101">
        <f>RawList!E436</f>
        <v>0</v>
      </c>
      <c r="H466" s="29" t="str">
        <f>IF(EquipmentTable[[#This Row],[Units]]&gt;0,"Quantity &gt; 0 Items","Quantity = 0 Items")</f>
        <v>Quantity = 0 Items</v>
      </c>
      <c r="I466" s="102">
        <f>RawList!J436</f>
        <v>0.95</v>
      </c>
      <c r="J466" s="14">
        <f>VALUE(EquipmentTable[[#This Row],[Units]]*EquipmentTable[[#This Row],[Unit
 Price]])</f>
        <v>0</v>
      </c>
      <c r="K466" s="29">
        <f>RawList!G436</f>
        <v>0</v>
      </c>
      <c r="L466" s="29"/>
      <c r="M466" s="29">
        <f>RawList!F436</f>
        <v>0</v>
      </c>
    </row>
    <row r="467" spans="2:13" x14ac:dyDescent="0.25">
      <c r="B467" s="29" t="str">
        <f>RawList!A437</f>
        <v>Low-Level Electronics</v>
      </c>
      <c r="C467" s="29" t="str">
        <f>RawList!B437</f>
        <v>Headers, Female</v>
      </c>
      <c r="D467" s="29" t="str">
        <f>RawList!C437</f>
        <v>SparkFun</v>
      </c>
      <c r="E467" s="29" t="str">
        <f>RawList!H437</f>
        <v>2mm 10pin XBee Socket</v>
      </c>
      <c r="F467" s="29" t="str">
        <f>RawList!D437</f>
        <v>PRT-08272</v>
      </c>
      <c r="G467" s="101">
        <f>RawList!E437</f>
        <v>0</v>
      </c>
      <c r="H467" s="29" t="str">
        <f>IF(EquipmentTable[[#This Row],[Units]]&gt;0,"Quantity &gt; 0 Items","Quantity = 0 Items")</f>
        <v>Quantity = 0 Items</v>
      </c>
      <c r="I467" s="102">
        <f>RawList!J437</f>
        <v>1</v>
      </c>
      <c r="J467" s="14">
        <f>VALUE(EquipmentTable[[#This Row],[Units]]*EquipmentTable[[#This Row],[Unit
 Price]])</f>
        <v>0</v>
      </c>
      <c r="K467" s="29" t="str">
        <f>RawList!G437</f>
        <v>https://cdn.sparkfun.com/r/92-92/assets/parts/1/8/8/1/2mmSocket-01-L.jpg</v>
      </c>
      <c r="L467" s="29"/>
      <c r="M467" s="29" t="str">
        <f>RawList!F437</f>
        <v>https://www.sparkfun.com/products/8272</v>
      </c>
    </row>
    <row r="468" spans="2:13" x14ac:dyDescent="0.25">
      <c r="B468" s="29" t="str">
        <f>RawList!A438</f>
        <v>Low-Level Electronics</v>
      </c>
      <c r="C468" s="29" t="str">
        <f>RawList!B438</f>
        <v>Headers, Female</v>
      </c>
      <c r="D468" s="29" t="str">
        <f>RawList!C438</f>
        <v>Adafruit</v>
      </c>
      <c r="E468" s="29" t="str">
        <f>RawList!H438</f>
        <v>2mm 10 pin Socket Headers (for XBee) - Pack of 2</v>
      </c>
      <c r="F468" s="29" t="str">
        <f>RawList!D438</f>
        <v>366</v>
      </c>
      <c r="G468" s="101">
        <f>RawList!E438</f>
        <v>2</v>
      </c>
      <c r="H468" s="29" t="str">
        <f>IF(EquipmentTable[[#This Row],[Units]]&gt;0,"Quantity &gt; 0 Items","Quantity = 0 Items")</f>
        <v>Quantity &gt; 0 Items</v>
      </c>
      <c r="I468" s="102">
        <f>RawList!J438</f>
        <v>0.95</v>
      </c>
      <c r="J468" s="14">
        <f>VALUE(EquipmentTable[[#This Row],[Units]]*EquipmentTable[[#This Row],[Unit
 Price]])</f>
        <v>1.9</v>
      </c>
      <c r="K468" s="29">
        <f>RawList!G438</f>
        <v>0</v>
      </c>
      <c r="L468" s="29"/>
      <c r="M468" s="29">
        <f>RawList!F438</f>
        <v>0</v>
      </c>
    </row>
    <row r="469" spans="2:13" x14ac:dyDescent="0.25">
      <c r="B469" s="29" t="str">
        <f>RawList!A439</f>
        <v>Low-Level Electronics</v>
      </c>
      <c r="C469" s="29" t="str">
        <f>RawList!B439</f>
        <v>Headers, Female</v>
      </c>
      <c r="D469" s="29" t="str">
        <f>RawList!C439</f>
        <v>Adafruit</v>
      </c>
      <c r="E469" s="29" t="str">
        <f>RawList!H439</f>
        <v>2mm Pitch 25-Pin Female Socket Headers - Pack of 5</v>
      </c>
      <c r="F469" s="29" t="str">
        <f>RawList!D439</f>
        <v>2672</v>
      </c>
      <c r="G469" s="101">
        <f>RawList!E439</f>
        <v>1</v>
      </c>
      <c r="H469" s="29" t="str">
        <f>IF(EquipmentTable[[#This Row],[Units]]&gt;0,"Quantity &gt; 0 Items","Quantity = 0 Items")</f>
        <v>Quantity &gt; 0 Items</v>
      </c>
      <c r="I469" s="102">
        <f>RawList!J439</f>
        <v>3.95</v>
      </c>
      <c r="J469" s="14">
        <f>VALUE(EquipmentTable[[#This Row],[Units]]*EquipmentTable[[#This Row],[Unit
 Price]])</f>
        <v>3.95</v>
      </c>
      <c r="K469" s="29">
        <f>RawList!G439</f>
        <v>0</v>
      </c>
      <c r="L469" s="29"/>
      <c r="M469" s="29">
        <f>RawList!F439</f>
        <v>0</v>
      </c>
    </row>
    <row r="470" spans="2:13" x14ac:dyDescent="0.25">
      <c r="B470" s="29" t="str">
        <f>RawList!A440</f>
        <v>Low-Level Electronics</v>
      </c>
      <c r="C470" s="29" t="str">
        <f>RawList!B440</f>
        <v>Flip-Pins</v>
      </c>
      <c r="D470" s="29" t="str">
        <f>RawList!C440</f>
        <v>SparkFun</v>
      </c>
      <c r="E470" s="29" t="str">
        <f>RawList!H440</f>
        <v>Flip-Pin (20-pins)</v>
      </c>
      <c r="F470" s="29" t="str">
        <f>RawList!D440</f>
        <v>COM-14087</v>
      </c>
      <c r="G470" s="101">
        <f>RawList!E440</f>
        <v>15</v>
      </c>
      <c r="H470" s="29" t="str">
        <f>IF(EquipmentTable[[#This Row],[Units]]&gt;0,"Quantity &gt; 0 Items","Quantity = 0 Items")</f>
        <v>Quantity &gt; 0 Items</v>
      </c>
      <c r="I470" s="102">
        <f>RawList!J440</f>
        <v>1.95</v>
      </c>
      <c r="J470" s="14">
        <f>VALUE(EquipmentTable[[#This Row],[Units]]*EquipmentTable[[#This Row],[Unit
 Price]])</f>
        <v>29.25</v>
      </c>
      <c r="K470" s="29" t="str">
        <f>RawList!G440</f>
        <v>https://cdn.sparkfun.com/r/92-92/assets/parts/1/1/9/5/2/14087-03.jpg</v>
      </c>
      <c r="L470" s="29"/>
      <c r="M470" s="29" t="str">
        <f>RawList!F440</f>
        <v>https://www.sparkfun.com/products/14087</v>
      </c>
    </row>
    <row r="471" spans="2:13" x14ac:dyDescent="0.25">
      <c r="B471" s="29" t="str">
        <f>RawList!A441</f>
        <v>Low-Level Electronics</v>
      </c>
      <c r="C471" s="29" t="str">
        <f>RawList!B441</f>
        <v>Flip-Pins</v>
      </c>
      <c r="D471" s="29" t="str">
        <f>RawList!C441</f>
        <v>SparkFun</v>
      </c>
      <c r="E471" s="29" t="str">
        <f>RawList!H441</f>
        <v>Flip-Pin (8-pins)</v>
      </c>
      <c r="F471" s="29" t="str">
        <f>RawList!D441</f>
        <v>COM-14085</v>
      </c>
      <c r="G471" s="101">
        <f>RawList!E441</f>
        <v>0</v>
      </c>
      <c r="H471" s="29" t="str">
        <f>IF(EquipmentTable[[#This Row],[Units]]&gt;0,"Quantity &gt; 0 Items","Quantity = 0 Items")</f>
        <v>Quantity = 0 Items</v>
      </c>
      <c r="I471" s="102">
        <f>RawList!J441</f>
        <v>0.95</v>
      </c>
      <c r="J471" s="14">
        <f>VALUE(EquipmentTable[[#This Row],[Units]]*EquipmentTable[[#This Row],[Unit
 Price]])</f>
        <v>0</v>
      </c>
      <c r="K471" s="29" t="str">
        <f>RawList!G441</f>
        <v>https://cdn.sparkfun.com/r/92-92/assets/parts/1/1/9/5/0/14085-03.jpg</v>
      </c>
      <c r="L471" s="29"/>
      <c r="M471" s="29" t="str">
        <f>RawList!F441</f>
        <v>https://www.sparkfun.com/products/14085</v>
      </c>
    </row>
    <row r="472" spans="2:13" x14ac:dyDescent="0.25">
      <c r="B472" s="29" t="str">
        <f>RawList!A442</f>
        <v>Low-Level Electronics</v>
      </c>
      <c r="C472" s="29" t="str">
        <f>RawList!B442</f>
        <v>Jumper Wires, DIY</v>
      </c>
      <c r="D472" s="29" t="str">
        <f>RawList!C442</f>
        <v>Adafruit</v>
      </c>
      <c r="E472" s="29" t="str">
        <f>RawList!H442</f>
        <v>Small Single Row Wire Housing Pack for DIY Jumper Cables</v>
      </c>
      <c r="F472" s="29" t="str">
        <f>RawList!D442</f>
        <v>3145</v>
      </c>
      <c r="G472" s="101">
        <f>RawList!E442</f>
        <v>3</v>
      </c>
      <c r="H472" s="29" t="str">
        <f>IF(EquipmentTable[[#This Row],[Units]]&gt;0,"Quantity &gt; 0 Items","Quantity = 0 Items")</f>
        <v>Quantity &gt; 0 Items</v>
      </c>
      <c r="I472" s="102">
        <f>RawList!J442</f>
        <v>1.95</v>
      </c>
      <c r="J472" s="14">
        <f>VALUE(EquipmentTable[[#This Row],[Units]]*EquipmentTable[[#This Row],[Unit
 Price]])</f>
        <v>5.85</v>
      </c>
      <c r="K472" s="29">
        <f>RawList!G442</f>
        <v>0</v>
      </c>
      <c r="L472" s="29"/>
      <c r="M472" s="29">
        <f>RawList!F442</f>
        <v>0</v>
      </c>
    </row>
    <row r="473" spans="2:13" x14ac:dyDescent="0.25">
      <c r="B473" s="29" t="str">
        <f>RawList!A443</f>
        <v>Low-Level Electronics</v>
      </c>
      <c r="C473" s="29" t="str">
        <f>RawList!B443</f>
        <v>Jumper Wires, DIY</v>
      </c>
      <c r="D473" s="29" t="str">
        <f>RawList!C443</f>
        <v>Adafruit</v>
      </c>
      <c r="E473" s="29" t="str">
        <f>RawList!H443</f>
        <v>Large Dual Row Wire Housing Pack for DIY Jumper Cables</v>
      </c>
      <c r="F473" s="29" t="str">
        <f>RawList!D443</f>
        <v>3144</v>
      </c>
      <c r="G473" s="101">
        <f>RawList!E443</f>
        <v>1</v>
      </c>
      <c r="H473" s="29" t="str">
        <f>IF(EquipmentTable[[#This Row],[Units]]&gt;0,"Quantity &gt; 0 Items","Quantity = 0 Items")</f>
        <v>Quantity &gt; 0 Items</v>
      </c>
      <c r="I473" s="102">
        <f>RawList!J443</f>
        <v>3.95</v>
      </c>
      <c r="J473" s="14">
        <f>VALUE(EquipmentTable[[#This Row],[Units]]*EquipmentTable[[#This Row],[Unit
 Price]])</f>
        <v>3.95</v>
      </c>
      <c r="K473" s="29">
        <f>RawList!G443</f>
        <v>0</v>
      </c>
      <c r="L473" s="29"/>
      <c r="M473" s="29">
        <f>RawList!F443</f>
        <v>0</v>
      </c>
    </row>
    <row r="474" spans="2:13" x14ac:dyDescent="0.25">
      <c r="B474" s="29" t="str">
        <f>RawList!A444</f>
        <v>Low-Level Electronics</v>
      </c>
      <c r="C474" s="29" t="str">
        <f>RawList!B444</f>
        <v>Jumper Wires, DIY</v>
      </c>
      <c r="D474" s="29" t="str">
        <f>RawList!C444</f>
        <v>Adafruit</v>
      </c>
      <c r="E474" s="29" t="str">
        <f>RawList!H444</f>
        <v>Small Dual Row Wire Housing Pack for DIY Jumper Cables</v>
      </c>
      <c r="F474" s="29" t="str">
        <f>RawList!D444</f>
        <v>3143</v>
      </c>
      <c r="G474" s="101">
        <f>RawList!E444</f>
        <v>2</v>
      </c>
      <c r="H474" s="29" t="str">
        <f>IF(EquipmentTable[[#This Row],[Units]]&gt;0,"Quantity &gt; 0 Items","Quantity = 0 Items")</f>
        <v>Quantity &gt; 0 Items</v>
      </c>
      <c r="I474" s="102">
        <f>RawList!J444</f>
        <v>1.95</v>
      </c>
      <c r="J474" s="14">
        <f>VALUE(EquipmentTable[[#This Row],[Units]]*EquipmentTable[[#This Row],[Unit
 Price]])</f>
        <v>3.9</v>
      </c>
      <c r="K474" s="29">
        <f>RawList!G444</f>
        <v>0</v>
      </c>
      <c r="L474" s="29"/>
      <c r="M474" s="29">
        <f>RawList!F444</f>
        <v>0</v>
      </c>
    </row>
    <row r="475" spans="2:13" x14ac:dyDescent="0.25">
      <c r="B475" s="29" t="str">
        <f>RawList!A445</f>
        <v>Low-Level Electronics</v>
      </c>
      <c r="C475" s="29" t="str">
        <f>RawList!B445</f>
        <v>Jumper Wires, DIY</v>
      </c>
      <c r="D475" s="29" t="str">
        <f>RawList!C445</f>
        <v>Adafruit</v>
      </c>
      <c r="E475" s="29" t="str">
        <f>RawList!H445</f>
        <v>Large Single Row Housing Pack for DIY Jumper Cables</v>
      </c>
      <c r="F475" s="29" t="str">
        <f>RawList!D445</f>
        <v>3146</v>
      </c>
      <c r="G475" s="101">
        <f>RawList!E445</f>
        <v>1</v>
      </c>
      <c r="H475" s="29" t="str">
        <f>IF(EquipmentTable[[#This Row],[Units]]&gt;0,"Quantity &gt; 0 Items","Quantity = 0 Items")</f>
        <v>Quantity &gt; 0 Items</v>
      </c>
      <c r="I475" s="102">
        <f>RawList!J445</f>
        <v>2.95</v>
      </c>
      <c r="J475" s="14">
        <f>VALUE(EquipmentTable[[#This Row],[Units]]*EquipmentTable[[#This Row],[Unit
 Price]])</f>
        <v>2.95</v>
      </c>
      <c r="K475" s="29">
        <f>RawList!G445</f>
        <v>0</v>
      </c>
      <c r="L475" s="29"/>
      <c r="M475" s="29">
        <f>RawList!F445</f>
        <v>0</v>
      </c>
    </row>
    <row r="476" spans="2:13" x14ac:dyDescent="0.25">
      <c r="B476" s="29" t="str">
        <f>RawList!A446</f>
        <v>Low-Level Electronics</v>
      </c>
      <c r="C476" s="29" t="str">
        <f>RawList!B446</f>
        <v>Jumper Wires, DIY</v>
      </c>
      <c r="D476" s="29" t="str">
        <f>RawList!C446</f>
        <v>Adafruit</v>
      </c>
      <c r="E476" s="29" t="str">
        <f>RawList!H446</f>
        <v>Premium Female/Female Raw Custom Jumper Wires - 40 x 6" (150mm)</v>
      </c>
      <c r="F476" s="29" t="str">
        <f>RawList!D446</f>
        <v>3141</v>
      </c>
      <c r="G476" s="101">
        <f>RawList!E446</f>
        <v>5</v>
      </c>
      <c r="H476" s="29" t="str">
        <f>IF(EquipmentTable[[#This Row],[Units]]&gt;0,"Quantity &gt; 0 Items","Quantity = 0 Items")</f>
        <v>Quantity &gt; 0 Items</v>
      </c>
      <c r="I476" s="102">
        <f>RawList!J446</f>
        <v>2.95</v>
      </c>
      <c r="J476" s="14">
        <f>VALUE(EquipmentTable[[#This Row],[Units]]*EquipmentTable[[#This Row],[Unit
 Price]])</f>
        <v>14.75</v>
      </c>
      <c r="K476" s="29">
        <f>RawList!G446</f>
        <v>0</v>
      </c>
      <c r="L476" s="29"/>
      <c r="M476" s="29">
        <f>RawList!F446</f>
        <v>0</v>
      </c>
    </row>
    <row r="477" spans="2:13" x14ac:dyDescent="0.25">
      <c r="B477" s="29" t="str">
        <f>RawList!A447</f>
        <v>Low-Level Electronics</v>
      </c>
      <c r="C477" s="29" t="str">
        <f>RawList!B447</f>
        <v>Jumper Wires, DIY</v>
      </c>
      <c r="D477" s="29" t="str">
        <f>RawList!C447</f>
        <v>Adafruit</v>
      </c>
      <c r="E477" s="29" t="str">
        <f>RawList!H447</f>
        <v>Premium Male/Male Raw Jumper Wires - 40 x 6" (150mm)</v>
      </c>
      <c r="F477" s="29" t="str">
        <f>RawList!D447</f>
        <v>3142</v>
      </c>
      <c r="G477" s="101">
        <f>RawList!E447</f>
        <v>5</v>
      </c>
      <c r="H477" s="29" t="str">
        <f>IF(EquipmentTable[[#This Row],[Units]]&gt;0,"Quantity &gt; 0 Items","Quantity = 0 Items")</f>
        <v>Quantity &gt; 0 Items</v>
      </c>
      <c r="I477" s="102">
        <f>RawList!J447</f>
        <v>3.95</v>
      </c>
      <c r="J477" s="14">
        <f>VALUE(EquipmentTable[[#This Row],[Units]]*EquipmentTable[[#This Row],[Unit
 Price]])</f>
        <v>19.75</v>
      </c>
      <c r="K477" s="29">
        <f>RawList!G447</f>
        <v>0</v>
      </c>
      <c r="L477" s="29"/>
      <c r="M477" s="29">
        <f>RawList!F447</f>
        <v>0</v>
      </c>
    </row>
    <row r="478" spans="2:13" x14ac:dyDescent="0.25">
      <c r="B478" s="29" t="str">
        <f>RawList!A448</f>
        <v>Low-Level Electronics</v>
      </c>
      <c r="C478" s="29" t="str">
        <f>RawList!B448</f>
        <v>Jumper Wires, JST-PH</v>
      </c>
      <c r="D478" s="29" t="str">
        <f>RawList!C448</f>
        <v>SparkFun</v>
      </c>
      <c r="E478" s="29" t="str">
        <f>RawList!H448</f>
        <v>Jumper Wire - JST Black Blue</v>
      </c>
      <c r="F478" s="29" t="str">
        <f>RawList!D448</f>
        <v>PRT-08671</v>
      </c>
      <c r="G478" s="101">
        <f>RawList!E448</f>
        <v>0</v>
      </c>
      <c r="H478" s="29" t="str">
        <f>IF(EquipmentTable[[#This Row],[Units]]&gt;0,"Quantity &gt; 0 Items","Quantity = 0 Items")</f>
        <v>Quantity = 0 Items</v>
      </c>
      <c r="I478" s="102">
        <f>RawList!J448</f>
        <v>0.95</v>
      </c>
      <c r="J478" s="14">
        <f>VALUE(EquipmentTable[[#This Row],[Units]]*EquipmentTable[[#This Row],[Unit
 Price]])</f>
        <v>0</v>
      </c>
      <c r="K478" s="29" t="str">
        <f>RawList!G448</f>
        <v>https://cdn.sparkfun.com/r/92-92/assets/parts/1/8/2/7/08671-03-L.jpg</v>
      </c>
      <c r="L478" s="29"/>
      <c r="M478" s="29" t="str">
        <f>RawList!F448</f>
        <v>https://www.sparkfun.com/products/8671</v>
      </c>
    </row>
    <row r="479" spans="2:13" x14ac:dyDescent="0.25">
      <c r="B479" s="29" t="str">
        <f>RawList!A449</f>
        <v>Low-Level Electronics</v>
      </c>
      <c r="C479" s="29" t="str">
        <f>RawList!B449</f>
        <v>Jumper Wires, JST-PH</v>
      </c>
      <c r="D479" s="29" t="str">
        <f>RawList!C449</f>
        <v>SparkFun</v>
      </c>
      <c r="E479" s="29" t="str">
        <f>RawList!H449</f>
        <v>Jumper Wire - JST Black Red</v>
      </c>
      <c r="F479" s="29" t="str">
        <f>RawList!D449</f>
        <v>PRT-08670</v>
      </c>
      <c r="G479" s="101">
        <f>RawList!E449</f>
        <v>0</v>
      </c>
      <c r="H479" s="29" t="str">
        <f>IF(EquipmentTable[[#This Row],[Units]]&gt;0,"Quantity &gt; 0 Items","Quantity = 0 Items")</f>
        <v>Quantity = 0 Items</v>
      </c>
      <c r="I479" s="102">
        <f>RawList!J449</f>
        <v>0.95</v>
      </c>
      <c r="J479" s="14">
        <f>VALUE(EquipmentTable[[#This Row],[Units]]*EquipmentTable[[#This Row],[Unit
 Price]])</f>
        <v>0</v>
      </c>
      <c r="K479" s="29" t="str">
        <f>RawList!G449</f>
        <v>https://cdn.sparkfun.com/r/92-92/assets/parts/1/8/2/6/08670-03-L.jpg</v>
      </c>
      <c r="L479" s="29"/>
      <c r="M479" s="29" t="str">
        <f>RawList!F449</f>
        <v>https://www.sparkfun.com/products/8670</v>
      </c>
    </row>
    <row r="480" spans="2:13" x14ac:dyDescent="0.25">
      <c r="B480" s="29" t="str">
        <f>RawList!A450</f>
        <v>Low-Level Electronics</v>
      </c>
      <c r="C480" s="29" t="str">
        <f>RawList!B450</f>
        <v>Jumper Wires, JST-PH</v>
      </c>
      <c r="D480" s="29" t="str">
        <f>RawList!C450</f>
        <v>SparkFun</v>
      </c>
      <c r="E480" s="29" t="str">
        <f>RawList!H450</f>
        <v>JST Jumper 2 Wire Assembly</v>
      </c>
      <c r="F480" s="29" t="str">
        <f>RawList!D450</f>
        <v>PRT-09914</v>
      </c>
      <c r="G480" s="101">
        <f>RawList!E450</f>
        <v>10</v>
      </c>
      <c r="H480" s="29" t="str">
        <f>IF(EquipmentTable[[#This Row],[Units]]&gt;0,"Quantity &gt; 0 Items","Quantity = 0 Items")</f>
        <v>Quantity &gt; 0 Items</v>
      </c>
      <c r="I480" s="102">
        <f>RawList!J450</f>
        <v>0.95</v>
      </c>
      <c r="J480" s="14">
        <f>VALUE(EquipmentTable[[#This Row],[Units]]*EquipmentTable[[#This Row],[Unit
 Price]])</f>
        <v>9.5</v>
      </c>
      <c r="K480" s="29" t="str">
        <f>RawList!G450</f>
        <v>https://cdn.sparkfun.com/r/92-92/assets/parts/4/0/2/0/09914-02b.jpg</v>
      </c>
      <c r="L480" s="29"/>
      <c r="M480" s="29" t="str">
        <f>RawList!F450</f>
        <v>https://www.sparkfun.com/products/9914</v>
      </c>
    </row>
    <row r="481" spans="2:13" x14ac:dyDescent="0.25">
      <c r="B481" s="29" t="str">
        <f>RawList!A451</f>
        <v>Low-Level Electronics</v>
      </c>
      <c r="C481" s="29" t="str">
        <f>RawList!B451</f>
        <v>Jumper Wires, JST-PH</v>
      </c>
      <c r="D481" s="29" t="str">
        <f>RawList!C451</f>
        <v>SparkFun</v>
      </c>
      <c r="E481" s="29" t="str">
        <f>RawList!H451</f>
        <v>JST Jumper 3 Wire Assembly</v>
      </c>
      <c r="F481" s="29" t="str">
        <f>RawList!D451</f>
        <v>PRT-09915</v>
      </c>
      <c r="G481" s="101">
        <f>RawList!E451</f>
        <v>5</v>
      </c>
      <c r="H481" s="29" t="str">
        <f>IF(EquipmentTable[[#This Row],[Units]]&gt;0,"Quantity &gt; 0 Items","Quantity = 0 Items")</f>
        <v>Quantity &gt; 0 Items</v>
      </c>
      <c r="I481" s="102">
        <f>RawList!J451</f>
        <v>1.5</v>
      </c>
      <c r="J481" s="14">
        <f>VALUE(EquipmentTable[[#This Row],[Units]]*EquipmentTable[[#This Row],[Unit
 Price]])</f>
        <v>7.5</v>
      </c>
      <c r="K481" s="29" t="str">
        <f>RawList!G451</f>
        <v>https://cdn.sparkfun.com/r/92-92/assets/parts/4/0/2/1/09915-02b.jpg</v>
      </c>
      <c r="L481" s="29"/>
      <c r="M481" s="29" t="str">
        <f>RawList!F451</f>
        <v>https://www.sparkfun.com/products/9915</v>
      </c>
    </row>
    <row r="482" spans="2:13" x14ac:dyDescent="0.25">
      <c r="B482" s="29" t="str">
        <f>RawList!A452</f>
        <v>Low-Level Electronics</v>
      </c>
      <c r="C482" s="29" t="str">
        <f>RawList!B452</f>
        <v>Jumper Wires, JST-PH</v>
      </c>
      <c r="D482" s="29" t="str">
        <f>RawList!C452</f>
        <v>SparkFun</v>
      </c>
      <c r="E482" s="29" t="str">
        <f>RawList!H452</f>
        <v>JST Jumper 4 Wire Assembly</v>
      </c>
      <c r="F482" s="29" t="str">
        <f>RawList!D452</f>
        <v>PRT-09916</v>
      </c>
      <c r="G482" s="101">
        <f>RawList!E452</f>
        <v>10</v>
      </c>
      <c r="H482" s="29" t="str">
        <f>IF(EquipmentTable[[#This Row],[Units]]&gt;0,"Quantity &gt; 0 Items","Quantity = 0 Items")</f>
        <v>Quantity &gt; 0 Items</v>
      </c>
      <c r="I482" s="102">
        <f>RawList!J452</f>
        <v>1.5</v>
      </c>
      <c r="J482" s="14">
        <f>VALUE(EquipmentTable[[#This Row],[Units]]*EquipmentTable[[#This Row],[Unit
 Price]])</f>
        <v>15</v>
      </c>
      <c r="K482" s="29" t="str">
        <f>RawList!G452</f>
        <v>https://cdn.sparkfun.com/r/92-92/assets/parts/4/0/2/2/09916-02b.jpg</v>
      </c>
      <c r="L482" s="29"/>
      <c r="M482" s="29" t="str">
        <f>RawList!F452</f>
        <v>https://www.sparkfun.com/products/9916</v>
      </c>
    </row>
    <row r="483" spans="2:13" x14ac:dyDescent="0.25">
      <c r="B483" s="29" t="str">
        <f>RawList!A453</f>
        <v>Low-Level Electronics</v>
      </c>
      <c r="C483" s="29" t="str">
        <f>RawList!B453</f>
        <v>Jumper Wires, JST-PH</v>
      </c>
      <c r="D483" s="29" t="str">
        <f>RawList!C453</f>
        <v>Adafruit</v>
      </c>
      <c r="E483" s="29" t="str">
        <f>RawList!H453</f>
        <v xml:space="preserve">JST 2-pin Extension Cable with On/Off Switch - JST PH2 </v>
      </c>
      <c r="F483" s="29" t="str">
        <f>RawList!D453</f>
        <v>3064</v>
      </c>
      <c r="G483" s="101">
        <f>RawList!E453</f>
        <v>5</v>
      </c>
      <c r="H483" s="29" t="str">
        <f>IF(EquipmentTable[[#This Row],[Units]]&gt;0,"Quantity &gt; 0 Items","Quantity = 0 Items")</f>
        <v>Quantity &gt; 0 Items</v>
      </c>
      <c r="I483" s="102">
        <f>RawList!J453</f>
        <v>2.95</v>
      </c>
      <c r="J483" s="14">
        <f>VALUE(EquipmentTable[[#This Row],[Units]]*EquipmentTable[[#This Row],[Unit
 Price]])</f>
        <v>14.75</v>
      </c>
      <c r="K483" s="29">
        <f>RawList!G453</f>
        <v>0</v>
      </c>
      <c r="L483" s="29"/>
      <c r="M483" s="29">
        <f>RawList!F453</f>
        <v>0</v>
      </c>
    </row>
    <row r="484" spans="2:13" x14ac:dyDescent="0.25">
      <c r="B484" s="29" t="str">
        <f>RawList!A454</f>
        <v>Low-Level Electronics</v>
      </c>
      <c r="C484" s="29" t="str">
        <f>RawList!B454</f>
        <v>Jumper Wires, JST-PH</v>
      </c>
      <c r="D484" s="29" t="str">
        <f>RawList!C454</f>
        <v>Adafruit</v>
      </c>
      <c r="E484" s="29" t="str">
        <f>RawList!H454</f>
        <v>STEMMA Cable - 150mm/6" Long 4 Pin JST-PH Cable–Female/Female</v>
      </c>
      <c r="F484" s="29" t="str">
        <f>RawList!D454</f>
        <v>3568</v>
      </c>
      <c r="G484" s="101">
        <f>RawList!E454</f>
        <v>0</v>
      </c>
      <c r="H484" s="29" t="str">
        <f>IF(EquipmentTable[[#This Row],[Units]]&gt;0,"Quantity &gt; 0 Items","Quantity = 0 Items")</f>
        <v>Quantity = 0 Items</v>
      </c>
      <c r="I484" s="102">
        <f>RawList!J454</f>
        <v>0.75</v>
      </c>
      <c r="J484" s="14">
        <f>VALUE(EquipmentTable[[#This Row],[Units]]*EquipmentTable[[#This Row],[Unit
 Price]])</f>
        <v>0</v>
      </c>
      <c r="K484" s="29">
        <f>RawList!G454</f>
        <v>0</v>
      </c>
      <c r="L484" s="29"/>
      <c r="M484" s="29">
        <f>RawList!F454</f>
        <v>0</v>
      </c>
    </row>
    <row r="485" spans="2:13" hidden="1" x14ac:dyDescent="0.25">
      <c r="B485" s="29" t="str">
        <f>RawList!A455</f>
        <v>Low-Level Electronics</v>
      </c>
      <c r="C485" s="29" t="str">
        <f>RawList!B455</f>
        <v>Jumper Wires, JST-SH</v>
      </c>
      <c r="D485" s="29" t="str">
        <f>RawList!C455</f>
        <v>SparkFun</v>
      </c>
      <c r="E485" s="29" t="str">
        <f>RawList!H455</f>
        <v>JST SH Jumper 4 Wire Assembly - 8\"</v>
      </c>
      <c r="F485" s="29" t="str">
        <f>RawList!D455</f>
        <v>PRT-10359</v>
      </c>
      <c r="G485" s="101">
        <f>RawList!E455</f>
        <v>5</v>
      </c>
      <c r="H485" s="29" t="str">
        <f>IF(EquipmentTable[[#This Row],[Units]]&gt;0,"Quantity &gt; 0 Items","Quantity = 0 Items")</f>
        <v>Quantity &gt; 0 Items</v>
      </c>
      <c r="I485" s="102">
        <f>RawList!J455</f>
        <v>1.5</v>
      </c>
      <c r="J485" s="14">
        <f>VALUE(EquipmentTable[[#This Row],[Units]]*EquipmentTable[[#This Row],[Unit
 Price]])</f>
        <v>7.5</v>
      </c>
      <c r="K485" s="29" t="str">
        <f>RawList!G455</f>
        <v>https://cdn.sparkfun.com/r/92-92/assets/parts/4/8/1/1/10359-01.jpg</v>
      </c>
      <c r="L485" s="29"/>
      <c r="M485" s="29" t="str">
        <f>RawList!F455</f>
        <v>https://www.sparkfun.com/products/10359</v>
      </c>
    </row>
    <row r="486" spans="2:13" hidden="1" x14ac:dyDescent="0.25">
      <c r="B486" s="29" t="str">
        <f>RawList!A456</f>
        <v>Low-Level Electronics</v>
      </c>
      <c r="C486" s="29" t="str">
        <f>RawList!B456</f>
        <v>Jumper Wires, JST-SH</v>
      </c>
      <c r="D486" s="29" t="str">
        <f>RawList!C456</f>
        <v>SparkFun</v>
      </c>
      <c r="E486" s="29" t="str">
        <f>RawList!H456</f>
        <v>JST SH Jumper 6 Wire  - 1.75\"</v>
      </c>
      <c r="F486" s="29" t="str">
        <f>RawList!D456</f>
        <v>GPS-00574</v>
      </c>
      <c r="G486" s="101">
        <f>RawList!E456</f>
        <v>0</v>
      </c>
      <c r="H486" s="29" t="str">
        <f>IF(EquipmentTable[[#This Row],[Units]]&gt;0,"Quantity &gt; 0 Items","Quantity = 0 Items")</f>
        <v>Quantity = 0 Items</v>
      </c>
      <c r="I486" s="102">
        <f>RawList!J456</f>
        <v>2.95</v>
      </c>
      <c r="J486" s="14">
        <f>VALUE(EquipmentTable[[#This Row],[Units]]*EquipmentTable[[#This Row],[Unit
 Price]])</f>
        <v>0</v>
      </c>
      <c r="K486" s="29" t="str">
        <f>RawList!G456</f>
        <v>https://cdn.sparkfun.com/r/92-92/assets/parts/3/9/3/GPS-Cable.jpg</v>
      </c>
      <c r="L486" s="29"/>
      <c r="M486" s="29" t="str">
        <f>RawList!F456</f>
        <v>https://www.sparkfun.com/products/574</v>
      </c>
    </row>
    <row r="487" spans="2:13" hidden="1" x14ac:dyDescent="0.25">
      <c r="B487" s="29" t="str">
        <f>RawList!A457</f>
        <v>Low-Level Electronics</v>
      </c>
      <c r="C487" s="29" t="str">
        <f>RawList!B457</f>
        <v>Jumper Wires, JST-SH</v>
      </c>
      <c r="D487" s="29" t="str">
        <f>RawList!C457</f>
        <v>SparkFun</v>
      </c>
      <c r="E487" s="29" t="str">
        <f>RawList!H457</f>
        <v>JST SH Jumper 6 Wire Assembly - 8\"</v>
      </c>
      <c r="F487" s="29" t="str">
        <f>RawList!D457</f>
        <v>PRT-10361</v>
      </c>
      <c r="G487" s="101">
        <f>RawList!E457</f>
        <v>0</v>
      </c>
      <c r="H487" s="29" t="str">
        <f>IF(EquipmentTable[[#This Row],[Units]]&gt;0,"Quantity &gt; 0 Items","Quantity = 0 Items")</f>
        <v>Quantity = 0 Items</v>
      </c>
      <c r="I487" s="102">
        <f>RawList!J457</f>
        <v>1.5</v>
      </c>
      <c r="J487" s="14">
        <f>VALUE(EquipmentTable[[#This Row],[Units]]*EquipmentTable[[#This Row],[Unit
 Price]])</f>
        <v>0</v>
      </c>
      <c r="K487" s="29" t="str">
        <f>RawList!G457</f>
        <v>https://cdn.sparkfun.com/r/92-92/assets/parts/4/8/1/3/10361-01.jpg</v>
      </c>
      <c r="L487" s="29"/>
      <c r="M487" s="29" t="str">
        <f>RawList!F457</f>
        <v>https://www.sparkfun.com/products/10361</v>
      </c>
    </row>
    <row r="488" spans="2:13" hidden="1" x14ac:dyDescent="0.25">
      <c r="B488" s="29" t="str">
        <f>RawList!A458</f>
        <v>Low-Level Electronics</v>
      </c>
      <c r="C488" s="29" t="str">
        <f>RawList!B458</f>
        <v>Jumper Wires, JST-SH</v>
      </c>
      <c r="D488" s="29" t="str">
        <f>RawList!C458</f>
        <v>SparkFun</v>
      </c>
      <c r="E488" s="29" t="str">
        <f>RawList!H458</f>
        <v>JST SH Jumper 6 Wire  - 1 Foot</v>
      </c>
      <c r="F488" s="29" t="str">
        <f>RawList!D458</f>
        <v>GPS-09123</v>
      </c>
      <c r="G488" s="101">
        <f>RawList!E458</f>
        <v>0</v>
      </c>
      <c r="H488" s="29" t="str">
        <f>IF(EquipmentTable[[#This Row],[Units]]&gt;0,"Quantity &gt; 0 Items","Quantity = 0 Items")</f>
        <v>Quantity = 0 Items</v>
      </c>
      <c r="I488" s="102">
        <f>RawList!J458</f>
        <v>2.95</v>
      </c>
      <c r="J488" s="14">
        <f>VALUE(EquipmentTable[[#This Row],[Units]]*EquipmentTable[[#This Row],[Unit
 Price]])</f>
        <v>0</v>
      </c>
      <c r="K488" s="29" t="str">
        <f>RawList!G458</f>
        <v>https://cdn.sparkfun.com/r/92-92/assets/parts/2/5/3/7/09123-03-L.jpg</v>
      </c>
      <c r="L488" s="29"/>
      <c r="M488" s="29" t="str">
        <f>RawList!F458</f>
        <v>https://www.sparkfun.com/products/9123</v>
      </c>
    </row>
    <row r="489" spans="2:13" hidden="1" x14ac:dyDescent="0.25">
      <c r="B489" s="29" t="str">
        <f>RawList!A459</f>
        <v>Low-Level Electronics</v>
      </c>
      <c r="C489" s="29" t="str">
        <f>RawList!B459</f>
        <v>Jumper Wires, JST-SH</v>
      </c>
      <c r="D489" s="29" t="str">
        <f>RawList!C459</f>
        <v>SparkFun</v>
      </c>
      <c r="E489" s="29" t="str">
        <f>RawList!H459</f>
        <v>Mega Pro Mini Cable - 8\" (8-wire)</v>
      </c>
      <c r="F489" s="29" t="str">
        <f>RawList!D459</f>
        <v>PRT-10853</v>
      </c>
      <c r="G489" s="101">
        <f>RawList!E459</f>
        <v>0</v>
      </c>
      <c r="H489" s="29" t="str">
        <f>IF(EquipmentTable[[#This Row],[Units]]&gt;0,"Quantity &gt; 0 Items","Quantity = 0 Items")</f>
        <v>Quantity = 0 Items</v>
      </c>
      <c r="I489" s="102">
        <f>RawList!J459</f>
        <v>0.95</v>
      </c>
      <c r="J489" s="14">
        <f>VALUE(EquipmentTable[[#This Row],[Units]]*EquipmentTable[[#This Row],[Unit
 Price]])</f>
        <v>0</v>
      </c>
      <c r="K489" s="29" t="str">
        <f>RawList!G459</f>
        <v>https://cdn.sparkfun.com/r/92-92/assets/parts/5/8/6/5/10853-01b.jpg</v>
      </c>
      <c r="L489" s="29"/>
      <c r="M489" s="29" t="str">
        <f>RawList!F459</f>
        <v>https://www.sparkfun.com/products/10853</v>
      </c>
    </row>
    <row r="490" spans="2:13" hidden="1" x14ac:dyDescent="0.25">
      <c r="B490" s="29" t="str">
        <f>RawList!A460</f>
        <v>Low-Level Electronics</v>
      </c>
      <c r="C490" s="29" t="str">
        <f>RawList!B460</f>
        <v>Jumper Wires, JST-SM</v>
      </c>
      <c r="D490" s="29" t="str">
        <f>RawList!C460</f>
        <v>Adafruit</v>
      </c>
      <c r="E490" s="29" t="str">
        <f>RawList!H460</f>
        <v xml:space="preserve">4-pin JST SM Plug + Receptacle Cable Set </v>
      </c>
      <c r="F490" s="29" t="str">
        <f>RawList!D460</f>
        <v>578</v>
      </c>
      <c r="G490" s="101">
        <f>RawList!E460</f>
        <v>0</v>
      </c>
      <c r="H490" s="29" t="str">
        <f>IF(EquipmentTable[[#This Row],[Units]]&gt;0,"Quantity &gt; 0 Items","Quantity = 0 Items")</f>
        <v>Quantity = 0 Items</v>
      </c>
      <c r="I490" s="102">
        <f>RawList!J460</f>
        <v>1.5</v>
      </c>
      <c r="J490" s="14">
        <f>VALUE(EquipmentTable[[#This Row],[Units]]*EquipmentTable[[#This Row],[Unit
 Price]])</f>
        <v>0</v>
      </c>
      <c r="K490" s="29">
        <f>RawList!G460</f>
        <v>0</v>
      </c>
      <c r="L490" s="29"/>
      <c r="M490" s="29">
        <f>RawList!F460</f>
        <v>0</v>
      </c>
    </row>
    <row r="491" spans="2:13" x14ac:dyDescent="0.25">
      <c r="B491" s="29" t="str">
        <f>RawList!A461</f>
        <v>Low-Level Electronics</v>
      </c>
      <c r="C491" s="29" t="str">
        <f>RawList!B461</f>
        <v>Jumper Wires, Mixed</v>
      </c>
      <c r="D491" s="29" t="str">
        <f>RawList!C461</f>
        <v>SparkFun</v>
      </c>
      <c r="E491" s="29" t="str">
        <f>RawList!H461</f>
        <v>JST to Breadboard Jumper (3-pin)</v>
      </c>
      <c r="F491" s="29" t="str">
        <f>RawList!D461</f>
        <v>CAB-13685</v>
      </c>
      <c r="G491" s="101">
        <f>RawList!E461</f>
        <v>6</v>
      </c>
      <c r="H491" s="29" t="str">
        <f>IF(EquipmentTable[[#This Row],[Units]]&gt;0,"Quantity &gt; 0 Items","Quantity = 0 Items")</f>
        <v>Quantity &gt; 0 Items</v>
      </c>
      <c r="I491" s="102">
        <f>RawList!J461</f>
        <v>1.5</v>
      </c>
      <c r="J491" s="14">
        <f>VALUE(EquipmentTable[[#This Row],[Units]]*EquipmentTable[[#This Row],[Unit
 Price]])</f>
        <v>9</v>
      </c>
      <c r="K491" s="29" t="str">
        <f>RawList!G461</f>
        <v>https://cdn.sparkfun.com/r/92-92/assets/parts/1/1/1/4/7/13685-01.jpg</v>
      </c>
      <c r="L491" s="29"/>
      <c r="M491" s="29" t="str">
        <f>RawList!F461</f>
        <v>https://www.sparkfun.com/products/13685</v>
      </c>
    </row>
    <row r="492" spans="2:13" x14ac:dyDescent="0.25">
      <c r="B492" s="29" t="str">
        <f>RawList!A462</f>
        <v>Low-Level Electronics</v>
      </c>
      <c r="C492" s="29" t="str">
        <f>RawList!B462</f>
        <v>Jumper Wires, Mixed</v>
      </c>
      <c r="D492" s="29" t="str">
        <f>RawList!C462</f>
        <v>SparkFun</v>
      </c>
      <c r="E492" s="29" t="str">
        <f>RawList!H462</f>
        <v>Jumper Wire - JST to Female Connector</v>
      </c>
      <c r="F492" s="29" t="str">
        <f>RawList!D462</f>
        <v>PRT-08599</v>
      </c>
      <c r="G492" s="101">
        <f>RawList!E462</f>
        <v>0</v>
      </c>
      <c r="H492" s="29" t="str">
        <f>IF(EquipmentTable[[#This Row],[Units]]&gt;0,"Quantity &gt; 0 Items","Quantity = 0 Items")</f>
        <v>Quantity = 0 Items</v>
      </c>
      <c r="I492" s="102">
        <f>RawList!J462</f>
        <v>1.5</v>
      </c>
      <c r="J492" s="14">
        <f>VALUE(EquipmentTable[[#This Row],[Units]]*EquipmentTable[[#This Row],[Unit
 Price]])</f>
        <v>0</v>
      </c>
      <c r="K492" s="29" t="str">
        <f>RawList!G462</f>
        <v>https://cdn.sparkfun.com/r/92-92/assets/parts/1/6/4/1/08599-03-L.jpg</v>
      </c>
      <c r="L492" s="29"/>
      <c r="M492" s="29" t="str">
        <f>RawList!F462</f>
        <v>https://www.sparkfun.com/products/8599</v>
      </c>
    </row>
    <row r="493" spans="2:13" x14ac:dyDescent="0.25">
      <c r="B493" s="29" t="str">
        <f>RawList!A463</f>
        <v>Low-Level Electronics</v>
      </c>
      <c r="C493" s="29" t="str">
        <f>RawList!B463</f>
        <v>Jumper Wires, Mixed</v>
      </c>
      <c r="D493" s="29" t="str">
        <f>RawList!C463</f>
        <v>SparkFun</v>
      </c>
      <c r="E493" s="29" t="str">
        <f>RawList!H463</f>
        <v>Jumper Wire - JST to Molex</v>
      </c>
      <c r="F493" s="29" t="str">
        <f>RawList!D463</f>
        <v>PRT-08598</v>
      </c>
      <c r="G493" s="101">
        <f>RawList!E463</f>
        <v>0</v>
      </c>
      <c r="H493" s="29" t="str">
        <f>IF(EquipmentTable[[#This Row],[Units]]&gt;0,"Quantity &gt; 0 Items","Quantity = 0 Items")</f>
        <v>Quantity = 0 Items</v>
      </c>
      <c r="I493" s="102">
        <f>RawList!J463</f>
        <v>1.5</v>
      </c>
      <c r="J493" s="14">
        <f>VALUE(EquipmentTable[[#This Row],[Units]]*EquipmentTable[[#This Row],[Unit
 Price]])</f>
        <v>0</v>
      </c>
      <c r="K493" s="29" t="str">
        <f>RawList!G463</f>
        <v>https://cdn.sparkfun.com/r/92-92/assets/parts/1/6/3/9/08598-03-L.jpg</v>
      </c>
      <c r="L493" s="29"/>
      <c r="M493" s="29" t="str">
        <f>RawList!F463</f>
        <v>https://www.sparkfun.com/products/8598</v>
      </c>
    </row>
    <row r="494" spans="2:13" x14ac:dyDescent="0.25">
      <c r="B494" s="29" t="str">
        <f>RawList!A464</f>
        <v>Low-Level Electronics</v>
      </c>
      <c r="C494" s="29" t="str">
        <f>RawList!B464</f>
        <v>Jumper Wires, Mixed</v>
      </c>
      <c r="D494" s="29" t="str">
        <f>RawList!C464</f>
        <v>Adafruit</v>
      </c>
      <c r="E494" s="29" t="str">
        <f>RawList!H464</f>
        <v>4-pin AT/ATX/IDE power cable</v>
      </c>
      <c r="F494" s="29" t="str">
        <f>RawList!D464</f>
        <v>425</v>
      </c>
      <c r="G494" s="101">
        <f>RawList!E464</f>
        <v>0</v>
      </c>
      <c r="H494" s="29" t="str">
        <f>IF(EquipmentTable[[#This Row],[Units]]&gt;0,"Quantity &gt; 0 Items","Quantity = 0 Items")</f>
        <v>Quantity = 0 Items</v>
      </c>
      <c r="I494" s="102">
        <f>RawList!J464</f>
        <v>1.95</v>
      </c>
      <c r="J494" s="14">
        <f>VALUE(EquipmentTable[[#This Row],[Units]]*EquipmentTable[[#This Row],[Unit
 Price]])</f>
        <v>0</v>
      </c>
      <c r="K494" s="29">
        <f>RawList!G464</f>
        <v>0</v>
      </c>
      <c r="L494" s="29"/>
      <c r="M494" s="29">
        <f>RawList!F464</f>
        <v>0</v>
      </c>
    </row>
    <row r="495" spans="2:13" hidden="1" x14ac:dyDescent="0.25">
      <c r="B495" s="29" t="str">
        <f>RawList!A465</f>
        <v>Low-Level Electronics</v>
      </c>
      <c r="C495" s="29" t="str">
        <f>RawList!B465</f>
        <v>Jumper Wires, JST-SM</v>
      </c>
      <c r="D495" s="29" t="str">
        <f>RawList!C465</f>
        <v>Adafruit</v>
      </c>
      <c r="E495" s="29" t="str">
        <f>RawList!H465</f>
        <v>2-pin JST SM Plug + Receptacle Cable Set</v>
      </c>
      <c r="F495" s="29" t="str">
        <f>RawList!D465</f>
        <v>2880</v>
      </c>
      <c r="G495" s="101">
        <f>RawList!E465</f>
        <v>0</v>
      </c>
      <c r="H495" s="29" t="str">
        <f>IF(EquipmentTable[[#This Row],[Units]]&gt;0,"Quantity &gt; 0 Items","Quantity = 0 Items")</f>
        <v>Quantity = 0 Items</v>
      </c>
      <c r="I495" s="102">
        <f>RawList!J465</f>
        <v>0.75</v>
      </c>
      <c r="J495" s="14">
        <f>VALUE(EquipmentTable[[#This Row],[Units]]*EquipmentTable[[#This Row],[Unit
 Price]])</f>
        <v>0</v>
      </c>
      <c r="K495" s="29">
        <f>RawList!G465</f>
        <v>0</v>
      </c>
      <c r="L495" s="29"/>
      <c r="M495" s="29">
        <f>RawList!F465</f>
        <v>0</v>
      </c>
    </row>
    <row r="496" spans="2:13" x14ac:dyDescent="0.25">
      <c r="B496" s="29" t="str">
        <f>RawList!A466</f>
        <v>Low-Level Electronics</v>
      </c>
      <c r="C496" s="29" t="str">
        <f>RawList!B466</f>
        <v>Jumper Wires, JST-PH</v>
      </c>
      <c r="D496" s="29" t="str">
        <f>RawList!C466</f>
        <v>Adafruit</v>
      </c>
      <c r="E496" s="29" t="str">
        <f>RawList!H466</f>
        <v>JST 2-pin cable</v>
      </c>
      <c r="F496" s="29" t="str">
        <f>RawList!D466</f>
        <v>261</v>
      </c>
      <c r="G496" s="101">
        <f>RawList!E466</f>
        <v>0</v>
      </c>
      <c r="H496" s="29" t="str">
        <f>IF(EquipmentTable[[#This Row],[Units]]&gt;0,"Quantity &gt; 0 Items","Quantity = 0 Items")</f>
        <v>Quantity = 0 Items</v>
      </c>
      <c r="I496" s="102">
        <f>RawList!J466</f>
        <v>0.75</v>
      </c>
      <c r="J496" s="14">
        <f>VALUE(EquipmentTable[[#This Row],[Units]]*EquipmentTable[[#This Row],[Unit
 Price]])</f>
        <v>0</v>
      </c>
      <c r="K496" s="29">
        <f>RawList!G466</f>
        <v>0</v>
      </c>
      <c r="L496" s="29"/>
      <c r="M496" s="29">
        <f>RawList!F466</f>
        <v>0</v>
      </c>
    </row>
    <row r="497" spans="2:13" x14ac:dyDescent="0.25">
      <c r="B497" s="29" t="str">
        <f>RawList!A467</f>
        <v>Low-Level Electronics</v>
      </c>
      <c r="C497" s="29" t="str">
        <f>RawList!B467</f>
        <v>Jumper Wires, JST-PH</v>
      </c>
      <c r="D497" s="29" t="str">
        <f>RawList!C467</f>
        <v>Adafruit</v>
      </c>
      <c r="E497" s="29" t="str">
        <f>RawList!H467</f>
        <v>JST-PH 2-Pin SMT Right Angle Connector</v>
      </c>
      <c r="F497" s="29" t="str">
        <f>RawList!D467</f>
        <v>1769</v>
      </c>
      <c r="G497" s="101">
        <f>RawList!E467</f>
        <v>0</v>
      </c>
      <c r="H497" s="29" t="str">
        <f>IF(EquipmentTable[[#This Row],[Units]]&gt;0,"Quantity &gt; 0 Items","Quantity = 0 Items")</f>
        <v>Quantity = 0 Items</v>
      </c>
      <c r="I497" s="102">
        <f>RawList!J467</f>
        <v>0.75</v>
      </c>
      <c r="J497" s="14">
        <f>VALUE(EquipmentTable[[#This Row],[Units]]*EquipmentTable[[#This Row],[Unit
 Price]])</f>
        <v>0</v>
      </c>
      <c r="K497" s="29">
        <f>RawList!G467</f>
        <v>0</v>
      </c>
      <c r="L497" s="29"/>
      <c r="M497" s="29">
        <f>RawList!F467</f>
        <v>0</v>
      </c>
    </row>
    <row r="498" spans="2:13" x14ac:dyDescent="0.25">
      <c r="B498" s="29" t="str">
        <f>RawList!A468</f>
        <v>Low-Level Electronics</v>
      </c>
      <c r="C498" s="29" t="str">
        <f>RawList!B468</f>
        <v>Jumper Wires, Molex</v>
      </c>
      <c r="D498" s="29" t="str">
        <f>RawList!C468</f>
        <v>SparkFun</v>
      </c>
      <c r="E498" s="29" t="str">
        <f>RawList!H468</f>
        <v>Molex Jumper 2 Wire Assembly</v>
      </c>
      <c r="F498" s="29" t="str">
        <f>RawList!D468</f>
        <v>PRT-09918</v>
      </c>
      <c r="G498" s="101">
        <f>RawList!E468</f>
        <v>10</v>
      </c>
      <c r="H498" s="29" t="str">
        <f>IF(EquipmentTable[[#This Row],[Units]]&gt;0,"Quantity &gt; 0 Items","Quantity = 0 Items")</f>
        <v>Quantity &gt; 0 Items</v>
      </c>
      <c r="I498" s="102">
        <f>RawList!J468</f>
        <v>0.95</v>
      </c>
      <c r="J498" s="14">
        <f>VALUE(EquipmentTable[[#This Row],[Units]]*EquipmentTable[[#This Row],[Unit
 Price]])</f>
        <v>9.5</v>
      </c>
      <c r="K498" s="29" t="str">
        <f>RawList!G468</f>
        <v>https://cdn.sparkfun.com/r/92-92/assets/parts/4/0/2/4/09918-01.jpg</v>
      </c>
      <c r="L498" s="29"/>
      <c r="M498" s="29" t="str">
        <f>RawList!F468</f>
        <v>https://www.sparkfun.com/products/9918</v>
      </c>
    </row>
    <row r="499" spans="2:13" x14ac:dyDescent="0.25">
      <c r="B499" s="29" t="str">
        <f>RawList!A469</f>
        <v>Low-Level Electronics</v>
      </c>
      <c r="C499" s="29" t="str">
        <f>RawList!B469</f>
        <v>Jumper Wires, Molex</v>
      </c>
      <c r="D499" s="29" t="str">
        <f>RawList!C469</f>
        <v>SparkFun</v>
      </c>
      <c r="E499" s="29" t="str">
        <f>RawList!H469</f>
        <v>Molex Jumper 6 Wire Assembly</v>
      </c>
      <c r="F499" s="29" t="str">
        <f>RawList!D469</f>
        <v>PRT-09922</v>
      </c>
      <c r="G499" s="101">
        <f>RawList!E469</f>
        <v>10</v>
      </c>
      <c r="H499" s="29" t="str">
        <f>IF(EquipmentTable[[#This Row],[Units]]&gt;0,"Quantity &gt; 0 Items","Quantity = 0 Items")</f>
        <v>Quantity &gt; 0 Items</v>
      </c>
      <c r="I499" s="102">
        <f>RawList!J469</f>
        <v>1.95</v>
      </c>
      <c r="J499" s="14">
        <f>VALUE(EquipmentTable[[#This Row],[Units]]*EquipmentTable[[#This Row],[Unit
 Price]])</f>
        <v>19.5</v>
      </c>
      <c r="K499" s="29" t="str">
        <f>RawList!G469</f>
        <v>https://cdn.sparkfun.com/r/92-92/assets/parts/4/0/2/8/09922-01.jpg</v>
      </c>
      <c r="L499" s="29"/>
      <c r="M499" s="29" t="str">
        <f>RawList!F469</f>
        <v>https://www.sparkfun.com/products/9922</v>
      </c>
    </row>
    <row r="500" spans="2:13" x14ac:dyDescent="0.25">
      <c r="B500" s="29" t="str">
        <f>RawList!A470</f>
        <v>Low-Level Electronics</v>
      </c>
      <c r="C500" s="29" t="str">
        <f>RawList!B470</f>
        <v>Jumper Wires, PTH</v>
      </c>
      <c r="D500" s="29" t="str">
        <f>RawList!C470</f>
        <v>SparkFun</v>
      </c>
      <c r="E500" s="29" t="str">
        <f>RawList!H470</f>
        <v>Jumper Wire - Female to Female Connector</v>
      </c>
      <c r="F500" s="29" t="str">
        <f>RawList!D470</f>
        <v>PRT-08614</v>
      </c>
      <c r="G500" s="101">
        <f>RawList!E470</f>
        <v>0</v>
      </c>
      <c r="H500" s="29" t="str">
        <f>IF(EquipmentTable[[#This Row],[Units]]&gt;0,"Quantity &gt; 0 Items","Quantity = 0 Items")</f>
        <v>Quantity = 0 Items</v>
      </c>
      <c r="I500" s="102">
        <f>RawList!J470</f>
        <v>1.5</v>
      </c>
      <c r="J500" s="14">
        <f>VALUE(EquipmentTable[[#This Row],[Units]]*EquipmentTable[[#This Row],[Unit
 Price]])</f>
        <v>0</v>
      </c>
      <c r="K500" s="29" t="str">
        <f>RawList!G470</f>
        <v>https://cdn.sparkfun.com/r/92-92/assets/parts/1/6/9/8/08614-03-L.jpg</v>
      </c>
      <c r="L500" s="29"/>
      <c r="M500" s="29" t="str">
        <f>RawList!F470</f>
        <v>https://www.sparkfun.com/products/8614</v>
      </c>
    </row>
    <row r="501" spans="2:13" x14ac:dyDescent="0.25">
      <c r="B501" s="29" t="str">
        <f>RawList!A471</f>
        <v>Low-Level Electronics</v>
      </c>
      <c r="C501" s="29" t="str">
        <f>RawList!B471</f>
        <v>Jumper Wires, PTH</v>
      </c>
      <c r="D501" s="29" t="str">
        <f>RawList!C471</f>
        <v>SparkFun</v>
      </c>
      <c r="E501" s="29" t="str">
        <f>RawList!H471</f>
        <v>Jumper Wire - PTH Black White</v>
      </c>
      <c r="F501" s="29" t="str">
        <f>RawList!D471</f>
        <v>PRT-08672</v>
      </c>
      <c r="G501" s="101">
        <f>RawList!E471</f>
        <v>0</v>
      </c>
      <c r="H501" s="29" t="str">
        <f>IF(EquipmentTable[[#This Row],[Units]]&gt;0,"Quantity &gt; 0 Items","Quantity = 0 Items")</f>
        <v>Quantity = 0 Items</v>
      </c>
      <c r="I501" s="102">
        <f>RawList!J471</f>
        <v>0.95</v>
      </c>
      <c r="J501" s="14">
        <f>VALUE(EquipmentTable[[#This Row],[Units]]*EquipmentTable[[#This Row],[Unit
 Price]])</f>
        <v>0</v>
      </c>
      <c r="K501" s="29" t="str">
        <f>RawList!G471</f>
        <v>https://cdn.sparkfun.com/r/92-92/assets/parts/1/8/2/8/08672-03-L.jpg</v>
      </c>
      <c r="L501" s="29"/>
      <c r="M501" s="29" t="str">
        <f>RawList!F471</f>
        <v>https://www.sparkfun.com/products/8672</v>
      </c>
    </row>
    <row r="502" spans="2:13" x14ac:dyDescent="0.25">
      <c r="B502" s="29" t="str">
        <f>RawList!A472</f>
        <v>Low-Level Electronics</v>
      </c>
      <c r="C502" s="29" t="str">
        <f>RawList!B472</f>
        <v>Jumper Wires, PTH</v>
      </c>
      <c r="D502" s="29" t="str">
        <f>RawList!C472</f>
        <v>SparkFun</v>
      </c>
      <c r="E502" s="29" t="str">
        <f>RawList!H472</f>
        <v>Jumper Wire - 0.1\", 2-pin, 6\"</v>
      </c>
      <c r="F502" s="29" t="str">
        <f>RawList!D472</f>
        <v>PRT-10367</v>
      </c>
      <c r="G502" s="101">
        <f>RawList!E472</f>
        <v>0</v>
      </c>
      <c r="H502" s="29" t="str">
        <f>IF(EquipmentTable[[#This Row],[Units]]&gt;0,"Quantity &gt; 0 Items","Quantity = 0 Items")</f>
        <v>Quantity = 0 Items</v>
      </c>
      <c r="I502" s="102">
        <f>RawList!J472</f>
        <v>1.5</v>
      </c>
      <c r="J502" s="14">
        <f>VALUE(EquipmentTable[[#This Row],[Units]]*EquipmentTable[[#This Row],[Unit
 Price]])</f>
        <v>0</v>
      </c>
      <c r="K502" s="29" t="str">
        <f>RawList!G472</f>
        <v>https://cdn.sparkfun.com/r/92-92/assets/parts/4/8/1/9/10367-01.jpg</v>
      </c>
      <c r="L502" s="29"/>
      <c r="M502" s="29" t="str">
        <f>RawList!F472</f>
        <v>https://www.sparkfun.com/products/10367</v>
      </c>
    </row>
    <row r="503" spans="2:13" x14ac:dyDescent="0.25">
      <c r="B503" s="29" t="str">
        <f>RawList!A473</f>
        <v>Low-Level Electronics</v>
      </c>
      <c r="C503" s="29" t="str">
        <f>RawList!B473</f>
        <v>Jumper Wires, PTH</v>
      </c>
      <c r="D503" s="29" t="str">
        <f>RawList!C473</f>
        <v>SparkFun</v>
      </c>
      <c r="E503" s="29" t="str">
        <f>RawList!H473</f>
        <v>Jumper Wire - 0.1\", 3-pin, 12\"</v>
      </c>
      <c r="F503" s="29" t="str">
        <f>RawList!D473</f>
        <v>PRT-10373</v>
      </c>
      <c r="G503" s="101">
        <f>RawList!E473</f>
        <v>0</v>
      </c>
      <c r="H503" s="29" t="str">
        <f>IF(EquipmentTable[[#This Row],[Units]]&gt;0,"Quantity &gt; 0 Items","Quantity = 0 Items")</f>
        <v>Quantity = 0 Items</v>
      </c>
      <c r="I503" s="102">
        <f>RawList!J473</f>
        <v>1.95</v>
      </c>
      <c r="J503" s="14">
        <f>VALUE(EquipmentTable[[#This Row],[Units]]*EquipmentTable[[#This Row],[Unit
 Price]])</f>
        <v>0</v>
      </c>
      <c r="K503" s="29" t="str">
        <f>RawList!G473</f>
        <v>https://cdn.sparkfun.com/r/92-92/assets/parts/4/8/2/5/10373-02.jpg</v>
      </c>
      <c r="L503" s="29"/>
      <c r="M503" s="29" t="str">
        <f>RawList!F473</f>
        <v>https://www.sparkfun.com/products/10373</v>
      </c>
    </row>
    <row r="504" spans="2:13" x14ac:dyDescent="0.25">
      <c r="B504" s="29" t="str">
        <f>RawList!A474</f>
        <v>Low-Level Electronics</v>
      </c>
      <c r="C504" s="29" t="str">
        <f>RawList!B474</f>
        <v>Jumper Wires, PTH</v>
      </c>
      <c r="D504" s="29" t="str">
        <f>RawList!C474</f>
        <v>SparkFun</v>
      </c>
      <c r="E504" s="29" t="str">
        <f>RawList!H474</f>
        <v>Jumper Wire - 0.1\", 3-pin, 6\" (Black, Red, White)</v>
      </c>
      <c r="F504" s="29" t="str">
        <f>RawList!D474</f>
        <v>PRT-13164</v>
      </c>
      <c r="G504" s="101">
        <f>RawList!E474</f>
        <v>0</v>
      </c>
      <c r="H504" s="29" t="str">
        <f>IF(EquipmentTable[[#This Row],[Units]]&gt;0,"Quantity &gt; 0 Items","Quantity = 0 Items")</f>
        <v>Quantity = 0 Items</v>
      </c>
      <c r="I504" s="102">
        <f>RawList!J474</f>
        <v>1.5</v>
      </c>
      <c r="J504" s="14">
        <f>VALUE(EquipmentTable[[#This Row],[Units]]*EquipmentTable[[#This Row],[Unit
 Price]])</f>
        <v>0</v>
      </c>
      <c r="K504" s="29" t="str">
        <f>RawList!G474</f>
        <v>https://cdn.sparkfun.com/r/92-92/assets/parts/1/0/2/8/5/13164-01.jpg</v>
      </c>
      <c r="L504" s="29"/>
      <c r="M504" s="29" t="str">
        <f>RawList!F474</f>
        <v>https://www.sparkfun.com/products/13164</v>
      </c>
    </row>
    <row r="505" spans="2:13" x14ac:dyDescent="0.25">
      <c r="B505" s="29" t="str">
        <f>RawList!A475</f>
        <v>Low-Level Electronics</v>
      </c>
      <c r="C505" s="29" t="str">
        <f>RawList!B475</f>
        <v>Jumper Wires, PTH</v>
      </c>
      <c r="D505" s="29" t="str">
        <f>RawList!C475</f>
        <v>SparkFun</v>
      </c>
      <c r="E505" s="29" t="str">
        <f>RawList!H475</f>
        <v>Jumper Wire - 0.1\", 4-pin, 6\"</v>
      </c>
      <c r="F505" s="29" t="str">
        <f>RawList!D475</f>
        <v>PRT-10369</v>
      </c>
      <c r="G505" s="101">
        <f>RawList!E475</f>
        <v>0</v>
      </c>
      <c r="H505" s="29" t="str">
        <f>IF(EquipmentTable[[#This Row],[Units]]&gt;0,"Quantity &gt; 0 Items","Quantity = 0 Items")</f>
        <v>Quantity = 0 Items</v>
      </c>
      <c r="I505" s="102">
        <f>RawList!J475</f>
        <v>1.5</v>
      </c>
      <c r="J505" s="14">
        <f>VALUE(EquipmentTable[[#This Row],[Units]]*EquipmentTable[[#This Row],[Unit
 Price]])</f>
        <v>0</v>
      </c>
      <c r="K505" s="29" t="str">
        <f>RawList!G475</f>
        <v>https://cdn.sparkfun.com/r/92-92/assets/parts/4/8/2/1/10369-01.jpg</v>
      </c>
      <c r="L505" s="29"/>
      <c r="M505" s="29" t="str">
        <f>RawList!F475</f>
        <v>https://www.sparkfun.com/products/10369</v>
      </c>
    </row>
    <row r="506" spans="2:13" x14ac:dyDescent="0.25">
      <c r="B506" s="29" t="str">
        <f>RawList!A476</f>
        <v>Low-Level Electronics</v>
      </c>
      <c r="C506" s="29" t="str">
        <f>RawList!B476</f>
        <v>Jumper Wires, PTH</v>
      </c>
      <c r="D506" s="29" t="str">
        <f>RawList!C476</f>
        <v>SparkFun</v>
      </c>
      <c r="E506" s="29" t="str">
        <f>RawList!H476</f>
        <v>Jumper Wire - 0.1\", 5-pin, 6\"</v>
      </c>
      <c r="F506" s="29" t="str">
        <f>RawList!D476</f>
        <v>PRT-10370</v>
      </c>
      <c r="G506" s="101">
        <f>RawList!E476</f>
        <v>0</v>
      </c>
      <c r="H506" s="29" t="str">
        <f>IF(EquipmentTable[[#This Row],[Units]]&gt;0,"Quantity &gt; 0 Items","Quantity = 0 Items")</f>
        <v>Quantity = 0 Items</v>
      </c>
      <c r="I506" s="102">
        <f>RawList!J476</f>
        <v>1.5</v>
      </c>
      <c r="J506" s="14">
        <f>VALUE(EquipmentTable[[#This Row],[Units]]*EquipmentTable[[#This Row],[Unit
 Price]])</f>
        <v>0</v>
      </c>
      <c r="K506" s="29" t="str">
        <f>RawList!G476</f>
        <v>https://cdn.sparkfun.com/r/92-92/assets/parts/4/8/2/2/10370-01.jpg</v>
      </c>
      <c r="L506" s="29"/>
      <c r="M506" s="29" t="str">
        <f>RawList!F476</f>
        <v>https://www.sparkfun.com/products/10370</v>
      </c>
    </row>
    <row r="507" spans="2:13" x14ac:dyDescent="0.25">
      <c r="B507" s="29" t="str">
        <f>RawList!A477</f>
        <v>Low-Level Electronics</v>
      </c>
      <c r="C507" s="29" t="str">
        <f>RawList!B477</f>
        <v>Jumper Wires, PTH</v>
      </c>
      <c r="D507" s="29" t="str">
        <f>RawList!C477</f>
        <v>SparkFun</v>
      </c>
      <c r="E507" s="29" t="str">
        <f>RawList!H477</f>
        <v>Jumper Wire - 0.1\", 6-pin, 12\"</v>
      </c>
      <c r="F507" s="29" t="str">
        <f>RawList!D477</f>
        <v>PRT-10376</v>
      </c>
      <c r="G507" s="101">
        <f>RawList!E477</f>
        <v>0</v>
      </c>
      <c r="H507" s="29" t="str">
        <f>IF(EquipmentTable[[#This Row],[Units]]&gt;0,"Quantity &gt; 0 Items","Quantity = 0 Items")</f>
        <v>Quantity = 0 Items</v>
      </c>
      <c r="I507" s="102">
        <f>RawList!J477</f>
        <v>1.95</v>
      </c>
      <c r="J507" s="14">
        <f>VALUE(EquipmentTable[[#This Row],[Units]]*EquipmentTable[[#This Row],[Unit
 Price]])</f>
        <v>0</v>
      </c>
      <c r="K507" s="29" t="str">
        <f>RawList!G477</f>
        <v>https://cdn.sparkfun.com/r/92-92/assets/parts/4/8/2/8/10376-01.jpg</v>
      </c>
      <c r="L507" s="29"/>
      <c r="M507" s="29" t="str">
        <f>RawList!F477</f>
        <v>https://www.sparkfun.com/products/10376</v>
      </c>
    </row>
    <row r="508" spans="2:13" x14ac:dyDescent="0.25">
      <c r="B508" s="29" t="str">
        <f>RawList!A478</f>
        <v>Low-Level Electronics</v>
      </c>
      <c r="C508" s="29" t="str">
        <f>RawList!B478</f>
        <v>Jumper Wires, PTH</v>
      </c>
      <c r="D508" s="29" t="str">
        <f>RawList!C478</f>
        <v>SparkFun</v>
      </c>
      <c r="E508" s="29" t="str">
        <f>RawList!H478</f>
        <v>Jumper Wire - 0.1\", 6-pin, 6\"</v>
      </c>
      <c r="F508" s="29" t="str">
        <f>RawList!D478</f>
        <v>PRT-10371</v>
      </c>
      <c r="G508" s="101">
        <f>RawList!E478</f>
        <v>0</v>
      </c>
      <c r="H508" s="29" t="str">
        <f>IF(EquipmentTable[[#This Row],[Units]]&gt;0,"Quantity &gt; 0 Items","Quantity = 0 Items")</f>
        <v>Quantity = 0 Items</v>
      </c>
      <c r="I508" s="102">
        <f>RawList!J478</f>
        <v>1.5</v>
      </c>
      <c r="J508" s="14">
        <f>VALUE(EquipmentTable[[#This Row],[Units]]*EquipmentTable[[#This Row],[Unit
 Price]])</f>
        <v>0</v>
      </c>
      <c r="K508" s="29" t="str">
        <f>RawList!G478</f>
        <v>https://cdn.sparkfun.com/r/92-92/assets/parts/4/8/2/3/10371-01.jpg</v>
      </c>
      <c r="L508" s="29"/>
      <c r="M508" s="29" t="str">
        <f>RawList!F478</f>
        <v>https://www.sparkfun.com/products/10371</v>
      </c>
    </row>
    <row r="509" spans="2:13" x14ac:dyDescent="0.25">
      <c r="B509" s="29" t="str">
        <f>RawList!A479</f>
        <v>Low-Level Electronics</v>
      </c>
      <c r="C509" s="29" t="str">
        <f>RawList!B479</f>
        <v>Jumper Wires, PTH</v>
      </c>
      <c r="D509" s="29" t="str">
        <f>RawList!C479</f>
        <v>SparkFun</v>
      </c>
      <c r="E509" s="29" t="str">
        <f>RawList!H479</f>
        <v>Jumper Wires - Connected 6\" (F/F, 20 pack)</v>
      </c>
      <c r="F509" s="29" t="str">
        <f>RawList!D479</f>
        <v>PRT-12796</v>
      </c>
      <c r="G509" s="101">
        <f>RawList!E479</f>
        <v>0</v>
      </c>
      <c r="H509" s="29" t="str">
        <f>IF(EquipmentTable[[#This Row],[Units]]&gt;0,"Quantity &gt; 0 Items","Quantity = 0 Items")</f>
        <v>Quantity = 0 Items</v>
      </c>
      <c r="I509" s="102">
        <f>RawList!J479</f>
        <v>1.95</v>
      </c>
      <c r="J509" s="14">
        <f>VALUE(EquipmentTable[[#This Row],[Units]]*EquipmentTable[[#This Row],[Unit
 Price]])</f>
        <v>0</v>
      </c>
      <c r="K509" s="29" t="str">
        <f>RawList!G479</f>
        <v>https://cdn.sparkfun.com/r/92-92/assets/parts/9/6/1/4/12796-00.jpg</v>
      </c>
      <c r="L509" s="29"/>
      <c r="M509" s="29" t="str">
        <f>RawList!F479</f>
        <v>https://www.sparkfun.com/products/12796</v>
      </c>
    </row>
    <row r="510" spans="2:13" x14ac:dyDescent="0.25">
      <c r="B510" s="29" t="str">
        <f>RawList!A480</f>
        <v>Low-Level Electronics</v>
      </c>
      <c r="C510" s="29" t="str">
        <f>RawList!B480</f>
        <v>Jumper Wires, PTH</v>
      </c>
      <c r="D510" s="29" t="str">
        <f>RawList!C480</f>
        <v>SparkFun</v>
      </c>
      <c r="E510" s="29" t="str">
        <f>RawList!H480</f>
        <v>Jumper Wires Premium 6\" F/F - 20 AWG (10 Pack)</v>
      </c>
      <c r="F510" s="29" t="str">
        <f>RawList!D480</f>
        <v>PRT-11710</v>
      </c>
      <c r="G510" s="101">
        <f>RawList!E480</f>
        <v>0</v>
      </c>
      <c r="H510" s="29" t="str">
        <f>IF(EquipmentTable[[#This Row],[Units]]&gt;0,"Quantity &gt; 0 Items","Quantity = 0 Items")</f>
        <v>Quantity = 0 Items</v>
      </c>
      <c r="I510" s="102">
        <f>RawList!J480</f>
        <v>4.95</v>
      </c>
      <c r="J510" s="14">
        <f>VALUE(EquipmentTable[[#This Row],[Units]]*EquipmentTable[[#This Row],[Unit
 Price]])</f>
        <v>0</v>
      </c>
      <c r="K510" s="29" t="str">
        <f>RawList!G480</f>
        <v>https://cdn.sparkfun.com/r/92-92/assets/parts/7/8/9/3/11710-01.jpg</v>
      </c>
      <c r="L510" s="29"/>
      <c r="M510" s="29" t="str">
        <f>RawList!F480</f>
        <v>https://www.sparkfun.com/products/11710</v>
      </c>
    </row>
    <row r="511" spans="2:13" x14ac:dyDescent="0.25">
      <c r="B511" s="29" t="str">
        <f>RawList!A481</f>
        <v>Low-Level Electronics</v>
      </c>
      <c r="C511" s="29" t="str">
        <f>RawList!B481</f>
        <v>Jumper Wires, PTH</v>
      </c>
      <c r="D511" s="29" t="str">
        <f>RawList!C481</f>
        <v>SparkFun</v>
      </c>
      <c r="E511" s="29" t="str">
        <f>RawList!H481</f>
        <v>Jumper Wires Premium 12\" F/F Pack of 10</v>
      </c>
      <c r="F511" s="29" t="str">
        <f>RawList!D481</f>
        <v>PRT-09389</v>
      </c>
      <c r="G511" s="101">
        <f>RawList!E481</f>
        <v>0</v>
      </c>
      <c r="H511" s="29" t="str">
        <f>IF(EquipmentTable[[#This Row],[Units]]&gt;0,"Quantity &gt; 0 Items","Quantity = 0 Items")</f>
        <v>Quantity = 0 Items</v>
      </c>
      <c r="I511" s="102">
        <f>RawList!J481</f>
        <v>4.5</v>
      </c>
      <c r="J511" s="14">
        <f>VALUE(EquipmentTable[[#This Row],[Units]]*EquipmentTable[[#This Row],[Unit
 Price]])</f>
        <v>0</v>
      </c>
      <c r="K511" s="29" t="str">
        <f>RawList!G481</f>
        <v>https://cdn.sparkfun.com/r/92-92/assets/parts/2/9/9/1/09389-01.jpg</v>
      </c>
      <c r="L511" s="29"/>
      <c r="M511" s="29" t="str">
        <f>RawList!F481</f>
        <v>https://www.sparkfun.com/products/9389</v>
      </c>
    </row>
    <row r="512" spans="2:13" x14ac:dyDescent="0.25">
      <c r="B512" s="29" t="str">
        <f>RawList!A482</f>
        <v>Low-Level Electronics</v>
      </c>
      <c r="C512" s="29" t="str">
        <f>RawList!B482</f>
        <v>Jumper Wires, PTH</v>
      </c>
      <c r="D512" s="29" t="str">
        <f>RawList!C482</f>
        <v>SparkFun</v>
      </c>
      <c r="E512" s="29" t="str">
        <f>RawList!H482</f>
        <v>Jumper Wires Premium 6\" M/F Pack of 10</v>
      </c>
      <c r="F512" s="29" t="str">
        <f>RawList!D482</f>
        <v>PRT-09140</v>
      </c>
      <c r="G512" s="101">
        <f>RawList!E482</f>
        <v>0</v>
      </c>
      <c r="H512" s="29" t="str">
        <f>IF(EquipmentTable[[#This Row],[Units]]&gt;0,"Quantity &gt; 0 Items","Quantity = 0 Items")</f>
        <v>Quantity = 0 Items</v>
      </c>
      <c r="I512" s="102">
        <f>RawList!J482</f>
        <v>3.95</v>
      </c>
      <c r="J512" s="14">
        <f>VALUE(EquipmentTable[[#This Row],[Units]]*EquipmentTable[[#This Row],[Unit
 Price]])</f>
        <v>0</v>
      </c>
      <c r="K512" s="29" t="str">
        <f>RawList!G482</f>
        <v>https://cdn.sparkfun.com/r/92-92/assets/parts/2/5/5/7/09140-02-L.jpg</v>
      </c>
      <c r="L512" s="29"/>
      <c r="M512" s="29" t="str">
        <f>RawList!F482</f>
        <v>https://www.sparkfun.com/products/9140</v>
      </c>
    </row>
    <row r="513" spans="2:13" x14ac:dyDescent="0.25">
      <c r="B513" s="29" t="str">
        <f>RawList!A483</f>
        <v>Low-Level Electronics</v>
      </c>
      <c r="C513" s="29" t="str">
        <f>RawList!B483</f>
        <v>Jumper Wires, PTH</v>
      </c>
      <c r="D513" s="29" t="str">
        <f>RawList!C483</f>
        <v>SparkFun</v>
      </c>
      <c r="E513" s="29" t="str">
        <f>RawList!H483</f>
        <v>Jumper Wires Premium 12\" M/F Pack of 10</v>
      </c>
      <c r="F513" s="29" t="str">
        <f>RawList!D483</f>
        <v>PRT-09385</v>
      </c>
      <c r="G513" s="101">
        <f>RawList!E483</f>
        <v>0</v>
      </c>
      <c r="H513" s="29" t="str">
        <f>IF(EquipmentTable[[#This Row],[Units]]&gt;0,"Quantity &gt; 0 Items","Quantity = 0 Items")</f>
        <v>Quantity = 0 Items</v>
      </c>
      <c r="I513" s="102">
        <f>RawList!J483</f>
        <v>4.5</v>
      </c>
      <c r="J513" s="14">
        <f>VALUE(EquipmentTable[[#This Row],[Units]]*EquipmentTable[[#This Row],[Unit
 Price]])</f>
        <v>0</v>
      </c>
      <c r="K513" s="29" t="str">
        <f>RawList!G483</f>
        <v>https://cdn.sparkfun.com/r/92-92/assets/parts/2/9/8/7/09385-03.jpg</v>
      </c>
      <c r="L513" s="29"/>
      <c r="M513" s="29" t="str">
        <f>RawList!F483</f>
        <v>https://www.sparkfun.com/products/9385</v>
      </c>
    </row>
    <row r="514" spans="2:13" x14ac:dyDescent="0.25">
      <c r="B514" s="29" t="str">
        <f>RawList!A484</f>
        <v>Low-Level Electronics</v>
      </c>
      <c r="C514" s="29" t="str">
        <f>RawList!B484</f>
        <v>Jumper Wires, PTH</v>
      </c>
      <c r="D514" s="29" t="str">
        <f>RawList!C484</f>
        <v>SparkFun</v>
      </c>
      <c r="E514" s="29" t="str">
        <f>RawList!H484</f>
        <v>Jumper Wires Premium 4\" M/M - 26 AWG (30 Pack)</v>
      </c>
      <c r="F514" s="29" t="str">
        <f>RawList!D484</f>
        <v>PRT-14284</v>
      </c>
      <c r="G514" s="101">
        <f>RawList!E484</f>
        <v>0</v>
      </c>
      <c r="H514" s="29" t="str">
        <f>IF(EquipmentTable[[#This Row],[Units]]&gt;0,"Quantity &gt; 0 Items","Quantity = 0 Items")</f>
        <v>Quantity = 0 Items</v>
      </c>
      <c r="I514" s="102">
        <f>RawList!J484</f>
        <v>1.95</v>
      </c>
      <c r="J514" s="14">
        <f>VALUE(EquipmentTable[[#This Row],[Units]]*EquipmentTable[[#This Row],[Unit
 Price]])</f>
        <v>0</v>
      </c>
      <c r="K514" s="29" t="str">
        <f>RawList!G484</f>
        <v>https://cdn.sparkfun.com/r/92-92/assets/parts/1/2/2/4/2/13870-01.jpg</v>
      </c>
      <c r="L514" s="29"/>
      <c r="M514" s="29" t="str">
        <f>RawList!F484</f>
        <v>https://www.sparkfun.com/products/14284</v>
      </c>
    </row>
    <row r="515" spans="2:13" x14ac:dyDescent="0.25">
      <c r="B515" s="29" t="str">
        <f>RawList!A485</f>
        <v>Low-Level Electronics</v>
      </c>
      <c r="C515" s="29" t="str">
        <f>RawList!B485</f>
        <v>Jumper Wires, PTH</v>
      </c>
      <c r="D515" s="29" t="str">
        <f>RawList!C485</f>
        <v>SparkFun</v>
      </c>
      <c r="E515" s="29" t="str">
        <f>RawList!H485</f>
        <v>Jumper Wires Premium 6\" M/M - 20 AWG (10 Pack)</v>
      </c>
      <c r="F515" s="29" t="str">
        <f>RawList!D485</f>
        <v>PRT-11709</v>
      </c>
      <c r="G515" s="101">
        <f>RawList!E485</f>
        <v>0</v>
      </c>
      <c r="H515" s="29" t="str">
        <f>IF(EquipmentTable[[#This Row],[Units]]&gt;0,"Quantity &gt; 0 Items","Quantity = 0 Items")</f>
        <v>Quantity = 0 Items</v>
      </c>
      <c r="I515" s="102">
        <f>RawList!J485</f>
        <v>4.95</v>
      </c>
      <c r="J515" s="14">
        <f>VALUE(EquipmentTable[[#This Row],[Units]]*EquipmentTable[[#This Row],[Unit
 Price]])</f>
        <v>0</v>
      </c>
      <c r="K515" s="29" t="str">
        <f>RawList!G485</f>
        <v>https://cdn.sparkfun.com/r/92-92/assets/parts/7/8/9/3/11710-01.jpg</v>
      </c>
      <c r="L515" s="29"/>
      <c r="M515" s="29" t="str">
        <f>RawList!F485</f>
        <v>https://www.sparkfun.com/products/11710</v>
      </c>
    </row>
    <row r="516" spans="2:13" x14ac:dyDescent="0.25">
      <c r="B516" s="29" t="str">
        <f>RawList!A486</f>
        <v>Low-Level Electronics</v>
      </c>
      <c r="C516" s="29" t="str">
        <f>RawList!B486</f>
        <v>Jumper Wires, PTH</v>
      </c>
      <c r="D516" s="29" t="str">
        <f>RawList!C486</f>
        <v>SparkFun</v>
      </c>
      <c r="E516" s="29" t="str">
        <f>RawList!H486</f>
        <v>Jumper Wires Premium 6\" M/M Pack of 10</v>
      </c>
      <c r="F516" s="29" t="str">
        <f>RawList!D486</f>
        <v>PRT-08431</v>
      </c>
      <c r="G516" s="101">
        <f>RawList!E486</f>
        <v>0</v>
      </c>
      <c r="H516" s="29" t="str">
        <f>IF(EquipmentTable[[#This Row],[Units]]&gt;0,"Quantity &gt; 0 Items","Quantity = 0 Items")</f>
        <v>Quantity = 0 Items</v>
      </c>
      <c r="I516" s="102">
        <f>RawList!J486</f>
        <v>3.95</v>
      </c>
      <c r="J516" s="14">
        <f>VALUE(EquipmentTable[[#This Row],[Units]]*EquipmentTable[[#This Row],[Unit
 Price]])</f>
        <v>0</v>
      </c>
      <c r="K516" s="29" t="str">
        <f>RawList!G486</f>
        <v>https://cdn.sparkfun.com/r/92-92/assets/parts/1/1/8/1/JumperWire-Male-01-L.jpg</v>
      </c>
      <c r="L516" s="29"/>
      <c r="M516" s="29" t="str">
        <f>RawList!F486</f>
        <v>https://www.sparkfun.com/products/8431</v>
      </c>
    </row>
    <row r="517" spans="2:13" x14ac:dyDescent="0.25">
      <c r="B517" s="29" t="str">
        <f>RawList!A487</f>
        <v>Low-Level Electronics</v>
      </c>
      <c r="C517" s="29" t="str">
        <f>RawList!B487</f>
        <v>Jumper Wires, PTH</v>
      </c>
      <c r="D517" s="29" t="str">
        <f>RawList!C487</f>
        <v>SparkFun</v>
      </c>
      <c r="E517" s="29" t="str">
        <f>RawList!H487</f>
        <v>Jumper Wires Standard 7\" M/M - 30 AWG (30 Pack)</v>
      </c>
      <c r="F517" s="29" t="str">
        <f>RawList!D487</f>
        <v>PRT-11026</v>
      </c>
      <c r="G517" s="101">
        <f>RawList!E487</f>
        <v>0</v>
      </c>
      <c r="H517" s="29" t="str">
        <f>IF(EquipmentTable[[#This Row],[Units]]&gt;0,"Quantity &gt; 0 Items","Quantity = 0 Items")</f>
        <v>Quantity = 0 Items</v>
      </c>
      <c r="I517" s="102">
        <f>RawList!J487</f>
        <v>1.95</v>
      </c>
      <c r="J517" s="14">
        <f>VALUE(EquipmentTable[[#This Row],[Units]]*EquipmentTable[[#This Row],[Unit
 Price]])</f>
        <v>0</v>
      </c>
      <c r="K517" s="29" t="str">
        <f>RawList!G487</f>
        <v>https://cdn.sparkfun.com/r/92-92/assets/parts/3/7/0/4/11026-02.jpg</v>
      </c>
      <c r="L517" s="29"/>
      <c r="M517" s="29" t="str">
        <f>RawList!F487</f>
        <v>https://www.sparkfun.com/products/11026</v>
      </c>
    </row>
    <row r="518" spans="2:13" x14ac:dyDescent="0.25">
      <c r="B518" s="29" t="str">
        <f>RawList!A488</f>
        <v>Low-Level Electronics</v>
      </c>
      <c r="C518" s="29" t="str">
        <f>RawList!B488</f>
        <v>Passive Components</v>
      </c>
      <c r="D518" s="29" t="str">
        <f>RawList!C488</f>
        <v>SparkFun</v>
      </c>
      <c r="E518" s="29" t="str">
        <f>RawList!H488</f>
        <v>Resistor Kit - 1/4W (500 total)</v>
      </c>
      <c r="F518" s="29" t="str">
        <f>RawList!D488</f>
        <v>COM-10969</v>
      </c>
      <c r="G518" s="101">
        <f>RawList!E488</f>
        <v>1</v>
      </c>
      <c r="H518" s="29" t="str">
        <f>IF(EquipmentTable[[#This Row],[Units]]&gt;0,"Quantity &gt; 0 Items","Quantity = 0 Items")</f>
        <v>Quantity &gt; 0 Items</v>
      </c>
      <c r="I518" s="102">
        <f>RawList!J488</f>
        <v>7.95</v>
      </c>
      <c r="J518" s="14">
        <f>VALUE(EquipmentTable[[#This Row],[Units]]*EquipmentTable[[#This Row],[Unit
 Price]])</f>
        <v>7.95</v>
      </c>
      <c r="K518" s="29" t="str">
        <f>RawList!G488</f>
        <v>https://cdn.sparkfun.com/r/92-92/assets/parts/6/1/7/1/10969-01.jpg</v>
      </c>
      <c r="L518" s="29"/>
      <c r="M518" s="29" t="str">
        <f>RawList!F488</f>
        <v>https://www.sparkfun.com/products/10969</v>
      </c>
    </row>
    <row r="519" spans="2:13" x14ac:dyDescent="0.25">
      <c r="B519" s="29" t="str">
        <f>RawList!A489</f>
        <v>Low-Level Electronics</v>
      </c>
      <c r="C519" s="29" t="str">
        <f>RawList!B489</f>
        <v>Passive Components</v>
      </c>
      <c r="D519" s="29" t="str">
        <f>RawList!C489</f>
        <v>SparkFun</v>
      </c>
      <c r="E519" s="29" t="str">
        <f>RawList!H489</f>
        <v>Resistor Network - 10K Ohm (6-pin bussed)</v>
      </c>
      <c r="F519" s="29" t="str">
        <f>RawList!D489</f>
        <v>COM-10856</v>
      </c>
      <c r="G519" s="101">
        <f>RawList!E489</f>
        <v>5</v>
      </c>
      <c r="H519" s="29" t="str">
        <f>IF(EquipmentTable[[#This Row],[Units]]&gt;0,"Quantity &gt; 0 Items","Quantity = 0 Items")</f>
        <v>Quantity &gt; 0 Items</v>
      </c>
      <c r="I519" s="102">
        <f>RawList!J489</f>
        <v>0.5</v>
      </c>
      <c r="J519" s="14">
        <f>VALUE(EquipmentTable[[#This Row],[Units]]*EquipmentTable[[#This Row],[Unit
 Price]])</f>
        <v>2.5</v>
      </c>
      <c r="K519" s="29" t="str">
        <f>RawList!G489</f>
        <v>https://cdn.sparkfun.com/r/92-92/assets/parts/5/8/6/9/10856-01a.jpg</v>
      </c>
      <c r="L519" s="29"/>
      <c r="M519" s="29" t="str">
        <f>RawList!F489</f>
        <v>https://www.sparkfun.com/products/10856</v>
      </c>
    </row>
    <row r="520" spans="2:13" x14ac:dyDescent="0.25">
      <c r="B520" s="29" t="str">
        <f>RawList!A490</f>
        <v>Low-Level Electronics</v>
      </c>
      <c r="C520" s="29" t="str">
        <f>RawList!B490</f>
        <v>Passive Components</v>
      </c>
      <c r="D520" s="29" t="str">
        <f>RawList!C490</f>
        <v>SparkFun</v>
      </c>
      <c r="E520" s="29" t="str">
        <f>RawList!H490</f>
        <v>Resistor Network - 330 Ohm (6-pin bussed)</v>
      </c>
      <c r="F520" s="29" t="str">
        <f>RawList!D490</f>
        <v>COM-10855</v>
      </c>
      <c r="G520" s="101">
        <f>RawList!E490</f>
        <v>5</v>
      </c>
      <c r="H520" s="29" t="str">
        <f>IF(EquipmentTable[[#This Row],[Units]]&gt;0,"Quantity &gt; 0 Items","Quantity = 0 Items")</f>
        <v>Quantity &gt; 0 Items</v>
      </c>
      <c r="I520" s="102">
        <f>RawList!J490</f>
        <v>0.5</v>
      </c>
      <c r="J520" s="14">
        <f>VALUE(EquipmentTable[[#This Row],[Units]]*EquipmentTable[[#This Row],[Unit
 Price]])</f>
        <v>2.5</v>
      </c>
      <c r="K520" s="29" t="str">
        <f>RawList!G490</f>
        <v>https://cdn.sparkfun.com/r/92-92/assets/parts/5/8/6/8/10855-01d.jpg</v>
      </c>
      <c r="L520" s="29"/>
      <c r="M520" s="29" t="str">
        <f>RawList!F490</f>
        <v>https://www.sparkfun.com/products/10855</v>
      </c>
    </row>
    <row r="521" spans="2:13" x14ac:dyDescent="0.25">
      <c r="B521" s="29" t="str">
        <f>RawList!A491</f>
        <v>Low-Level Electronics</v>
      </c>
      <c r="C521" s="29" t="str">
        <f>RawList!B491</f>
        <v>Passive Components</v>
      </c>
      <c r="D521" s="29" t="str">
        <f>RawList!C491</f>
        <v>SparkFun</v>
      </c>
      <c r="E521" s="29" t="str">
        <f>RawList!H491</f>
        <v>Slide Potentiometer Knob</v>
      </c>
      <c r="F521" s="29" t="str">
        <f>RawList!D491</f>
        <v>COM-09120</v>
      </c>
      <c r="G521" s="101">
        <f>RawList!E491</f>
        <v>1</v>
      </c>
      <c r="H521" s="29" t="str">
        <f>IF(EquipmentTable[[#This Row],[Units]]&gt;0,"Quantity &gt; 0 Items","Quantity = 0 Items")</f>
        <v>Quantity &gt; 0 Items</v>
      </c>
      <c r="I521" s="102">
        <f>RawList!J491</f>
        <v>0.95</v>
      </c>
      <c r="J521" s="14">
        <f>VALUE(EquipmentTable[[#This Row],[Units]]*EquipmentTable[[#This Row],[Unit
 Price]])</f>
        <v>0.95</v>
      </c>
      <c r="K521" s="29" t="str">
        <f>RawList!G491</f>
        <v>https://cdn.sparkfun.com/r/92-92/assets/parts/2/5/2/5/09120-03-L.jpg</v>
      </c>
      <c r="L521" s="29"/>
      <c r="M521" s="29" t="str">
        <f>RawList!F491</f>
        <v>https://www.sparkfun.com/products/9120</v>
      </c>
    </row>
    <row r="522" spans="2:13" x14ac:dyDescent="0.25">
      <c r="B522" s="29" t="str">
        <f>RawList!A492</f>
        <v>Low-Level Electronics</v>
      </c>
      <c r="C522" s="29" t="str">
        <f>RawList!B492</f>
        <v>Passive Components</v>
      </c>
      <c r="D522" s="29" t="str">
        <f>RawList!C492</f>
        <v>SparkFun</v>
      </c>
      <c r="E522" s="29" t="str">
        <f>RawList!H492</f>
        <v>Slide Pot - Small (10k Linear Taper)</v>
      </c>
      <c r="F522" s="29" t="str">
        <f>RawList!D492</f>
        <v>COM-11620</v>
      </c>
      <c r="G522" s="101">
        <f>RawList!E492</f>
        <v>1</v>
      </c>
      <c r="H522" s="29" t="str">
        <f>IF(EquipmentTable[[#This Row],[Units]]&gt;0,"Quantity &gt; 0 Items","Quantity = 0 Items")</f>
        <v>Quantity &gt; 0 Items</v>
      </c>
      <c r="I522" s="102">
        <f>RawList!J492</f>
        <v>1.95</v>
      </c>
      <c r="J522" s="14">
        <f>VALUE(EquipmentTable[[#This Row],[Units]]*EquipmentTable[[#This Row],[Unit
 Price]])</f>
        <v>1.95</v>
      </c>
      <c r="K522" s="29" t="str">
        <f>RawList!G492</f>
        <v>https://cdn.sparkfun.com/r/92-92/assets/parts/7/6/5/4/11620-01.jpg</v>
      </c>
      <c r="L522" s="29"/>
      <c r="M522" s="29" t="str">
        <f>RawList!F492</f>
        <v>https://www.sparkfun.com/products/11620</v>
      </c>
    </row>
    <row r="523" spans="2:13" x14ac:dyDescent="0.25">
      <c r="B523" s="29" t="str">
        <f>RawList!A493</f>
        <v>Low-Level Electronics</v>
      </c>
      <c r="C523" s="29" t="str">
        <f>RawList!B493</f>
        <v>Passive Components</v>
      </c>
      <c r="D523" s="29" t="str">
        <f>RawList!C493</f>
        <v>SparkFun</v>
      </c>
      <c r="E523" s="29" t="str">
        <f>RawList!H493</f>
        <v>Slide Pot - Medium (10k Linear Taper)</v>
      </c>
      <c r="F523" s="29" t="str">
        <f>RawList!D493</f>
        <v>COM-11621</v>
      </c>
      <c r="G523" s="101">
        <f>RawList!E493</f>
        <v>1</v>
      </c>
      <c r="H523" s="29" t="str">
        <f>IF(EquipmentTable[[#This Row],[Units]]&gt;0,"Quantity &gt; 0 Items","Quantity = 0 Items")</f>
        <v>Quantity &gt; 0 Items</v>
      </c>
      <c r="I523" s="102">
        <f>RawList!J493</f>
        <v>2.5</v>
      </c>
      <c r="J523" s="14">
        <f>VALUE(EquipmentTable[[#This Row],[Units]]*EquipmentTable[[#This Row],[Unit
 Price]])</f>
        <v>2.5</v>
      </c>
      <c r="K523" s="29" t="str">
        <f>RawList!G493</f>
        <v>https://cdn.sparkfun.com/r/92-92/assets/parts/7/6/5/5/11621-01.jpg</v>
      </c>
      <c r="L523" s="29"/>
      <c r="M523" s="29" t="str">
        <f>RawList!F493</f>
        <v>https://www.sparkfun.com/products/11621</v>
      </c>
    </row>
    <row r="524" spans="2:13" x14ac:dyDescent="0.25">
      <c r="B524" s="29" t="str">
        <f>RawList!A494</f>
        <v>Low-Level Electronics</v>
      </c>
      <c r="C524" s="29" t="str">
        <f>RawList!B494</f>
        <v>Passive Components</v>
      </c>
      <c r="D524" s="29" t="str">
        <f>RawList!C494</f>
        <v>SparkFun</v>
      </c>
      <c r="E524" s="29" t="str">
        <f>RawList!H494</f>
        <v>Slide Pot - X-Large (10k Linear Taper)</v>
      </c>
      <c r="F524" s="29" t="str">
        <f>RawList!D494</f>
        <v>COM-09119</v>
      </c>
      <c r="G524" s="101">
        <f>RawList!E494</f>
        <v>1</v>
      </c>
      <c r="H524" s="29" t="str">
        <f>IF(EquipmentTable[[#This Row],[Units]]&gt;0,"Quantity &gt; 0 Items","Quantity = 0 Items")</f>
        <v>Quantity &gt; 0 Items</v>
      </c>
      <c r="I524" s="102">
        <f>RawList!J494</f>
        <v>2.95</v>
      </c>
      <c r="J524" s="14">
        <f>VALUE(EquipmentTable[[#This Row],[Units]]*EquipmentTable[[#This Row],[Unit
 Price]])</f>
        <v>2.95</v>
      </c>
      <c r="K524" s="29" t="str">
        <f>RawList!G494</f>
        <v>https://cdn.sparkfun.com/r/92-92/assets/parts/2/5/2/4/09119-01a.jpg</v>
      </c>
      <c r="L524" s="29"/>
      <c r="M524" s="29" t="str">
        <f>RawList!F494</f>
        <v>https://www.sparkfun.com/products/9119</v>
      </c>
    </row>
    <row r="525" spans="2:13" x14ac:dyDescent="0.25">
      <c r="B525" s="29" t="str">
        <f>RawList!A495</f>
        <v>Low-Level Electronics</v>
      </c>
      <c r="C525" s="29" t="str">
        <f>RawList!B495</f>
        <v>Passive Components</v>
      </c>
      <c r="D525" s="29" t="str">
        <f>RawList!C495</f>
        <v>SparkFun</v>
      </c>
      <c r="E525" s="29" t="str">
        <f>RawList!H495</f>
        <v>Trimpot 10K with Knob</v>
      </c>
      <c r="F525" s="29" t="str">
        <f>RawList!D495</f>
        <v>COM-09806</v>
      </c>
      <c r="G525" s="101">
        <f>RawList!E495</f>
        <v>4</v>
      </c>
      <c r="H525" s="29" t="str">
        <f>IF(EquipmentTable[[#This Row],[Units]]&gt;0,"Quantity &gt; 0 Items","Quantity = 0 Items")</f>
        <v>Quantity &gt; 0 Items</v>
      </c>
      <c r="I525" s="102">
        <f>RawList!J495</f>
        <v>0.95</v>
      </c>
      <c r="J525" s="14">
        <f>VALUE(EquipmentTable[[#This Row],[Units]]*EquipmentTable[[#This Row],[Unit
 Price]])</f>
        <v>3.8</v>
      </c>
      <c r="K525" s="29" t="str">
        <f>RawList!G495</f>
        <v>https://cdn.sparkfun.com/r/92-92/assets/parts/3/8/2/3/09806-01.jpg</v>
      </c>
      <c r="L525" s="29"/>
      <c r="M525" s="29" t="str">
        <f>RawList!F495</f>
        <v>https://www.sparkfun.com/products/9806</v>
      </c>
    </row>
    <row r="526" spans="2:13" x14ac:dyDescent="0.25">
      <c r="B526" s="29" t="str">
        <f>RawList!A496</f>
        <v>Low-Level Electronics</v>
      </c>
      <c r="C526" s="29" t="str">
        <f>RawList!B496</f>
        <v>Passive Components</v>
      </c>
      <c r="D526" s="29" t="str">
        <f>RawList!C496</f>
        <v>SparkFun</v>
      </c>
      <c r="E526" s="29" t="str">
        <f>RawList!H496</f>
        <v>SparkFun Capacitor Kit</v>
      </c>
      <c r="F526" s="29" t="str">
        <f>RawList!D496</f>
        <v>KIT-13698</v>
      </c>
      <c r="G526" s="101">
        <f>RawList!E496</f>
        <v>1</v>
      </c>
      <c r="H526" s="29" t="str">
        <f>IF(EquipmentTable[[#This Row],[Units]]&gt;0,"Quantity &gt; 0 Items","Quantity = 0 Items")</f>
        <v>Quantity &gt; 0 Items</v>
      </c>
      <c r="I526" s="102">
        <f>RawList!J496</f>
        <v>6.95</v>
      </c>
      <c r="J526" s="14">
        <f>VALUE(EquipmentTable[[#This Row],[Units]]*EquipmentTable[[#This Row],[Unit
 Price]])</f>
        <v>6.95</v>
      </c>
      <c r="K526" s="29" t="str">
        <f>RawList!G496</f>
        <v>https://cdn.sparkfun.com/r/92-92/assets/parts/1/1/1/7/0/13698-02.jpg</v>
      </c>
      <c r="L526" s="29"/>
      <c r="M526" s="29" t="str">
        <f>RawList!F496</f>
        <v>https://www.sparkfun.com/products/13698</v>
      </c>
    </row>
    <row r="527" spans="2:13" x14ac:dyDescent="0.25">
      <c r="B527" s="29" t="str">
        <f>RawList!A497</f>
        <v>Low-Level Electronics</v>
      </c>
      <c r="C527" s="29" t="str">
        <f>RawList!B497</f>
        <v>Passive Components</v>
      </c>
      <c r="D527" s="29" t="str">
        <f>RawList!C497</f>
        <v>SparkFun</v>
      </c>
      <c r="E527" s="29" t="str">
        <f>RawList!H497</f>
        <v>Electrolytic Decoupling Capacitors - 100uF/25V</v>
      </c>
      <c r="F527" s="29" t="str">
        <f>RawList!D497</f>
        <v>COM-00096</v>
      </c>
      <c r="G527" s="101">
        <f>RawList!E497</f>
        <v>3</v>
      </c>
      <c r="H527" s="29" t="str">
        <f>IF(EquipmentTable[[#This Row],[Units]]&gt;0,"Quantity &gt; 0 Items","Quantity = 0 Items")</f>
        <v>Quantity &gt; 0 Items</v>
      </c>
      <c r="I527" s="102">
        <f>RawList!J497</f>
        <v>0.35</v>
      </c>
      <c r="J527" s="14">
        <f>VALUE(EquipmentTable[[#This Row],[Units]]*EquipmentTable[[#This Row],[Unit
 Price]])</f>
        <v>1.0499999999999998</v>
      </c>
      <c r="K527" s="29" t="str">
        <f>RawList!G497</f>
        <v>https://cdn.sparkfun.com/r/92-92/assets/parts/8/9/00096-03-L.jpg</v>
      </c>
      <c r="L527" s="29"/>
      <c r="M527" s="29" t="str">
        <f>RawList!F497</f>
        <v>https://www.sparkfun.com/products/96</v>
      </c>
    </row>
    <row r="528" spans="2:13" x14ac:dyDescent="0.25">
      <c r="B528" s="29" t="str">
        <f>RawList!A498</f>
        <v>Low-Level Electronics</v>
      </c>
      <c r="C528" s="29" t="str">
        <f>RawList!B498</f>
        <v>Passive Components</v>
      </c>
      <c r="D528" s="29" t="str">
        <f>RawList!C498</f>
        <v>SparkFun</v>
      </c>
      <c r="E528" s="29" t="str">
        <f>RawList!H498</f>
        <v>Electrolytic Decoupling Capacitors - 10uF/25V</v>
      </c>
      <c r="F528" s="29" t="str">
        <f>RawList!D498</f>
        <v>COM-00523</v>
      </c>
      <c r="G528" s="101">
        <f>RawList!E498</f>
        <v>3</v>
      </c>
      <c r="H528" s="29" t="str">
        <f>IF(EquipmentTable[[#This Row],[Units]]&gt;0,"Quantity &gt; 0 Items","Quantity = 0 Items")</f>
        <v>Quantity &gt; 0 Items</v>
      </c>
      <c r="I528" s="102">
        <f>RawList!J498</f>
        <v>0.45</v>
      </c>
      <c r="J528" s="14">
        <f>VALUE(EquipmentTable[[#This Row],[Units]]*EquipmentTable[[#This Row],[Unit
 Price]])</f>
        <v>1.35</v>
      </c>
      <c r="K528" s="29" t="str">
        <f>RawList!G498</f>
        <v>https://cdn.sparkfun.com/r/92-92/assets/parts/3/0/0/00523-02-L.jpg</v>
      </c>
      <c r="L528" s="29"/>
      <c r="M528" s="29" t="str">
        <f>RawList!F498</f>
        <v>https://www.sparkfun.com/products/523</v>
      </c>
    </row>
    <row r="529" spans="2:13" x14ac:dyDescent="0.25">
      <c r="B529" s="29" t="str">
        <f>RawList!A499</f>
        <v>Low-Level Electronics</v>
      </c>
      <c r="C529" s="29" t="str">
        <f>RawList!B499</f>
        <v>Passive Components</v>
      </c>
      <c r="D529" s="29" t="str">
        <f>RawList!C499</f>
        <v>SparkFun</v>
      </c>
      <c r="E529" s="29" t="str">
        <f>RawList!H499</f>
        <v>Super Capacitor - 10F/2.5V</v>
      </c>
      <c r="F529" s="29" t="str">
        <f>RawList!D499</f>
        <v>COM-00746</v>
      </c>
      <c r="G529" s="101">
        <f>RawList!E499</f>
        <v>3</v>
      </c>
      <c r="H529" s="29" t="str">
        <f>IF(EquipmentTable[[#This Row],[Units]]&gt;0,"Quantity &gt; 0 Items","Quantity = 0 Items")</f>
        <v>Quantity &gt; 0 Items</v>
      </c>
      <c r="I529" s="102">
        <f>RawList!J499</f>
        <v>4.95</v>
      </c>
      <c r="J529" s="14">
        <f>VALUE(EquipmentTable[[#This Row],[Units]]*EquipmentTable[[#This Row],[Unit
 Price]])</f>
        <v>14.850000000000001</v>
      </c>
      <c r="K529" s="29" t="str">
        <f>RawList!G499</f>
        <v>https://cdn.sparkfun.com/r/92-92/assets/parts/5/1/9/SuperCap.jpg</v>
      </c>
      <c r="L529" s="29"/>
      <c r="M529" s="29" t="str">
        <f>RawList!F499</f>
        <v>https://www.sparkfun.com/products/746</v>
      </c>
    </row>
    <row r="530" spans="2:13" x14ac:dyDescent="0.25">
      <c r="B530" s="29" t="str">
        <f>RawList!A500</f>
        <v>Low-Level Electronics</v>
      </c>
      <c r="C530" s="29" t="str">
        <f>RawList!B500</f>
        <v>Passive Components</v>
      </c>
      <c r="D530" s="29" t="str">
        <f>RawList!C500</f>
        <v>SparkFun</v>
      </c>
      <c r="E530" s="29" t="str">
        <f>RawList!H500</f>
        <v>Thermistor 10K</v>
      </c>
      <c r="F530" s="29" t="str">
        <f>RawList!D500</f>
        <v>SEN-00250</v>
      </c>
      <c r="G530" s="101">
        <f>RawList!E500</f>
        <v>10</v>
      </c>
      <c r="H530" s="29" t="str">
        <f>IF(EquipmentTable[[#This Row],[Units]]&gt;0,"Quantity &gt; 0 Items","Quantity = 0 Items")</f>
        <v>Quantity &gt; 0 Items</v>
      </c>
      <c r="I530" s="102">
        <f>RawList!J500</f>
        <v>0.75</v>
      </c>
      <c r="J530" s="14">
        <f>VALUE(EquipmentTable[[#This Row],[Units]]*EquipmentTable[[#This Row],[Unit
 Price]])</f>
        <v>7.5</v>
      </c>
      <c r="K530" s="29" t="str">
        <f>RawList!G500</f>
        <v>https://cdn.sparkfun.com/r/92-92/assets/parts/1/9/2/thermistor.jpg</v>
      </c>
      <c r="L530" s="29"/>
      <c r="M530" s="29" t="str">
        <f>RawList!F500</f>
        <v>https://www.sparkfun.com/products/250</v>
      </c>
    </row>
    <row r="531" spans="2:13" x14ac:dyDescent="0.25">
      <c r="B531" s="29" t="str">
        <f>RawList!A501</f>
        <v>Low-Level Electronics</v>
      </c>
      <c r="C531" s="29" t="str">
        <f>RawList!B501</f>
        <v>Passive Components</v>
      </c>
      <c r="D531" s="29" t="str">
        <f>RawList!C501</f>
        <v>SparkFun</v>
      </c>
      <c r="E531" s="29" t="str">
        <f>RawList!H501</f>
        <v>Diode Rectifier - 1A 50V</v>
      </c>
      <c r="F531" s="29" t="str">
        <f>RawList!D501</f>
        <v>COM-08589</v>
      </c>
      <c r="G531" s="101">
        <f>RawList!E501</f>
        <v>10</v>
      </c>
      <c r="H531" s="29" t="str">
        <f>IF(EquipmentTable[[#This Row],[Units]]&gt;0,"Quantity &gt; 0 Items","Quantity = 0 Items")</f>
        <v>Quantity &gt; 0 Items</v>
      </c>
      <c r="I531" s="102">
        <f>RawList!J501</f>
        <v>0.15</v>
      </c>
      <c r="J531" s="14">
        <f>VALUE(EquipmentTable[[#This Row],[Units]]*EquipmentTable[[#This Row],[Unit
 Price]])</f>
        <v>1.5</v>
      </c>
      <c r="K531" s="29" t="str">
        <f>RawList!G501</f>
        <v>https://cdn.sparkfun.com/r/92-92/assets/parts/1/5/7/8/08588-02-L.jpg</v>
      </c>
      <c r="L531" s="29"/>
      <c r="M531" s="29" t="str">
        <f>RawList!F501</f>
        <v>https://www.sparkfun.com/products/8589</v>
      </c>
    </row>
    <row r="532" spans="2:13" x14ac:dyDescent="0.25">
      <c r="B532" s="29" t="str">
        <f>RawList!A502</f>
        <v>Low-Level Electronics</v>
      </c>
      <c r="C532" s="29" t="str">
        <f>RawList!B502</f>
        <v>Passive Components</v>
      </c>
      <c r="D532" s="29" t="str">
        <f>RawList!C502</f>
        <v>SparkFun</v>
      </c>
      <c r="E532" s="29" t="str">
        <f>RawList!H502</f>
        <v>Diode Small Signal - 1N4148</v>
      </c>
      <c r="F532" s="29" t="str">
        <f>RawList!D502</f>
        <v>COM-08588</v>
      </c>
      <c r="G532" s="101">
        <f>RawList!E502</f>
        <v>10</v>
      </c>
      <c r="H532" s="29" t="str">
        <f>IF(EquipmentTable[[#This Row],[Units]]&gt;0,"Quantity &gt; 0 Items","Quantity = 0 Items")</f>
        <v>Quantity &gt; 0 Items</v>
      </c>
      <c r="I532" s="102">
        <f>RawList!J502</f>
        <v>0.15</v>
      </c>
      <c r="J532" s="14">
        <f>VALUE(EquipmentTable[[#This Row],[Units]]*EquipmentTable[[#This Row],[Unit
 Price]])</f>
        <v>1.5</v>
      </c>
      <c r="K532" s="29" t="str">
        <f>RawList!G502</f>
        <v>https://cdn.sparkfun.com/r/92-92/assets/parts/1/5/6/7/08589-03-L.jpg</v>
      </c>
      <c r="L532" s="29"/>
      <c r="M532" s="29" t="str">
        <f>RawList!F502</f>
        <v>https://www.sparkfun.com/products/8588</v>
      </c>
    </row>
    <row r="533" spans="2:13" x14ac:dyDescent="0.25">
      <c r="B533" s="29" t="str">
        <f>RawList!A503</f>
        <v>Low-Level Electronics</v>
      </c>
      <c r="C533" s="29" t="str">
        <f>RawList!B503</f>
        <v>Passive Components</v>
      </c>
      <c r="D533" s="29" t="str">
        <f>RawList!C503</f>
        <v>SparkFun</v>
      </c>
      <c r="E533" s="29" t="str">
        <f>RawList!H503</f>
        <v>Schottky Diode</v>
      </c>
      <c r="F533" s="29" t="str">
        <f>RawList!D503</f>
        <v>COM-10926</v>
      </c>
      <c r="G533" s="101">
        <f>RawList!E503</f>
        <v>10</v>
      </c>
      <c r="H533" s="29" t="str">
        <f>IF(EquipmentTable[[#This Row],[Units]]&gt;0,"Quantity &gt; 0 Items","Quantity = 0 Items")</f>
        <v>Quantity &gt; 0 Items</v>
      </c>
      <c r="I533" s="102">
        <f>RawList!J503</f>
        <v>0.15</v>
      </c>
      <c r="J533" s="14">
        <f>VALUE(EquipmentTable[[#This Row],[Units]]*EquipmentTable[[#This Row],[Unit
 Price]])</f>
        <v>1.5</v>
      </c>
      <c r="K533" s="29" t="str">
        <f>RawList!G503</f>
        <v>https://cdn.sparkfun.com/r/92-92/assets/parts/6/0/6/0/10926-01b.jpg</v>
      </c>
      <c r="L533" s="29"/>
      <c r="M533" s="29" t="str">
        <f>RawList!F503</f>
        <v>https://www.sparkfun.com/products/10926</v>
      </c>
    </row>
    <row r="534" spans="2:13" x14ac:dyDescent="0.25">
      <c r="B534" s="29" t="str">
        <f>RawList!A504</f>
        <v>Low-Level Electronics</v>
      </c>
      <c r="C534" s="29" t="str">
        <f>RawList!B504</f>
        <v>Passive Components</v>
      </c>
      <c r="D534" s="29" t="str">
        <f>RawList!C504</f>
        <v>SparkFun</v>
      </c>
      <c r="E534" s="29" t="str">
        <f>RawList!H504</f>
        <v>Zener Diode - 5.1V 1W</v>
      </c>
      <c r="F534" s="29" t="str">
        <f>RawList!D504</f>
        <v>COM-10301</v>
      </c>
      <c r="G534" s="101">
        <f>RawList!E504</f>
        <v>10</v>
      </c>
      <c r="H534" s="29" t="str">
        <f>IF(EquipmentTable[[#This Row],[Units]]&gt;0,"Quantity &gt; 0 Items","Quantity = 0 Items")</f>
        <v>Quantity &gt; 0 Items</v>
      </c>
      <c r="I534" s="102">
        <f>RawList!J504</f>
        <v>0.25</v>
      </c>
      <c r="J534" s="14">
        <f>VALUE(EquipmentTable[[#This Row],[Units]]*EquipmentTable[[#This Row],[Unit
 Price]])</f>
        <v>2.5</v>
      </c>
      <c r="K534" s="29" t="str">
        <f>RawList!G504</f>
        <v>https://cdn.sparkfun.com/r/92-92/assets/parts/4/7/0/4/10301-01.jpg</v>
      </c>
      <c r="L534" s="29"/>
      <c r="M534" s="29" t="str">
        <f>RawList!F504</f>
        <v>https://www.sparkfun.com/products/10301</v>
      </c>
    </row>
    <row r="535" spans="2:13" x14ac:dyDescent="0.25">
      <c r="B535" s="29" t="str">
        <f>RawList!A505</f>
        <v>Low-Level Electronics</v>
      </c>
      <c r="C535" s="29" t="str">
        <f>RawList!B505</f>
        <v>Plugs/Jacks/Adapters, Audio</v>
      </c>
      <c r="D535" s="29" t="str">
        <f>RawList!C505</f>
        <v>SparkFun</v>
      </c>
      <c r="E535" s="29" t="str">
        <f>RawList!H505</f>
        <v>Audio Jack - 3.5mm (Panel Mount)</v>
      </c>
      <c r="F535" s="29" t="str">
        <f>RawList!D505</f>
        <v>COM-11154</v>
      </c>
      <c r="G535" s="101">
        <f>RawList!E505</f>
        <v>2</v>
      </c>
      <c r="H535" s="29" t="str">
        <f>IF(EquipmentTable[[#This Row],[Units]]&gt;0,"Quantity &gt; 0 Items","Quantity = 0 Items")</f>
        <v>Quantity &gt; 0 Items</v>
      </c>
      <c r="I535" s="102">
        <f>RawList!J505</f>
        <v>0.5</v>
      </c>
      <c r="J535" s="14">
        <f>VALUE(EquipmentTable[[#This Row],[Units]]*EquipmentTable[[#This Row],[Unit
 Price]])</f>
        <v>1</v>
      </c>
      <c r="K535" s="29" t="str">
        <f>RawList!G505</f>
        <v>https://cdn.sparkfun.com/r/92-92/assets/parts/6/6/1/5/11154-01.jpg</v>
      </c>
      <c r="L535" s="29"/>
      <c r="M535" s="29" t="str">
        <f>RawList!F505</f>
        <v>https://www.sparkfun.com/products/11154</v>
      </c>
    </row>
    <row r="536" spans="2:13" x14ac:dyDescent="0.25">
      <c r="B536" s="29" t="str">
        <f>RawList!A506</f>
        <v>Low-Level Electronics</v>
      </c>
      <c r="C536" s="29" t="str">
        <f>RawList!B506</f>
        <v>Plugs/Jacks/Adapters, Audio</v>
      </c>
      <c r="D536" s="29" t="str">
        <f>RawList!C506</f>
        <v>SparkFun</v>
      </c>
      <c r="E536" s="29" t="str">
        <f>RawList!H506</f>
        <v>Audio Jack 3.5mm</v>
      </c>
      <c r="F536" s="29" t="str">
        <f>RawList!D506</f>
        <v>PRT-08032</v>
      </c>
      <c r="G536" s="101">
        <f>RawList!E506</f>
        <v>4</v>
      </c>
      <c r="H536" s="29" t="str">
        <f>IF(EquipmentTable[[#This Row],[Units]]&gt;0,"Quantity &gt; 0 Items","Quantity = 0 Items")</f>
        <v>Quantity &gt; 0 Items</v>
      </c>
      <c r="I536" s="102">
        <f>RawList!J506</f>
        <v>1.5</v>
      </c>
      <c r="J536" s="14">
        <f>VALUE(EquipmentTable[[#This Row],[Units]]*EquipmentTable[[#This Row],[Unit
 Price]])</f>
        <v>6</v>
      </c>
      <c r="K536" s="29" t="str">
        <f>RawList!G506</f>
        <v>https://cdn.sparkfun.com/r/92-92/assets/parts/1/5/8/2/Audio-3.5mm.jpg</v>
      </c>
      <c r="L536" s="29"/>
      <c r="M536" s="29" t="str">
        <f>RawList!F506</f>
        <v>https://www.sparkfun.com/products/8032</v>
      </c>
    </row>
    <row r="537" spans="2:13" x14ac:dyDescent="0.25">
      <c r="B537" s="29" t="str">
        <f>RawList!A507</f>
        <v>Low-Level Electronics</v>
      </c>
      <c r="C537" s="29" t="str">
        <f>RawList!B507</f>
        <v>Plugs/Jacks/Adapters, Audio</v>
      </c>
      <c r="D537" s="29" t="str">
        <f>RawList!C507</f>
        <v>SparkFun</v>
      </c>
      <c r="E537" s="29" t="str">
        <f>RawList!H507</f>
        <v>Audio Plug - 3.5mm</v>
      </c>
      <c r="F537" s="29" t="str">
        <f>RawList!D507</f>
        <v>COM-11143</v>
      </c>
      <c r="G537" s="101">
        <f>RawList!E507</f>
        <v>8</v>
      </c>
      <c r="H537" s="29" t="str">
        <f>IF(EquipmentTable[[#This Row],[Units]]&gt;0,"Quantity &gt; 0 Items","Quantity = 0 Items")</f>
        <v>Quantity &gt; 0 Items</v>
      </c>
      <c r="I537" s="102">
        <f>RawList!J507</f>
        <v>0.5</v>
      </c>
      <c r="J537" s="14">
        <f>VALUE(EquipmentTable[[#This Row],[Units]]*EquipmentTable[[#This Row],[Unit
 Price]])</f>
        <v>4</v>
      </c>
      <c r="K537" s="29" t="str">
        <f>RawList!G507</f>
        <v>https://cdn.sparkfun.com/r/92-92/assets/parts/6/6/0/4/11143-01.jpg</v>
      </c>
      <c r="L537" s="29"/>
      <c r="M537" s="29" t="str">
        <f>RawList!F507</f>
        <v>https://www.sparkfun.com/products/11143</v>
      </c>
    </row>
    <row r="538" spans="2:13" x14ac:dyDescent="0.25">
      <c r="B538" s="29" t="str">
        <f>RawList!A508</f>
        <v>Low-Level Electronics</v>
      </c>
      <c r="C538" s="29" t="str">
        <f>RawList!B508</f>
        <v>Plugs/Jacks/Adapters, Audio</v>
      </c>
      <c r="D538" s="29" t="str">
        <f>RawList!C508</f>
        <v>SparkFun</v>
      </c>
      <c r="E538" s="29" t="str">
        <f>RawList!H508</f>
        <v>SparkFun Audio Jack Breakout</v>
      </c>
      <c r="F538" s="29" t="str">
        <f>RawList!D508</f>
        <v>PRT-10588</v>
      </c>
      <c r="G538" s="101">
        <f>RawList!E508</f>
        <v>5</v>
      </c>
      <c r="H538" s="29" t="str">
        <f>IF(EquipmentTable[[#This Row],[Units]]&gt;0,"Quantity &gt; 0 Items","Quantity = 0 Items")</f>
        <v>Quantity &gt; 0 Items</v>
      </c>
      <c r="I538" s="102">
        <f>RawList!J508</f>
        <v>0.95</v>
      </c>
      <c r="J538" s="14">
        <f>VALUE(EquipmentTable[[#This Row],[Units]]*EquipmentTable[[#This Row],[Unit
 Price]])</f>
        <v>4.75</v>
      </c>
      <c r="K538" s="29" t="str">
        <f>RawList!G508</f>
        <v>https://cdn.sparkfun.com/r/92-92/assets/parts/5/2/2/9/10588-01a.jpg</v>
      </c>
      <c r="L538" s="29"/>
      <c r="M538" s="29" t="str">
        <f>RawList!F508</f>
        <v>https://www.sparkfun.com/products/10588</v>
      </c>
    </row>
    <row r="539" spans="2:13" x14ac:dyDescent="0.25">
      <c r="B539" s="29" t="str">
        <f>RawList!A509</f>
        <v>Low-Level Electronics</v>
      </c>
      <c r="C539" s="29" t="str">
        <f>RawList!B509</f>
        <v>Plugs/Jacks/Adapters, Audio</v>
      </c>
      <c r="D539" s="29" t="str">
        <f>RawList!C509</f>
        <v>Adafruit</v>
      </c>
      <c r="E539" s="29" t="str">
        <f>RawList!H509</f>
        <v xml:space="preserve">1/4" (6.35mm) Stereo Plug Terminal Block </v>
      </c>
      <c r="F539" s="29" t="str">
        <f>RawList!D509</f>
        <v>2911</v>
      </c>
      <c r="G539" s="101">
        <f>RawList!E509</f>
        <v>0</v>
      </c>
      <c r="H539" s="29" t="str">
        <f>IF(EquipmentTable[[#This Row],[Units]]&gt;0,"Quantity &gt; 0 Items","Quantity = 0 Items")</f>
        <v>Quantity = 0 Items</v>
      </c>
      <c r="I539" s="102">
        <f>RawList!J509</f>
        <v>1.95</v>
      </c>
      <c r="J539" s="14">
        <f>VALUE(EquipmentTable[[#This Row],[Units]]*EquipmentTable[[#This Row],[Unit
 Price]])</f>
        <v>0</v>
      </c>
      <c r="K539" s="29">
        <f>RawList!G509</f>
        <v>0</v>
      </c>
      <c r="L539" s="29"/>
      <c r="M539" s="29">
        <f>RawList!F509</f>
        <v>0</v>
      </c>
    </row>
    <row r="540" spans="2:13" x14ac:dyDescent="0.25">
      <c r="B540" s="29" t="str">
        <f>RawList!A510</f>
        <v>Low-Level Electronics</v>
      </c>
      <c r="C540" s="29" t="str">
        <f>RawList!B510</f>
        <v>Plugs/Jacks/Adapters, Audio</v>
      </c>
      <c r="D540" s="29" t="str">
        <f>RawList!C510</f>
        <v>Adafruit</v>
      </c>
      <c r="E540" s="29" t="str">
        <f>RawList!H510</f>
        <v xml:space="preserve">3.5mm (1/8") Stereo Audio Jack Terminal Block </v>
      </c>
      <c r="F540" s="29" t="str">
        <f>RawList!D510</f>
        <v>2791</v>
      </c>
      <c r="G540" s="101">
        <f>RawList!E510</f>
        <v>0</v>
      </c>
      <c r="H540" s="29" t="str">
        <f>IF(EquipmentTable[[#This Row],[Units]]&gt;0,"Quantity &gt; 0 Items","Quantity = 0 Items")</f>
        <v>Quantity = 0 Items</v>
      </c>
      <c r="I540" s="102">
        <f>RawList!J510</f>
        <v>2.5</v>
      </c>
      <c r="J540" s="14">
        <f>VALUE(EquipmentTable[[#This Row],[Units]]*EquipmentTable[[#This Row],[Unit
 Price]])</f>
        <v>0</v>
      </c>
      <c r="K540" s="29">
        <f>RawList!G510</f>
        <v>0</v>
      </c>
      <c r="L540" s="29"/>
      <c r="M540" s="29">
        <f>RawList!F510</f>
        <v>0</v>
      </c>
    </row>
    <row r="541" spans="2:13" x14ac:dyDescent="0.25">
      <c r="B541" s="29" t="str">
        <f>RawList!A511</f>
        <v>Low-Level Electronics</v>
      </c>
      <c r="C541" s="29" t="str">
        <f>RawList!B511</f>
        <v>Plugs/Jacks/Adapters, Audio</v>
      </c>
      <c r="D541" s="29" t="str">
        <f>RawList!C511</f>
        <v>Adafruit</v>
      </c>
      <c r="E541" s="29" t="str">
        <f>RawList!H511</f>
        <v xml:space="preserve">3.5mm (1/8") Stereo Audio Plug Terminal Block </v>
      </c>
      <c r="F541" s="29" t="str">
        <f>RawList!D511</f>
        <v>2790</v>
      </c>
      <c r="G541" s="101">
        <f>RawList!E511</f>
        <v>0</v>
      </c>
      <c r="H541" s="29" t="str">
        <f>IF(EquipmentTable[[#This Row],[Units]]&gt;0,"Quantity &gt; 0 Items","Quantity = 0 Items")</f>
        <v>Quantity = 0 Items</v>
      </c>
      <c r="I541" s="102">
        <f>RawList!J511</f>
        <v>2.5</v>
      </c>
      <c r="J541" s="14">
        <f>VALUE(EquipmentTable[[#This Row],[Units]]*EquipmentTable[[#This Row],[Unit
 Price]])</f>
        <v>0</v>
      </c>
      <c r="K541" s="29">
        <f>RawList!G511</f>
        <v>0</v>
      </c>
      <c r="L541" s="29"/>
      <c r="M541" s="29">
        <f>RawList!F511</f>
        <v>0</v>
      </c>
    </row>
    <row r="542" spans="2:13" x14ac:dyDescent="0.25">
      <c r="B542" s="29" t="str">
        <f>RawList!A512</f>
        <v>Low-Level Electronics</v>
      </c>
      <c r="C542" s="29" t="str">
        <f>RawList!B512</f>
        <v>Plugs/Jacks/Adapters, Audio</v>
      </c>
      <c r="D542" s="29" t="str">
        <f>RawList!C512</f>
        <v>Adafruit</v>
      </c>
      <c r="E542" s="29" t="str">
        <f>RawList!H512</f>
        <v xml:space="preserve">Breadboard-Friendly 3.5mm Stereo Headphone Jack </v>
      </c>
      <c r="F542" s="29" t="str">
        <f>RawList!D512</f>
        <v>1699</v>
      </c>
      <c r="G542" s="101">
        <f>RawList!E512</f>
        <v>0</v>
      </c>
      <c r="H542" s="29" t="str">
        <f>IF(EquipmentTable[[#This Row],[Units]]&gt;0,"Quantity &gt; 0 Items","Quantity = 0 Items")</f>
        <v>Quantity = 0 Items</v>
      </c>
      <c r="I542" s="102">
        <f>RawList!J512</f>
        <v>0.95</v>
      </c>
      <c r="J542" s="14">
        <f>VALUE(EquipmentTable[[#This Row],[Units]]*EquipmentTable[[#This Row],[Unit
 Price]])</f>
        <v>0</v>
      </c>
      <c r="K542" s="29">
        <f>RawList!G512</f>
        <v>0</v>
      </c>
      <c r="L542" s="29"/>
      <c r="M542" s="29">
        <f>RawList!F512</f>
        <v>0</v>
      </c>
    </row>
    <row r="543" spans="2:13" hidden="1" x14ac:dyDescent="0.25">
      <c r="B543" s="29" t="str">
        <f>RawList!A513</f>
        <v>Low-Level Electronics</v>
      </c>
      <c r="C543" s="29" t="str">
        <f>RawList!B513</f>
        <v>PogoPins</v>
      </c>
      <c r="D543" s="29" t="str">
        <f>RawList!C513</f>
        <v>Adafruit</v>
      </c>
      <c r="E543" s="29" t="str">
        <f>RawList!H513</f>
        <v xml:space="preserve">Pogo Pins "Crown Head" (10 pack) - P75-H2 </v>
      </c>
      <c r="F543" s="29" t="str">
        <f>RawList!D513</f>
        <v>2429</v>
      </c>
      <c r="G543" s="101">
        <f>RawList!E513</f>
        <v>1</v>
      </c>
      <c r="H543" s="29" t="str">
        <f>IF(EquipmentTable[[#This Row],[Units]]&gt;0,"Quantity &gt; 0 Items","Quantity = 0 Items")</f>
        <v>Quantity &gt; 0 Items</v>
      </c>
      <c r="I543" s="102">
        <f>RawList!J513</f>
        <v>4.95</v>
      </c>
      <c r="J543" s="14">
        <f>VALUE(EquipmentTable[[#This Row],[Units]]*EquipmentTable[[#This Row],[Unit
 Price]])</f>
        <v>4.95</v>
      </c>
      <c r="K543" s="29">
        <f>RawList!G513</f>
        <v>0</v>
      </c>
      <c r="L543" s="29"/>
      <c r="M543" s="29">
        <f>RawList!F513</f>
        <v>0</v>
      </c>
    </row>
    <row r="544" spans="2:13" hidden="1" x14ac:dyDescent="0.25">
      <c r="B544" s="29" t="str">
        <f>RawList!A514</f>
        <v>Low-Level Electronics</v>
      </c>
      <c r="C544" s="29" t="str">
        <f>RawList!B514</f>
        <v>PogoPins</v>
      </c>
      <c r="D544" s="29" t="str">
        <f>RawList!C514</f>
        <v>Adafruit</v>
      </c>
      <c r="E544" s="29" t="str">
        <f>RawList!H514</f>
        <v xml:space="preserve">Pogo Pins "Cupped Head" (10 pack) - P75-A2 </v>
      </c>
      <c r="F544" s="29" t="str">
        <f>RawList!D514</f>
        <v>2428</v>
      </c>
      <c r="G544" s="101">
        <f>RawList!E514</f>
        <v>1</v>
      </c>
      <c r="H544" s="29" t="str">
        <f>IF(EquipmentTable[[#This Row],[Units]]&gt;0,"Quantity &gt; 0 Items","Quantity = 0 Items")</f>
        <v>Quantity &gt; 0 Items</v>
      </c>
      <c r="I544" s="102">
        <f>RawList!J514</f>
        <v>4.95</v>
      </c>
      <c r="J544" s="14">
        <f>VALUE(EquipmentTable[[#This Row],[Units]]*EquipmentTable[[#This Row],[Unit
 Price]])</f>
        <v>4.95</v>
      </c>
      <c r="K544" s="29">
        <f>RawList!G514</f>
        <v>0</v>
      </c>
      <c r="L544" s="29"/>
      <c r="M544" s="29">
        <f>RawList!F514</f>
        <v>0</v>
      </c>
    </row>
    <row r="545" spans="2:13" hidden="1" x14ac:dyDescent="0.25">
      <c r="B545" s="29" t="str">
        <f>RawList!A515</f>
        <v>Low-Level Electronics</v>
      </c>
      <c r="C545" s="29" t="str">
        <f>RawList!B515</f>
        <v>PogoPins</v>
      </c>
      <c r="D545" s="29" t="str">
        <f>RawList!C515</f>
        <v>Adafruit</v>
      </c>
      <c r="E545" s="29" t="str">
        <f>RawList!H515</f>
        <v>Pogo Pins "Needle Head" (10 pack) - P75-B1</v>
      </c>
      <c r="F545" s="29" t="str">
        <f>RawList!D515</f>
        <v>2430</v>
      </c>
      <c r="G545" s="101">
        <f>RawList!E515</f>
        <v>1</v>
      </c>
      <c r="H545" s="29" t="str">
        <f>IF(EquipmentTable[[#This Row],[Units]]&gt;0,"Quantity &gt; 0 Items","Quantity = 0 Items")</f>
        <v>Quantity &gt; 0 Items</v>
      </c>
      <c r="I545" s="102">
        <f>RawList!J515</f>
        <v>4.95</v>
      </c>
      <c r="J545" s="14">
        <f>VALUE(EquipmentTable[[#This Row],[Units]]*EquipmentTable[[#This Row],[Unit
 Price]])</f>
        <v>4.95</v>
      </c>
      <c r="K545" s="29">
        <f>RawList!G515</f>
        <v>0</v>
      </c>
      <c r="L545" s="29"/>
      <c r="M545" s="29">
        <f>RawList!F515</f>
        <v>0</v>
      </c>
    </row>
    <row r="546" spans="2:13" hidden="1" x14ac:dyDescent="0.25">
      <c r="B546" s="29" t="str">
        <f>RawList!A516</f>
        <v>Low-Level Electronics</v>
      </c>
      <c r="C546" s="29" t="str">
        <f>RawList!B516</f>
        <v>PogoPins</v>
      </c>
      <c r="D546" s="29" t="str">
        <f>RawList!C516</f>
        <v>Adafruit</v>
      </c>
      <c r="E546" s="29" t="str">
        <f>RawList!H516</f>
        <v xml:space="preserve">Pogo Pins "Spear Head" (10 pack) - P75-LM3 </v>
      </c>
      <c r="F546" s="29" t="str">
        <f>RawList!D516</f>
        <v>394</v>
      </c>
      <c r="G546" s="101">
        <f>RawList!E516</f>
        <v>1</v>
      </c>
      <c r="H546" s="29" t="str">
        <f>IF(EquipmentTable[[#This Row],[Units]]&gt;0,"Quantity &gt; 0 Items","Quantity = 0 Items")</f>
        <v>Quantity &gt; 0 Items</v>
      </c>
      <c r="I546" s="102">
        <f>RawList!J516</f>
        <v>7.5</v>
      </c>
      <c r="J546" s="14">
        <f>VALUE(EquipmentTable[[#This Row],[Units]]*EquipmentTable[[#This Row],[Unit
 Price]])</f>
        <v>7.5</v>
      </c>
      <c r="K546" s="29">
        <f>RawList!G516</f>
        <v>0</v>
      </c>
      <c r="L546" s="29"/>
      <c r="M546" s="29">
        <f>RawList!F516</f>
        <v>0</v>
      </c>
    </row>
    <row r="547" spans="2:13" x14ac:dyDescent="0.25">
      <c r="B547" s="29" t="str">
        <f>RawList!A517</f>
        <v>Low-Level Electronics</v>
      </c>
      <c r="C547" s="29" t="str">
        <f>RawList!B517</f>
        <v>Ribbon/IDC Cables</v>
      </c>
      <c r="D547" s="29" t="str">
        <f>RawList!C517</f>
        <v>SparkFun</v>
      </c>
      <c r="E547" s="29" t="str">
        <f>RawList!H517</f>
        <v>Ribbon Cable - 6 wire (15ft)</v>
      </c>
      <c r="F547" s="29" t="str">
        <f>RawList!D517</f>
        <v>CAB-10646</v>
      </c>
      <c r="G547" s="101">
        <f>RawList!E517</f>
        <v>2</v>
      </c>
      <c r="H547" s="29" t="str">
        <f>IF(EquipmentTable[[#This Row],[Units]]&gt;0,"Quantity &gt; 0 Items","Quantity = 0 Items")</f>
        <v>Quantity &gt; 0 Items</v>
      </c>
      <c r="I547" s="102">
        <f>RawList!J517</f>
        <v>2.95</v>
      </c>
      <c r="J547" s="14">
        <f>VALUE(EquipmentTable[[#This Row],[Units]]*EquipmentTable[[#This Row],[Unit
 Price]])</f>
        <v>5.9</v>
      </c>
      <c r="K547" s="29" t="str">
        <f>RawList!G517</f>
        <v>https://cdn.sparkfun.com/r/92-92/assets/parts/5/4/2/1/10646-02.jpg</v>
      </c>
      <c r="L547" s="29"/>
      <c r="M547" s="29" t="str">
        <f>RawList!F517</f>
        <v>https://www.sparkfun.com/products/10646</v>
      </c>
    </row>
    <row r="548" spans="2:13" x14ac:dyDescent="0.25">
      <c r="B548" s="29" t="str">
        <f>RawList!A518</f>
        <v>Low-Level Electronics</v>
      </c>
      <c r="C548" s="29" t="str">
        <f>RawList!B518</f>
        <v>Ribbon/IDC Cables</v>
      </c>
      <c r="D548" s="29" t="str">
        <f>RawList!C518</f>
        <v>Adafruit</v>
      </c>
      <c r="E548" s="29" t="str">
        <f>RawList!H518</f>
        <v>6-pin Socket/Socket IDC cable - 6"</v>
      </c>
      <c r="F548" s="29" t="str">
        <f>RawList!D518</f>
        <v>371</v>
      </c>
      <c r="G548" s="101">
        <f>RawList!E518</f>
        <v>0</v>
      </c>
      <c r="H548" s="29" t="str">
        <f>IF(EquipmentTable[[#This Row],[Units]]&gt;0,"Quantity &gt; 0 Items","Quantity = 0 Items")</f>
        <v>Quantity = 0 Items</v>
      </c>
      <c r="I548" s="102">
        <f>RawList!J518</f>
        <v>2</v>
      </c>
      <c r="J548" s="14">
        <f>VALUE(EquipmentTable[[#This Row],[Units]]*EquipmentTable[[#This Row],[Unit
 Price]])</f>
        <v>0</v>
      </c>
      <c r="K548" s="29">
        <f>RawList!G518</f>
        <v>0</v>
      </c>
      <c r="L548" s="29"/>
      <c r="M548" s="29">
        <f>RawList!F518</f>
        <v>0</v>
      </c>
    </row>
    <row r="549" spans="2:13" x14ac:dyDescent="0.25">
      <c r="B549" s="29" t="str">
        <f>RawList!A519</f>
        <v>Low-Level Electronics</v>
      </c>
      <c r="C549" s="29" t="str">
        <f>RawList!B519</f>
        <v>Ribbon/IDC Cables</v>
      </c>
      <c r="D549" s="29" t="str">
        <f>RawList!C519</f>
        <v>SparkFun</v>
      </c>
      <c r="E549" s="29" t="str">
        <f>RawList!H519</f>
        <v>Ribbon Cable - 10 wire (3ft)</v>
      </c>
      <c r="F549" s="29" t="str">
        <f>RawList!D519</f>
        <v>CAB-10649</v>
      </c>
      <c r="G549" s="101">
        <f>RawList!E519</f>
        <v>0</v>
      </c>
      <c r="H549" s="29" t="str">
        <f>IF(EquipmentTable[[#This Row],[Units]]&gt;0,"Quantity &gt; 0 Items","Quantity = 0 Items")</f>
        <v>Quantity = 0 Items</v>
      </c>
      <c r="I549" s="102">
        <f>RawList!J519</f>
        <v>0.95</v>
      </c>
      <c r="J549" s="14">
        <f>VALUE(EquipmentTable[[#This Row],[Units]]*EquipmentTable[[#This Row],[Unit
 Price]])</f>
        <v>0</v>
      </c>
      <c r="K549" s="29" t="str">
        <f>RawList!G519</f>
        <v>https://cdn.sparkfun.com/r/92-92/assets/parts/5/4/2/4/10649-01.jpg</v>
      </c>
      <c r="L549" s="29"/>
      <c r="M549" s="29" t="str">
        <f>RawList!F519</f>
        <v>https://www.sparkfun.com/products/10649</v>
      </c>
    </row>
    <row r="550" spans="2:13" x14ac:dyDescent="0.25">
      <c r="B550" s="29" t="str">
        <f>RawList!A520</f>
        <v>Low-Level Electronics</v>
      </c>
      <c r="C550" s="29" t="str">
        <f>RawList!B520</f>
        <v>Ribbon/IDC Cables</v>
      </c>
      <c r="D550" s="29" t="str">
        <f>RawList!C520</f>
        <v>SparkFun</v>
      </c>
      <c r="E550" s="29" t="str">
        <f>RawList!H520</f>
        <v>Ribbon Cable - 10 wire (15ft)</v>
      </c>
      <c r="F550" s="29" t="str">
        <f>RawList!D520</f>
        <v>CAB-10647</v>
      </c>
      <c r="G550" s="101">
        <f>RawList!E520</f>
        <v>1</v>
      </c>
      <c r="H550" s="29" t="str">
        <f>IF(EquipmentTable[[#This Row],[Units]]&gt;0,"Quantity &gt; 0 Items","Quantity = 0 Items")</f>
        <v>Quantity &gt; 0 Items</v>
      </c>
      <c r="I550" s="102">
        <f>RawList!J520</f>
        <v>4.95</v>
      </c>
      <c r="J550" s="14">
        <f>VALUE(EquipmentTable[[#This Row],[Units]]*EquipmentTable[[#This Row],[Unit
 Price]])</f>
        <v>4.95</v>
      </c>
      <c r="K550" s="29" t="str">
        <f>RawList!G520</f>
        <v>https://cdn.sparkfun.com/r/92-92/assets/parts/5/4/2/2/10647-04.jpg</v>
      </c>
      <c r="L550" s="29"/>
      <c r="M550" s="29" t="str">
        <f>RawList!F520</f>
        <v>https://www.sparkfun.com/products/10647</v>
      </c>
    </row>
    <row r="551" spans="2:13" x14ac:dyDescent="0.25">
      <c r="B551" s="29" t="str">
        <f>RawList!A521</f>
        <v>Low-Level Electronics</v>
      </c>
      <c r="C551" s="29" t="str">
        <f>RawList!B521</f>
        <v>Ribbon/IDC Cables</v>
      </c>
      <c r="D551" s="29" t="str">
        <f>RawList!C521</f>
        <v>Adafruit</v>
      </c>
      <c r="E551" s="29" t="str">
        <f>RawList!H521</f>
        <v>10-pin Socket/Socket IDC cable - Short 1.5"</v>
      </c>
      <c r="F551" s="29" t="str">
        <f>RawList!D521</f>
        <v>556</v>
      </c>
      <c r="G551" s="101">
        <f>RawList!E521</f>
        <v>0</v>
      </c>
      <c r="H551" s="29" t="str">
        <f>IF(EquipmentTable[[#This Row],[Units]]&gt;0,"Quantity &gt; 0 Items","Quantity = 0 Items")</f>
        <v>Quantity = 0 Items</v>
      </c>
      <c r="I551" s="102">
        <f>RawList!J521</f>
        <v>1.5</v>
      </c>
      <c r="J551" s="14">
        <f>VALUE(EquipmentTable[[#This Row],[Units]]*EquipmentTable[[#This Row],[Unit
 Price]])</f>
        <v>0</v>
      </c>
      <c r="K551" s="29">
        <f>RawList!G521</f>
        <v>0</v>
      </c>
      <c r="L551" s="29"/>
      <c r="M551" s="29">
        <f>RawList!F521</f>
        <v>0</v>
      </c>
    </row>
    <row r="552" spans="2:13" x14ac:dyDescent="0.25">
      <c r="B552" s="29" t="str">
        <f>RawList!A522</f>
        <v>Low-Level Electronics</v>
      </c>
      <c r="C552" s="29" t="str">
        <f>RawList!B522</f>
        <v>Ribbon/IDC Cables</v>
      </c>
      <c r="D552" s="29" t="str">
        <f>RawList!C522</f>
        <v>Adafruit</v>
      </c>
      <c r="E552" s="29" t="str">
        <f>RawList!H522</f>
        <v xml:space="preserve">10-pin Socket/Socket IDC cable - 6" </v>
      </c>
      <c r="F552" s="29" t="str">
        <f>RawList!D522</f>
        <v>370</v>
      </c>
      <c r="G552" s="101">
        <f>RawList!E522</f>
        <v>0</v>
      </c>
      <c r="H552" s="29" t="str">
        <f>IF(EquipmentTable[[#This Row],[Units]]&gt;0,"Quantity &gt; 0 Items","Quantity = 0 Items")</f>
        <v>Quantity = 0 Items</v>
      </c>
      <c r="I552" s="102">
        <f>RawList!J522</f>
        <v>2</v>
      </c>
      <c r="J552" s="14">
        <f>VALUE(EquipmentTable[[#This Row],[Units]]*EquipmentTable[[#This Row],[Unit
 Price]])</f>
        <v>0</v>
      </c>
      <c r="K552" s="29">
        <f>RawList!G522</f>
        <v>0</v>
      </c>
      <c r="L552" s="29"/>
      <c r="M552" s="29">
        <f>RawList!F522</f>
        <v>0</v>
      </c>
    </row>
    <row r="553" spans="2:13" x14ac:dyDescent="0.25">
      <c r="B553" s="29" t="str">
        <f>RawList!A523</f>
        <v>Low-Level Electronics</v>
      </c>
      <c r="C553" s="29" t="str">
        <f>RawList!B523</f>
        <v>Ribbon/IDC Cables</v>
      </c>
      <c r="D553" s="29" t="str">
        <f>RawList!C523</f>
        <v>Adafruit</v>
      </c>
      <c r="E553" s="29" t="str">
        <f>RawList!H523</f>
        <v>10-pin IDC Socket Rainbow Breakout Cable</v>
      </c>
      <c r="F553" s="29" t="str">
        <f>RawList!D523</f>
        <v>1199</v>
      </c>
      <c r="G553" s="101">
        <f>RawList!E523</f>
        <v>0</v>
      </c>
      <c r="H553" s="29" t="str">
        <f>IF(EquipmentTable[[#This Row],[Units]]&gt;0,"Quantity &gt; 0 Items","Quantity = 0 Items")</f>
        <v>Quantity = 0 Items</v>
      </c>
      <c r="I553" s="102">
        <f>RawList!J523</f>
        <v>3.95</v>
      </c>
      <c r="J553" s="14">
        <f>VALUE(EquipmentTable[[#This Row],[Units]]*EquipmentTable[[#This Row],[Unit
 Price]])</f>
        <v>0</v>
      </c>
      <c r="K553" s="29">
        <f>RawList!G523</f>
        <v>0</v>
      </c>
      <c r="L553" s="29"/>
      <c r="M553" s="29">
        <f>RawList!F523</f>
        <v>0</v>
      </c>
    </row>
    <row r="554" spans="2:13" x14ac:dyDescent="0.25">
      <c r="B554" s="29" t="str">
        <f>RawList!A524</f>
        <v>Low-Level Electronics</v>
      </c>
      <c r="C554" s="29" t="str">
        <f>RawList!B524</f>
        <v>Ribbon/IDC Cables</v>
      </c>
      <c r="D554" s="29" t="str">
        <f>RawList!C524</f>
        <v>SparkFun</v>
      </c>
      <c r="E554" s="29" t="str">
        <f>RawList!H524</f>
        <v>2x5 Pin IDC Ribbon Cable</v>
      </c>
      <c r="F554" s="29" t="str">
        <f>RawList!D524</f>
        <v>PRT-08535</v>
      </c>
      <c r="G554" s="101">
        <f>RawList!E524</f>
        <v>0</v>
      </c>
      <c r="H554" s="29" t="str">
        <f>IF(EquipmentTable[[#This Row],[Units]]&gt;0,"Quantity &gt; 0 Items","Quantity = 0 Items")</f>
        <v>Quantity = 0 Items</v>
      </c>
      <c r="I554" s="102">
        <f>RawList!J524</f>
        <v>1.5</v>
      </c>
      <c r="J554" s="14">
        <f>VALUE(EquipmentTable[[#This Row],[Units]]*EquipmentTable[[#This Row],[Unit
 Price]])</f>
        <v>0</v>
      </c>
      <c r="K554" s="29" t="str">
        <f>RawList!G524</f>
        <v>https://cdn.sparkfun.com/r/92-92/assets/parts/1/2/4/8/CAB-08535-03-L.jpg</v>
      </c>
      <c r="L554" s="29"/>
      <c r="M554" s="29" t="str">
        <f>RawList!F524</f>
        <v>https://www.sparkfun.com/products/8535</v>
      </c>
    </row>
    <row r="555" spans="2:13" x14ac:dyDescent="0.25">
      <c r="B555" s="29" t="str">
        <f>RawList!A525</f>
        <v>Low-Level Electronics</v>
      </c>
      <c r="C555" s="29" t="str">
        <f>RawList!B525</f>
        <v>Ribbon/IDC Cables</v>
      </c>
      <c r="D555" s="29" t="str">
        <f>RawList!C525</f>
        <v>Adafruit</v>
      </c>
      <c r="E555" s="29" t="str">
        <f>RawList!H525</f>
        <v>10-pin 2x5 Socket-Socket 1.27mm IDC (SWD) Cable - 150mm long</v>
      </c>
      <c r="F555" s="29" t="str">
        <f>RawList!D525</f>
        <v>1675</v>
      </c>
      <c r="G555" s="101">
        <f>RawList!E525</f>
        <v>0</v>
      </c>
      <c r="H555" s="29" t="str">
        <f>IF(EquipmentTable[[#This Row],[Units]]&gt;0,"Quantity &gt; 0 Items","Quantity = 0 Items")</f>
        <v>Quantity = 0 Items</v>
      </c>
      <c r="I555" s="102">
        <f>RawList!J525</f>
        <v>2.95</v>
      </c>
      <c r="J555" s="14">
        <f>VALUE(EquipmentTable[[#This Row],[Units]]*EquipmentTable[[#This Row],[Unit
 Price]])</f>
        <v>0</v>
      </c>
      <c r="K555" s="29">
        <f>RawList!G525</f>
        <v>0</v>
      </c>
      <c r="L555" s="29"/>
      <c r="M555" s="29">
        <f>RawList!F525</f>
        <v>0</v>
      </c>
    </row>
    <row r="556" spans="2:13" x14ac:dyDescent="0.25">
      <c r="B556" s="29" t="str">
        <f>RawList!A526</f>
        <v>Low-Level Electronics</v>
      </c>
      <c r="C556" s="29" t="str">
        <f>RawList!B526</f>
        <v>Rotary Potentiometers/Encoders/Switches</v>
      </c>
      <c r="D556" s="29" t="str">
        <f>RawList!C526</f>
        <v>SparkFun</v>
      </c>
      <c r="E556" s="29" t="str">
        <f>RawList!H526</f>
        <v>Rotary Potentiometer - 10k Ohm, Linear</v>
      </c>
      <c r="F556" s="29" t="str">
        <f>RawList!D526</f>
        <v>COM-09939</v>
      </c>
      <c r="G556" s="101">
        <f>RawList!E526</f>
        <v>0</v>
      </c>
      <c r="H556" s="29" t="str">
        <f>IF(EquipmentTable[[#This Row],[Units]]&gt;0,"Quantity &gt; 0 Items","Quantity = 0 Items")</f>
        <v>Quantity = 0 Items</v>
      </c>
      <c r="I556" s="102">
        <f>RawList!J526</f>
        <v>0.95</v>
      </c>
      <c r="J556" s="14">
        <f>VALUE(EquipmentTable[[#This Row],[Units]]*EquipmentTable[[#This Row],[Unit
 Price]])</f>
        <v>0</v>
      </c>
      <c r="K556" s="29" t="str">
        <f>RawList!G526</f>
        <v>https://cdn.sparkfun.com/r/92-92/assets/parts/4/0/4/9/09939-01.jpg</v>
      </c>
      <c r="L556" s="29"/>
      <c r="M556" s="29" t="str">
        <f>RawList!F526</f>
        <v>https://www.sparkfun.com/products/9939</v>
      </c>
    </row>
    <row r="557" spans="2:13" x14ac:dyDescent="0.25">
      <c r="B557" s="29" t="str">
        <f>RawList!A527</f>
        <v>Low-Level Electronics</v>
      </c>
      <c r="C557" s="29" t="str">
        <f>RawList!B527</f>
        <v>Rotary Potentiometers/Encoders/Switches</v>
      </c>
      <c r="D557" s="29" t="str">
        <f>RawList!C527</f>
        <v>SparkFun</v>
      </c>
      <c r="E557" s="29" t="str">
        <f>RawList!H527</f>
        <v>Rotary Potentiometer - 10k Ohm, Logarithmic</v>
      </c>
      <c r="F557" s="29" t="str">
        <f>RawList!D527</f>
        <v>COM-09940</v>
      </c>
      <c r="G557" s="101">
        <f>RawList!E527</f>
        <v>0</v>
      </c>
      <c r="H557" s="29" t="str">
        <f>IF(EquipmentTable[[#This Row],[Units]]&gt;0,"Quantity &gt; 0 Items","Quantity = 0 Items")</f>
        <v>Quantity = 0 Items</v>
      </c>
      <c r="I557" s="102">
        <f>RawList!J527</f>
        <v>0.95</v>
      </c>
      <c r="J557" s="14">
        <f>VALUE(EquipmentTable[[#This Row],[Units]]*EquipmentTable[[#This Row],[Unit
 Price]])</f>
        <v>0</v>
      </c>
      <c r="K557" s="29" t="str">
        <f>RawList!G527</f>
        <v>https://cdn.sparkfun.com/r/92-92/assets/parts/4/0/5/0/09940-01.jpg</v>
      </c>
      <c r="L557" s="29"/>
      <c r="M557" s="29" t="str">
        <f>RawList!F527</f>
        <v>https://www.sparkfun.com/products/9940</v>
      </c>
    </row>
    <row r="558" spans="2:13" x14ac:dyDescent="0.25">
      <c r="B558" s="29" t="str">
        <f>RawList!A528</f>
        <v>Low-Level Electronics</v>
      </c>
      <c r="C558" s="29" t="str">
        <f>RawList!B528</f>
        <v>Rotary Potentiometers/Encoders/Switches</v>
      </c>
      <c r="D558" s="29" t="str">
        <f>RawList!C528</f>
        <v>SparkFun</v>
      </c>
      <c r="E558" s="29" t="str">
        <f>RawList!H528</f>
        <v>Rotary Potentiometer - Linear (10k ohm)</v>
      </c>
      <c r="F558" s="29" t="str">
        <f>RawList!D528</f>
        <v>COM-09288</v>
      </c>
      <c r="G558" s="101">
        <f>RawList!E528</f>
        <v>5</v>
      </c>
      <c r="H558" s="29" t="str">
        <f>IF(EquipmentTable[[#This Row],[Units]]&gt;0,"Quantity &gt; 0 Items","Quantity = 0 Items")</f>
        <v>Quantity &gt; 0 Items</v>
      </c>
      <c r="I558" s="102">
        <f>RawList!J528</f>
        <v>0.95</v>
      </c>
      <c r="J558" s="14">
        <f>VALUE(EquipmentTable[[#This Row],[Units]]*EquipmentTable[[#This Row],[Unit
 Price]])</f>
        <v>4.75</v>
      </c>
      <c r="K558" s="29" t="str">
        <f>RawList!G528</f>
        <v>https://cdn.sparkfun.com/r/92-92/assets/parts/2/7/9/4/09288-1.jpg</v>
      </c>
      <c r="L558" s="29"/>
      <c r="M558" s="29" t="str">
        <f>RawList!F528</f>
        <v>https://www.sparkfun.com/products/9288</v>
      </c>
    </row>
    <row r="559" spans="2:13" x14ac:dyDescent="0.25">
      <c r="B559" s="29" t="str">
        <f>RawList!A529</f>
        <v>Low-Level Electronics</v>
      </c>
      <c r="C559" s="29" t="str">
        <f>RawList!B529</f>
        <v>Rotary Potentiometers/Encoders/Switches</v>
      </c>
      <c r="D559" s="29" t="str">
        <f>RawList!C529</f>
        <v>Adafruit</v>
      </c>
      <c r="E559" s="29" t="str">
        <f>RawList!H529</f>
        <v xml:space="preserve">Panel Mount 10K Dual Linear Potentiometer - 10K Dual Linear </v>
      </c>
      <c r="F559" s="29" t="str">
        <f>RawList!D529</f>
        <v>3392</v>
      </c>
      <c r="G559" s="101">
        <f>RawList!E529</f>
        <v>0</v>
      </c>
      <c r="H559" s="29" t="str">
        <f>IF(EquipmentTable[[#This Row],[Units]]&gt;0,"Quantity &gt; 0 Items","Quantity = 0 Items")</f>
        <v>Quantity = 0 Items</v>
      </c>
      <c r="I559" s="102">
        <f>RawList!J529</f>
        <v>1.5</v>
      </c>
      <c r="J559" s="14">
        <f>VALUE(EquipmentTable[[#This Row],[Units]]*EquipmentTable[[#This Row],[Unit
 Price]])</f>
        <v>0</v>
      </c>
      <c r="K559" s="29">
        <f>RawList!G529</f>
        <v>0</v>
      </c>
      <c r="L559" s="29"/>
      <c r="M559" s="29">
        <f>RawList!F529</f>
        <v>0</v>
      </c>
    </row>
    <row r="560" spans="2:13" x14ac:dyDescent="0.25">
      <c r="B560" s="29" t="str">
        <f>RawList!A530</f>
        <v>Low-Level Electronics</v>
      </c>
      <c r="C560" s="29" t="str">
        <f>RawList!B530</f>
        <v>Rotary Potentiometers/Encoders/Switches</v>
      </c>
      <c r="D560" s="29" t="str">
        <f>RawList!C530</f>
        <v>Adafruit</v>
      </c>
      <c r="E560" s="29" t="str">
        <f>RawList!H530</f>
        <v xml:space="preserve">Panel Mount 10K Dual Linear Potentiometer w/ On-Off Switch - 10K Dual Linear w/ Switch </v>
      </c>
      <c r="F560" s="29" t="str">
        <f>RawList!D530</f>
        <v>3393</v>
      </c>
      <c r="G560" s="101">
        <f>RawList!E530</f>
        <v>0</v>
      </c>
      <c r="H560" s="29" t="str">
        <f>IF(EquipmentTable[[#This Row],[Units]]&gt;0,"Quantity &gt; 0 Items","Quantity = 0 Items")</f>
        <v>Quantity = 0 Items</v>
      </c>
      <c r="I560" s="102">
        <f>RawList!J530</f>
        <v>1.75</v>
      </c>
      <c r="J560" s="14">
        <f>VALUE(EquipmentTable[[#This Row],[Units]]*EquipmentTable[[#This Row],[Unit
 Price]])</f>
        <v>0</v>
      </c>
      <c r="K560" s="29">
        <f>RawList!G530</f>
        <v>0</v>
      </c>
      <c r="L560" s="29"/>
      <c r="M560" s="29">
        <f>RawList!F530</f>
        <v>0</v>
      </c>
    </row>
    <row r="561" spans="2:13" x14ac:dyDescent="0.25">
      <c r="B561" s="29" t="str">
        <f>RawList!A531</f>
        <v>Low-Level Electronics</v>
      </c>
      <c r="C561" s="29" t="str">
        <f>RawList!B531</f>
        <v>Rotary Potentiometers/Encoders/Switches</v>
      </c>
      <c r="D561" s="29" t="str">
        <f>RawList!C531</f>
        <v>Adafruit</v>
      </c>
      <c r="E561" s="29" t="str">
        <f>RawList!H531</f>
        <v xml:space="preserve">Panel Mount 10K potentiometer (Breadboard Friendly) - 10K Linear </v>
      </c>
      <c r="F561" s="29" t="str">
        <f>RawList!D531</f>
        <v>562</v>
      </c>
      <c r="G561" s="101">
        <f>RawList!E531</f>
        <v>0</v>
      </c>
      <c r="H561" s="29" t="str">
        <f>IF(EquipmentTable[[#This Row],[Units]]&gt;0,"Quantity &gt; 0 Items","Quantity = 0 Items")</f>
        <v>Quantity = 0 Items</v>
      </c>
      <c r="I561" s="102">
        <f>RawList!J531</f>
        <v>0.95</v>
      </c>
      <c r="J561" s="14">
        <f>VALUE(EquipmentTable[[#This Row],[Units]]*EquipmentTable[[#This Row],[Unit
 Price]])</f>
        <v>0</v>
      </c>
      <c r="K561" s="29">
        <f>RawList!G531</f>
        <v>0</v>
      </c>
      <c r="L561" s="29"/>
      <c r="M561" s="29">
        <f>RawList!F531</f>
        <v>0</v>
      </c>
    </row>
    <row r="562" spans="2:13" x14ac:dyDescent="0.25">
      <c r="B562" s="29" t="str">
        <f>RawList!A532</f>
        <v>Low-Level Electronics</v>
      </c>
      <c r="C562" s="29" t="str">
        <f>RawList!B532</f>
        <v>Rotary Potentiometers/Encoders/Switches</v>
      </c>
      <c r="D562" s="29" t="str">
        <f>RawList!C532</f>
        <v>Adafruit</v>
      </c>
      <c r="E562" s="29" t="str">
        <f>RawList!H532</f>
        <v xml:space="preserve">Panel Mount 1K potentiometer (Breadboard Friendly) - 1K Linear </v>
      </c>
      <c r="F562" s="29" t="str">
        <f>RawList!D532</f>
        <v>1789</v>
      </c>
      <c r="G562" s="101">
        <f>RawList!E532</f>
        <v>0</v>
      </c>
      <c r="H562" s="29" t="str">
        <f>IF(EquipmentTable[[#This Row],[Units]]&gt;0,"Quantity &gt; 0 Items","Quantity = 0 Items")</f>
        <v>Quantity = 0 Items</v>
      </c>
      <c r="I562" s="102">
        <f>RawList!J532</f>
        <v>0.95</v>
      </c>
      <c r="J562" s="14">
        <f>VALUE(EquipmentTable[[#This Row],[Units]]*EquipmentTable[[#This Row],[Unit
 Price]])</f>
        <v>0</v>
      </c>
      <c r="K562" s="29">
        <f>RawList!G532</f>
        <v>0</v>
      </c>
      <c r="L562" s="29"/>
      <c r="M562" s="29">
        <f>RawList!F532</f>
        <v>0</v>
      </c>
    </row>
    <row r="563" spans="2:13" x14ac:dyDescent="0.25">
      <c r="B563" s="29" t="str">
        <f>RawList!A533</f>
        <v>Low-Level Electronics</v>
      </c>
      <c r="C563" s="29" t="str">
        <f>RawList!B533</f>
        <v>Rotary Potentiometers/Encoders/Switches</v>
      </c>
      <c r="D563" s="29" t="str">
        <f>RawList!C533</f>
        <v>Adafruit</v>
      </c>
      <c r="E563" s="29" t="str">
        <f>RawList!H533</f>
        <v xml:space="preserve">Panel Mount Right Angle 10K Linear Potentiometer w/On-Off Switch - 10K Linear w/ Switch </v>
      </c>
      <c r="F563" s="29" t="str">
        <f>RawList!D533</f>
        <v>3395</v>
      </c>
      <c r="G563" s="101">
        <f>RawList!E533</f>
        <v>5</v>
      </c>
      <c r="H563" s="29" t="str">
        <f>IF(EquipmentTable[[#This Row],[Units]]&gt;0,"Quantity &gt; 0 Items","Quantity = 0 Items")</f>
        <v>Quantity &gt; 0 Items</v>
      </c>
      <c r="I563" s="102">
        <f>RawList!J533</f>
        <v>1.5</v>
      </c>
      <c r="J563" s="14">
        <f>VALUE(EquipmentTable[[#This Row],[Units]]*EquipmentTable[[#This Row],[Unit
 Price]])</f>
        <v>7.5</v>
      </c>
      <c r="K563" s="29">
        <f>RawList!G533</f>
        <v>0</v>
      </c>
      <c r="L563" s="29"/>
      <c r="M563" s="29">
        <f>RawList!F533</f>
        <v>0</v>
      </c>
    </row>
    <row r="564" spans="2:13" x14ac:dyDescent="0.25">
      <c r="B564" s="29" t="str">
        <f>RawList!A534</f>
        <v>Low-Level Electronics</v>
      </c>
      <c r="C564" s="29" t="str">
        <f>RawList!B534</f>
        <v>Rotary Potentiometers/Encoders/Switches</v>
      </c>
      <c r="D564" s="29" t="str">
        <f>RawList!C534</f>
        <v>SparkFun</v>
      </c>
      <c r="E564" s="29" t="str">
        <f>RawList!H534</f>
        <v>Rotary Encoder</v>
      </c>
      <c r="F564" s="29" t="str">
        <f>RawList!D534</f>
        <v>COM-09117</v>
      </c>
      <c r="G564" s="101">
        <f>RawList!E534</f>
        <v>0</v>
      </c>
      <c r="H564" s="29" t="str">
        <f>IF(EquipmentTable[[#This Row],[Units]]&gt;0,"Quantity &gt; 0 Items","Quantity = 0 Items")</f>
        <v>Quantity = 0 Items</v>
      </c>
      <c r="I564" s="102">
        <f>RawList!J534</f>
        <v>2.95</v>
      </c>
      <c r="J564" s="14">
        <f>VALUE(EquipmentTable[[#This Row],[Units]]*EquipmentTable[[#This Row],[Unit
 Price]])</f>
        <v>0</v>
      </c>
      <c r="K564" s="29" t="str">
        <f>RawList!G534</f>
        <v>https://cdn.sparkfun.com/r/92-92/assets/parts/2/5/2/0/09117-03-L.jpg</v>
      </c>
      <c r="L564" s="29"/>
      <c r="M564" s="29" t="str">
        <f>RawList!F534</f>
        <v>https://www.sparkfun.com/products/9117</v>
      </c>
    </row>
    <row r="565" spans="2:13" x14ac:dyDescent="0.25">
      <c r="B565" s="29" t="str">
        <f>RawList!A535</f>
        <v>Low-Level Electronics</v>
      </c>
      <c r="C565" s="29" t="str">
        <f>RawList!B535</f>
        <v>Rotary Potentiometers/Encoders/Switches</v>
      </c>
      <c r="D565" s="29" t="str">
        <f>RawList!C535</f>
        <v>SparkFun</v>
      </c>
      <c r="E565" s="29" t="str">
        <f>RawList!H535</f>
        <v>Rotary Encoder - Illuminated (Red/Green)</v>
      </c>
      <c r="F565" s="29" t="str">
        <f>RawList!D535</f>
        <v>COM-10596</v>
      </c>
      <c r="G565" s="101">
        <f>RawList!E535</f>
        <v>0</v>
      </c>
      <c r="H565" s="29" t="str">
        <f>IF(EquipmentTable[[#This Row],[Units]]&gt;0,"Quantity &gt; 0 Items","Quantity = 0 Items")</f>
        <v>Quantity = 0 Items</v>
      </c>
      <c r="I565" s="102">
        <f>RawList!J535</f>
        <v>2.95</v>
      </c>
      <c r="J565" s="14">
        <f>VALUE(EquipmentTable[[#This Row],[Units]]*EquipmentTable[[#This Row],[Unit
 Price]])</f>
        <v>0</v>
      </c>
      <c r="K565" s="29" t="str">
        <f>RawList!G535</f>
        <v>https://cdn.sparkfun.com/r/92-92/assets/parts/5/2/3/9/10596-01.jpg</v>
      </c>
      <c r="L565" s="29"/>
      <c r="M565" s="29" t="str">
        <f>RawList!F535</f>
        <v>https://www.sparkfun.com/products/10596</v>
      </c>
    </row>
    <row r="566" spans="2:13" x14ac:dyDescent="0.25">
      <c r="B566" s="29" t="str">
        <f>RawList!A536</f>
        <v>Low-Level Electronics</v>
      </c>
      <c r="C566" s="29" t="str">
        <f>RawList!B536</f>
        <v>Rotary Potentiometers/Encoders/Switches</v>
      </c>
      <c r="D566" s="29" t="str">
        <f>RawList!C536</f>
        <v>SparkFun</v>
      </c>
      <c r="E566" s="29" t="str">
        <f>RawList!H536</f>
        <v>Rotary Encoder - Illuminated (RGB)</v>
      </c>
      <c r="F566" s="29" t="str">
        <f>RawList!D536</f>
        <v>COM-10982</v>
      </c>
      <c r="G566" s="101">
        <f>RawList!E536</f>
        <v>0</v>
      </c>
      <c r="H566" s="29" t="str">
        <f>IF(EquipmentTable[[#This Row],[Units]]&gt;0,"Quantity &gt; 0 Items","Quantity = 0 Items")</f>
        <v>Quantity = 0 Items</v>
      </c>
      <c r="I566" s="102">
        <f>RawList!J536</f>
        <v>3.95</v>
      </c>
      <c r="J566" s="14">
        <f>VALUE(EquipmentTable[[#This Row],[Units]]*EquipmentTable[[#This Row],[Unit
 Price]])</f>
        <v>0</v>
      </c>
      <c r="K566" s="29" t="str">
        <f>RawList!G536</f>
        <v>https://cdn.sparkfun.com/r/92-92/assets/parts/6/2/1/9/10982-01a.jpg</v>
      </c>
      <c r="L566" s="29"/>
      <c r="M566" s="29" t="str">
        <f>RawList!F536</f>
        <v>https://www.sparkfun.com/products/10982</v>
      </c>
    </row>
    <row r="567" spans="2:13" x14ac:dyDescent="0.25">
      <c r="B567" s="29" t="str">
        <f>RawList!A537</f>
        <v>Low-Level Electronics</v>
      </c>
      <c r="C567" s="29" t="str">
        <f>RawList!B537</f>
        <v>Rotary Potentiometers/Encoders/Switches</v>
      </c>
      <c r="D567" s="29" t="str">
        <f>RawList!C537</f>
        <v>SparkFun</v>
      </c>
      <c r="E567" s="29" t="str">
        <f>RawList!H537</f>
        <v>SparkFun Rotary Encoder Breakout - Illuminated (RG/RGB)</v>
      </c>
      <c r="F567" s="29" t="str">
        <f>RawList!D537</f>
        <v>BOB-11722</v>
      </c>
      <c r="G567" s="101">
        <f>RawList!E537</f>
        <v>0</v>
      </c>
      <c r="H567" s="29" t="str">
        <f>IF(EquipmentTable[[#This Row],[Units]]&gt;0,"Quantity &gt; 0 Items","Quantity = 0 Items")</f>
        <v>Quantity = 0 Items</v>
      </c>
      <c r="I567" s="102">
        <f>RawList!J537</f>
        <v>2.95</v>
      </c>
      <c r="J567" s="14">
        <f>VALUE(EquipmentTable[[#This Row],[Units]]*EquipmentTable[[#This Row],[Unit
 Price]])</f>
        <v>0</v>
      </c>
      <c r="K567" s="29" t="str">
        <f>RawList!G537</f>
        <v>https://cdn.sparkfun.com/r/92-92/assets/parts/7/9/3/3/11722-03.jpg</v>
      </c>
      <c r="L567" s="29"/>
      <c r="M567" s="29" t="str">
        <f>RawList!F537</f>
        <v>https://www.sparkfun.com/products/11722</v>
      </c>
    </row>
    <row r="568" spans="2:13" x14ac:dyDescent="0.25">
      <c r="B568" s="29" t="str">
        <f>RawList!A538</f>
        <v>Low-Level Electronics</v>
      </c>
      <c r="C568" s="29" t="str">
        <f>RawList!B538</f>
        <v>Rotary Potentiometers/Encoders/Switches</v>
      </c>
      <c r="D568" s="29" t="str">
        <f>RawList!C538</f>
        <v>Adafruit</v>
      </c>
      <c r="E568" s="29" t="str">
        <f>RawList!H538</f>
        <v xml:space="preserve">Rotary Encoder + Extras </v>
      </c>
      <c r="F568" s="29" t="str">
        <f>RawList!D538</f>
        <v>377</v>
      </c>
      <c r="G568" s="101">
        <f>RawList!E538</f>
        <v>0</v>
      </c>
      <c r="H568" s="29" t="str">
        <f>IF(EquipmentTable[[#This Row],[Units]]&gt;0,"Quantity &gt; 0 Items","Quantity = 0 Items")</f>
        <v>Quantity = 0 Items</v>
      </c>
      <c r="I568" s="102">
        <f>RawList!J538</f>
        <v>4.5</v>
      </c>
      <c r="J568" s="14">
        <f>VALUE(EquipmentTable[[#This Row],[Units]]*EquipmentTable[[#This Row],[Unit
 Price]])</f>
        <v>0</v>
      </c>
      <c r="K568" s="29">
        <f>RawList!G538</f>
        <v>0</v>
      </c>
      <c r="L568" s="29"/>
      <c r="M568" s="29">
        <f>RawList!F538</f>
        <v>0</v>
      </c>
    </row>
    <row r="569" spans="2:13" x14ac:dyDescent="0.25">
      <c r="B569" s="29" t="str">
        <f>RawList!A539</f>
        <v>Low-Level Electronics</v>
      </c>
      <c r="C569" s="29" t="str">
        <f>RawList!B539</f>
        <v>Rotary Potentiometers/Encoders/Switches</v>
      </c>
      <c r="D569" s="29" t="str">
        <f>RawList!C539</f>
        <v>SparkFun</v>
      </c>
      <c r="E569" s="29" t="str">
        <f>RawList!H539</f>
        <v>Rotary Switch - 10 Position</v>
      </c>
      <c r="F569" s="29" t="str">
        <f>RawList!D539</f>
        <v>COM-13253</v>
      </c>
      <c r="G569" s="101">
        <f>RawList!E539</f>
        <v>5</v>
      </c>
      <c r="H569" s="29" t="str">
        <f>IF(EquipmentTable[[#This Row],[Units]]&gt;0,"Quantity &gt; 0 Items","Quantity = 0 Items")</f>
        <v>Quantity &gt; 0 Items</v>
      </c>
      <c r="I569" s="102">
        <f>RawList!J539</f>
        <v>1.95</v>
      </c>
      <c r="J569" s="14">
        <f>VALUE(EquipmentTable[[#This Row],[Units]]*EquipmentTable[[#This Row],[Unit
 Price]])</f>
        <v>9.75</v>
      </c>
      <c r="K569" s="29" t="str">
        <f>RawList!G539</f>
        <v>https://cdn.sparkfun.com/r/92-92/assets/parts/9/8/3/4/13253-01.jpg</v>
      </c>
      <c r="L569" s="29"/>
      <c r="M569" s="29" t="str">
        <f>RawList!F539</f>
        <v>https://www.sparkfun.com/products/13253</v>
      </c>
    </row>
    <row r="570" spans="2:13" x14ac:dyDescent="0.25">
      <c r="B570" s="29" t="str">
        <f>RawList!A540</f>
        <v>Low-Level Electronics</v>
      </c>
      <c r="C570" s="29" t="str">
        <f>RawList!B540</f>
        <v>Rotary Potentiometers/Encoders/Switches</v>
      </c>
      <c r="D570" s="29" t="str">
        <f>RawList!C540</f>
        <v>SparkFun</v>
      </c>
      <c r="E570" s="29" t="str">
        <f>RawList!H540</f>
        <v>SparkFun Rotary Switch Breakout</v>
      </c>
      <c r="F570" s="29" t="str">
        <f>RawList!D540</f>
        <v>BOB-13098</v>
      </c>
      <c r="G570" s="101">
        <f>RawList!E540</f>
        <v>5</v>
      </c>
      <c r="H570" s="29" t="str">
        <f>IF(EquipmentTable[[#This Row],[Units]]&gt;0,"Quantity &gt; 0 Items","Quantity = 0 Items")</f>
        <v>Quantity &gt; 0 Items</v>
      </c>
      <c r="I570" s="102">
        <f>RawList!J540</f>
        <v>1.95</v>
      </c>
      <c r="J570" s="14">
        <f>VALUE(EquipmentTable[[#This Row],[Units]]*EquipmentTable[[#This Row],[Unit
 Price]])</f>
        <v>9.75</v>
      </c>
      <c r="K570" s="29" t="str">
        <f>RawList!G540</f>
        <v>https://cdn.sparkfun.com/r/92-92/assets/parts/1/0/1/4/0/13098-03.jpg</v>
      </c>
      <c r="L570" s="29"/>
      <c r="M570" s="29" t="str">
        <f>RawList!F540</f>
        <v>https://www.sparkfun.com/products/13098</v>
      </c>
    </row>
    <row r="571" spans="2:13" x14ac:dyDescent="0.25">
      <c r="B571" s="29" t="str">
        <f>RawList!A541</f>
        <v>Low-Level Electronics</v>
      </c>
      <c r="C571" s="29" t="str">
        <f>RawList!B541</f>
        <v>Rotary Potentiometers/Encoders/Switches</v>
      </c>
      <c r="D571" s="29" t="str">
        <f>RawList!C541</f>
        <v>SparkFun</v>
      </c>
      <c r="E571" s="29" t="str">
        <f>RawList!H541</f>
        <v>SparkFun Rotary Switch Potentiometer Breakout</v>
      </c>
      <c r="F571" s="29" t="str">
        <f>RawList!D541</f>
        <v>BOB-13099</v>
      </c>
      <c r="G571" s="101">
        <f>RawList!E541</f>
        <v>5</v>
      </c>
      <c r="H571" s="29" t="str">
        <f>IF(EquipmentTable[[#This Row],[Units]]&gt;0,"Quantity &gt; 0 Items","Quantity = 0 Items")</f>
        <v>Quantity &gt; 0 Items</v>
      </c>
      <c r="I571" s="102">
        <f>RawList!J541</f>
        <v>1.95</v>
      </c>
      <c r="J571" s="14">
        <f>VALUE(EquipmentTable[[#This Row],[Units]]*EquipmentTable[[#This Row],[Unit
 Price]])</f>
        <v>9.75</v>
      </c>
      <c r="K571" s="29" t="str">
        <f>RawList!G541</f>
        <v>https://cdn.sparkfun.com/r/92-92/assets/parts/1/0/1/4/1/13099-01.jpg</v>
      </c>
      <c r="L571" s="29"/>
      <c r="M571" s="29" t="str">
        <f>RawList!F541</f>
        <v>https://www.sparkfun.com/products/13099</v>
      </c>
    </row>
    <row r="572" spans="2:13" x14ac:dyDescent="0.25">
      <c r="B572" s="29" t="str">
        <f>RawList!A542</f>
        <v>Low-Level Electronics</v>
      </c>
      <c r="C572" s="29" t="str">
        <f>RawList!B542</f>
        <v>Rotary Potentiometers/Encoders/Switches</v>
      </c>
      <c r="D572" s="29" t="str">
        <f>RawList!C542</f>
        <v>Adafruit</v>
      </c>
      <c r="E572" s="29" t="str">
        <f>RawList!H542</f>
        <v xml:space="preserve">Mini 8-Way Rotary Selector Switch - SP8T </v>
      </c>
      <c r="F572" s="29" t="str">
        <f>RawList!D542</f>
        <v>2925</v>
      </c>
      <c r="G572" s="101">
        <f>RawList!E542</f>
        <v>0</v>
      </c>
      <c r="H572" s="29" t="str">
        <f>IF(EquipmentTable[[#This Row],[Units]]&gt;0,"Quantity &gt; 0 Items","Quantity = 0 Items")</f>
        <v>Quantity = 0 Items</v>
      </c>
      <c r="I572" s="102">
        <f>RawList!J542</f>
        <v>1.95</v>
      </c>
      <c r="J572" s="14">
        <f>VALUE(EquipmentTable[[#This Row],[Units]]*EquipmentTable[[#This Row],[Unit
 Price]])</f>
        <v>0</v>
      </c>
      <c r="K572" s="29">
        <f>RawList!G542</f>
        <v>0</v>
      </c>
      <c r="L572" s="29"/>
      <c r="M572" s="29">
        <f>RawList!F542</f>
        <v>0</v>
      </c>
    </row>
    <row r="573" spans="2:13" x14ac:dyDescent="0.25">
      <c r="B573" s="29" t="str">
        <f>RawList!A543</f>
        <v>Low-Level Electronics</v>
      </c>
      <c r="C573" s="29" t="str">
        <f>RawList!B543</f>
        <v>Solid/Stranded Hookup Wire</v>
      </c>
      <c r="D573" s="29" t="str">
        <f>RawList!C543</f>
        <v>SparkFun</v>
      </c>
      <c r="E573" s="29" t="str">
        <f>RawList!H543</f>
        <v>Hook-Up Wire - Assortment (Solid Core, 22 AWG)</v>
      </c>
      <c r="F573" s="29" t="str">
        <f>RawList!D543</f>
        <v>PRT-11367</v>
      </c>
      <c r="G573" s="101">
        <f>RawList!E543</f>
        <v>0</v>
      </c>
      <c r="H573" s="29" t="str">
        <f>IF(EquipmentTable[[#This Row],[Units]]&gt;0,"Quantity &gt; 0 Items","Quantity = 0 Items")</f>
        <v>Quantity = 0 Items</v>
      </c>
      <c r="I573" s="102">
        <f>RawList!J543</f>
        <v>16.95</v>
      </c>
      <c r="J573" s="14">
        <f>VALUE(EquipmentTable[[#This Row],[Units]]*EquipmentTable[[#This Row],[Unit
 Price]])</f>
        <v>0</v>
      </c>
      <c r="K573" s="29" t="str">
        <f>RawList!G543</f>
        <v>https://cdn.sparkfun.com/r/92-92/assets/parts/7/1/0/8/11367-04a.jpg</v>
      </c>
      <c r="L573" s="29"/>
      <c r="M573" s="29" t="str">
        <f>RawList!F543</f>
        <v>https://www.sparkfun.com/products/11367</v>
      </c>
    </row>
    <row r="574" spans="2:13" x14ac:dyDescent="0.25">
      <c r="B574" s="29" t="str">
        <f>RawList!A544</f>
        <v>Low-Level Electronics</v>
      </c>
      <c r="C574" s="29" t="str">
        <f>RawList!B544</f>
        <v>Solid/Stranded Hookup Wire</v>
      </c>
      <c r="D574" s="29" t="str">
        <f>RawList!C544</f>
        <v>Adafruit</v>
      </c>
      <c r="E574" s="29" t="str">
        <f>RawList!H544</f>
        <v>Hook-up Wire Spool Set - 22AWG Solid Core - 10 x 25ft</v>
      </c>
      <c r="F574" s="29" t="str">
        <f>RawList!D544</f>
        <v>3174</v>
      </c>
      <c r="G574" s="101">
        <f>RawList!E544</f>
        <v>1</v>
      </c>
      <c r="H574" s="29" t="str">
        <f>IF(EquipmentTable[[#This Row],[Units]]&gt;0,"Quantity &gt; 0 Items","Quantity = 0 Items")</f>
        <v>Quantity &gt; 0 Items</v>
      </c>
      <c r="I574" s="102">
        <f>RawList!J544</f>
        <v>27.5</v>
      </c>
      <c r="J574" s="14">
        <f>VALUE(EquipmentTable[[#This Row],[Units]]*EquipmentTable[[#This Row],[Unit
 Price]])</f>
        <v>27.5</v>
      </c>
      <c r="K574" s="29">
        <f>RawList!G544</f>
        <v>0</v>
      </c>
      <c r="L574" s="29"/>
      <c r="M574" s="29">
        <f>RawList!F544</f>
        <v>0</v>
      </c>
    </row>
    <row r="575" spans="2:13" x14ac:dyDescent="0.25">
      <c r="B575" s="29" t="str">
        <f>RawList!A545</f>
        <v>Low-Level Electronics</v>
      </c>
      <c r="C575" s="29" t="str">
        <f>RawList!B545</f>
        <v>Solid/Stranded Hookup Wire</v>
      </c>
      <c r="D575" s="29" t="str">
        <f>RawList!C545</f>
        <v>SparkFun</v>
      </c>
      <c r="E575" s="29" t="str">
        <f>RawList!H545</f>
        <v>Hook-up Wire - Red (22 AWG)</v>
      </c>
      <c r="F575" s="29" t="str">
        <f>RawList!D545</f>
        <v>PRT-08023</v>
      </c>
      <c r="G575" s="101">
        <f>RawList!E545</f>
        <v>0</v>
      </c>
      <c r="H575" s="29" t="str">
        <f>IF(EquipmentTable[[#This Row],[Units]]&gt;0,"Quantity &gt; 0 Items","Quantity = 0 Items")</f>
        <v>Quantity = 0 Items</v>
      </c>
      <c r="I575" s="102">
        <f>RawList!J545</f>
        <v>2.5</v>
      </c>
      <c r="J575" s="14">
        <f>VALUE(EquipmentTable[[#This Row],[Units]]*EquipmentTable[[#This Row],[Unit
 Price]])</f>
        <v>0</v>
      </c>
      <c r="K575" s="29" t="str">
        <f>RawList!G545</f>
        <v>https://cdn.sparkfun.com/r/92-92/assets/parts/6/4/3/08023-01.jpg</v>
      </c>
      <c r="L575" s="29"/>
      <c r="M575" s="29" t="str">
        <f>RawList!F545</f>
        <v>https://www.sparkfun.com/products/8023</v>
      </c>
    </row>
    <row r="576" spans="2:13" x14ac:dyDescent="0.25">
      <c r="B576" s="29" t="str">
        <f>RawList!A546</f>
        <v>Low-Level Electronics</v>
      </c>
      <c r="C576" s="29" t="str">
        <f>RawList!B546</f>
        <v>Solid/Stranded Hookup Wire</v>
      </c>
      <c r="D576" s="29" t="str">
        <f>RawList!C546</f>
        <v>SparkFun</v>
      </c>
      <c r="E576" s="29" t="str">
        <f>RawList!H546</f>
        <v>Hook-up Wire - Yellow (22 AWG)</v>
      </c>
      <c r="F576" s="29" t="str">
        <f>RawList!D546</f>
        <v>PRT-08024</v>
      </c>
      <c r="G576" s="101">
        <f>RawList!E546</f>
        <v>0</v>
      </c>
      <c r="H576" s="29" t="str">
        <f>IF(EquipmentTable[[#This Row],[Units]]&gt;0,"Quantity &gt; 0 Items","Quantity = 0 Items")</f>
        <v>Quantity = 0 Items</v>
      </c>
      <c r="I576" s="102">
        <f>RawList!J546</f>
        <v>2.5</v>
      </c>
      <c r="J576" s="14">
        <f>VALUE(EquipmentTable[[#This Row],[Units]]*EquipmentTable[[#This Row],[Unit
 Price]])</f>
        <v>0</v>
      </c>
      <c r="K576" s="29" t="str">
        <f>RawList!G546</f>
        <v>https://cdn.sparkfun.com/r/92-92/assets/parts/6/4/4/08024-01a.jpg</v>
      </c>
      <c r="L576" s="29"/>
      <c r="M576" s="29" t="str">
        <f>RawList!F546</f>
        <v>https://www.sparkfun.com/products/8024</v>
      </c>
    </row>
    <row r="577" spans="2:13" x14ac:dyDescent="0.25">
      <c r="B577" s="29" t="str">
        <f>RawList!A547</f>
        <v>Low-Level Electronics</v>
      </c>
      <c r="C577" s="29" t="str">
        <f>RawList!B547</f>
        <v>Solid/Stranded Hookup Wire</v>
      </c>
      <c r="D577" s="29" t="str">
        <f>RawList!C547</f>
        <v>SparkFun</v>
      </c>
      <c r="E577" s="29" t="str">
        <f>RawList!H547</f>
        <v>Hook-up Wire - Black (22 AWG)</v>
      </c>
      <c r="F577" s="29" t="str">
        <f>RawList!D547</f>
        <v>PRT-08022</v>
      </c>
      <c r="G577" s="101">
        <f>RawList!E547</f>
        <v>0</v>
      </c>
      <c r="H577" s="29" t="str">
        <f>IF(EquipmentTable[[#This Row],[Units]]&gt;0,"Quantity &gt; 0 Items","Quantity = 0 Items")</f>
        <v>Quantity = 0 Items</v>
      </c>
      <c r="I577" s="102">
        <f>RawList!J547</f>
        <v>2.5</v>
      </c>
      <c r="J577" s="14">
        <f>VALUE(EquipmentTable[[#This Row],[Units]]*EquipmentTable[[#This Row],[Unit
 Price]])</f>
        <v>0</v>
      </c>
      <c r="K577" s="29" t="str">
        <f>RawList!G547</f>
        <v>https://cdn.sparkfun.com/r/92-92/assets/parts/6/4/2/08022-01.jpg</v>
      </c>
      <c r="L577" s="29"/>
      <c r="M577" s="29" t="str">
        <f>RawList!F547</f>
        <v>https://www.sparkfun.com/products/8022</v>
      </c>
    </row>
    <row r="578" spans="2:13" x14ac:dyDescent="0.25">
      <c r="B578" s="29" t="str">
        <f>RawList!A548</f>
        <v>Low-Level Electronics</v>
      </c>
      <c r="C578" s="29" t="str">
        <f>RawList!B548</f>
        <v>Solid/Stranded Hookup Wire</v>
      </c>
      <c r="D578" s="29" t="str">
        <f>RawList!C548</f>
        <v>SparkFun</v>
      </c>
      <c r="E578" s="29" t="str">
        <f>RawList!H548</f>
        <v>Hook-up Wire - Gray (22 AWG)</v>
      </c>
      <c r="F578" s="29" t="str">
        <f>RawList!D548</f>
        <v>PRT-08025</v>
      </c>
      <c r="G578" s="101">
        <f>RawList!E548</f>
        <v>0</v>
      </c>
      <c r="H578" s="29" t="str">
        <f>IF(EquipmentTable[[#This Row],[Units]]&gt;0,"Quantity &gt; 0 Items","Quantity = 0 Items")</f>
        <v>Quantity = 0 Items</v>
      </c>
      <c r="I578" s="102">
        <f>RawList!J548</f>
        <v>2.95</v>
      </c>
      <c r="J578" s="14">
        <f>VALUE(EquipmentTable[[#This Row],[Units]]*EquipmentTable[[#This Row],[Unit
 Price]])</f>
        <v>0</v>
      </c>
      <c r="K578" s="29" t="str">
        <f>RawList!G548</f>
        <v>https://cdn.sparkfun.com/r/92-92/assets/parts/6/4/5/08025-01.jpg</v>
      </c>
      <c r="L578" s="29"/>
      <c r="M578" s="29" t="str">
        <f>RawList!F548</f>
        <v>https://www.sparkfun.com/products/8025</v>
      </c>
    </row>
    <row r="579" spans="2:13" x14ac:dyDescent="0.25">
      <c r="B579" s="29" t="str">
        <f>RawList!A549</f>
        <v>Low-Level Electronics</v>
      </c>
      <c r="C579" s="29" t="str">
        <f>RawList!B549</f>
        <v>Solid/Stranded Hookup Wire</v>
      </c>
      <c r="D579" s="29" t="str">
        <f>RawList!C549</f>
        <v>SparkFun</v>
      </c>
      <c r="E579" s="29" t="str">
        <f>RawList!H549</f>
        <v>Hook-up Wire - White (22 AWG)</v>
      </c>
      <c r="F579" s="29" t="str">
        <f>RawList!D549</f>
        <v>PRT-08026</v>
      </c>
      <c r="G579" s="101">
        <f>RawList!E549</f>
        <v>0</v>
      </c>
      <c r="H579" s="29" t="str">
        <f>IF(EquipmentTable[[#This Row],[Units]]&gt;0,"Quantity &gt; 0 Items","Quantity = 0 Items")</f>
        <v>Quantity = 0 Items</v>
      </c>
      <c r="I579" s="102">
        <f>RawList!J549</f>
        <v>2.5</v>
      </c>
      <c r="J579" s="14">
        <f>VALUE(EquipmentTable[[#This Row],[Units]]*EquipmentTable[[#This Row],[Unit
 Price]])</f>
        <v>0</v>
      </c>
      <c r="K579" s="29" t="str">
        <f>RawList!G549</f>
        <v>https://cdn.sparkfun.com/r/92-92/assets/parts/6/4/6/08026-01.jpg</v>
      </c>
      <c r="L579" s="29"/>
      <c r="M579" s="29" t="str">
        <f>RawList!F549</f>
        <v>https://www.sparkfun.com/products/8026</v>
      </c>
    </row>
    <row r="580" spans="2:13" x14ac:dyDescent="0.25">
      <c r="B580" s="29" t="str">
        <f>RawList!A550</f>
        <v>Low-Level Electronics</v>
      </c>
      <c r="C580" s="29" t="str">
        <f>RawList!B550</f>
        <v>Solid/Stranded Hookup Wire</v>
      </c>
      <c r="D580" s="29" t="str">
        <f>RawList!C550</f>
        <v>SparkFun</v>
      </c>
      <c r="E580" s="29" t="str">
        <f>RawList!H550</f>
        <v>Hook-up Wire - Brown (22 AWG)</v>
      </c>
      <c r="F580" s="29" t="str">
        <f>RawList!D550</f>
        <v>PRT-08027</v>
      </c>
      <c r="G580" s="101">
        <f>RawList!E550</f>
        <v>0</v>
      </c>
      <c r="H580" s="29" t="str">
        <f>IF(EquipmentTable[[#This Row],[Units]]&gt;0,"Quantity &gt; 0 Items","Quantity = 0 Items")</f>
        <v>Quantity = 0 Items</v>
      </c>
      <c r="I580" s="102">
        <f>RawList!J550</f>
        <v>2.95</v>
      </c>
      <c r="J580" s="14">
        <f>VALUE(EquipmentTable[[#This Row],[Units]]*EquipmentTable[[#This Row],[Unit
 Price]])</f>
        <v>0</v>
      </c>
      <c r="K580" s="29" t="str">
        <f>RawList!G550</f>
        <v>https://cdn.sparkfun.com/r/92-92/assets/parts/6/4/7/08027-01.jpg</v>
      </c>
      <c r="L580" s="29"/>
      <c r="M580" s="29" t="str">
        <f>RawList!F550</f>
        <v>https://www.sparkfun.com/products/8027</v>
      </c>
    </row>
    <row r="581" spans="2:13" x14ac:dyDescent="0.25">
      <c r="B581" s="29" t="str">
        <f>RawList!A551</f>
        <v>Low-Level Electronics</v>
      </c>
      <c r="C581" s="29" t="str">
        <f>RawList!B551</f>
        <v>Solid/Stranded Hookup Wire</v>
      </c>
      <c r="D581" s="29" t="str">
        <f>RawList!C551</f>
        <v>SparkFun</v>
      </c>
      <c r="E581" s="29" t="str">
        <f>RawList!H551</f>
        <v>Jumper Wire Kit</v>
      </c>
      <c r="F581" s="29" t="str">
        <f>RawList!D551</f>
        <v>PRT-00124</v>
      </c>
      <c r="G581" s="101">
        <f>RawList!E551</f>
        <v>2</v>
      </c>
      <c r="H581" s="29" t="str">
        <f>IF(EquipmentTable[[#This Row],[Units]]&gt;0,"Quantity &gt; 0 Items","Quantity = 0 Items")</f>
        <v>Quantity &gt; 0 Items</v>
      </c>
      <c r="I581" s="102">
        <f>RawList!J551</f>
        <v>6.95</v>
      </c>
      <c r="J581" s="14">
        <f>VALUE(EquipmentTable[[#This Row],[Units]]*EquipmentTable[[#This Row],[Unit
 Price]])</f>
        <v>13.9</v>
      </c>
      <c r="K581" s="29" t="str">
        <f>RawList!G551</f>
        <v>https://cdn.sparkfun.com/r/92-92/assets/parts/1/1/2/00124-04.jpg</v>
      </c>
      <c r="L581" s="29"/>
      <c r="M581" s="29" t="str">
        <f>RawList!F551</f>
        <v>https://www.sparkfun.com/products/124</v>
      </c>
    </row>
    <row r="582" spans="2:13" x14ac:dyDescent="0.25">
      <c r="B582" s="29" t="str">
        <f>RawList!A552</f>
        <v>Low-Level Electronics</v>
      </c>
      <c r="C582" s="29" t="str">
        <f>RawList!B552</f>
        <v>Solid/Stranded Hookup Wire</v>
      </c>
      <c r="D582" s="29" t="str">
        <f>RawList!C552</f>
        <v>Adafruit</v>
      </c>
      <c r="E582" s="29" t="str">
        <f>RawList!H552</f>
        <v>Half Size Breadboard + 78 Piece 22AWG Jumper Wire Bundle</v>
      </c>
      <c r="F582" s="29" t="str">
        <f>RawList!D552</f>
        <v>3314</v>
      </c>
      <c r="G582" s="101">
        <f>RawList!E552</f>
        <v>0</v>
      </c>
      <c r="H582" s="29" t="str">
        <f>IF(EquipmentTable[[#This Row],[Units]]&gt;0,"Quantity &gt; 0 Items","Quantity = 0 Items")</f>
        <v>Quantity = 0 Items</v>
      </c>
      <c r="I582" s="102">
        <f>RawList!J552</f>
        <v>7.95</v>
      </c>
      <c r="J582" s="14">
        <f>VALUE(EquipmentTable[[#This Row],[Units]]*EquipmentTable[[#This Row],[Unit
 Price]])</f>
        <v>0</v>
      </c>
      <c r="K582" s="29">
        <f>RawList!G552</f>
        <v>0</v>
      </c>
      <c r="L582" s="29"/>
      <c r="M582" s="29">
        <f>RawList!F552</f>
        <v>0</v>
      </c>
    </row>
    <row r="583" spans="2:13" hidden="1" x14ac:dyDescent="0.25">
      <c r="B583" s="29" t="str">
        <f>RawList!A553</f>
        <v>Tools</v>
      </c>
      <c r="C583" s="29" t="str">
        <f>RawList!B553</f>
        <v>Solder/SMD Rework Tools</v>
      </c>
      <c r="D583" s="29" t="str">
        <f>RawList!C553</f>
        <v>SparkFun</v>
      </c>
      <c r="E583" s="29" t="str">
        <f>RawList!H553</f>
        <v>Tool Kit - Beginner</v>
      </c>
      <c r="F583" s="29" t="str">
        <f>RawList!D553</f>
        <v>TOL-13086</v>
      </c>
      <c r="G583" s="101">
        <f>RawList!E553</f>
        <v>0</v>
      </c>
      <c r="H583" s="29" t="str">
        <f>IF(EquipmentTable[[#This Row],[Units]]&gt;0,"Quantity &gt; 0 Items","Quantity = 0 Items")</f>
        <v>Quantity = 0 Items</v>
      </c>
      <c r="I583" s="102">
        <f>RawList!J553</f>
        <v>34.950000000000003</v>
      </c>
      <c r="J583" s="14">
        <f>VALUE(EquipmentTable[[#This Row],[Units]]*EquipmentTable[[#This Row],[Unit
 Price]])</f>
        <v>0</v>
      </c>
      <c r="K583" s="29" t="str">
        <f>RawList!G553</f>
        <v>https://cdn.sparkfun.com/r/92-92/assets/parts/1/0/1/2/0/13086-02.jpg</v>
      </c>
      <c r="L583" s="29"/>
      <c r="M583" s="29" t="str">
        <f>RawList!F553</f>
        <v>https://www.sparkfun.com/products/13086</v>
      </c>
    </row>
    <row r="584" spans="2:13" hidden="1" x14ac:dyDescent="0.25">
      <c r="B584" s="29" t="str">
        <f>RawList!A554</f>
        <v>Tools</v>
      </c>
      <c r="C584" s="29" t="str">
        <f>RawList!B554</f>
        <v>Solder/SMD Rework Tools</v>
      </c>
      <c r="D584" s="29" t="str">
        <f>RawList!C554</f>
        <v>Adafruit</v>
      </c>
      <c r="E584" s="29" t="str">
        <f>RawList!H554</f>
        <v>Ladyada's Electronics Toolkit</v>
      </c>
      <c r="F584" s="29" t="str">
        <f>RawList!D554</f>
        <v>136</v>
      </c>
      <c r="G584" s="101">
        <f>RawList!E554</f>
        <v>0</v>
      </c>
      <c r="H584" s="29" t="str">
        <f>IF(EquipmentTable[[#This Row],[Units]]&gt;0,"Quantity &gt; 0 Items","Quantity = 0 Items")</f>
        <v>Quantity = 0 Items</v>
      </c>
      <c r="I584" s="102">
        <f>RawList!J554</f>
        <v>100</v>
      </c>
      <c r="J584" s="14">
        <f>VALUE(EquipmentTable[[#This Row],[Units]]*EquipmentTable[[#This Row],[Unit
 Price]])</f>
        <v>0</v>
      </c>
      <c r="K584" s="29">
        <f>RawList!G554</f>
        <v>0</v>
      </c>
      <c r="L584" s="29"/>
      <c r="M584" s="29">
        <f>RawList!F554</f>
        <v>0</v>
      </c>
    </row>
    <row r="585" spans="2:13" hidden="1" x14ac:dyDescent="0.25">
      <c r="B585" s="29" t="str">
        <f>RawList!A555</f>
        <v>Tools</v>
      </c>
      <c r="C585" s="29" t="str">
        <f>RawList!B555</f>
        <v>Solder/SMD Rework Tools</v>
      </c>
      <c r="D585" s="29" t="str">
        <f>RawList!C555</f>
        <v>SparkFun</v>
      </c>
      <c r="E585" s="29" t="str">
        <f>RawList!H555</f>
        <v>Weller Portasol Butane Soldering Iron Kit</v>
      </c>
      <c r="F585" s="29" t="str">
        <f>RawList!D555</f>
        <v>TOL-14226</v>
      </c>
      <c r="G585" s="101">
        <f>RawList!E555</f>
        <v>0</v>
      </c>
      <c r="H585" s="29" t="str">
        <f>IF(EquipmentTable[[#This Row],[Units]]&gt;0,"Quantity &gt; 0 Items","Quantity = 0 Items")</f>
        <v>Quantity = 0 Items</v>
      </c>
      <c r="I585" s="102">
        <f>RawList!J555</f>
        <v>59.95</v>
      </c>
      <c r="J585" s="14">
        <f>VALUE(EquipmentTable[[#This Row],[Units]]*EquipmentTable[[#This Row],[Unit
 Price]])</f>
        <v>0</v>
      </c>
      <c r="K585" s="29" t="str">
        <f>RawList!G555</f>
        <v>https://cdn.sparkfun.com/r/92-92/assets/parts/1/2/1/7/1/14226-02.jpg</v>
      </c>
      <c r="L585" s="29"/>
      <c r="M585" s="29" t="str">
        <f>RawList!F555</f>
        <v>https://www.sparkfun.com/products/14226</v>
      </c>
    </row>
    <row r="586" spans="2:13" hidden="1" x14ac:dyDescent="0.25">
      <c r="B586" s="29" t="str">
        <f>RawList!A556</f>
        <v>Tools</v>
      </c>
      <c r="C586" s="29" t="str">
        <f>RawList!B556</f>
        <v>Solder/SMD Rework Tools</v>
      </c>
      <c r="D586" s="29" t="str">
        <f>RawList!C556</f>
        <v>SparkFun</v>
      </c>
      <c r="E586" s="29" t="str">
        <f>RawList!H556</f>
        <v>Solder Vacuum</v>
      </c>
      <c r="F586" s="29" t="str">
        <f>RawList!D556</f>
        <v>TOL-13203</v>
      </c>
      <c r="G586" s="101">
        <f>RawList!E556</f>
        <v>0</v>
      </c>
      <c r="H586" s="29" t="str">
        <f>IF(EquipmentTable[[#This Row],[Units]]&gt;0,"Quantity &gt; 0 Items","Quantity = 0 Items")</f>
        <v>Quantity = 0 Items</v>
      </c>
      <c r="I586" s="102">
        <f>RawList!J556</f>
        <v>4.95</v>
      </c>
      <c r="J586" s="14">
        <f>VALUE(EquipmentTable[[#This Row],[Units]]*EquipmentTable[[#This Row],[Unit
 Price]])</f>
        <v>0</v>
      </c>
      <c r="K586" s="29" t="str">
        <f>RawList!G556</f>
        <v>https://cdn.sparkfun.com/r/92-92/assets/parts/1/0/3/4/4/13203-01.jpg</v>
      </c>
      <c r="L586" s="29"/>
      <c r="M586" s="29" t="str">
        <f>RawList!F556</f>
        <v>https://www.sparkfun.com/products/13203</v>
      </c>
    </row>
    <row r="587" spans="2:13" hidden="1" x14ac:dyDescent="0.25">
      <c r="B587" s="29" t="str">
        <f>RawList!A557</f>
        <v>Tools</v>
      </c>
      <c r="C587" s="29" t="str">
        <f>RawList!B557</f>
        <v>Solder/SMD Rework Tools</v>
      </c>
      <c r="D587" s="29" t="str">
        <f>RawList!C557</f>
        <v>SparkFun</v>
      </c>
      <c r="E587" s="29" t="str">
        <f>RawList!H557</f>
        <v>Brass Sponge</v>
      </c>
      <c r="F587" s="29" t="str">
        <f>RawList!D557</f>
        <v>TOL-08964</v>
      </c>
      <c r="G587" s="101">
        <f>RawList!E557</f>
        <v>0</v>
      </c>
      <c r="H587" s="29" t="str">
        <f>IF(EquipmentTable[[#This Row],[Units]]&gt;0,"Quantity &gt; 0 Items","Quantity = 0 Items")</f>
        <v>Quantity = 0 Items</v>
      </c>
      <c r="I587" s="102">
        <f>RawList!J557</f>
        <v>2.95</v>
      </c>
      <c r="J587" s="14">
        <f>VALUE(EquipmentTable[[#This Row],[Units]]*EquipmentTable[[#This Row],[Unit
 Price]])</f>
        <v>0</v>
      </c>
      <c r="K587" s="29" t="str">
        <f>RawList!G557</f>
        <v>https://cdn.sparkfun.com/r/92-92/assets/parts/2/2/6/8/08964-02-L.jpg</v>
      </c>
      <c r="L587" s="29"/>
      <c r="M587" s="29" t="str">
        <f>RawList!F557</f>
        <v>https://www.sparkfun.com/products/8964</v>
      </c>
    </row>
    <row r="588" spans="2:13" hidden="1" x14ac:dyDescent="0.25">
      <c r="B588" s="29" t="str">
        <f>RawList!A558</f>
        <v>Tools</v>
      </c>
      <c r="C588" s="29" t="str">
        <f>RawList!B558</f>
        <v>Solder/SMD Rework Tools</v>
      </c>
      <c r="D588" s="29" t="str">
        <f>RawList!C558</f>
        <v>SparkFun</v>
      </c>
      <c r="E588" s="29" t="str">
        <f>RawList!H558</f>
        <v>Solder Paste - 50g (Lead Free)</v>
      </c>
      <c r="F588" s="29" t="str">
        <f>RawList!D558</f>
        <v>TOL-12878</v>
      </c>
      <c r="G588" s="101">
        <f>RawList!E558</f>
        <v>1</v>
      </c>
      <c r="H588" s="29" t="str">
        <f>IF(EquipmentTable[[#This Row],[Units]]&gt;0,"Quantity &gt; 0 Items","Quantity = 0 Items")</f>
        <v>Quantity &gt; 0 Items</v>
      </c>
      <c r="I588" s="102">
        <f>RawList!J558</f>
        <v>16.95</v>
      </c>
      <c r="J588" s="14">
        <f>VALUE(EquipmentTable[[#This Row],[Units]]*EquipmentTable[[#This Row],[Unit
 Price]])</f>
        <v>16.95</v>
      </c>
      <c r="K588" s="29" t="str">
        <f>RawList!G558</f>
        <v>https://cdn.sparkfun.com/r/92-92/assets/parts/9/7/6/3/12878-01.jpg</v>
      </c>
      <c r="L588" s="29"/>
      <c r="M588" s="29" t="str">
        <f>RawList!F558</f>
        <v>https://www.sparkfun.com/products/12878</v>
      </c>
    </row>
    <row r="589" spans="2:13" hidden="1" x14ac:dyDescent="0.25">
      <c r="B589" s="29" t="str">
        <f>RawList!A559</f>
        <v>Tools</v>
      </c>
      <c r="C589" s="29" t="str">
        <f>RawList!B559</f>
        <v>Solder/SMD Rework Tools</v>
      </c>
      <c r="D589" s="29" t="str">
        <f>RawList!C559</f>
        <v>SparkFun</v>
      </c>
      <c r="E589" s="29" t="str">
        <f>RawList!H559</f>
        <v>Hot-air Rework Station - 303D</v>
      </c>
      <c r="F589" s="29" t="str">
        <f>RawList!D559</f>
        <v>TOL-10706</v>
      </c>
      <c r="G589" s="101">
        <f>RawList!E559</f>
        <v>0</v>
      </c>
      <c r="H589" s="29" t="str">
        <f>IF(EquipmentTable[[#This Row],[Units]]&gt;0,"Quantity &gt; 0 Items","Quantity = 0 Items")</f>
        <v>Quantity = 0 Items</v>
      </c>
      <c r="I589" s="102">
        <f>RawList!J559</f>
        <v>114.95</v>
      </c>
      <c r="J589" s="14">
        <f>VALUE(EquipmentTable[[#This Row],[Units]]*EquipmentTable[[#This Row],[Unit
 Price]])</f>
        <v>0</v>
      </c>
      <c r="K589" s="29" t="str">
        <f>RawList!G559</f>
        <v>https://cdn.sparkfun.com/r/92-92/assets/parts/5/5/3/8/10706-02.jpg</v>
      </c>
      <c r="L589" s="29"/>
      <c r="M589" s="29" t="str">
        <f>RawList!F559</f>
        <v>https://www.sparkfun.com/products/10706</v>
      </c>
    </row>
    <row r="590" spans="2:13" hidden="1" x14ac:dyDescent="0.25">
      <c r="B590" s="29" t="str">
        <f>RawList!A560</f>
        <v>Tools</v>
      </c>
      <c r="C590" s="29" t="str">
        <f>RawList!B560</f>
        <v>Solder/SMD Rework Tools</v>
      </c>
      <c r="D590" s="29" t="str">
        <f>RawList!C560</f>
        <v>Adafruit</v>
      </c>
      <c r="E590" s="29" t="str">
        <f>RawList!H560</f>
        <v xml:space="preserve">Hot Air Soldering Rework Station w/ Three Nozzles - Quick 957D </v>
      </c>
      <c r="F590" s="29" t="str">
        <f>RawList!D560</f>
        <v>1869</v>
      </c>
      <c r="G590" s="101">
        <f>RawList!E560</f>
        <v>0</v>
      </c>
      <c r="H590" s="29" t="str">
        <f>IF(EquipmentTable[[#This Row],[Units]]&gt;0,"Quantity &gt; 0 Items","Quantity = 0 Items")</f>
        <v>Quantity = 0 Items</v>
      </c>
      <c r="I590" s="102">
        <f>RawList!J560</f>
        <v>97.5</v>
      </c>
      <c r="J590" s="14">
        <f>VALUE(EquipmentTable[[#This Row],[Units]]*EquipmentTable[[#This Row],[Unit
 Price]])</f>
        <v>0</v>
      </c>
      <c r="K590" s="29">
        <f>RawList!G560</f>
        <v>0</v>
      </c>
      <c r="L590" s="29"/>
      <c r="M590" s="29">
        <f>RawList!F560</f>
        <v>0</v>
      </c>
    </row>
    <row r="591" spans="2:13" hidden="1" x14ac:dyDescent="0.25">
      <c r="B591" s="29" t="str">
        <f>RawList!A561</f>
        <v>Tools</v>
      </c>
      <c r="C591" s="29" t="str">
        <f>RawList!B561</f>
        <v>Solder/SMD Rework Tools</v>
      </c>
      <c r="D591" s="29" t="str">
        <f>RawList!C561</f>
        <v>SparkFun</v>
      </c>
      <c r="E591" s="29" t="str">
        <f>RawList!H561</f>
        <v>Hot-air Rework Nozzles - Y1126</v>
      </c>
      <c r="F591" s="29" t="str">
        <f>RawList!D561</f>
        <v>TOL-07925</v>
      </c>
      <c r="G591" s="101">
        <f>RawList!E561</f>
        <v>0</v>
      </c>
      <c r="H591" s="29" t="str">
        <f>IF(EquipmentTable[[#This Row],[Units]]&gt;0,"Quantity &gt; 0 Items","Quantity = 0 Items")</f>
        <v>Quantity = 0 Items</v>
      </c>
      <c r="I591" s="102">
        <f>RawList!J561</f>
        <v>14.95</v>
      </c>
      <c r="J591" s="14">
        <f>VALUE(EquipmentTable[[#This Row],[Units]]*EquipmentTable[[#This Row],[Unit
 Price]])</f>
        <v>0</v>
      </c>
      <c r="K591" s="29" t="str">
        <f>RawList!G561</f>
        <v>https://cdn.sparkfun.com/r/92-92/assets/parts/6/0/7/07925-01.jpg</v>
      </c>
      <c r="L591" s="29"/>
      <c r="M591" s="29" t="str">
        <f>RawList!F561</f>
        <v>https://www.sparkfun.com/products/7925</v>
      </c>
    </row>
    <row r="592" spans="2:13" hidden="1" x14ac:dyDescent="0.25">
      <c r="B592" s="29" t="str">
        <f>RawList!A562</f>
        <v>Tools</v>
      </c>
      <c r="C592" s="29" t="str">
        <f>RawList!B562</f>
        <v>Solder/SMD Rework Tools</v>
      </c>
      <c r="D592" s="29" t="str">
        <f>RawList!C562</f>
        <v>SparkFun</v>
      </c>
      <c r="E592" s="29" t="str">
        <f>RawList!H562</f>
        <v>Heaterizer XL-3000 Heat Gun</v>
      </c>
      <c r="F592" s="29" t="str">
        <f>RawList!D562</f>
        <v>TOL-10326</v>
      </c>
      <c r="G592" s="101">
        <f>RawList!E562</f>
        <v>0</v>
      </c>
      <c r="H592" s="29" t="str">
        <f>IF(EquipmentTable[[#This Row],[Units]]&gt;0,"Quantity &gt; 0 Items","Quantity = 0 Items")</f>
        <v>Quantity = 0 Items</v>
      </c>
      <c r="I592" s="102">
        <f>RawList!J562</f>
        <v>13.95</v>
      </c>
      <c r="J592" s="14">
        <f>VALUE(EquipmentTable[[#This Row],[Units]]*EquipmentTable[[#This Row],[Unit
 Price]])</f>
        <v>0</v>
      </c>
      <c r="K592" s="29" t="str">
        <f>RawList!G562</f>
        <v>https://cdn.sparkfun.com/r/92-92/assets/parts/4/7/3/4/10326-02.jpg</v>
      </c>
      <c r="L592" s="29"/>
      <c r="M592" s="29" t="str">
        <f>RawList!F562</f>
        <v>https://www.sparkfun.com/products/10326</v>
      </c>
    </row>
    <row r="593" spans="2:13" hidden="1" x14ac:dyDescent="0.25">
      <c r="B593" s="29" t="str">
        <f>RawList!A563</f>
        <v>Tools</v>
      </c>
      <c r="C593" s="29" t="str">
        <f>RawList!B563</f>
        <v>Solder/SMD Rework Tools</v>
      </c>
      <c r="D593" s="29" t="str">
        <f>RawList!C563</f>
        <v>Adafruit</v>
      </c>
      <c r="E593" s="29" t="str">
        <f>RawList!H563</f>
        <v>Insulated Silicone Rework Mat - 34cm x 23cm x 4mm Work Surface</v>
      </c>
      <c r="F593" s="29" t="str">
        <f>RawList!D563</f>
        <v>3536</v>
      </c>
      <c r="G593" s="101">
        <f>RawList!E563</f>
        <v>0</v>
      </c>
      <c r="H593" s="29" t="str">
        <f>IF(EquipmentTable[[#This Row],[Units]]&gt;0,"Quantity &gt; 0 Items","Quantity = 0 Items")</f>
        <v>Quantity = 0 Items</v>
      </c>
      <c r="I593" s="102">
        <f>RawList!J563</f>
        <v>9.9499999999999993</v>
      </c>
      <c r="J593" s="14">
        <f>VALUE(EquipmentTable[[#This Row],[Units]]*EquipmentTable[[#This Row],[Unit
 Price]])</f>
        <v>0</v>
      </c>
      <c r="K593" s="29">
        <f>RawList!G563</f>
        <v>0</v>
      </c>
      <c r="L593" s="29"/>
      <c r="M593" s="29">
        <f>RawList!F563</f>
        <v>0</v>
      </c>
    </row>
    <row r="594" spans="2:13" x14ac:dyDescent="0.25">
      <c r="B594" s="29" t="str">
        <f>RawList!A564</f>
        <v>Tools</v>
      </c>
      <c r="C594" s="29" t="str">
        <f>RawList!B564</f>
        <v>PCB/Breadboard Work Tools</v>
      </c>
      <c r="D594" s="29" t="str">
        <f>RawList!C564</f>
        <v>SparkFun</v>
      </c>
      <c r="E594" s="29" t="str">
        <f>RawList!H564</f>
        <v>Panavise Jr. - Vacuum Base</v>
      </c>
      <c r="F594" s="29" t="str">
        <f>RawList!D564</f>
        <v>TOL-10410</v>
      </c>
      <c r="G594" s="101">
        <f>RawList!E564</f>
        <v>0</v>
      </c>
      <c r="H594" s="29" t="str">
        <f>IF(EquipmentTable[[#This Row],[Units]]&gt;0,"Quantity &gt; 0 Items","Quantity = 0 Items")</f>
        <v>Quantity = 0 Items</v>
      </c>
      <c r="I594" s="102">
        <f>RawList!J564</f>
        <v>32.950000000000003</v>
      </c>
      <c r="J594" s="14">
        <f>VALUE(EquipmentTable[[#This Row],[Units]]*EquipmentTable[[#This Row],[Unit
 Price]])</f>
        <v>0</v>
      </c>
      <c r="K594" s="29" t="str">
        <f>RawList!G564</f>
        <v>https://cdn.sparkfun.com/r/92-92/assets/parts/4/8/8/1/10410-01.jpg</v>
      </c>
      <c r="L594" s="29"/>
      <c r="M594" s="29" t="str">
        <f>RawList!F564</f>
        <v>https://www.sparkfun.com/products/10410</v>
      </c>
    </row>
    <row r="595" spans="2:13" x14ac:dyDescent="0.25">
      <c r="B595" s="29" t="str">
        <f>RawList!A565</f>
        <v>Tools</v>
      </c>
      <c r="C595" s="29" t="str">
        <f>RawList!B565</f>
        <v>PCB/Breadboard Work Tools</v>
      </c>
      <c r="D595" s="29" t="str">
        <f>RawList!C565</f>
        <v>SparkFun</v>
      </c>
      <c r="E595" s="29" t="str">
        <f>RawList!H565</f>
        <v>SparkFun Third Hand Kit</v>
      </c>
      <c r="F595" s="29" t="str">
        <f>RawList!D565</f>
        <v>TOL-11784</v>
      </c>
      <c r="G595" s="101">
        <f>RawList!E565</f>
        <v>0</v>
      </c>
      <c r="H595" s="29" t="str">
        <f>IF(EquipmentTable[[#This Row],[Units]]&gt;0,"Quantity &gt; 0 Items","Quantity = 0 Items")</f>
        <v>Quantity = 0 Items</v>
      </c>
      <c r="I595" s="102">
        <f>RawList!J565</f>
        <v>29.95</v>
      </c>
      <c r="J595" s="14">
        <f>VALUE(EquipmentTable[[#This Row],[Units]]*EquipmentTable[[#This Row],[Unit
 Price]])</f>
        <v>0</v>
      </c>
      <c r="K595" s="29" t="str">
        <f>RawList!G565</f>
        <v>https://cdn.sparkfun.com/r/92-92/assets/parts/8/0/3/1/11784-05.jpg</v>
      </c>
      <c r="L595" s="29"/>
      <c r="M595" s="29" t="str">
        <f>RawList!F565</f>
        <v>https://www.sparkfun.com/products/11784</v>
      </c>
    </row>
    <row r="596" spans="2:13" x14ac:dyDescent="0.25">
      <c r="B596" s="29" t="str">
        <f>RawList!A566</f>
        <v>Tools</v>
      </c>
      <c r="C596" s="29" t="str">
        <f>RawList!B566</f>
        <v>PCB/Breadboard Work Tools</v>
      </c>
      <c r="D596" s="29" t="str">
        <f>RawList!C566</f>
        <v>SparkFun</v>
      </c>
      <c r="E596" s="29" t="str">
        <f>RawList!H566</f>
        <v>Third Hand</v>
      </c>
      <c r="F596" s="29" t="str">
        <f>RawList!D566</f>
        <v>TOL-09317</v>
      </c>
      <c r="G596" s="101">
        <f>RawList!E566</f>
        <v>0</v>
      </c>
      <c r="H596" s="29" t="str">
        <f>IF(EquipmentTable[[#This Row],[Units]]&gt;0,"Quantity &gt; 0 Items","Quantity = 0 Items")</f>
        <v>Quantity = 0 Items</v>
      </c>
      <c r="I596" s="102">
        <f>RawList!J566</f>
        <v>9.9499999999999993</v>
      </c>
      <c r="J596" s="14">
        <f>VALUE(EquipmentTable[[#This Row],[Units]]*EquipmentTable[[#This Row],[Unit
 Price]])</f>
        <v>0</v>
      </c>
      <c r="K596" s="29" t="str">
        <f>RawList!G566</f>
        <v>https://cdn.sparkfun.com/r/92-92/assets/parts/2/8/5/8/09317-01.jpg</v>
      </c>
      <c r="L596" s="29"/>
      <c r="M596" s="29" t="str">
        <f>RawList!F566</f>
        <v>https://www.sparkfun.com/products/9317</v>
      </c>
    </row>
    <row r="597" spans="2:13" x14ac:dyDescent="0.25">
      <c r="B597" s="29" t="str">
        <f>RawList!A567</f>
        <v>Tools</v>
      </c>
      <c r="C597" s="29" t="str">
        <f>RawList!B567</f>
        <v>PCB/Breadboard Work Tools</v>
      </c>
      <c r="D597" s="29" t="str">
        <f>RawList!C567</f>
        <v>Adafruit</v>
      </c>
      <c r="E597" s="29" t="str">
        <f>RawList!H567</f>
        <v>Third Hand Pana Hand Workstation Add-On for Panavise</v>
      </c>
      <c r="F597" s="29" t="str">
        <f>RawList!D567</f>
        <v>3019</v>
      </c>
      <c r="G597" s="101">
        <f>RawList!E567</f>
        <v>1</v>
      </c>
      <c r="H597" s="29" t="str">
        <f>IF(EquipmentTable[[#This Row],[Units]]&gt;0,"Quantity &gt; 0 Items","Quantity = 0 Items")</f>
        <v>Quantity &gt; 0 Items</v>
      </c>
      <c r="I597" s="102">
        <f>RawList!J567</f>
        <v>54.95</v>
      </c>
      <c r="J597" s="14">
        <f>VALUE(EquipmentTable[[#This Row],[Units]]*EquipmentTable[[#This Row],[Unit
 Price]])</f>
        <v>54.95</v>
      </c>
      <c r="K597" s="29">
        <f>RawList!G567</f>
        <v>0</v>
      </c>
      <c r="L597" s="29"/>
      <c r="M597" s="29">
        <f>RawList!F567</f>
        <v>0</v>
      </c>
    </row>
    <row r="598" spans="2:13" x14ac:dyDescent="0.25">
      <c r="B598" s="29" t="str">
        <f>RawList!A568</f>
        <v>Tools</v>
      </c>
      <c r="C598" s="29" t="str">
        <f>RawList!B568</f>
        <v>PCB/Breadboard Work Tools</v>
      </c>
      <c r="D598" s="29" t="str">
        <f>RawList!C568</f>
        <v>SparkFun</v>
      </c>
      <c r="E598" s="29" t="str">
        <f>RawList!H568</f>
        <v>Monocle Magnifier - Illuminated</v>
      </c>
      <c r="F598" s="29" t="str">
        <f>RawList!D568</f>
        <v>TOL-09316</v>
      </c>
      <c r="G598" s="101">
        <f>RawList!E568</f>
        <v>1</v>
      </c>
      <c r="H598" s="29" t="str">
        <f>IF(EquipmentTable[[#This Row],[Units]]&gt;0,"Quantity &gt; 0 Items","Quantity = 0 Items")</f>
        <v>Quantity &gt; 0 Items</v>
      </c>
      <c r="I598" s="102">
        <f>RawList!J568</f>
        <v>9.9499999999999993</v>
      </c>
      <c r="J598" s="14">
        <f>VALUE(EquipmentTable[[#This Row],[Units]]*EquipmentTable[[#This Row],[Unit
 Price]])</f>
        <v>9.9499999999999993</v>
      </c>
      <c r="K598" s="29" t="str">
        <f>RawList!G568</f>
        <v>https://cdn.sparkfun.com/r/92-92/assets/parts/2/8/5/7/09316-1.jpg</v>
      </c>
      <c r="L598" s="29"/>
      <c r="M598" s="29" t="str">
        <f>RawList!F568</f>
        <v>https://www.sparkfun.com/products/9316</v>
      </c>
    </row>
    <row r="599" spans="2:13" x14ac:dyDescent="0.25">
      <c r="B599" s="29" t="str">
        <f>RawList!A569</f>
        <v>Tools</v>
      </c>
      <c r="C599" s="29" t="str">
        <f>RawList!B569</f>
        <v>PCB/Breadboard Work Tools</v>
      </c>
      <c r="D599" s="29" t="str">
        <f>RawList!C569</f>
        <v>SparkFun</v>
      </c>
      <c r="E599" s="29" t="str">
        <f>RawList!H569</f>
        <v>Laser Module - Green</v>
      </c>
      <c r="F599" s="29" t="str">
        <f>RawList!D569</f>
        <v>COM-09906</v>
      </c>
      <c r="G599" s="101">
        <f>RawList!E569</f>
        <v>1</v>
      </c>
      <c r="H599" s="29" t="str">
        <f>IF(EquipmentTable[[#This Row],[Units]]&gt;0,"Quantity &gt; 0 Items","Quantity = 0 Items")</f>
        <v>Quantity &gt; 0 Items</v>
      </c>
      <c r="I599" s="102">
        <f>RawList!J569</f>
        <v>14.95</v>
      </c>
      <c r="J599" s="14">
        <f>VALUE(EquipmentTable[[#This Row],[Units]]*EquipmentTable[[#This Row],[Unit
 Price]])</f>
        <v>14.95</v>
      </c>
      <c r="K599" s="29" t="str">
        <f>RawList!G569</f>
        <v>https://cdn.sparkfun.com/r/92-92/assets/parts/4/0/0/3/09906-01a.jpg</v>
      </c>
      <c r="L599" s="29"/>
      <c r="M599" s="29" t="str">
        <f>RawList!F569</f>
        <v>https://www.sparkfun.com/products/9906</v>
      </c>
    </row>
    <row r="600" spans="2:13" x14ac:dyDescent="0.25">
      <c r="B600" s="29" t="str">
        <f>RawList!A570</f>
        <v>Tools</v>
      </c>
      <c r="C600" s="29" t="str">
        <f>RawList!B570</f>
        <v>PCB/Breadboard Work Tools</v>
      </c>
      <c r="D600" s="29" t="str">
        <f>RawList!C570</f>
        <v>SparkFun</v>
      </c>
      <c r="E600" s="29" t="str">
        <f>RawList!H570</f>
        <v>Laser Module Mount</v>
      </c>
      <c r="F600" s="29" t="str">
        <f>RawList!D570</f>
        <v>COM-08674</v>
      </c>
      <c r="G600" s="101">
        <f>RawList!E570</f>
        <v>1</v>
      </c>
      <c r="H600" s="29" t="str">
        <f>IF(EquipmentTable[[#This Row],[Units]]&gt;0,"Quantity &gt; 0 Items","Quantity = 0 Items")</f>
        <v>Quantity &gt; 0 Items</v>
      </c>
      <c r="I600" s="102">
        <f>RawList!J570</f>
        <v>0.1</v>
      </c>
      <c r="J600" s="14">
        <f>VALUE(EquipmentTable[[#This Row],[Units]]*EquipmentTable[[#This Row],[Unit
 Price]])</f>
        <v>0.1</v>
      </c>
      <c r="K600" s="29" t="str">
        <f>RawList!G570</f>
        <v>https://cdn.sparkfun.com/r/92-92/assets/parts/1/8/3/1/08674-03-L.jpg</v>
      </c>
      <c r="L600" s="29"/>
      <c r="M600" s="29" t="str">
        <f>RawList!F570</f>
        <v>https://www.sparkfun.com/products/8674</v>
      </c>
    </row>
    <row r="601" spans="2:13" x14ac:dyDescent="0.25">
      <c r="B601" s="29" t="str">
        <f>RawList!A571</f>
        <v>Tools</v>
      </c>
      <c r="C601" s="29" t="str">
        <f>RawList!B571</f>
        <v>Hand Tools</v>
      </c>
      <c r="D601" s="29" t="str">
        <f>RawList!C571</f>
        <v>SparkFun</v>
      </c>
      <c r="E601" s="29" t="str">
        <f>RawList!H571</f>
        <v>Multimeter Probes - Needle Tipped</v>
      </c>
      <c r="F601" s="29" t="str">
        <f>RawList!D571</f>
        <v>TOL-12078</v>
      </c>
      <c r="G601" s="101">
        <f>RawList!E571</f>
        <v>1</v>
      </c>
      <c r="H601" s="29" t="str">
        <f>IF(EquipmentTable[[#This Row],[Units]]&gt;0,"Quantity &gt; 0 Items","Quantity = 0 Items")</f>
        <v>Quantity &gt; 0 Items</v>
      </c>
      <c r="I601" s="102">
        <f>RawList!J571</f>
        <v>4.95</v>
      </c>
      <c r="J601" s="14">
        <f>VALUE(EquipmentTable[[#This Row],[Units]]*EquipmentTable[[#This Row],[Unit
 Price]])</f>
        <v>4.95</v>
      </c>
      <c r="K601" s="29" t="str">
        <f>RawList!G571</f>
        <v>https://cdn.sparkfun.com/r/92-92/assets/parts/8/6/9/5/12078-01.jpg</v>
      </c>
      <c r="L601" s="29"/>
      <c r="M601" s="29" t="str">
        <f>RawList!F571</f>
        <v>https://www.sparkfun.com/products/12078</v>
      </c>
    </row>
    <row r="602" spans="2:13" x14ac:dyDescent="0.25">
      <c r="B602" s="29" t="str">
        <f>RawList!A572</f>
        <v>Tools</v>
      </c>
      <c r="C602" s="29" t="str">
        <f>RawList!B572</f>
        <v>Hand Tools</v>
      </c>
      <c r="D602" s="29" t="str">
        <f>RawList!C572</f>
        <v>SparkFun</v>
      </c>
      <c r="E602" s="29" t="str">
        <f>RawList!H572</f>
        <v>Multimeter Probes - Tweezers</v>
      </c>
      <c r="F602" s="29" t="str">
        <f>RawList!D572</f>
        <v>TOL-11060</v>
      </c>
      <c r="G602" s="101">
        <f>RawList!E572</f>
        <v>1</v>
      </c>
      <c r="H602" s="29" t="str">
        <f>IF(EquipmentTable[[#This Row],[Units]]&gt;0,"Quantity &gt; 0 Items","Quantity = 0 Items")</f>
        <v>Quantity &gt; 0 Items</v>
      </c>
      <c r="I602" s="102">
        <f>RawList!J572</f>
        <v>4.95</v>
      </c>
      <c r="J602" s="14">
        <f>VALUE(EquipmentTable[[#This Row],[Units]]*EquipmentTable[[#This Row],[Unit
 Price]])</f>
        <v>4.95</v>
      </c>
      <c r="K602" s="29" t="str">
        <f>RawList!G572</f>
        <v>https://cdn.sparkfun.com/r/92-92/assets/parts/6/4/3/2/11060-01.jpg</v>
      </c>
      <c r="L602" s="29"/>
      <c r="M602" s="29" t="str">
        <f>RawList!F572</f>
        <v>https://www.sparkfun.com/products/11060</v>
      </c>
    </row>
    <row r="603" spans="2:13" x14ac:dyDescent="0.25">
      <c r="B603" s="29" t="str">
        <f>RawList!A573</f>
        <v>Tools</v>
      </c>
      <c r="C603" s="29" t="str">
        <f>RawList!B573</f>
        <v>Hand Tools</v>
      </c>
      <c r="D603" s="29" t="str">
        <f>RawList!C573</f>
        <v>SparkFun</v>
      </c>
      <c r="E603" s="29" t="str">
        <f>RawList!H573</f>
        <v>Tweezers - Straight (cross-lock, ESD Safe)</v>
      </c>
      <c r="F603" s="29" t="str">
        <f>RawList!D573</f>
        <v>TOL-12573</v>
      </c>
      <c r="G603" s="101">
        <f>RawList!E573</f>
        <v>1</v>
      </c>
      <c r="H603" s="29" t="str">
        <f>IF(EquipmentTable[[#This Row],[Units]]&gt;0,"Quantity &gt; 0 Items","Quantity = 0 Items")</f>
        <v>Quantity &gt; 0 Items</v>
      </c>
      <c r="I603" s="102">
        <f>RawList!J573</f>
        <v>3.95</v>
      </c>
      <c r="J603" s="14">
        <f>VALUE(EquipmentTable[[#This Row],[Units]]*EquipmentTable[[#This Row],[Unit
 Price]])</f>
        <v>3.95</v>
      </c>
      <c r="K603" s="29" t="str">
        <f>RawList!G573</f>
        <v>https://cdn.sparkfun.com/r/92-92/assets/parts/9/2/2/3/12573-02.jpg</v>
      </c>
      <c r="L603" s="29"/>
      <c r="M603" s="29" t="str">
        <f>RawList!F573</f>
        <v>https://www.sparkfun.com/products/12573</v>
      </c>
    </row>
    <row r="604" spans="2:13" x14ac:dyDescent="0.25">
      <c r="B604" s="29" t="str">
        <f>RawList!A574</f>
        <v>Tools</v>
      </c>
      <c r="C604" s="29" t="str">
        <f>RawList!B574</f>
        <v>Hand Tools</v>
      </c>
      <c r="D604" s="29" t="str">
        <f>RawList!C574</f>
        <v>SparkFun</v>
      </c>
      <c r="E604" s="29" t="str">
        <f>RawList!H574</f>
        <v>Tweezers - Curved (ESD Safe)</v>
      </c>
      <c r="F604" s="29" t="str">
        <f>RawList!D574</f>
        <v>TOL-10602</v>
      </c>
      <c r="G604" s="101">
        <f>RawList!E574</f>
        <v>1</v>
      </c>
      <c r="H604" s="29" t="str">
        <f>IF(EquipmentTable[[#This Row],[Units]]&gt;0,"Quantity &gt; 0 Items","Quantity = 0 Items")</f>
        <v>Quantity &gt; 0 Items</v>
      </c>
      <c r="I604" s="102">
        <f>RawList!J574</f>
        <v>3.95</v>
      </c>
      <c r="J604" s="14">
        <f>VALUE(EquipmentTable[[#This Row],[Units]]*EquipmentTable[[#This Row],[Unit
 Price]])</f>
        <v>3.95</v>
      </c>
      <c r="K604" s="29" t="str">
        <f>RawList!G574</f>
        <v>https://cdn.sparkfun.com/r/92-92/assets/parts/5/2/4/5/10602-01.jpg</v>
      </c>
      <c r="L604" s="29"/>
      <c r="M604" s="29" t="str">
        <f>RawList!F574</f>
        <v>https://www.sparkfun.com/products/10602</v>
      </c>
    </row>
    <row r="605" spans="2:13" x14ac:dyDescent="0.25">
      <c r="B605" s="29" t="str">
        <f>RawList!A575</f>
        <v>Tools</v>
      </c>
      <c r="C605" s="29" t="str">
        <f>RawList!B575</f>
        <v>Hand Tools</v>
      </c>
      <c r="D605" s="29" t="str">
        <f>RawList!C575</f>
        <v>SparkFun</v>
      </c>
      <c r="E605" s="29" t="str">
        <f>RawList!H575</f>
        <v>Tweezers - Curved (cross-lock, ESD Safe)</v>
      </c>
      <c r="F605" s="29" t="str">
        <f>RawList!D575</f>
        <v>TOL-12572</v>
      </c>
      <c r="G605" s="101">
        <f>RawList!E575</f>
        <v>1</v>
      </c>
      <c r="H605" s="29" t="str">
        <f>IF(EquipmentTable[[#This Row],[Units]]&gt;0,"Quantity &gt; 0 Items","Quantity = 0 Items")</f>
        <v>Quantity &gt; 0 Items</v>
      </c>
      <c r="I605" s="102">
        <f>RawList!J575</f>
        <v>3.95</v>
      </c>
      <c r="J605" s="14">
        <f>VALUE(EquipmentTable[[#This Row],[Units]]*EquipmentTable[[#This Row],[Unit
 Price]])</f>
        <v>3.95</v>
      </c>
      <c r="K605" s="29" t="str">
        <f>RawList!G575</f>
        <v>https://cdn.sparkfun.com/r/92-92/assets/parts/9/2/2/2/12572-01.jpg</v>
      </c>
      <c r="L605" s="29"/>
      <c r="M605" s="29" t="str">
        <f>RawList!F575</f>
        <v>https://www.sparkfun.com/products/12572</v>
      </c>
    </row>
    <row r="606" spans="2:13" x14ac:dyDescent="0.25">
      <c r="B606" s="29" t="str">
        <f>RawList!A576</f>
        <v>Tools</v>
      </c>
      <c r="C606" s="29" t="str">
        <f>RawList!B576</f>
        <v>Hand Tools</v>
      </c>
      <c r="D606" s="29" t="str">
        <f>RawList!C576</f>
        <v>SparkFun</v>
      </c>
      <c r="E606" s="29" t="str">
        <f>RawList!H576</f>
        <v>Needle Nose Pliers</v>
      </c>
      <c r="F606" s="29" t="str">
        <f>RawList!D576</f>
        <v>TOL-08793</v>
      </c>
      <c r="G606" s="101">
        <f>RawList!E576</f>
        <v>0</v>
      </c>
      <c r="H606" s="29" t="str">
        <f>IF(EquipmentTable[[#This Row],[Units]]&gt;0,"Quantity &gt; 0 Items","Quantity = 0 Items")</f>
        <v>Quantity = 0 Items</v>
      </c>
      <c r="I606" s="102">
        <f>RawList!J576</f>
        <v>1.95</v>
      </c>
      <c r="J606" s="14">
        <f>VALUE(EquipmentTable[[#This Row],[Units]]*EquipmentTable[[#This Row],[Unit
 Price]])</f>
        <v>0</v>
      </c>
      <c r="K606" s="29" t="str">
        <f>RawList!G576</f>
        <v>https://cdn.sparkfun.com/r/92-92/assets/parts/2/0/3/3/08793-03-L.jpg</v>
      </c>
      <c r="L606" s="29"/>
      <c r="M606" s="29" t="str">
        <f>RawList!F576</f>
        <v>https://www.sparkfun.com/products/8793</v>
      </c>
    </row>
    <row r="607" spans="2:13" x14ac:dyDescent="0.25">
      <c r="B607" s="29" t="str">
        <f>RawList!A577</f>
        <v>Tools</v>
      </c>
      <c r="C607" s="29" t="str">
        <f>RawList!B577</f>
        <v>Hand Tools</v>
      </c>
      <c r="D607" s="29" t="str">
        <f>RawList!C577</f>
        <v>Adafruit</v>
      </c>
      <c r="E607" s="29" t="str">
        <f>RawList!H577</f>
        <v>Hakko Precision Flat Pliers</v>
      </c>
      <c r="F607" s="29" t="str">
        <f>RawList!D577</f>
        <v>1368</v>
      </c>
      <c r="G607" s="101">
        <f>RawList!E577</f>
        <v>0</v>
      </c>
      <c r="H607" s="29" t="str">
        <f>IF(EquipmentTable[[#This Row],[Units]]&gt;0,"Quantity &gt; 0 Items","Quantity = 0 Items")</f>
        <v>Quantity = 0 Items</v>
      </c>
      <c r="I607" s="102">
        <f>RawList!J577</f>
        <v>11.95</v>
      </c>
      <c r="J607" s="14">
        <f>VALUE(EquipmentTable[[#This Row],[Units]]*EquipmentTable[[#This Row],[Unit
 Price]])</f>
        <v>0</v>
      </c>
      <c r="K607" s="29">
        <f>RawList!G577</f>
        <v>0</v>
      </c>
      <c r="L607" s="29"/>
      <c r="M607" s="29">
        <f>RawList!F577</f>
        <v>0</v>
      </c>
    </row>
    <row r="608" spans="2:13" x14ac:dyDescent="0.25">
      <c r="B608" s="29" t="str">
        <f>RawList!A578</f>
        <v>Tools</v>
      </c>
      <c r="C608" s="29" t="str">
        <f>RawList!B578</f>
        <v>Hand Tools</v>
      </c>
      <c r="D608" s="29" t="str">
        <f>RawList!C578</f>
        <v>Adafruit</v>
      </c>
      <c r="E608" s="29" t="str">
        <f>RawList!H578</f>
        <v>Professional IC Extraction Tool</v>
      </c>
      <c r="F608" s="29" t="str">
        <f>RawList!D578</f>
        <v>1598</v>
      </c>
      <c r="G608" s="101">
        <f>RawList!E578</f>
        <v>0</v>
      </c>
      <c r="H608" s="29" t="str">
        <f>IF(EquipmentTable[[#This Row],[Units]]&gt;0,"Quantity &gt; 0 Items","Quantity = 0 Items")</f>
        <v>Quantity = 0 Items</v>
      </c>
      <c r="I608" s="102">
        <f>RawList!J578</f>
        <v>14.95</v>
      </c>
      <c r="J608" s="14">
        <f>VALUE(EquipmentTable[[#This Row],[Units]]*EquipmentTable[[#This Row],[Unit
 Price]])</f>
        <v>0</v>
      </c>
      <c r="K608" s="29">
        <f>RawList!G578</f>
        <v>0</v>
      </c>
      <c r="L608" s="29"/>
      <c r="M608" s="29">
        <f>RawList!F578</f>
        <v>0</v>
      </c>
    </row>
    <row r="609" spans="2:13" x14ac:dyDescent="0.25">
      <c r="B609" s="29" t="str">
        <f>RawList!A579</f>
        <v>Tools</v>
      </c>
      <c r="C609" s="29" t="str">
        <f>RawList!B579</f>
        <v>Hand Tools</v>
      </c>
      <c r="D609" s="29" t="str">
        <f>RawList!C579</f>
        <v>SparkFun</v>
      </c>
      <c r="E609" s="29" t="str">
        <f>RawList!H579</f>
        <v>Wire Strippers - 30AWG (Hakko)</v>
      </c>
      <c r="F609" s="29" t="str">
        <f>RawList!D579</f>
        <v>TOL-12630</v>
      </c>
      <c r="G609" s="101">
        <f>RawList!E579</f>
        <v>0</v>
      </c>
      <c r="H609" s="29" t="str">
        <f>IF(EquipmentTable[[#This Row],[Units]]&gt;0,"Quantity &gt; 0 Items","Quantity = 0 Items")</f>
        <v>Quantity = 0 Items</v>
      </c>
      <c r="I609" s="102">
        <f>RawList!J579</f>
        <v>9.9499999999999993</v>
      </c>
      <c r="J609" s="14">
        <f>VALUE(EquipmentTable[[#This Row],[Units]]*EquipmentTable[[#This Row],[Unit
 Price]])</f>
        <v>0</v>
      </c>
      <c r="K609" s="29" t="str">
        <f>RawList!G579</f>
        <v>https://cdn.sparkfun.com/r/92-92/assets/parts/9/3/1/2/12630-01.jpg</v>
      </c>
      <c r="L609" s="29"/>
      <c r="M609" s="29" t="str">
        <f>RawList!F579</f>
        <v>https://www.sparkfun.com/products/12630</v>
      </c>
    </row>
    <row r="610" spans="2:13" x14ac:dyDescent="0.25">
      <c r="B610" s="29" t="str">
        <f>RawList!A580</f>
        <v>Tools</v>
      </c>
      <c r="C610" s="29" t="str">
        <f>RawList!B580</f>
        <v>Hand Tools</v>
      </c>
      <c r="D610" s="29" t="str">
        <f>RawList!C580</f>
        <v>Adafruit</v>
      </c>
      <c r="E610" s="29" t="str">
        <f>RawList!H580</f>
        <v>Hakko Professsional Quality 20-30 AWG Wire Strippers - CSP-30-1</v>
      </c>
      <c r="F610" s="29" t="str">
        <f>RawList!D580</f>
        <v>527</v>
      </c>
      <c r="G610" s="101">
        <f>RawList!E580</f>
        <v>0</v>
      </c>
      <c r="H610" s="29" t="str">
        <f>IF(EquipmentTable[[#This Row],[Units]]&gt;0,"Quantity &gt; 0 Items","Quantity = 0 Items")</f>
        <v>Quantity = 0 Items</v>
      </c>
      <c r="I610" s="102">
        <f>RawList!J580</f>
        <v>14.95</v>
      </c>
      <c r="J610" s="14">
        <f>VALUE(EquipmentTable[[#This Row],[Units]]*EquipmentTable[[#This Row],[Unit
 Price]])</f>
        <v>0</v>
      </c>
      <c r="K610" s="29">
        <f>RawList!G580</f>
        <v>0</v>
      </c>
      <c r="L610" s="29"/>
      <c r="M610" s="29">
        <f>RawList!F580</f>
        <v>0</v>
      </c>
    </row>
    <row r="611" spans="2:13" x14ac:dyDescent="0.25">
      <c r="B611" s="29" t="str">
        <f>RawList!A581</f>
        <v>Tools</v>
      </c>
      <c r="C611" s="29" t="str">
        <f>RawList!B581</f>
        <v>Hand Tools</v>
      </c>
      <c r="D611" s="29" t="str">
        <f>RawList!C581</f>
        <v>SparkFun</v>
      </c>
      <c r="E611" s="29" t="str">
        <f>RawList!H581</f>
        <v>Diagonal Cutters</v>
      </c>
      <c r="F611" s="29" t="str">
        <f>RawList!D581</f>
        <v>TOL-08794</v>
      </c>
      <c r="G611" s="101">
        <f>RawList!E581</f>
        <v>0</v>
      </c>
      <c r="H611" s="29" t="str">
        <f>IF(EquipmentTable[[#This Row],[Units]]&gt;0,"Quantity &gt; 0 Items","Quantity = 0 Items")</f>
        <v>Quantity = 0 Items</v>
      </c>
      <c r="I611" s="102">
        <f>RawList!J581</f>
        <v>1.95</v>
      </c>
      <c r="J611" s="14">
        <f>VALUE(EquipmentTable[[#This Row],[Units]]*EquipmentTable[[#This Row],[Unit
 Price]])</f>
        <v>0</v>
      </c>
      <c r="K611" s="29" t="str">
        <f>RawList!G581</f>
        <v>https://cdn.sparkfun.com/r/92-92/assets/parts/2/0/3/4/08794-03-L.jpg</v>
      </c>
      <c r="L611" s="29"/>
      <c r="M611" s="29" t="str">
        <f>RawList!F581</f>
        <v>https://www.sparkfun.com/products/8794</v>
      </c>
    </row>
    <row r="612" spans="2:13" x14ac:dyDescent="0.25">
      <c r="B612" s="29" t="str">
        <f>RawList!A582</f>
        <v>Tools</v>
      </c>
      <c r="C612" s="29" t="str">
        <f>RawList!B582</f>
        <v>Hand Tools</v>
      </c>
      <c r="D612" s="29" t="str">
        <f>RawList!C582</f>
        <v>SparkFun</v>
      </c>
      <c r="E612" s="29" t="str">
        <f>RawList!H582</f>
        <v>Flush Cutters - Hakko</v>
      </c>
      <c r="F612" s="29" t="str">
        <f>RawList!D582</f>
        <v>TOL-11952</v>
      </c>
      <c r="G612" s="101">
        <f>RawList!E582</f>
        <v>0</v>
      </c>
      <c r="H612" s="29" t="str">
        <f>IF(EquipmentTable[[#This Row],[Units]]&gt;0,"Quantity &gt; 0 Items","Quantity = 0 Items")</f>
        <v>Quantity = 0 Items</v>
      </c>
      <c r="I612" s="102">
        <f>RawList!J582</f>
        <v>6.95</v>
      </c>
      <c r="J612" s="14">
        <f>VALUE(EquipmentTable[[#This Row],[Units]]*EquipmentTable[[#This Row],[Unit
 Price]])</f>
        <v>0</v>
      </c>
      <c r="K612" s="29" t="str">
        <f>RawList!G582</f>
        <v>https://cdn.sparkfun.com/r/92-92/assets/parts/8/4/2/2/11952-01.jpg</v>
      </c>
      <c r="L612" s="29"/>
      <c r="M612" s="29" t="str">
        <f>RawList!F582</f>
        <v>https://www.sparkfun.com/products/11952</v>
      </c>
    </row>
    <row r="613" spans="2:13" x14ac:dyDescent="0.25">
      <c r="B613" s="29" t="str">
        <f>RawList!A583</f>
        <v>Tools</v>
      </c>
      <c r="C613" s="29" t="str">
        <f>RawList!B583</f>
        <v>Hand Tools</v>
      </c>
      <c r="D613" s="29" t="str">
        <f>RawList!C583</f>
        <v>SparkFun</v>
      </c>
      <c r="E613" s="29" t="str">
        <f>RawList!H583</f>
        <v>Hobby Knife</v>
      </c>
      <c r="F613" s="29" t="str">
        <f>RawList!D583</f>
        <v>TOL-09200</v>
      </c>
      <c r="G613" s="101">
        <f>RawList!E583</f>
        <v>0</v>
      </c>
      <c r="H613" s="29" t="str">
        <f>IF(EquipmentTable[[#This Row],[Units]]&gt;0,"Quantity &gt; 0 Items","Quantity = 0 Items")</f>
        <v>Quantity = 0 Items</v>
      </c>
      <c r="I613" s="102">
        <f>RawList!J583</f>
        <v>2.95</v>
      </c>
      <c r="J613" s="14">
        <f>VALUE(EquipmentTable[[#This Row],[Units]]*EquipmentTable[[#This Row],[Unit
 Price]])</f>
        <v>0</v>
      </c>
      <c r="K613" s="29" t="str">
        <f>RawList!G583</f>
        <v>https://cdn.sparkfun.com/r/92-92/assets/parts/2/6/4/6/09200-03.jpg</v>
      </c>
      <c r="L613" s="29"/>
      <c r="M613" s="29" t="str">
        <f>RawList!F583</f>
        <v>https://www.sparkfun.com/products/9200</v>
      </c>
    </row>
    <row r="614" spans="2:13" x14ac:dyDescent="0.25">
      <c r="B614" s="29" t="str">
        <f>RawList!A584</f>
        <v>Tools</v>
      </c>
      <c r="C614" s="29" t="str">
        <f>RawList!B584</f>
        <v>Hand Tools</v>
      </c>
      <c r="D614" s="29" t="str">
        <f>RawList!C584</f>
        <v>SparkFun</v>
      </c>
      <c r="E614" s="29" t="str">
        <f>RawList!H584</f>
        <v>Hobby Knife Replacement Blades</v>
      </c>
      <c r="F614" s="29" t="str">
        <f>RawList!D584</f>
        <v>TOL-10325</v>
      </c>
      <c r="G614" s="101">
        <f>RawList!E584</f>
        <v>0</v>
      </c>
      <c r="H614" s="29" t="str">
        <f>IF(EquipmentTable[[#This Row],[Units]]&gt;0,"Quantity &gt; 0 Items","Quantity = 0 Items")</f>
        <v>Quantity = 0 Items</v>
      </c>
      <c r="I614" s="102">
        <f>RawList!J584</f>
        <v>1.95</v>
      </c>
      <c r="J614" s="14">
        <f>VALUE(EquipmentTable[[#This Row],[Units]]*EquipmentTable[[#This Row],[Unit
 Price]])</f>
        <v>0</v>
      </c>
      <c r="K614" s="29" t="str">
        <f>RawList!G584</f>
        <v>https://cdn.sparkfun.com/r/92-92/assets/parts/4/7/3/3/10325-02.jpg</v>
      </c>
      <c r="L614" s="29"/>
      <c r="M614" s="29" t="str">
        <f>RawList!F584</f>
        <v>https://www.sparkfun.com/products/10325</v>
      </c>
    </row>
    <row r="615" spans="2:13" x14ac:dyDescent="0.25">
      <c r="B615" s="29" t="str">
        <f>RawList!A585</f>
        <v>Tools</v>
      </c>
      <c r="C615" s="29" t="str">
        <f>RawList!B585</f>
        <v>Hand Tools</v>
      </c>
      <c r="D615" s="29" t="str">
        <f>RawList!C585</f>
        <v>SparkFun</v>
      </c>
      <c r="E615" s="29" t="str">
        <f>RawList!H585</f>
        <v>Resistor Lead Bending Tool</v>
      </c>
      <c r="F615" s="29" t="str">
        <f>RawList!D585</f>
        <v>TOL-13114</v>
      </c>
      <c r="G615" s="101">
        <f>RawList!E585</f>
        <v>1</v>
      </c>
      <c r="H615" s="29" t="str">
        <f>IF(EquipmentTable[[#This Row],[Units]]&gt;0,"Quantity &gt; 0 Items","Quantity = 0 Items")</f>
        <v>Quantity &gt; 0 Items</v>
      </c>
      <c r="I615" s="102">
        <f>RawList!J585</f>
        <v>4.8</v>
      </c>
      <c r="J615" s="14">
        <f>VALUE(EquipmentTable[[#This Row],[Units]]*EquipmentTable[[#This Row],[Unit
 Price]])</f>
        <v>4.8</v>
      </c>
      <c r="K615" s="29" t="str">
        <f>RawList!G585</f>
        <v>https://cdn.sparkfun.com/r/92-92/assets/parts/1/0/1/6/6/13114-01.jpg</v>
      </c>
      <c r="L615" s="29"/>
      <c r="M615" s="29" t="str">
        <f>RawList!F585</f>
        <v>https://www.sparkfun.com/products/13114</v>
      </c>
    </row>
    <row r="616" spans="2:13" x14ac:dyDescent="0.25">
      <c r="B616" s="29" t="str">
        <f>RawList!A586</f>
        <v>Tools</v>
      </c>
      <c r="C616" s="29" t="str">
        <f>RawList!B586</f>
        <v>Storage/Organization</v>
      </c>
      <c r="D616" s="29" t="str">
        <f>RawList!C586</f>
        <v>SparkFun</v>
      </c>
      <c r="E616" s="29" t="str">
        <f>RawList!H586</f>
        <v>Modular Plastic Storage Box - Medium (4 pack)</v>
      </c>
      <c r="F616" s="29" t="str">
        <f>RawList!D586</f>
        <v>TOL-11528</v>
      </c>
      <c r="G616" s="101">
        <f>RawList!E586</f>
        <v>0</v>
      </c>
      <c r="H616" s="29" t="str">
        <f>IF(EquipmentTable[[#This Row],[Units]]&gt;0,"Quantity &gt; 0 Items","Quantity = 0 Items")</f>
        <v>Quantity = 0 Items</v>
      </c>
      <c r="I616" s="102">
        <f>RawList!J586</f>
        <v>3.95</v>
      </c>
      <c r="J616" s="14">
        <f>VALUE(EquipmentTable[[#This Row],[Units]]*EquipmentTable[[#This Row],[Unit
 Price]])</f>
        <v>0</v>
      </c>
      <c r="K616" s="29" t="str">
        <f>RawList!G586</f>
        <v>https://cdn.sparkfun.com/r/92-92/assets/parts/7/4/5/3/11528-01.jpg</v>
      </c>
      <c r="L616" s="29"/>
      <c r="M616" s="29" t="str">
        <f>RawList!F586</f>
        <v>https://www.sparkfun.com/products/11528</v>
      </c>
    </row>
    <row r="617" spans="2:13" x14ac:dyDescent="0.25">
      <c r="B617" s="29" t="str">
        <f>RawList!A587</f>
        <v>Tools</v>
      </c>
      <c r="C617" s="29" t="str">
        <f>RawList!B587</f>
        <v>Storage/Organization</v>
      </c>
      <c r="D617" s="29" t="str">
        <f>RawList!C587</f>
        <v>SparkFun</v>
      </c>
      <c r="E617" s="29" t="str">
        <f>RawList!H587</f>
        <v>Modular Plastic Storage Box - Small (10 pack)</v>
      </c>
      <c r="F617" s="29" t="str">
        <f>RawList!D587</f>
        <v>TOL-11527</v>
      </c>
      <c r="G617" s="101">
        <f>RawList!E587</f>
        <v>0</v>
      </c>
      <c r="H617" s="29" t="str">
        <f>IF(EquipmentTable[[#This Row],[Units]]&gt;0,"Quantity &gt; 0 Items","Quantity = 0 Items")</f>
        <v>Quantity = 0 Items</v>
      </c>
      <c r="I617" s="102">
        <f>RawList!J587</f>
        <v>3.95</v>
      </c>
      <c r="J617" s="14">
        <f>VALUE(EquipmentTable[[#This Row],[Units]]*EquipmentTable[[#This Row],[Unit
 Price]])</f>
        <v>0</v>
      </c>
      <c r="K617" s="29" t="str">
        <f>RawList!G587</f>
        <v>https://cdn.sparkfun.com/r/92-92/assets/parts/7/4/5/2/11527-01.jpg</v>
      </c>
      <c r="L617" s="29"/>
      <c r="M617" s="29" t="str">
        <f>RawList!F587</f>
        <v>https://www.sparkfun.com/products/11527</v>
      </c>
    </row>
    <row r="618" spans="2:13" x14ac:dyDescent="0.25">
      <c r="B618" s="29" t="str">
        <f>RawList!A588</f>
        <v>Tools</v>
      </c>
      <c r="C618" s="29" t="str">
        <f>RawList!B588</f>
        <v>Storage/Organization</v>
      </c>
      <c r="D618" s="29" t="str">
        <f>RawList!C588</f>
        <v>Adafruit</v>
      </c>
      <c r="E618" s="29" t="str">
        <f>RawList!H588</f>
        <v>Latching 5-Compartment Storage Box</v>
      </c>
      <c r="F618" s="29" t="str">
        <f>RawList!D588</f>
        <v>2938</v>
      </c>
      <c r="G618" s="101">
        <f>RawList!E588</f>
        <v>0</v>
      </c>
      <c r="H618" s="29" t="str">
        <f>IF(EquipmentTable[[#This Row],[Units]]&gt;0,"Quantity &gt; 0 Items","Quantity = 0 Items")</f>
        <v>Quantity = 0 Items</v>
      </c>
      <c r="I618" s="102">
        <f>RawList!J588</f>
        <v>2.5</v>
      </c>
      <c r="J618" s="14">
        <f>VALUE(EquipmentTable[[#This Row],[Units]]*EquipmentTable[[#This Row],[Unit
 Price]])</f>
        <v>0</v>
      </c>
      <c r="K618" s="29">
        <f>RawList!G588</f>
        <v>0</v>
      </c>
      <c r="L618" s="29"/>
      <c r="M618" s="29">
        <f>RawList!F588</f>
        <v>0</v>
      </c>
    </row>
    <row r="619" spans="2:13" x14ac:dyDescent="0.25">
      <c r="B619" s="29" t="str">
        <f>RawList!A589</f>
        <v>Tools</v>
      </c>
      <c r="C619" s="29" t="str">
        <f>RawList!B589</f>
        <v>Storage/Organization</v>
      </c>
      <c r="D619" s="29" t="str">
        <f>RawList!C589</f>
        <v>Adafruit</v>
      </c>
      <c r="E619" s="29" t="str">
        <f>RawList!H589</f>
        <v>Medium Modular Snap Boxes - SMD component storage - 2 pack - Pink</v>
      </c>
      <c r="F619" s="29" t="str">
        <f>RawList!D589</f>
        <v>433</v>
      </c>
      <c r="G619" s="101">
        <f>RawList!E589</f>
        <v>1</v>
      </c>
      <c r="H619" s="29" t="str">
        <f>IF(EquipmentTable[[#This Row],[Units]]&gt;0,"Quantity &gt; 0 Items","Quantity = 0 Items")</f>
        <v>Quantity &gt; 0 Items</v>
      </c>
      <c r="I619" s="102">
        <f>RawList!J589</f>
        <v>2.95</v>
      </c>
      <c r="J619" s="14">
        <f>VALUE(EquipmentTable[[#This Row],[Units]]*EquipmentTable[[#This Row],[Unit
 Price]])</f>
        <v>2.95</v>
      </c>
      <c r="K619" s="29">
        <f>RawList!G589</f>
        <v>0</v>
      </c>
      <c r="L619" s="29"/>
      <c r="M619" s="29">
        <f>RawList!F589</f>
        <v>0</v>
      </c>
    </row>
    <row r="620" spans="2:13" x14ac:dyDescent="0.25">
      <c r="B620" s="29" t="str">
        <f>RawList!A590</f>
        <v>Tools</v>
      </c>
      <c r="C620" s="29" t="str">
        <f>RawList!B590</f>
        <v>Storage/Organization</v>
      </c>
      <c r="D620" s="29" t="str">
        <f>RawList!C590</f>
        <v>Adafruit</v>
      </c>
      <c r="E620" s="29" t="str">
        <f>RawList!H590</f>
        <v>Small Modular Snap Boxes - SMD component storage - 3 pack - Green</v>
      </c>
      <c r="F620" s="29" t="str">
        <f>RawList!D590</f>
        <v>432</v>
      </c>
      <c r="G620" s="101">
        <f>RawList!E590</f>
        <v>1</v>
      </c>
      <c r="H620" s="29" t="str">
        <f>IF(EquipmentTable[[#This Row],[Units]]&gt;0,"Quantity &gt; 0 Items","Quantity = 0 Items")</f>
        <v>Quantity &gt; 0 Items</v>
      </c>
      <c r="I620" s="102">
        <f>RawList!J590</f>
        <v>2.95</v>
      </c>
      <c r="J620" s="14">
        <f>VALUE(EquipmentTable[[#This Row],[Units]]*EquipmentTable[[#This Row],[Unit
 Price]])</f>
        <v>2.95</v>
      </c>
      <c r="K620" s="29">
        <f>RawList!G590</f>
        <v>0</v>
      </c>
      <c r="L620" s="29"/>
      <c r="M620" s="29">
        <f>RawList!F590</f>
        <v>0</v>
      </c>
    </row>
    <row r="621" spans="2:13" x14ac:dyDescent="0.25">
      <c r="B621" s="29" t="str">
        <f>RawList!A591</f>
        <v>Tools</v>
      </c>
      <c r="C621" s="29" t="str">
        <f>RawList!B591</f>
        <v>Storage/Organization</v>
      </c>
      <c r="D621" s="29" t="str">
        <f>RawList!C591</f>
        <v>Adafruit</v>
      </c>
      <c r="E621" s="29" t="str">
        <f>RawList!H591</f>
        <v>Tiny Modular Snap Boxes - SMD component storage - 10 pack - Blue</v>
      </c>
      <c r="F621" s="29" t="str">
        <f>RawList!D591</f>
        <v>427</v>
      </c>
      <c r="G621" s="101">
        <f>RawList!E591</f>
        <v>1</v>
      </c>
      <c r="H621" s="29" t="str">
        <f>IF(EquipmentTable[[#This Row],[Units]]&gt;0,"Quantity &gt; 0 Items","Quantity = 0 Items")</f>
        <v>Quantity &gt; 0 Items</v>
      </c>
      <c r="I621" s="102">
        <f>RawList!J591</f>
        <v>3.95</v>
      </c>
      <c r="J621" s="14">
        <f>VALUE(EquipmentTable[[#This Row],[Units]]*EquipmentTable[[#This Row],[Unit
 Price]])</f>
        <v>3.95</v>
      </c>
      <c r="K621" s="29">
        <f>RawList!G591</f>
        <v>0</v>
      </c>
      <c r="L621" s="29"/>
      <c r="M621" s="29">
        <f>RawList!F591</f>
        <v>0</v>
      </c>
    </row>
    <row r="622" spans="2:13" x14ac:dyDescent="0.25">
      <c r="B622" s="29" t="str">
        <f>RawList!A592</f>
        <v>Tools</v>
      </c>
      <c r="C622" s="29" t="str">
        <f>RawList!B592</f>
        <v>Storage/Organization</v>
      </c>
      <c r="D622" s="29" t="str">
        <f>RawList!C592</f>
        <v>Adafruit</v>
      </c>
      <c r="E622" s="29" t="str">
        <f>RawList!H592</f>
        <v>Tiny Modular Snap Boxes - SMD component storage - 10 pack - White</v>
      </c>
      <c r="F622" s="29" t="str">
        <f>RawList!D592</f>
        <v>431</v>
      </c>
      <c r="G622" s="101">
        <f>RawList!E592</f>
        <v>1</v>
      </c>
      <c r="H622" s="29" t="str">
        <f>IF(EquipmentTable[[#This Row],[Units]]&gt;0,"Quantity &gt; 0 Items","Quantity = 0 Items")</f>
        <v>Quantity &gt; 0 Items</v>
      </c>
      <c r="I622" s="102">
        <f>RawList!J592</f>
        <v>3.95</v>
      </c>
      <c r="J622" s="14">
        <f>VALUE(EquipmentTable[[#This Row],[Units]]*EquipmentTable[[#This Row],[Unit
 Price]])</f>
        <v>3.95</v>
      </c>
      <c r="K622" s="29">
        <f>RawList!G592</f>
        <v>0</v>
      </c>
      <c r="L622" s="29"/>
      <c r="M622" s="29">
        <f>RawList!F592</f>
        <v>0</v>
      </c>
    </row>
    <row r="623" spans="2:13" ht="45" x14ac:dyDescent="0.25">
      <c r="B623" s="40" t="s">
        <v>0</v>
      </c>
      <c r="C623" s="29">
        <f>SUBTOTAL(103,RawListTable[Category])</f>
        <v>282</v>
      </c>
      <c r="D623" s="29"/>
      <c r="E623" s="29"/>
      <c r="F623" s="39" t="str">
        <f>"TOTAL ITEMS: "&amp;SUBTOTAL(103,EquipmentTable[Item SKU])</f>
        <v>TOTAL ITEMS: 451</v>
      </c>
      <c r="G623" s="39" t="str">
        <f>"TOTAL UNITS: "&amp;SUBTOTAL(109,EquipmentTable[Units])</f>
        <v>TOTAL UNITS: 914</v>
      </c>
      <c r="H623" s="39"/>
      <c r="I623" s="36">
        <f>SUBTOTAL(101,EquipmentTable[Unit
 Price])</f>
        <v>5.4695787139689571</v>
      </c>
      <c r="J623" s="36">
        <f>SUBTOTAL(109,EquipmentTable[Price])</f>
        <v>4345.7699999999904</v>
      </c>
      <c r="K623" s="29"/>
      <c r="L623" s="29"/>
      <c r="M623" s="29"/>
    </row>
    <row r="624" spans="2:13" x14ac:dyDescent="0.25">
      <c r="B624" s="29" t="str">
        <f>RawList!A593</f>
        <v>Total</v>
      </c>
      <c r="C624" s="29"/>
      <c r="D624" s="29"/>
      <c r="E624" s="29"/>
      <c r="F624" s="29"/>
      <c r="G624" s="101"/>
      <c r="H624" s="29"/>
      <c r="I624" s="102"/>
      <c r="J624" s="14"/>
      <c r="K624" s="29"/>
      <c r="L624" s="29"/>
      <c r="M624" s="29"/>
    </row>
    <row r="625" spans="2:13" x14ac:dyDescent="0.25">
      <c r="B625" s="29" t="e">
        <f>RawList!A594</f>
        <v>#REF!</v>
      </c>
      <c r="C625" s="29"/>
      <c r="D625" s="29"/>
      <c r="E625" s="29"/>
      <c r="F625" s="29"/>
      <c r="G625" s="101"/>
      <c r="H625" s="29"/>
      <c r="I625" s="102"/>
      <c r="J625" s="14"/>
      <c r="K625" s="29"/>
      <c r="L625" s="29"/>
      <c r="M625" s="29"/>
    </row>
    <row r="626" spans="2:13" x14ac:dyDescent="0.25">
      <c r="B626" s="29"/>
      <c r="C626" s="29"/>
      <c r="D626" s="29"/>
      <c r="E626" s="29"/>
      <c r="F626" s="29"/>
      <c r="G626" s="101"/>
      <c r="H626" s="29"/>
      <c r="I626" s="102"/>
      <c r="J626" s="14"/>
      <c r="K626" s="29"/>
      <c r="L626" s="29"/>
      <c r="M626" s="29"/>
    </row>
    <row r="627" spans="2:13" x14ac:dyDescent="0.25">
      <c r="B627" s="29"/>
      <c r="C627" s="29"/>
      <c r="D627" s="29"/>
      <c r="E627" s="29"/>
      <c r="F627" s="29"/>
      <c r="G627" s="101"/>
      <c r="H627" s="29"/>
      <c r="I627" s="102"/>
      <c r="J627" s="14"/>
      <c r="K627" s="29"/>
      <c r="L627" s="29"/>
      <c r="M627" s="29"/>
    </row>
  </sheetData>
  <mergeCells count="4">
    <mergeCell ref="B1:C1"/>
    <mergeCell ref="F2:H2"/>
    <mergeCell ref="F1:J1"/>
    <mergeCell ref="I2:J2"/>
  </mergeCells>
  <conditionalFormatting sqref="J40:J627">
    <cfRule type="dataBar" priority="5021">
      <dataBar>
        <cfvo type="min"/>
        <cfvo type="max"/>
        <color theme="5"/>
      </dataBar>
      <extLst>
        <ext xmlns:x14="http://schemas.microsoft.com/office/spreadsheetml/2009/9/main" uri="{B025F937-C7B1-47D3-B67F-A62EFF666E3E}">
          <x14:id>{C7B4005D-DBE6-4102-A519-3A98C697EEB1}</x14:id>
        </ext>
      </extLst>
    </cfRule>
  </conditionalFormatting>
  <dataValidations xWindow="1260" yWindow="399" count="6">
    <dataValidation allowBlank="1" showInputMessage="1" showErrorMessage="1" prompt="Enter Inventory Date in cell at right" sqref="F2" xr:uid="{0C6D06B5-C350-4712-AB3F-0E33A732D8B5}"/>
    <dataValidation allowBlank="1" showInputMessage="1" showErrorMessage="1" prompt="Enter Inventory Date in this cell" sqref="I2" xr:uid="{C540F45E-8595-4BEF-A73C-8DC706FC9B5C}"/>
    <dataValidation allowBlank="1" showInputMessage="1" showErrorMessage="1" prompt="Total Estimated Value of All Items is automatically calculated in this cell. Enter Inventory Date in cell I2" sqref="C2:D3" xr:uid="{FD8BDF86-F53E-46EE-B178-AC891E2DFE75}"/>
    <dataValidation allowBlank="1" showInputMessage="1" showErrorMessage="1" prompt="Total Estimated Value of All Items is automatically calculated in cell at right. Enter Inventory Date in cell I2" sqref="B2:B3" xr:uid="{43ECEE50-9329-4CFF-B5AB-B3906477843C}"/>
    <dataValidation allowBlank="1" showInputMessage="1" showErrorMessage="1" prompt="Title of this worksheet is in cells B1 through D1" sqref="B1" xr:uid="{1F89321E-EFAA-420B-A372-189A65AC7576}"/>
    <dataValidation type="list" allowBlank="1" showInputMessage="1" showErrorMessage="1" sqref="B40:B622 B624:B627" xr:uid="{C546F80F-5009-4E98-917D-10CAD5F2E8FF}">
      <formula1>$C$6:$C$13</formula1>
    </dataValidation>
  </dataValidations>
  <pageMargins left="0.7" right="0.7" top="0.75" bottom="0.75" header="0.3" footer="0.3"/>
  <pageSetup orientation="portrait" horizontalDpi="4294967294" verticalDpi="0"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C7B4005D-DBE6-4102-A519-3A98C697EEB1}">
            <x14:dataBar minLength="0" maxLength="100">
              <x14:cfvo type="autoMin"/>
              <x14:cfvo type="autoMax"/>
              <x14:negativeFillColor rgb="FFFF0000"/>
              <x14:axisColor rgb="FF000000"/>
            </x14:dataBar>
          </x14:cfRule>
          <xm:sqref>J40:J627</xm:sqref>
        </x14:conditionalFormatting>
      </x14:conditionalFormattings>
    </ext>
    <ext xmlns:x14="http://schemas.microsoft.com/office/spreadsheetml/2009/9/main" uri="{CCE6A557-97BC-4b89-ADB6-D9C93CAAB3DF}">
      <x14:dataValidations xmlns:xm="http://schemas.microsoft.com/office/excel/2006/main" xWindow="1260" yWindow="399" count="2">
        <x14:dataValidation type="list" allowBlank="1" showInputMessage="1" showErrorMessage="1" xr:uid="{B6FDD4A4-695D-4216-9131-F8604D1E599C}">
          <x14:formula1>
            <xm:f>'Category Lookup'!$B$4:$B$96</xm:f>
          </x14:formula1>
          <xm:sqref>C40:C622 C624:C627</xm:sqref>
        </x14:dataValidation>
        <x14:dataValidation type="list" allowBlank="1" showInputMessage="1" showErrorMessage="1" xr:uid="{CCB6D9F4-0C7B-4BF6-8BC0-F15F8E2502AF}">
          <x14:formula1>
            <xm:f>FilterSpecs!$A$6:$A$16</xm:f>
          </x14:formula1>
          <xm:sqref>D40:D622 D624:D627</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5" tint="-0.249977111117893"/>
    <pageSetUpPr fitToPage="1"/>
  </sheetPr>
  <dimension ref="B1:F110"/>
  <sheetViews>
    <sheetView showGridLines="0" topLeftCell="A52" zoomScaleNormal="100" workbookViewId="0">
      <selection activeCell="C60" sqref="C60"/>
    </sheetView>
  </sheetViews>
  <sheetFormatPr defaultRowHeight="15" x14ac:dyDescent="0.25"/>
  <cols>
    <col min="1" max="1" width="1.140625" customWidth="1"/>
    <col min="2" max="2" width="45.28515625" bestFit="1" customWidth="1"/>
    <col min="3" max="3" width="50.5703125" customWidth="1"/>
    <col min="4" max="4" width="36" customWidth="1"/>
    <col min="5" max="5" width="6.7109375" customWidth="1"/>
    <col min="6" max="6" width="46.7109375" customWidth="1"/>
    <col min="7" max="7" width="26.42578125" customWidth="1"/>
  </cols>
  <sheetData>
    <row r="1" spans="2:6" ht="67.150000000000006" customHeight="1" thickBot="1" x14ac:dyDescent="0.3">
      <c r="B1" s="7" t="s">
        <v>6</v>
      </c>
      <c r="C1" s="7"/>
    </row>
    <row r="2" spans="2:6" ht="6.6" customHeight="1" thickTop="1" x14ac:dyDescent="0.25">
      <c r="B2" s="45"/>
      <c r="C2" s="45"/>
      <c r="D2" s="45"/>
    </row>
    <row r="3" spans="2:6" ht="30" customHeight="1" x14ac:dyDescent="0.25">
      <c r="B3" t="s">
        <v>156</v>
      </c>
      <c r="C3" t="s">
        <v>886</v>
      </c>
      <c r="D3" t="s">
        <v>2023</v>
      </c>
    </row>
    <row r="4" spans="2:6" x14ac:dyDescent="0.25">
      <c r="B4" s="6" t="s">
        <v>1602</v>
      </c>
      <c r="C4" s="6" t="s">
        <v>887</v>
      </c>
      <c r="D4" s="6" t="s">
        <v>2028</v>
      </c>
    </row>
    <row r="5" spans="2:6" x14ac:dyDescent="0.25">
      <c r="B5" s="6" t="s">
        <v>1397</v>
      </c>
      <c r="C5" s="6" t="s">
        <v>887</v>
      </c>
      <c r="D5" s="6" t="s">
        <v>2034</v>
      </c>
      <c r="F5" t="s">
        <v>2022</v>
      </c>
    </row>
    <row r="6" spans="2:6" x14ac:dyDescent="0.25">
      <c r="B6" s="6" t="s">
        <v>2015</v>
      </c>
      <c r="C6" s="6" t="s">
        <v>887</v>
      </c>
      <c r="D6" s="6" t="s">
        <v>2034</v>
      </c>
      <c r="F6" t="s">
        <v>2022</v>
      </c>
    </row>
    <row r="7" spans="2:6" ht="30" x14ac:dyDescent="0.25">
      <c r="B7" t="s">
        <v>2018</v>
      </c>
      <c r="C7" s="6" t="s">
        <v>887</v>
      </c>
      <c r="D7" s="6" t="s">
        <v>2024</v>
      </c>
      <c r="F7" t="s">
        <v>2021</v>
      </c>
    </row>
    <row r="8" spans="2:6" ht="30" x14ac:dyDescent="0.25">
      <c r="B8" t="s">
        <v>2019</v>
      </c>
      <c r="C8" s="6" t="s">
        <v>887</v>
      </c>
      <c r="D8" s="6" t="s">
        <v>2024</v>
      </c>
      <c r="F8" t="s">
        <v>2021</v>
      </c>
    </row>
    <row r="9" spans="2:6" x14ac:dyDescent="0.25">
      <c r="B9" t="s">
        <v>2020</v>
      </c>
      <c r="C9" s="6" t="s">
        <v>887</v>
      </c>
      <c r="D9" s="6" t="s">
        <v>2034</v>
      </c>
      <c r="F9" t="s">
        <v>2021</v>
      </c>
    </row>
    <row r="10" spans="2:6" x14ac:dyDescent="0.25">
      <c r="B10" t="s">
        <v>2013</v>
      </c>
      <c r="C10" s="6" t="s">
        <v>887</v>
      </c>
      <c r="D10" s="2" t="s">
        <v>2038</v>
      </c>
      <c r="F10" t="s">
        <v>2021</v>
      </c>
    </row>
    <row r="11" spans="2:6" x14ac:dyDescent="0.25">
      <c r="B11" t="s">
        <v>2039</v>
      </c>
      <c r="C11" s="6" t="s">
        <v>887</v>
      </c>
      <c r="D11" s="6" t="s">
        <v>2034</v>
      </c>
      <c r="F11" t="s">
        <v>2021</v>
      </c>
    </row>
    <row r="12" spans="2:6" ht="30" x14ac:dyDescent="0.25">
      <c r="B12" t="s">
        <v>2016</v>
      </c>
      <c r="C12" s="6" t="s">
        <v>887</v>
      </c>
      <c r="D12" s="6" t="s">
        <v>2028</v>
      </c>
      <c r="F12" t="s">
        <v>2021</v>
      </c>
    </row>
    <row r="13" spans="2:6" ht="30" x14ac:dyDescent="0.25">
      <c r="B13" t="s">
        <v>2011</v>
      </c>
      <c r="C13" s="6" t="s">
        <v>887</v>
      </c>
      <c r="D13" s="6" t="s">
        <v>2024</v>
      </c>
      <c r="F13" t="s">
        <v>2021</v>
      </c>
    </row>
    <row r="14" spans="2:6" x14ac:dyDescent="0.25">
      <c r="B14" t="s">
        <v>2012</v>
      </c>
      <c r="C14" s="6" t="s">
        <v>887</v>
      </c>
      <c r="D14" s="2" t="s">
        <v>2027</v>
      </c>
      <c r="F14" t="s">
        <v>2021</v>
      </c>
    </row>
    <row r="15" spans="2:6" x14ac:dyDescent="0.25">
      <c r="B15" t="s">
        <v>2014</v>
      </c>
      <c r="C15" s="6" t="s">
        <v>887</v>
      </c>
      <c r="D15" s="2" t="s">
        <v>2027</v>
      </c>
      <c r="F15" t="s">
        <v>2021</v>
      </c>
    </row>
    <row r="16" spans="2:6" x14ac:dyDescent="0.25">
      <c r="B16" s="6" t="s">
        <v>8</v>
      </c>
      <c r="C16" s="6" t="s">
        <v>887</v>
      </c>
      <c r="D16" s="6" t="s">
        <v>2028</v>
      </c>
    </row>
    <row r="17" spans="2:6" x14ac:dyDescent="0.25">
      <c r="B17" s="6" t="s">
        <v>9</v>
      </c>
      <c r="C17" s="6" t="s">
        <v>887</v>
      </c>
      <c r="D17" s="6" t="s">
        <v>2028</v>
      </c>
    </row>
    <row r="18" spans="2:6" x14ac:dyDescent="0.25">
      <c r="B18" s="6" t="s">
        <v>10</v>
      </c>
      <c r="C18" s="6" t="s">
        <v>887</v>
      </c>
      <c r="D18" s="6" t="s">
        <v>2028</v>
      </c>
    </row>
    <row r="19" spans="2:6" x14ac:dyDescent="0.25">
      <c r="B19" s="6" t="s">
        <v>885</v>
      </c>
      <c r="C19" s="6" t="s">
        <v>887</v>
      </c>
      <c r="D19" s="6" t="s">
        <v>2028</v>
      </c>
    </row>
    <row r="20" spans="2:6" x14ac:dyDescent="0.25">
      <c r="B20" s="6" t="s">
        <v>11</v>
      </c>
      <c r="C20" s="6" t="s">
        <v>887</v>
      </c>
      <c r="D20" s="6" t="s">
        <v>2028</v>
      </c>
    </row>
    <row r="21" spans="2:6" x14ac:dyDescent="0.25">
      <c r="B21" t="s">
        <v>1882</v>
      </c>
      <c r="C21" s="6" t="s">
        <v>887</v>
      </c>
      <c r="D21" s="6" t="s">
        <v>2028</v>
      </c>
    </row>
    <row r="22" spans="2:6" x14ac:dyDescent="0.25">
      <c r="B22" t="s">
        <v>881</v>
      </c>
      <c r="C22" s="6" t="s">
        <v>887</v>
      </c>
      <c r="D22" s="6" t="s">
        <v>2028</v>
      </c>
    </row>
    <row r="23" spans="2:6" x14ac:dyDescent="0.25">
      <c r="B23" t="s">
        <v>2007</v>
      </c>
      <c r="C23" s="6" t="s">
        <v>887</v>
      </c>
      <c r="D23" s="6" t="s">
        <v>2028</v>
      </c>
    </row>
    <row r="24" spans="2:6" x14ac:dyDescent="0.25">
      <c r="B24" t="s">
        <v>2395</v>
      </c>
      <c r="C24" s="6" t="s">
        <v>887</v>
      </c>
      <c r="D24" s="2" t="s">
        <v>2026</v>
      </c>
    </row>
    <row r="25" spans="2:6" x14ac:dyDescent="0.25">
      <c r="B25" t="s">
        <v>2008</v>
      </c>
      <c r="C25" s="6" t="s">
        <v>887</v>
      </c>
      <c r="D25" s="2" t="s">
        <v>2026</v>
      </c>
    </row>
    <row r="26" spans="2:6" x14ac:dyDescent="0.25">
      <c r="B26" s="61" t="s">
        <v>2006</v>
      </c>
      <c r="C26" s="6" t="s">
        <v>887</v>
      </c>
      <c r="D26" s="6" t="s">
        <v>2028</v>
      </c>
      <c r="F26" t="s">
        <v>2021</v>
      </c>
    </row>
    <row r="27" spans="2:6" x14ac:dyDescent="0.25">
      <c r="B27" t="s">
        <v>880</v>
      </c>
      <c r="C27" s="6" t="s">
        <v>887</v>
      </c>
      <c r="D27" s="2" t="s">
        <v>2029</v>
      </c>
      <c r="F27" t="s">
        <v>2021</v>
      </c>
    </row>
    <row r="28" spans="2:6" x14ac:dyDescent="0.25">
      <c r="B28" t="s">
        <v>879</v>
      </c>
      <c r="C28" s="6" t="s">
        <v>887</v>
      </c>
      <c r="D28" s="2" t="s">
        <v>2029</v>
      </c>
      <c r="F28" t="s">
        <v>2021</v>
      </c>
    </row>
    <row r="29" spans="2:6" x14ac:dyDescent="0.25">
      <c r="B29" t="s">
        <v>891</v>
      </c>
      <c r="C29" s="6" t="s">
        <v>887</v>
      </c>
      <c r="D29" s="6" t="s">
        <v>2028</v>
      </c>
      <c r="F29" t="s">
        <v>2022</v>
      </c>
    </row>
    <row r="30" spans="2:6" x14ac:dyDescent="0.25">
      <c r="B30" s="6" t="s">
        <v>1590</v>
      </c>
      <c r="C30" s="6" t="s">
        <v>888</v>
      </c>
      <c r="D30" s="6" t="s">
        <v>2033</v>
      </c>
    </row>
    <row r="31" spans="2:6" x14ac:dyDescent="0.25">
      <c r="B31" s="6" t="s">
        <v>1591</v>
      </c>
      <c r="C31" s="6" t="s">
        <v>888</v>
      </c>
      <c r="D31" s="6" t="s">
        <v>2033</v>
      </c>
    </row>
    <row r="32" spans="2:6" x14ac:dyDescent="0.25">
      <c r="B32" t="s">
        <v>2017</v>
      </c>
      <c r="C32" s="6" t="s">
        <v>888</v>
      </c>
      <c r="D32" s="6"/>
    </row>
    <row r="33" spans="2:6" x14ac:dyDescent="0.25">
      <c r="B33" t="s">
        <v>1592</v>
      </c>
      <c r="C33" s="6" t="s">
        <v>888</v>
      </c>
      <c r="D33" s="6" t="s">
        <v>2028</v>
      </c>
      <c r="F33" t="s">
        <v>2022</v>
      </c>
    </row>
    <row r="34" spans="2:6" x14ac:dyDescent="0.25">
      <c r="B34" s="6" t="s">
        <v>892</v>
      </c>
      <c r="C34" s="6" t="s">
        <v>888</v>
      </c>
      <c r="D34" s="6" t="s">
        <v>2028</v>
      </c>
      <c r="F34" t="s">
        <v>2021</v>
      </c>
    </row>
    <row r="35" spans="2:6" x14ac:dyDescent="0.25">
      <c r="B35" s="6" t="s">
        <v>12</v>
      </c>
      <c r="C35" s="6" t="s">
        <v>888</v>
      </c>
      <c r="D35" s="2" t="s">
        <v>2029</v>
      </c>
    </row>
    <row r="36" spans="2:6" x14ac:dyDescent="0.25">
      <c r="B36" s="6" t="s">
        <v>1593</v>
      </c>
      <c r="C36" s="6" t="s">
        <v>888</v>
      </c>
      <c r="D36" s="2"/>
    </row>
    <row r="37" spans="2:6" x14ac:dyDescent="0.25">
      <c r="B37" t="s">
        <v>14</v>
      </c>
      <c r="C37" s="6" t="s">
        <v>888</v>
      </c>
      <c r="D37" s="6" t="s">
        <v>2033</v>
      </c>
    </row>
    <row r="38" spans="2:6" ht="30" x14ac:dyDescent="0.25">
      <c r="B38" s="6" t="s">
        <v>2009</v>
      </c>
      <c r="C38" s="6" t="s">
        <v>888</v>
      </c>
      <c r="D38" s="2" t="s">
        <v>2025</v>
      </c>
    </row>
    <row r="39" spans="2:6" x14ac:dyDescent="0.25">
      <c r="B39" s="6" t="s">
        <v>882</v>
      </c>
      <c r="C39" s="6" t="s">
        <v>1038</v>
      </c>
      <c r="D39" s="2" t="s">
        <v>2025</v>
      </c>
    </row>
    <row r="40" spans="2:6" x14ac:dyDescent="0.25">
      <c r="B40" t="s">
        <v>1057</v>
      </c>
      <c r="C40" s="6" t="s">
        <v>1038</v>
      </c>
      <c r="D40" s="2" t="s">
        <v>2025</v>
      </c>
    </row>
    <row r="41" spans="2:6" x14ac:dyDescent="0.25">
      <c r="B41" t="s">
        <v>1035</v>
      </c>
      <c r="C41" s="6" t="s">
        <v>1038</v>
      </c>
      <c r="D41" s="2" t="s">
        <v>2025</v>
      </c>
      <c r="F41" t="s">
        <v>2021</v>
      </c>
    </row>
    <row r="42" spans="2:6" x14ac:dyDescent="0.25">
      <c r="B42" t="s">
        <v>1034</v>
      </c>
      <c r="C42" s="6" t="s">
        <v>1038</v>
      </c>
      <c r="D42" s="2" t="s">
        <v>2025</v>
      </c>
    </row>
    <row r="43" spans="2:6" x14ac:dyDescent="0.25">
      <c r="B43" s="1" t="s">
        <v>1396</v>
      </c>
      <c r="C43" s="6" t="s">
        <v>1039</v>
      </c>
      <c r="D43" s="2" t="s">
        <v>2025</v>
      </c>
    </row>
    <row r="44" spans="2:6" ht="17.25" x14ac:dyDescent="0.25">
      <c r="B44" s="1" t="s">
        <v>1605</v>
      </c>
      <c r="C44" s="6" t="s">
        <v>1039</v>
      </c>
      <c r="D44" s="2" t="s">
        <v>2025</v>
      </c>
    </row>
    <row r="45" spans="2:6" ht="17.25" x14ac:dyDescent="0.25">
      <c r="B45" s="1" t="s">
        <v>1606</v>
      </c>
      <c r="C45" s="6" t="s">
        <v>1039</v>
      </c>
      <c r="D45" s="2" t="s">
        <v>2025</v>
      </c>
    </row>
    <row r="46" spans="2:6" x14ac:dyDescent="0.25">
      <c r="B46" t="s">
        <v>1056</v>
      </c>
      <c r="C46" s="6" t="s">
        <v>1039</v>
      </c>
      <c r="D46" s="2" t="s">
        <v>2025</v>
      </c>
    </row>
    <row r="47" spans="2:6" x14ac:dyDescent="0.25">
      <c r="B47" s="6" t="s">
        <v>1604</v>
      </c>
      <c r="C47" s="6" t="s">
        <v>1039</v>
      </c>
      <c r="D47" s="2" t="s">
        <v>2025</v>
      </c>
    </row>
    <row r="48" spans="2:6" x14ac:dyDescent="0.25">
      <c r="B48" s="6" t="s">
        <v>1055</v>
      </c>
      <c r="C48" s="6" t="s">
        <v>1039</v>
      </c>
      <c r="D48" s="2" t="s">
        <v>2041</v>
      </c>
    </row>
    <row r="49" spans="2:6" x14ac:dyDescent="0.25">
      <c r="B49" t="s">
        <v>985</v>
      </c>
      <c r="C49" s="6" t="s">
        <v>1058</v>
      </c>
      <c r="D49" s="2" t="s">
        <v>2041</v>
      </c>
    </row>
    <row r="50" spans="2:6" x14ac:dyDescent="0.25">
      <c r="B50" t="s">
        <v>1426</v>
      </c>
      <c r="C50" s="6" t="s">
        <v>1058</v>
      </c>
      <c r="D50" s="2" t="s">
        <v>2041</v>
      </c>
    </row>
    <row r="51" spans="2:6" x14ac:dyDescent="0.25">
      <c r="B51" t="s">
        <v>1005</v>
      </c>
      <c r="C51" s="6" t="s">
        <v>1058</v>
      </c>
      <c r="D51" s="2" t="s">
        <v>2029</v>
      </c>
    </row>
    <row r="52" spans="2:6" x14ac:dyDescent="0.25">
      <c r="B52" s="6" t="s">
        <v>1006</v>
      </c>
      <c r="C52" s="6" t="s">
        <v>1058</v>
      </c>
      <c r="D52" s="2" t="s">
        <v>2026</v>
      </c>
    </row>
    <row r="53" spans="2:6" x14ac:dyDescent="0.25">
      <c r="B53" t="s">
        <v>2005</v>
      </c>
      <c r="C53" s="6" t="s">
        <v>1058</v>
      </c>
      <c r="D53" s="2" t="s">
        <v>2026</v>
      </c>
    </row>
    <row r="54" spans="2:6" x14ac:dyDescent="0.25">
      <c r="B54" s="6" t="s">
        <v>1424</v>
      </c>
      <c r="C54" s="6" t="s">
        <v>1058</v>
      </c>
      <c r="D54" s="2" t="s">
        <v>2042</v>
      </c>
    </row>
    <row r="55" spans="2:6" x14ac:dyDescent="0.25">
      <c r="B55" t="s">
        <v>2040</v>
      </c>
      <c r="C55" s="6" t="s">
        <v>1058</v>
      </c>
      <c r="D55" s="2" t="s">
        <v>2042</v>
      </c>
    </row>
    <row r="56" spans="2:6" x14ac:dyDescent="0.25">
      <c r="B56" t="s">
        <v>1059</v>
      </c>
      <c r="C56" s="6" t="s">
        <v>1058</v>
      </c>
      <c r="D56" s="2" t="s">
        <v>2029</v>
      </c>
      <c r="F56" t="s">
        <v>2021</v>
      </c>
    </row>
    <row r="57" spans="2:6" x14ac:dyDescent="0.25">
      <c r="B57" t="s">
        <v>1589</v>
      </c>
      <c r="C57" s="6" t="s">
        <v>1058</v>
      </c>
      <c r="D57" s="2" t="s">
        <v>2027</v>
      </c>
      <c r="F57" t="s">
        <v>2021</v>
      </c>
    </row>
    <row r="58" spans="2:6" x14ac:dyDescent="0.25">
      <c r="B58" t="s">
        <v>2000</v>
      </c>
      <c r="C58" s="6" t="s">
        <v>1058</v>
      </c>
      <c r="D58" s="2" t="s">
        <v>2027</v>
      </c>
    </row>
    <row r="59" spans="2:6" x14ac:dyDescent="0.25">
      <c r="B59" t="s">
        <v>986</v>
      </c>
      <c r="C59" s="2" t="s">
        <v>889</v>
      </c>
      <c r="D59" s="2" t="s">
        <v>2035</v>
      </c>
    </row>
    <row r="60" spans="2:6" x14ac:dyDescent="0.25">
      <c r="B60" s="6" t="s">
        <v>987</v>
      </c>
      <c r="C60" s="2" t="s">
        <v>889</v>
      </c>
      <c r="D60" s="2" t="s">
        <v>2035</v>
      </c>
    </row>
    <row r="61" spans="2:6" x14ac:dyDescent="0.25">
      <c r="B61" t="s">
        <v>1288</v>
      </c>
      <c r="C61" s="2" t="s">
        <v>889</v>
      </c>
      <c r="D61" s="2" t="s">
        <v>2035</v>
      </c>
      <c r="F61" t="s">
        <v>2021</v>
      </c>
    </row>
    <row r="62" spans="2:6" x14ac:dyDescent="0.25">
      <c r="B62" t="s">
        <v>883</v>
      </c>
      <c r="C62" s="2" t="s">
        <v>889</v>
      </c>
      <c r="D62" s="2" t="s">
        <v>2035</v>
      </c>
    </row>
    <row r="63" spans="2:6" x14ac:dyDescent="0.25">
      <c r="B63" t="s">
        <v>1289</v>
      </c>
      <c r="C63" s="2" t="s">
        <v>889</v>
      </c>
      <c r="D63" s="2" t="s">
        <v>2031</v>
      </c>
    </row>
    <row r="64" spans="2:6" x14ac:dyDescent="0.25">
      <c r="B64" t="s">
        <v>1290</v>
      </c>
      <c r="C64" s="2" t="s">
        <v>889</v>
      </c>
      <c r="D64" s="2" t="s">
        <v>2031</v>
      </c>
    </row>
    <row r="65" spans="2:6" x14ac:dyDescent="0.25">
      <c r="B65" t="s">
        <v>2003</v>
      </c>
      <c r="C65" s="2" t="s">
        <v>889</v>
      </c>
      <c r="D65" s="2" t="s">
        <v>2035</v>
      </c>
    </row>
    <row r="66" spans="2:6" x14ac:dyDescent="0.25">
      <c r="B66" s="6" t="s">
        <v>1598</v>
      </c>
      <c r="C66" s="6" t="s">
        <v>890</v>
      </c>
      <c r="D66" s="2" t="s">
        <v>2030</v>
      </c>
    </row>
    <row r="67" spans="2:6" x14ac:dyDescent="0.25">
      <c r="B67" t="s">
        <v>2408</v>
      </c>
      <c r="C67" s="6" t="s">
        <v>890</v>
      </c>
      <c r="D67" s="2" t="s">
        <v>2038</v>
      </c>
    </row>
    <row r="68" spans="2:6" x14ac:dyDescent="0.25">
      <c r="B68" t="s">
        <v>2409</v>
      </c>
      <c r="C68" s="6" t="s">
        <v>890</v>
      </c>
      <c r="D68" s="2" t="s">
        <v>2038</v>
      </c>
      <c r="F68" t="s">
        <v>2021</v>
      </c>
    </row>
    <row r="69" spans="2:6" x14ac:dyDescent="0.25">
      <c r="B69" t="s">
        <v>2410</v>
      </c>
      <c r="C69" s="6" t="s">
        <v>890</v>
      </c>
      <c r="D69" s="2" t="s">
        <v>2038</v>
      </c>
    </row>
    <row r="70" spans="2:6" x14ac:dyDescent="0.25">
      <c r="B70" t="s">
        <v>1597</v>
      </c>
      <c r="C70" s="6" t="s">
        <v>890</v>
      </c>
      <c r="D70" s="2" t="s">
        <v>2038</v>
      </c>
    </row>
    <row r="71" spans="2:6" x14ac:dyDescent="0.25">
      <c r="B71" t="s">
        <v>1869</v>
      </c>
      <c r="C71" s="6" t="s">
        <v>890</v>
      </c>
      <c r="D71" s="2" t="s">
        <v>2030</v>
      </c>
    </row>
    <row r="72" spans="2:6" x14ac:dyDescent="0.25">
      <c r="B72" t="s">
        <v>1594</v>
      </c>
      <c r="C72" s="6" t="s">
        <v>890</v>
      </c>
      <c r="D72" s="2" t="s">
        <v>2038</v>
      </c>
    </row>
    <row r="73" spans="2:6" x14ac:dyDescent="0.25">
      <c r="B73" t="s">
        <v>2002</v>
      </c>
      <c r="C73" s="6" t="s">
        <v>890</v>
      </c>
      <c r="D73" s="2" t="s">
        <v>2032</v>
      </c>
    </row>
    <row r="74" spans="2:6" x14ac:dyDescent="0.25">
      <c r="B74" t="s">
        <v>2001</v>
      </c>
      <c r="C74" s="6" t="s">
        <v>890</v>
      </c>
      <c r="D74" s="2" t="s">
        <v>2032</v>
      </c>
    </row>
    <row r="75" spans="2:6" x14ac:dyDescent="0.25">
      <c r="B75" s="6" t="s">
        <v>1877</v>
      </c>
      <c r="C75" s="6" t="s">
        <v>890</v>
      </c>
      <c r="D75" s="2" t="s">
        <v>2032</v>
      </c>
    </row>
    <row r="76" spans="2:6" x14ac:dyDescent="0.25">
      <c r="B76" s="6" t="s">
        <v>1878</v>
      </c>
      <c r="C76" s="6" t="s">
        <v>890</v>
      </c>
      <c r="D76" s="2" t="s">
        <v>2032</v>
      </c>
    </row>
    <row r="77" spans="2:6" x14ac:dyDescent="0.25">
      <c r="B77" s="6" t="s">
        <v>1879</v>
      </c>
      <c r="C77" s="6" t="s">
        <v>890</v>
      </c>
      <c r="D77" s="2" t="s">
        <v>2038</v>
      </c>
    </row>
    <row r="78" spans="2:6" x14ac:dyDescent="0.25">
      <c r="B78" t="s">
        <v>1876</v>
      </c>
      <c r="C78" s="6" t="s">
        <v>890</v>
      </c>
      <c r="D78" s="2" t="s">
        <v>2032</v>
      </c>
      <c r="F78" t="s">
        <v>2021</v>
      </c>
    </row>
    <row r="79" spans="2:6" x14ac:dyDescent="0.25">
      <c r="B79" t="s">
        <v>1999</v>
      </c>
      <c r="C79" s="6" t="s">
        <v>890</v>
      </c>
      <c r="D79" s="2" t="s">
        <v>2032</v>
      </c>
    </row>
    <row r="80" spans="2:6" x14ac:dyDescent="0.25">
      <c r="B80" s="6" t="s">
        <v>1880</v>
      </c>
      <c r="C80" s="6" t="s">
        <v>890</v>
      </c>
      <c r="D80" s="2" t="s">
        <v>2032</v>
      </c>
    </row>
    <row r="81" spans="2:6" x14ac:dyDescent="0.25">
      <c r="B81" s="6" t="s">
        <v>1881</v>
      </c>
      <c r="C81" s="6" t="s">
        <v>890</v>
      </c>
      <c r="D81" s="2" t="s">
        <v>2032</v>
      </c>
    </row>
    <row r="82" spans="2:6" x14ac:dyDescent="0.25">
      <c r="B82" t="s">
        <v>2004</v>
      </c>
      <c r="C82" s="6" t="s">
        <v>890</v>
      </c>
      <c r="D82" s="2" t="s">
        <v>2032</v>
      </c>
    </row>
    <row r="83" spans="2:6" x14ac:dyDescent="0.25">
      <c r="B83" t="s">
        <v>1870</v>
      </c>
      <c r="C83" s="6" t="s">
        <v>890</v>
      </c>
      <c r="D83" s="2" t="s">
        <v>2032</v>
      </c>
    </row>
    <row r="84" spans="2:6" x14ac:dyDescent="0.25">
      <c r="B84" t="s">
        <v>1872</v>
      </c>
      <c r="C84" s="6" t="s">
        <v>890</v>
      </c>
      <c r="D84" s="2" t="s">
        <v>2032</v>
      </c>
      <c r="F84" t="s">
        <v>2021</v>
      </c>
    </row>
    <row r="85" spans="2:6" x14ac:dyDescent="0.25">
      <c r="B85" t="s">
        <v>1871</v>
      </c>
      <c r="C85" s="6" t="s">
        <v>890</v>
      </c>
      <c r="D85" s="2" t="s">
        <v>2032</v>
      </c>
    </row>
    <row r="86" spans="2:6" x14ac:dyDescent="0.25">
      <c r="B86" t="s">
        <v>1874</v>
      </c>
      <c r="C86" s="6" t="s">
        <v>890</v>
      </c>
      <c r="D86" s="2" t="s">
        <v>2032</v>
      </c>
    </row>
    <row r="87" spans="2:6" x14ac:dyDescent="0.25">
      <c r="B87" t="s">
        <v>1873</v>
      </c>
      <c r="C87" s="6" t="s">
        <v>890</v>
      </c>
      <c r="D87" s="2" t="s">
        <v>2037</v>
      </c>
      <c r="F87" t="s">
        <v>2021</v>
      </c>
    </row>
    <row r="88" spans="2:6" x14ac:dyDescent="0.25">
      <c r="B88" s="6" t="s">
        <v>1875</v>
      </c>
      <c r="C88" s="6" t="s">
        <v>890</v>
      </c>
      <c r="D88" s="2" t="s">
        <v>2026</v>
      </c>
    </row>
    <row r="89" spans="2:6" x14ac:dyDescent="0.25">
      <c r="B89" s="6" t="s">
        <v>1004</v>
      </c>
      <c r="C89" s="6" t="s">
        <v>890</v>
      </c>
      <c r="D89" s="2" t="s">
        <v>2037</v>
      </c>
    </row>
    <row r="90" spans="2:6" x14ac:dyDescent="0.25">
      <c r="B90" s="6" t="s">
        <v>2010</v>
      </c>
      <c r="C90" s="6" t="s">
        <v>890</v>
      </c>
      <c r="D90" s="2" t="s">
        <v>2026</v>
      </c>
    </row>
    <row r="91" spans="2:6" x14ac:dyDescent="0.25">
      <c r="B91" s="6" t="s">
        <v>1603</v>
      </c>
      <c r="C91" s="6" t="s">
        <v>890</v>
      </c>
      <c r="D91" s="2" t="s">
        <v>2036</v>
      </c>
    </row>
    <row r="92" spans="2:6" x14ac:dyDescent="0.25">
      <c r="B92" s="6" t="s">
        <v>884</v>
      </c>
      <c r="C92" s="6" t="s">
        <v>890</v>
      </c>
      <c r="D92" s="2" t="s">
        <v>2036</v>
      </c>
    </row>
    <row r="93" spans="2:6" x14ac:dyDescent="0.25">
      <c r="B93" t="s">
        <v>1600</v>
      </c>
      <c r="C93" s="2" t="s">
        <v>13</v>
      </c>
      <c r="D93" s="2" t="s">
        <v>2036</v>
      </c>
    </row>
    <row r="94" spans="2:6" x14ac:dyDescent="0.25">
      <c r="B94" t="s">
        <v>1601</v>
      </c>
      <c r="C94" s="2" t="s">
        <v>13</v>
      </c>
      <c r="D94" s="2" t="s">
        <v>2036</v>
      </c>
    </row>
    <row r="95" spans="2:6" x14ac:dyDescent="0.25">
      <c r="B95" t="s">
        <v>1599</v>
      </c>
      <c r="C95" s="2" t="s">
        <v>13</v>
      </c>
      <c r="D95" s="2" t="s">
        <v>2036</v>
      </c>
      <c r="F95" t="s">
        <v>2021</v>
      </c>
    </row>
    <row r="96" spans="2:6" x14ac:dyDescent="0.25">
      <c r="B96" t="s">
        <v>1640</v>
      </c>
      <c r="C96" t="s">
        <v>13</v>
      </c>
      <c r="D96" s="2" t="s">
        <v>2036</v>
      </c>
    </row>
    <row r="97" spans="3:4" x14ac:dyDescent="0.25">
      <c r="C97" s="146" t="s">
        <v>13</v>
      </c>
      <c r="D97" s="2" t="s">
        <v>2036</v>
      </c>
    </row>
    <row r="98" spans="3:4" x14ac:dyDescent="0.25">
      <c r="C98" s="2"/>
      <c r="D98" s="2"/>
    </row>
    <row r="99" spans="3:4" x14ac:dyDescent="0.25">
      <c r="C99" s="2"/>
      <c r="D99" s="2"/>
    </row>
    <row r="100" spans="3:4" x14ac:dyDescent="0.25">
      <c r="C100" s="2"/>
      <c r="D100" s="2"/>
    </row>
    <row r="101" spans="3:4" x14ac:dyDescent="0.25">
      <c r="C101" s="2"/>
      <c r="D101" s="2"/>
    </row>
    <row r="102" spans="3:4" x14ac:dyDescent="0.25">
      <c r="C102" s="6"/>
      <c r="D102" s="2"/>
    </row>
    <row r="103" spans="3:4" x14ac:dyDescent="0.25">
      <c r="C103" s="6"/>
      <c r="D103" s="2"/>
    </row>
    <row r="104" spans="3:4" x14ac:dyDescent="0.25">
      <c r="C104" s="6"/>
      <c r="D104" s="2"/>
    </row>
    <row r="105" spans="3:4" x14ac:dyDescent="0.25">
      <c r="C105" s="2"/>
      <c r="D105" s="2"/>
    </row>
    <row r="106" spans="3:4" x14ac:dyDescent="0.25">
      <c r="C106" s="2"/>
      <c r="D106" s="2"/>
    </row>
    <row r="107" spans="3:4" x14ac:dyDescent="0.25">
      <c r="C107" s="2"/>
      <c r="D107" s="2"/>
    </row>
    <row r="108" spans="3:4" x14ac:dyDescent="0.25">
      <c r="C108" s="2"/>
      <c r="D108" s="2"/>
    </row>
    <row r="109" spans="3:4" x14ac:dyDescent="0.25">
      <c r="C109" s="2"/>
      <c r="D109" s="2"/>
    </row>
    <row r="110" spans="3:4" x14ac:dyDescent="0.25">
      <c r="C110" s="2"/>
      <c r="D110" s="2"/>
    </row>
  </sheetData>
  <dataConsolidate/>
  <dataValidations count="4">
    <dataValidation allowBlank="1" showInputMessage="1" showErrorMessage="1" prompt="Create a list of rooms or areas in this worksheet. Customize Room/Area selection in Inventory table by inserting or modifying Room/Area in Room Lookup table in this worksheet" sqref="A1" xr:uid="{25B41E84-4F74-4A95-9C95-8BEEDCA0377A}"/>
    <dataValidation allowBlank="1" showInputMessage="1" showErrorMessage="1" prompt="Title of this worksheet is in this cell" sqref="B1:C1" xr:uid="{05427FFF-6E30-4BBE-A714-7DE013A38AC1}"/>
    <dataValidation allowBlank="1" showInputMessage="1" showErrorMessage="1" prompt="Room or Areas are in this column under this heading" sqref="B3:D3" xr:uid="{CB092979-42AB-471A-B3D2-2B4CADF866FA}"/>
    <dataValidation type="list" allowBlank="1" showInputMessage="1" showErrorMessage="1" sqref="C4:C97" xr:uid="{0E2221C6-D04C-4918-A33A-F45981C07482}">
      <formula1>$C$6:$C$13</formula1>
    </dataValidation>
  </dataValidations>
  <printOptions horizontalCentered="1"/>
  <pageMargins left="0.7" right="0.7" top="0.75" bottom="0.75" header="0.3" footer="0.3"/>
  <pageSetup fitToHeight="0" orientation="portrait" r:id="rId1"/>
  <headerFooter differentFirst="1">
    <oddFooter>Page &amp;P of &amp;N</oddFooter>
  </headerFooter>
  <drawing r:id="rId2"/>
  <tableParts count="3">
    <tablePart r:id="rId3"/>
    <tablePart r:id="rId4"/>
    <tablePart r:id="rId5"/>
  </tableParts>
  <extLst>
    <ext xmlns:x14="http://schemas.microsoft.com/office/spreadsheetml/2009/9/main" uri="{CCE6A557-97BC-4b89-ADB6-D9C93CAAB3DF}">
      <x14:dataValidations xmlns:xm="http://schemas.microsoft.com/office/excel/2006/main" count="1">
        <x14:dataValidation type="list" allowBlank="1" showInputMessage="1" showErrorMessage="1" xr:uid="{7EA8249D-FE3D-40F2-913C-B89EE627B148}">
          <x14:formula1>
            <xm:f>FilterSpecs!$C$6:$C$13</xm:f>
          </x14:formula1>
          <xm:sqref>C102:C104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1BA246-5D07-4D59-959E-3740984E679F}">
  <sheetPr codeName="Sheet3">
    <tabColor theme="4"/>
  </sheetPr>
  <dimension ref="A1:O19"/>
  <sheetViews>
    <sheetView zoomScale="55" zoomScaleNormal="55" workbookViewId="0">
      <selection activeCell="B26" sqref="B26"/>
    </sheetView>
  </sheetViews>
  <sheetFormatPr defaultRowHeight="15" x14ac:dyDescent="0.25"/>
  <cols>
    <col min="1" max="1" width="53.85546875" bestFit="1" customWidth="1"/>
    <col min="2" max="2" width="53.85546875" customWidth="1"/>
    <col min="3" max="3" width="46.85546875" customWidth="1"/>
    <col min="4" max="4" width="48" customWidth="1"/>
    <col min="5" max="5" width="42.42578125" customWidth="1"/>
    <col min="6" max="10" width="32.85546875" customWidth="1"/>
    <col min="11" max="11" width="33" customWidth="1"/>
  </cols>
  <sheetData>
    <row r="1" spans="1:15" ht="68.25" thickBot="1" x14ac:dyDescent="0.3">
      <c r="A1" s="7" t="s">
        <v>1027</v>
      </c>
      <c r="B1" s="7"/>
    </row>
    <row r="2" spans="1:15" ht="6.6" customHeight="1" thickTop="1" thickBot="1" x14ac:dyDescent="0.3">
      <c r="A2" s="45"/>
      <c r="B2" s="45"/>
      <c r="C2" s="45"/>
    </row>
    <row r="3" spans="1:15" ht="30" customHeight="1" thickTop="1" thickBot="1" x14ac:dyDescent="0.3">
      <c r="A3" s="59" t="s">
        <v>2532</v>
      </c>
      <c r="B3" s="47">
        <v>5</v>
      </c>
      <c r="C3" s="47">
        <v>5</v>
      </c>
      <c r="E3" s="59" t="s">
        <v>1901</v>
      </c>
      <c r="F3" s="47" t="s">
        <v>1902</v>
      </c>
      <c r="K3" t="s">
        <v>1894</v>
      </c>
      <c r="N3" s="9"/>
      <c r="O3" s="3"/>
    </row>
    <row r="4" spans="1:15" ht="6.6" customHeight="1" thickTop="1" x14ac:dyDescent="0.25">
      <c r="A4" s="45"/>
      <c r="B4" s="114"/>
      <c r="C4" s="5"/>
      <c r="D4" s="5"/>
      <c r="E4" s="5"/>
      <c r="F4" s="5"/>
    </row>
    <row r="5" spans="1:15" x14ac:dyDescent="0.25">
      <c r="A5" t="s">
        <v>1883</v>
      </c>
      <c r="B5" t="s">
        <v>2525</v>
      </c>
      <c r="C5" t="s">
        <v>1028</v>
      </c>
      <c r="D5" t="s">
        <v>1029</v>
      </c>
      <c r="E5" t="s">
        <v>1906</v>
      </c>
      <c r="F5" t="s">
        <v>1903</v>
      </c>
      <c r="K5" t="s">
        <v>1896</v>
      </c>
    </row>
    <row r="6" spans="1:15" x14ac:dyDescent="0.25">
      <c r="A6" t="s">
        <v>5</v>
      </c>
      <c r="B6" t="s">
        <v>2526</v>
      </c>
      <c r="C6" t="s">
        <v>887</v>
      </c>
      <c r="D6" t="s">
        <v>1032</v>
      </c>
      <c r="E6" t="s">
        <v>1895</v>
      </c>
      <c r="F6" t="s">
        <v>1896</v>
      </c>
      <c r="K6" t="s">
        <v>1897</v>
      </c>
    </row>
    <row r="7" spans="1:15" x14ac:dyDescent="0.25">
      <c r="A7" t="s">
        <v>1884</v>
      </c>
      <c r="B7" t="s">
        <v>2527</v>
      </c>
      <c r="C7" t="s">
        <v>888</v>
      </c>
      <c r="D7" t="s">
        <v>1030</v>
      </c>
      <c r="E7" s="52" t="s">
        <v>1907</v>
      </c>
      <c r="F7" s="52" t="s">
        <v>1897</v>
      </c>
      <c r="K7" t="s">
        <v>1898</v>
      </c>
    </row>
    <row r="8" spans="1:15" x14ac:dyDescent="0.25">
      <c r="A8" t="s">
        <v>1892</v>
      </c>
      <c r="C8" t="s">
        <v>1058</v>
      </c>
      <c r="D8" t="s">
        <v>1031</v>
      </c>
      <c r="E8" s="55" t="s">
        <v>1905</v>
      </c>
      <c r="F8" s="55" t="s">
        <v>1898</v>
      </c>
      <c r="K8" t="s">
        <v>1896</v>
      </c>
    </row>
    <row r="9" spans="1:15" x14ac:dyDescent="0.25">
      <c r="A9" t="s">
        <v>2524</v>
      </c>
      <c r="B9" t="s">
        <v>2528</v>
      </c>
      <c r="C9" t="s">
        <v>1038</v>
      </c>
      <c r="D9" t="s">
        <v>1062</v>
      </c>
      <c r="E9" s="51" t="s">
        <v>1893</v>
      </c>
      <c r="F9" s="51" t="s">
        <v>1899</v>
      </c>
      <c r="K9" t="s">
        <v>1900</v>
      </c>
    </row>
    <row r="10" spans="1:15" x14ac:dyDescent="0.25">
      <c r="A10" t="s">
        <v>1885</v>
      </c>
      <c r="C10" t="s">
        <v>1039</v>
      </c>
      <c r="D10" t="s">
        <v>1033</v>
      </c>
      <c r="E10" s="53" t="s">
        <v>1908</v>
      </c>
      <c r="F10" s="53" t="s">
        <v>1900</v>
      </c>
      <c r="K10" t="s">
        <v>1896</v>
      </c>
    </row>
    <row r="11" spans="1:15" x14ac:dyDescent="0.25">
      <c r="A11" t="s">
        <v>1886</v>
      </c>
      <c r="C11" t="s">
        <v>889</v>
      </c>
      <c r="D11" t="s">
        <v>1005</v>
      </c>
      <c r="E11" s="54" t="s">
        <v>1909</v>
      </c>
      <c r="F11" s="54" t="s">
        <v>218</v>
      </c>
      <c r="K11" t="s">
        <v>1897</v>
      </c>
    </row>
    <row r="12" spans="1:15" x14ac:dyDescent="0.25">
      <c r="A12" t="s">
        <v>1887</v>
      </c>
      <c r="C12" t="s">
        <v>890</v>
      </c>
      <c r="D12" t="s">
        <v>1060</v>
      </c>
      <c r="E12" s="96" t="s">
        <v>2463</v>
      </c>
      <c r="F12" s="96" t="s">
        <v>2461</v>
      </c>
      <c r="K12" t="s">
        <v>1900</v>
      </c>
    </row>
    <row r="13" spans="1:15" x14ac:dyDescent="0.25">
      <c r="A13" t="s">
        <v>1888</v>
      </c>
      <c r="C13" t="s">
        <v>13</v>
      </c>
      <c r="D13" t="s">
        <v>1061</v>
      </c>
      <c r="E13" s="95" t="s">
        <v>2462</v>
      </c>
      <c r="F13" s="95" t="s">
        <v>2464</v>
      </c>
      <c r="K13" t="s">
        <v>1899</v>
      </c>
    </row>
    <row r="14" spans="1:15" x14ac:dyDescent="0.25">
      <c r="A14" t="s">
        <v>1889</v>
      </c>
      <c r="C14">
        <f>SUBTOTAL(103,EquipmentTypesTable[Equipment Types])</f>
        <v>8</v>
      </c>
      <c r="D14">
        <f>SUBTOTAL(103,FunctionsTable[Reminder Walker Functions])</f>
        <v>8</v>
      </c>
      <c r="K14" t="s">
        <v>1900</v>
      </c>
    </row>
    <row r="15" spans="1:15" x14ac:dyDescent="0.25">
      <c r="A15" t="s">
        <v>1890</v>
      </c>
      <c r="K15" t="s">
        <v>1896</v>
      </c>
    </row>
    <row r="16" spans="1:15" x14ac:dyDescent="0.25">
      <c r="A16" t="s">
        <v>1891</v>
      </c>
      <c r="K16" t="s">
        <v>1897</v>
      </c>
    </row>
    <row r="17" spans="1:11" x14ac:dyDescent="0.25">
      <c r="A17" t="s">
        <v>2543</v>
      </c>
      <c r="B17" t="s">
        <v>2545</v>
      </c>
      <c r="K17" t="s">
        <v>1898</v>
      </c>
    </row>
    <row r="18" spans="1:11" x14ac:dyDescent="0.25">
      <c r="A18" t="s">
        <v>2571</v>
      </c>
      <c r="B18" t="s">
        <v>2572</v>
      </c>
      <c r="K18" t="s">
        <v>1899</v>
      </c>
    </row>
    <row r="19" spans="1:11" x14ac:dyDescent="0.25">
      <c r="A19">
        <f>SUBTOTAL(103,VendorList[Vendors])</f>
        <v>13</v>
      </c>
      <c r="B19">
        <f>SUBTOTAL(103,VendorList5[Mouser SKU Prefix])</f>
        <v>5</v>
      </c>
      <c r="K19" t="s">
        <v>1900</v>
      </c>
    </row>
  </sheetData>
  <conditionalFormatting sqref="P2:R78">
    <cfRule type="expression" dxfId="1233" priority="4968">
      <formula>$K1=$F$7</formula>
    </cfRule>
  </conditionalFormatting>
  <conditionalFormatting sqref="K1:P20">
    <cfRule type="expression" dxfId="1232" priority="4969">
      <formula>$K1=$E$7</formula>
    </cfRule>
    <cfRule type="expression" dxfId="1231" priority="4970">
      <formula>$K1=$E$8</formula>
    </cfRule>
    <cfRule type="expression" dxfId="1230" priority="4971">
      <formula>$K1=$F$8</formula>
    </cfRule>
    <cfRule type="expression" dxfId="1229" priority="4972">
      <formula>$K1=$E$9</formula>
    </cfRule>
    <cfRule type="expression" dxfId="1228" priority="4973">
      <formula>$K1=$F$9</formula>
    </cfRule>
    <cfRule type="expression" dxfId="1227" priority="4974">
      <formula>$K1=$E$10</formula>
    </cfRule>
    <cfRule type="expression" dxfId="1226" priority="4975">
      <formula>$K1=$F$10</formula>
    </cfRule>
    <cfRule type="containsText" dxfId="1225" priority="4976" operator="containsText" text="Standard Item">
      <formula>NOT(ISERROR(SEARCH("Standard Item",K1)))</formula>
    </cfRule>
  </conditionalFormatting>
  <dataValidations count="3">
    <dataValidation allowBlank="1" showInputMessage="1" showErrorMessage="1" prompt="Title of this worksheet is in this cell" sqref="A1:B1" xr:uid="{5D593B46-F6E6-413D-9E30-BE1C30B05627}"/>
    <dataValidation allowBlank="1" showInputMessage="1" showErrorMessage="1" prompt="Total Estimated Value of All Items is automatically calculated in cell at right. Enter Inventory Date in cell I2" sqref="E3 A3:C3" xr:uid="{74222B80-16BF-44B7-8E2B-96C9A2467BDF}"/>
    <dataValidation allowBlank="1" showInputMessage="1" showErrorMessage="1" prompt="Total Estimated Value of All Items is automatically calculated in this cell. Enter Inventory Date in cell I2" sqref="F3 B3:C3" xr:uid="{6F476ACA-0E03-45E8-A1E7-188588C52D6B}"/>
  </dataValidations>
  <pageMargins left="0.7" right="0.7" top="0.75" bottom="0.75" header="0.3" footer="0.3"/>
  <drawing r:id="rId1"/>
  <tableParts count="5">
    <tablePart r:id="rId2"/>
    <tablePart r:id="rId3"/>
    <tablePart r:id="rId4"/>
    <tablePart r:id="rId5"/>
    <tablePart r:id="rId6"/>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A94D7-4026-42CB-A8B4-23E885857CC4}">
  <sheetPr codeName="Sheet4">
    <tabColor rgb="FF002060"/>
  </sheetPr>
  <dimension ref="A1:N612"/>
  <sheetViews>
    <sheetView topLeftCell="A87" zoomScale="70" zoomScaleNormal="70" workbookViewId="0">
      <selection activeCell="J113" sqref="A1:N612"/>
    </sheetView>
  </sheetViews>
  <sheetFormatPr defaultRowHeight="15" x14ac:dyDescent="0.25"/>
  <cols>
    <col min="1" max="1" width="45.28515625" style="30" bestFit="1" customWidth="1"/>
    <col min="2" max="2" width="43.28515625" style="30" bestFit="1" customWidth="1"/>
    <col min="3" max="3" width="10.7109375" style="30" bestFit="1" customWidth="1"/>
    <col min="4" max="4" width="16.7109375" style="30" bestFit="1" customWidth="1"/>
    <col min="5" max="5" width="10.5703125" style="30" bestFit="1" customWidth="1"/>
    <col min="6" max="6" width="4.7109375" hidden="1" customWidth="1"/>
    <col min="7" max="7" width="0.140625" customWidth="1"/>
    <col min="8" max="8" width="79.140625" style="30" bestFit="1" customWidth="1"/>
    <col min="9" max="9" width="2.85546875" hidden="1" customWidth="1"/>
    <col min="10" max="10" width="12.7109375" style="30" bestFit="1" customWidth="1"/>
    <col min="11" max="11" width="6.42578125" style="30" customWidth="1"/>
    <col min="12" max="12" width="141.7109375" customWidth="1"/>
    <col min="13" max="13" width="12" bestFit="1" customWidth="1"/>
  </cols>
  <sheetData>
    <row r="1" spans="1:14" ht="213.6" customHeight="1" thickBot="1" x14ac:dyDescent="0.55000000000000004">
      <c r="A1" s="107" t="s">
        <v>2460</v>
      </c>
    </row>
    <row r="2" spans="1:14" ht="6.6" customHeight="1" thickTop="1" x14ac:dyDescent="0.25">
      <c r="A2" s="83"/>
      <c r="B2" s="83"/>
      <c r="C2" s="83"/>
      <c r="D2" s="83"/>
      <c r="E2" s="83"/>
      <c r="H2" s="83"/>
      <c r="J2" s="83"/>
      <c r="K2" s="83"/>
      <c r="L2" s="45"/>
      <c r="M2" s="45"/>
      <c r="N2" s="45"/>
    </row>
    <row r="3" spans="1:14" s="10" customFormat="1" x14ac:dyDescent="0.25">
      <c r="A3" s="30" t="s">
        <v>886</v>
      </c>
      <c r="B3" s="72" t="s">
        <v>156</v>
      </c>
      <c r="C3" s="72" t="s">
        <v>4</v>
      </c>
      <c r="D3" s="10" t="s">
        <v>20</v>
      </c>
      <c r="E3" s="10" t="s">
        <v>2520</v>
      </c>
      <c r="F3" s="10" t="s">
        <v>21</v>
      </c>
      <c r="G3" s="10" t="s">
        <v>22</v>
      </c>
      <c r="H3" s="10" t="s">
        <v>23</v>
      </c>
      <c r="I3" s="10" t="s">
        <v>24</v>
      </c>
      <c r="J3" s="10" t="s">
        <v>25</v>
      </c>
      <c r="K3" s="10" t="s">
        <v>1904</v>
      </c>
      <c r="L3" s="10" t="s">
        <v>1607</v>
      </c>
      <c r="M3" s="10" t="s">
        <v>1399</v>
      </c>
      <c r="N3" s="10" t="s">
        <v>2519</v>
      </c>
    </row>
    <row r="4" spans="1:14" s="48" customFormat="1" x14ac:dyDescent="0.25">
      <c r="A4" s="30" t="s">
        <v>887</v>
      </c>
      <c r="B4" s="30" t="s">
        <v>881</v>
      </c>
      <c r="C4" s="30" t="s">
        <v>5</v>
      </c>
      <c r="D4" s="10" t="s">
        <v>130</v>
      </c>
      <c r="E4" s="64">
        <v>1</v>
      </c>
      <c r="F4" s="10" t="s">
        <v>131</v>
      </c>
      <c r="G4" s="10" t="s">
        <v>132</v>
      </c>
      <c r="H4" s="10" t="s">
        <v>133</v>
      </c>
      <c r="I4" s="10">
        <v>1</v>
      </c>
      <c r="J4" s="64">
        <v>49.95</v>
      </c>
      <c r="K4" s="10" t="s">
        <v>1896</v>
      </c>
      <c r="L4" t="s">
        <v>1476</v>
      </c>
      <c r="M4">
        <f t="shared" ref="M4:M67" si="0">E4*J4</f>
        <v>49.95</v>
      </c>
      <c r="N4" s="48">
        <f t="shared" ref="N4:N67" si="1">IF($N3="List #",1,$N3+1)</f>
        <v>1</v>
      </c>
    </row>
    <row r="5" spans="1:14" s="78" customFormat="1" x14ac:dyDescent="0.25">
      <c r="A5" s="77" t="s">
        <v>887</v>
      </c>
      <c r="B5" s="77" t="s">
        <v>881</v>
      </c>
      <c r="C5" s="77" t="s">
        <v>5</v>
      </c>
      <c r="D5" s="78" t="s">
        <v>142</v>
      </c>
      <c r="E5" s="79">
        <v>1</v>
      </c>
      <c r="F5" s="78" t="s">
        <v>143</v>
      </c>
      <c r="G5" s="78" t="s">
        <v>144</v>
      </c>
      <c r="H5" s="78" t="s">
        <v>145</v>
      </c>
      <c r="J5" s="79">
        <v>4.95</v>
      </c>
      <c r="K5" s="78" t="s">
        <v>1896</v>
      </c>
      <c r="L5" s="80"/>
      <c r="M5">
        <f t="shared" si="0"/>
        <v>4.95</v>
      </c>
      <c r="N5" s="78">
        <f t="shared" si="1"/>
        <v>2</v>
      </c>
    </row>
    <row r="6" spans="1:14" s="78" customFormat="1" x14ac:dyDescent="0.25">
      <c r="A6" s="77" t="s">
        <v>887</v>
      </c>
      <c r="B6" s="77" t="s">
        <v>881</v>
      </c>
      <c r="C6" s="77" t="s">
        <v>5</v>
      </c>
      <c r="D6" s="78" t="s">
        <v>146</v>
      </c>
      <c r="E6" s="79">
        <v>2</v>
      </c>
      <c r="F6" s="78" t="s">
        <v>147</v>
      </c>
      <c r="G6" s="78" t="s">
        <v>148</v>
      </c>
      <c r="H6" s="78" t="s">
        <v>149</v>
      </c>
      <c r="I6" s="78">
        <v>1</v>
      </c>
      <c r="J6" s="79">
        <v>1.95</v>
      </c>
      <c r="K6" s="78" t="s">
        <v>1896</v>
      </c>
      <c r="L6" s="80"/>
      <c r="M6">
        <f t="shared" si="0"/>
        <v>3.9</v>
      </c>
      <c r="N6" s="78">
        <f t="shared" si="1"/>
        <v>3</v>
      </c>
    </row>
    <row r="7" spans="1:14" s="78" customFormat="1" x14ac:dyDescent="0.25">
      <c r="A7" s="77" t="s">
        <v>887</v>
      </c>
      <c r="B7" s="77" t="s">
        <v>881</v>
      </c>
      <c r="C7" s="77" t="s">
        <v>5</v>
      </c>
      <c r="D7" s="78" t="s">
        <v>150</v>
      </c>
      <c r="E7" s="79">
        <v>1</v>
      </c>
      <c r="F7" s="78" t="s">
        <v>151</v>
      </c>
      <c r="G7" s="78" t="s">
        <v>152</v>
      </c>
      <c r="H7" s="78" t="s">
        <v>153</v>
      </c>
      <c r="J7" s="79">
        <v>0.75</v>
      </c>
      <c r="K7" s="78" t="s">
        <v>1896</v>
      </c>
      <c r="L7" s="80"/>
      <c r="M7">
        <f t="shared" si="0"/>
        <v>0.75</v>
      </c>
      <c r="N7" s="78">
        <f t="shared" si="1"/>
        <v>4</v>
      </c>
    </row>
    <row r="8" spans="1:14" s="78" customFormat="1" x14ac:dyDescent="0.25">
      <c r="A8" s="77" t="s">
        <v>887</v>
      </c>
      <c r="B8" s="77" t="s">
        <v>881</v>
      </c>
      <c r="C8" s="77" t="s">
        <v>5</v>
      </c>
      <c r="D8" s="78" t="s">
        <v>660</v>
      </c>
      <c r="E8" s="79">
        <v>2</v>
      </c>
      <c r="F8" s="78" t="s">
        <v>661</v>
      </c>
      <c r="G8" s="78" t="s">
        <v>662</v>
      </c>
      <c r="H8" s="78" t="s">
        <v>663</v>
      </c>
      <c r="I8" s="78">
        <v>1</v>
      </c>
      <c r="J8" s="79">
        <v>4.95</v>
      </c>
      <c r="K8" s="78" t="s">
        <v>1896</v>
      </c>
      <c r="L8" s="80"/>
      <c r="M8">
        <f t="shared" si="0"/>
        <v>9.9</v>
      </c>
      <c r="N8" s="78">
        <f t="shared" si="1"/>
        <v>5</v>
      </c>
    </row>
    <row r="9" spans="1:14" s="78" customFormat="1" x14ac:dyDescent="0.25">
      <c r="A9" s="77" t="s">
        <v>887</v>
      </c>
      <c r="B9" s="77" t="s">
        <v>881</v>
      </c>
      <c r="C9" s="77" t="s">
        <v>5</v>
      </c>
      <c r="D9" s="78" t="s">
        <v>134</v>
      </c>
      <c r="E9" s="79">
        <v>1</v>
      </c>
      <c r="F9" s="78" t="s">
        <v>135</v>
      </c>
      <c r="G9" s="78" t="s">
        <v>136</v>
      </c>
      <c r="H9" s="78" t="s">
        <v>137</v>
      </c>
      <c r="I9" s="78">
        <v>1</v>
      </c>
      <c r="J9" s="79">
        <v>59.95</v>
      </c>
      <c r="K9" s="78" t="s">
        <v>1896</v>
      </c>
      <c r="L9" s="80"/>
      <c r="M9">
        <f t="shared" si="0"/>
        <v>59.95</v>
      </c>
      <c r="N9" s="78">
        <f t="shared" si="1"/>
        <v>6</v>
      </c>
    </row>
    <row r="10" spans="1:14" s="78" customFormat="1" x14ac:dyDescent="0.25">
      <c r="A10" s="77" t="s">
        <v>887</v>
      </c>
      <c r="B10" s="77" t="s">
        <v>881</v>
      </c>
      <c r="C10" s="77" t="s">
        <v>5</v>
      </c>
      <c r="D10" s="78" t="s">
        <v>1485</v>
      </c>
      <c r="E10" s="79">
        <v>1</v>
      </c>
      <c r="F10" s="78" t="s">
        <v>1486</v>
      </c>
      <c r="G10" s="78" t="s">
        <v>1487</v>
      </c>
      <c r="H10" s="78" t="s">
        <v>1488</v>
      </c>
      <c r="I10" s="78">
        <v>1</v>
      </c>
      <c r="J10" s="79">
        <v>9.9499999999999993</v>
      </c>
      <c r="K10" s="78" t="s">
        <v>1896</v>
      </c>
      <c r="L10" s="80"/>
      <c r="M10">
        <f t="shared" si="0"/>
        <v>9.9499999999999993</v>
      </c>
      <c r="N10" s="78">
        <f t="shared" si="1"/>
        <v>7</v>
      </c>
    </row>
    <row r="11" spans="1:14" s="78" customFormat="1" x14ac:dyDescent="0.25">
      <c r="A11" s="77" t="s">
        <v>887</v>
      </c>
      <c r="B11" s="77" t="s">
        <v>881</v>
      </c>
      <c r="C11" s="77" t="s">
        <v>5</v>
      </c>
      <c r="D11" s="78" t="s">
        <v>1505</v>
      </c>
      <c r="E11" s="79">
        <v>1</v>
      </c>
      <c r="F11" s="78" t="s">
        <v>1506</v>
      </c>
      <c r="G11" s="78" t="s">
        <v>1507</v>
      </c>
      <c r="H11" s="78" t="s">
        <v>1508</v>
      </c>
      <c r="I11" s="78">
        <v>1</v>
      </c>
      <c r="J11" s="79">
        <v>0.95</v>
      </c>
      <c r="K11" s="78" t="s">
        <v>1896</v>
      </c>
      <c r="L11" s="80"/>
      <c r="M11">
        <f t="shared" si="0"/>
        <v>0.95</v>
      </c>
      <c r="N11" s="78">
        <f t="shared" si="1"/>
        <v>8</v>
      </c>
    </row>
    <row r="12" spans="1:14" s="78" customFormat="1" x14ac:dyDescent="0.25">
      <c r="A12" s="77" t="s">
        <v>887</v>
      </c>
      <c r="B12" s="77" t="s">
        <v>881</v>
      </c>
      <c r="C12" s="77" t="s">
        <v>5</v>
      </c>
      <c r="D12" s="78" t="s">
        <v>1837</v>
      </c>
      <c r="E12" s="79">
        <v>1</v>
      </c>
      <c r="F12" s="78" t="s">
        <v>1838</v>
      </c>
      <c r="G12" s="78" t="s">
        <v>1839</v>
      </c>
      <c r="H12" s="78" t="s">
        <v>1840</v>
      </c>
      <c r="I12" s="78">
        <v>1</v>
      </c>
      <c r="J12" s="79">
        <v>5.95</v>
      </c>
      <c r="K12" s="78" t="s">
        <v>1896</v>
      </c>
      <c r="L12" s="80"/>
      <c r="M12">
        <f t="shared" si="0"/>
        <v>5.95</v>
      </c>
      <c r="N12" s="78">
        <f t="shared" si="1"/>
        <v>9</v>
      </c>
    </row>
    <row r="13" spans="1:14" s="78" customFormat="1" hidden="1" x14ac:dyDescent="0.25">
      <c r="A13" s="77" t="s">
        <v>887</v>
      </c>
      <c r="B13" s="77" t="s">
        <v>881</v>
      </c>
      <c r="C13" s="77" t="s">
        <v>5</v>
      </c>
      <c r="D13" s="78" t="s">
        <v>138</v>
      </c>
      <c r="E13" s="79">
        <v>0</v>
      </c>
      <c r="F13" s="78" t="s">
        <v>139</v>
      </c>
      <c r="G13" s="78" t="s">
        <v>140</v>
      </c>
      <c r="H13" s="78" t="s">
        <v>141</v>
      </c>
      <c r="I13" s="78">
        <v>1</v>
      </c>
      <c r="J13" s="79">
        <v>10.95</v>
      </c>
      <c r="K13" s="78" t="s">
        <v>1896</v>
      </c>
      <c r="L13" s="80"/>
      <c r="M13">
        <f t="shared" si="0"/>
        <v>0</v>
      </c>
      <c r="N13" s="78">
        <f t="shared" si="1"/>
        <v>10</v>
      </c>
    </row>
    <row r="14" spans="1:14" s="78" customFormat="1" hidden="1" x14ac:dyDescent="0.25">
      <c r="A14" s="78" t="s">
        <v>887</v>
      </c>
      <c r="B14" s="78" t="s">
        <v>881</v>
      </c>
      <c r="C14" s="78" t="s">
        <v>1884</v>
      </c>
      <c r="D14" s="78" t="s">
        <v>2226</v>
      </c>
      <c r="E14" s="79">
        <v>0</v>
      </c>
      <c r="H14" s="77" t="s">
        <v>2227</v>
      </c>
      <c r="I14" s="80"/>
      <c r="J14" s="85">
        <v>22</v>
      </c>
      <c r="K14" s="77" t="s">
        <v>1896</v>
      </c>
      <c r="L14" s="80"/>
      <c r="M14">
        <f t="shared" si="0"/>
        <v>0</v>
      </c>
      <c r="N14" s="78">
        <f t="shared" si="1"/>
        <v>11</v>
      </c>
    </row>
    <row r="15" spans="1:14" s="78" customFormat="1" hidden="1" x14ac:dyDescent="0.25">
      <c r="A15" s="78" t="s">
        <v>887</v>
      </c>
      <c r="B15" s="78" t="s">
        <v>881</v>
      </c>
      <c r="C15" s="78" t="s">
        <v>1884</v>
      </c>
      <c r="D15" s="78" t="s">
        <v>2228</v>
      </c>
      <c r="E15" s="79">
        <v>0</v>
      </c>
      <c r="H15" s="77" t="s">
        <v>2229</v>
      </c>
      <c r="I15" s="80"/>
      <c r="J15" s="85">
        <v>12.5</v>
      </c>
      <c r="K15" s="77" t="s">
        <v>1896</v>
      </c>
      <c r="L15" s="80"/>
      <c r="M15">
        <f t="shared" si="0"/>
        <v>0</v>
      </c>
      <c r="N15" s="78">
        <f t="shared" si="1"/>
        <v>12</v>
      </c>
    </row>
    <row r="16" spans="1:14" s="78" customFormat="1" hidden="1" x14ac:dyDescent="0.25">
      <c r="A16" s="78" t="s">
        <v>887</v>
      </c>
      <c r="B16" s="78" t="s">
        <v>881</v>
      </c>
      <c r="C16" s="78" t="s">
        <v>1884</v>
      </c>
      <c r="D16" s="78" t="s">
        <v>2230</v>
      </c>
      <c r="E16" s="79">
        <v>0</v>
      </c>
      <c r="H16" s="77" t="s">
        <v>2231</v>
      </c>
      <c r="I16" s="80"/>
      <c r="J16" s="85">
        <v>5.95</v>
      </c>
      <c r="K16" s="77" t="s">
        <v>1896</v>
      </c>
      <c r="L16" s="80"/>
      <c r="M16">
        <f t="shared" si="0"/>
        <v>0</v>
      </c>
      <c r="N16" s="78">
        <f t="shared" si="1"/>
        <v>13</v>
      </c>
    </row>
    <row r="17" spans="1:14" s="78" customFormat="1" hidden="1" x14ac:dyDescent="0.25">
      <c r="A17" s="78" t="s">
        <v>887</v>
      </c>
      <c r="B17" s="78" t="s">
        <v>881</v>
      </c>
      <c r="C17" s="78" t="s">
        <v>1884</v>
      </c>
      <c r="D17" s="78" t="s">
        <v>2232</v>
      </c>
      <c r="E17" s="79">
        <v>0</v>
      </c>
      <c r="H17" s="77" t="s">
        <v>2233</v>
      </c>
      <c r="I17" s="80"/>
      <c r="J17" s="85">
        <v>3.95</v>
      </c>
      <c r="K17" s="77" t="s">
        <v>1896</v>
      </c>
      <c r="L17" s="80"/>
      <c r="M17">
        <f t="shared" si="0"/>
        <v>0</v>
      </c>
      <c r="N17" s="78">
        <f t="shared" si="1"/>
        <v>14</v>
      </c>
    </row>
    <row r="18" spans="1:14" s="78" customFormat="1" hidden="1" x14ac:dyDescent="0.25">
      <c r="A18" s="78" t="s">
        <v>887</v>
      </c>
      <c r="B18" s="78" t="s">
        <v>881</v>
      </c>
      <c r="C18" s="78" t="s">
        <v>1884</v>
      </c>
      <c r="D18" s="78" t="s">
        <v>2234</v>
      </c>
      <c r="E18" s="79">
        <v>0</v>
      </c>
      <c r="H18" s="77" t="s">
        <v>2235</v>
      </c>
      <c r="I18" s="80"/>
      <c r="J18" s="85">
        <v>1.95</v>
      </c>
      <c r="K18" s="77" t="s">
        <v>1896</v>
      </c>
      <c r="L18" s="80"/>
      <c r="M18">
        <f t="shared" si="0"/>
        <v>0</v>
      </c>
      <c r="N18" s="78">
        <f t="shared" si="1"/>
        <v>15</v>
      </c>
    </row>
    <row r="19" spans="1:14" s="78" customFormat="1" hidden="1" x14ac:dyDescent="0.25">
      <c r="A19" s="78" t="s">
        <v>887</v>
      </c>
      <c r="B19" s="78" t="s">
        <v>881</v>
      </c>
      <c r="C19" s="78" t="s">
        <v>1884</v>
      </c>
      <c r="D19" s="78" t="s">
        <v>2236</v>
      </c>
      <c r="E19" s="79">
        <v>0</v>
      </c>
      <c r="H19" s="77" t="s">
        <v>2237</v>
      </c>
      <c r="I19" s="80"/>
      <c r="J19" s="85">
        <v>1.95</v>
      </c>
      <c r="K19" s="77" t="s">
        <v>1899</v>
      </c>
      <c r="L19" s="80"/>
      <c r="M19">
        <f t="shared" si="0"/>
        <v>0</v>
      </c>
      <c r="N19" s="78">
        <f t="shared" si="1"/>
        <v>16</v>
      </c>
    </row>
    <row r="20" spans="1:14" s="78" customFormat="1" hidden="1" x14ac:dyDescent="0.25">
      <c r="A20" s="78" t="s">
        <v>887</v>
      </c>
      <c r="B20" s="78" t="s">
        <v>881</v>
      </c>
      <c r="C20" s="78" t="s">
        <v>1884</v>
      </c>
      <c r="D20" s="78" t="s">
        <v>2238</v>
      </c>
      <c r="E20" s="79">
        <v>0</v>
      </c>
      <c r="H20" s="77" t="s">
        <v>2239</v>
      </c>
      <c r="I20" s="80"/>
      <c r="J20" s="85">
        <v>7.5</v>
      </c>
      <c r="K20" s="77" t="s">
        <v>1899</v>
      </c>
      <c r="L20" s="80"/>
      <c r="M20">
        <f t="shared" si="0"/>
        <v>0</v>
      </c>
      <c r="N20" s="78">
        <f t="shared" si="1"/>
        <v>17</v>
      </c>
    </row>
    <row r="21" spans="1:14" s="78" customFormat="1" hidden="1" x14ac:dyDescent="0.25">
      <c r="A21" s="78" t="s">
        <v>887</v>
      </c>
      <c r="B21" s="78" t="s">
        <v>881</v>
      </c>
      <c r="C21" s="78" t="s">
        <v>1884</v>
      </c>
      <c r="D21" s="78" t="s">
        <v>2240</v>
      </c>
      <c r="E21" s="79">
        <v>0</v>
      </c>
      <c r="H21" s="77" t="s">
        <v>2241</v>
      </c>
      <c r="I21" s="80"/>
      <c r="J21" s="85">
        <v>9.9499999999999993</v>
      </c>
      <c r="K21" s="77" t="s">
        <v>1896</v>
      </c>
      <c r="L21" s="80"/>
      <c r="M21">
        <f t="shared" si="0"/>
        <v>0</v>
      </c>
      <c r="N21" s="78">
        <f t="shared" si="1"/>
        <v>18</v>
      </c>
    </row>
    <row r="22" spans="1:14" s="78" customFormat="1" x14ac:dyDescent="0.25">
      <c r="A22" s="77" t="s">
        <v>887</v>
      </c>
      <c r="B22" s="77" t="s">
        <v>8</v>
      </c>
      <c r="C22" s="77" t="s">
        <v>5</v>
      </c>
      <c r="D22" s="78" t="s">
        <v>50</v>
      </c>
      <c r="E22" s="79">
        <f>FilterSpecs!$C$3</f>
        <v>5</v>
      </c>
      <c r="F22" s="78" t="s">
        <v>51</v>
      </c>
      <c r="G22" s="78" t="s">
        <v>52</v>
      </c>
      <c r="H22" s="78" t="s">
        <v>53</v>
      </c>
      <c r="I22" s="78">
        <v>1</v>
      </c>
      <c r="J22" s="79">
        <v>9.9499999999999993</v>
      </c>
      <c r="K22" s="78" t="s">
        <v>1897</v>
      </c>
      <c r="L22" s="80"/>
      <c r="M22">
        <f t="shared" si="0"/>
        <v>49.75</v>
      </c>
      <c r="N22" s="78">
        <f t="shared" si="1"/>
        <v>19</v>
      </c>
    </row>
    <row r="23" spans="1:14" s="78" customFormat="1" x14ac:dyDescent="0.25">
      <c r="A23" s="77" t="s">
        <v>887</v>
      </c>
      <c r="B23" s="77" t="s">
        <v>8</v>
      </c>
      <c r="C23" s="77" t="s">
        <v>5</v>
      </c>
      <c r="D23" s="78" t="s">
        <v>54</v>
      </c>
      <c r="E23" s="79">
        <f>FilterSpecs!$C$3</f>
        <v>5</v>
      </c>
      <c r="F23" s="78" t="s">
        <v>55</v>
      </c>
      <c r="G23" s="78" t="s">
        <v>56</v>
      </c>
      <c r="H23" s="78" t="s">
        <v>57</v>
      </c>
      <c r="I23" s="78">
        <v>1</v>
      </c>
      <c r="J23" s="79">
        <v>24.95</v>
      </c>
      <c r="K23" s="78" t="s">
        <v>1897</v>
      </c>
      <c r="L23" s="80"/>
      <c r="M23">
        <f t="shared" si="0"/>
        <v>124.75</v>
      </c>
      <c r="N23" s="78">
        <f t="shared" si="1"/>
        <v>20</v>
      </c>
    </row>
    <row r="24" spans="1:14" s="78" customFormat="1" x14ac:dyDescent="0.25">
      <c r="A24" s="77" t="s">
        <v>887</v>
      </c>
      <c r="B24" s="77" t="s">
        <v>8</v>
      </c>
      <c r="C24" s="77" t="s">
        <v>5</v>
      </c>
      <c r="D24" s="78" t="s">
        <v>58</v>
      </c>
      <c r="E24" s="79">
        <f>FilterSpecs!$C$3</f>
        <v>5</v>
      </c>
      <c r="F24" s="78" t="s">
        <v>59</v>
      </c>
      <c r="G24" s="78" t="s">
        <v>60</v>
      </c>
      <c r="H24" s="78" t="s">
        <v>61</v>
      </c>
      <c r="J24" s="79">
        <v>10.95</v>
      </c>
      <c r="K24" s="78" t="s">
        <v>1897</v>
      </c>
      <c r="L24" s="80"/>
      <c r="M24">
        <f t="shared" si="0"/>
        <v>54.75</v>
      </c>
      <c r="N24" s="78">
        <f t="shared" si="1"/>
        <v>21</v>
      </c>
    </row>
    <row r="25" spans="1:14" s="78" customFormat="1" x14ac:dyDescent="0.25">
      <c r="A25" s="77" t="s">
        <v>887</v>
      </c>
      <c r="B25" s="77" t="s">
        <v>8</v>
      </c>
      <c r="C25" s="77" t="s">
        <v>5</v>
      </c>
      <c r="D25" s="78" t="s">
        <v>62</v>
      </c>
      <c r="E25" s="79">
        <f>2*FilterSpecs!$C$3</f>
        <v>10</v>
      </c>
      <c r="F25" s="78" t="s">
        <v>63</v>
      </c>
      <c r="G25" s="78" t="s">
        <v>64</v>
      </c>
      <c r="H25" s="78" t="s">
        <v>65</v>
      </c>
      <c r="I25" s="78">
        <v>1</v>
      </c>
      <c r="J25" s="79">
        <v>24.95</v>
      </c>
      <c r="K25" s="78" t="s">
        <v>1897</v>
      </c>
      <c r="L25" s="80"/>
      <c r="M25">
        <f t="shared" si="0"/>
        <v>249.5</v>
      </c>
      <c r="N25" s="78">
        <f t="shared" si="1"/>
        <v>22</v>
      </c>
    </row>
    <row r="26" spans="1:14" s="78" customFormat="1" x14ac:dyDescent="0.25">
      <c r="A26" s="77" t="s">
        <v>887</v>
      </c>
      <c r="B26" s="77" t="s">
        <v>1882</v>
      </c>
      <c r="C26" s="77" t="s">
        <v>5</v>
      </c>
      <c r="D26" s="78" t="s">
        <v>223</v>
      </c>
      <c r="E26" s="79">
        <v>1</v>
      </c>
      <c r="F26" s="78" t="s">
        <v>224</v>
      </c>
      <c r="G26" s="78" t="s">
        <v>225</v>
      </c>
      <c r="H26" s="78" t="s">
        <v>191</v>
      </c>
      <c r="I26" s="78">
        <v>1</v>
      </c>
      <c r="J26" s="79">
        <v>54.95</v>
      </c>
      <c r="K26" s="78" t="s">
        <v>1896</v>
      </c>
      <c r="L26" s="80"/>
      <c r="M26">
        <f t="shared" si="0"/>
        <v>54.95</v>
      </c>
      <c r="N26" s="78">
        <f t="shared" si="1"/>
        <v>23</v>
      </c>
    </row>
    <row r="27" spans="1:14" s="78" customFormat="1" x14ac:dyDescent="0.25">
      <c r="A27" s="77" t="s">
        <v>887</v>
      </c>
      <c r="B27" s="77" t="s">
        <v>1882</v>
      </c>
      <c r="C27" s="77" t="s">
        <v>5</v>
      </c>
      <c r="D27" s="78" t="s">
        <v>1817</v>
      </c>
      <c r="E27" s="79">
        <v>1</v>
      </c>
      <c r="F27" s="78" t="s">
        <v>1818</v>
      </c>
      <c r="G27" s="78" t="s">
        <v>1819</v>
      </c>
      <c r="H27" s="78" t="s">
        <v>1820</v>
      </c>
      <c r="I27" s="78">
        <v>1</v>
      </c>
      <c r="J27" s="79">
        <v>14.95</v>
      </c>
      <c r="K27" s="78" t="s">
        <v>1896</v>
      </c>
      <c r="L27" s="80"/>
      <c r="M27">
        <f t="shared" si="0"/>
        <v>14.95</v>
      </c>
      <c r="N27" s="78">
        <f t="shared" si="1"/>
        <v>24</v>
      </c>
    </row>
    <row r="28" spans="1:14" s="10" customFormat="1" x14ac:dyDescent="0.25">
      <c r="A28" s="77" t="s">
        <v>887</v>
      </c>
      <c r="B28" s="77" t="s">
        <v>1882</v>
      </c>
      <c r="C28" s="77" t="s">
        <v>5</v>
      </c>
      <c r="D28" s="10" t="s">
        <v>2481</v>
      </c>
      <c r="E28" s="10">
        <v>1</v>
      </c>
      <c r="F28" s="10" t="s">
        <v>2482</v>
      </c>
      <c r="G28" s="10" t="s">
        <v>2483</v>
      </c>
      <c r="H28" s="10" t="s">
        <v>2484</v>
      </c>
      <c r="I28" s="10">
        <v>1</v>
      </c>
      <c r="J28" s="64">
        <v>14.95</v>
      </c>
      <c r="K28" s="10" t="s">
        <v>1897</v>
      </c>
      <c r="M28">
        <f t="shared" si="0"/>
        <v>14.95</v>
      </c>
      <c r="N28" s="10">
        <f t="shared" si="1"/>
        <v>25</v>
      </c>
    </row>
    <row r="29" spans="1:14" s="78" customFormat="1" x14ac:dyDescent="0.25">
      <c r="A29" s="77" t="s">
        <v>887</v>
      </c>
      <c r="B29" s="77" t="s">
        <v>1882</v>
      </c>
      <c r="C29" s="77" t="s">
        <v>5</v>
      </c>
      <c r="D29" s="78" t="s">
        <v>226</v>
      </c>
      <c r="E29" s="79">
        <v>1</v>
      </c>
      <c r="F29" s="78" t="s">
        <v>227</v>
      </c>
      <c r="G29" s="78" t="s">
        <v>228</v>
      </c>
      <c r="H29" s="78" t="s">
        <v>198</v>
      </c>
      <c r="I29" s="78">
        <v>1</v>
      </c>
      <c r="J29" s="79">
        <v>9.9499999999999993</v>
      </c>
      <c r="K29" s="78" t="s">
        <v>1900</v>
      </c>
      <c r="L29" s="80"/>
      <c r="M29">
        <f t="shared" si="0"/>
        <v>9.9499999999999993</v>
      </c>
      <c r="N29" s="78">
        <f t="shared" si="1"/>
        <v>26</v>
      </c>
    </row>
    <row r="30" spans="1:14" s="78" customFormat="1" hidden="1" x14ac:dyDescent="0.25">
      <c r="A30" s="77" t="s">
        <v>887</v>
      </c>
      <c r="B30" s="77" t="s">
        <v>1882</v>
      </c>
      <c r="C30" s="77" t="s">
        <v>5</v>
      </c>
      <c r="D30" s="78" t="s">
        <v>279</v>
      </c>
      <c r="E30" s="79">
        <v>0</v>
      </c>
      <c r="F30" s="78" t="s">
        <v>280</v>
      </c>
      <c r="G30" s="78" t="s">
        <v>281</v>
      </c>
      <c r="H30" s="78" t="s">
        <v>196</v>
      </c>
      <c r="I30" s="78">
        <v>1</v>
      </c>
      <c r="J30" s="79">
        <v>9.9499999999999993</v>
      </c>
      <c r="K30" s="78" t="s">
        <v>1897</v>
      </c>
      <c r="L30" s="80"/>
      <c r="M30">
        <f t="shared" si="0"/>
        <v>0</v>
      </c>
      <c r="N30" s="78">
        <f t="shared" si="1"/>
        <v>27</v>
      </c>
    </row>
    <row r="31" spans="1:14" s="78" customFormat="1" x14ac:dyDescent="0.25">
      <c r="A31" s="77" t="s">
        <v>887</v>
      </c>
      <c r="B31" s="77" t="s">
        <v>1882</v>
      </c>
      <c r="C31" s="77" t="s">
        <v>5</v>
      </c>
      <c r="D31" s="78" t="s">
        <v>407</v>
      </c>
      <c r="E31" s="79">
        <f>FilterSpecs!$C$3</f>
        <v>5</v>
      </c>
      <c r="F31" s="78" t="s">
        <v>408</v>
      </c>
      <c r="G31" s="78" t="s">
        <v>409</v>
      </c>
      <c r="H31" s="78" t="s">
        <v>216</v>
      </c>
      <c r="I31" s="78">
        <v>1</v>
      </c>
      <c r="J31" s="79">
        <v>4.95</v>
      </c>
      <c r="K31" s="78" t="s">
        <v>1897</v>
      </c>
      <c r="L31" s="80"/>
      <c r="M31">
        <f t="shared" si="0"/>
        <v>24.75</v>
      </c>
      <c r="N31" s="78">
        <f t="shared" si="1"/>
        <v>28</v>
      </c>
    </row>
    <row r="32" spans="1:14" s="78" customFormat="1" x14ac:dyDescent="0.25">
      <c r="A32" s="77" t="s">
        <v>887</v>
      </c>
      <c r="B32" s="77" t="s">
        <v>1882</v>
      </c>
      <c r="C32" s="77" t="s">
        <v>5</v>
      </c>
      <c r="D32" s="78" t="s">
        <v>628</v>
      </c>
      <c r="E32" s="79">
        <f>FilterSpecs!$C$3+1</f>
        <v>6</v>
      </c>
      <c r="F32" s="78" t="s">
        <v>629</v>
      </c>
      <c r="G32" s="78" t="s">
        <v>630</v>
      </c>
      <c r="H32" s="78" t="s">
        <v>631</v>
      </c>
      <c r="I32" s="78">
        <v>1</v>
      </c>
      <c r="J32" s="79">
        <v>19.95</v>
      </c>
      <c r="K32" s="78" t="s">
        <v>1897</v>
      </c>
      <c r="L32" s="80"/>
      <c r="M32">
        <f t="shared" si="0"/>
        <v>119.69999999999999</v>
      </c>
      <c r="N32" s="78">
        <f t="shared" si="1"/>
        <v>29</v>
      </c>
    </row>
    <row r="33" spans="1:14" s="78" customFormat="1" x14ac:dyDescent="0.25">
      <c r="A33" s="77" t="s">
        <v>887</v>
      </c>
      <c r="B33" s="77" t="s">
        <v>1882</v>
      </c>
      <c r="C33" s="77" t="s">
        <v>1884</v>
      </c>
      <c r="D33" s="78" t="s">
        <v>2242</v>
      </c>
      <c r="E33" s="79">
        <v>2</v>
      </c>
      <c r="H33" s="78" t="s">
        <v>2243</v>
      </c>
      <c r="J33" s="79">
        <v>7.95</v>
      </c>
      <c r="K33" s="78" t="s">
        <v>1896</v>
      </c>
      <c r="L33" s="80"/>
      <c r="M33">
        <f t="shared" si="0"/>
        <v>15.9</v>
      </c>
      <c r="N33" s="78">
        <f t="shared" si="1"/>
        <v>30</v>
      </c>
    </row>
    <row r="34" spans="1:14" s="78" customFormat="1" x14ac:dyDescent="0.25">
      <c r="A34" s="77" t="s">
        <v>887</v>
      </c>
      <c r="B34" s="77" t="s">
        <v>1882</v>
      </c>
      <c r="C34" s="77" t="s">
        <v>1884</v>
      </c>
      <c r="D34" s="78" t="s">
        <v>2054</v>
      </c>
      <c r="E34" s="79">
        <v>1</v>
      </c>
      <c r="H34" s="78" t="s">
        <v>2053</v>
      </c>
      <c r="J34" s="79">
        <v>2.95</v>
      </c>
      <c r="K34" s="78" t="s">
        <v>1896</v>
      </c>
      <c r="L34" s="80"/>
      <c r="M34">
        <f t="shared" si="0"/>
        <v>2.95</v>
      </c>
      <c r="N34" s="78">
        <f t="shared" si="1"/>
        <v>31</v>
      </c>
    </row>
    <row r="35" spans="1:14" s="78" customFormat="1" hidden="1" x14ac:dyDescent="0.25">
      <c r="A35" s="77" t="s">
        <v>887</v>
      </c>
      <c r="B35" s="77" t="s">
        <v>1882</v>
      </c>
      <c r="C35" s="77" t="s">
        <v>1884</v>
      </c>
      <c r="D35" s="78" t="s">
        <v>2244</v>
      </c>
      <c r="E35" s="79">
        <v>0</v>
      </c>
      <c r="H35" s="78" t="s">
        <v>2245</v>
      </c>
      <c r="J35" s="79">
        <v>19.95</v>
      </c>
      <c r="K35" s="78" t="s">
        <v>1899</v>
      </c>
      <c r="L35" s="80"/>
      <c r="M35">
        <f t="shared" si="0"/>
        <v>0</v>
      </c>
      <c r="N35" s="78">
        <f t="shared" si="1"/>
        <v>32</v>
      </c>
    </row>
    <row r="36" spans="1:14" s="78" customFormat="1" hidden="1" x14ac:dyDescent="0.25">
      <c r="A36" s="78" t="s">
        <v>887</v>
      </c>
      <c r="B36" s="78" t="s">
        <v>1882</v>
      </c>
      <c r="C36" s="78" t="s">
        <v>1884</v>
      </c>
      <c r="D36" s="78" t="s">
        <v>2246</v>
      </c>
      <c r="E36" s="79">
        <v>0</v>
      </c>
      <c r="H36" s="77" t="s">
        <v>2247</v>
      </c>
      <c r="I36" s="80"/>
      <c r="J36" s="85">
        <v>9.9499999999999993</v>
      </c>
      <c r="K36" s="77" t="s">
        <v>1896</v>
      </c>
      <c r="L36" s="80"/>
      <c r="M36">
        <f t="shared" si="0"/>
        <v>0</v>
      </c>
      <c r="N36" s="78">
        <f t="shared" si="1"/>
        <v>33</v>
      </c>
    </row>
    <row r="37" spans="1:14" s="78" customFormat="1" x14ac:dyDescent="0.25">
      <c r="A37" s="78" t="s">
        <v>887</v>
      </c>
      <c r="B37" s="78" t="s">
        <v>1882</v>
      </c>
      <c r="C37" s="78" t="s">
        <v>5</v>
      </c>
      <c r="D37" s="78" t="s">
        <v>325</v>
      </c>
      <c r="E37" s="79">
        <v>0</v>
      </c>
      <c r="F37" s="78" t="s">
        <v>326</v>
      </c>
      <c r="G37" s="78" t="s">
        <v>327</v>
      </c>
      <c r="H37" s="77" t="s">
        <v>328</v>
      </c>
      <c r="I37" s="80">
        <v>1</v>
      </c>
      <c r="J37" s="85">
        <v>54.95</v>
      </c>
      <c r="K37" s="77" t="s">
        <v>2464</v>
      </c>
      <c r="L37" s="80"/>
      <c r="M37">
        <f t="shared" si="0"/>
        <v>0</v>
      </c>
      <c r="N37" s="78">
        <f t="shared" si="1"/>
        <v>34</v>
      </c>
    </row>
    <row r="38" spans="1:14" s="78" customFormat="1" x14ac:dyDescent="0.25">
      <c r="A38" s="78" t="s">
        <v>887</v>
      </c>
      <c r="B38" s="78" t="s">
        <v>1882</v>
      </c>
      <c r="C38" s="78" t="s">
        <v>5</v>
      </c>
      <c r="D38" s="78" t="s">
        <v>340</v>
      </c>
      <c r="E38" s="79">
        <f>FilterSpecs!$C$3</f>
        <v>5</v>
      </c>
      <c r="F38" s="78" t="s">
        <v>341</v>
      </c>
      <c r="G38" s="78" t="s">
        <v>342</v>
      </c>
      <c r="H38" s="77" t="s">
        <v>343</v>
      </c>
      <c r="I38" s="80"/>
      <c r="J38" s="85">
        <v>4.95</v>
      </c>
      <c r="K38" s="77" t="s">
        <v>1897</v>
      </c>
      <c r="L38" s="80"/>
      <c r="M38">
        <f t="shared" si="0"/>
        <v>24.75</v>
      </c>
      <c r="N38" s="78">
        <f t="shared" si="1"/>
        <v>35</v>
      </c>
    </row>
    <row r="39" spans="1:14" s="78" customFormat="1" x14ac:dyDescent="0.25">
      <c r="A39" s="78" t="s">
        <v>887</v>
      </c>
      <c r="B39" s="78" t="s">
        <v>1882</v>
      </c>
      <c r="C39" s="78" t="s">
        <v>5</v>
      </c>
      <c r="D39" s="78" t="s">
        <v>917</v>
      </c>
      <c r="E39" s="79">
        <v>1</v>
      </c>
      <c r="F39" s="78" t="s">
        <v>918</v>
      </c>
      <c r="G39" s="78" t="s">
        <v>919</v>
      </c>
      <c r="H39" s="77" t="s">
        <v>920</v>
      </c>
      <c r="I39" s="80">
        <v>1</v>
      </c>
      <c r="J39" s="85">
        <v>19.95</v>
      </c>
      <c r="K39" s="77" t="s">
        <v>1900</v>
      </c>
      <c r="L39" s="80"/>
      <c r="M39">
        <f t="shared" si="0"/>
        <v>19.95</v>
      </c>
      <c r="N39" s="78">
        <f t="shared" si="1"/>
        <v>36</v>
      </c>
    </row>
    <row r="40" spans="1:14" s="78" customFormat="1" x14ac:dyDescent="0.25">
      <c r="A40" s="77" t="s">
        <v>887</v>
      </c>
      <c r="B40" s="77" t="s">
        <v>2007</v>
      </c>
      <c r="C40" s="77" t="s">
        <v>5</v>
      </c>
      <c r="D40" s="78" t="s">
        <v>1128</v>
      </c>
      <c r="E40" s="79">
        <v>1</v>
      </c>
      <c r="F40" s="78" t="s">
        <v>1129</v>
      </c>
      <c r="G40" s="78" t="s">
        <v>1130</v>
      </c>
      <c r="H40" s="78" t="s">
        <v>1131</v>
      </c>
      <c r="I40" s="78">
        <v>1</v>
      </c>
      <c r="J40" s="79">
        <v>3.95</v>
      </c>
      <c r="K40" s="78" t="s">
        <v>1896</v>
      </c>
      <c r="L40" s="80"/>
      <c r="M40">
        <f t="shared" si="0"/>
        <v>3.95</v>
      </c>
      <c r="N40" s="78">
        <f t="shared" si="1"/>
        <v>37</v>
      </c>
    </row>
    <row r="41" spans="1:14" s="78" customFormat="1" x14ac:dyDescent="0.25">
      <c r="A41" s="77" t="s">
        <v>887</v>
      </c>
      <c r="B41" s="77" t="s">
        <v>2007</v>
      </c>
      <c r="C41" s="77" t="s">
        <v>5</v>
      </c>
      <c r="D41" s="78" t="s">
        <v>1715</v>
      </c>
      <c r="E41" s="79">
        <v>1</v>
      </c>
      <c r="F41" s="78" t="s">
        <v>1716</v>
      </c>
      <c r="G41" s="78" t="s">
        <v>1717</v>
      </c>
      <c r="H41" s="78" t="s">
        <v>1718</v>
      </c>
      <c r="I41" s="78">
        <v>1</v>
      </c>
      <c r="J41" s="79">
        <v>2.95</v>
      </c>
      <c r="K41" s="78" t="s">
        <v>1896</v>
      </c>
      <c r="L41" s="80"/>
      <c r="M41">
        <f t="shared" si="0"/>
        <v>2.95</v>
      </c>
      <c r="N41" s="78">
        <f t="shared" si="1"/>
        <v>38</v>
      </c>
    </row>
    <row r="42" spans="1:14" s="78" customFormat="1" x14ac:dyDescent="0.25">
      <c r="A42" s="77" t="s">
        <v>887</v>
      </c>
      <c r="B42" s="77" t="s">
        <v>2007</v>
      </c>
      <c r="C42" s="77" t="s">
        <v>5</v>
      </c>
      <c r="D42" s="78" t="s">
        <v>1659</v>
      </c>
      <c r="E42" s="79">
        <v>1</v>
      </c>
      <c r="F42" s="78" t="s">
        <v>1660</v>
      </c>
      <c r="G42" s="78" t="s">
        <v>1661</v>
      </c>
      <c r="H42" s="78" t="s">
        <v>1662</v>
      </c>
      <c r="J42" s="79">
        <v>3.95</v>
      </c>
      <c r="K42" s="78" t="s">
        <v>1896</v>
      </c>
      <c r="L42" s="80"/>
      <c r="M42">
        <f t="shared" si="0"/>
        <v>3.95</v>
      </c>
      <c r="N42" s="78">
        <f t="shared" si="1"/>
        <v>39</v>
      </c>
    </row>
    <row r="43" spans="1:14" s="78" customFormat="1" x14ac:dyDescent="0.25">
      <c r="A43" s="77" t="s">
        <v>887</v>
      </c>
      <c r="B43" s="77" t="s">
        <v>2007</v>
      </c>
      <c r="C43" s="77" t="s">
        <v>5</v>
      </c>
      <c r="D43" s="78" t="s">
        <v>1432</v>
      </c>
      <c r="E43" s="79">
        <f>2*FilterSpecs!$C$3</f>
        <v>10</v>
      </c>
      <c r="F43" s="78" t="s">
        <v>1433</v>
      </c>
      <c r="G43" s="78" t="s">
        <v>1434</v>
      </c>
      <c r="H43" s="78" t="s">
        <v>1435</v>
      </c>
      <c r="I43" s="78">
        <v>1</v>
      </c>
      <c r="J43" s="79">
        <v>1.95</v>
      </c>
      <c r="K43" s="78" t="s">
        <v>1897</v>
      </c>
      <c r="L43" s="80"/>
      <c r="M43">
        <f t="shared" si="0"/>
        <v>19.5</v>
      </c>
      <c r="N43" s="78">
        <f t="shared" si="1"/>
        <v>40</v>
      </c>
    </row>
    <row r="44" spans="1:14" s="78" customFormat="1" x14ac:dyDescent="0.25">
      <c r="A44" s="77" t="s">
        <v>887</v>
      </c>
      <c r="B44" s="77" t="s">
        <v>2007</v>
      </c>
      <c r="C44" s="77" t="s">
        <v>5</v>
      </c>
      <c r="D44" s="78" t="s">
        <v>1124</v>
      </c>
      <c r="E44" s="79">
        <v>2</v>
      </c>
      <c r="F44" s="78" t="s">
        <v>1125</v>
      </c>
      <c r="G44" s="78" t="s">
        <v>1126</v>
      </c>
      <c r="H44" s="78" t="s">
        <v>1127</v>
      </c>
      <c r="I44" s="78">
        <v>1</v>
      </c>
      <c r="J44" s="79">
        <v>2.95</v>
      </c>
      <c r="K44" s="78" t="s">
        <v>1896</v>
      </c>
      <c r="L44" s="80"/>
      <c r="M44">
        <f t="shared" si="0"/>
        <v>5.9</v>
      </c>
      <c r="N44" s="78">
        <f t="shared" si="1"/>
        <v>41</v>
      </c>
    </row>
    <row r="45" spans="1:14" s="78" customFormat="1" x14ac:dyDescent="0.25">
      <c r="A45" s="77" t="s">
        <v>887</v>
      </c>
      <c r="B45" s="77" t="s">
        <v>2007</v>
      </c>
      <c r="C45" s="77" t="s">
        <v>5</v>
      </c>
      <c r="D45" s="78" t="s">
        <v>1120</v>
      </c>
      <c r="E45" s="79">
        <f>FilterSpecs!$C$3</f>
        <v>5</v>
      </c>
      <c r="F45" s="78" t="s">
        <v>1121</v>
      </c>
      <c r="G45" s="78" t="s">
        <v>1122</v>
      </c>
      <c r="H45" s="78" t="s">
        <v>1123</v>
      </c>
      <c r="I45" s="78">
        <v>1</v>
      </c>
      <c r="J45" s="79">
        <v>7.95</v>
      </c>
      <c r="K45" s="78" t="s">
        <v>1897</v>
      </c>
      <c r="L45" s="80"/>
      <c r="M45">
        <f t="shared" si="0"/>
        <v>39.75</v>
      </c>
      <c r="N45" s="78">
        <f t="shared" si="1"/>
        <v>42</v>
      </c>
    </row>
    <row r="46" spans="1:14" s="78" customFormat="1" x14ac:dyDescent="0.25">
      <c r="A46" s="77" t="s">
        <v>887</v>
      </c>
      <c r="B46" s="77" t="s">
        <v>2007</v>
      </c>
      <c r="C46" s="77" t="s">
        <v>5</v>
      </c>
      <c r="D46" s="78" t="s">
        <v>114</v>
      </c>
      <c r="E46" s="79">
        <v>1</v>
      </c>
      <c r="F46" s="78" t="s">
        <v>115</v>
      </c>
      <c r="G46" s="78" t="s">
        <v>116</v>
      </c>
      <c r="H46" s="78" t="s">
        <v>117</v>
      </c>
      <c r="I46" s="78">
        <v>1</v>
      </c>
      <c r="J46" s="79">
        <v>5.95</v>
      </c>
      <c r="K46" s="78" t="s">
        <v>1896</v>
      </c>
      <c r="L46" s="80"/>
      <c r="M46">
        <f t="shared" si="0"/>
        <v>5.95</v>
      </c>
      <c r="N46" s="78">
        <f t="shared" si="1"/>
        <v>43</v>
      </c>
    </row>
    <row r="47" spans="1:14" s="78" customFormat="1" x14ac:dyDescent="0.25">
      <c r="A47" s="77" t="s">
        <v>887</v>
      </c>
      <c r="B47" s="77" t="s">
        <v>2007</v>
      </c>
      <c r="C47" s="77" t="s">
        <v>5</v>
      </c>
      <c r="D47" s="78" t="s">
        <v>118</v>
      </c>
      <c r="E47" s="79">
        <v>3</v>
      </c>
      <c r="F47" s="78" t="s">
        <v>119</v>
      </c>
      <c r="G47" s="78" t="s">
        <v>120</v>
      </c>
      <c r="H47" s="78" t="s">
        <v>121</v>
      </c>
      <c r="I47" s="78">
        <v>1</v>
      </c>
      <c r="J47" s="79">
        <v>4.95</v>
      </c>
      <c r="K47" s="78" t="s">
        <v>1896</v>
      </c>
      <c r="L47" s="80"/>
      <c r="M47">
        <f t="shared" si="0"/>
        <v>14.850000000000001</v>
      </c>
      <c r="N47" s="78">
        <f t="shared" si="1"/>
        <v>44</v>
      </c>
    </row>
    <row r="48" spans="1:14" s="78" customFormat="1" hidden="1" x14ac:dyDescent="0.25">
      <c r="A48" s="78" t="s">
        <v>887</v>
      </c>
      <c r="B48" s="78" t="s">
        <v>2007</v>
      </c>
      <c r="C48" s="78" t="s">
        <v>1884</v>
      </c>
      <c r="D48" s="78" t="s">
        <v>2318</v>
      </c>
      <c r="E48" s="79">
        <v>0</v>
      </c>
      <c r="H48" s="77" t="s">
        <v>2319</v>
      </c>
      <c r="I48" s="80"/>
      <c r="J48" s="85">
        <v>2.95</v>
      </c>
      <c r="K48" s="77" t="s">
        <v>1896</v>
      </c>
      <c r="L48" s="80"/>
      <c r="M48">
        <f t="shared" si="0"/>
        <v>0</v>
      </c>
      <c r="N48" s="78">
        <f t="shared" si="1"/>
        <v>45</v>
      </c>
    </row>
    <row r="49" spans="1:14" s="78" customFormat="1" hidden="1" x14ac:dyDescent="0.25">
      <c r="A49" s="78" t="s">
        <v>887</v>
      </c>
      <c r="B49" s="78" t="s">
        <v>2007</v>
      </c>
      <c r="C49" s="78" t="s">
        <v>1884</v>
      </c>
      <c r="D49" s="78" t="s">
        <v>2320</v>
      </c>
      <c r="E49" s="79">
        <v>0</v>
      </c>
      <c r="H49" s="77" t="s">
        <v>2321</v>
      </c>
      <c r="I49" s="80"/>
      <c r="J49" s="85">
        <v>2.5</v>
      </c>
      <c r="K49" s="77" t="s">
        <v>1896</v>
      </c>
      <c r="L49" s="80"/>
      <c r="M49">
        <f t="shared" si="0"/>
        <v>0</v>
      </c>
      <c r="N49" s="78">
        <f t="shared" si="1"/>
        <v>46</v>
      </c>
    </row>
    <row r="50" spans="1:14" s="78" customFormat="1" x14ac:dyDescent="0.25">
      <c r="A50" s="77" t="s">
        <v>887</v>
      </c>
      <c r="B50" s="77" t="s">
        <v>1602</v>
      </c>
      <c r="C50" s="77" t="s">
        <v>5</v>
      </c>
      <c r="D50" s="78" t="s">
        <v>26</v>
      </c>
      <c r="E50" s="79">
        <f>FilterSpecs!$C$3</f>
        <v>5</v>
      </c>
      <c r="F50" s="78" t="s">
        <v>27</v>
      </c>
      <c r="G50" s="78" t="s">
        <v>28</v>
      </c>
      <c r="H50" s="78" t="s">
        <v>29</v>
      </c>
      <c r="I50" s="78">
        <v>1</v>
      </c>
      <c r="J50" s="79">
        <v>45.95</v>
      </c>
      <c r="K50" s="78" t="s">
        <v>1897</v>
      </c>
      <c r="L50" s="80"/>
      <c r="M50">
        <f t="shared" si="0"/>
        <v>229.75</v>
      </c>
      <c r="N50" s="78">
        <f t="shared" si="1"/>
        <v>47</v>
      </c>
    </row>
    <row r="51" spans="1:14" s="78" customFormat="1" hidden="1" x14ac:dyDescent="0.25">
      <c r="A51" s="77" t="s">
        <v>887</v>
      </c>
      <c r="B51" s="77" t="s">
        <v>2015</v>
      </c>
      <c r="C51" s="77" t="s">
        <v>5</v>
      </c>
      <c r="D51" s="78" t="s">
        <v>784</v>
      </c>
      <c r="E51" s="79">
        <v>0</v>
      </c>
      <c r="F51" s="78" t="s">
        <v>785</v>
      </c>
      <c r="G51" s="78" t="s">
        <v>786</v>
      </c>
      <c r="H51" s="78" t="s">
        <v>787</v>
      </c>
      <c r="I51" s="78">
        <v>1</v>
      </c>
      <c r="J51" s="79">
        <v>5.95</v>
      </c>
      <c r="K51" s="78" t="s">
        <v>1897</v>
      </c>
      <c r="L51" s="80"/>
      <c r="M51">
        <f t="shared" si="0"/>
        <v>0</v>
      </c>
      <c r="N51" s="78">
        <f t="shared" si="1"/>
        <v>48</v>
      </c>
    </row>
    <row r="52" spans="1:14" s="78" customFormat="1" hidden="1" x14ac:dyDescent="0.25">
      <c r="A52" s="77" t="s">
        <v>887</v>
      </c>
      <c r="B52" s="77" t="s">
        <v>2015</v>
      </c>
      <c r="C52" s="77" t="s">
        <v>5</v>
      </c>
      <c r="D52" s="78" t="s">
        <v>1765</v>
      </c>
      <c r="E52" s="79">
        <v>0</v>
      </c>
      <c r="F52" s="78" t="s">
        <v>1766</v>
      </c>
      <c r="G52" s="78" t="s">
        <v>1767</v>
      </c>
      <c r="H52" s="78" t="s">
        <v>1768</v>
      </c>
      <c r="I52" s="78">
        <v>1</v>
      </c>
      <c r="J52" s="79">
        <v>5.95</v>
      </c>
      <c r="K52" s="78" t="s">
        <v>1896</v>
      </c>
      <c r="L52" s="80"/>
      <c r="M52">
        <f t="shared" si="0"/>
        <v>0</v>
      </c>
      <c r="N52" s="78">
        <f t="shared" si="1"/>
        <v>49</v>
      </c>
    </row>
    <row r="53" spans="1:14" s="78" customFormat="1" hidden="1" x14ac:dyDescent="0.25">
      <c r="A53" s="77" t="s">
        <v>887</v>
      </c>
      <c r="B53" s="77" t="s">
        <v>2015</v>
      </c>
      <c r="C53" s="77" t="s">
        <v>1884</v>
      </c>
      <c r="D53" s="78" t="s">
        <v>2258</v>
      </c>
      <c r="E53" s="79">
        <v>0</v>
      </c>
      <c r="H53" s="78" t="s">
        <v>2259</v>
      </c>
      <c r="J53" s="79">
        <v>7.95</v>
      </c>
      <c r="K53" s="78" t="s">
        <v>1896</v>
      </c>
      <c r="L53" s="80"/>
      <c r="M53">
        <f t="shared" si="0"/>
        <v>0</v>
      </c>
      <c r="N53" s="78">
        <f t="shared" si="1"/>
        <v>50</v>
      </c>
    </row>
    <row r="54" spans="1:14" s="78" customFormat="1" hidden="1" x14ac:dyDescent="0.25">
      <c r="A54" s="77" t="s">
        <v>887</v>
      </c>
      <c r="B54" s="77" t="s">
        <v>2015</v>
      </c>
      <c r="C54" s="77" t="s">
        <v>1884</v>
      </c>
      <c r="D54" s="78" t="s">
        <v>2260</v>
      </c>
      <c r="E54" s="79">
        <v>0</v>
      </c>
      <c r="H54" s="78" t="s">
        <v>2261</v>
      </c>
      <c r="J54" s="79">
        <v>14.95</v>
      </c>
      <c r="K54" s="78" t="s">
        <v>1896</v>
      </c>
      <c r="L54" s="80"/>
      <c r="M54">
        <f t="shared" si="0"/>
        <v>0</v>
      </c>
      <c r="N54" s="78">
        <f t="shared" si="1"/>
        <v>51</v>
      </c>
    </row>
    <row r="55" spans="1:14" s="78" customFormat="1" x14ac:dyDescent="0.25">
      <c r="A55" s="77" t="s">
        <v>887</v>
      </c>
      <c r="B55" s="77" t="s">
        <v>2018</v>
      </c>
      <c r="C55" s="77" t="s">
        <v>5</v>
      </c>
      <c r="D55" s="78" t="s">
        <v>380</v>
      </c>
      <c r="E55" s="79">
        <f>FilterSpecs!$C$3</f>
        <v>5</v>
      </c>
      <c r="F55" s="78" t="s">
        <v>381</v>
      </c>
      <c r="G55" s="78" t="s">
        <v>382</v>
      </c>
      <c r="H55" s="78" t="s">
        <v>383</v>
      </c>
      <c r="J55" s="79">
        <v>1.95</v>
      </c>
      <c r="K55" s="78" t="s">
        <v>1896</v>
      </c>
      <c r="L55" s="80"/>
      <c r="M55">
        <f t="shared" si="0"/>
        <v>9.75</v>
      </c>
      <c r="N55" s="78">
        <f t="shared" si="1"/>
        <v>52</v>
      </c>
    </row>
    <row r="56" spans="1:14" s="78" customFormat="1" x14ac:dyDescent="0.25">
      <c r="A56" s="77" t="s">
        <v>887</v>
      </c>
      <c r="B56" s="77" t="s">
        <v>2018</v>
      </c>
      <c r="C56" s="77" t="s">
        <v>5</v>
      </c>
      <c r="D56" s="78" t="s">
        <v>796</v>
      </c>
      <c r="E56" s="79">
        <f>FilterSpecs!$C$3</f>
        <v>5</v>
      </c>
      <c r="F56" s="78" t="s">
        <v>797</v>
      </c>
      <c r="G56" s="78" t="s">
        <v>798</v>
      </c>
      <c r="H56" s="78" t="s">
        <v>799</v>
      </c>
      <c r="I56" s="78">
        <v>1</v>
      </c>
      <c r="J56" s="79">
        <v>2.95</v>
      </c>
      <c r="K56" s="78" t="s">
        <v>1897</v>
      </c>
      <c r="L56" s="80"/>
      <c r="M56">
        <f t="shared" si="0"/>
        <v>14.75</v>
      </c>
      <c r="N56" s="78">
        <f t="shared" si="1"/>
        <v>53</v>
      </c>
    </row>
    <row r="57" spans="1:14" s="78" customFormat="1" x14ac:dyDescent="0.25">
      <c r="A57" s="77" t="s">
        <v>887</v>
      </c>
      <c r="B57" s="77" t="s">
        <v>2018</v>
      </c>
      <c r="C57" s="77" t="s">
        <v>5</v>
      </c>
      <c r="D57" s="78" t="s">
        <v>454</v>
      </c>
      <c r="E57" s="79">
        <f>FilterSpecs!$C$3</f>
        <v>5</v>
      </c>
      <c r="F57" s="78" t="s">
        <v>455</v>
      </c>
      <c r="G57" s="78" t="s">
        <v>456</v>
      </c>
      <c r="H57" s="78" t="s">
        <v>457</v>
      </c>
      <c r="I57" s="78">
        <v>1</v>
      </c>
      <c r="J57" s="79">
        <v>2.95</v>
      </c>
      <c r="K57" s="78" t="s">
        <v>1896</v>
      </c>
      <c r="L57" s="80"/>
      <c r="M57">
        <f t="shared" si="0"/>
        <v>14.75</v>
      </c>
      <c r="N57" s="78">
        <f t="shared" si="1"/>
        <v>54</v>
      </c>
    </row>
    <row r="58" spans="1:14" s="78" customFormat="1" x14ac:dyDescent="0.25">
      <c r="A58" s="77" t="s">
        <v>887</v>
      </c>
      <c r="B58" s="77" t="s">
        <v>2018</v>
      </c>
      <c r="C58" s="77" t="s">
        <v>5</v>
      </c>
      <c r="D58" s="78" t="s">
        <v>804</v>
      </c>
      <c r="E58" s="79">
        <f>FilterSpecs!$C$3</f>
        <v>5</v>
      </c>
      <c r="F58" s="78" t="s">
        <v>805</v>
      </c>
      <c r="G58" s="78" t="s">
        <v>806</v>
      </c>
      <c r="H58" s="78" t="s">
        <v>807</v>
      </c>
      <c r="J58" s="79">
        <v>2.5</v>
      </c>
      <c r="K58" s="82" t="s">
        <v>1897</v>
      </c>
      <c r="L58" s="80"/>
      <c r="M58">
        <f t="shared" si="0"/>
        <v>12.5</v>
      </c>
      <c r="N58" s="78">
        <f t="shared" si="1"/>
        <v>55</v>
      </c>
    </row>
    <row r="59" spans="1:14" s="78" customFormat="1" hidden="1" x14ac:dyDescent="0.25">
      <c r="A59" s="78" t="s">
        <v>887</v>
      </c>
      <c r="B59" s="78" t="s">
        <v>2018</v>
      </c>
      <c r="C59" s="78" t="s">
        <v>1884</v>
      </c>
      <c r="D59" s="78" t="s">
        <v>2248</v>
      </c>
      <c r="E59" s="79">
        <v>0</v>
      </c>
      <c r="H59" s="77" t="s">
        <v>2249</v>
      </c>
      <c r="I59" s="80"/>
      <c r="J59" s="85">
        <v>2.95</v>
      </c>
      <c r="K59" s="77" t="s">
        <v>1896</v>
      </c>
      <c r="L59" s="80"/>
      <c r="M59">
        <f t="shared" si="0"/>
        <v>0</v>
      </c>
      <c r="N59" s="78">
        <f t="shared" si="1"/>
        <v>56</v>
      </c>
    </row>
    <row r="60" spans="1:14" s="78" customFormat="1" x14ac:dyDescent="0.25">
      <c r="A60" s="78" t="s">
        <v>887</v>
      </c>
      <c r="B60" s="78" t="s">
        <v>2018</v>
      </c>
      <c r="C60" s="78" t="s">
        <v>1884</v>
      </c>
      <c r="D60" s="78" t="s">
        <v>2250</v>
      </c>
      <c r="E60" s="79">
        <v>1</v>
      </c>
      <c r="H60" s="77" t="s">
        <v>2251</v>
      </c>
      <c r="I60" s="80"/>
      <c r="J60" s="85">
        <v>2.5</v>
      </c>
      <c r="K60" s="77" t="s">
        <v>1896</v>
      </c>
      <c r="L60" s="80"/>
      <c r="M60">
        <f t="shared" si="0"/>
        <v>2.5</v>
      </c>
      <c r="N60" s="78">
        <f t="shared" si="1"/>
        <v>57</v>
      </c>
    </row>
    <row r="61" spans="1:14" s="78" customFormat="1" x14ac:dyDescent="0.25">
      <c r="A61" s="78" t="s">
        <v>887</v>
      </c>
      <c r="B61" s="78" t="s">
        <v>2018</v>
      </c>
      <c r="C61" s="78" t="s">
        <v>1884</v>
      </c>
      <c r="D61" s="78" t="s">
        <v>2252</v>
      </c>
      <c r="E61" s="79">
        <v>1</v>
      </c>
      <c r="H61" s="77" t="s">
        <v>2253</v>
      </c>
      <c r="I61" s="80"/>
      <c r="J61" s="85">
        <v>0.95</v>
      </c>
      <c r="K61" s="77" t="s">
        <v>1896</v>
      </c>
      <c r="L61" s="80"/>
      <c r="M61">
        <f t="shared" si="0"/>
        <v>0.95</v>
      </c>
      <c r="N61" s="78">
        <f t="shared" si="1"/>
        <v>58</v>
      </c>
    </row>
    <row r="62" spans="1:14" s="78" customFormat="1" x14ac:dyDescent="0.25">
      <c r="A62" s="78" t="s">
        <v>887</v>
      </c>
      <c r="B62" s="78" t="s">
        <v>2018</v>
      </c>
      <c r="C62" s="78" t="s">
        <v>1884</v>
      </c>
      <c r="D62" s="78" t="s">
        <v>2254</v>
      </c>
      <c r="E62" s="79">
        <v>1</v>
      </c>
      <c r="H62" s="77" t="s">
        <v>2255</v>
      </c>
      <c r="I62" s="80"/>
      <c r="J62" s="85">
        <v>0.95</v>
      </c>
      <c r="K62" s="77" t="s">
        <v>1896</v>
      </c>
      <c r="L62" s="80"/>
      <c r="M62">
        <f t="shared" si="0"/>
        <v>0.95</v>
      </c>
      <c r="N62" s="78">
        <f t="shared" si="1"/>
        <v>59</v>
      </c>
    </row>
    <row r="63" spans="1:14" s="78" customFormat="1" hidden="1" x14ac:dyDescent="0.25">
      <c r="A63" s="78" t="s">
        <v>887</v>
      </c>
      <c r="B63" s="78" t="s">
        <v>2020</v>
      </c>
      <c r="C63" s="78" t="s">
        <v>5</v>
      </c>
      <c r="D63" s="78" t="s">
        <v>1100</v>
      </c>
      <c r="E63" s="79">
        <v>0</v>
      </c>
      <c r="F63" s="78" t="s">
        <v>1101</v>
      </c>
      <c r="G63" s="78" t="s">
        <v>1102</v>
      </c>
      <c r="H63" s="77" t="s">
        <v>1103</v>
      </c>
      <c r="I63" s="80">
        <v>1</v>
      </c>
      <c r="J63" s="85">
        <v>5.95</v>
      </c>
      <c r="K63" s="77" t="s">
        <v>1896</v>
      </c>
      <c r="L63" s="80"/>
      <c r="M63">
        <f t="shared" si="0"/>
        <v>0</v>
      </c>
      <c r="N63" s="78">
        <f t="shared" si="1"/>
        <v>60</v>
      </c>
    </row>
    <row r="64" spans="1:14" s="78" customFormat="1" hidden="1" x14ac:dyDescent="0.25">
      <c r="A64" s="78" t="s">
        <v>887</v>
      </c>
      <c r="B64" s="78" t="s">
        <v>2020</v>
      </c>
      <c r="C64" s="78" t="s">
        <v>1884</v>
      </c>
      <c r="D64" s="78" t="s">
        <v>2288</v>
      </c>
      <c r="E64" s="79">
        <v>0</v>
      </c>
      <c r="H64" s="77" t="s">
        <v>2289</v>
      </c>
      <c r="I64" s="80"/>
      <c r="J64" s="85">
        <v>5.95</v>
      </c>
      <c r="K64" s="77" t="s">
        <v>1896</v>
      </c>
      <c r="L64" s="80"/>
      <c r="M64">
        <f t="shared" si="0"/>
        <v>0</v>
      </c>
      <c r="N64" s="78">
        <f t="shared" si="1"/>
        <v>61</v>
      </c>
    </row>
    <row r="65" spans="1:14" s="78" customFormat="1" x14ac:dyDescent="0.25">
      <c r="A65" s="78" t="s">
        <v>887</v>
      </c>
      <c r="B65" s="78" t="s">
        <v>2020</v>
      </c>
      <c r="C65" s="78" t="s">
        <v>1884</v>
      </c>
      <c r="D65" s="78" t="s">
        <v>2290</v>
      </c>
      <c r="E65" s="79">
        <f>FilterSpecs!$C$3</f>
        <v>5</v>
      </c>
      <c r="H65" s="77" t="s">
        <v>2291</v>
      </c>
      <c r="I65" s="80"/>
      <c r="J65" s="85">
        <v>6.95</v>
      </c>
      <c r="K65" s="77" t="s">
        <v>1897</v>
      </c>
      <c r="L65" s="80"/>
      <c r="M65">
        <f t="shared" si="0"/>
        <v>34.75</v>
      </c>
      <c r="N65" s="78">
        <f t="shared" si="1"/>
        <v>62</v>
      </c>
    </row>
    <row r="66" spans="1:14" s="10" customFormat="1" x14ac:dyDescent="0.25">
      <c r="A66" s="30" t="s">
        <v>887</v>
      </c>
      <c r="B66" s="30" t="s">
        <v>2013</v>
      </c>
      <c r="C66" s="30" t="s">
        <v>5</v>
      </c>
      <c r="D66" s="10" t="s">
        <v>2465</v>
      </c>
      <c r="E66" s="79">
        <f>FilterSpecs!$C$3</f>
        <v>5</v>
      </c>
      <c r="F66" s="10" t="s">
        <v>2466</v>
      </c>
      <c r="G66" s="10" t="s">
        <v>2467</v>
      </c>
      <c r="H66" s="10" t="s">
        <v>2468</v>
      </c>
      <c r="I66" s="10">
        <v>1</v>
      </c>
      <c r="J66" s="64">
        <v>3.95</v>
      </c>
      <c r="K66" s="10" t="s">
        <v>1897</v>
      </c>
      <c r="M66">
        <f t="shared" si="0"/>
        <v>19.75</v>
      </c>
      <c r="N66" s="10">
        <f t="shared" si="1"/>
        <v>63</v>
      </c>
    </row>
    <row r="67" spans="1:14" s="10" customFormat="1" x14ac:dyDescent="0.25">
      <c r="A67" s="30" t="s">
        <v>887</v>
      </c>
      <c r="B67" s="30" t="s">
        <v>2013</v>
      </c>
      <c r="C67" s="30" t="s">
        <v>5</v>
      </c>
      <c r="D67" s="10" t="s">
        <v>2469</v>
      </c>
      <c r="E67" s="79">
        <f>FilterSpecs!$C$3</f>
        <v>5</v>
      </c>
      <c r="F67" s="10" t="s">
        <v>2470</v>
      </c>
      <c r="G67" s="10" t="s">
        <v>2471</v>
      </c>
      <c r="H67" s="10" t="s">
        <v>2472</v>
      </c>
      <c r="I67" s="10">
        <v>1</v>
      </c>
      <c r="J67" s="64">
        <v>3.95</v>
      </c>
      <c r="K67" s="10" t="s">
        <v>1897</v>
      </c>
      <c r="M67">
        <f t="shared" si="0"/>
        <v>19.75</v>
      </c>
      <c r="N67" s="10">
        <f t="shared" si="1"/>
        <v>64</v>
      </c>
    </row>
    <row r="68" spans="1:14" s="10" customFormat="1" hidden="1" x14ac:dyDescent="0.25">
      <c r="A68" s="30" t="s">
        <v>887</v>
      </c>
      <c r="B68" s="30" t="s">
        <v>2013</v>
      </c>
      <c r="C68" s="30" t="s">
        <v>5</v>
      </c>
      <c r="D68" s="10" t="s">
        <v>2473</v>
      </c>
      <c r="E68" s="10">
        <v>0</v>
      </c>
      <c r="F68" s="10" t="s">
        <v>2474</v>
      </c>
      <c r="G68" s="10" t="s">
        <v>2475</v>
      </c>
      <c r="H68" s="10" t="s">
        <v>2476</v>
      </c>
      <c r="I68" s="10">
        <v>1</v>
      </c>
      <c r="J68" s="64">
        <v>1.95</v>
      </c>
      <c r="K68" s="10" t="s">
        <v>1897</v>
      </c>
      <c r="M68">
        <f t="shared" ref="M68:M133" si="2">E68*J68</f>
        <v>0</v>
      </c>
      <c r="N68" s="10">
        <f t="shared" ref="N68:N133" si="3">IF($N67="List #",1,$N67+1)</f>
        <v>65</v>
      </c>
    </row>
    <row r="69" spans="1:14" s="10" customFormat="1" x14ac:dyDescent="0.25">
      <c r="A69" s="30" t="s">
        <v>887</v>
      </c>
      <c r="B69" s="30" t="s">
        <v>2013</v>
      </c>
      <c r="C69" s="30" t="s">
        <v>5</v>
      </c>
      <c r="D69" s="10" t="s">
        <v>2477</v>
      </c>
      <c r="E69" s="10">
        <v>1</v>
      </c>
      <c r="F69" s="10" t="s">
        <v>2478</v>
      </c>
      <c r="G69" s="10" t="s">
        <v>2479</v>
      </c>
      <c r="H69" s="10" t="s">
        <v>2480</v>
      </c>
      <c r="I69" s="10">
        <v>1</v>
      </c>
      <c r="J69" s="64">
        <v>2.95</v>
      </c>
      <c r="K69" s="10" t="s">
        <v>1896</v>
      </c>
      <c r="M69">
        <f t="shared" si="2"/>
        <v>2.95</v>
      </c>
      <c r="N69" s="10">
        <f t="shared" si="3"/>
        <v>66</v>
      </c>
    </row>
    <row r="70" spans="1:14" s="10" customFormat="1" x14ac:dyDescent="0.25">
      <c r="A70" s="30" t="s">
        <v>887</v>
      </c>
      <c r="B70" s="30" t="s">
        <v>2013</v>
      </c>
      <c r="C70" s="30" t="s">
        <v>5</v>
      </c>
      <c r="D70" s="10" t="s">
        <v>1493</v>
      </c>
      <c r="E70" s="79">
        <f>FilterSpecs!$C$3</f>
        <v>5</v>
      </c>
      <c r="F70" s="10" t="s">
        <v>1494</v>
      </c>
      <c r="G70" s="10" t="s">
        <v>1495</v>
      </c>
      <c r="H70" s="10" t="s">
        <v>1496</v>
      </c>
      <c r="I70" s="10">
        <v>1</v>
      </c>
      <c r="J70" s="64">
        <v>4.95</v>
      </c>
      <c r="K70" s="10" t="s">
        <v>1897</v>
      </c>
      <c r="M70">
        <f t="shared" si="2"/>
        <v>24.75</v>
      </c>
      <c r="N70" s="10">
        <f t="shared" si="3"/>
        <v>67</v>
      </c>
    </row>
    <row r="71" spans="1:14" s="10" customFormat="1" hidden="1" x14ac:dyDescent="0.25">
      <c r="A71" s="30" t="s">
        <v>887</v>
      </c>
      <c r="B71" s="30" t="s">
        <v>2013</v>
      </c>
      <c r="C71" s="30" t="s">
        <v>5</v>
      </c>
      <c r="D71" s="10" t="s">
        <v>1497</v>
      </c>
      <c r="E71" s="64">
        <v>0</v>
      </c>
      <c r="F71" s="10" t="s">
        <v>1498</v>
      </c>
      <c r="G71" s="10" t="s">
        <v>1499</v>
      </c>
      <c r="H71" s="10" t="s">
        <v>1500</v>
      </c>
      <c r="I71" s="10">
        <v>1</v>
      </c>
      <c r="J71" s="64">
        <v>1.95</v>
      </c>
      <c r="K71" s="10" t="s">
        <v>1899</v>
      </c>
      <c r="M71">
        <f t="shared" si="2"/>
        <v>0</v>
      </c>
      <c r="N71" s="10">
        <f t="shared" si="3"/>
        <v>68</v>
      </c>
    </row>
    <row r="72" spans="1:14" s="78" customFormat="1" x14ac:dyDescent="0.25">
      <c r="A72" s="78" t="s">
        <v>887</v>
      </c>
      <c r="B72" s="78" t="s">
        <v>2013</v>
      </c>
      <c r="C72" s="78" t="s">
        <v>5</v>
      </c>
      <c r="D72" s="78" t="s">
        <v>241</v>
      </c>
      <c r="E72" s="79">
        <v>1</v>
      </c>
      <c r="F72" s="78" t="s">
        <v>242</v>
      </c>
      <c r="G72" s="78" t="s">
        <v>243</v>
      </c>
      <c r="H72" s="77" t="s">
        <v>244</v>
      </c>
      <c r="I72" s="80">
        <v>1</v>
      </c>
      <c r="J72" s="85">
        <v>4.95</v>
      </c>
      <c r="K72" s="77" t="s">
        <v>1896</v>
      </c>
      <c r="L72" s="80"/>
      <c r="M72">
        <f t="shared" si="2"/>
        <v>4.95</v>
      </c>
      <c r="N72" s="78">
        <f t="shared" si="3"/>
        <v>69</v>
      </c>
    </row>
    <row r="73" spans="1:14" s="78" customFormat="1" hidden="1" x14ac:dyDescent="0.25">
      <c r="A73" s="78" t="s">
        <v>887</v>
      </c>
      <c r="B73" s="78" t="s">
        <v>2039</v>
      </c>
      <c r="C73" s="78" t="s">
        <v>1884</v>
      </c>
      <c r="D73" s="78" t="s">
        <v>2276</v>
      </c>
      <c r="E73" s="79">
        <v>0</v>
      </c>
      <c r="H73" s="77" t="s">
        <v>2277</v>
      </c>
      <c r="I73" s="80"/>
      <c r="J73" s="85">
        <v>1.95</v>
      </c>
      <c r="K73" s="77" t="s">
        <v>1896</v>
      </c>
      <c r="L73" s="80"/>
      <c r="M73">
        <f t="shared" si="2"/>
        <v>0</v>
      </c>
      <c r="N73" s="78">
        <f t="shared" si="3"/>
        <v>70</v>
      </c>
    </row>
    <row r="74" spans="1:14" s="78" customFormat="1" hidden="1" x14ac:dyDescent="0.25">
      <c r="A74" s="78" t="s">
        <v>887</v>
      </c>
      <c r="B74" s="78" t="s">
        <v>2039</v>
      </c>
      <c r="C74" s="78" t="s">
        <v>1884</v>
      </c>
      <c r="D74" s="78" t="s">
        <v>2278</v>
      </c>
      <c r="E74" s="79">
        <v>0</v>
      </c>
      <c r="H74" s="77" t="s">
        <v>2279</v>
      </c>
      <c r="I74" s="80"/>
      <c r="J74" s="85">
        <v>2.95</v>
      </c>
      <c r="K74" s="77" t="s">
        <v>1896</v>
      </c>
      <c r="L74" s="80"/>
      <c r="M74">
        <f t="shared" si="2"/>
        <v>0</v>
      </c>
      <c r="N74" s="78">
        <f t="shared" si="3"/>
        <v>71</v>
      </c>
    </row>
    <row r="75" spans="1:14" s="78" customFormat="1" x14ac:dyDescent="0.25">
      <c r="A75" s="78" t="s">
        <v>887</v>
      </c>
      <c r="B75" s="78" t="s">
        <v>2039</v>
      </c>
      <c r="C75" s="78" t="s">
        <v>1884</v>
      </c>
      <c r="D75" s="78" t="s">
        <v>2280</v>
      </c>
      <c r="E75" s="79">
        <v>2</v>
      </c>
      <c r="H75" s="77" t="s">
        <v>2281</v>
      </c>
      <c r="I75" s="80"/>
      <c r="J75" s="85">
        <v>6.5</v>
      </c>
      <c r="K75" s="77" t="s">
        <v>1896</v>
      </c>
      <c r="L75" s="80"/>
      <c r="M75">
        <f t="shared" si="2"/>
        <v>13</v>
      </c>
      <c r="N75" s="78">
        <f t="shared" si="3"/>
        <v>72</v>
      </c>
    </row>
    <row r="76" spans="1:14" s="78" customFormat="1" hidden="1" x14ac:dyDescent="0.25">
      <c r="A76" s="78" t="s">
        <v>887</v>
      </c>
      <c r="B76" s="78" t="s">
        <v>2039</v>
      </c>
      <c r="C76" s="78" t="s">
        <v>1884</v>
      </c>
      <c r="D76" s="78" t="s">
        <v>2282</v>
      </c>
      <c r="E76" s="79">
        <v>0</v>
      </c>
      <c r="H76" s="77" t="s">
        <v>2283</v>
      </c>
      <c r="I76" s="80"/>
      <c r="J76" s="85">
        <v>6.5</v>
      </c>
      <c r="K76" s="77" t="s">
        <v>1896</v>
      </c>
      <c r="L76" s="80"/>
      <c r="M76">
        <f t="shared" si="2"/>
        <v>0</v>
      </c>
      <c r="N76" s="78">
        <f t="shared" si="3"/>
        <v>73</v>
      </c>
    </row>
    <row r="77" spans="1:14" s="78" customFormat="1" hidden="1" x14ac:dyDescent="0.25">
      <c r="A77" s="78" t="s">
        <v>887</v>
      </c>
      <c r="B77" s="78" t="s">
        <v>2039</v>
      </c>
      <c r="C77" s="78" t="s">
        <v>1884</v>
      </c>
      <c r="D77" s="78" t="s">
        <v>2284</v>
      </c>
      <c r="E77" s="79">
        <v>0</v>
      </c>
      <c r="H77" s="77" t="s">
        <v>2285</v>
      </c>
      <c r="I77" s="80"/>
      <c r="J77" s="85">
        <v>2.75</v>
      </c>
      <c r="K77" s="77" t="s">
        <v>1896</v>
      </c>
      <c r="L77" s="80"/>
      <c r="M77">
        <f t="shared" si="2"/>
        <v>0</v>
      </c>
      <c r="N77" s="78">
        <f t="shared" si="3"/>
        <v>74</v>
      </c>
    </row>
    <row r="78" spans="1:14" s="78" customFormat="1" x14ac:dyDescent="0.25">
      <c r="A78" s="78" t="s">
        <v>887</v>
      </c>
      <c r="B78" s="78" t="s">
        <v>2039</v>
      </c>
      <c r="C78" s="78" t="s">
        <v>1884</v>
      </c>
      <c r="D78" s="78" t="s">
        <v>2286</v>
      </c>
      <c r="E78" s="79">
        <f>FilterSpecs!$C$3</f>
        <v>5</v>
      </c>
      <c r="H78" s="77" t="s">
        <v>2287</v>
      </c>
      <c r="I78" s="80"/>
      <c r="J78" s="85">
        <v>1.95</v>
      </c>
      <c r="K78" s="77" t="s">
        <v>1897</v>
      </c>
      <c r="L78" s="80"/>
      <c r="M78">
        <f t="shared" si="2"/>
        <v>9.75</v>
      </c>
      <c r="N78" s="78">
        <f t="shared" si="3"/>
        <v>75</v>
      </c>
    </row>
    <row r="79" spans="1:14" s="78" customFormat="1" x14ac:dyDescent="0.25">
      <c r="A79" s="78" t="s">
        <v>887</v>
      </c>
      <c r="B79" s="78" t="s">
        <v>2016</v>
      </c>
      <c r="C79" s="78" t="s">
        <v>5</v>
      </c>
      <c r="D79" s="78" t="s">
        <v>30</v>
      </c>
      <c r="E79" s="79">
        <f>FilterSpecs!$C$3</f>
        <v>5</v>
      </c>
      <c r="F79" s="78" t="s">
        <v>31</v>
      </c>
      <c r="G79" s="78" t="s">
        <v>32</v>
      </c>
      <c r="H79" s="77" t="s">
        <v>33</v>
      </c>
      <c r="I79" s="80">
        <v>1</v>
      </c>
      <c r="J79" s="85">
        <v>29.95</v>
      </c>
      <c r="K79" s="77" t="s">
        <v>1897</v>
      </c>
      <c r="L79" s="80"/>
      <c r="M79">
        <f t="shared" si="2"/>
        <v>149.75</v>
      </c>
      <c r="N79" s="78">
        <f t="shared" si="3"/>
        <v>76</v>
      </c>
    </row>
    <row r="80" spans="1:14" s="78" customFormat="1" x14ac:dyDescent="0.25">
      <c r="A80" s="78" t="s">
        <v>887</v>
      </c>
      <c r="B80" s="78" t="s">
        <v>2016</v>
      </c>
      <c r="C80" s="78" t="s">
        <v>5</v>
      </c>
      <c r="D80" s="78" t="s">
        <v>34</v>
      </c>
      <c r="E80" s="79">
        <f>FilterSpecs!$C$3</f>
        <v>5</v>
      </c>
      <c r="F80" s="78" t="s">
        <v>35</v>
      </c>
      <c r="G80" s="78" t="s">
        <v>36</v>
      </c>
      <c r="H80" s="77" t="s">
        <v>37</v>
      </c>
      <c r="I80" s="80">
        <v>1</v>
      </c>
      <c r="J80" s="85">
        <v>14.95</v>
      </c>
      <c r="K80" s="77" t="s">
        <v>1897</v>
      </c>
      <c r="L80" s="80"/>
      <c r="M80">
        <f t="shared" si="2"/>
        <v>74.75</v>
      </c>
      <c r="N80" s="78">
        <f t="shared" si="3"/>
        <v>77</v>
      </c>
    </row>
    <row r="81" spans="1:14" s="78" customFormat="1" x14ac:dyDescent="0.25">
      <c r="A81" s="78" t="s">
        <v>887</v>
      </c>
      <c r="B81" s="78" t="s">
        <v>2016</v>
      </c>
      <c r="C81" s="78" t="s">
        <v>5</v>
      </c>
      <c r="D81" s="78" t="s">
        <v>42</v>
      </c>
      <c r="E81" s="79">
        <v>1</v>
      </c>
      <c r="F81" s="78" t="s">
        <v>43</v>
      </c>
      <c r="G81" s="78" t="s">
        <v>44</v>
      </c>
      <c r="H81" s="77" t="s">
        <v>45</v>
      </c>
      <c r="I81" s="80">
        <v>1</v>
      </c>
      <c r="J81" s="85">
        <v>19.95</v>
      </c>
      <c r="K81" s="77" t="s">
        <v>1896</v>
      </c>
      <c r="L81" s="80"/>
      <c r="M81">
        <f t="shared" si="2"/>
        <v>19.95</v>
      </c>
      <c r="N81" s="78">
        <f t="shared" si="3"/>
        <v>78</v>
      </c>
    </row>
    <row r="82" spans="1:14" s="78" customFormat="1" x14ac:dyDescent="0.25">
      <c r="A82" s="78" t="s">
        <v>887</v>
      </c>
      <c r="B82" s="78" t="s">
        <v>2016</v>
      </c>
      <c r="C82" s="78" t="s">
        <v>5</v>
      </c>
      <c r="D82" s="78" t="s">
        <v>46</v>
      </c>
      <c r="E82" s="79">
        <f>FilterSpecs!$C$3</f>
        <v>5</v>
      </c>
      <c r="F82" s="78" t="s">
        <v>47</v>
      </c>
      <c r="G82" s="78" t="s">
        <v>48</v>
      </c>
      <c r="H82" s="77" t="s">
        <v>49</v>
      </c>
      <c r="I82" s="80">
        <v>1</v>
      </c>
      <c r="J82" s="85">
        <v>29.95</v>
      </c>
      <c r="K82" s="77" t="s">
        <v>1896</v>
      </c>
      <c r="L82" s="80"/>
      <c r="M82">
        <f t="shared" si="2"/>
        <v>149.75</v>
      </c>
      <c r="N82" s="78">
        <f t="shared" si="3"/>
        <v>79</v>
      </c>
    </row>
    <row r="83" spans="1:14" s="78" customFormat="1" x14ac:dyDescent="0.25">
      <c r="A83" s="78" t="s">
        <v>887</v>
      </c>
      <c r="B83" s="78" t="s">
        <v>2016</v>
      </c>
      <c r="C83" s="78" t="s">
        <v>5</v>
      </c>
      <c r="D83" s="78" t="s">
        <v>788</v>
      </c>
      <c r="E83" s="79">
        <v>2</v>
      </c>
      <c r="F83" s="78" t="s">
        <v>789</v>
      </c>
      <c r="G83" s="78" t="s">
        <v>790</v>
      </c>
      <c r="H83" s="77" t="s">
        <v>791</v>
      </c>
      <c r="I83" s="80">
        <v>1</v>
      </c>
      <c r="J83" s="85">
        <v>12.95</v>
      </c>
      <c r="K83" s="77" t="s">
        <v>1896</v>
      </c>
      <c r="L83" s="80"/>
      <c r="M83">
        <f t="shared" si="2"/>
        <v>25.9</v>
      </c>
      <c r="N83" s="78">
        <f t="shared" si="3"/>
        <v>80</v>
      </c>
    </row>
    <row r="84" spans="1:14" s="78" customFormat="1" x14ac:dyDescent="0.25">
      <c r="A84" s="78" t="s">
        <v>887</v>
      </c>
      <c r="B84" s="78" t="s">
        <v>2011</v>
      </c>
      <c r="C84" s="78" t="s">
        <v>5</v>
      </c>
      <c r="D84" s="78" t="s">
        <v>38</v>
      </c>
      <c r="E84" s="79">
        <f>FilterSpecs!$C$3</f>
        <v>5</v>
      </c>
      <c r="F84" s="78" t="s">
        <v>39</v>
      </c>
      <c r="G84" s="78" t="s">
        <v>40</v>
      </c>
      <c r="H84" s="77" t="s">
        <v>41</v>
      </c>
      <c r="I84" s="80">
        <v>1</v>
      </c>
      <c r="J84" s="85">
        <v>9.9499999999999993</v>
      </c>
      <c r="K84" s="77" t="s">
        <v>1897</v>
      </c>
      <c r="L84" s="80"/>
      <c r="M84">
        <f t="shared" si="2"/>
        <v>49.75</v>
      </c>
      <c r="N84" s="78">
        <f t="shared" si="3"/>
        <v>81</v>
      </c>
    </row>
    <row r="85" spans="1:14" s="78" customFormat="1" x14ac:dyDescent="0.25">
      <c r="A85" s="78" t="s">
        <v>887</v>
      </c>
      <c r="B85" s="78" t="s">
        <v>2011</v>
      </c>
      <c r="C85" s="78" t="s">
        <v>5</v>
      </c>
      <c r="D85" s="78" t="s">
        <v>1193</v>
      </c>
      <c r="E85" s="79">
        <v>2</v>
      </c>
      <c r="F85" s="78" t="s">
        <v>1194</v>
      </c>
      <c r="G85" s="78" t="s">
        <v>1195</v>
      </c>
      <c r="H85" s="77" t="s">
        <v>1196</v>
      </c>
      <c r="I85" s="80">
        <v>1</v>
      </c>
      <c r="J85" s="85">
        <v>9.9499999999999993</v>
      </c>
      <c r="K85" s="77" t="s">
        <v>1899</v>
      </c>
      <c r="L85" s="80"/>
      <c r="M85">
        <f t="shared" si="2"/>
        <v>19.899999999999999</v>
      </c>
      <c r="N85" s="78">
        <f t="shared" si="3"/>
        <v>82</v>
      </c>
    </row>
    <row r="86" spans="1:14" s="78" customFormat="1" hidden="1" x14ac:dyDescent="0.25">
      <c r="A86" s="77" t="s">
        <v>887</v>
      </c>
      <c r="B86" s="78" t="s">
        <v>2011</v>
      </c>
      <c r="C86" s="78" t="s">
        <v>1884</v>
      </c>
      <c r="D86" s="78" t="s">
        <v>2262</v>
      </c>
      <c r="E86" s="79">
        <v>0</v>
      </c>
      <c r="H86" s="77" t="s">
        <v>2263</v>
      </c>
      <c r="I86" s="80"/>
      <c r="J86" s="85">
        <v>14.95</v>
      </c>
      <c r="K86" s="77" t="s">
        <v>1896</v>
      </c>
      <c r="L86" s="80"/>
      <c r="M86">
        <f t="shared" si="2"/>
        <v>0</v>
      </c>
      <c r="N86" s="78">
        <f t="shared" si="3"/>
        <v>83</v>
      </c>
    </row>
    <row r="87" spans="1:14" s="78" customFormat="1" x14ac:dyDescent="0.25">
      <c r="A87" s="77" t="s">
        <v>887</v>
      </c>
      <c r="B87" s="78" t="s">
        <v>2011</v>
      </c>
      <c r="C87" s="78" t="s">
        <v>5</v>
      </c>
      <c r="D87" s="78" t="s">
        <v>564</v>
      </c>
      <c r="E87" s="79">
        <f>FilterSpecs!$C$3+1</f>
        <v>6</v>
      </c>
      <c r="F87" s="78" t="s">
        <v>565</v>
      </c>
      <c r="G87" s="78" t="s">
        <v>566</v>
      </c>
      <c r="H87" s="77" t="s">
        <v>567</v>
      </c>
      <c r="I87" s="80"/>
      <c r="J87" s="85">
        <v>0.95</v>
      </c>
      <c r="K87" s="77" t="s">
        <v>1897</v>
      </c>
      <c r="L87" s="80"/>
      <c r="M87">
        <f t="shared" si="2"/>
        <v>5.6999999999999993</v>
      </c>
      <c r="N87" s="78">
        <f t="shared" si="3"/>
        <v>84</v>
      </c>
    </row>
    <row r="88" spans="1:14" s="78" customFormat="1" hidden="1" x14ac:dyDescent="0.25">
      <c r="A88" s="77" t="s">
        <v>887</v>
      </c>
      <c r="B88" s="78" t="s">
        <v>2011</v>
      </c>
      <c r="C88" s="78" t="s">
        <v>1884</v>
      </c>
      <c r="D88" s="78" t="s">
        <v>2196</v>
      </c>
      <c r="E88" s="79">
        <v>0</v>
      </c>
      <c r="H88" s="77" t="s">
        <v>2197</v>
      </c>
      <c r="I88" s="80"/>
      <c r="J88" s="85">
        <v>0.95</v>
      </c>
      <c r="K88" s="77" t="s">
        <v>1896</v>
      </c>
      <c r="L88" s="80"/>
      <c r="M88">
        <f t="shared" si="2"/>
        <v>0</v>
      </c>
      <c r="N88" s="78">
        <f t="shared" si="3"/>
        <v>85</v>
      </c>
    </row>
    <row r="89" spans="1:14" s="78" customFormat="1" x14ac:dyDescent="0.25">
      <c r="A89" s="77" t="s">
        <v>887</v>
      </c>
      <c r="B89" s="60" t="s">
        <v>2012</v>
      </c>
      <c r="C89" s="77" t="s">
        <v>5</v>
      </c>
      <c r="D89" s="78" t="s">
        <v>800</v>
      </c>
      <c r="E89" s="79">
        <f>FilterSpecs!$C$3</f>
        <v>5</v>
      </c>
      <c r="F89" s="78" t="s">
        <v>801</v>
      </c>
      <c r="G89" s="78" t="s">
        <v>802</v>
      </c>
      <c r="H89" s="78" t="s">
        <v>803</v>
      </c>
      <c r="I89" s="78">
        <v>1</v>
      </c>
      <c r="J89" s="79">
        <v>6.95</v>
      </c>
      <c r="K89" s="78" t="s">
        <v>1897</v>
      </c>
      <c r="L89" s="80"/>
      <c r="M89">
        <f t="shared" si="2"/>
        <v>34.75</v>
      </c>
      <c r="N89" s="78">
        <f t="shared" si="3"/>
        <v>86</v>
      </c>
    </row>
    <row r="90" spans="1:14" s="78" customFormat="1" hidden="1" x14ac:dyDescent="0.25">
      <c r="A90" s="77" t="s">
        <v>887</v>
      </c>
      <c r="B90" s="30" t="s">
        <v>2012</v>
      </c>
      <c r="C90" s="77" t="s">
        <v>1884</v>
      </c>
      <c r="D90" s="78" t="s">
        <v>2256</v>
      </c>
      <c r="E90" s="79">
        <v>0</v>
      </c>
      <c r="H90" s="78" t="s">
        <v>2257</v>
      </c>
      <c r="J90" s="79">
        <v>2.5</v>
      </c>
      <c r="K90" s="78" t="s">
        <v>1896</v>
      </c>
      <c r="L90" s="80"/>
      <c r="M90">
        <f t="shared" si="2"/>
        <v>0</v>
      </c>
      <c r="N90" s="78">
        <f t="shared" si="3"/>
        <v>87</v>
      </c>
    </row>
    <row r="91" spans="1:14" s="78" customFormat="1" x14ac:dyDescent="0.25">
      <c r="A91" s="77" t="s">
        <v>887</v>
      </c>
      <c r="B91" s="77" t="s">
        <v>2014</v>
      </c>
      <c r="C91" s="77" t="s">
        <v>1884</v>
      </c>
      <c r="D91" s="78" t="s">
        <v>2064</v>
      </c>
      <c r="E91" s="79">
        <f>FilterSpecs!$C$3+1</f>
        <v>6</v>
      </c>
      <c r="H91" s="78" t="s">
        <v>2063</v>
      </c>
      <c r="J91" s="79">
        <v>2.5</v>
      </c>
      <c r="K91" s="78" t="s">
        <v>1897</v>
      </c>
      <c r="L91" s="80"/>
      <c r="M91">
        <f t="shared" si="2"/>
        <v>15</v>
      </c>
      <c r="N91" s="78">
        <f t="shared" si="3"/>
        <v>88</v>
      </c>
    </row>
    <row r="92" spans="1:14" s="78" customFormat="1" hidden="1" x14ac:dyDescent="0.25">
      <c r="A92" s="77" t="s">
        <v>887</v>
      </c>
      <c r="B92" s="77" t="s">
        <v>2014</v>
      </c>
      <c r="C92" s="77" t="s">
        <v>5</v>
      </c>
      <c r="D92" s="78" t="s">
        <v>1019</v>
      </c>
      <c r="E92" s="79">
        <v>0</v>
      </c>
      <c r="F92" s="78" t="s">
        <v>1020</v>
      </c>
      <c r="G92" s="78" t="s">
        <v>1021</v>
      </c>
      <c r="H92" s="78" t="s">
        <v>1022</v>
      </c>
      <c r="J92" s="79">
        <v>2.95</v>
      </c>
      <c r="K92" s="78" t="s">
        <v>1898</v>
      </c>
      <c r="M92">
        <f t="shared" si="2"/>
        <v>0</v>
      </c>
      <c r="N92" s="78">
        <f t="shared" si="3"/>
        <v>89</v>
      </c>
    </row>
    <row r="93" spans="1:14" s="78" customFormat="1" hidden="1" x14ac:dyDescent="0.25">
      <c r="A93" s="77" t="s">
        <v>887</v>
      </c>
      <c r="B93" s="77" t="s">
        <v>2014</v>
      </c>
      <c r="C93" s="77" t="s">
        <v>5</v>
      </c>
      <c r="D93" s="78" t="s">
        <v>808</v>
      </c>
      <c r="E93" s="79">
        <v>0</v>
      </c>
      <c r="F93" s="78" t="s">
        <v>809</v>
      </c>
      <c r="G93" s="78" t="s">
        <v>810</v>
      </c>
      <c r="H93" s="78" t="s">
        <v>811</v>
      </c>
      <c r="J93" s="79">
        <v>2.95</v>
      </c>
      <c r="K93" s="78" t="s">
        <v>1898</v>
      </c>
      <c r="M93">
        <f t="shared" si="2"/>
        <v>0</v>
      </c>
      <c r="N93" s="78">
        <f t="shared" si="3"/>
        <v>90</v>
      </c>
    </row>
    <row r="94" spans="1:14" s="78" customFormat="1" hidden="1" x14ac:dyDescent="0.25">
      <c r="A94" s="77" t="s">
        <v>887</v>
      </c>
      <c r="B94" s="77" t="s">
        <v>2014</v>
      </c>
      <c r="C94" s="77" t="s">
        <v>1884</v>
      </c>
      <c r="D94" s="78" t="s">
        <v>2198</v>
      </c>
      <c r="E94" s="79">
        <v>0</v>
      </c>
      <c r="H94" s="78" t="s">
        <v>2199</v>
      </c>
      <c r="J94" s="79">
        <v>2</v>
      </c>
      <c r="K94" s="78" t="s">
        <v>1896</v>
      </c>
      <c r="M94">
        <f t="shared" si="2"/>
        <v>0</v>
      </c>
      <c r="N94" s="78">
        <f t="shared" si="3"/>
        <v>91</v>
      </c>
    </row>
    <row r="95" spans="1:14" s="78" customFormat="1" hidden="1" x14ac:dyDescent="0.25">
      <c r="A95" s="77" t="s">
        <v>887</v>
      </c>
      <c r="B95" s="77" t="s">
        <v>2014</v>
      </c>
      <c r="C95" s="77" t="s">
        <v>1884</v>
      </c>
      <c r="D95" s="78" t="s">
        <v>2200</v>
      </c>
      <c r="E95" s="79">
        <v>0</v>
      </c>
      <c r="H95" s="78" t="s">
        <v>2201</v>
      </c>
      <c r="J95" s="79">
        <v>2</v>
      </c>
      <c r="K95" s="78" t="s">
        <v>1896</v>
      </c>
      <c r="M95">
        <f t="shared" si="2"/>
        <v>0</v>
      </c>
      <c r="N95" s="78">
        <f t="shared" si="3"/>
        <v>92</v>
      </c>
    </row>
    <row r="96" spans="1:14" s="78" customFormat="1" x14ac:dyDescent="0.25">
      <c r="A96" s="77" t="s">
        <v>887</v>
      </c>
      <c r="B96" s="77" t="s">
        <v>2014</v>
      </c>
      <c r="C96" s="77" t="s">
        <v>5</v>
      </c>
      <c r="D96" s="78" t="s">
        <v>957</v>
      </c>
      <c r="E96" s="79">
        <v>2</v>
      </c>
      <c r="F96" s="78" t="s">
        <v>958</v>
      </c>
      <c r="G96" s="78" t="s">
        <v>959</v>
      </c>
      <c r="H96" s="78" t="s">
        <v>960</v>
      </c>
      <c r="I96" s="78">
        <v>1</v>
      </c>
      <c r="J96" s="79">
        <v>0.95</v>
      </c>
      <c r="K96" s="78" t="s">
        <v>1897</v>
      </c>
      <c r="M96">
        <f t="shared" si="2"/>
        <v>1.9</v>
      </c>
      <c r="N96" s="78">
        <f t="shared" si="3"/>
        <v>93</v>
      </c>
    </row>
    <row r="97" spans="1:14" s="78" customFormat="1" x14ac:dyDescent="0.25">
      <c r="A97" s="77" t="s">
        <v>887</v>
      </c>
      <c r="B97" s="78" t="s">
        <v>2014</v>
      </c>
      <c r="C97" s="78" t="s">
        <v>5</v>
      </c>
      <c r="D97" s="78" t="s">
        <v>1015</v>
      </c>
      <c r="E97" s="79">
        <f>FilterSpecs!$C$3+1</f>
        <v>6</v>
      </c>
      <c r="F97" s="78" t="s">
        <v>1016</v>
      </c>
      <c r="G97" s="78" t="s">
        <v>1017</v>
      </c>
      <c r="H97" s="77" t="s">
        <v>1018</v>
      </c>
      <c r="I97" s="80">
        <v>1</v>
      </c>
      <c r="J97" s="85">
        <v>0.95</v>
      </c>
      <c r="K97" s="77" t="s">
        <v>1897</v>
      </c>
      <c r="L97" s="80"/>
      <c r="M97">
        <f t="shared" si="2"/>
        <v>5.6999999999999993</v>
      </c>
      <c r="N97" s="78">
        <f t="shared" si="3"/>
        <v>94</v>
      </c>
    </row>
    <row r="98" spans="1:14" s="78" customFormat="1" x14ac:dyDescent="0.25">
      <c r="A98" s="77" t="s">
        <v>887</v>
      </c>
      <c r="B98" s="78" t="s">
        <v>2014</v>
      </c>
      <c r="C98" s="78" t="s">
        <v>5</v>
      </c>
      <c r="D98" s="78" t="s">
        <v>2396</v>
      </c>
      <c r="E98" s="79">
        <v>4</v>
      </c>
      <c r="F98" s="78" t="s">
        <v>2397</v>
      </c>
      <c r="G98" s="78" t="s">
        <v>2398</v>
      </c>
      <c r="H98" s="77" t="s">
        <v>2399</v>
      </c>
      <c r="I98" s="80">
        <v>1</v>
      </c>
      <c r="J98" s="85">
        <v>0.3</v>
      </c>
      <c r="K98" s="77" t="s">
        <v>1896</v>
      </c>
      <c r="L98" s="80"/>
      <c r="M98">
        <f t="shared" si="2"/>
        <v>1.2</v>
      </c>
      <c r="N98" s="78">
        <f t="shared" si="3"/>
        <v>95</v>
      </c>
    </row>
    <row r="99" spans="1:14" s="78" customFormat="1" hidden="1" x14ac:dyDescent="0.25">
      <c r="A99" s="78" t="s">
        <v>887</v>
      </c>
      <c r="B99" s="78" t="s">
        <v>2014</v>
      </c>
      <c r="C99" s="78" t="s">
        <v>1884</v>
      </c>
      <c r="D99" s="78" t="s">
        <v>2264</v>
      </c>
      <c r="E99" s="79">
        <v>0</v>
      </c>
      <c r="H99" s="77" t="s">
        <v>2265</v>
      </c>
      <c r="I99" s="80"/>
      <c r="J99" s="85">
        <v>0.95</v>
      </c>
      <c r="K99" s="77" t="s">
        <v>1896</v>
      </c>
      <c r="L99" s="80"/>
      <c r="M99">
        <f t="shared" si="2"/>
        <v>0</v>
      </c>
      <c r="N99" s="78">
        <f t="shared" si="3"/>
        <v>96</v>
      </c>
    </row>
    <row r="100" spans="1:14" s="78" customFormat="1" hidden="1" x14ac:dyDescent="0.25">
      <c r="A100" s="77" t="s">
        <v>887</v>
      </c>
      <c r="B100" s="77" t="s">
        <v>2014</v>
      </c>
      <c r="C100" s="77" t="s">
        <v>1884</v>
      </c>
      <c r="D100" s="78" t="s">
        <v>2266</v>
      </c>
      <c r="E100" s="79">
        <v>0</v>
      </c>
      <c r="H100" s="78" t="s">
        <v>2267</v>
      </c>
      <c r="J100" s="79">
        <v>0.95</v>
      </c>
      <c r="K100" s="82" t="s">
        <v>1896</v>
      </c>
      <c r="M100">
        <f t="shared" si="2"/>
        <v>0</v>
      </c>
      <c r="N100" s="78">
        <f t="shared" si="3"/>
        <v>97</v>
      </c>
    </row>
    <row r="101" spans="1:14" s="78" customFormat="1" hidden="1" x14ac:dyDescent="0.25">
      <c r="A101" s="77" t="s">
        <v>887</v>
      </c>
      <c r="B101" s="77" t="s">
        <v>2014</v>
      </c>
      <c r="C101" s="77" t="s">
        <v>1884</v>
      </c>
      <c r="D101" s="78" t="s">
        <v>2268</v>
      </c>
      <c r="E101" s="79">
        <v>0</v>
      </c>
      <c r="H101" s="78" t="s">
        <v>2269</v>
      </c>
      <c r="J101" s="79">
        <v>0.95</v>
      </c>
      <c r="K101" s="82" t="s">
        <v>1896</v>
      </c>
      <c r="M101">
        <f t="shared" si="2"/>
        <v>0</v>
      </c>
      <c r="N101" s="78">
        <f t="shared" si="3"/>
        <v>98</v>
      </c>
    </row>
    <row r="102" spans="1:14" s="78" customFormat="1" hidden="1" x14ac:dyDescent="0.25">
      <c r="A102" s="77" t="s">
        <v>887</v>
      </c>
      <c r="B102" s="77" t="s">
        <v>2014</v>
      </c>
      <c r="C102" s="77" t="s">
        <v>1884</v>
      </c>
      <c r="D102" s="78" t="s">
        <v>2270</v>
      </c>
      <c r="E102" s="79">
        <v>0</v>
      </c>
      <c r="H102" s="78" t="s">
        <v>2271</v>
      </c>
      <c r="J102" s="79">
        <v>0.95</v>
      </c>
      <c r="K102" s="82" t="s">
        <v>1896</v>
      </c>
      <c r="M102">
        <f t="shared" si="2"/>
        <v>0</v>
      </c>
      <c r="N102" s="78">
        <f t="shared" si="3"/>
        <v>99</v>
      </c>
    </row>
    <row r="103" spans="1:14" s="78" customFormat="1" hidden="1" x14ac:dyDescent="0.25">
      <c r="A103" s="77" t="s">
        <v>887</v>
      </c>
      <c r="B103" s="77" t="s">
        <v>2014</v>
      </c>
      <c r="C103" s="77" t="s">
        <v>1884</v>
      </c>
      <c r="D103" s="78" t="s">
        <v>2272</v>
      </c>
      <c r="E103" s="79">
        <v>0</v>
      </c>
      <c r="H103" s="78" t="s">
        <v>2273</v>
      </c>
      <c r="J103" s="79">
        <v>0.95</v>
      </c>
      <c r="K103" s="82" t="s">
        <v>1896</v>
      </c>
      <c r="M103">
        <f t="shared" si="2"/>
        <v>0</v>
      </c>
      <c r="N103" s="78">
        <f t="shared" si="3"/>
        <v>100</v>
      </c>
    </row>
    <row r="104" spans="1:14" s="78" customFormat="1" hidden="1" x14ac:dyDescent="0.25">
      <c r="A104" s="77" t="s">
        <v>887</v>
      </c>
      <c r="B104" s="77" t="s">
        <v>2014</v>
      </c>
      <c r="C104" s="77" t="s">
        <v>1884</v>
      </c>
      <c r="D104" s="78" t="s">
        <v>2274</v>
      </c>
      <c r="E104" s="79">
        <v>0</v>
      </c>
      <c r="H104" s="78" t="s">
        <v>2275</v>
      </c>
      <c r="J104" s="79">
        <v>0.95</v>
      </c>
      <c r="K104" s="82" t="s">
        <v>1896</v>
      </c>
      <c r="M104">
        <f t="shared" si="2"/>
        <v>0</v>
      </c>
      <c r="N104" s="78">
        <f t="shared" si="3"/>
        <v>101</v>
      </c>
    </row>
    <row r="105" spans="1:14" s="78" customFormat="1" x14ac:dyDescent="0.25">
      <c r="A105" s="77" t="s">
        <v>887</v>
      </c>
      <c r="B105" s="77" t="s">
        <v>10</v>
      </c>
      <c r="C105" s="77" t="s">
        <v>5</v>
      </c>
      <c r="D105" s="78" t="s">
        <v>66</v>
      </c>
      <c r="E105" s="79">
        <f>FilterSpecs!$C$3</f>
        <v>5</v>
      </c>
      <c r="F105" s="78" t="s">
        <v>67</v>
      </c>
      <c r="G105" s="78" t="s">
        <v>68</v>
      </c>
      <c r="H105" s="78" t="s">
        <v>69</v>
      </c>
      <c r="I105" s="78">
        <v>1</v>
      </c>
      <c r="J105" s="79">
        <v>0.95</v>
      </c>
      <c r="K105" s="78" t="s">
        <v>1897</v>
      </c>
      <c r="L105" s="80"/>
      <c r="M105">
        <f t="shared" si="2"/>
        <v>4.75</v>
      </c>
      <c r="N105" s="78">
        <f t="shared" si="3"/>
        <v>102</v>
      </c>
    </row>
    <row r="106" spans="1:14" s="78" customFormat="1" x14ac:dyDescent="0.25">
      <c r="A106" s="77" t="s">
        <v>887</v>
      </c>
      <c r="B106" s="77" t="s">
        <v>10</v>
      </c>
      <c r="C106" s="77" t="s">
        <v>5</v>
      </c>
      <c r="D106" s="78" t="s">
        <v>70</v>
      </c>
      <c r="E106" s="79">
        <f>4*FilterSpecs!$C$3</f>
        <v>20</v>
      </c>
      <c r="F106" s="78" t="s">
        <v>71</v>
      </c>
      <c r="G106" s="78" t="s">
        <v>72</v>
      </c>
      <c r="H106" s="78" t="s">
        <v>73</v>
      </c>
      <c r="I106" s="78">
        <v>1</v>
      </c>
      <c r="J106" s="79">
        <v>1.95</v>
      </c>
      <c r="K106" s="78" t="s">
        <v>1897</v>
      </c>
      <c r="L106" s="80"/>
      <c r="M106">
        <f t="shared" si="2"/>
        <v>39</v>
      </c>
      <c r="N106" s="78">
        <f t="shared" si="3"/>
        <v>103</v>
      </c>
    </row>
    <row r="107" spans="1:14" s="78" customFormat="1" x14ac:dyDescent="0.25">
      <c r="A107" s="77" t="s">
        <v>887</v>
      </c>
      <c r="B107" s="77" t="s">
        <v>10</v>
      </c>
      <c r="C107" s="77" t="s">
        <v>5</v>
      </c>
      <c r="D107" s="78" t="s">
        <v>74</v>
      </c>
      <c r="E107" s="79">
        <f>FilterSpecs!$C$3</f>
        <v>5</v>
      </c>
      <c r="F107" s="78" t="s">
        <v>75</v>
      </c>
      <c r="G107" s="78" t="s">
        <v>76</v>
      </c>
      <c r="H107" s="78" t="s">
        <v>77</v>
      </c>
      <c r="J107" s="79">
        <v>14.95</v>
      </c>
      <c r="K107" s="89" t="s">
        <v>1897</v>
      </c>
      <c r="L107" s="80"/>
      <c r="M107">
        <f t="shared" si="2"/>
        <v>74.75</v>
      </c>
      <c r="N107" s="78">
        <f t="shared" si="3"/>
        <v>104</v>
      </c>
    </row>
    <row r="108" spans="1:14" s="78" customFormat="1" x14ac:dyDescent="0.25">
      <c r="A108" s="77" t="s">
        <v>887</v>
      </c>
      <c r="B108" s="77" t="s">
        <v>10</v>
      </c>
      <c r="C108" s="77" t="s">
        <v>5</v>
      </c>
      <c r="D108" s="78" t="s">
        <v>78</v>
      </c>
      <c r="E108" s="79">
        <f>2*FilterSpecs!$C$3</f>
        <v>10</v>
      </c>
      <c r="F108" s="78" t="s">
        <v>79</v>
      </c>
      <c r="G108" s="78" t="s">
        <v>80</v>
      </c>
      <c r="H108" s="78" t="s">
        <v>81</v>
      </c>
      <c r="I108" s="78">
        <v>1</v>
      </c>
      <c r="J108" s="79">
        <v>3.95</v>
      </c>
      <c r="K108" s="78" t="s">
        <v>1897</v>
      </c>
      <c r="L108" s="80"/>
      <c r="M108">
        <f t="shared" si="2"/>
        <v>39.5</v>
      </c>
      <c r="N108" s="78">
        <f t="shared" si="3"/>
        <v>105</v>
      </c>
    </row>
    <row r="109" spans="1:14" s="78" customFormat="1" hidden="1" x14ac:dyDescent="0.25">
      <c r="A109" s="77" t="s">
        <v>887</v>
      </c>
      <c r="B109" s="77" t="s">
        <v>10</v>
      </c>
      <c r="C109" s="77" t="s">
        <v>5</v>
      </c>
      <c r="D109" s="78" t="s">
        <v>82</v>
      </c>
      <c r="E109" s="79">
        <v>0</v>
      </c>
      <c r="F109" s="78" t="s">
        <v>83</v>
      </c>
      <c r="G109" s="78" t="s">
        <v>84</v>
      </c>
      <c r="H109" s="78" t="s">
        <v>85</v>
      </c>
      <c r="I109" s="78">
        <v>1</v>
      </c>
      <c r="J109" s="79">
        <v>24.95</v>
      </c>
      <c r="K109" s="78" t="s">
        <v>1897</v>
      </c>
      <c r="L109" s="80"/>
      <c r="M109">
        <f t="shared" si="2"/>
        <v>0</v>
      </c>
      <c r="N109" s="78">
        <f t="shared" si="3"/>
        <v>106</v>
      </c>
    </row>
    <row r="110" spans="1:14" s="78" customFormat="1" x14ac:dyDescent="0.25">
      <c r="A110" s="77" t="s">
        <v>887</v>
      </c>
      <c r="B110" s="77" t="s">
        <v>10</v>
      </c>
      <c r="C110" s="77" t="s">
        <v>5</v>
      </c>
      <c r="D110" s="78" t="s">
        <v>86</v>
      </c>
      <c r="E110" s="79">
        <f>FilterSpecs!$C$3</f>
        <v>5</v>
      </c>
      <c r="F110" s="78" t="s">
        <v>87</v>
      </c>
      <c r="G110" s="78" t="s">
        <v>88</v>
      </c>
      <c r="H110" s="78" t="s">
        <v>89</v>
      </c>
      <c r="J110" s="79">
        <v>24.95</v>
      </c>
      <c r="K110" s="78" t="s">
        <v>1897</v>
      </c>
      <c r="L110" s="80"/>
      <c r="M110">
        <f t="shared" si="2"/>
        <v>124.75</v>
      </c>
      <c r="N110" s="78">
        <f t="shared" si="3"/>
        <v>107</v>
      </c>
    </row>
    <row r="111" spans="1:14" s="78" customFormat="1" hidden="1" x14ac:dyDescent="0.25">
      <c r="A111" s="77" t="s">
        <v>887</v>
      </c>
      <c r="B111" s="77" t="s">
        <v>10</v>
      </c>
      <c r="C111" s="77" t="s">
        <v>5</v>
      </c>
      <c r="D111" s="78" t="s">
        <v>90</v>
      </c>
      <c r="E111" s="79">
        <v>0</v>
      </c>
      <c r="F111" s="78" t="s">
        <v>91</v>
      </c>
      <c r="G111" s="78" t="s">
        <v>92</v>
      </c>
      <c r="H111" s="78" t="s">
        <v>93</v>
      </c>
      <c r="I111" s="78">
        <v>1</v>
      </c>
      <c r="J111" s="79">
        <v>14.95</v>
      </c>
      <c r="K111" s="78" t="s">
        <v>1897</v>
      </c>
      <c r="L111" s="80"/>
      <c r="M111">
        <f t="shared" si="2"/>
        <v>0</v>
      </c>
      <c r="N111" s="78">
        <f t="shared" si="3"/>
        <v>108</v>
      </c>
    </row>
    <row r="112" spans="1:14" s="78" customFormat="1" x14ac:dyDescent="0.25">
      <c r="A112" s="77" t="s">
        <v>887</v>
      </c>
      <c r="B112" s="77" t="s">
        <v>10</v>
      </c>
      <c r="C112" s="77" t="s">
        <v>5</v>
      </c>
      <c r="D112" s="78" t="s">
        <v>94</v>
      </c>
      <c r="E112" s="79">
        <v>3</v>
      </c>
      <c r="F112" s="78" t="s">
        <v>95</v>
      </c>
      <c r="G112" s="78" t="s">
        <v>96</v>
      </c>
      <c r="H112" s="78" t="s">
        <v>97</v>
      </c>
      <c r="I112" s="78">
        <v>1</v>
      </c>
      <c r="J112" s="79">
        <v>19.95</v>
      </c>
      <c r="K112" s="78" t="s">
        <v>2461</v>
      </c>
      <c r="L112" s="80"/>
      <c r="M112">
        <f t="shared" si="2"/>
        <v>59.849999999999994</v>
      </c>
      <c r="N112" s="78">
        <f t="shared" si="3"/>
        <v>109</v>
      </c>
    </row>
    <row r="113" spans="1:14" s="78" customFormat="1" x14ac:dyDescent="0.25">
      <c r="A113" s="77" t="s">
        <v>887</v>
      </c>
      <c r="B113" s="77" t="s">
        <v>10</v>
      </c>
      <c r="C113" s="134" t="s">
        <v>1892</v>
      </c>
      <c r="D113" s="78" t="s">
        <v>2561</v>
      </c>
      <c r="E113" s="79">
        <f>FilterSpecs!$C$3</f>
        <v>5</v>
      </c>
      <c r="H113" s="78" t="s">
        <v>2560</v>
      </c>
      <c r="J113" s="79">
        <v>29.62</v>
      </c>
      <c r="K113" s="135" t="e">
        <f>#REF!</f>
        <v>#REF!</v>
      </c>
      <c r="M113">
        <f t="shared" si="2"/>
        <v>148.1</v>
      </c>
      <c r="N113" s="94">
        <f>IF($N112="List #",1,$N112+1)</f>
        <v>110</v>
      </c>
    </row>
    <row r="114" spans="1:14" s="10" customFormat="1" x14ac:dyDescent="0.25">
      <c r="A114" s="30" t="s">
        <v>887</v>
      </c>
      <c r="B114" s="30" t="s">
        <v>10</v>
      </c>
      <c r="C114" s="30" t="s">
        <v>5</v>
      </c>
      <c r="D114" s="10" t="s">
        <v>98</v>
      </c>
      <c r="E114" s="64">
        <v>0</v>
      </c>
      <c r="F114" s="10" t="s">
        <v>99</v>
      </c>
      <c r="G114" s="10" t="s">
        <v>100</v>
      </c>
      <c r="H114" s="10" t="s">
        <v>101</v>
      </c>
      <c r="I114" s="10">
        <v>1</v>
      </c>
      <c r="J114" s="64">
        <v>13.95</v>
      </c>
      <c r="K114" s="10" t="s">
        <v>1897</v>
      </c>
      <c r="L114"/>
      <c r="M114">
        <f t="shared" si="2"/>
        <v>0</v>
      </c>
      <c r="N114" s="10">
        <f>IF($N112="List #",1,$N112+1)</f>
        <v>110</v>
      </c>
    </row>
    <row r="115" spans="1:14" s="10" customFormat="1" x14ac:dyDescent="0.25">
      <c r="A115" s="30" t="s">
        <v>887</v>
      </c>
      <c r="B115" s="30" t="s">
        <v>10</v>
      </c>
      <c r="C115" s="30" t="s">
        <v>5</v>
      </c>
      <c r="D115" s="10" t="s">
        <v>1080</v>
      </c>
      <c r="E115" s="64">
        <v>0</v>
      </c>
      <c r="F115" s="10" t="s">
        <v>1081</v>
      </c>
      <c r="G115" s="10" t="s">
        <v>1082</v>
      </c>
      <c r="H115" s="10" t="s">
        <v>1083</v>
      </c>
      <c r="I115" s="10">
        <v>1</v>
      </c>
      <c r="J115" s="64">
        <v>1.5</v>
      </c>
      <c r="K115" s="10" t="s">
        <v>1897</v>
      </c>
      <c r="L115"/>
      <c r="M115">
        <f t="shared" si="2"/>
        <v>0</v>
      </c>
      <c r="N115" s="10">
        <f t="shared" si="3"/>
        <v>111</v>
      </c>
    </row>
    <row r="116" spans="1:14" s="10" customFormat="1" x14ac:dyDescent="0.25">
      <c r="A116" s="10" t="s">
        <v>887</v>
      </c>
      <c r="B116" s="10" t="s">
        <v>10</v>
      </c>
      <c r="C116" s="10" t="s">
        <v>1884</v>
      </c>
      <c r="D116" s="10" t="s">
        <v>2292</v>
      </c>
      <c r="E116" s="64">
        <v>0</v>
      </c>
      <c r="H116" s="30" t="s">
        <v>2293</v>
      </c>
      <c r="I116"/>
      <c r="J116" s="70">
        <v>39.950000000000003</v>
      </c>
      <c r="K116" s="30" t="s">
        <v>1896</v>
      </c>
      <c r="L116"/>
      <c r="M116">
        <f t="shared" si="2"/>
        <v>0</v>
      </c>
      <c r="N116" s="10">
        <f t="shared" si="3"/>
        <v>112</v>
      </c>
    </row>
    <row r="117" spans="1:14" s="10" customFormat="1" x14ac:dyDescent="0.25">
      <c r="A117" s="10" t="s">
        <v>887</v>
      </c>
      <c r="B117" s="10" t="s">
        <v>10</v>
      </c>
      <c r="C117" s="10" t="s">
        <v>1884</v>
      </c>
      <c r="D117" s="10" t="s">
        <v>2294</v>
      </c>
      <c r="E117" s="79">
        <f>2*FilterSpecs!$C$3</f>
        <v>10</v>
      </c>
      <c r="H117" s="30" t="s">
        <v>2295</v>
      </c>
      <c r="I117"/>
      <c r="J117" s="70">
        <v>14.95</v>
      </c>
      <c r="K117" s="30" t="s">
        <v>1897</v>
      </c>
      <c r="L117"/>
      <c r="M117">
        <f t="shared" si="2"/>
        <v>149.5</v>
      </c>
      <c r="N117" s="10">
        <f t="shared" si="3"/>
        <v>113</v>
      </c>
    </row>
    <row r="118" spans="1:14" s="10" customFormat="1" hidden="1" x14ac:dyDescent="0.25">
      <c r="A118" s="10" t="s">
        <v>887</v>
      </c>
      <c r="B118" s="10" t="s">
        <v>10</v>
      </c>
      <c r="C118" s="10" t="s">
        <v>1884</v>
      </c>
      <c r="D118" s="10" t="s">
        <v>2296</v>
      </c>
      <c r="E118" s="64">
        <v>0</v>
      </c>
      <c r="H118" s="30" t="s">
        <v>2297</v>
      </c>
      <c r="I118"/>
      <c r="J118" s="70">
        <v>13.95</v>
      </c>
      <c r="K118" s="30" t="s">
        <v>1896</v>
      </c>
      <c r="L118"/>
      <c r="M118">
        <f t="shared" si="2"/>
        <v>0</v>
      </c>
      <c r="N118" s="10">
        <f t="shared" si="3"/>
        <v>114</v>
      </c>
    </row>
    <row r="119" spans="1:14" s="10" customFormat="1" hidden="1" x14ac:dyDescent="0.25">
      <c r="A119" s="10" t="s">
        <v>887</v>
      </c>
      <c r="B119" s="10" t="s">
        <v>10</v>
      </c>
      <c r="C119" s="10" t="s">
        <v>1884</v>
      </c>
      <c r="D119" s="10" t="s">
        <v>2298</v>
      </c>
      <c r="E119" s="64">
        <v>0</v>
      </c>
      <c r="H119" s="30" t="s">
        <v>2299</v>
      </c>
      <c r="I119"/>
      <c r="J119" s="70">
        <v>24.95</v>
      </c>
      <c r="K119" s="30" t="s">
        <v>1896</v>
      </c>
      <c r="L119"/>
      <c r="M119">
        <f t="shared" si="2"/>
        <v>0</v>
      </c>
      <c r="N119" s="10">
        <f t="shared" si="3"/>
        <v>115</v>
      </c>
    </row>
    <row r="120" spans="1:14" s="10" customFormat="1" hidden="1" x14ac:dyDescent="0.25">
      <c r="A120" s="10" t="s">
        <v>887</v>
      </c>
      <c r="B120" s="10" t="s">
        <v>10</v>
      </c>
      <c r="C120" s="10" t="s">
        <v>1884</v>
      </c>
      <c r="D120" s="10" t="s">
        <v>2300</v>
      </c>
      <c r="E120" s="64">
        <v>0</v>
      </c>
      <c r="H120" s="30" t="s">
        <v>2301</v>
      </c>
      <c r="I120"/>
      <c r="J120" s="70">
        <v>14.95</v>
      </c>
      <c r="K120" s="30" t="s">
        <v>1896</v>
      </c>
      <c r="L120"/>
      <c r="M120">
        <f t="shared" si="2"/>
        <v>0</v>
      </c>
      <c r="N120" s="10">
        <f t="shared" si="3"/>
        <v>116</v>
      </c>
    </row>
    <row r="121" spans="1:14" s="10" customFormat="1" hidden="1" x14ac:dyDescent="0.25">
      <c r="A121" s="10" t="s">
        <v>887</v>
      </c>
      <c r="B121" s="10" t="s">
        <v>10</v>
      </c>
      <c r="C121" s="10" t="s">
        <v>1884</v>
      </c>
      <c r="D121" s="10" t="s">
        <v>2302</v>
      </c>
      <c r="E121" s="64">
        <v>0</v>
      </c>
      <c r="H121" s="30" t="s">
        <v>2303</v>
      </c>
      <c r="I121"/>
      <c r="J121" s="70">
        <v>15.95</v>
      </c>
      <c r="K121" s="30" t="s">
        <v>1896</v>
      </c>
      <c r="L121"/>
      <c r="M121">
        <f t="shared" si="2"/>
        <v>0</v>
      </c>
      <c r="N121" s="10">
        <f t="shared" si="3"/>
        <v>117</v>
      </c>
    </row>
    <row r="122" spans="1:14" s="78" customFormat="1" x14ac:dyDescent="0.25">
      <c r="A122" s="81" t="s">
        <v>887</v>
      </c>
      <c r="B122" s="81" t="s">
        <v>10</v>
      </c>
      <c r="C122" s="81" t="s">
        <v>2522</v>
      </c>
      <c r="D122" s="81" t="s">
        <v>2521</v>
      </c>
      <c r="E122" s="79">
        <f>FilterSpecs!$C$3</f>
        <v>5</v>
      </c>
      <c r="H122" s="82" t="s">
        <v>2523</v>
      </c>
      <c r="I122" s="80"/>
      <c r="J122" s="77">
        <v>18.13</v>
      </c>
      <c r="K122" s="82" t="s">
        <v>1897</v>
      </c>
      <c r="L122" s="80"/>
      <c r="M122" s="80">
        <f t="shared" si="2"/>
        <v>90.649999999999991</v>
      </c>
      <c r="N122" s="10">
        <f t="shared" si="3"/>
        <v>118</v>
      </c>
    </row>
    <row r="123" spans="1:14" s="78" customFormat="1" x14ac:dyDescent="0.25">
      <c r="A123" s="78" t="s">
        <v>887</v>
      </c>
      <c r="B123" s="78" t="s">
        <v>11</v>
      </c>
      <c r="C123" s="78" t="s">
        <v>5</v>
      </c>
      <c r="D123" s="78" t="s">
        <v>102</v>
      </c>
      <c r="E123" s="79">
        <f>FilterSpecs!$C$3</f>
        <v>5</v>
      </c>
      <c r="F123" s="78" t="s">
        <v>103</v>
      </c>
      <c r="G123" s="78" t="s">
        <v>104</v>
      </c>
      <c r="H123" s="77" t="s">
        <v>105</v>
      </c>
      <c r="I123" s="80">
        <v>1</v>
      </c>
      <c r="J123" s="85">
        <v>2.95</v>
      </c>
      <c r="K123" s="77" t="s">
        <v>1897</v>
      </c>
      <c r="L123" s="80"/>
      <c r="M123">
        <f t="shared" si="2"/>
        <v>14.75</v>
      </c>
      <c r="N123" s="78">
        <f>IF($N121="List #",1,$N121+1)</f>
        <v>118</v>
      </c>
    </row>
    <row r="124" spans="1:14" s="78" customFormat="1" hidden="1" x14ac:dyDescent="0.25">
      <c r="A124" s="78" t="s">
        <v>887</v>
      </c>
      <c r="B124" s="78" t="s">
        <v>11</v>
      </c>
      <c r="C124" s="78" t="s">
        <v>5</v>
      </c>
      <c r="D124" s="78" t="s">
        <v>1325</v>
      </c>
      <c r="E124" s="79">
        <v>0</v>
      </c>
      <c r="F124" s="78" t="s">
        <v>1326</v>
      </c>
      <c r="G124" s="78" t="s">
        <v>1327</v>
      </c>
      <c r="H124" s="77" t="s">
        <v>1328</v>
      </c>
      <c r="I124" s="80">
        <v>1</v>
      </c>
      <c r="J124" s="85">
        <v>2.95</v>
      </c>
      <c r="K124" s="77" t="s">
        <v>1896</v>
      </c>
      <c r="L124" s="80"/>
      <c r="M124">
        <f t="shared" si="2"/>
        <v>0</v>
      </c>
      <c r="N124" s="78">
        <f t="shared" si="3"/>
        <v>119</v>
      </c>
    </row>
    <row r="125" spans="1:14" s="78" customFormat="1" hidden="1" x14ac:dyDescent="0.25">
      <c r="A125" s="78" t="s">
        <v>887</v>
      </c>
      <c r="B125" s="78" t="s">
        <v>11</v>
      </c>
      <c r="C125" s="78" t="s">
        <v>5</v>
      </c>
      <c r="D125" s="78" t="s">
        <v>1329</v>
      </c>
      <c r="E125" s="79">
        <v>0</v>
      </c>
      <c r="F125" s="78" t="s">
        <v>1330</v>
      </c>
      <c r="G125" s="78" t="s">
        <v>1331</v>
      </c>
      <c r="H125" s="77" t="s">
        <v>1332</v>
      </c>
      <c r="I125" s="80">
        <v>1</v>
      </c>
      <c r="J125" s="85">
        <v>2.95</v>
      </c>
      <c r="K125" s="77" t="s">
        <v>1896</v>
      </c>
      <c r="L125" s="80"/>
      <c r="M125">
        <f t="shared" si="2"/>
        <v>0</v>
      </c>
      <c r="N125" s="78">
        <f t="shared" si="3"/>
        <v>120</v>
      </c>
    </row>
    <row r="126" spans="1:14" s="78" customFormat="1" hidden="1" x14ac:dyDescent="0.25">
      <c r="A126" s="78" t="s">
        <v>887</v>
      </c>
      <c r="B126" s="78" t="s">
        <v>11</v>
      </c>
      <c r="C126" s="78" t="s">
        <v>5</v>
      </c>
      <c r="D126" s="78" t="s">
        <v>1333</v>
      </c>
      <c r="E126" s="79">
        <v>0</v>
      </c>
      <c r="F126" s="78" t="s">
        <v>1334</v>
      </c>
      <c r="G126" s="78" t="s">
        <v>1335</v>
      </c>
      <c r="H126" s="77" t="s">
        <v>1336</v>
      </c>
      <c r="I126" s="80">
        <v>1</v>
      </c>
      <c r="J126" s="85">
        <v>2.95</v>
      </c>
      <c r="K126" s="77" t="s">
        <v>1896</v>
      </c>
      <c r="L126" s="80"/>
      <c r="M126">
        <f t="shared" si="2"/>
        <v>0</v>
      </c>
      <c r="N126" s="78">
        <f t="shared" si="3"/>
        <v>121</v>
      </c>
    </row>
    <row r="127" spans="1:14" s="78" customFormat="1" hidden="1" x14ac:dyDescent="0.25">
      <c r="A127" s="78" t="s">
        <v>887</v>
      </c>
      <c r="B127" s="78" t="s">
        <v>11</v>
      </c>
      <c r="C127" s="78" t="s">
        <v>1884</v>
      </c>
      <c r="D127" s="78" t="s">
        <v>2306</v>
      </c>
      <c r="E127" s="79">
        <v>0</v>
      </c>
      <c r="H127" s="77" t="s">
        <v>2307</v>
      </c>
      <c r="I127" s="80"/>
      <c r="J127" s="85">
        <v>17.95</v>
      </c>
      <c r="K127" s="77" t="s">
        <v>1896</v>
      </c>
      <c r="L127" s="80"/>
      <c r="M127">
        <f t="shared" si="2"/>
        <v>0</v>
      </c>
      <c r="N127" s="78">
        <f t="shared" si="3"/>
        <v>122</v>
      </c>
    </row>
    <row r="128" spans="1:14" s="78" customFormat="1" hidden="1" x14ac:dyDescent="0.25">
      <c r="A128" s="78" t="s">
        <v>887</v>
      </c>
      <c r="B128" s="78" t="s">
        <v>11</v>
      </c>
      <c r="C128" s="78" t="s">
        <v>5</v>
      </c>
      <c r="D128" s="78" t="s">
        <v>1416</v>
      </c>
      <c r="E128" s="79">
        <v>0</v>
      </c>
      <c r="F128" s="78" t="s">
        <v>1417</v>
      </c>
      <c r="G128" s="78" t="s">
        <v>1418</v>
      </c>
      <c r="H128" s="77" t="s">
        <v>1419</v>
      </c>
      <c r="I128" s="80">
        <v>1</v>
      </c>
      <c r="J128" s="85">
        <v>20.95</v>
      </c>
      <c r="K128" s="77" t="s">
        <v>1896</v>
      </c>
      <c r="L128" s="80"/>
      <c r="M128">
        <f t="shared" si="2"/>
        <v>0</v>
      </c>
      <c r="N128" s="78">
        <f t="shared" si="3"/>
        <v>123</v>
      </c>
    </row>
    <row r="129" spans="1:14" s="78" customFormat="1" hidden="1" x14ac:dyDescent="0.25">
      <c r="A129" s="77" t="s">
        <v>887</v>
      </c>
      <c r="B129" s="77" t="s">
        <v>11</v>
      </c>
      <c r="C129" s="77" t="s">
        <v>5</v>
      </c>
      <c r="D129" s="78" t="s">
        <v>1420</v>
      </c>
      <c r="E129" s="79">
        <v>0</v>
      </c>
      <c r="F129" s="78" t="s">
        <v>1421</v>
      </c>
      <c r="G129" s="78" t="s">
        <v>1422</v>
      </c>
      <c r="H129" s="78" t="s">
        <v>1423</v>
      </c>
      <c r="I129" s="78">
        <v>1</v>
      </c>
      <c r="J129" s="79">
        <v>5.95</v>
      </c>
      <c r="K129" s="78" t="s">
        <v>1896</v>
      </c>
      <c r="L129" s="80"/>
      <c r="M129">
        <f t="shared" si="2"/>
        <v>0</v>
      </c>
      <c r="N129" s="78">
        <f t="shared" si="3"/>
        <v>124</v>
      </c>
    </row>
    <row r="130" spans="1:14" s="78" customFormat="1" hidden="1" x14ac:dyDescent="0.25">
      <c r="A130" s="77" t="s">
        <v>887</v>
      </c>
      <c r="B130" s="77" t="s">
        <v>11</v>
      </c>
      <c r="C130" s="77" t="s">
        <v>5</v>
      </c>
      <c r="D130" s="78" t="s">
        <v>668</v>
      </c>
      <c r="E130" s="79">
        <v>0</v>
      </c>
      <c r="F130" s="78" t="s">
        <v>669</v>
      </c>
      <c r="G130" s="78" t="s">
        <v>670</v>
      </c>
      <c r="H130" s="78" t="s">
        <v>671</v>
      </c>
      <c r="I130" s="78">
        <v>1</v>
      </c>
      <c r="J130" s="79">
        <v>9.9499999999999993</v>
      </c>
      <c r="K130" s="78" t="s">
        <v>1896</v>
      </c>
      <c r="L130" s="80"/>
      <c r="M130">
        <f t="shared" si="2"/>
        <v>0</v>
      </c>
      <c r="N130" s="78">
        <f t="shared" si="3"/>
        <v>125</v>
      </c>
    </row>
    <row r="131" spans="1:14" s="78" customFormat="1" x14ac:dyDescent="0.25">
      <c r="A131" s="77" t="s">
        <v>887</v>
      </c>
      <c r="B131" s="77" t="s">
        <v>11</v>
      </c>
      <c r="C131" s="77" t="s">
        <v>1884</v>
      </c>
      <c r="D131" s="78" t="s">
        <v>2312</v>
      </c>
      <c r="E131" s="79">
        <v>4</v>
      </c>
      <c r="H131" s="78" t="s">
        <v>2313</v>
      </c>
      <c r="J131" s="79">
        <v>7.95</v>
      </c>
      <c r="K131" s="78" t="s">
        <v>1896</v>
      </c>
      <c r="L131" s="80"/>
      <c r="M131">
        <f t="shared" si="2"/>
        <v>31.8</v>
      </c>
      <c r="N131" s="78">
        <f t="shared" si="3"/>
        <v>126</v>
      </c>
    </row>
    <row r="132" spans="1:14" s="78" customFormat="1" hidden="1" x14ac:dyDescent="0.25">
      <c r="A132" s="77" t="s">
        <v>887</v>
      </c>
      <c r="B132" s="77" t="s">
        <v>11</v>
      </c>
      <c r="C132" s="77" t="s">
        <v>5</v>
      </c>
      <c r="D132" s="78" t="s">
        <v>1408</v>
      </c>
      <c r="E132" s="79">
        <v>0</v>
      </c>
      <c r="F132" s="78" t="s">
        <v>1409</v>
      </c>
      <c r="G132" s="78" t="s">
        <v>1410</v>
      </c>
      <c r="H132" s="78" t="s">
        <v>1411</v>
      </c>
      <c r="I132" s="78">
        <v>1</v>
      </c>
      <c r="J132" s="79">
        <v>6.95</v>
      </c>
      <c r="K132" s="78" t="s">
        <v>1896</v>
      </c>
      <c r="L132" s="80"/>
      <c r="M132">
        <f t="shared" si="2"/>
        <v>0</v>
      </c>
      <c r="N132" s="78">
        <f t="shared" si="3"/>
        <v>127</v>
      </c>
    </row>
    <row r="133" spans="1:14" s="78" customFormat="1" hidden="1" x14ac:dyDescent="0.25">
      <c r="A133" s="77" t="s">
        <v>887</v>
      </c>
      <c r="B133" s="77" t="s">
        <v>11</v>
      </c>
      <c r="C133" s="77" t="s">
        <v>5</v>
      </c>
      <c r="D133" s="78" t="s">
        <v>1412</v>
      </c>
      <c r="E133" s="79">
        <v>0</v>
      </c>
      <c r="F133" s="78" t="s">
        <v>1413</v>
      </c>
      <c r="G133" s="78" t="s">
        <v>1414</v>
      </c>
      <c r="H133" s="78" t="s">
        <v>1415</v>
      </c>
      <c r="I133" s="78">
        <v>1</v>
      </c>
      <c r="J133" s="79">
        <v>12.95</v>
      </c>
      <c r="K133" s="78" t="s">
        <v>1896</v>
      </c>
      <c r="L133" s="80"/>
      <c r="M133">
        <f t="shared" si="2"/>
        <v>0</v>
      </c>
      <c r="N133" s="78">
        <f t="shared" si="3"/>
        <v>128</v>
      </c>
    </row>
    <row r="134" spans="1:14" s="78" customFormat="1" hidden="1" x14ac:dyDescent="0.25">
      <c r="A134" s="77" t="s">
        <v>887</v>
      </c>
      <c r="B134" s="77" t="s">
        <v>11</v>
      </c>
      <c r="C134" s="77" t="s">
        <v>5</v>
      </c>
      <c r="D134" s="78" t="s">
        <v>712</v>
      </c>
      <c r="E134" s="79">
        <v>0</v>
      </c>
      <c r="F134" s="78" t="s">
        <v>713</v>
      </c>
      <c r="G134" s="78" t="s">
        <v>714</v>
      </c>
      <c r="H134" s="78" t="s">
        <v>715</v>
      </c>
      <c r="I134" s="78">
        <v>1</v>
      </c>
      <c r="J134" s="79">
        <v>1.5</v>
      </c>
      <c r="K134" s="78" t="s">
        <v>1896</v>
      </c>
      <c r="L134" s="80"/>
      <c r="M134">
        <f t="shared" ref="M134:M197" si="4">E134*J134</f>
        <v>0</v>
      </c>
      <c r="N134" s="78">
        <f t="shared" ref="N134:N197" si="5">IF($N133="List #",1,$N133+1)</f>
        <v>129</v>
      </c>
    </row>
    <row r="135" spans="1:14" s="78" customFormat="1" hidden="1" x14ac:dyDescent="0.25">
      <c r="A135" s="77" t="s">
        <v>887</v>
      </c>
      <c r="B135" s="77" t="s">
        <v>11</v>
      </c>
      <c r="C135" s="77" t="s">
        <v>1884</v>
      </c>
      <c r="D135" s="78" t="s">
        <v>2308</v>
      </c>
      <c r="E135" s="79">
        <v>0</v>
      </c>
      <c r="H135" s="78" t="s">
        <v>2309</v>
      </c>
      <c r="J135" s="79">
        <v>0.95</v>
      </c>
      <c r="K135" s="78" t="s">
        <v>1896</v>
      </c>
      <c r="L135" s="80"/>
      <c r="M135">
        <f t="shared" si="4"/>
        <v>0</v>
      </c>
      <c r="N135" s="78">
        <f t="shared" si="5"/>
        <v>130</v>
      </c>
    </row>
    <row r="136" spans="1:14" s="78" customFormat="1" x14ac:dyDescent="0.25">
      <c r="A136" s="77" t="s">
        <v>887</v>
      </c>
      <c r="B136" s="77" t="s">
        <v>11</v>
      </c>
      <c r="C136" s="77" t="s">
        <v>5</v>
      </c>
      <c r="D136" s="78" t="s">
        <v>282</v>
      </c>
      <c r="E136" s="79">
        <f>FilterSpecs!$C$3</f>
        <v>5</v>
      </c>
      <c r="F136" s="78" t="s">
        <v>283</v>
      </c>
      <c r="G136" s="78" t="s">
        <v>284</v>
      </c>
      <c r="H136" s="78" t="s">
        <v>285</v>
      </c>
      <c r="I136" s="78">
        <v>1</v>
      </c>
      <c r="J136" s="79">
        <v>1.95</v>
      </c>
      <c r="K136" s="78" t="s">
        <v>1897</v>
      </c>
      <c r="L136" s="80"/>
      <c r="M136">
        <f t="shared" si="4"/>
        <v>9.75</v>
      </c>
      <c r="N136" s="78">
        <f t="shared" si="5"/>
        <v>131</v>
      </c>
    </row>
    <row r="137" spans="1:14" s="78" customFormat="1" hidden="1" x14ac:dyDescent="0.25">
      <c r="A137" s="77" t="s">
        <v>887</v>
      </c>
      <c r="B137" s="77" t="s">
        <v>11</v>
      </c>
      <c r="C137" s="77" t="s">
        <v>1884</v>
      </c>
      <c r="D137" s="78" t="s">
        <v>2304</v>
      </c>
      <c r="E137" s="79">
        <v>0</v>
      </c>
      <c r="H137" s="78" t="s">
        <v>2305</v>
      </c>
      <c r="J137" s="79">
        <v>18</v>
      </c>
      <c r="K137" s="78" t="s">
        <v>1896</v>
      </c>
      <c r="L137" s="80"/>
      <c r="M137">
        <f t="shared" si="4"/>
        <v>0</v>
      </c>
      <c r="N137" s="78">
        <f t="shared" si="5"/>
        <v>132</v>
      </c>
    </row>
    <row r="138" spans="1:14" s="78" customFormat="1" x14ac:dyDescent="0.25">
      <c r="A138" s="77" t="s">
        <v>887</v>
      </c>
      <c r="B138" s="77" t="s">
        <v>11</v>
      </c>
      <c r="C138" s="77" t="s">
        <v>1884</v>
      </c>
      <c r="D138" s="78" t="s">
        <v>2310</v>
      </c>
      <c r="E138" s="79">
        <v>1</v>
      </c>
      <c r="H138" s="78" t="s">
        <v>2311</v>
      </c>
      <c r="J138" s="79">
        <v>3.95</v>
      </c>
      <c r="K138" s="78" t="s">
        <v>1896</v>
      </c>
      <c r="L138" s="80"/>
      <c r="M138">
        <f t="shared" si="4"/>
        <v>3.95</v>
      </c>
      <c r="N138" s="78">
        <f t="shared" si="5"/>
        <v>133</v>
      </c>
    </row>
    <row r="139" spans="1:14" s="78" customFormat="1" x14ac:dyDescent="0.25">
      <c r="A139" s="77" t="s">
        <v>887</v>
      </c>
      <c r="B139" s="77" t="s">
        <v>11</v>
      </c>
      <c r="C139" s="77" t="s">
        <v>5</v>
      </c>
      <c r="D139" s="78" t="s">
        <v>106</v>
      </c>
      <c r="E139" s="79">
        <v>2</v>
      </c>
      <c r="F139" s="78" t="s">
        <v>107</v>
      </c>
      <c r="G139" s="78" t="s">
        <v>108</v>
      </c>
      <c r="H139" s="78" t="s">
        <v>109</v>
      </c>
      <c r="I139" s="78">
        <v>1</v>
      </c>
      <c r="J139" s="79">
        <v>24.95</v>
      </c>
      <c r="K139" s="78" t="s">
        <v>1896</v>
      </c>
      <c r="L139" s="80"/>
      <c r="M139">
        <f t="shared" si="4"/>
        <v>49.9</v>
      </c>
      <c r="N139" s="78">
        <f t="shared" si="5"/>
        <v>134</v>
      </c>
    </row>
    <row r="140" spans="1:14" s="78" customFormat="1" x14ac:dyDescent="0.25">
      <c r="A140" s="77" t="s">
        <v>887</v>
      </c>
      <c r="B140" s="77" t="s">
        <v>11</v>
      </c>
      <c r="C140" s="77" t="s">
        <v>1884</v>
      </c>
      <c r="D140" s="78" t="s">
        <v>2314</v>
      </c>
      <c r="E140" s="79">
        <v>1</v>
      </c>
      <c r="H140" s="78" t="s">
        <v>2315</v>
      </c>
      <c r="J140" s="79">
        <v>4.95</v>
      </c>
      <c r="K140" s="78" t="s">
        <v>1896</v>
      </c>
      <c r="L140" s="80"/>
      <c r="M140">
        <f t="shared" si="4"/>
        <v>4.95</v>
      </c>
      <c r="N140" s="78">
        <f t="shared" si="5"/>
        <v>135</v>
      </c>
    </row>
    <row r="141" spans="1:14" s="78" customFormat="1" x14ac:dyDescent="0.25">
      <c r="A141" s="77" t="s">
        <v>887</v>
      </c>
      <c r="B141" s="77" t="s">
        <v>2008</v>
      </c>
      <c r="C141" s="77" t="s">
        <v>5</v>
      </c>
      <c r="D141" s="78" t="s">
        <v>110</v>
      </c>
      <c r="E141" s="79">
        <f>FilterSpecs!$C$3</f>
        <v>5</v>
      </c>
      <c r="F141" s="78" t="s">
        <v>111</v>
      </c>
      <c r="G141" s="78" t="s">
        <v>112</v>
      </c>
      <c r="H141" s="78" t="s">
        <v>113</v>
      </c>
      <c r="I141" s="78">
        <v>1</v>
      </c>
      <c r="J141" s="79">
        <v>12.95</v>
      </c>
      <c r="K141" s="78" t="s">
        <v>1899</v>
      </c>
      <c r="L141" s="80"/>
      <c r="M141">
        <f t="shared" si="4"/>
        <v>64.75</v>
      </c>
      <c r="N141" s="78">
        <f t="shared" si="5"/>
        <v>136</v>
      </c>
    </row>
    <row r="142" spans="1:14" s="78" customFormat="1" x14ac:dyDescent="0.25">
      <c r="A142" s="77" t="s">
        <v>887</v>
      </c>
      <c r="B142" s="77" t="s">
        <v>2008</v>
      </c>
      <c r="C142" s="77" t="s">
        <v>5</v>
      </c>
      <c r="D142" s="78" t="s">
        <v>1169</v>
      </c>
      <c r="E142" s="79">
        <v>1</v>
      </c>
      <c r="F142" s="78" t="s">
        <v>1170</v>
      </c>
      <c r="G142" s="78" t="s">
        <v>1171</v>
      </c>
      <c r="H142" s="78" t="s">
        <v>1172</v>
      </c>
      <c r="I142" s="78">
        <v>1</v>
      </c>
      <c r="J142" s="79">
        <v>19.95</v>
      </c>
      <c r="K142" s="78" t="s">
        <v>1896</v>
      </c>
      <c r="L142" s="80"/>
      <c r="M142">
        <f t="shared" si="4"/>
        <v>19.95</v>
      </c>
      <c r="N142" s="78">
        <f t="shared" si="5"/>
        <v>137</v>
      </c>
    </row>
    <row r="143" spans="1:14" s="78" customFormat="1" hidden="1" x14ac:dyDescent="0.25">
      <c r="A143" s="77" t="s">
        <v>887</v>
      </c>
      <c r="B143" s="77" t="s">
        <v>2008</v>
      </c>
      <c r="C143" s="77" t="s">
        <v>5</v>
      </c>
      <c r="D143" s="78" t="s">
        <v>1509</v>
      </c>
      <c r="E143" s="79">
        <v>0</v>
      </c>
      <c r="F143" s="78" t="s">
        <v>1510</v>
      </c>
      <c r="G143" s="78" t="s">
        <v>1511</v>
      </c>
      <c r="H143" s="78" t="s">
        <v>1512</v>
      </c>
      <c r="I143" s="78">
        <v>1</v>
      </c>
      <c r="J143" s="79">
        <v>29.95</v>
      </c>
      <c r="K143" s="78" t="s">
        <v>1896</v>
      </c>
      <c r="L143" s="80"/>
      <c r="M143">
        <f t="shared" si="4"/>
        <v>0</v>
      </c>
      <c r="N143" s="78">
        <f t="shared" si="5"/>
        <v>138</v>
      </c>
    </row>
    <row r="144" spans="1:14" s="78" customFormat="1" hidden="1" x14ac:dyDescent="0.25">
      <c r="A144" s="78" t="s">
        <v>887</v>
      </c>
      <c r="B144" s="78" t="s">
        <v>2008</v>
      </c>
      <c r="C144" s="78" t="s">
        <v>1884</v>
      </c>
      <c r="D144" s="78" t="s">
        <v>2050</v>
      </c>
      <c r="E144" s="79">
        <v>0</v>
      </c>
      <c r="H144" s="77" t="s">
        <v>2049</v>
      </c>
      <c r="I144" s="80"/>
      <c r="J144" s="85">
        <v>17.95</v>
      </c>
      <c r="K144" s="77" t="s">
        <v>1896</v>
      </c>
      <c r="L144" s="80"/>
      <c r="M144">
        <f t="shared" si="4"/>
        <v>0</v>
      </c>
      <c r="N144" s="78">
        <f t="shared" si="5"/>
        <v>139</v>
      </c>
    </row>
    <row r="145" spans="1:14" s="78" customFormat="1" hidden="1" x14ac:dyDescent="0.25">
      <c r="A145" s="78" t="s">
        <v>887</v>
      </c>
      <c r="B145" s="78" t="s">
        <v>2008</v>
      </c>
      <c r="C145" s="78" t="s">
        <v>1884</v>
      </c>
      <c r="D145" s="78" t="s">
        <v>2316</v>
      </c>
      <c r="E145" s="79">
        <v>0</v>
      </c>
      <c r="H145" s="77" t="s">
        <v>2317</v>
      </c>
      <c r="I145" s="80"/>
      <c r="J145" s="85">
        <v>7.5</v>
      </c>
      <c r="K145" s="77" t="s">
        <v>1896</v>
      </c>
      <c r="L145" s="80"/>
      <c r="M145">
        <f t="shared" si="4"/>
        <v>0</v>
      </c>
      <c r="N145" s="78">
        <f t="shared" si="5"/>
        <v>140</v>
      </c>
    </row>
    <row r="146" spans="1:14" s="78" customFormat="1" x14ac:dyDescent="0.25">
      <c r="A146" s="78" t="s">
        <v>887</v>
      </c>
      <c r="B146" s="78" t="s">
        <v>2008</v>
      </c>
      <c r="C146" s="78" t="s">
        <v>1884</v>
      </c>
      <c r="D146" s="78" t="s">
        <v>2346</v>
      </c>
      <c r="E146" s="79">
        <f>FilterSpecs!$C$3</f>
        <v>5</v>
      </c>
      <c r="H146" s="77" t="s">
        <v>2347</v>
      </c>
      <c r="I146" s="80"/>
      <c r="J146" s="85">
        <v>2.95</v>
      </c>
      <c r="K146" s="77" t="s">
        <v>1897</v>
      </c>
      <c r="L146" s="80"/>
      <c r="M146">
        <f t="shared" si="4"/>
        <v>14.75</v>
      </c>
      <c r="N146" s="78">
        <f t="shared" si="5"/>
        <v>141</v>
      </c>
    </row>
    <row r="147" spans="1:14" s="78" customFormat="1" x14ac:dyDescent="0.25">
      <c r="A147" s="78" t="s">
        <v>887</v>
      </c>
      <c r="B147" s="78" t="s">
        <v>2008</v>
      </c>
      <c r="C147" s="78" t="s">
        <v>1884</v>
      </c>
      <c r="D147" s="78" t="s">
        <v>2348</v>
      </c>
      <c r="E147" s="79">
        <v>1</v>
      </c>
      <c r="H147" s="77" t="s">
        <v>2349</v>
      </c>
      <c r="I147" s="80"/>
      <c r="J147" s="85">
        <v>3.95</v>
      </c>
      <c r="K147" s="77" t="s">
        <v>1896</v>
      </c>
      <c r="L147" s="80"/>
      <c r="M147">
        <f t="shared" si="4"/>
        <v>3.95</v>
      </c>
      <c r="N147" s="78">
        <f t="shared" si="5"/>
        <v>142</v>
      </c>
    </row>
    <row r="148" spans="1:14" s="78" customFormat="1" x14ac:dyDescent="0.25">
      <c r="A148" s="77" t="s">
        <v>887</v>
      </c>
      <c r="B148" s="77" t="s">
        <v>891</v>
      </c>
      <c r="C148" s="77" t="s">
        <v>5</v>
      </c>
      <c r="D148" s="78" t="s">
        <v>676</v>
      </c>
      <c r="E148" s="79">
        <v>1</v>
      </c>
      <c r="F148" s="78" t="s">
        <v>677</v>
      </c>
      <c r="G148" s="78" t="s">
        <v>678</v>
      </c>
      <c r="H148" s="78" t="s">
        <v>679</v>
      </c>
      <c r="I148" s="78">
        <v>1</v>
      </c>
      <c r="J148" s="79">
        <v>34.950000000000003</v>
      </c>
      <c r="K148" s="78" t="s">
        <v>1896</v>
      </c>
      <c r="L148" s="80"/>
      <c r="M148">
        <f t="shared" si="4"/>
        <v>34.950000000000003</v>
      </c>
      <c r="N148" s="78">
        <f t="shared" si="5"/>
        <v>143</v>
      </c>
    </row>
    <row r="149" spans="1:14" s="78" customFormat="1" x14ac:dyDescent="0.25">
      <c r="A149" s="77" t="s">
        <v>887</v>
      </c>
      <c r="B149" s="77" t="s">
        <v>891</v>
      </c>
      <c r="C149" s="77" t="s">
        <v>5</v>
      </c>
      <c r="D149" s="78" t="s">
        <v>680</v>
      </c>
      <c r="E149" s="79">
        <v>1</v>
      </c>
      <c r="F149" s="78" t="s">
        <v>681</v>
      </c>
      <c r="G149" s="78" t="s">
        <v>682</v>
      </c>
      <c r="H149" s="78" t="s">
        <v>683</v>
      </c>
      <c r="J149" s="79">
        <v>12.95</v>
      </c>
      <c r="K149" s="78" t="s">
        <v>1896</v>
      </c>
      <c r="L149" s="80"/>
      <c r="M149">
        <f t="shared" si="4"/>
        <v>12.95</v>
      </c>
      <c r="N149" s="78">
        <f t="shared" si="5"/>
        <v>144</v>
      </c>
    </row>
    <row r="150" spans="1:14" s="78" customFormat="1" x14ac:dyDescent="0.25">
      <c r="A150" s="77" t="s">
        <v>887</v>
      </c>
      <c r="B150" s="77" t="s">
        <v>891</v>
      </c>
      <c r="C150" s="77" t="s">
        <v>5</v>
      </c>
      <c r="D150" s="78" t="s">
        <v>684</v>
      </c>
      <c r="E150" s="79">
        <v>1</v>
      </c>
      <c r="F150" s="78" t="s">
        <v>685</v>
      </c>
      <c r="G150" s="78" t="s">
        <v>686</v>
      </c>
      <c r="H150" s="78" t="s">
        <v>687</v>
      </c>
      <c r="I150" s="78">
        <v>1</v>
      </c>
      <c r="J150" s="79">
        <v>0.95</v>
      </c>
      <c r="K150" s="78" t="s">
        <v>1896</v>
      </c>
      <c r="L150" s="80"/>
      <c r="M150">
        <f t="shared" si="4"/>
        <v>0.95</v>
      </c>
      <c r="N150" s="78">
        <f t="shared" si="5"/>
        <v>145</v>
      </c>
    </row>
    <row r="151" spans="1:14" s="78" customFormat="1" x14ac:dyDescent="0.25">
      <c r="A151" s="77" t="s">
        <v>887</v>
      </c>
      <c r="B151" s="77" t="s">
        <v>891</v>
      </c>
      <c r="C151" s="77" t="s">
        <v>5</v>
      </c>
      <c r="D151" s="78" t="s">
        <v>688</v>
      </c>
      <c r="E151" s="79">
        <v>1</v>
      </c>
      <c r="F151" s="78" t="s">
        <v>689</v>
      </c>
      <c r="G151" s="78" t="s">
        <v>690</v>
      </c>
      <c r="H151" s="78" t="s">
        <v>691</v>
      </c>
      <c r="I151" s="78">
        <v>1</v>
      </c>
      <c r="J151" s="79">
        <v>7.25</v>
      </c>
      <c r="K151" s="78" t="s">
        <v>1896</v>
      </c>
      <c r="L151" s="80"/>
      <c r="M151">
        <f t="shared" si="4"/>
        <v>7.25</v>
      </c>
      <c r="N151" s="78">
        <f t="shared" si="5"/>
        <v>146</v>
      </c>
    </row>
    <row r="152" spans="1:14" s="78" customFormat="1" hidden="1" x14ac:dyDescent="0.25">
      <c r="A152" s="77" t="s">
        <v>887</v>
      </c>
      <c r="B152" s="77" t="s">
        <v>891</v>
      </c>
      <c r="C152" s="77" t="s">
        <v>5</v>
      </c>
      <c r="D152" s="78" t="s">
        <v>820</v>
      </c>
      <c r="E152" s="79">
        <v>0</v>
      </c>
      <c r="F152" s="78" t="s">
        <v>821</v>
      </c>
      <c r="G152" s="78" t="s">
        <v>822</v>
      </c>
      <c r="H152" s="78" t="s">
        <v>205</v>
      </c>
      <c r="I152" s="78">
        <v>1</v>
      </c>
      <c r="J152" s="79">
        <v>5.95</v>
      </c>
      <c r="K152" s="78" t="s">
        <v>2461</v>
      </c>
      <c r="L152" s="80"/>
      <c r="M152">
        <f t="shared" si="4"/>
        <v>0</v>
      </c>
      <c r="N152" s="78">
        <f t="shared" si="5"/>
        <v>147</v>
      </c>
    </row>
    <row r="153" spans="1:14" s="78" customFormat="1" x14ac:dyDescent="0.25">
      <c r="A153" s="77" t="s">
        <v>887</v>
      </c>
      <c r="B153" s="77" t="s">
        <v>891</v>
      </c>
      <c r="C153" s="77" t="s">
        <v>5</v>
      </c>
      <c r="D153" s="78" t="s">
        <v>823</v>
      </c>
      <c r="E153" s="79">
        <v>2</v>
      </c>
      <c r="F153" s="78" t="s">
        <v>824</v>
      </c>
      <c r="G153" s="78" t="s">
        <v>825</v>
      </c>
      <c r="H153" s="78" t="s">
        <v>213</v>
      </c>
      <c r="I153" s="78">
        <v>1</v>
      </c>
      <c r="J153" s="79">
        <v>3.95</v>
      </c>
      <c r="K153" s="78" t="s">
        <v>1896</v>
      </c>
      <c r="L153" s="80"/>
      <c r="M153">
        <f t="shared" si="4"/>
        <v>7.9</v>
      </c>
      <c r="N153" s="78">
        <f t="shared" si="5"/>
        <v>148</v>
      </c>
    </row>
    <row r="154" spans="1:14" s="78" customFormat="1" x14ac:dyDescent="0.25">
      <c r="A154" s="77" t="s">
        <v>887</v>
      </c>
      <c r="B154" s="77" t="s">
        <v>9</v>
      </c>
      <c r="C154" s="77" t="s">
        <v>5</v>
      </c>
      <c r="D154" s="78" t="s">
        <v>249</v>
      </c>
      <c r="E154" s="79">
        <v>3</v>
      </c>
      <c r="F154" s="78" t="s">
        <v>250</v>
      </c>
      <c r="G154" s="78" t="s">
        <v>251</v>
      </c>
      <c r="H154" s="78" t="s">
        <v>252</v>
      </c>
      <c r="I154" s="78">
        <v>1</v>
      </c>
      <c r="J154" s="79">
        <v>14.95</v>
      </c>
      <c r="K154" s="78" t="s">
        <v>1896</v>
      </c>
      <c r="L154" s="80"/>
      <c r="M154">
        <f t="shared" si="4"/>
        <v>44.849999999999994</v>
      </c>
      <c r="N154" s="78">
        <f t="shared" si="5"/>
        <v>149</v>
      </c>
    </row>
    <row r="155" spans="1:14" s="78" customFormat="1" hidden="1" x14ac:dyDescent="0.25">
      <c r="A155" s="77" t="s">
        <v>887</v>
      </c>
      <c r="B155" s="77" t="s">
        <v>9</v>
      </c>
      <c r="C155" s="77" t="s">
        <v>5</v>
      </c>
      <c r="D155" s="78" t="s">
        <v>253</v>
      </c>
      <c r="E155" s="79">
        <v>0</v>
      </c>
      <c r="F155" s="78" t="s">
        <v>254</v>
      </c>
      <c r="G155" s="78" t="s">
        <v>255</v>
      </c>
      <c r="H155" s="78" t="s">
        <v>256</v>
      </c>
      <c r="I155" s="78">
        <v>1</v>
      </c>
      <c r="J155" s="79">
        <v>6.95</v>
      </c>
      <c r="K155" s="78" t="s">
        <v>1897</v>
      </c>
      <c r="L155" s="80"/>
      <c r="M155">
        <f t="shared" si="4"/>
        <v>0</v>
      </c>
      <c r="N155" s="78">
        <f t="shared" si="5"/>
        <v>150</v>
      </c>
    </row>
    <row r="156" spans="1:14" s="10" customFormat="1" hidden="1" x14ac:dyDescent="0.25">
      <c r="A156" s="30" t="s">
        <v>887</v>
      </c>
      <c r="B156" s="30" t="s">
        <v>9</v>
      </c>
      <c r="C156" s="77" t="s">
        <v>5</v>
      </c>
      <c r="D156" s="10" t="s">
        <v>2503</v>
      </c>
      <c r="E156" s="10">
        <v>0</v>
      </c>
      <c r="F156" s="10" t="s">
        <v>2504</v>
      </c>
      <c r="G156" s="10" t="s">
        <v>2505</v>
      </c>
      <c r="H156" s="10" t="s">
        <v>2506</v>
      </c>
      <c r="I156" s="13">
        <v>1</v>
      </c>
      <c r="J156" s="103">
        <v>34.950000000000003</v>
      </c>
      <c r="K156" s="10" t="s">
        <v>1896</v>
      </c>
      <c r="M156">
        <f t="shared" si="4"/>
        <v>0</v>
      </c>
      <c r="N156" s="10">
        <f t="shared" si="5"/>
        <v>151</v>
      </c>
    </row>
    <row r="157" spans="1:14" s="10" customFormat="1" hidden="1" x14ac:dyDescent="0.25">
      <c r="A157" s="30" t="s">
        <v>887</v>
      </c>
      <c r="B157" s="30" t="s">
        <v>9</v>
      </c>
      <c r="C157" s="77" t="s">
        <v>5</v>
      </c>
      <c r="D157" s="10" t="s">
        <v>2507</v>
      </c>
      <c r="E157" s="10">
        <v>0</v>
      </c>
      <c r="F157" s="10" t="s">
        <v>2508</v>
      </c>
      <c r="G157" s="10" t="s">
        <v>2509</v>
      </c>
      <c r="H157" s="10" t="s">
        <v>2510</v>
      </c>
      <c r="I157" s="13">
        <v>1</v>
      </c>
      <c r="J157" s="103">
        <v>34.950000000000003</v>
      </c>
      <c r="K157" s="10" t="s">
        <v>1896</v>
      </c>
      <c r="M157">
        <f t="shared" si="4"/>
        <v>0</v>
      </c>
      <c r="N157" s="10">
        <f t="shared" si="5"/>
        <v>152</v>
      </c>
    </row>
    <row r="158" spans="1:14" s="10" customFormat="1" x14ac:dyDescent="0.25">
      <c r="A158" s="30" t="s">
        <v>887</v>
      </c>
      <c r="B158" s="30" t="s">
        <v>9</v>
      </c>
      <c r="C158" s="77" t="s">
        <v>5</v>
      </c>
      <c r="D158" s="10" t="s">
        <v>2511</v>
      </c>
      <c r="E158" s="79">
        <f>FilterSpecs!$C$3</f>
        <v>5</v>
      </c>
      <c r="F158" s="10" t="s">
        <v>2512</v>
      </c>
      <c r="G158" s="10" t="s">
        <v>2513</v>
      </c>
      <c r="H158" s="10" t="s">
        <v>2514</v>
      </c>
      <c r="I158" s="13"/>
      <c r="J158" s="103">
        <v>4.95</v>
      </c>
      <c r="K158" s="30" t="s">
        <v>1897</v>
      </c>
      <c r="L158"/>
      <c r="M158">
        <f t="shared" si="4"/>
        <v>24.75</v>
      </c>
      <c r="N158" s="10">
        <f t="shared" si="5"/>
        <v>153</v>
      </c>
    </row>
    <row r="159" spans="1:14" s="10" customFormat="1" x14ac:dyDescent="0.25">
      <c r="A159" s="30" t="s">
        <v>887</v>
      </c>
      <c r="B159" s="30" t="s">
        <v>9</v>
      </c>
      <c r="C159" s="77" t="s">
        <v>5</v>
      </c>
      <c r="D159" s="10" t="s">
        <v>2515</v>
      </c>
      <c r="E159" s="79">
        <f>FilterSpecs!$C$3</f>
        <v>5</v>
      </c>
      <c r="F159" s="10" t="s">
        <v>2516</v>
      </c>
      <c r="G159" s="10" t="s">
        <v>2517</v>
      </c>
      <c r="H159" s="63" t="s">
        <v>2518</v>
      </c>
      <c r="I159" s="63">
        <v>1</v>
      </c>
      <c r="J159" s="64">
        <v>14.95</v>
      </c>
      <c r="K159" s="30" t="s">
        <v>1897</v>
      </c>
      <c r="L159"/>
      <c r="M159">
        <f t="shared" si="4"/>
        <v>74.75</v>
      </c>
      <c r="N159" s="10">
        <f t="shared" si="5"/>
        <v>154</v>
      </c>
    </row>
    <row r="160" spans="1:14" s="78" customFormat="1" hidden="1" x14ac:dyDescent="0.25">
      <c r="A160" s="77" t="s">
        <v>888</v>
      </c>
      <c r="B160" s="77" t="s">
        <v>1592</v>
      </c>
      <c r="C160" s="77" t="s">
        <v>5</v>
      </c>
      <c r="D160" s="78" t="s">
        <v>1533</v>
      </c>
      <c r="E160" s="79">
        <v>1</v>
      </c>
      <c r="F160" s="78" t="s">
        <v>1534</v>
      </c>
      <c r="G160" s="78" t="s">
        <v>1535</v>
      </c>
      <c r="H160" s="78" t="s">
        <v>1536</v>
      </c>
      <c r="I160" s="78">
        <v>1</v>
      </c>
      <c r="J160" s="79">
        <v>9.9499999999999993</v>
      </c>
      <c r="K160" s="78" t="s">
        <v>1899</v>
      </c>
      <c r="L160" s="80"/>
      <c r="M160">
        <f t="shared" si="4"/>
        <v>9.9499999999999993</v>
      </c>
      <c r="N160" s="78">
        <f t="shared" si="5"/>
        <v>155</v>
      </c>
    </row>
    <row r="161" spans="1:14" s="78" customFormat="1" hidden="1" x14ac:dyDescent="0.25">
      <c r="A161" s="77" t="s">
        <v>888</v>
      </c>
      <c r="B161" s="77" t="s">
        <v>1592</v>
      </c>
      <c r="C161" s="77" t="s">
        <v>5</v>
      </c>
      <c r="D161" s="78" t="s">
        <v>1529</v>
      </c>
      <c r="E161" s="79">
        <v>1</v>
      </c>
      <c r="F161" s="78" t="s">
        <v>1530</v>
      </c>
      <c r="G161" s="78" t="s">
        <v>1531</v>
      </c>
      <c r="H161" s="78" t="s">
        <v>1532</v>
      </c>
      <c r="I161" s="78">
        <v>1</v>
      </c>
      <c r="J161" s="79">
        <v>1.95</v>
      </c>
      <c r="K161" s="78" t="s">
        <v>1896</v>
      </c>
      <c r="L161" s="80"/>
      <c r="M161">
        <f t="shared" si="4"/>
        <v>1.95</v>
      </c>
      <c r="N161" s="78">
        <f t="shared" si="5"/>
        <v>156</v>
      </c>
    </row>
    <row r="162" spans="1:14" s="78" customFormat="1" x14ac:dyDescent="0.25">
      <c r="A162" s="77" t="s">
        <v>888</v>
      </c>
      <c r="B162" s="77" t="s">
        <v>12</v>
      </c>
      <c r="C162" s="77" t="s">
        <v>5</v>
      </c>
      <c r="D162" s="78" t="s">
        <v>257</v>
      </c>
      <c r="E162" s="79">
        <f>2*FilterSpecs!$C$3</f>
        <v>10</v>
      </c>
      <c r="F162" s="78" t="s">
        <v>258</v>
      </c>
      <c r="G162" s="78" t="s">
        <v>259</v>
      </c>
      <c r="H162" s="78" t="s">
        <v>260</v>
      </c>
      <c r="I162" s="78">
        <v>1</v>
      </c>
      <c r="J162" s="79">
        <v>2.8</v>
      </c>
      <c r="K162" s="78" t="s">
        <v>1897</v>
      </c>
      <c r="M162">
        <f t="shared" si="4"/>
        <v>28</v>
      </c>
      <c r="N162" s="78">
        <f t="shared" si="5"/>
        <v>157</v>
      </c>
    </row>
    <row r="163" spans="1:14" s="78" customFormat="1" x14ac:dyDescent="0.25">
      <c r="A163" s="77" t="s">
        <v>888</v>
      </c>
      <c r="B163" s="77" t="s">
        <v>12</v>
      </c>
      <c r="C163" s="77" t="s">
        <v>5</v>
      </c>
      <c r="D163" s="78" t="s">
        <v>286</v>
      </c>
      <c r="E163" s="79">
        <v>2</v>
      </c>
      <c r="F163" s="78" t="s">
        <v>287</v>
      </c>
      <c r="G163" s="78" t="s">
        <v>288</v>
      </c>
      <c r="H163" s="78" t="s">
        <v>289</v>
      </c>
      <c r="I163" s="78">
        <v>1</v>
      </c>
      <c r="J163" s="79">
        <v>6.95</v>
      </c>
      <c r="K163" s="78" t="s">
        <v>1896</v>
      </c>
      <c r="M163">
        <f t="shared" si="4"/>
        <v>13.9</v>
      </c>
      <c r="N163" s="78">
        <f t="shared" si="5"/>
        <v>158</v>
      </c>
    </row>
    <row r="164" spans="1:14" s="78" customFormat="1" x14ac:dyDescent="0.25">
      <c r="A164" s="77" t="s">
        <v>888</v>
      </c>
      <c r="B164" s="77" t="s">
        <v>12</v>
      </c>
      <c r="C164" s="77" t="s">
        <v>5</v>
      </c>
      <c r="D164" s="78" t="s">
        <v>290</v>
      </c>
      <c r="E164" s="79">
        <v>3</v>
      </c>
      <c r="F164" s="78" t="s">
        <v>291</v>
      </c>
      <c r="G164" s="78" t="s">
        <v>292</v>
      </c>
      <c r="H164" s="78" t="s">
        <v>209</v>
      </c>
      <c r="I164" s="78">
        <v>1</v>
      </c>
      <c r="J164" s="79">
        <v>3.95</v>
      </c>
      <c r="K164" s="78" t="s">
        <v>1896</v>
      </c>
      <c r="M164">
        <f t="shared" si="4"/>
        <v>11.850000000000001</v>
      </c>
      <c r="N164" s="78">
        <f t="shared" si="5"/>
        <v>159</v>
      </c>
    </row>
    <row r="165" spans="1:14" s="78" customFormat="1" x14ac:dyDescent="0.25">
      <c r="A165" s="77" t="s">
        <v>888</v>
      </c>
      <c r="B165" s="77" t="s">
        <v>12</v>
      </c>
      <c r="C165" s="77" t="s">
        <v>5</v>
      </c>
      <c r="D165" s="78" t="s">
        <v>337</v>
      </c>
      <c r="E165" s="79">
        <f>FilterSpecs!$C$3</f>
        <v>5</v>
      </c>
      <c r="F165" s="78" t="s">
        <v>338</v>
      </c>
      <c r="G165" s="78" t="s">
        <v>339</v>
      </c>
      <c r="H165" s="78" t="s">
        <v>206</v>
      </c>
      <c r="I165" s="78">
        <v>1</v>
      </c>
      <c r="J165" s="79">
        <v>4.95</v>
      </c>
      <c r="K165" s="78" t="s">
        <v>1897</v>
      </c>
      <c r="M165">
        <f t="shared" si="4"/>
        <v>24.75</v>
      </c>
      <c r="N165" s="78">
        <f t="shared" si="5"/>
        <v>160</v>
      </c>
    </row>
    <row r="166" spans="1:14" s="78" customFormat="1" hidden="1" x14ac:dyDescent="0.25">
      <c r="A166" s="77" t="s">
        <v>888</v>
      </c>
      <c r="B166" s="77" t="s">
        <v>12</v>
      </c>
      <c r="C166" s="63" t="s">
        <v>1884</v>
      </c>
      <c r="D166" s="63" t="s">
        <v>2130</v>
      </c>
      <c r="E166" s="64">
        <v>0</v>
      </c>
      <c r="F166" s="10"/>
      <c r="G166" s="10"/>
      <c r="H166" s="60" t="s">
        <v>2131</v>
      </c>
      <c r="I166"/>
      <c r="J166" s="70">
        <v>4.95</v>
      </c>
      <c r="K166" s="60" t="s">
        <v>1896</v>
      </c>
      <c r="L166"/>
      <c r="M166">
        <f t="shared" si="4"/>
        <v>0</v>
      </c>
      <c r="N166" s="78">
        <f t="shared" si="5"/>
        <v>161</v>
      </c>
    </row>
    <row r="167" spans="1:14" s="10" customFormat="1" hidden="1" x14ac:dyDescent="0.25">
      <c r="A167" s="10" t="s">
        <v>888</v>
      </c>
      <c r="B167" s="77" t="s">
        <v>12</v>
      </c>
      <c r="C167" s="10" t="s">
        <v>1884</v>
      </c>
      <c r="D167" s="10" t="s">
        <v>2330</v>
      </c>
      <c r="E167" s="64">
        <v>0</v>
      </c>
      <c r="H167" s="30" t="s">
        <v>2331</v>
      </c>
      <c r="I167"/>
      <c r="J167" s="70">
        <v>9.9499999999999993</v>
      </c>
      <c r="K167" s="30" t="s">
        <v>1896</v>
      </c>
      <c r="L167"/>
      <c r="M167">
        <f t="shared" si="4"/>
        <v>0</v>
      </c>
      <c r="N167" s="10">
        <f t="shared" si="5"/>
        <v>162</v>
      </c>
    </row>
    <row r="168" spans="1:14" s="10" customFormat="1" hidden="1" x14ac:dyDescent="0.25">
      <c r="A168" s="10" t="s">
        <v>888</v>
      </c>
      <c r="B168" s="77" t="s">
        <v>12</v>
      </c>
      <c r="C168" s="10" t="s">
        <v>1884</v>
      </c>
      <c r="D168" s="10" t="s">
        <v>2332</v>
      </c>
      <c r="E168" s="64">
        <v>0</v>
      </c>
      <c r="H168" s="30" t="s">
        <v>2333</v>
      </c>
      <c r="I168"/>
      <c r="J168" s="70">
        <v>5.95</v>
      </c>
      <c r="K168" s="30" t="s">
        <v>1896</v>
      </c>
      <c r="L168"/>
      <c r="M168">
        <f t="shared" si="4"/>
        <v>0</v>
      </c>
      <c r="N168" s="10">
        <f t="shared" si="5"/>
        <v>163</v>
      </c>
    </row>
    <row r="169" spans="1:14" s="78" customFormat="1" x14ac:dyDescent="0.25">
      <c r="A169" s="77" t="s">
        <v>888</v>
      </c>
      <c r="B169" s="77" t="s">
        <v>892</v>
      </c>
      <c r="C169" s="77" t="s">
        <v>5</v>
      </c>
      <c r="D169" s="78" t="s">
        <v>229</v>
      </c>
      <c r="E169" s="79">
        <f>3*FilterSpecs!$C$3</f>
        <v>15</v>
      </c>
      <c r="F169" s="78" t="s">
        <v>230</v>
      </c>
      <c r="G169" s="78" t="s">
        <v>231</v>
      </c>
      <c r="H169" s="78" t="s">
        <v>232</v>
      </c>
      <c r="J169" s="79">
        <v>1.5</v>
      </c>
      <c r="K169" s="78" t="s">
        <v>1897</v>
      </c>
      <c r="M169">
        <f t="shared" si="4"/>
        <v>22.5</v>
      </c>
      <c r="N169" s="78">
        <f t="shared" si="5"/>
        <v>164</v>
      </c>
    </row>
    <row r="170" spans="1:14" s="78" customFormat="1" x14ac:dyDescent="0.25">
      <c r="A170" s="77" t="s">
        <v>888</v>
      </c>
      <c r="B170" s="77" t="s">
        <v>892</v>
      </c>
      <c r="C170" s="77" t="s">
        <v>5</v>
      </c>
      <c r="D170" s="78" t="s">
        <v>233</v>
      </c>
      <c r="E170" s="79">
        <v>1</v>
      </c>
      <c r="F170" s="78" t="s">
        <v>234</v>
      </c>
      <c r="G170" s="78" t="s">
        <v>235</v>
      </c>
      <c r="H170" s="78" t="s">
        <v>236</v>
      </c>
      <c r="I170" s="78">
        <v>1</v>
      </c>
      <c r="J170" s="79">
        <v>14.95</v>
      </c>
      <c r="K170" s="78" t="s">
        <v>1898</v>
      </c>
      <c r="M170">
        <f t="shared" si="4"/>
        <v>14.95</v>
      </c>
      <c r="N170" s="78">
        <f t="shared" si="5"/>
        <v>165</v>
      </c>
    </row>
    <row r="171" spans="1:14" s="78" customFormat="1" hidden="1" x14ac:dyDescent="0.25">
      <c r="A171" s="77" t="s">
        <v>888</v>
      </c>
      <c r="B171" s="77" t="s">
        <v>892</v>
      </c>
      <c r="C171" s="77" t="s">
        <v>5</v>
      </c>
      <c r="D171" s="78" t="s">
        <v>356</v>
      </c>
      <c r="E171" s="79">
        <v>0</v>
      </c>
      <c r="F171" s="78" t="s">
        <v>357</v>
      </c>
      <c r="G171" s="78" t="s">
        <v>358</v>
      </c>
      <c r="H171" s="78" t="s">
        <v>359</v>
      </c>
      <c r="I171" s="78">
        <v>1</v>
      </c>
      <c r="J171" s="79">
        <v>2.95</v>
      </c>
      <c r="K171" s="78" t="s">
        <v>2461</v>
      </c>
      <c r="M171">
        <f t="shared" si="4"/>
        <v>0</v>
      </c>
      <c r="N171" s="78">
        <f t="shared" si="5"/>
        <v>166</v>
      </c>
    </row>
    <row r="172" spans="1:14" s="78" customFormat="1" hidden="1" x14ac:dyDescent="0.25">
      <c r="A172" s="77" t="s">
        <v>888</v>
      </c>
      <c r="B172" s="77" t="s">
        <v>892</v>
      </c>
      <c r="C172" s="77" t="s">
        <v>5</v>
      </c>
      <c r="D172" s="78" t="s">
        <v>1173</v>
      </c>
      <c r="E172" s="79">
        <v>0</v>
      </c>
      <c r="F172" s="78" t="s">
        <v>1174</v>
      </c>
      <c r="G172" s="78" t="s">
        <v>1175</v>
      </c>
      <c r="H172" s="78" t="s">
        <v>1176</v>
      </c>
      <c r="I172" s="78">
        <v>1</v>
      </c>
      <c r="J172" s="79">
        <v>9.9499999999999993</v>
      </c>
      <c r="K172" s="78" t="s">
        <v>2461</v>
      </c>
      <c r="L172" s="80"/>
      <c r="M172">
        <f t="shared" si="4"/>
        <v>0</v>
      </c>
      <c r="N172" s="78">
        <f t="shared" si="5"/>
        <v>167</v>
      </c>
    </row>
    <row r="173" spans="1:14" s="78" customFormat="1" x14ac:dyDescent="0.25">
      <c r="A173" s="77" t="s">
        <v>888</v>
      </c>
      <c r="B173" s="77" t="s">
        <v>892</v>
      </c>
      <c r="C173" s="77" t="s">
        <v>5</v>
      </c>
      <c r="D173" s="78" t="s">
        <v>1177</v>
      </c>
      <c r="E173" s="79">
        <v>1</v>
      </c>
      <c r="F173" s="78" t="s">
        <v>1178</v>
      </c>
      <c r="G173" s="78" t="s">
        <v>1179</v>
      </c>
      <c r="H173" s="78" t="s">
        <v>1180</v>
      </c>
      <c r="I173" s="78">
        <v>1</v>
      </c>
      <c r="J173" s="79">
        <v>14.95</v>
      </c>
      <c r="K173" s="78" t="s">
        <v>1898</v>
      </c>
      <c r="L173" s="80"/>
      <c r="M173">
        <f t="shared" si="4"/>
        <v>14.95</v>
      </c>
      <c r="N173" s="78">
        <f t="shared" si="5"/>
        <v>168</v>
      </c>
    </row>
    <row r="174" spans="1:14" s="78" customFormat="1" hidden="1" x14ac:dyDescent="0.25">
      <c r="A174" s="77" t="s">
        <v>888</v>
      </c>
      <c r="B174" s="77" t="s">
        <v>892</v>
      </c>
      <c r="C174" s="77" t="s">
        <v>5</v>
      </c>
      <c r="D174" s="78" t="s">
        <v>1813</v>
      </c>
      <c r="E174" s="79">
        <v>0</v>
      </c>
      <c r="F174" s="78" t="s">
        <v>1814</v>
      </c>
      <c r="G174" s="78" t="s">
        <v>1815</v>
      </c>
      <c r="H174" s="78" t="s">
        <v>1816</v>
      </c>
      <c r="I174" s="78">
        <v>1</v>
      </c>
      <c r="J174" s="79">
        <v>39.950000000000003</v>
      </c>
      <c r="K174" s="78" t="s">
        <v>2461</v>
      </c>
      <c r="L174" s="80"/>
      <c r="M174">
        <f t="shared" si="4"/>
        <v>0</v>
      </c>
      <c r="N174" s="78">
        <f t="shared" si="5"/>
        <v>169</v>
      </c>
    </row>
    <row r="175" spans="1:14" s="78" customFormat="1" hidden="1" x14ac:dyDescent="0.25">
      <c r="A175" s="77" t="s">
        <v>888</v>
      </c>
      <c r="B175" s="77" t="s">
        <v>892</v>
      </c>
      <c r="C175" s="77" t="s">
        <v>5</v>
      </c>
      <c r="D175" s="78" t="s">
        <v>1773</v>
      </c>
      <c r="E175" s="79">
        <v>0</v>
      </c>
      <c r="F175" s="78" t="s">
        <v>1774</v>
      </c>
      <c r="G175" s="78" t="s">
        <v>1775</v>
      </c>
      <c r="H175" s="78" t="s">
        <v>1776</v>
      </c>
      <c r="I175" s="78">
        <v>1</v>
      </c>
      <c r="J175" s="79">
        <v>14.95</v>
      </c>
      <c r="K175" s="78" t="s">
        <v>2461</v>
      </c>
      <c r="L175" s="80"/>
      <c r="M175">
        <f t="shared" si="4"/>
        <v>0</v>
      </c>
      <c r="N175" s="78">
        <f t="shared" si="5"/>
        <v>170</v>
      </c>
    </row>
    <row r="176" spans="1:14" s="78" customFormat="1" x14ac:dyDescent="0.25">
      <c r="A176" s="77" t="s">
        <v>888</v>
      </c>
      <c r="B176" s="77" t="s">
        <v>892</v>
      </c>
      <c r="C176" s="77" t="s">
        <v>5</v>
      </c>
      <c r="D176" s="78" t="s">
        <v>265</v>
      </c>
      <c r="E176" s="79">
        <f>2*FilterSpecs!$C$3</f>
        <v>10</v>
      </c>
      <c r="F176" s="78" t="s">
        <v>266</v>
      </c>
      <c r="G176" s="78" t="s">
        <v>267</v>
      </c>
      <c r="H176" s="78" t="s">
        <v>268</v>
      </c>
      <c r="J176" s="79">
        <v>0.95</v>
      </c>
      <c r="K176" s="78" t="s">
        <v>1897</v>
      </c>
      <c r="M176">
        <f t="shared" si="4"/>
        <v>9.5</v>
      </c>
      <c r="N176" s="78">
        <f t="shared" si="5"/>
        <v>171</v>
      </c>
    </row>
    <row r="177" spans="1:14" s="78" customFormat="1" x14ac:dyDescent="0.25">
      <c r="A177" s="77" t="s">
        <v>888</v>
      </c>
      <c r="B177" s="77" t="s">
        <v>892</v>
      </c>
      <c r="C177" s="77" t="s">
        <v>5</v>
      </c>
      <c r="D177" s="78" t="s">
        <v>269</v>
      </c>
      <c r="E177" s="79">
        <f>FilterSpecs!$C$3</f>
        <v>5</v>
      </c>
      <c r="F177" s="78" t="s">
        <v>270</v>
      </c>
      <c r="G177" s="78" t="s">
        <v>271</v>
      </c>
      <c r="H177" s="78" t="s">
        <v>272</v>
      </c>
      <c r="J177" s="79">
        <v>1.5</v>
      </c>
      <c r="K177" s="78" t="s">
        <v>1897</v>
      </c>
      <c r="M177">
        <f t="shared" si="4"/>
        <v>7.5</v>
      </c>
      <c r="N177" s="78">
        <f t="shared" si="5"/>
        <v>172</v>
      </c>
    </row>
    <row r="178" spans="1:14" s="78" customFormat="1" x14ac:dyDescent="0.25">
      <c r="A178" s="77" t="s">
        <v>888</v>
      </c>
      <c r="B178" s="77" t="s">
        <v>892</v>
      </c>
      <c r="C178" s="77" t="s">
        <v>5</v>
      </c>
      <c r="D178" s="78" t="s">
        <v>261</v>
      </c>
      <c r="E178" s="79">
        <f>FilterSpecs!$C$3</f>
        <v>5</v>
      </c>
      <c r="F178" s="78" t="s">
        <v>262</v>
      </c>
      <c r="G178" s="78" t="s">
        <v>263</v>
      </c>
      <c r="H178" s="78" t="s">
        <v>264</v>
      </c>
      <c r="J178" s="79">
        <v>1.5</v>
      </c>
      <c r="K178" s="78" t="s">
        <v>1897</v>
      </c>
      <c r="M178">
        <f t="shared" si="4"/>
        <v>7.5</v>
      </c>
      <c r="N178" s="78">
        <f t="shared" si="5"/>
        <v>173</v>
      </c>
    </row>
    <row r="179" spans="1:14" s="78" customFormat="1" x14ac:dyDescent="0.25">
      <c r="A179" s="77" t="s">
        <v>888</v>
      </c>
      <c r="B179" s="77" t="s">
        <v>892</v>
      </c>
      <c r="C179" s="77" t="s">
        <v>5</v>
      </c>
      <c r="D179" s="78" t="s">
        <v>1809</v>
      </c>
      <c r="E179" s="79">
        <v>1</v>
      </c>
      <c r="F179" s="78" t="s">
        <v>1810</v>
      </c>
      <c r="G179" s="78" t="s">
        <v>1811</v>
      </c>
      <c r="H179" s="78" t="s">
        <v>1812</v>
      </c>
      <c r="J179" s="79">
        <v>1.95</v>
      </c>
      <c r="K179" s="78" t="s">
        <v>1896</v>
      </c>
      <c r="L179" s="80"/>
      <c r="M179">
        <f t="shared" si="4"/>
        <v>1.95</v>
      </c>
      <c r="N179" s="78">
        <f t="shared" si="5"/>
        <v>174</v>
      </c>
    </row>
    <row r="180" spans="1:14" s="78" customFormat="1" x14ac:dyDescent="0.25">
      <c r="A180" s="77" t="s">
        <v>888</v>
      </c>
      <c r="B180" s="77" t="s">
        <v>892</v>
      </c>
      <c r="C180" s="77" t="s">
        <v>5</v>
      </c>
      <c r="D180" s="78" t="s">
        <v>728</v>
      </c>
      <c r="E180" s="79">
        <v>2</v>
      </c>
      <c r="F180" s="78" t="s">
        <v>729</v>
      </c>
      <c r="G180" s="78" t="s">
        <v>730</v>
      </c>
      <c r="H180" s="78" t="s">
        <v>731</v>
      </c>
      <c r="J180" s="79">
        <v>2.95</v>
      </c>
      <c r="K180" s="78" t="s">
        <v>2461</v>
      </c>
      <c r="M180">
        <f t="shared" si="4"/>
        <v>5.9</v>
      </c>
      <c r="N180" s="78">
        <f t="shared" si="5"/>
        <v>175</v>
      </c>
    </row>
    <row r="181" spans="1:14" s="10" customFormat="1" x14ac:dyDescent="0.25">
      <c r="A181" s="30" t="s">
        <v>888</v>
      </c>
      <c r="B181" s="30" t="s">
        <v>892</v>
      </c>
      <c r="C181" s="30" t="s">
        <v>5</v>
      </c>
      <c r="D181" s="10" t="s">
        <v>1793</v>
      </c>
      <c r="E181" s="64">
        <v>1</v>
      </c>
      <c r="F181" s="10" t="s">
        <v>1794</v>
      </c>
      <c r="G181" s="10" t="s">
        <v>1795</v>
      </c>
      <c r="H181" s="10" t="s">
        <v>1796</v>
      </c>
      <c r="J181" s="64">
        <v>2.95</v>
      </c>
      <c r="K181" s="10" t="s">
        <v>1896</v>
      </c>
      <c r="L181"/>
      <c r="M181">
        <f t="shared" si="4"/>
        <v>2.95</v>
      </c>
      <c r="N181" s="10">
        <f t="shared" si="5"/>
        <v>176</v>
      </c>
    </row>
    <row r="182" spans="1:14" s="10" customFormat="1" x14ac:dyDescent="0.25">
      <c r="A182" s="30" t="s">
        <v>888</v>
      </c>
      <c r="B182" s="30" t="s">
        <v>1593</v>
      </c>
      <c r="C182" s="30" t="s">
        <v>5</v>
      </c>
      <c r="D182" s="10" t="s">
        <v>1096</v>
      </c>
      <c r="E182" s="64">
        <v>0</v>
      </c>
      <c r="F182" s="10" t="s">
        <v>1097</v>
      </c>
      <c r="G182" s="10" t="s">
        <v>1098</v>
      </c>
      <c r="H182" s="10" t="s">
        <v>1099</v>
      </c>
      <c r="J182" s="64">
        <v>24.95</v>
      </c>
      <c r="K182" s="10" t="s">
        <v>1896</v>
      </c>
      <c r="L182"/>
      <c r="M182">
        <f t="shared" si="4"/>
        <v>0</v>
      </c>
      <c r="N182" s="10">
        <f t="shared" si="5"/>
        <v>177</v>
      </c>
    </row>
    <row r="183" spans="1:14" s="10" customFormat="1" x14ac:dyDescent="0.25">
      <c r="A183" s="30" t="s">
        <v>888</v>
      </c>
      <c r="B183" s="30" t="s">
        <v>1593</v>
      </c>
      <c r="C183" s="30" t="s">
        <v>5</v>
      </c>
      <c r="D183" s="10" t="s">
        <v>486</v>
      </c>
      <c r="E183" s="79">
        <f>FilterSpecs!$C$3+1</f>
        <v>6</v>
      </c>
      <c r="F183" s="10" t="s">
        <v>487</v>
      </c>
      <c r="G183" s="10" t="s">
        <v>488</v>
      </c>
      <c r="H183" s="10" t="s">
        <v>211</v>
      </c>
      <c r="I183" s="10">
        <v>1</v>
      </c>
      <c r="J183" s="64">
        <v>4.95</v>
      </c>
      <c r="K183" s="10" t="s">
        <v>1896</v>
      </c>
      <c r="M183">
        <f t="shared" si="4"/>
        <v>29.700000000000003</v>
      </c>
      <c r="N183" s="10">
        <f t="shared" si="5"/>
        <v>178</v>
      </c>
    </row>
    <row r="184" spans="1:14" s="10" customFormat="1" hidden="1" x14ac:dyDescent="0.25">
      <c r="A184" s="10" t="s">
        <v>888</v>
      </c>
      <c r="B184" s="10" t="s">
        <v>1593</v>
      </c>
      <c r="C184" s="10" t="s">
        <v>1884</v>
      </c>
      <c r="D184" s="10" t="s">
        <v>2338</v>
      </c>
      <c r="E184" s="64">
        <v>0</v>
      </c>
      <c r="H184" s="30" t="s">
        <v>2339</v>
      </c>
      <c r="I184"/>
      <c r="J184" s="70">
        <v>6.95</v>
      </c>
      <c r="K184" s="30" t="s">
        <v>1896</v>
      </c>
      <c r="L184"/>
      <c r="M184">
        <f t="shared" si="4"/>
        <v>0</v>
      </c>
      <c r="N184" s="10">
        <f t="shared" si="5"/>
        <v>179</v>
      </c>
    </row>
    <row r="185" spans="1:14" s="10" customFormat="1" x14ac:dyDescent="0.25">
      <c r="A185" s="30" t="s">
        <v>888</v>
      </c>
      <c r="B185" s="30" t="s">
        <v>1593</v>
      </c>
      <c r="C185" s="30" t="s">
        <v>5</v>
      </c>
      <c r="D185" s="10" t="s">
        <v>489</v>
      </c>
      <c r="E185" s="79">
        <f>FilterSpecs!$C$3+3</f>
        <v>8</v>
      </c>
      <c r="F185" s="10" t="s">
        <v>490</v>
      </c>
      <c r="G185" s="10" t="s">
        <v>491</v>
      </c>
      <c r="H185" s="10" t="s">
        <v>207</v>
      </c>
      <c r="I185" s="10">
        <v>1</v>
      </c>
      <c r="J185" s="64">
        <v>4.95</v>
      </c>
      <c r="K185" s="10" t="s">
        <v>1896</v>
      </c>
      <c r="M185">
        <f t="shared" si="4"/>
        <v>39.6</v>
      </c>
      <c r="N185" s="10">
        <f t="shared" si="5"/>
        <v>180</v>
      </c>
    </row>
    <row r="186" spans="1:14" s="10" customFormat="1" hidden="1" x14ac:dyDescent="0.25">
      <c r="A186" s="10" t="s">
        <v>888</v>
      </c>
      <c r="B186" s="10" t="s">
        <v>1593</v>
      </c>
      <c r="C186" s="10" t="s">
        <v>1884</v>
      </c>
      <c r="D186" s="10" t="s">
        <v>2334</v>
      </c>
      <c r="E186" s="64">
        <v>0</v>
      </c>
      <c r="H186" s="30" t="s">
        <v>2335</v>
      </c>
      <c r="I186"/>
      <c r="J186" s="70">
        <v>14.95</v>
      </c>
      <c r="K186" s="30" t="s">
        <v>1896</v>
      </c>
      <c r="L186"/>
      <c r="M186">
        <f t="shared" si="4"/>
        <v>0</v>
      </c>
      <c r="N186" s="10">
        <f t="shared" si="5"/>
        <v>181</v>
      </c>
    </row>
    <row r="187" spans="1:14" s="10" customFormat="1" hidden="1" x14ac:dyDescent="0.25">
      <c r="A187" s="10" t="s">
        <v>888</v>
      </c>
      <c r="B187" s="10" t="s">
        <v>1593</v>
      </c>
      <c r="C187" s="10" t="s">
        <v>1884</v>
      </c>
      <c r="D187" s="10" t="s">
        <v>2336</v>
      </c>
      <c r="E187" s="64">
        <v>0</v>
      </c>
      <c r="H187" s="30" t="s">
        <v>2337</v>
      </c>
      <c r="I187"/>
      <c r="J187" s="70">
        <v>3.75</v>
      </c>
      <c r="K187" s="30" t="s">
        <v>1896</v>
      </c>
      <c r="L187"/>
      <c r="M187">
        <f t="shared" si="4"/>
        <v>0</v>
      </c>
      <c r="N187" s="10">
        <f t="shared" si="5"/>
        <v>182</v>
      </c>
    </row>
    <row r="188" spans="1:14" s="10" customFormat="1" hidden="1" x14ac:dyDescent="0.25">
      <c r="A188" s="30" t="s">
        <v>888</v>
      </c>
      <c r="B188" s="30" t="s">
        <v>2017</v>
      </c>
      <c r="C188" s="30" t="s">
        <v>5</v>
      </c>
      <c r="D188" s="10" t="s">
        <v>1489</v>
      </c>
      <c r="E188" s="64">
        <v>0</v>
      </c>
      <c r="F188" s="10" t="s">
        <v>1490</v>
      </c>
      <c r="G188" s="10" t="s">
        <v>1491</v>
      </c>
      <c r="H188" s="10" t="s">
        <v>1492</v>
      </c>
      <c r="I188" s="10">
        <v>1</v>
      </c>
      <c r="J188" s="64">
        <v>2.95</v>
      </c>
      <c r="K188" s="10" t="s">
        <v>1896</v>
      </c>
      <c r="L188"/>
      <c r="M188">
        <f t="shared" si="4"/>
        <v>0</v>
      </c>
      <c r="N188" s="10">
        <f t="shared" si="5"/>
        <v>183</v>
      </c>
    </row>
    <row r="189" spans="1:14" s="10" customFormat="1" hidden="1" x14ac:dyDescent="0.25">
      <c r="A189" s="30" t="s">
        <v>888</v>
      </c>
      <c r="B189" s="30" t="s">
        <v>2017</v>
      </c>
      <c r="C189" s="30" t="s">
        <v>5</v>
      </c>
      <c r="D189" s="10" t="s">
        <v>1501</v>
      </c>
      <c r="E189" s="64">
        <v>0</v>
      </c>
      <c r="F189" s="10" t="s">
        <v>1502</v>
      </c>
      <c r="G189" s="10" t="s">
        <v>1503</v>
      </c>
      <c r="H189" s="10" t="s">
        <v>1504</v>
      </c>
      <c r="J189" s="64">
        <v>2.95</v>
      </c>
      <c r="K189" s="10" t="s">
        <v>1896</v>
      </c>
      <c r="L189"/>
      <c r="M189">
        <f t="shared" si="4"/>
        <v>0</v>
      </c>
      <c r="N189" s="10">
        <f t="shared" si="5"/>
        <v>184</v>
      </c>
    </row>
    <row r="190" spans="1:14" s="10" customFormat="1" hidden="1" x14ac:dyDescent="0.25">
      <c r="A190" s="30" t="s">
        <v>888</v>
      </c>
      <c r="B190" s="30" t="s">
        <v>2017</v>
      </c>
      <c r="C190" s="30" t="s">
        <v>1884</v>
      </c>
      <c r="D190" s="10" t="s">
        <v>2344</v>
      </c>
      <c r="E190" s="64">
        <v>0</v>
      </c>
      <c r="H190" s="10" t="s">
        <v>2345</v>
      </c>
      <c r="J190" s="64">
        <v>2.5</v>
      </c>
      <c r="K190" s="10" t="s">
        <v>1896</v>
      </c>
      <c r="L190"/>
      <c r="M190">
        <f t="shared" si="4"/>
        <v>0</v>
      </c>
      <c r="N190" s="10">
        <f t="shared" si="5"/>
        <v>185</v>
      </c>
    </row>
    <row r="191" spans="1:14" s="10" customFormat="1" x14ac:dyDescent="0.25">
      <c r="A191" s="30" t="s">
        <v>888</v>
      </c>
      <c r="B191" s="30" t="s">
        <v>2017</v>
      </c>
      <c r="C191" s="30" t="s">
        <v>1884</v>
      </c>
      <c r="D191" s="10" t="s">
        <v>2340</v>
      </c>
      <c r="E191" s="79">
        <f>FilterSpecs!$C$3</f>
        <v>5</v>
      </c>
      <c r="H191" s="10" t="s">
        <v>2341</v>
      </c>
      <c r="J191" s="64">
        <v>2.95</v>
      </c>
      <c r="K191" s="10" t="s">
        <v>1897</v>
      </c>
      <c r="L191"/>
      <c r="M191">
        <f t="shared" si="4"/>
        <v>14.75</v>
      </c>
      <c r="N191" s="10">
        <f t="shared" si="5"/>
        <v>186</v>
      </c>
    </row>
    <row r="192" spans="1:14" s="10" customFormat="1" x14ac:dyDescent="0.25">
      <c r="A192" s="30" t="s">
        <v>888</v>
      </c>
      <c r="B192" s="30" t="s">
        <v>2017</v>
      </c>
      <c r="C192" s="30" t="s">
        <v>5</v>
      </c>
      <c r="D192" s="10" t="s">
        <v>237</v>
      </c>
      <c r="E192" s="64">
        <v>1</v>
      </c>
      <c r="F192" s="10" t="s">
        <v>238</v>
      </c>
      <c r="G192" s="10" t="s">
        <v>239</v>
      </c>
      <c r="H192" s="10" t="s">
        <v>240</v>
      </c>
      <c r="J192" s="64">
        <v>9.9499999999999993</v>
      </c>
      <c r="K192" s="10" t="s">
        <v>1896</v>
      </c>
      <c r="M192">
        <f t="shared" si="4"/>
        <v>9.9499999999999993</v>
      </c>
      <c r="N192" s="10">
        <f t="shared" si="5"/>
        <v>187</v>
      </c>
    </row>
    <row r="193" spans="1:14" s="10" customFormat="1" hidden="1" x14ac:dyDescent="0.25">
      <c r="A193" s="10" t="s">
        <v>888</v>
      </c>
      <c r="B193" s="10" t="s">
        <v>2017</v>
      </c>
      <c r="C193" s="10" t="s">
        <v>1884</v>
      </c>
      <c r="D193" s="10" t="s">
        <v>2342</v>
      </c>
      <c r="E193" s="64">
        <v>0</v>
      </c>
      <c r="H193" s="30" t="s">
        <v>2343</v>
      </c>
      <c r="I193"/>
      <c r="J193" s="70">
        <v>2.95</v>
      </c>
      <c r="K193" s="30" t="s">
        <v>1896</v>
      </c>
      <c r="L193"/>
      <c r="M193">
        <f t="shared" si="4"/>
        <v>0</v>
      </c>
      <c r="N193" s="10">
        <f t="shared" si="5"/>
        <v>188</v>
      </c>
    </row>
    <row r="194" spans="1:14" s="78" customFormat="1" x14ac:dyDescent="0.25">
      <c r="A194" s="78" t="s">
        <v>888</v>
      </c>
      <c r="B194" s="78" t="s">
        <v>2017</v>
      </c>
      <c r="C194" s="78" t="s">
        <v>5</v>
      </c>
      <c r="D194" s="78" t="s">
        <v>245</v>
      </c>
      <c r="E194" s="79">
        <v>1</v>
      </c>
      <c r="F194" s="78" t="s">
        <v>246</v>
      </c>
      <c r="G194" s="78" t="s">
        <v>247</v>
      </c>
      <c r="H194" s="77" t="s">
        <v>248</v>
      </c>
      <c r="I194" s="80"/>
      <c r="J194" s="85">
        <v>6.97</v>
      </c>
      <c r="K194" s="77" t="s">
        <v>1896</v>
      </c>
      <c r="L194" s="80"/>
      <c r="M194">
        <f t="shared" si="4"/>
        <v>6.97</v>
      </c>
      <c r="N194" s="78">
        <f t="shared" si="5"/>
        <v>189</v>
      </c>
    </row>
    <row r="195" spans="1:14" s="78" customFormat="1" x14ac:dyDescent="0.25">
      <c r="A195" s="77" t="s">
        <v>888</v>
      </c>
      <c r="B195" s="77" t="s">
        <v>1590</v>
      </c>
      <c r="C195" s="77" t="s">
        <v>5</v>
      </c>
      <c r="D195" s="78" t="s">
        <v>273</v>
      </c>
      <c r="E195" s="79">
        <f>FilterSpecs!$C$3</f>
        <v>5</v>
      </c>
      <c r="F195" s="78" t="s">
        <v>274</v>
      </c>
      <c r="G195" s="78" t="s">
        <v>275</v>
      </c>
      <c r="H195" s="78" t="s">
        <v>217</v>
      </c>
      <c r="J195" s="79">
        <v>6.95</v>
      </c>
      <c r="K195" s="78" t="s">
        <v>1897</v>
      </c>
      <c r="M195">
        <f t="shared" si="4"/>
        <v>34.75</v>
      </c>
      <c r="N195" s="78">
        <f t="shared" si="5"/>
        <v>190</v>
      </c>
    </row>
    <row r="196" spans="1:14" s="78" customFormat="1" x14ac:dyDescent="0.25">
      <c r="A196" s="77" t="s">
        <v>888</v>
      </c>
      <c r="B196" s="77" t="s">
        <v>1590</v>
      </c>
      <c r="C196" s="77" t="s">
        <v>5</v>
      </c>
      <c r="D196" s="78" t="s">
        <v>276</v>
      </c>
      <c r="E196" s="79">
        <f>FilterSpecs!$C$3</f>
        <v>5</v>
      </c>
      <c r="F196" s="78" t="s">
        <v>277</v>
      </c>
      <c r="G196" s="78" t="s">
        <v>278</v>
      </c>
      <c r="H196" s="78" t="s">
        <v>203</v>
      </c>
      <c r="I196" s="78">
        <v>1</v>
      </c>
      <c r="J196" s="79">
        <v>12.95</v>
      </c>
      <c r="K196" s="78" t="s">
        <v>1897</v>
      </c>
      <c r="M196">
        <f t="shared" si="4"/>
        <v>64.75</v>
      </c>
      <c r="N196" s="78">
        <f t="shared" si="5"/>
        <v>191</v>
      </c>
    </row>
    <row r="197" spans="1:14" s="78" customFormat="1" hidden="1" x14ac:dyDescent="0.25">
      <c r="A197" s="77" t="s">
        <v>888</v>
      </c>
      <c r="B197" s="77" t="s">
        <v>1590</v>
      </c>
      <c r="C197" s="77" t="s">
        <v>5</v>
      </c>
      <c r="D197" s="78" t="s">
        <v>921</v>
      </c>
      <c r="E197" s="79">
        <v>0</v>
      </c>
      <c r="F197" s="78" t="s">
        <v>922</v>
      </c>
      <c r="G197" s="78" t="s">
        <v>923</v>
      </c>
      <c r="H197" s="78" t="s">
        <v>924</v>
      </c>
      <c r="I197" s="78">
        <v>1</v>
      </c>
      <c r="J197" s="79">
        <v>14.95</v>
      </c>
      <c r="K197" s="78" t="s">
        <v>1896</v>
      </c>
      <c r="M197">
        <f t="shared" si="4"/>
        <v>0</v>
      </c>
      <c r="N197" s="78">
        <f t="shared" si="5"/>
        <v>192</v>
      </c>
    </row>
    <row r="198" spans="1:14" s="78" customFormat="1" x14ac:dyDescent="0.25">
      <c r="A198" s="77" t="s">
        <v>888</v>
      </c>
      <c r="B198" s="77" t="s">
        <v>1590</v>
      </c>
      <c r="C198" s="77" t="s">
        <v>5</v>
      </c>
      <c r="D198" s="78" t="s">
        <v>1007</v>
      </c>
      <c r="E198" s="79">
        <v>1</v>
      </c>
      <c r="F198" s="78" t="s">
        <v>1008</v>
      </c>
      <c r="G198" s="78" t="s">
        <v>1009</v>
      </c>
      <c r="H198" s="78" t="s">
        <v>1010</v>
      </c>
      <c r="I198" s="78">
        <v>1</v>
      </c>
      <c r="J198" s="79">
        <v>11.95</v>
      </c>
      <c r="K198" s="78" t="s">
        <v>1896</v>
      </c>
      <c r="M198">
        <f t="shared" ref="M198:M261" si="6">E198*J198</f>
        <v>11.95</v>
      </c>
      <c r="N198" s="78">
        <f t="shared" ref="N198:N261" si="7">IF($N197="List #",1,$N197+1)</f>
        <v>193</v>
      </c>
    </row>
    <row r="199" spans="1:14" s="78" customFormat="1" x14ac:dyDescent="0.25">
      <c r="A199" s="77" t="s">
        <v>888</v>
      </c>
      <c r="B199" s="77" t="s">
        <v>1590</v>
      </c>
      <c r="C199" s="77" t="s">
        <v>5</v>
      </c>
      <c r="D199" s="78" t="s">
        <v>1011</v>
      </c>
      <c r="E199" s="79">
        <v>1</v>
      </c>
      <c r="F199" s="78" t="s">
        <v>1012</v>
      </c>
      <c r="G199" s="78" t="s">
        <v>1013</v>
      </c>
      <c r="H199" s="78" t="s">
        <v>1014</v>
      </c>
      <c r="I199" s="78">
        <v>1</v>
      </c>
      <c r="J199" s="79">
        <v>19.95</v>
      </c>
      <c r="K199" s="78" t="s">
        <v>1896</v>
      </c>
      <c r="M199">
        <f t="shared" si="6"/>
        <v>19.95</v>
      </c>
      <c r="N199" s="78">
        <f t="shared" si="7"/>
        <v>194</v>
      </c>
    </row>
    <row r="200" spans="1:14" s="78" customFormat="1" hidden="1" x14ac:dyDescent="0.25">
      <c r="A200" s="77" t="s">
        <v>1058</v>
      </c>
      <c r="B200" s="77" t="s">
        <v>1589</v>
      </c>
      <c r="C200" s="77" t="s">
        <v>5</v>
      </c>
      <c r="D200" s="78" t="s">
        <v>1513</v>
      </c>
      <c r="E200" s="79">
        <v>1</v>
      </c>
      <c r="F200" s="78" t="s">
        <v>1514</v>
      </c>
      <c r="G200" s="78" t="s">
        <v>1515</v>
      </c>
      <c r="H200" s="78" t="s">
        <v>1516</v>
      </c>
      <c r="I200" s="78">
        <v>1</v>
      </c>
      <c r="J200" s="79">
        <v>24.95</v>
      </c>
      <c r="K200" s="78" t="s">
        <v>1900</v>
      </c>
      <c r="L200" s="80"/>
      <c r="M200">
        <f t="shared" si="6"/>
        <v>24.95</v>
      </c>
      <c r="N200" s="78">
        <f t="shared" si="7"/>
        <v>195</v>
      </c>
    </row>
    <row r="201" spans="1:14" s="78" customFormat="1" hidden="1" x14ac:dyDescent="0.25">
      <c r="A201" s="77" t="s">
        <v>1058</v>
      </c>
      <c r="B201" s="77" t="s">
        <v>1005</v>
      </c>
      <c r="C201" s="77" t="s">
        <v>5</v>
      </c>
      <c r="D201" s="78" t="s">
        <v>941</v>
      </c>
      <c r="E201" s="79">
        <v>1</v>
      </c>
      <c r="F201" s="78" t="s">
        <v>942</v>
      </c>
      <c r="G201" s="78" t="s">
        <v>943</v>
      </c>
      <c r="H201" s="78" t="s">
        <v>944</v>
      </c>
      <c r="J201" s="79">
        <v>11.95</v>
      </c>
      <c r="K201" s="78" t="s">
        <v>1900</v>
      </c>
      <c r="L201" s="78" t="s">
        <v>1052</v>
      </c>
      <c r="M201">
        <f t="shared" si="6"/>
        <v>11.95</v>
      </c>
      <c r="N201" s="78">
        <f t="shared" si="7"/>
        <v>196</v>
      </c>
    </row>
    <row r="202" spans="1:14" s="48" customFormat="1" hidden="1" x14ac:dyDescent="0.25">
      <c r="A202" s="74" t="s">
        <v>1058</v>
      </c>
      <c r="B202" s="74" t="s">
        <v>1005</v>
      </c>
      <c r="C202" s="74" t="s">
        <v>5</v>
      </c>
      <c r="D202" s="48" t="s">
        <v>961</v>
      </c>
      <c r="E202" s="73">
        <v>1</v>
      </c>
      <c r="F202" s="48" t="s">
        <v>962</v>
      </c>
      <c r="G202" s="48" t="s">
        <v>963</v>
      </c>
      <c r="H202" s="48" t="s">
        <v>964</v>
      </c>
      <c r="I202" s="48">
        <v>1</v>
      </c>
      <c r="J202" s="73">
        <v>49.95</v>
      </c>
      <c r="K202" s="48" t="s">
        <v>1900</v>
      </c>
      <c r="L202" s="48" t="s">
        <v>1045</v>
      </c>
      <c r="M202">
        <f t="shared" si="6"/>
        <v>49.95</v>
      </c>
      <c r="N202" s="48">
        <f t="shared" si="7"/>
        <v>197</v>
      </c>
    </row>
    <row r="203" spans="1:14" s="48" customFormat="1" hidden="1" x14ac:dyDescent="0.25">
      <c r="A203" s="74" t="s">
        <v>1058</v>
      </c>
      <c r="B203" s="75" t="s">
        <v>1005</v>
      </c>
      <c r="C203" s="75" t="s">
        <v>5</v>
      </c>
      <c r="D203" s="48" t="s">
        <v>981</v>
      </c>
      <c r="E203" s="73">
        <v>0</v>
      </c>
      <c r="F203" s="48" t="s">
        <v>982</v>
      </c>
      <c r="G203" s="48" t="s">
        <v>983</v>
      </c>
      <c r="H203" s="48" t="s">
        <v>984</v>
      </c>
      <c r="I203" s="48">
        <v>1</v>
      </c>
      <c r="J203" s="73">
        <v>44.95</v>
      </c>
      <c r="K203" s="48" t="s">
        <v>1900</v>
      </c>
      <c r="L203" s="48" t="s">
        <v>1046</v>
      </c>
      <c r="M203">
        <f t="shared" si="6"/>
        <v>0</v>
      </c>
      <c r="N203" s="48">
        <f t="shared" si="7"/>
        <v>198</v>
      </c>
    </row>
    <row r="204" spans="1:14" s="48" customFormat="1" hidden="1" x14ac:dyDescent="0.25">
      <c r="A204" s="74" t="s">
        <v>1058</v>
      </c>
      <c r="B204" s="74" t="s">
        <v>1005</v>
      </c>
      <c r="C204" s="74" t="s">
        <v>5</v>
      </c>
      <c r="D204" s="48" t="s">
        <v>945</v>
      </c>
      <c r="E204" s="73">
        <v>1</v>
      </c>
      <c r="F204" s="48" t="s">
        <v>946</v>
      </c>
      <c r="G204" s="48" t="s">
        <v>947</v>
      </c>
      <c r="H204" s="48" t="s">
        <v>948</v>
      </c>
      <c r="I204" s="48">
        <v>1</v>
      </c>
      <c r="J204" s="73">
        <v>59.95</v>
      </c>
      <c r="K204" s="48" t="s">
        <v>1900</v>
      </c>
      <c r="L204" s="48" t="s">
        <v>1046</v>
      </c>
      <c r="M204">
        <f t="shared" si="6"/>
        <v>59.95</v>
      </c>
      <c r="N204" s="48">
        <f t="shared" si="7"/>
        <v>199</v>
      </c>
    </row>
    <row r="205" spans="1:14" s="10" customFormat="1" hidden="1" x14ac:dyDescent="0.25">
      <c r="A205" s="10" t="s">
        <v>1058</v>
      </c>
      <c r="B205" s="10" t="s">
        <v>1005</v>
      </c>
      <c r="C205" s="10" t="s">
        <v>1884</v>
      </c>
      <c r="D205" s="10" t="s">
        <v>2069</v>
      </c>
      <c r="E205" s="64">
        <v>0</v>
      </c>
      <c r="H205" s="10" t="s">
        <v>2070</v>
      </c>
      <c r="J205" s="64">
        <v>44.95</v>
      </c>
      <c r="K205" s="10" t="s">
        <v>1896</v>
      </c>
      <c r="L205"/>
      <c r="M205">
        <f t="shared" si="6"/>
        <v>0</v>
      </c>
      <c r="N205" s="10">
        <f t="shared" si="7"/>
        <v>200</v>
      </c>
    </row>
    <row r="206" spans="1:14" s="10" customFormat="1" hidden="1" x14ac:dyDescent="0.25">
      <c r="A206" s="10" t="s">
        <v>1058</v>
      </c>
      <c r="B206" s="10" t="s">
        <v>2040</v>
      </c>
      <c r="C206" s="10" t="s">
        <v>1884</v>
      </c>
      <c r="D206" s="10" t="s">
        <v>2048</v>
      </c>
      <c r="E206" s="64">
        <v>1</v>
      </c>
      <c r="H206" s="10" t="s">
        <v>2047</v>
      </c>
      <c r="J206" s="64">
        <v>39.950000000000003</v>
      </c>
      <c r="K206" s="10" t="s">
        <v>1896</v>
      </c>
      <c r="L206"/>
      <c r="M206">
        <f t="shared" si="6"/>
        <v>39.950000000000003</v>
      </c>
      <c r="N206" s="10">
        <f t="shared" si="7"/>
        <v>201</v>
      </c>
    </row>
    <row r="207" spans="1:14" s="10" customFormat="1" hidden="1" x14ac:dyDescent="0.25">
      <c r="A207" s="10" t="s">
        <v>1058</v>
      </c>
      <c r="B207" s="10" t="s">
        <v>2040</v>
      </c>
      <c r="C207" s="10" t="s">
        <v>1884</v>
      </c>
      <c r="D207" s="10" t="s">
        <v>2046</v>
      </c>
      <c r="E207" s="64">
        <v>1</v>
      </c>
      <c r="H207" s="30" t="s">
        <v>2045</v>
      </c>
      <c r="I207"/>
      <c r="J207" s="70">
        <v>9</v>
      </c>
      <c r="K207" s="30" t="s">
        <v>1896</v>
      </c>
      <c r="L207"/>
      <c r="M207">
        <f t="shared" si="6"/>
        <v>9</v>
      </c>
      <c r="N207" s="10">
        <f t="shared" si="7"/>
        <v>202</v>
      </c>
    </row>
    <row r="208" spans="1:14" s="10" customFormat="1" hidden="1" x14ac:dyDescent="0.25">
      <c r="A208" s="10" t="s">
        <v>1058</v>
      </c>
      <c r="B208" s="10" t="s">
        <v>2040</v>
      </c>
      <c r="C208" s="10" t="s">
        <v>1884</v>
      </c>
      <c r="D208" s="10" t="s">
        <v>2044</v>
      </c>
      <c r="E208" s="64">
        <v>1</v>
      </c>
      <c r="H208" s="30" t="s">
        <v>2043</v>
      </c>
      <c r="I208"/>
      <c r="J208" s="70">
        <v>2.95</v>
      </c>
      <c r="K208" s="30" t="s">
        <v>1896</v>
      </c>
      <c r="L208"/>
      <c r="M208">
        <f t="shared" si="6"/>
        <v>2.95</v>
      </c>
      <c r="N208" s="10">
        <f t="shared" si="7"/>
        <v>203</v>
      </c>
    </row>
    <row r="209" spans="1:14" s="48" customFormat="1" hidden="1" x14ac:dyDescent="0.25">
      <c r="A209" s="74" t="s">
        <v>1058</v>
      </c>
      <c r="B209" s="76" t="s">
        <v>1426</v>
      </c>
      <c r="C209" s="76" t="s">
        <v>5</v>
      </c>
      <c r="D209" s="48" t="s">
        <v>1392</v>
      </c>
      <c r="E209" s="73">
        <v>1</v>
      </c>
      <c r="F209" s="48" t="s">
        <v>1393</v>
      </c>
      <c r="G209" s="48" t="s">
        <v>1394</v>
      </c>
      <c r="H209" s="48" t="s">
        <v>1395</v>
      </c>
      <c r="J209" s="73">
        <v>149.94999999999999</v>
      </c>
      <c r="K209" s="48" t="s">
        <v>1900</v>
      </c>
      <c r="L209" s="49"/>
      <c r="M209">
        <f t="shared" si="6"/>
        <v>149.94999999999999</v>
      </c>
      <c r="N209" s="48">
        <f t="shared" si="7"/>
        <v>204</v>
      </c>
    </row>
    <row r="210" spans="1:14" s="48" customFormat="1" hidden="1" x14ac:dyDescent="0.25">
      <c r="A210" s="74" t="s">
        <v>1058</v>
      </c>
      <c r="B210" s="75" t="s">
        <v>1006</v>
      </c>
      <c r="C210" s="75" t="s">
        <v>5</v>
      </c>
      <c r="D210" s="48" t="s">
        <v>949</v>
      </c>
      <c r="E210" s="73">
        <v>1</v>
      </c>
      <c r="F210" s="48" t="s">
        <v>950</v>
      </c>
      <c r="G210" s="48" t="s">
        <v>951</v>
      </c>
      <c r="H210" s="48" t="s">
        <v>952</v>
      </c>
      <c r="I210" s="48">
        <v>1</v>
      </c>
      <c r="J210" s="73">
        <v>4.95</v>
      </c>
      <c r="K210" s="48" t="s">
        <v>1900</v>
      </c>
      <c r="L210" s="48" t="s">
        <v>1054</v>
      </c>
      <c r="M210">
        <f t="shared" si="6"/>
        <v>4.95</v>
      </c>
      <c r="N210" s="48">
        <f t="shared" si="7"/>
        <v>205</v>
      </c>
    </row>
    <row r="211" spans="1:14" s="48" customFormat="1" hidden="1" x14ac:dyDescent="0.25">
      <c r="A211" s="74" t="s">
        <v>1058</v>
      </c>
      <c r="B211" s="75" t="s">
        <v>1006</v>
      </c>
      <c r="C211" s="75" t="s">
        <v>5</v>
      </c>
      <c r="D211" s="48" t="s">
        <v>965</v>
      </c>
      <c r="E211" s="73">
        <v>1</v>
      </c>
      <c r="F211" s="48" t="s">
        <v>966</v>
      </c>
      <c r="G211" s="48" t="s">
        <v>967</v>
      </c>
      <c r="H211" s="48" t="s">
        <v>968</v>
      </c>
      <c r="I211" s="48">
        <v>1</v>
      </c>
      <c r="J211" s="73">
        <v>349</v>
      </c>
      <c r="K211" s="48" t="s">
        <v>1900</v>
      </c>
      <c r="L211" s="48" t="s">
        <v>1047</v>
      </c>
      <c r="M211">
        <f t="shared" si="6"/>
        <v>349</v>
      </c>
      <c r="N211" s="48">
        <f t="shared" si="7"/>
        <v>206</v>
      </c>
    </row>
    <row r="212" spans="1:14" s="10" customFormat="1" hidden="1" x14ac:dyDescent="0.25">
      <c r="A212" s="30" t="s">
        <v>1058</v>
      </c>
      <c r="B212" s="67" t="s">
        <v>1006</v>
      </c>
      <c r="C212" s="67" t="s">
        <v>5</v>
      </c>
      <c r="D212" s="31" t="s">
        <v>1024</v>
      </c>
      <c r="E212" s="64">
        <v>1</v>
      </c>
      <c r="F212" s="10" t="s">
        <v>1026</v>
      </c>
      <c r="G212" s="10" t="s">
        <v>1025</v>
      </c>
      <c r="H212" s="10" t="s">
        <v>1023</v>
      </c>
      <c r="I212" s="10">
        <v>1</v>
      </c>
      <c r="J212" s="64">
        <v>14.95</v>
      </c>
      <c r="K212" s="10" t="s">
        <v>1900</v>
      </c>
      <c r="L212" s="10" t="s">
        <v>1053</v>
      </c>
      <c r="M212">
        <f t="shared" si="6"/>
        <v>14.95</v>
      </c>
      <c r="N212" s="10">
        <f t="shared" si="7"/>
        <v>207</v>
      </c>
    </row>
    <row r="213" spans="1:14" s="48" customFormat="1" hidden="1" x14ac:dyDescent="0.25">
      <c r="A213" s="74" t="s">
        <v>1058</v>
      </c>
      <c r="B213" s="76" t="s">
        <v>985</v>
      </c>
      <c r="C213" s="76" t="s">
        <v>5</v>
      </c>
      <c r="D213" s="48" t="s">
        <v>909</v>
      </c>
      <c r="E213" s="73">
        <v>1</v>
      </c>
      <c r="F213" s="48" t="s">
        <v>910</v>
      </c>
      <c r="G213" s="48" t="s">
        <v>911</v>
      </c>
      <c r="H213" s="48" t="s">
        <v>912</v>
      </c>
      <c r="I213" s="48">
        <v>1</v>
      </c>
      <c r="J213" s="73">
        <v>24.95</v>
      </c>
      <c r="K213" s="48" t="s">
        <v>1900</v>
      </c>
      <c r="L213" s="48" t="s">
        <v>1048</v>
      </c>
      <c r="M213">
        <f t="shared" si="6"/>
        <v>24.95</v>
      </c>
      <c r="N213" s="48">
        <f t="shared" si="7"/>
        <v>208</v>
      </c>
    </row>
    <row r="214" spans="1:14" s="48" customFormat="1" hidden="1" x14ac:dyDescent="0.25">
      <c r="A214" s="74" t="s">
        <v>1058</v>
      </c>
      <c r="B214" s="74" t="s">
        <v>985</v>
      </c>
      <c r="C214" s="74" t="s">
        <v>5</v>
      </c>
      <c r="D214" s="48" t="s">
        <v>913</v>
      </c>
      <c r="E214" s="73">
        <v>1</v>
      </c>
      <c r="F214" s="48" t="s">
        <v>914</v>
      </c>
      <c r="G214" s="48" t="s">
        <v>915</v>
      </c>
      <c r="H214" s="48" t="s">
        <v>916</v>
      </c>
      <c r="I214" s="48">
        <v>1</v>
      </c>
      <c r="J214" s="73">
        <v>14.95</v>
      </c>
      <c r="K214" s="48" t="s">
        <v>1900</v>
      </c>
      <c r="L214" s="48" t="s">
        <v>1048</v>
      </c>
      <c r="M214">
        <f t="shared" si="6"/>
        <v>14.95</v>
      </c>
      <c r="N214" s="48">
        <f t="shared" si="7"/>
        <v>209</v>
      </c>
    </row>
    <row r="215" spans="1:14" s="48" customFormat="1" hidden="1" x14ac:dyDescent="0.25">
      <c r="A215" s="74" t="s">
        <v>1058</v>
      </c>
      <c r="B215" s="75" t="s">
        <v>2005</v>
      </c>
      <c r="C215" s="75" t="s">
        <v>5</v>
      </c>
      <c r="D215" s="48" t="s">
        <v>977</v>
      </c>
      <c r="E215" s="73">
        <v>0</v>
      </c>
      <c r="F215" s="48" t="s">
        <v>978</v>
      </c>
      <c r="G215" s="48" t="s">
        <v>979</v>
      </c>
      <c r="H215" s="48" t="s">
        <v>980</v>
      </c>
      <c r="I215" s="48">
        <v>1</v>
      </c>
      <c r="J215" s="73">
        <v>179.95</v>
      </c>
      <c r="K215" s="48" t="s">
        <v>1900</v>
      </c>
      <c r="L215" s="48" t="s">
        <v>1049</v>
      </c>
      <c r="M215">
        <f t="shared" si="6"/>
        <v>0</v>
      </c>
      <c r="N215" s="48">
        <f t="shared" si="7"/>
        <v>210</v>
      </c>
    </row>
    <row r="216" spans="1:14" s="10" customFormat="1" hidden="1" x14ac:dyDescent="0.25">
      <c r="A216" s="71" t="s">
        <v>1058</v>
      </c>
      <c r="B216" s="67" t="s">
        <v>2005</v>
      </c>
      <c r="C216" s="67" t="s">
        <v>5</v>
      </c>
      <c r="D216" s="10" t="s">
        <v>1769</v>
      </c>
      <c r="E216" s="64">
        <v>1</v>
      </c>
      <c r="F216" s="10" t="s">
        <v>1770</v>
      </c>
      <c r="G216" s="10" t="s">
        <v>1771</v>
      </c>
      <c r="H216" s="10" t="s">
        <v>1772</v>
      </c>
      <c r="J216" s="64">
        <v>84.95</v>
      </c>
      <c r="K216" s="10" t="s">
        <v>1900</v>
      </c>
      <c r="L216"/>
      <c r="M216">
        <f t="shared" si="6"/>
        <v>84.95</v>
      </c>
      <c r="N216" s="10">
        <f t="shared" si="7"/>
        <v>211</v>
      </c>
    </row>
    <row r="217" spans="1:14" s="10" customFormat="1" hidden="1" x14ac:dyDescent="0.25">
      <c r="A217" s="71" t="s">
        <v>1058</v>
      </c>
      <c r="B217" s="67" t="s">
        <v>2005</v>
      </c>
      <c r="C217" s="67" t="s">
        <v>5</v>
      </c>
      <c r="D217" s="10" t="s">
        <v>1733</v>
      </c>
      <c r="E217" s="64">
        <v>0</v>
      </c>
      <c r="F217" s="10" t="s">
        <v>1734</v>
      </c>
      <c r="G217" s="10" t="s">
        <v>1735</v>
      </c>
      <c r="H217" s="10" t="s">
        <v>1736</v>
      </c>
      <c r="I217" s="10">
        <v>1</v>
      </c>
      <c r="J217" s="64">
        <v>84.95</v>
      </c>
      <c r="K217" s="10" t="s">
        <v>1900</v>
      </c>
      <c r="L217"/>
      <c r="M217">
        <f t="shared" si="6"/>
        <v>0</v>
      </c>
      <c r="N217" s="10">
        <f t="shared" si="7"/>
        <v>212</v>
      </c>
    </row>
    <row r="218" spans="1:14" s="10" customFormat="1" hidden="1" x14ac:dyDescent="0.25">
      <c r="A218" s="71" t="s">
        <v>1058</v>
      </c>
      <c r="B218" s="67" t="s">
        <v>2005</v>
      </c>
      <c r="C218" s="67" t="s">
        <v>1884</v>
      </c>
      <c r="D218" s="10" t="s">
        <v>2071</v>
      </c>
      <c r="E218" s="64">
        <v>0</v>
      </c>
      <c r="H218" s="10" t="s">
        <v>2072</v>
      </c>
      <c r="J218" s="64">
        <v>39.950000000000003</v>
      </c>
      <c r="K218" s="10" t="s">
        <v>1896</v>
      </c>
      <c r="L218"/>
      <c r="M218">
        <f t="shared" si="6"/>
        <v>0</v>
      </c>
      <c r="N218" s="10">
        <f t="shared" si="7"/>
        <v>213</v>
      </c>
    </row>
    <row r="219" spans="1:14" s="10" customFormat="1" hidden="1" x14ac:dyDescent="0.25">
      <c r="A219" s="10" t="s">
        <v>1058</v>
      </c>
      <c r="B219" s="67" t="s">
        <v>2005</v>
      </c>
      <c r="C219" s="10" t="s">
        <v>1884</v>
      </c>
      <c r="D219" s="10" t="s">
        <v>2073</v>
      </c>
      <c r="E219" s="64">
        <v>0</v>
      </c>
      <c r="H219" s="30" t="s">
        <v>2074</v>
      </c>
      <c r="I219"/>
      <c r="J219" s="70">
        <v>44.95</v>
      </c>
      <c r="K219" s="30" t="s">
        <v>1896</v>
      </c>
      <c r="L219"/>
      <c r="M219">
        <f t="shared" si="6"/>
        <v>0</v>
      </c>
      <c r="N219" s="10">
        <f t="shared" si="7"/>
        <v>214</v>
      </c>
    </row>
    <row r="220" spans="1:14" s="78" customFormat="1" hidden="1" x14ac:dyDescent="0.25">
      <c r="A220" s="78" t="s">
        <v>1058</v>
      </c>
      <c r="B220" s="67" t="s">
        <v>2005</v>
      </c>
      <c r="C220" s="78" t="s">
        <v>5</v>
      </c>
      <c r="D220" s="78" t="s">
        <v>1729</v>
      </c>
      <c r="E220" s="79">
        <v>1</v>
      </c>
      <c r="F220" s="78" t="s">
        <v>1730</v>
      </c>
      <c r="G220" s="78" t="s">
        <v>1731</v>
      </c>
      <c r="H220" s="77" t="s">
        <v>1732</v>
      </c>
      <c r="I220" s="80">
        <v>1</v>
      </c>
      <c r="J220" s="85">
        <v>24.95</v>
      </c>
      <c r="K220" s="77" t="s">
        <v>1900</v>
      </c>
      <c r="L220" s="80"/>
      <c r="M220">
        <f t="shared" si="6"/>
        <v>24.95</v>
      </c>
      <c r="N220" s="78">
        <f t="shared" si="7"/>
        <v>215</v>
      </c>
    </row>
    <row r="221" spans="1:14" s="78" customFormat="1" hidden="1" x14ac:dyDescent="0.25">
      <c r="A221" s="77" t="s">
        <v>1058</v>
      </c>
      <c r="B221" s="90" t="s">
        <v>1059</v>
      </c>
      <c r="C221" s="90" t="s">
        <v>5</v>
      </c>
      <c r="D221" s="78" t="s">
        <v>973</v>
      </c>
      <c r="E221" s="79">
        <v>1</v>
      </c>
      <c r="F221" s="78" t="s">
        <v>974</v>
      </c>
      <c r="G221" s="78" t="s">
        <v>975</v>
      </c>
      <c r="H221" s="78" t="s">
        <v>976</v>
      </c>
      <c r="J221" s="79">
        <v>209.95</v>
      </c>
      <c r="K221" s="78" t="s">
        <v>1900</v>
      </c>
      <c r="L221" s="78" t="s">
        <v>1051</v>
      </c>
      <c r="M221">
        <f t="shared" si="6"/>
        <v>209.95</v>
      </c>
      <c r="N221" s="78">
        <f t="shared" si="7"/>
        <v>216</v>
      </c>
    </row>
    <row r="222" spans="1:14" s="78" customFormat="1" hidden="1" x14ac:dyDescent="0.25">
      <c r="A222" s="77" t="s">
        <v>1058</v>
      </c>
      <c r="B222" s="90" t="s">
        <v>1424</v>
      </c>
      <c r="C222" s="90" t="s">
        <v>5</v>
      </c>
      <c r="D222" s="78" t="s">
        <v>969</v>
      </c>
      <c r="E222" s="79">
        <v>1</v>
      </c>
      <c r="F222" s="78" t="s">
        <v>970</v>
      </c>
      <c r="G222" s="78" t="s">
        <v>971</v>
      </c>
      <c r="H222" s="78" t="s">
        <v>972</v>
      </c>
      <c r="I222" s="78">
        <v>1</v>
      </c>
      <c r="J222" s="79">
        <v>49.95</v>
      </c>
      <c r="K222" s="78" t="s">
        <v>1896</v>
      </c>
      <c r="L222" s="78" t="s">
        <v>1050</v>
      </c>
      <c r="M222">
        <f t="shared" si="6"/>
        <v>49.95</v>
      </c>
      <c r="N222" s="78">
        <f t="shared" si="7"/>
        <v>217</v>
      </c>
    </row>
    <row r="223" spans="1:14" s="78" customFormat="1" hidden="1" x14ac:dyDescent="0.25">
      <c r="A223" s="78" t="s">
        <v>1058</v>
      </c>
      <c r="B223" s="78" t="s">
        <v>2000</v>
      </c>
      <c r="C223" s="78" t="s">
        <v>1884</v>
      </c>
      <c r="D223" s="78" t="s">
        <v>2322</v>
      </c>
      <c r="E223" s="79">
        <v>0</v>
      </c>
      <c r="H223" s="77" t="s">
        <v>2323</v>
      </c>
      <c r="I223" s="80"/>
      <c r="J223" s="85">
        <v>9.9499999999999993</v>
      </c>
      <c r="K223" s="77" t="s">
        <v>1896</v>
      </c>
      <c r="L223" s="80"/>
      <c r="M223">
        <f t="shared" si="6"/>
        <v>0</v>
      </c>
      <c r="N223" s="78">
        <f t="shared" si="7"/>
        <v>218</v>
      </c>
    </row>
    <row r="224" spans="1:14" s="78" customFormat="1" hidden="1" x14ac:dyDescent="0.25">
      <c r="A224" s="78" t="s">
        <v>1058</v>
      </c>
      <c r="B224" s="78" t="s">
        <v>2000</v>
      </c>
      <c r="C224" s="78" t="s">
        <v>1884</v>
      </c>
      <c r="D224" s="78" t="s">
        <v>2324</v>
      </c>
      <c r="E224" s="79">
        <v>0</v>
      </c>
      <c r="H224" s="77" t="s">
        <v>2325</v>
      </c>
      <c r="I224" s="80"/>
      <c r="J224" s="85">
        <v>24.95</v>
      </c>
      <c r="K224" s="77" t="s">
        <v>1896</v>
      </c>
      <c r="L224" s="80"/>
      <c r="M224">
        <f t="shared" si="6"/>
        <v>0</v>
      </c>
      <c r="N224" s="78">
        <f t="shared" si="7"/>
        <v>219</v>
      </c>
    </row>
    <row r="225" spans="1:14" s="78" customFormat="1" hidden="1" x14ac:dyDescent="0.25">
      <c r="A225" s="78" t="s">
        <v>1058</v>
      </c>
      <c r="B225" s="78" t="s">
        <v>2000</v>
      </c>
      <c r="C225" s="78" t="s">
        <v>1884</v>
      </c>
      <c r="D225" s="78" t="s">
        <v>2326</v>
      </c>
      <c r="E225" s="79">
        <v>0</v>
      </c>
      <c r="H225" s="77" t="s">
        <v>2327</v>
      </c>
      <c r="I225" s="80"/>
      <c r="J225" s="85">
        <v>26.95</v>
      </c>
      <c r="K225" s="77" t="s">
        <v>1899</v>
      </c>
      <c r="L225" s="80"/>
      <c r="M225">
        <f t="shared" si="6"/>
        <v>0</v>
      </c>
      <c r="N225" s="78">
        <f t="shared" si="7"/>
        <v>220</v>
      </c>
    </row>
    <row r="226" spans="1:14" s="78" customFormat="1" hidden="1" x14ac:dyDescent="0.25">
      <c r="A226" s="78" t="s">
        <v>1058</v>
      </c>
      <c r="B226" s="78" t="s">
        <v>2000</v>
      </c>
      <c r="C226" s="78" t="s">
        <v>1884</v>
      </c>
      <c r="D226" s="78" t="s">
        <v>2328</v>
      </c>
      <c r="E226" s="79">
        <v>0</v>
      </c>
      <c r="H226" s="77" t="s">
        <v>2329</v>
      </c>
      <c r="I226" s="80"/>
      <c r="J226" s="85">
        <v>14.95</v>
      </c>
      <c r="K226" s="77" t="s">
        <v>1896</v>
      </c>
      <c r="L226" s="80"/>
      <c r="M226">
        <f t="shared" si="6"/>
        <v>0</v>
      </c>
      <c r="N226" s="78">
        <f t="shared" si="7"/>
        <v>221</v>
      </c>
    </row>
    <row r="227" spans="1:14" s="78" customFormat="1" hidden="1" x14ac:dyDescent="0.25">
      <c r="A227" s="77" t="s">
        <v>1038</v>
      </c>
      <c r="B227" s="77" t="s">
        <v>1057</v>
      </c>
      <c r="C227" s="77" t="s">
        <v>5</v>
      </c>
      <c r="D227" s="78" t="s">
        <v>352</v>
      </c>
      <c r="E227" s="79">
        <v>1</v>
      </c>
      <c r="F227" s="78" t="s">
        <v>353</v>
      </c>
      <c r="G227" s="78" t="s">
        <v>354</v>
      </c>
      <c r="H227" s="78" t="s">
        <v>355</v>
      </c>
      <c r="I227" s="78">
        <v>1</v>
      </c>
      <c r="J227" s="79">
        <v>94.95</v>
      </c>
      <c r="K227" s="78" t="s">
        <v>1899</v>
      </c>
      <c r="L227" s="78" t="s">
        <v>1043</v>
      </c>
      <c r="M227">
        <f t="shared" si="6"/>
        <v>94.95</v>
      </c>
      <c r="N227" s="78">
        <f t="shared" si="7"/>
        <v>222</v>
      </c>
    </row>
    <row r="228" spans="1:14" s="78" customFormat="1" hidden="1" x14ac:dyDescent="0.25">
      <c r="A228" s="77" t="s">
        <v>1038</v>
      </c>
      <c r="B228" s="77" t="s">
        <v>1396</v>
      </c>
      <c r="C228" s="77" t="s">
        <v>5</v>
      </c>
      <c r="D228" s="78" t="s">
        <v>1317</v>
      </c>
      <c r="E228" s="79">
        <v>1</v>
      </c>
      <c r="F228" s="78" t="s">
        <v>1318</v>
      </c>
      <c r="G228" s="78" t="s">
        <v>1319</v>
      </c>
      <c r="H228" s="78" t="s">
        <v>1320</v>
      </c>
      <c r="I228" s="78">
        <v>1</v>
      </c>
      <c r="J228" s="79">
        <v>69.95</v>
      </c>
      <c r="K228" s="78" t="s">
        <v>1900</v>
      </c>
      <c r="L228" s="78" t="s">
        <v>1337</v>
      </c>
      <c r="M228">
        <f t="shared" si="6"/>
        <v>69.95</v>
      </c>
      <c r="N228" s="78">
        <f t="shared" si="7"/>
        <v>223</v>
      </c>
    </row>
    <row r="229" spans="1:14" s="78" customFormat="1" hidden="1" x14ac:dyDescent="0.25">
      <c r="A229" s="77" t="s">
        <v>1038</v>
      </c>
      <c r="B229" s="77" t="s">
        <v>1396</v>
      </c>
      <c r="C229" s="77" t="s">
        <v>5</v>
      </c>
      <c r="D229" s="78" t="s">
        <v>1305</v>
      </c>
      <c r="E229" s="79">
        <v>0</v>
      </c>
      <c r="F229" s="78" t="s">
        <v>1306</v>
      </c>
      <c r="G229" s="78" t="s">
        <v>1307</v>
      </c>
      <c r="H229" s="78" t="s">
        <v>1308</v>
      </c>
      <c r="J229" s="79">
        <v>9.9499999999999993</v>
      </c>
      <c r="K229" s="78" t="s">
        <v>1900</v>
      </c>
      <c r="L229" s="78" t="s">
        <v>1337</v>
      </c>
      <c r="M229">
        <f t="shared" si="6"/>
        <v>0</v>
      </c>
      <c r="N229" s="78">
        <f t="shared" si="7"/>
        <v>224</v>
      </c>
    </row>
    <row r="230" spans="1:14" s="78" customFormat="1" hidden="1" x14ac:dyDescent="0.25">
      <c r="A230" s="77" t="s">
        <v>1038</v>
      </c>
      <c r="B230" s="77" t="s">
        <v>1396</v>
      </c>
      <c r="C230" s="77" t="s">
        <v>5</v>
      </c>
      <c r="D230" s="78" t="s">
        <v>1309</v>
      </c>
      <c r="E230" s="79">
        <v>0</v>
      </c>
      <c r="F230" s="78" t="s">
        <v>1310</v>
      </c>
      <c r="G230" s="78" t="s">
        <v>1311</v>
      </c>
      <c r="H230" s="78" t="s">
        <v>1312</v>
      </c>
      <c r="I230" s="78">
        <v>1</v>
      </c>
      <c r="J230" s="79">
        <v>99.95</v>
      </c>
      <c r="K230" s="78" t="s">
        <v>1900</v>
      </c>
      <c r="L230" s="78" t="s">
        <v>1337</v>
      </c>
      <c r="M230">
        <f t="shared" si="6"/>
        <v>0</v>
      </c>
      <c r="N230" s="78">
        <f t="shared" si="7"/>
        <v>225</v>
      </c>
    </row>
    <row r="231" spans="1:14" s="78" customFormat="1" hidden="1" x14ac:dyDescent="0.25">
      <c r="A231" s="77" t="s">
        <v>1038</v>
      </c>
      <c r="B231" s="77" t="s">
        <v>1396</v>
      </c>
      <c r="C231" s="77" t="s">
        <v>5</v>
      </c>
      <c r="D231" s="78" t="s">
        <v>1313</v>
      </c>
      <c r="E231" s="79">
        <v>0</v>
      </c>
      <c r="F231" s="78" t="s">
        <v>1314</v>
      </c>
      <c r="G231" s="78" t="s">
        <v>1315</v>
      </c>
      <c r="H231" s="78" t="s">
        <v>1316</v>
      </c>
      <c r="I231" s="78">
        <v>1</v>
      </c>
      <c r="J231" s="79">
        <v>65.95</v>
      </c>
      <c r="K231" s="78" t="s">
        <v>1900</v>
      </c>
      <c r="L231" s="78" t="s">
        <v>1337</v>
      </c>
      <c r="M231">
        <f t="shared" si="6"/>
        <v>0</v>
      </c>
      <c r="N231" s="78">
        <f t="shared" si="7"/>
        <v>226</v>
      </c>
    </row>
    <row r="232" spans="1:14" s="78" customFormat="1" hidden="1" x14ac:dyDescent="0.25">
      <c r="A232" s="77" t="s">
        <v>1038</v>
      </c>
      <c r="B232" s="77" t="s">
        <v>1396</v>
      </c>
      <c r="C232" s="77" t="s">
        <v>5</v>
      </c>
      <c r="D232" s="78" t="s">
        <v>1301</v>
      </c>
      <c r="E232" s="79">
        <v>0</v>
      </c>
      <c r="F232" s="78" t="s">
        <v>1302</v>
      </c>
      <c r="G232" s="78" t="s">
        <v>1303</v>
      </c>
      <c r="H232" s="78" t="s">
        <v>1304</v>
      </c>
      <c r="J232" s="79">
        <v>7.95</v>
      </c>
      <c r="K232" s="78" t="s">
        <v>1900</v>
      </c>
      <c r="L232" s="78" t="s">
        <v>1337</v>
      </c>
      <c r="M232">
        <f t="shared" si="6"/>
        <v>0</v>
      </c>
      <c r="N232" s="78">
        <f t="shared" si="7"/>
        <v>227</v>
      </c>
    </row>
    <row r="233" spans="1:14" s="78" customFormat="1" hidden="1" x14ac:dyDescent="0.25">
      <c r="A233" s="78" t="s">
        <v>1038</v>
      </c>
      <c r="B233" s="78" t="s">
        <v>1396</v>
      </c>
      <c r="C233" s="78" t="s">
        <v>1884</v>
      </c>
      <c r="D233" s="78" t="s">
        <v>2350</v>
      </c>
      <c r="E233" s="79">
        <v>1</v>
      </c>
      <c r="H233" s="77" t="s">
        <v>2351</v>
      </c>
      <c r="I233" s="80"/>
      <c r="J233" s="85">
        <v>49.95</v>
      </c>
      <c r="K233" s="77" t="s">
        <v>1900</v>
      </c>
      <c r="L233" s="80"/>
      <c r="M233">
        <f t="shared" si="6"/>
        <v>49.95</v>
      </c>
      <c r="N233" s="78">
        <f t="shared" si="7"/>
        <v>228</v>
      </c>
    </row>
    <row r="234" spans="1:14" s="78" customFormat="1" hidden="1" x14ac:dyDescent="0.25">
      <c r="A234" s="78" t="s">
        <v>1038</v>
      </c>
      <c r="B234" s="78" t="s">
        <v>1396</v>
      </c>
      <c r="C234" s="78" t="s">
        <v>1884</v>
      </c>
      <c r="D234" s="78" t="s">
        <v>2352</v>
      </c>
      <c r="E234" s="79">
        <v>0</v>
      </c>
      <c r="H234" s="77" t="s">
        <v>2353</v>
      </c>
      <c r="I234" s="80"/>
      <c r="J234" s="85">
        <v>9.9499999999999993</v>
      </c>
      <c r="K234" s="77" t="s">
        <v>1900</v>
      </c>
      <c r="L234" s="80"/>
      <c r="M234">
        <f t="shared" si="6"/>
        <v>0</v>
      </c>
      <c r="N234" s="78">
        <f t="shared" si="7"/>
        <v>229</v>
      </c>
    </row>
    <row r="235" spans="1:14" s="78" customFormat="1" hidden="1" x14ac:dyDescent="0.25">
      <c r="A235" s="78" t="s">
        <v>1038</v>
      </c>
      <c r="B235" s="78" t="s">
        <v>1396</v>
      </c>
      <c r="C235" s="78" t="s">
        <v>1884</v>
      </c>
      <c r="D235" s="78" t="s">
        <v>2354</v>
      </c>
      <c r="E235" s="79">
        <v>0</v>
      </c>
      <c r="H235" s="77" t="s">
        <v>2355</v>
      </c>
      <c r="I235" s="80"/>
      <c r="J235" s="85">
        <v>19.95</v>
      </c>
      <c r="K235" s="77" t="s">
        <v>1900</v>
      </c>
      <c r="L235" s="80"/>
      <c r="M235">
        <f t="shared" si="6"/>
        <v>0</v>
      </c>
      <c r="N235" s="78">
        <f t="shared" si="7"/>
        <v>230</v>
      </c>
    </row>
    <row r="236" spans="1:14" s="78" customFormat="1" hidden="1" x14ac:dyDescent="0.25">
      <c r="A236" s="78" t="s">
        <v>1038</v>
      </c>
      <c r="B236" s="78" t="s">
        <v>1396</v>
      </c>
      <c r="C236" s="78" t="s">
        <v>1884</v>
      </c>
      <c r="D236" s="78" t="s">
        <v>2356</v>
      </c>
      <c r="E236" s="79">
        <v>1</v>
      </c>
      <c r="H236" s="77" t="s">
        <v>2357</v>
      </c>
      <c r="I236" s="80"/>
      <c r="J236" s="85">
        <v>9.9499999999999993</v>
      </c>
      <c r="K236" s="77" t="s">
        <v>1900</v>
      </c>
      <c r="L236" s="80"/>
      <c r="M236">
        <f t="shared" si="6"/>
        <v>9.9499999999999993</v>
      </c>
      <c r="N236" s="78">
        <f t="shared" si="7"/>
        <v>231</v>
      </c>
    </row>
    <row r="237" spans="1:14" s="78" customFormat="1" hidden="1" x14ac:dyDescent="0.25">
      <c r="A237" s="78" t="s">
        <v>1038</v>
      </c>
      <c r="B237" s="78" t="s">
        <v>1396</v>
      </c>
      <c r="C237" s="78" t="s">
        <v>1884</v>
      </c>
      <c r="D237" s="78" t="s">
        <v>2358</v>
      </c>
      <c r="E237" s="79">
        <v>0</v>
      </c>
      <c r="H237" s="77" t="s">
        <v>2359</v>
      </c>
      <c r="I237" s="80"/>
      <c r="J237" s="85">
        <v>7.95</v>
      </c>
      <c r="K237" s="77" t="s">
        <v>1900</v>
      </c>
      <c r="L237" s="80"/>
      <c r="M237">
        <f t="shared" si="6"/>
        <v>0</v>
      </c>
      <c r="N237" s="78">
        <f t="shared" si="7"/>
        <v>232</v>
      </c>
    </row>
    <row r="238" spans="1:14" s="78" customFormat="1" hidden="1" x14ac:dyDescent="0.25">
      <c r="A238" s="78" t="s">
        <v>1038</v>
      </c>
      <c r="B238" s="78" t="s">
        <v>1396</v>
      </c>
      <c r="C238" s="78" t="s">
        <v>1884</v>
      </c>
      <c r="D238" s="78" t="s">
        <v>2360</v>
      </c>
      <c r="E238" s="79">
        <v>1</v>
      </c>
      <c r="H238" s="77" t="s">
        <v>2361</v>
      </c>
      <c r="I238" s="80"/>
      <c r="J238" s="85">
        <v>39.950000000000003</v>
      </c>
      <c r="K238" s="77" t="s">
        <v>1900</v>
      </c>
      <c r="L238" s="80"/>
      <c r="M238">
        <f t="shared" si="6"/>
        <v>39.950000000000003</v>
      </c>
      <c r="N238" s="78">
        <f t="shared" si="7"/>
        <v>233</v>
      </c>
    </row>
    <row r="239" spans="1:14" s="78" customFormat="1" hidden="1" x14ac:dyDescent="0.25">
      <c r="A239" s="78" t="s">
        <v>1038</v>
      </c>
      <c r="B239" s="78" t="s">
        <v>1396</v>
      </c>
      <c r="C239" s="78" t="s">
        <v>1884</v>
      </c>
      <c r="D239" s="78" t="s">
        <v>2362</v>
      </c>
      <c r="E239" s="79">
        <v>0</v>
      </c>
      <c r="H239" s="77" t="s">
        <v>2363</v>
      </c>
      <c r="I239" s="80"/>
      <c r="J239" s="85">
        <v>39.950000000000003</v>
      </c>
      <c r="K239" s="77" t="s">
        <v>1900</v>
      </c>
      <c r="L239" s="80"/>
      <c r="M239">
        <f t="shared" si="6"/>
        <v>0</v>
      </c>
      <c r="N239" s="78">
        <f t="shared" si="7"/>
        <v>234</v>
      </c>
    </row>
    <row r="240" spans="1:14" s="78" customFormat="1" hidden="1" x14ac:dyDescent="0.25">
      <c r="A240" s="78" t="s">
        <v>1038</v>
      </c>
      <c r="B240" s="78" t="s">
        <v>1396</v>
      </c>
      <c r="C240" s="78" t="s">
        <v>1884</v>
      </c>
      <c r="D240" s="78" t="s">
        <v>2364</v>
      </c>
      <c r="E240" s="79">
        <v>0</v>
      </c>
      <c r="H240" s="77" t="s">
        <v>2365</v>
      </c>
      <c r="I240" s="80"/>
      <c r="J240" s="85">
        <v>49.95</v>
      </c>
      <c r="K240" s="77" t="s">
        <v>1900</v>
      </c>
      <c r="L240" s="80"/>
      <c r="M240">
        <f t="shared" si="6"/>
        <v>0</v>
      </c>
      <c r="N240" s="78">
        <f t="shared" si="7"/>
        <v>235</v>
      </c>
    </row>
    <row r="241" spans="1:14" s="78" customFormat="1" hidden="1" x14ac:dyDescent="0.25">
      <c r="A241" s="77" t="s">
        <v>1038</v>
      </c>
      <c r="B241" s="77" t="s">
        <v>1034</v>
      </c>
      <c r="C241" s="77" t="s">
        <v>5</v>
      </c>
      <c r="D241" s="78" t="s">
        <v>333</v>
      </c>
      <c r="E241" s="79">
        <v>1</v>
      </c>
      <c r="F241" s="78" t="s">
        <v>334</v>
      </c>
      <c r="G241" s="78" t="s">
        <v>335</v>
      </c>
      <c r="H241" s="78" t="s">
        <v>336</v>
      </c>
      <c r="I241" s="78">
        <v>1</v>
      </c>
      <c r="J241" s="79">
        <v>54.95</v>
      </c>
      <c r="K241" s="78" t="s">
        <v>1900</v>
      </c>
      <c r="L241" s="78" t="s">
        <v>1037</v>
      </c>
      <c r="M241">
        <f t="shared" si="6"/>
        <v>54.95</v>
      </c>
      <c r="N241" s="78">
        <f t="shared" si="7"/>
        <v>236</v>
      </c>
    </row>
    <row r="242" spans="1:14" s="78" customFormat="1" hidden="1" x14ac:dyDescent="0.25">
      <c r="A242" s="77" t="s">
        <v>1038</v>
      </c>
      <c r="B242" s="77" t="s">
        <v>1034</v>
      </c>
      <c r="C242" s="77" t="s">
        <v>5</v>
      </c>
      <c r="D242" s="78" t="s">
        <v>329</v>
      </c>
      <c r="E242" s="79">
        <v>0</v>
      </c>
      <c r="F242" s="78" t="s">
        <v>330</v>
      </c>
      <c r="G242" s="78" t="s">
        <v>331</v>
      </c>
      <c r="H242" s="78" t="s">
        <v>332</v>
      </c>
      <c r="J242" s="79">
        <v>59.95</v>
      </c>
      <c r="K242" s="78" t="s">
        <v>1899</v>
      </c>
      <c r="L242" s="78" t="s">
        <v>1037</v>
      </c>
      <c r="M242">
        <f t="shared" si="6"/>
        <v>0</v>
      </c>
      <c r="N242" s="78">
        <f t="shared" si="7"/>
        <v>237</v>
      </c>
    </row>
    <row r="243" spans="1:14" s="78" customFormat="1" hidden="1" x14ac:dyDescent="0.25">
      <c r="A243" s="77" t="s">
        <v>1038</v>
      </c>
      <c r="B243" s="77" t="s">
        <v>1035</v>
      </c>
      <c r="C243" s="77" t="s">
        <v>5</v>
      </c>
      <c r="D243" s="78" t="s">
        <v>293</v>
      </c>
      <c r="E243" s="79">
        <v>1</v>
      </c>
      <c r="F243" s="78" t="s">
        <v>294</v>
      </c>
      <c r="G243" s="78" t="s">
        <v>295</v>
      </c>
      <c r="H243" s="78" t="s">
        <v>296</v>
      </c>
      <c r="I243" s="78">
        <v>1</v>
      </c>
      <c r="J243" s="79">
        <v>99.95</v>
      </c>
      <c r="K243" s="78" t="s">
        <v>1900</v>
      </c>
      <c r="L243" s="78" t="s">
        <v>1042</v>
      </c>
      <c r="M243">
        <f t="shared" si="6"/>
        <v>99.95</v>
      </c>
      <c r="N243" s="78">
        <f t="shared" si="7"/>
        <v>238</v>
      </c>
    </row>
    <row r="244" spans="1:14" s="78" customFormat="1" hidden="1" x14ac:dyDescent="0.25">
      <c r="A244" s="77" t="s">
        <v>1038</v>
      </c>
      <c r="B244" s="77" t="s">
        <v>1035</v>
      </c>
      <c r="C244" s="77" t="s">
        <v>5</v>
      </c>
      <c r="D244" s="78" t="s">
        <v>313</v>
      </c>
      <c r="E244" s="79">
        <v>1</v>
      </c>
      <c r="F244" s="78" t="s">
        <v>314</v>
      </c>
      <c r="G244" s="78" t="s">
        <v>315</v>
      </c>
      <c r="H244" s="78" t="s">
        <v>316</v>
      </c>
      <c r="I244" s="78">
        <v>1</v>
      </c>
      <c r="J244" s="79">
        <v>19.95</v>
      </c>
      <c r="K244" s="78" t="s">
        <v>1900</v>
      </c>
      <c r="L244" s="78" t="s">
        <v>1042</v>
      </c>
      <c r="M244">
        <f t="shared" si="6"/>
        <v>19.95</v>
      </c>
      <c r="N244" s="78">
        <f t="shared" si="7"/>
        <v>239</v>
      </c>
    </row>
    <row r="245" spans="1:14" s="78" customFormat="1" hidden="1" x14ac:dyDescent="0.25">
      <c r="A245" s="77" t="s">
        <v>1038</v>
      </c>
      <c r="B245" s="77" t="s">
        <v>1035</v>
      </c>
      <c r="C245" s="77" t="s">
        <v>5</v>
      </c>
      <c r="D245" s="78" t="s">
        <v>301</v>
      </c>
      <c r="E245" s="79">
        <v>1</v>
      </c>
      <c r="F245" s="78" t="s">
        <v>302</v>
      </c>
      <c r="G245" s="78" t="s">
        <v>303</v>
      </c>
      <c r="H245" s="78" t="s">
        <v>304</v>
      </c>
      <c r="I245" s="78">
        <v>1</v>
      </c>
      <c r="J245" s="79">
        <v>9.9499999999999993</v>
      </c>
      <c r="K245" s="78" t="s">
        <v>1900</v>
      </c>
      <c r="L245" s="78" t="s">
        <v>1042</v>
      </c>
      <c r="M245">
        <f t="shared" si="6"/>
        <v>9.9499999999999993</v>
      </c>
      <c r="N245" s="78">
        <f t="shared" si="7"/>
        <v>240</v>
      </c>
    </row>
    <row r="246" spans="1:14" s="78" customFormat="1" hidden="1" x14ac:dyDescent="0.25">
      <c r="A246" s="77" t="s">
        <v>1038</v>
      </c>
      <c r="B246" s="77" t="s">
        <v>1035</v>
      </c>
      <c r="C246" s="77" t="s">
        <v>5</v>
      </c>
      <c r="D246" s="78" t="s">
        <v>305</v>
      </c>
      <c r="E246" s="79">
        <v>1</v>
      </c>
      <c r="F246" s="78" t="s">
        <v>306</v>
      </c>
      <c r="G246" s="78" t="s">
        <v>307</v>
      </c>
      <c r="H246" s="78" t="s">
        <v>308</v>
      </c>
      <c r="I246" s="78">
        <v>1</v>
      </c>
      <c r="J246" s="79">
        <v>9.9499999999999993</v>
      </c>
      <c r="K246" s="78" t="s">
        <v>1900</v>
      </c>
      <c r="L246" s="78" t="s">
        <v>1042</v>
      </c>
      <c r="M246">
        <f t="shared" si="6"/>
        <v>9.9499999999999993</v>
      </c>
      <c r="N246" s="78">
        <f t="shared" si="7"/>
        <v>241</v>
      </c>
    </row>
    <row r="247" spans="1:14" s="48" customFormat="1" hidden="1" x14ac:dyDescent="0.25">
      <c r="A247" s="74" t="s">
        <v>1038</v>
      </c>
      <c r="B247" s="74" t="s">
        <v>1035</v>
      </c>
      <c r="C247" s="74" t="s">
        <v>5</v>
      </c>
      <c r="D247" s="48" t="s">
        <v>309</v>
      </c>
      <c r="E247" s="73">
        <v>1</v>
      </c>
      <c r="F247" s="48" t="s">
        <v>310</v>
      </c>
      <c r="G247" s="48" t="s">
        <v>311</v>
      </c>
      <c r="H247" s="48" t="s">
        <v>312</v>
      </c>
      <c r="I247" s="48">
        <v>1</v>
      </c>
      <c r="J247" s="73">
        <v>9.9499999999999993</v>
      </c>
      <c r="K247" s="48" t="s">
        <v>1900</v>
      </c>
      <c r="L247" s="48" t="s">
        <v>1042</v>
      </c>
      <c r="M247">
        <f t="shared" si="6"/>
        <v>9.9499999999999993</v>
      </c>
      <c r="N247" s="48">
        <f t="shared" si="7"/>
        <v>242</v>
      </c>
    </row>
    <row r="248" spans="1:14" s="48" customFormat="1" hidden="1" x14ac:dyDescent="0.25">
      <c r="A248" s="74" t="s">
        <v>1038</v>
      </c>
      <c r="B248" s="74" t="s">
        <v>1035</v>
      </c>
      <c r="C248" s="74" t="s">
        <v>5</v>
      </c>
      <c r="D248" s="48" t="s">
        <v>297</v>
      </c>
      <c r="E248" s="73">
        <v>1</v>
      </c>
      <c r="F248" s="48" t="s">
        <v>298</v>
      </c>
      <c r="G248" s="48" t="s">
        <v>299</v>
      </c>
      <c r="H248" s="48" t="s">
        <v>300</v>
      </c>
      <c r="I248" s="48">
        <v>1</v>
      </c>
      <c r="J248" s="73">
        <v>9.9499999999999993</v>
      </c>
      <c r="K248" s="48" t="s">
        <v>1900</v>
      </c>
      <c r="L248" s="48" t="s">
        <v>1042</v>
      </c>
      <c r="M248">
        <f t="shared" si="6"/>
        <v>9.9499999999999993</v>
      </c>
      <c r="N248" s="48">
        <f t="shared" si="7"/>
        <v>243</v>
      </c>
    </row>
    <row r="249" spans="1:14" s="48" customFormat="1" hidden="1" x14ac:dyDescent="0.25">
      <c r="A249" s="74" t="s">
        <v>1038</v>
      </c>
      <c r="B249" s="74" t="s">
        <v>1035</v>
      </c>
      <c r="C249" s="74" t="s">
        <v>5</v>
      </c>
      <c r="D249" s="48" t="s">
        <v>1116</v>
      </c>
      <c r="E249" s="73">
        <v>1</v>
      </c>
      <c r="F249" s="48" t="s">
        <v>1117</v>
      </c>
      <c r="G249" s="48" t="s">
        <v>1118</v>
      </c>
      <c r="H249" s="48" t="s">
        <v>1119</v>
      </c>
      <c r="I249" s="48">
        <v>1</v>
      </c>
      <c r="J249" s="73">
        <v>14.95</v>
      </c>
      <c r="K249" s="48" t="s">
        <v>1900</v>
      </c>
      <c r="L249" s="48" t="s">
        <v>1042</v>
      </c>
      <c r="M249">
        <f t="shared" si="6"/>
        <v>14.95</v>
      </c>
      <c r="N249" s="48">
        <f t="shared" si="7"/>
        <v>244</v>
      </c>
    </row>
    <row r="250" spans="1:14" s="48" customFormat="1" hidden="1" x14ac:dyDescent="0.25">
      <c r="A250" s="74" t="s">
        <v>1038</v>
      </c>
      <c r="B250" s="74" t="s">
        <v>1035</v>
      </c>
      <c r="C250" s="74" t="s">
        <v>5</v>
      </c>
      <c r="D250" s="48" t="s">
        <v>1136</v>
      </c>
      <c r="E250" s="73">
        <v>1</v>
      </c>
      <c r="F250" s="48" t="s">
        <v>1137</v>
      </c>
      <c r="G250" s="48" t="s">
        <v>1138</v>
      </c>
      <c r="H250" s="48" t="s">
        <v>1139</v>
      </c>
      <c r="I250" s="48">
        <v>1</v>
      </c>
      <c r="J250" s="73">
        <v>9.9499999999999993</v>
      </c>
      <c r="K250" s="48" t="s">
        <v>1900</v>
      </c>
      <c r="L250" s="48" t="s">
        <v>1042</v>
      </c>
      <c r="M250">
        <f t="shared" si="6"/>
        <v>9.9499999999999993</v>
      </c>
      <c r="N250" s="48">
        <f t="shared" si="7"/>
        <v>245</v>
      </c>
    </row>
    <row r="251" spans="1:14" s="48" customFormat="1" hidden="1" x14ac:dyDescent="0.25">
      <c r="A251" s="74" t="s">
        <v>1038</v>
      </c>
      <c r="B251" s="74" t="s">
        <v>1035</v>
      </c>
      <c r="C251" s="74" t="s">
        <v>5</v>
      </c>
      <c r="D251" s="48" t="s">
        <v>792</v>
      </c>
      <c r="E251" s="73">
        <v>4</v>
      </c>
      <c r="F251" s="48" t="s">
        <v>793</v>
      </c>
      <c r="G251" s="48" t="s">
        <v>794</v>
      </c>
      <c r="H251" s="48" t="s">
        <v>795</v>
      </c>
      <c r="I251" s="48">
        <v>1</v>
      </c>
      <c r="J251" s="73">
        <v>2.95</v>
      </c>
      <c r="K251" s="48" t="s">
        <v>1900</v>
      </c>
      <c r="L251" s="48" t="s">
        <v>1042</v>
      </c>
      <c r="M251">
        <f t="shared" si="6"/>
        <v>11.8</v>
      </c>
      <c r="N251" s="48">
        <f t="shared" si="7"/>
        <v>246</v>
      </c>
    </row>
    <row r="252" spans="1:14" s="48" customFormat="1" ht="17.25" hidden="1" x14ac:dyDescent="0.25">
      <c r="A252" s="74" t="s">
        <v>1038</v>
      </c>
      <c r="B252" s="74" t="s">
        <v>1723</v>
      </c>
      <c r="C252" s="74" t="s">
        <v>5</v>
      </c>
      <c r="D252" s="48" t="s">
        <v>1160</v>
      </c>
      <c r="E252" s="73">
        <v>1</v>
      </c>
      <c r="F252" s="48" t="s">
        <v>1161</v>
      </c>
      <c r="G252" s="48" t="s">
        <v>1162</v>
      </c>
      <c r="H252" s="48" t="s">
        <v>1163</v>
      </c>
      <c r="J252" s="73">
        <v>20</v>
      </c>
      <c r="K252" s="48" t="s">
        <v>1900</v>
      </c>
      <c r="L252" s="50" t="s">
        <v>1040</v>
      </c>
      <c r="M252">
        <f t="shared" si="6"/>
        <v>20</v>
      </c>
      <c r="N252" s="48">
        <f t="shared" si="7"/>
        <v>247</v>
      </c>
    </row>
    <row r="253" spans="1:14" s="48" customFormat="1" ht="17.25" hidden="1" x14ac:dyDescent="0.25">
      <c r="A253" s="74" t="s">
        <v>1038</v>
      </c>
      <c r="B253" s="74" t="s">
        <v>1723</v>
      </c>
      <c r="C253" s="74" t="s">
        <v>5</v>
      </c>
      <c r="D253" s="48" t="s">
        <v>1140</v>
      </c>
      <c r="E253" s="73">
        <v>1</v>
      </c>
      <c r="F253" s="48" t="s">
        <v>1141</v>
      </c>
      <c r="G253" s="48" t="s">
        <v>1142</v>
      </c>
      <c r="H253" s="48" t="s">
        <v>1143</v>
      </c>
      <c r="J253" s="73">
        <v>9</v>
      </c>
      <c r="K253" s="48" t="s">
        <v>1900</v>
      </c>
      <c r="L253" s="50" t="s">
        <v>1040</v>
      </c>
      <c r="M253">
        <f t="shared" si="6"/>
        <v>9</v>
      </c>
      <c r="N253" s="48">
        <f t="shared" si="7"/>
        <v>248</v>
      </c>
    </row>
    <row r="254" spans="1:14" s="48" customFormat="1" ht="17.25" hidden="1" x14ac:dyDescent="0.25">
      <c r="A254" s="74" t="s">
        <v>1038</v>
      </c>
      <c r="B254" s="74" t="s">
        <v>1723</v>
      </c>
      <c r="C254" s="74" t="s">
        <v>5</v>
      </c>
      <c r="D254" s="48" t="s">
        <v>1144</v>
      </c>
      <c r="E254" s="73">
        <v>1</v>
      </c>
      <c r="F254" s="48" t="s">
        <v>1145</v>
      </c>
      <c r="G254" s="48" t="s">
        <v>1146</v>
      </c>
      <c r="H254" s="48" t="s">
        <v>1147</v>
      </c>
      <c r="J254" s="73">
        <v>5</v>
      </c>
      <c r="K254" s="48" t="s">
        <v>1900</v>
      </c>
      <c r="L254" s="50" t="s">
        <v>1040</v>
      </c>
      <c r="M254">
        <f t="shared" si="6"/>
        <v>5</v>
      </c>
      <c r="N254" s="48">
        <f t="shared" si="7"/>
        <v>249</v>
      </c>
    </row>
    <row r="255" spans="1:14" s="48" customFormat="1" ht="17.25" hidden="1" x14ac:dyDescent="0.25">
      <c r="A255" s="74" t="s">
        <v>1038</v>
      </c>
      <c r="B255" s="74" t="s">
        <v>1723</v>
      </c>
      <c r="C255" s="74" t="s">
        <v>5</v>
      </c>
      <c r="D255" s="48" t="s">
        <v>1152</v>
      </c>
      <c r="E255" s="73">
        <v>1</v>
      </c>
      <c r="F255" s="48" t="s">
        <v>1153</v>
      </c>
      <c r="G255" s="48" t="s">
        <v>1154</v>
      </c>
      <c r="H255" s="48" t="s">
        <v>1155</v>
      </c>
      <c r="J255" s="73">
        <v>15</v>
      </c>
      <c r="K255" s="48" t="s">
        <v>1900</v>
      </c>
      <c r="L255" s="50" t="s">
        <v>1040</v>
      </c>
      <c r="M255">
        <f t="shared" si="6"/>
        <v>15</v>
      </c>
      <c r="N255" s="48">
        <f t="shared" si="7"/>
        <v>250</v>
      </c>
    </row>
    <row r="256" spans="1:14" s="48" customFormat="1" ht="17.25" hidden="1" x14ac:dyDescent="0.25">
      <c r="A256" s="74" t="s">
        <v>1038</v>
      </c>
      <c r="B256" s="74" t="s">
        <v>1723</v>
      </c>
      <c r="C256" s="74" t="s">
        <v>5</v>
      </c>
      <c r="D256" s="48" t="s">
        <v>1156</v>
      </c>
      <c r="E256" s="73">
        <v>1</v>
      </c>
      <c r="F256" s="48" t="s">
        <v>1157</v>
      </c>
      <c r="G256" s="48" t="s">
        <v>1158</v>
      </c>
      <c r="H256" s="48" t="s">
        <v>1159</v>
      </c>
      <c r="J256" s="73">
        <v>15</v>
      </c>
      <c r="K256" s="48" t="s">
        <v>1900</v>
      </c>
      <c r="L256" s="50" t="s">
        <v>1040</v>
      </c>
      <c r="M256">
        <f t="shared" si="6"/>
        <v>15</v>
      </c>
      <c r="N256" s="48">
        <f t="shared" si="7"/>
        <v>251</v>
      </c>
    </row>
    <row r="257" spans="1:14" s="10" customFormat="1" hidden="1" x14ac:dyDescent="0.25">
      <c r="A257" s="30" t="s">
        <v>1038</v>
      </c>
      <c r="B257" s="30" t="s">
        <v>1168</v>
      </c>
      <c r="C257" s="30" t="s">
        <v>5</v>
      </c>
      <c r="D257" s="10" t="s">
        <v>2411</v>
      </c>
      <c r="E257" s="64">
        <v>1</v>
      </c>
      <c r="F257" s="10" t="s">
        <v>2412</v>
      </c>
      <c r="G257" s="10" t="s">
        <v>2413</v>
      </c>
      <c r="H257" s="10" t="s">
        <v>2414</v>
      </c>
      <c r="J257" s="64">
        <v>15</v>
      </c>
      <c r="K257" s="10" t="s">
        <v>1900</v>
      </c>
      <c r="L257" s="10" t="s">
        <v>1040</v>
      </c>
      <c r="M257">
        <f t="shared" si="6"/>
        <v>15</v>
      </c>
      <c r="N257" s="10">
        <f t="shared" si="7"/>
        <v>252</v>
      </c>
    </row>
    <row r="258" spans="1:14" s="10" customFormat="1" hidden="1" x14ac:dyDescent="0.25">
      <c r="A258" s="30" t="s">
        <v>1038</v>
      </c>
      <c r="B258" s="30" t="s">
        <v>1168</v>
      </c>
      <c r="C258" s="30" t="s">
        <v>5</v>
      </c>
      <c r="D258" s="10" t="s">
        <v>2415</v>
      </c>
      <c r="E258" s="64">
        <v>1</v>
      </c>
      <c r="F258" s="10" t="s">
        <v>2416</v>
      </c>
      <c r="G258" s="10" t="s">
        <v>2417</v>
      </c>
      <c r="H258" s="10" t="s">
        <v>2418</v>
      </c>
      <c r="J258" s="64">
        <v>10</v>
      </c>
      <c r="K258" s="10" t="s">
        <v>1900</v>
      </c>
      <c r="L258" s="10" t="s">
        <v>1040</v>
      </c>
      <c r="M258">
        <f t="shared" si="6"/>
        <v>10</v>
      </c>
      <c r="N258" s="10">
        <f t="shared" si="7"/>
        <v>253</v>
      </c>
    </row>
    <row r="259" spans="1:14" s="48" customFormat="1" ht="17.25" hidden="1" x14ac:dyDescent="0.25">
      <c r="A259" s="74" t="s">
        <v>1039</v>
      </c>
      <c r="B259" s="74" t="s">
        <v>1724</v>
      </c>
      <c r="C259" s="74" t="s">
        <v>5</v>
      </c>
      <c r="D259" s="48" t="s">
        <v>1064</v>
      </c>
      <c r="E259" s="73">
        <v>1</v>
      </c>
      <c r="F259" s="48" t="s">
        <v>1065</v>
      </c>
      <c r="G259" s="48" t="s">
        <v>1066</v>
      </c>
      <c r="H259" s="48" t="s">
        <v>1067</v>
      </c>
      <c r="J259" s="73">
        <v>15</v>
      </c>
      <c r="K259" s="48" t="s">
        <v>1900</v>
      </c>
      <c r="L259" s="50" t="s">
        <v>1040</v>
      </c>
      <c r="M259">
        <f t="shared" si="6"/>
        <v>15</v>
      </c>
      <c r="N259" s="48">
        <f t="shared" si="7"/>
        <v>254</v>
      </c>
    </row>
    <row r="260" spans="1:14" s="48" customFormat="1" ht="17.25" hidden="1" x14ac:dyDescent="0.25">
      <c r="A260" s="74" t="s">
        <v>1039</v>
      </c>
      <c r="B260" s="74" t="s">
        <v>1724</v>
      </c>
      <c r="C260" s="74" t="s">
        <v>5</v>
      </c>
      <c r="D260" s="48" t="s">
        <v>1140</v>
      </c>
      <c r="E260" s="73">
        <v>1</v>
      </c>
      <c r="F260" s="48" t="s">
        <v>1141</v>
      </c>
      <c r="G260" s="48" t="s">
        <v>1142</v>
      </c>
      <c r="H260" s="48" t="s">
        <v>1143</v>
      </c>
      <c r="J260" s="73">
        <v>9</v>
      </c>
      <c r="K260" s="48" t="s">
        <v>1900</v>
      </c>
      <c r="L260" s="50" t="s">
        <v>1040</v>
      </c>
      <c r="M260">
        <f t="shared" si="6"/>
        <v>9</v>
      </c>
      <c r="N260" s="48">
        <f t="shared" si="7"/>
        <v>255</v>
      </c>
    </row>
    <row r="261" spans="1:14" s="48" customFormat="1" ht="17.25" hidden="1" x14ac:dyDescent="0.25">
      <c r="A261" s="74" t="s">
        <v>1039</v>
      </c>
      <c r="B261" s="74" t="s">
        <v>1724</v>
      </c>
      <c r="C261" s="74" t="s">
        <v>5</v>
      </c>
      <c r="D261" s="48" t="s">
        <v>1148</v>
      </c>
      <c r="E261" s="73">
        <v>1</v>
      </c>
      <c r="F261" s="48" t="s">
        <v>1149</v>
      </c>
      <c r="G261" s="48" t="s">
        <v>1150</v>
      </c>
      <c r="H261" s="48" t="s">
        <v>1151</v>
      </c>
      <c r="J261" s="73">
        <v>30</v>
      </c>
      <c r="K261" s="48" t="s">
        <v>1900</v>
      </c>
      <c r="L261" s="50" t="s">
        <v>1040</v>
      </c>
      <c r="M261">
        <f t="shared" si="6"/>
        <v>30</v>
      </c>
      <c r="N261" s="48">
        <f t="shared" si="7"/>
        <v>256</v>
      </c>
    </row>
    <row r="262" spans="1:14" s="48" customFormat="1" ht="17.25" hidden="1" x14ac:dyDescent="0.25">
      <c r="A262" s="74" t="s">
        <v>1039</v>
      </c>
      <c r="B262" s="74" t="s">
        <v>1724</v>
      </c>
      <c r="C262" s="74" t="s">
        <v>5</v>
      </c>
      <c r="D262" s="48" t="s">
        <v>1144</v>
      </c>
      <c r="E262" s="73">
        <v>1</v>
      </c>
      <c r="F262" s="48" t="s">
        <v>1145</v>
      </c>
      <c r="G262" s="48" t="s">
        <v>1146</v>
      </c>
      <c r="H262" s="48" t="s">
        <v>1147</v>
      </c>
      <c r="J262" s="73">
        <v>5</v>
      </c>
      <c r="K262" s="48" t="s">
        <v>1900</v>
      </c>
      <c r="L262" s="50" t="s">
        <v>1040</v>
      </c>
      <c r="M262">
        <f t="shared" ref="M262:M325" si="8">E262*J262</f>
        <v>5</v>
      </c>
      <c r="N262" s="48">
        <f t="shared" ref="N262:N325" si="9">IF($N261="List #",1,$N261+1)</f>
        <v>257</v>
      </c>
    </row>
    <row r="263" spans="1:14" s="48" customFormat="1" ht="17.25" hidden="1" x14ac:dyDescent="0.25">
      <c r="A263" s="74" t="s">
        <v>1039</v>
      </c>
      <c r="B263" s="74" t="s">
        <v>1724</v>
      </c>
      <c r="C263" s="74" t="s">
        <v>5</v>
      </c>
      <c r="D263" s="48" t="s">
        <v>1152</v>
      </c>
      <c r="E263" s="73">
        <v>1</v>
      </c>
      <c r="F263" s="48" t="s">
        <v>1153</v>
      </c>
      <c r="G263" s="48" t="s">
        <v>1154</v>
      </c>
      <c r="H263" s="48" t="s">
        <v>1155</v>
      </c>
      <c r="J263" s="73">
        <v>15</v>
      </c>
      <c r="K263" s="48" t="s">
        <v>1900</v>
      </c>
      <c r="L263" s="50" t="s">
        <v>1040</v>
      </c>
      <c r="M263">
        <f t="shared" si="8"/>
        <v>15</v>
      </c>
      <c r="N263" s="48">
        <f t="shared" si="9"/>
        <v>258</v>
      </c>
    </row>
    <row r="264" spans="1:14" s="48" customFormat="1" hidden="1" x14ac:dyDescent="0.25">
      <c r="A264" s="74" t="s">
        <v>1039</v>
      </c>
      <c r="B264" s="74" t="s">
        <v>1056</v>
      </c>
      <c r="C264" s="74" t="s">
        <v>5</v>
      </c>
      <c r="D264" s="48" t="s">
        <v>344</v>
      </c>
      <c r="E264" s="73">
        <v>1</v>
      </c>
      <c r="F264" s="48" t="s">
        <v>345</v>
      </c>
      <c r="G264" s="48" t="s">
        <v>346</v>
      </c>
      <c r="H264" s="48" t="s">
        <v>347</v>
      </c>
      <c r="J264" s="73">
        <v>24.95</v>
      </c>
      <c r="K264" s="48" t="s">
        <v>1900</v>
      </c>
      <c r="L264" s="48" t="s">
        <v>1041</v>
      </c>
      <c r="M264">
        <f t="shared" si="8"/>
        <v>24.95</v>
      </c>
      <c r="N264" s="48">
        <f t="shared" si="9"/>
        <v>259</v>
      </c>
    </row>
    <row r="265" spans="1:14" s="48" customFormat="1" hidden="1" x14ac:dyDescent="0.25">
      <c r="A265" s="74" t="s">
        <v>1039</v>
      </c>
      <c r="B265" s="74" t="s">
        <v>1604</v>
      </c>
      <c r="C265" s="74" t="s">
        <v>5</v>
      </c>
      <c r="D265" s="48" t="s">
        <v>348</v>
      </c>
      <c r="E265" s="73">
        <v>1</v>
      </c>
      <c r="F265" s="48" t="s">
        <v>349</v>
      </c>
      <c r="G265" s="48" t="s">
        <v>350</v>
      </c>
      <c r="H265" s="48" t="s">
        <v>351</v>
      </c>
      <c r="I265" s="48">
        <v>1</v>
      </c>
      <c r="J265" s="73">
        <v>39.950000000000003</v>
      </c>
      <c r="K265" s="48" t="s">
        <v>1900</v>
      </c>
      <c r="L265" s="48" t="s">
        <v>1036</v>
      </c>
      <c r="M265">
        <f t="shared" si="8"/>
        <v>39.950000000000003</v>
      </c>
      <c r="N265" s="48">
        <f t="shared" si="9"/>
        <v>260</v>
      </c>
    </row>
    <row r="266" spans="1:14" s="48" customFormat="1" hidden="1" x14ac:dyDescent="0.25">
      <c r="A266" s="74" t="s">
        <v>1039</v>
      </c>
      <c r="B266" s="74" t="s">
        <v>1055</v>
      </c>
      <c r="C266" s="74" t="s">
        <v>5</v>
      </c>
      <c r="D266" s="48" t="s">
        <v>317</v>
      </c>
      <c r="E266" s="73">
        <v>1</v>
      </c>
      <c r="F266" s="48" t="s">
        <v>318</v>
      </c>
      <c r="G266" s="48" t="s">
        <v>319</v>
      </c>
      <c r="H266" s="48" t="s">
        <v>320</v>
      </c>
      <c r="I266" s="48">
        <v>1</v>
      </c>
      <c r="J266" s="73">
        <v>39.950000000000003</v>
      </c>
      <c r="K266" s="48" t="s">
        <v>1900</v>
      </c>
      <c r="L266" s="48" t="s">
        <v>1044</v>
      </c>
      <c r="M266">
        <f t="shared" si="8"/>
        <v>39.950000000000003</v>
      </c>
      <c r="N266" s="48">
        <f t="shared" si="9"/>
        <v>261</v>
      </c>
    </row>
    <row r="267" spans="1:14" s="48" customFormat="1" hidden="1" x14ac:dyDescent="0.25">
      <c r="A267" s="74" t="s">
        <v>1039</v>
      </c>
      <c r="B267" s="74" t="s">
        <v>1055</v>
      </c>
      <c r="C267" s="74" t="s">
        <v>5</v>
      </c>
      <c r="D267" s="48" t="s">
        <v>321</v>
      </c>
      <c r="E267" s="73">
        <v>1</v>
      </c>
      <c r="F267" s="48" t="s">
        <v>322</v>
      </c>
      <c r="G267" s="48" t="s">
        <v>323</v>
      </c>
      <c r="H267" s="48" t="s">
        <v>324</v>
      </c>
      <c r="I267" s="48">
        <v>1</v>
      </c>
      <c r="J267" s="73">
        <v>14.95</v>
      </c>
      <c r="K267" s="48" t="s">
        <v>1900</v>
      </c>
      <c r="L267" s="48" t="s">
        <v>1044</v>
      </c>
      <c r="M267">
        <f t="shared" si="8"/>
        <v>14.95</v>
      </c>
      <c r="N267" s="48">
        <f t="shared" si="9"/>
        <v>262</v>
      </c>
    </row>
    <row r="268" spans="1:14" s="10" customFormat="1" x14ac:dyDescent="0.25">
      <c r="A268" s="65" t="s">
        <v>889</v>
      </c>
      <c r="B268" s="65" t="s">
        <v>986</v>
      </c>
      <c r="C268" s="65" t="s">
        <v>5</v>
      </c>
      <c r="D268" s="62" t="s">
        <v>780</v>
      </c>
      <c r="E268" s="43">
        <v>1</v>
      </c>
      <c r="F268" s="43" t="s">
        <v>781</v>
      </c>
      <c r="G268" s="43" t="s">
        <v>782</v>
      </c>
      <c r="H268" s="43" t="s">
        <v>783</v>
      </c>
      <c r="I268" s="43"/>
      <c r="J268" s="105">
        <v>19.95</v>
      </c>
      <c r="K268" s="43" t="s">
        <v>1896</v>
      </c>
      <c r="L268" s="4"/>
      <c r="M268">
        <f t="shared" si="8"/>
        <v>19.95</v>
      </c>
      <c r="N268" s="10">
        <f t="shared" si="9"/>
        <v>263</v>
      </c>
    </row>
    <row r="269" spans="1:14" s="78" customFormat="1" hidden="1" x14ac:dyDescent="0.25">
      <c r="A269" s="65" t="s">
        <v>889</v>
      </c>
      <c r="B269" s="65" t="s">
        <v>986</v>
      </c>
      <c r="C269" s="65" t="s">
        <v>5</v>
      </c>
      <c r="D269" s="62" t="s">
        <v>1088</v>
      </c>
      <c r="E269" s="43">
        <v>0</v>
      </c>
      <c r="F269" s="43" t="s">
        <v>1089</v>
      </c>
      <c r="G269" s="43" t="s">
        <v>1090</v>
      </c>
      <c r="H269" s="43" t="s">
        <v>1091</v>
      </c>
      <c r="I269" s="43">
        <v>1</v>
      </c>
      <c r="J269" s="105">
        <v>3.95</v>
      </c>
      <c r="K269" s="43" t="s">
        <v>1896</v>
      </c>
      <c r="L269" s="43" t="s">
        <v>1296</v>
      </c>
      <c r="M269">
        <f t="shared" si="8"/>
        <v>0</v>
      </c>
      <c r="N269" s="78">
        <f t="shared" si="9"/>
        <v>264</v>
      </c>
    </row>
    <row r="270" spans="1:14" s="78" customFormat="1" x14ac:dyDescent="0.25">
      <c r="A270" s="65" t="s">
        <v>889</v>
      </c>
      <c r="B270" s="65" t="s">
        <v>986</v>
      </c>
      <c r="C270" s="65" t="s">
        <v>5</v>
      </c>
      <c r="D270" s="62" t="s">
        <v>1297</v>
      </c>
      <c r="E270" s="43">
        <f>4*FilterSpecs!$C$3</f>
        <v>20</v>
      </c>
      <c r="F270" s="43" t="s">
        <v>1298</v>
      </c>
      <c r="G270" s="43" t="s">
        <v>1299</v>
      </c>
      <c r="H270" s="43" t="s">
        <v>1300</v>
      </c>
      <c r="I270" s="43">
        <v>1</v>
      </c>
      <c r="J270" s="105">
        <v>3.95</v>
      </c>
      <c r="K270" s="43" t="s">
        <v>1896</v>
      </c>
      <c r="L270" s="43" t="s">
        <v>1296</v>
      </c>
      <c r="M270">
        <f t="shared" si="8"/>
        <v>79</v>
      </c>
      <c r="N270" s="78">
        <f t="shared" si="9"/>
        <v>265</v>
      </c>
    </row>
    <row r="271" spans="1:14" s="78" customFormat="1" hidden="1" x14ac:dyDescent="0.25">
      <c r="A271" s="10" t="s">
        <v>889</v>
      </c>
      <c r="B271" s="10" t="s">
        <v>986</v>
      </c>
      <c r="C271" s="10" t="s">
        <v>1884</v>
      </c>
      <c r="D271" s="63" t="s">
        <v>2089</v>
      </c>
      <c r="E271" s="10">
        <v>0</v>
      </c>
      <c r="F271" s="10"/>
      <c r="G271" s="10"/>
      <c r="H271" s="30" t="s">
        <v>2090</v>
      </c>
      <c r="I271"/>
      <c r="J271" s="70">
        <v>4</v>
      </c>
      <c r="K271" s="30" t="s">
        <v>1896</v>
      </c>
      <c r="L271"/>
      <c r="M271">
        <f t="shared" si="8"/>
        <v>0</v>
      </c>
      <c r="N271" s="78">
        <f t="shared" si="9"/>
        <v>266</v>
      </c>
    </row>
    <row r="272" spans="1:14" s="78" customFormat="1" x14ac:dyDescent="0.25">
      <c r="A272" s="65" t="s">
        <v>889</v>
      </c>
      <c r="B272" s="65" t="s">
        <v>986</v>
      </c>
      <c r="C272" s="65" t="s">
        <v>5</v>
      </c>
      <c r="D272" s="62" t="s">
        <v>925</v>
      </c>
      <c r="E272" s="43">
        <f>3*FilterSpecs!$C$3</f>
        <v>15</v>
      </c>
      <c r="F272" s="43" t="s">
        <v>926</v>
      </c>
      <c r="G272" s="43" t="s">
        <v>927</v>
      </c>
      <c r="H272" s="43" t="s">
        <v>928</v>
      </c>
      <c r="I272" s="43">
        <v>1</v>
      </c>
      <c r="J272" s="105">
        <v>8.5</v>
      </c>
      <c r="K272" s="43" t="s">
        <v>1897</v>
      </c>
      <c r="L272" s="4"/>
      <c r="M272">
        <f t="shared" si="8"/>
        <v>127.5</v>
      </c>
      <c r="N272" s="78">
        <f t="shared" si="9"/>
        <v>267</v>
      </c>
    </row>
    <row r="273" spans="1:14" s="78" customFormat="1" x14ac:dyDescent="0.25">
      <c r="A273" s="65" t="s">
        <v>889</v>
      </c>
      <c r="B273" s="65" t="s">
        <v>986</v>
      </c>
      <c r="C273" s="65" t="s">
        <v>5</v>
      </c>
      <c r="D273" s="62" t="s">
        <v>1825</v>
      </c>
      <c r="E273" s="43">
        <v>1</v>
      </c>
      <c r="F273" s="43" t="s">
        <v>1826</v>
      </c>
      <c r="G273" s="43" t="s">
        <v>1827</v>
      </c>
      <c r="H273" s="43" t="s">
        <v>1828</v>
      </c>
      <c r="I273" s="43">
        <v>1</v>
      </c>
      <c r="J273" s="105">
        <v>4.95</v>
      </c>
      <c r="K273" s="43" t="s">
        <v>1896</v>
      </c>
      <c r="L273" s="4"/>
      <c r="M273">
        <f t="shared" si="8"/>
        <v>4.95</v>
      </c>
      <c r="N273" s="78">
        <f t="shared" si="9"/>
        <v>268</v>
      </c>
    </row>
    <row r="274" spans="1:14" s="78" customFormat="1" hidden="1" x14ac:dyDescent="0.25">
      <c r="A274" s="65" t="s">
        <v>889</v>
      </c>
      <c r="B274" s="65" t="s">
        <v>986</v>
      </c>
      <c r="C274" s="65" t="s">
        <v>5</v>
      </c>
      <c r="D274" s="62" t="s">
        <v>1833</v>
      </c>
      <c r="E274" s="43">
        <v>0</v>
      </c>
      <c r="F274" s="43" t="s">
        <v>1834</v>
      </c>
      <c r="G274" s="43" t="s">
        <v>1835</v>
      </c>
      <c r="H274" s="43" t="s">
        <v>1836</v>
      </c>
      <c r="I274" s="43"/>
      <c r="J274" s="105">
        <v>2.95</v>
      </c>
      <c r="K274" s="43" t="s">
        <v>1896</v>
      </c>
      <c r="L274" s="4"/>
      <c r="M274">
        <f t="shared" si="8"/>
        <v>0</v>
      </c>
      <c r="N274" s="78">
        <f t="shared" si="9"/>
        <v>269</v>
      </c>
    </row>
    <row r="275" spans="1:14" s="78" customFormat="1" x14ac:dyDescent="0.25">
      <c r="A275" s="65" t="s">
        <v>889</v>
      </c>
      <c r="B275" s="65" t="s">
        <v>986</v>
      </c>
      <c r="C275" s="65" t="s">
        <v>5</v>
      </c>
      <c r="D275" s="62" t="s">
        <v>1757</v>
      </c>
      <c r="E275" s="43">
        <v>1</v>
      </c>
      <c r="F275" s="43" t="s">
        <v>1758</v>
      </c>
      <c r="G275" s="43" t="s">
        <v>1759</v>
      </c>
      <c r="H275" s="43" t="s">
        <v>1760</v>
      </c>
      <c r="I275" s="43">
        <v>1</v>
      </c>
      <c r="J275" s="105">
        <v>9.9499999999999993</v>
      </c>
      <c r="K275" s="43" t="s">
        <v>1896</v>
      </c>
      <c r="L275" s="4"/>
      <c r="M275">
        <f t="shared" si="8"/>
        <v>9.9499999999999993</v>
      </c>
      <c r="N275" s="78">
        <f t="shared" si="9"/>
        <v>270</v>
      </c>
    </row>
    <row r="276" spans="1:14" s="78" customFormat="1" hidden="1" x14ac:dyDescent="0.25">
      <c r="A276" s="10" t="s">
        <v>889</v>
      </c>
      <c r="B276" s="10" t="s">
        <v>986</v>
      </c>
      <c r="C276" s="10" t="s">
        <v>1884</v>
      </c>
      <c r="D276" s="63" t="s">
        <v>2075</v>
      </c>
      <c r="E276" s="10">
        <v>0</v>
      </c>
      <c r="F276" s="10"/>
      <c r="G276" s="10"/>
      <c r="H276" s="30" t="s">
        <v>2076</v>
      </c>
      <c r="I276"/>
      <c r="J276" s="70">
        <v>9.9499999999999993</v>
      </c>
      <c r="K276" s="30" t="s">
        <v>1896</v>
      </c>
      <c r="L276"/>
      <c r="M276">
        <f t="shared" si="8"/>
        <v>0</v>
      </c>
      <c r="N276" s="78">
        <f t="shared" si="9"/>
        <v>271</v>
      </c>
    </row>
    <row r="277" spans="1:14" s="78" customFormat="1" hidden="1" x14ac:dyDescent="0.25">
      <c r="A277" s="10" t="s">
        <v>889</v>
      </c>
      <c r="B277" s="10" t="s">
        <v>986</v>
      </c>
      <c r="C277" s="10" t="s">
        <v>1884</v>
      </c>
      <c r="D277" s="63" t="s">
        <v>2087</v>
      </c>
      <c r="E277" s="10">
        <v>0</v>
      </c>
      <c r="F277" s="10"/>
      <c r="G277" s="10"/>
      <c r="H277" s="30" t="s">
        <v>2088</v>
      </c>
      <c r="I277"/>
      <c r="J277" s="70">
        <v>14.95</v>
      </c>
      <c r="K277" s="30" t="s">
        <v>1896</v>
      </c>
      <c r="L277"/>
      <c r="M277">
        <f t="shared" si="8"/>
        <v>0</v>
      </c>
      <c r="N277" s="78">
        <f t="shared" si="9"/>
        <v>272</v>
      </c>
    </row>
    <row r="278" spans="1:14" s="78" customFormat="1" hidden="1" x14ac:dyDescent="0.25">
      <c r="A278" s="10" t="s">
        <v>889</v>
      </c>
      <c r="B278" s="10" t="s">
        <v>986</v>
      </c>
      <c r="C278" s="10" t="s">
        <v>1884</v>
      </c>
      <c r="D278" s="63" t="s">
        <v>2079</v>
      </c>
      <c r="E278" s="10">
        <v>0</v>
      </c>
      <c r="F278" s="10"/>
      <c r="G278" s="10"/>
      <c r="H278" s="30" t="s">
        <v>2080</v>
      </c>
      <c r="I278"/>
      <c r="J278" s="70">
        <v>14.95</v>
      </c>
      <c r="K278" s="30" t="s">
        <v>1896</v>
      </c>
      <c r="L278"/>
      <c r="M278">
        <f t="shared" si="8"/>
        <v>0</v>
      </c>
      <c r="N278" s="78">
        <f t="shared" si="9"/>
        <v>273</v>
      </c>
    </row>
    <row r="279" spans="1:14" s="78" customFormat="1" hidden="1" x14ac:dyDescent="0.25">
      <c r="A279" s="10" t="s">
        <v>889</v>
      </c>
      <c r="B279" s="10" t="s">
        <v>986</v>
      </c>
      <c r="C279" s="10" t="s">
        <v>1884</v>
      </c>
      <c r="D279" s="63" t="s">
        <v>2077</v>
      </c>
      <c r="E279" s="10">
        <v>0</v>
      </c>
      <c r="F279" s="10"/>
      <c r="G279" s="10"/>
      <c r="H279" s="30" t="s">
        <v>2078</v>
      </c>
      <c r="I279"/>
      <c r="J279" s="70">
        <v>19.95</v>
      </c>
      <c r="K279" s="30" t="s">
        <v>1896</v>
      </c>
      <c r="L279"/>
      <c r="M279">
        <f t="shared" si="8"/>
        <v>0</v>
      </c>
      <c r="N279" s="78">
        <f t="shared" si="9"/>
        <v>274</v>
      </c>
    </row>
    <row r="280" spans="1:14" s="78" customFormat="1" hidden="1" x14ac:dyDescent="0.25">
      <c r="A280" s="10" t="s">
        <v>889</v>
      </c>
      <c r="B280" s="10" t="s">
        <v>986</v>
      </c>
      <c r="C280" s="10" t="s">
        <v>1884</v>
      </c>
      <c r="D280" s="63" t="s">
        <v>2081</v>
      </c>
      <c r="E280" s="10">
        <v>0</v>
      </c>
      <c r="F280" s="10"/>
      <c r="G280" s="10"/>
      <c r="H280" s="30" t="s">
        <v>2082</v>
      </c>
      <c r="I280"/>
      <c r="J280" s="70">
        <v>0.75</v>
      </c>
      <c r="K280" s="30" t="s">
        <v>1896</v>
      </c>
      <c r="L280"/>
      <c r="M280">
        <f t="shared" si="8"/>
        <v>0</v>
      </c>
      <c r="N280" s="78">
        <f t="shared" si="9"/>
        <v>275</v>
      </c>
    </row>
    <row r="281" spans="1:14" s="78" customFormat="1" hidden="1" x14ac:dyDescent="0.25">
      <c r="A281" s="10" t="s">
        <v>889</v>
      </c>
      <c r="B281" s="10" t="s">
        <v>986</v>
      </c>
      <c r="C281" s="10" t="s">
        <v>1884</v>
      </c>
      <c r="D281" s="63" t="s">
        <v>2083</v>
      </c>
      <c r="E281" s="10">
        <v>0</v>
      </c>
      <c r="F281" s="10"/>
      <c r="G281" s="10"/>
      <c r="H281" s="30" t="s">
        <v>2084</v>
      </c>
      <c r="I281"/>
      <c r="J281" s="70">
        <v>0.95</v>
      </c>
      <c r="K281" s="30" t="s">
        <v>1896</v>
      </c>
      <c r="L281"/>
      <c r="M281">
        <f t="shared" si="8"/>
        <v>0</v>
      </c>
      <c r="N281" s="78">
        <f t="shared" si="9"/>
        <v>276</v>
      </c>
    </row>
    <row r="282" spans="1:14" s="78" customFormat="1" hidden="1" x14ac:dyDescent="0.25">
      <c r="A282" s="10" t="s">
        <v>889</v>
      </c>
      <c r="B282" s="10" t="s">
        <v>986</v>
      </c>
      <c r="C282" s="10" t="s">
        <v>1884</v>
      </c>
      <c r="D282" s="63" t="s">
        <v>2085</v>
      </c>
      <c r="E282" s="10">
        <v>0</v>
      </c>
      <c r="F282" s="10"/>
      <c r="G282" s="10"/>
      <c r="H282" s="30" t="s">
        <v>2086</v>
      </c>
      <c r="I282"/>
      <c r="J282" s="70">
        <v>0.95</v>
      </c>
      <c r="K282" s="30" t="s">
        <v>1896</v>
      </c>
      <c r="L282"/>
      <c r="M282">
        <f t="shared" si="8"/>
        <v>0</v>
      </c>
      <c r="N282" s="78">
        <f t="shared" si="9"/>
        <v>277</v>
      </c>
    </row>
    <row r="283" spans="1:14" s="78" customFormat="1" x14ac:dyDescent="0.25">
      <c r="A283" s="65" t="s">
        <v>889</v>
      </c>
      <c r="B283" s="65" t="s">
        <v>986</v>
      </c>
      <c r="C283" s="65" t="s">
        <v>5</v>
      </c>
      <c r="D283" s="62" t="s">
        <v>937</v>
      </c>
      <c r="E283" s="79">
        <f>FilterSpecs!$C$3</f>
        <v>5</v>
      </c>
      <c r="F283" s="43" t="s">
        <v>938</v>
      </c>
      <c r="G283" s="43" t="s">
        <v>939</v>
      </c>
      <c r="H283" s="43" t="s">
        <v>940</v>
      </c>
      <c r="I283" s="43">
        <v>1</v>
      </c>
      <c r="J283" s="105">
        <v>7.95</v>
      </c>
      <c r="K283" s="43" t="s">
        <v>1896</v>
      </c>
      <c r="L283" s="4"/>
      <c r="M283">
        <f t="shared" si="8"/>
        <v>39.75</v>
      </c>
      <c r="N283" s="78">
        <f t="shared" si="9"/>
        <v>278</v>
      </c>
    </row>
    <row r="284" spans="1:14" s="78" customFormat="1" x14ac:dyDescent="0.25">
      <c r="A284" s="65" t="s">
        <v>889</v>
      </c>
      <c r="B284" s="65" t="s">
        <v>986</v>
      </c>
      <c r="C284" s="65" t="s">
        <v>5</v>
      </c>
      <c r="D284" s="62" t="s">
        <v>933</v>
      </c>
      <c r="E284" s="43">
        <f>2*FilterSpecs!$C$3</f>
        <v>10</v>
      </c>
      <c r="F284" s="43" t="s">
        <v>934</v>
      </c>
      <c r="G284" s="43" t="s">
        <v>935</v>
      </c>
      <c r="H284" s="43" t="s">
        <v>936</v>
      </c>
      <c r="I284" s="43">
        <v>1</v>
      </c>
      <c r="J284" s="105">
        <v>7.95</v>
      </c>
      <c r="K284" s="43" t="s">
        <v>1897</v>
      </c>
      <c r="L284" s="4"/>
      <c r="M284">
        <f t="shared" si="8"/>
        <v>79.5</v>
      </c>
      <c r="N284" s="78">
        <f t="shared" si="9"/>
        <v>279</v>
      </c>
    </row>
    <row r="285" spans="1:14" s="78" customFormat="1" x14ac:dyDescent="0.25">
      <c r="A285" s="65" t="s">
        <v>889</v>
      </c>
      <c r="B285" s="65" t="s">
        <v>1288</v>
      </c>
      <c r="C285" s="65" t="s">
        <v>5</v>
      </c>
      <c r="D285" s="62" t="s">
        <v>632</v>
      </c>
      <c r="E285" s="43">
        <f>FilterSpecs!$C$3</f>
        <v>5</v>
      </c>
      <c r="F285" s="43" t="s">
        <v>633</v>
      </c>
      <c r="G285" s="43" t="s">
        <v>634</v>
      </c>
      <c r="H285" s="43" t="s">
        <v>635</v>
      </c>
      <c r="I285" s="43"/>
      <c r="J285" s="105">
        <v>8.9499999999999993</v>
      </c>
      <c r="K285" s="43" t="s">
        <v>1897</v>
      </c>
      <c r="L285" s="4"/>
      <c r="M285">
        <f t="shared" si="8"/>
        <v>44.75</v>
      </c>
      <c r="N285" s="78">
        <f t="shared" si="9"/>
        <v>280</v>
      </c>
    </row>
    <row r="286" spans="1:14" s="78" customFormat="1" x14ac:dyDescent="0.25">
      <c r="A286" s="65" t="s">
        <v>889</v>
      </c>
      <c r="B286" s="65" t="s">
        <v>1288</v>
      </c>
      <c r="C286" s="65" t="s">
        <v>5</v>
      </c>
      <c r="D286" s="62" t="s">
        <v>652</v>
      </c>
      <c r="E286" s="43">
        <f>FilterSpecs!$C$3</f>
        <v>5</v>
      </c>
      <c r="F286" s="43" t="s">
        <v>653</v>
      </c>
      <c r="G286" s="43" t="s">
        <v>654</v>
      </c>
      <c r="H286" s="43" t="s">
        <v>655</v>
      </c>
      <c r="I286" s="43"/>
      <c r="J286" s="105">
        <v>11.95</v>
      </c>
      <c r="K286" s="43" t="s">
        <v>1897</v>
      </c>
      <c r="L286" s="4"/>
      <c r="M286">
        <f t="shared" si="8"/>
        <v>59.75</v>
      </c>
      <c r="N286" s="78">
        <f t="shared" si="9"/>
        <v>281</v>
      </c>
    </row>
    <row r="287" spans="1:14" s="78" customFormat="1" x14ac:dyDescent="0.25">
      <c r="A287" s="65" t="s">
        <v>889</v>
      </c>
      <c r="B287" s="65" t="s">
        <v>1288</v>
      </c>
      <c r="C287" s="65" t="s">
        <v>5</v>
      </c>
      <c r="D287" s="62" t="s">
        <v>1092</v>
      </c>
      <c r="E287" s="43">
        <v>1</v>
      </c>
      <c r="F287" s="43" t="s">
        <v>1093</v>
      </c>
      <c r="G287" s="43" t="s">
        <v>1094</v>
      </c>
      <c r="H287" s="43" t="s">
        <v>1095</v>
      </c>
      <c r="I287" s="43">
        <v>1</v>
      </c>
      <c r="J287" s="105">
        <v>0.1</v>
      </c>
      <c r="K287" s="43" t="s">
        <v>1896</v>
      </c>
      <c r="L287" s="4"/>
      <c r="M287">
        <f t="shared" si="8"/>
        <v>0.1</v>
      </c>
      <c r="N287" s="78">
        <f t="shared" si="9"/>
        <v>282</v>
      </c>
    </row>
    <row r="288" spans="1:14" s="78" customFormat="1" hidden="1" x14ac:dyDescent="0.25">
      <c r="A288" s="63" t="s">
        <v>13</v>
      </c>
      <c r="B288" s="63" t="s">
        <v>1288</v>
      </c>
      <c r="C288" s="63" t="s">
        <v>1884</v>
      </c>
      <c r="D288" s="63" t="s">
        <v>2068</v>
      </c>
      <c r="E288" s="64">
        <v>0</v>
      </c>
      <c r="F288" s="10"/>
      <c r="G288" s="10"/>
      <c r="H288" s="30" t="s">
        <v>2067</v>
      </c>
      <c r="I288"/>
      <c r="J288" s="70">
        <v>7.5</v>
      </c>
      <c r="K288" s="60" t="s">
        <v>1896</v>
      </c>
      <c r="L288"/>
      <c r="M288">
        <f t="shared" si="8"/>
        <v>0</v>
      </c>
      <c r="N288" s="78">
        <f t="shared" si="9"/>
        <v>283</v>
      </c>
    </row>
    <row r="289" spans="1:14" s="78" customFormat="1" hidden="1" x14ac:dyDescent="0.25">
      <c r="A289" s="63" t="s">
        <v>13</v>
      </c>
      <c r="B289" s="63" t="s">
        <v>1288</v>
      </c>
      <c r="C289" s="63" t="s">
        <v>1884</v>
      </c>
      <c r="D289" s="63" t="s">
        <v>2066</v>
      </c>
      <c r="E289" s="64">
        <v>0</v>
      </c>
      <c r="F289" s="10"/>
      <c r="G289" s="10"/>
      <c r="H289" s="30" t="s">
        <v>2065</v>
      </c>
      <c r="I289"/>
      <c r="J289" s="70">
        <v>5.95</v>
      </c>
      <c r="K289" s="60" t="s">
        <v>1896</v>
      </c>
      <c r="L289"/>
      <c r="M289">
        <f t="shared" si="8"/>
        <v>0</v>
      </c>
      <c r="N289" s="78">
        <f t="shared" si="9"/>
        <v>284</v>
      </c>
    </row>
    <row r="290" spans="1:14" s="78" customFormat="1" x14ac:dyDescent="0.25">
      <c r="A290" s="65" t="s">
        <v>889</v>
      </c>
      <c r="B290" s="65" t="s">
        <v>883</v>
      </c>
      <c r="C290" s="65" t="s">
        <v>5</v>
      </c>
      <c r="D290" s="62" t="s">
        <v>640</v>
      </c>
      <c r="E290" s="43">
        <f>FilterSpecs!$C$3</f>
        <v>5</v>
      </c>
      <c r="F290" s="43" t="s">
        <v>641</v>
      </c>
      <c r="G290" s="43" t="s">
        <v>642</v>
      </c>
      <c r="H290" s="43" t="s">
        <v>643</v>
      </c>
      <c r="I290" s="43">
        <v>1</v>
      </c>
      <c r="J290" s="105">
        <v>0.95</v>
      </c>
      <c r="K290" s="43" t="s">
        <v>1897</v>
      </c>
      <c r="L290" s="4"/>
      <c r="M290">
        <f t="shared" si="8"/>
        <v>4.75</v>
      </c>
      <c r="N290" s="78">
        <f t="shared" si="9"/>
        <v>285</v>
      </c>
    </row>
    <row r="291" spans="1:14" s="78" customFormat="1" x14ac:dyDescent="0.25">
      <c r="A291" s="65" t="s">
        <v>889</v>
      </c>
      <c r="B291" s="65" t="s">
        <v>883</v>
      </c>
      <c r="C291" s="65" t="s">
        <v>5</v>
      </c>
      <c r="D291" s="62" t="s">
        <v>648</v>
      </c>
      <c r="E291" s="43">
        <f>FilterSpecs!$C$3</f>
        <v>5</v>
      </c>
      <c r="F291" s="43" t="s">
        <v>649</v>
      </c>
      <c r="G291" s="43" t="s">
        <v>650</v>
      </c>
      <c r="H291" s="43" t="s">
        <v>651</v>
      </c>
      <c r="I291" s="43">
        <v>1</v>
      </c>
      <c r="J291" s="105">
        <v>0.95</v>
      </c>
      <c r="K291" s="43" t="s">
        <v>1897</v>
      </c>
      <c r="L291" s="4"/>
      <c r="M291">
        <f t="shared" si="8"/>
        <v>4.75</v>
      </c>
      <c r="N291" s="78">
        <f t="shared" si="9"/>
        <v>286</v>
      </c>
    </row>
    <row r="292" spans="1:14" s="78" customFormat="1" hidden="1" x14ac:dyDescent="0.25">
      <c r="A292" s="10" t="s">
        <v>889</v>
      </c>
      <c r="B292" s="10" t="s">
        <v>883</v>
      </c>
      <c r="C292" s="10" t="s">
        <v>1884</v>
      </c>
      <c r="D292" s="63" t="s">
        <v>2091</v>
      </c>
      <c r="E292" s="10">
        <v>0</v>
      </c>
      <c r="F292" s="10"/>
      <c r="G292" s="10"/>
      <c r="H292" s="30" t="s">
        <v>2092</v>
      </c>
      <c r="I292"/>
      <c r="J292" s="70">
        <v>0.95</v>
      </c>
      <c r="K292" s="30" t="s">
        <v>1896</v>
      </c>
      <c r="L292"/>
      <c r="M292">
        <f t="shared" si="8"/>
        <v>0</v>
      </c>
      <c r="N292" s="78">
        <f t="shared" si="9"/>
        <v>287</v>
      </c>
    </row>
    <row r="293" spans="1:14" s="78" customFormat="1" x14ac:dyDescent="0.25">
      <c r="A293" s="65" t="s">
        <v>889</v>
      </c>
      <c r="B293" s="65" t="s">
        <v>883</v>
      </c>
      <c r="C293" s="65" t="s">
        <v>5</v>
      </c>
      <c r="D293" s="62" t="s">
        <v>1236</v>
      </c>
      <c r="E293" s="43">
        <v>2</v>
      </c>
      <c r="F293" s="43" t="s">
        <v>1237</v>
      </c>
      <c r="G293" s="43" t="s">
        <v>1238</v>
      </c>
      <c r="H293" s="43" t="s">
        <v>1239</v>
      </c>
      <c r="I293" s="43">
        <v>1</v>
      </c>
      <c r="J293" s="105">
        <v>7.95</v>
      </c>
      <c r="K293" s="43" t="s">
        <v>1896</v>
      </c>
      <c r="L293" s="4"/>
      <c r="M293">
        <f t="shared" si="8"/>
        <v>15.9</v>
      </c>
      <c r="N293" s="78">
        <f t="shared" si="9"/>
        <v>288</v>
      </c>
    </row>
    <row r="294" spans="1:14" s="10" customFormat="1" hidden="1" x14ac:dyDescent="0.25">
      <c r="A294" s="86" t="s">
        <v>889</v>
      </c>
      <c r="B294" s="86" t="s">
        <v>883</v>
      </c>
      <c r="C294" s="86" t="s">
        <v>1884</v>
      </c>
      <c r="D294" s="86" t="s">
        <v>2453</v>
      </c>
      <c r="E294" s="86">
        <v>0</v>
      </c>
      <c r="F294"/>
      <c r="G294"/>
      <c r="H294" s="86" t="s">
        <v>2452</v>
      </c>
      <c r="I294" s="87">
        <v>115</v>
      </c>
      <c r="J294" s="88">
        <v>4.95</v>
      </c>
      <c r="K294" s="30" t="s">
        <v>1896</v>
      </c>
      <c r="L294"/>
      <c r="M294">
        <f t="shared" si="8"/>
        <v>0</v>
      </c>
      <c r="N294" s="10">
        <f t="shared" si="9"/>
        <v>289</v>
      </c>
    </row>
    <row r="295" spans="1:14" s="10" customFormat="1" x14ac:dyDescent="0.25">
      <c r="A295" s="65" t="s">
        <v>889</v>
      </c>
      <c r="B295" s="65" t="s">
        <v>2003</v>
      </c>
      <c r="C295" s="65" t="s">
        <v>5</v>
      </c>
      <c r="D295" s="62" t="s">
        <v>1244</v>
      </c>
      <c r="E295" s="43">
        <v>1</v>
      </c>
      <c r="F295" s="43" t="s">
        <v>1245</v>
      </c>
      <c r="G295" s="43" t="s">
        <v>1246</v>
      </c>
      <c r="H295" s="43" t="s">
        <v>1247</v>
      </c>
      <c r="I295" s="43"/>
      <c r="J295" s="105">
        <v>34.950000000000003</v>
      </c>
      <c r="K295" s="43" t="s">
        <v>1896</v>
      </c>
      <c r="L295" s="4"/>
      <c r="M295">
        <f t="shared" si="8"/>
        <v>34.950000000000003</v>
      </c>
      <c r="N295" s="10">
        <f t="shared" si="9"/>
        <v>290</v>
      </c>
    </row>
    <row r="296" spans="1:14" s="10" customFormat="1" hidden="1" x14ac:dyDescent="0.25">
      <c r="A296" s="65" t="s">
        <v>889</v>
      </c>
      <c r="B296" s="65" t="s">
        <v>2003</v>
      </c>
      <c r="C296" s="65" t="s">
        <v>5</v>
      </c>
      <c r="D296" s="62" t="s">
        <v>1248</v>
      </c>
      <c r="E296" s="43">
        <v>0</v>
      </c>
      <c r="F296" s="43" t="s">
        <v>1249</v>
      </c>
      <c r="G296" s="43" t="s">
        <v>1250</v>
      </c>
      <c r="H296" s="43" t="s">
        <v>1251</v>
      </c>
      <c r="I296" s="43">
        <v>1</v>
      </c>
      <c r="J296" s="105">
        <v>9.9499999999999993</v>
      </c>
      <c r="K296" s="43" t="s">
        <v>1896</v>
      </c>
      <c r="L296" s="4"/>
      <c r="M296">
        <f t="shared" si="8"/>
        <v>0</v>
      </c>
      <c r="N296" s="10">
        <f t="shared" si="9"/>
        <v>291</v>
      </c>
    </row>
    <row r="297" spans="1:14" s="10" customFormat="1" x14ac:dyDescent="0.25">
      <c r="A297" s="10" t="s">
        <v>889</v>
      </c>
      <c r="B297" s="10" t="s">
        <v>2003</v>
      </c>
      <c r="C297" s="10" t="s">
        <v>1884</v>
      </c>
      <c r="D297" s="63" t="s">
        <v>2095</v>
      </c>
      <c r="E297" s="10">
        <v>3</v>
      </c>
      <c r="H297" s="30" t="s">
        <v>2096</v>
      </c>
      <c r="I297"/>
      <c r="J297" s="70">
        <v>4.95</v>
      </c>
      <c r="K297" s="30" t="s">
        <v>1896</v>
      </c>
      <c r="L297"/>
      <c r="M297">
        <f t="shared" si="8"/>
        <v>14.850000000000001</v>
      </c>
      <c r="N297" s="10">
        <f t="shared" si="9"/>
        <v>292</v>
      </c>
    </row>
    <row r="298" spans="1:14" s="10" customFormat="1" x14ac:dyDescent="0.25">
      <c r="A298" s="10" t="s">
        <v>889</v>
      </c>
      <c r="B298" s="10" t="s">
        <v>2003</v>
      </c>
      <c r="C298" s="10" t="s">
        <v>1884</v>
      </c>
      <c r="D298" s="63" t="s">
        <v>2097</v>
      </c>
      <c r="E298" s="10">
        <v>1</v>
      </c>
      <c r="H298" s="30" t="s">
        <v>2098</v>
      </c>
      <c r="I298"/>
      <c r="J298" s="70">
        <v>17.95</v>
      </c>
      <c r="K298" s="30" t="s">
        <v>1896</v>
      </c>
      <c r="L298"/>
      <c r="M298">
        <f t="shared" si="8"/>
        <v>17.95</v>
      </c>
      <c r="N298" s="10">
        <f t="shared" si="9"/>
        <v>293</v>
      </c>
    </row>
    <row r="299" spans="1:14" s="10" customFormat="1" x14ac:dyDescent="0.25">
      <c r="A299" s="65" t="s">
        <v>889</v>
      </c>
      <c r="B299" s="65" t="s">
        <v>1289</v>
      </c>
      <c r="C299" s="65" t="s">
        <v>5</v>
      </c>
      <c r="D299" s="62" t="s">
        <v>1076</v>
      </c>
      <c r="E299" s="43">
        <v>3</v>
      </c>
      <c r="F299" s="43" t="s">
        <v>1077</v>
      </c>
      <c r="G299" s="43" t="s">
        <v>1078</v>
      </c>
      <c r="H299" s="43" t="s">
        <v>1079</v>
      </c>
      <c r="I299" s="43">
        <v>1</v>
      </c>
      <c r="J299" s="105">
        <v>1.95</v>
      </c>
      <c r="K299" s="43" t="s">
        <v>1896</v>
      </c>
      <c r="L299" s="43" t="s">
        <v>1198</v>
      </c>
      <c r="M299">
        <f t="shared" si="8"/>
        <v>5.85</v>
      </c>
      <c r="N299" s="10">
        <f t="shared" si="9"/>
        <v>294</v>
      </c>
    </row>
    <row r="300" spans="1:14" s="10" customFormat="1" x14ac:dyDescent="0.25">
      <c r="A300" s="65" t="s">
        <v>889</v>
      </c>
      <c r="B300" s="65" t="s">
        <v>1289</v>
      </c>
      <c r="C300" s="65" t="s">
        <v>5</v>
      </c>
      <c r="D300" s="62" t="s">
        <v>1256</v>
      </c>
      <c r="E300" s="43">
        <v>3</v>
      </c>
      <c r="F300" s="43" t="s">
        <v>1257</v>
      </c>
      <c r="G300" s="43" t="s">
        <v>1258</v>
      </c>
      <c r="H300" s="43" t="s">
        <v>1259</v>
      </c>
      <c r="I300" s="43"/>
      <c r="J300" s="105">
        <v>1.5</v>
      </c>
      <c r="K300" s="43" t="s">
        <v>1896</v>
      </c>
      <c r="L300" s="4"/>
      <c r="M300">
        <f t="shared" si="8"/>
        <v>4.5</v>
      </c>
      <c r="N300" s="10">
        <f t="shared" si="9"/>
        <v>295</v>
      </c>
    </row>
    <row r="301" spans="1:14" s="10" customFormat="1" x14ac:dyDescent="0.25">
      <c r="A301" s="65" t="s">
        <v>889</v>
      </c>
      <c r="B301" s="65" t="s">
        <v>1289</v>
      </c>
      <c r="C301" s="65" t="s">
        <v>5</v>
      </c>
      <c r="D301" s="62" t="s">
        <v>1072</v>
      </c>
      <c r="E301" s="43">
        <v>3</v>
      </c>
      <c r="F301" s="43" t="s">
        <v>1073</v>
      </c>
      <c r="G301" s="43" t="s">
        <v>1074</v>
      </c>
      <c r="H301" s="43" t="s">
        <v>1075</v>
      </c>
      <c r="I301" s="43">
        <v>1</v>
      </c>
      <c r="J301" s="105">
        <v>0.95</v>
      </c>
      <c r="K301" s="43" t="s">
        <v>1896</v>
      </c>
      <c r="L301" s="43" t="s">
        <v>1198</v>
      </c>
      <c r="M301">
        <f t="shared" si="8"/>
        <v>2.8499999999999996</v>
      </c>
      <c r="N301" s="10">
        <f t="shared" si="9"/>
        <v>296</v>
      </c>
    </row>
    <row r="302" spans="1:14" s="10" customFormat="1" x14ac:dyDescent="0.25">
      <c r="A302" s="10" t="s">
        <v>889</v>
      </c>
      <c r="B302" s="10" t="s">
        <v>1289</v>
      </c>
      <c r="C302" s="10" t="s">
        <v>1884</v>
      </c>
      <c r="D302" s="63" t="s">
        <v>2093</v>
      </c>
      <c r="E302" s="79">
        <f>2*FilterSpecs!$C$3</f>
        <v>10</v>
      </c>
      <c r="H302" s="30" t="s">
        <v>2094</v>
      </c>
      <c r="I302"/>
      <c r="J302" s="70">
        <v>0.75</v>
      </c>
      <c r="K302" s="30" t="s">
        <v>1896</v>
      </c>
      <c r="L302"/>
      <c r="M302">
        <f t="shared" si="8"/>
        <v>7.5</v>
      </c>
      <c r="N302" s="10">
        <f t="shared" si="9"/>
        <v>297</v>
      </c>
    </row>
    <row r="303" spans="1:14" s="10" customFormat="1" x14ac:dyDescent="0.25">
      <c r="A303" s="65" t="s">
        <v>889</v>
      </c>
      <c r="B303" s="65" t="s">
        <v>1289</v>
      </c>
      <c r="C303" s="65" t="s">
        <v>5</v>
      </c>
      <c r="D303" s="62" t="s">
        <v>1252</v>
      </c>
      <c r="E303" s="43">
        <v>2</v>
      </c>
      <c r="F303" s="43" t="s">
        <v>1253</v>
      </c>
      <c r="G303" s="43" t="s">
        <v>1254</v>
      </c>
      <c r="H303" s="43" t="s">
        <v>1255</v>
      </c>
      <c r="I303" s="43">
        <v>1</v>
      </c>
      <c r="J303" s="105">
        <v>1.95</v>
      </c>
      <c r="K303" s="43" t="s">
        <v>1896</v>
      </c>
      <c r="L303" s="4"/>
      <c r="M303">
        <f t="shared" si="8"/>
        <v>3.9</v>
      </c>
      <c r="N303" s="10">
        <f t="shared" si="9"/>
        <v>298</v>
      </c>
    </row>
    <row r="304" spans="1:14" s="10" customFormat="1" x14ac:dyDescent="0.25">
      <c r="A304" s="65" t="s">
        <v>889</v>
      </c>
      <c r="B304" s="65" t="s">
        <v>1289</v>
      </c>
      <c r="C304" s="65" t="s">
        <v>5</v>
      </c>
      <c r="D304" s="62" t="s">
        <v>1068</v>
      </c>
      <c r="E304" s="43">
        <v>3</v>
      </c>
      <c r="F304" s="43" t="s">
        <v>1069</v>
      </c>
      <c r="G304" s="43" t="s">
        <v>1070</v>
      </c>
      <c r="H304" s="43" t="s">
        <v>1071</v>
      </c>
      <c r="I304" s="43"/>
      <c r="J304" s="105">
        <v>3.95</v>
      </c>
      <c r="K304" s="43" t="s">
        <v>1896</v>
      </c>
      <c r="L304" s="4"/>
      <c r="M304">
        <f t="shared" si="8"/>
        <v>11.850000000000001</v>
      </c>
      <c r="N304" s="10">
        <f t="shared" si="9"/>
        <v>299</v>
      </c>
    </row>
    <row r="305" spans="1:14" s="10" customFormat="1" x14ac:dyDescent="0.25">
      <c r="A305" s="65" t="s">
        <v>889</v>
      </c>
      <c r="B305" s="65" t="s">
        <v>987</v>
      </c>
      <c r="C305" s="65" t="s">
        <v>5</v>
      </c>
      <c r="D305" s="62" t="s">
        <v>636</v>
      </c>
      <c r="E305" s="43">
        <v>3</v>
      </c>
      <c r="F305" s="43" t="s">
        <v>637</v>
      </c>
      <c r="G305" s="43" t="s">
        <v>638</v>
      </c>
      <c r="H305" s="43" t="s">
        <v>639</v>
      </c>
      <c r="I305" s="43"/>
      <c r="J305" s="105">
        <v>3.95</v>
      </c>
      <c r="K305" s="43" t="s">
        <v>1896</v>
      </c>
      <c r="L305" s="4"/>
      <c r="M305">
        <f t="shared" si="8"/>
        <v>11.850000000000001</v>
      </c>
      <c r="N305" s="10">
        <f t="shared" si="9"/>
        <v>300</v>
      </c>
    </row>
    <row r="306" spans="1:14" s="10" customFormat="1" x14ac:dyDescent="0.25">
      <c r="A306" s="65" t="s">
        <v>889</v>
      </c>
      <c r="B306" s="65" t="s">
        <v>987</v>
      </c>
      <c r="C306" s="65" t="s">
        <v>5</v>
      </c>
      <c r="D306" s="62" t="s">
        <v>644</v>
      </c>
      <c r="E306" s="79">
        <f>FilterSpecs!$C$3</f>
        <v>5</v>
      </c>
      <c r="F306" s="43" t="s">
        <v>645</v>
      </c>
      <c r="G306" s="43" t="s">
        <v>646</v>
      </c>
      <c r="H306" s="43" t="s">
        <v>647</v>
      </c>
      <c r="I306" s="43">
        <v>1</v>
      </c>
      <c r="J306" s="105">
        <v>2.95</v>
      </c>
      <c r="K306" s="43" t="s">
        <v>1896</v>
      </c>
      <c r="L306" s="4"/>
      <c r="M306">
        <f t="shared" si="8"/>
        <v>14.75</v>
      </c>
      <c r="N306" s="10">
        <f t="shared" si="9"/>
        <v>301</v>
      </c>
    </row>
    <row r="307" spans="1:14" s="10" customFormat="1" x14ac:dyDescent="0.25">
      <c r="A307" s="65" t="s">
        <v>889</v>
      </c>
      <c r="B307" s="65" t="s">
        <v>987</v>
      </c>
      <c r="C307" s="65" t="s">
        <v>5</v>
      </c>
      <c r="D307" s="62" t="s">
        <v>700</v>
      </c>
      <c r="E307" s="79">
        <f>FilterSpecs!$C$3</f>
        <v>5</v>
      </c>
      <c r="F307" s="43" t="s">
        <v>701</v>
      </c>
      <c r="G307" s="43" t="s">
        <v>702</v>
      </c>
      <c r="H307" s="43" t="s">
        <v>703</v>
      </c>
      <c r="I307" s="43">
        <v>1</v>
      </c>
      <c r="J307" s="105">
        <v>1.5</v>
      </c>
      <c r="K307" s="43" t="s">
        <v>1896</v>
      </c>
      <c r="L307" s="4"/>
      <c r="M307">
        <f t="shared" si="8"/>
        <v>7.5</v>
      </c>
      <c r="N307" s="10">
        <f t="shared" si="9"/>
        <v>302</v>
      </c>
    </row>
    <row r="308" spans="1:14" s="10" customFormat="1" x14ac:dyDescent="0.25">
      <c r="A308" s="65" t="s">
        <v>889</v>
      </c>
      <c r="B308" s="65" t="s">
        <v>987</v>
      </c>
      <c r="C308" s="65" t="s">
        <v>5</v>
      </c>
      <c r="D308" s="62" t="s">
        <v>901</v>
      </c>
      <c r="E308" s="43">
        <v>3</v>
      </c>
      <c r="F308" s="43" t="s">
        <v>902</v>
      </c>
      <c r="G308" s="43" t="s">
        <v>903</v>
      </c>
      <c r="H308" s="43" t="s">
        <v>904</v>
      </c>
      <c r="I308" s="43">
        <v>1</v>
      </c>
      <c r="J308" s="105">
        <v>3.95</v>
      </c>
      <c r="K308" s="43" t="s">
        <v>1896</v>
      </c>
      <c r="L308" s="4"/>
      <c r="M308">
        <f t="shared" si="8"/>
        <v>11.850000000000001</v>
      </c>
      <c r="N308" s="10">
        <f t="shared" si="9"/>
        <v>303</v>
      </c>
    </row>
    <row r="309" spans="1:14" s="10" customFormat="1" x14ac:dyDescent="0.25">
      <c r="A309" s="65" t="s">
        <v>889</v>
      </c>
      <c r="B309" s="65" t="s">
        <v>987</v>
      </c>
      <c r="C309" s="65" t="s">
        <v>5</v>
      </c>
      <c r="D309" s="62" t="s">
        <v>905</v>
      </c>
      <c r="E309" s="79">
        <f>FilterSpecs!$C$3</f>
        <v>5</v>
      </c>
      <c r="F309" s="43" t="s">
        <v>906</v>
      </c>
      <c r="G309" s="43" t="s">
        <v>907</v>
      </c>
      <c r="H309" s="43" t="s">
        <v>908</v>
      </c>
      <c r="I309" s="43">
        <v>1</v>
      </c>
      <c r="J309" s="105">
        <v>0.46</v>
      </c>
      <c r="K309" s="43" t="s">
        <v>1896</v>
      </c>
      <c r="L309" s="4"/>
      <c r="M309">
        <f t="shared" si="8"/>
        <v>2.3000000000000003</v>
      </c>
      <c r="N309" s="10">
        <f t="shared" si="9"/>
        <v>304</v>
      </c>
    </row>
    <row r="310" spans="1:14" s="10" customFormat="1" x14ac:dyDescent="0.25">
      <c r="A310" s="65" t="s">
        <v>889</v>
      </c>
      <c r="B310" s="65" t="s">
        <v>987</v>
      </c>
      <c r="C310" s="65" t="s">
        <v>5</v>
      </c>
      <c r="D310" s="62" t="s">
        <v>929</v>
      </c>
      <c r="E310" s="79">
        <f>2*FilterSpecs!$C$3</f>
        <v>10</v>
      </c>
      <c r="F310" s="43" t="s">
        <v>930</v>
      </c>
      <c r="G310" s="43" t="s">
        <v>931</v>
      </c>
      <c r="H310" s="43" t="s">
        <v>932</v>
      </c>
      <c r="I310" s="43">
        <v>1</v>
      </c>
      <c r="J310" s="105">
        <v>3.95</v>
      </c>
      <c r="K310" s="43" t="s">
        <v>1896</v>
      </c>
      <c r="L310" s="4"/>
      <c r="M310">
        <f t="shared" si="8"/>
        <v>39.5</v>
      </c>
      <c r="N310" s="10">
        <f t="shared" si="9"/>
        <v>305</v>
      </c>
    </row>
    <row r="311" spans="1:14" s="78" customFormat="1" x14ac:dyDescent="0.25">
      <c r="A311" s="65" t="s">
        <v>889</v>
      </c>
      <c r="B311" s="65" t="s">
        <v>1290</v>
      </c>
      <c r="C311" s="65" t="s">
        <v>5</v>
      </c>
      <c r="D311" s="62" t="s">
        <v>1228</v>
      </c>
      <c r="E311" s="43">
        <v>1</v>
      </c>
      <c r="F311" s="43" t="s">
        <v>1229</v>
      </c>
      <c r="G311" s="43" t="s">
        <v>1230</v>
      </c>
      <c r="H311" s="43" t="s">
        <v>1231</v>
      </c>
      <c r="I311" s="43">
        <v>1</v>
      </c>
      <c r="J311" s="105">
        <v>2.95</v>
      </c>
      <c r="K311" s="43" t="s">
        <v>1896</v>
      </c>
      <c r="L311" s="4"/>
      <c r="M311">
        <f t="shared" si="8"/>
        <v>2.95</v>
      </c>
      <c r="N311" s="78">
        <f t="shared" si="9"/>
        <v>306</v>
      </c>
    </row>
    <row r="312" spans="1:14" s="78" customFormat="1" x14ac:dyDescent="0.25">
      <c r="A312" s="65" t="s">
        <v>889</v>
      </c>
      <c r="B312" s="65" t="s">
        <v>1290</v>
      </c>
      <c r="C312" s="65" t="s">
        <v>5</v>
      </c>
      <c r="D312" s="62" t="s">
        <v>1232</v>
      </c>
      <c r="E312" s="43">
        <v>1</v>
      </c>
      <c r="F312" s="43" t="s">
        <v>1233</v>
      </c>
      <c r="G312" s="43" t="s">
        <v>1234</v>
      </c>
      <c r="H312" s="43" t="s">
        <v>1235</v>
      </c>
      <c r="I312" s="43">
        <v>1</v>
      </c>
      <c r="J312" s="105">
        <v>3.95</v>
      </c>
      <c r="K312" s="43" t="s">
        <v>1896</v>
      </c>
      <c r="L312" s="4"/>
      <c r="M312">
        <f t="shared" si="8"/>
        <v>3.95</v>
      </c>
      <c r="N312" s="78">
        <f t="shared" si="9"/>
        <v>307</v>
      </c>
    </row>
    <row r="313" spans="1:14" s="78" customFormat="1" x14ac:dyDescent="0.25">
      <c r="A313" s="77" t="s">
        <v>890</v>
      </c>
      <c r="B313" s="77" t="s">
        <v>884</v>
      </c>
      <c r="C313" s="77" t="s">
        <v>5</v>
      </c>
      <c r="D313" s="78" t="s">
        <v>1282</v>
      </c>
      <c r="E313" s="79">
        <f>SUM(E314:E318)</f>
        <v>4</v>
      </c>
      <c r="F313" s="78" t="s">
        <v>1283</v>
      </c>
      <c r="G313" s="78" t="s">
        <v>1284</v>
      </c>
      <c r="H313" s="78" t="s">
        <v>1285</v>
      </c>
      <c r="I313" s="78">
        <v>1</v>
      </c>
      <c r="J313" s="79">
        <v>1.5</v>
      </c>
      <c r="K313" s="82" t="s">
        <v>1897</v>
      </c>
      <c r="M313">
        <f t="shared" si="8"/>
        <v>6</v>
      </c>
      <c r="N313" s="78">
        <f t="shared" si="9"/>
        <v>308</v>
      </c>
    </row>
    <row r="314" spans="1:14" s="78" customFormat="1" x14ac:dyDescent="0.25">
      <c r="A314" s="77" t="s">
        <v>890</v>
      </c>
      <c r="B314" s="77" t="s">
        <v>884</v>
      </c>
      <c r="C314" s="77" t="s">
        <v>5</v>
      </c>
      <c r="D314" s="78" t="s">
        <v>596</v>
      </c>
      <c r="E314" s="79">
        <v>1</v>
      </c>
      <c r="F314" s="78" t="s">
        <v>597</v>
      </c>
      <c r="G314" s="78" t="s">
        <v>598</v>
      </c>
      <c r="H314" s="78" t="s">
        <v>599</v>
      </c>
      <c r="J314" s="79">
        <v>1.95</v>
      </c>
      <c r="K314" s="78" t="s">
        <v>1896</v>
      </c>
      <c r="M314">
        <f t="shared" si="8"/>
        <v>1.95</v>
      </c>
      <c r="N314" s="78">
        <f t="shared" si="9"/>
        <v>309</v>
      </c>
    </row>
    <row r="315" spans="1:14" s="78" customFormat="1" x14ac:dyDescent="0.25">
      <c r="A315" s="77" t="s">
        <v>890</v>
      </c>
      <c r="B315" s="77" t="s">
        <v>884</v>
      </c>
      <c r="C315" s="77" t="s">
        <v>5</v>
      </c>
      <c r="D315" s="78" t="s">
        <v>600</v>
      </c>
      <c r="E315" s="79">
        <v>1</v>
      </c>
      <c r="F315" s="78" t="s">
        <v>601</v>
      </c>
      <c r="G315" s="78" t="s">
        <v>602</v>
      </c>
      <c r="H315" s="78" t="s">
        <v>603</v>
      </c>
      <c r="J315" s="79">
        <v>1.95</v>
      </c>
      <c r="K315" s="78" t="s">
        <v>1896</v>
      </c>
      <c r="M315">
        <f t="shared" si="8"/>
        <v>1.95</v>
      </c>
      <c r="N315" s="78">
        <f t="shared" si="9"/>
        <v>310</v>
      </c>
    </row>
    <row r="316" spans="1:14" s="78" customFormat="1" x14ac:dyDescent="0.25">
      <c r="A316" s="77" t="s">
        <v>890</v>
      </c>
      <c r="B316" s="77" t="s">
        <v>884</v>
      </c>
      <c r="C316" s="77" t="s">
        <v>5</v>
      </c>
      <c r="D316" s="78" t="s">
        <v>1280</v>
      </c>
      <c r="E316" s="79">
        <v>1</v>
      </c>
      <c r="F316" s="78" t="s">
        <v>1286</v>
      </c>
      <c r="G316" s="78" t="s">
        <v>1287</v>
      </c>
      <c r="H316" s="78" t="s">
        <v>1281</v>
      </c>
      <c r="J316" s="79">
        <v>1.95</v>
      </c>
      <c r="K316" s="78" t="s">
        <v>1896</v>
      </c>
      <c r="M316">
        <f t="shared" si="8"/>
        <v>1.95</v>
      </c>
      <c r="N316" s="78">
        <f t="shared" si="9"/>
        <v>311</v>
      </c>
    </row>
    <row r="317" spans="1:14" s="10" customFormat="1" hidden="1" x14ac:dyDescent="0.25">
      <c r="A317" s="30" t="s">
        <v>890</v>
      </c>
      <c r="B317" s="30" t="s">
        <v>884</v>
      </c>
      <c r="C317" s="30" t="s">
        <v>5</v>
      </c>
      <c r="D317" s="10" t="s">
        <v>1695</v>
      </c>
      <c r="E317" s="64">
        <v>0</v>
      </c>
      <c r="F317" s="10" t="s">
        <v>1696</v>
      </c>
      <c r="G317" s="10" t="s">
        <v>1697</v>
      </c>
      <c r="H317" s="10" t="s">
        <v>1698</v>
      </c>
      <c r="J317" s="64">
        <v>1.95</v>
      </c>
      <c r="K317" s="10" t="s">
        <v>1896</v>
      </c>
      <c r="M317">
        <f t="shared" si="8"/>
        <v>0</v>
      </c>
      <c r="N317" s="10">
        <f t="shared" si="9"/>
        <v>312</v>
      </c>
    </row>
    <row r="318" spans="1:14" s="10" customFormat="1" x14ac:dyDescent="0.25">
      <c r="A318" s="30" t="s">
        <v>890</v>
      </c>
      <c r="B318" s="30" t="s">
        <v>884</v>
      </c>
      <c r="C318" s="30" t="s">
        <v>5</v>
      </c>
      <c r="D318" s="10" t="s">
        <v>1699</v>
      </c>
      <c r="E318" s="64">
        <v>1</v>
      </c>
      <c r="F318" s="10" t="s">
        <v>1700</v>
      </c>
      <c r="G318" s="10" t="s">
        <v>1701</v>
      </c>
      <c r="H318" s="10" t="s">
        <v>1702</v>
      </c>
      <c r="J318" s="64">
        <v>1.95</v>
      </c>
      <c r="K318" s="10" t="s">
        <v>1896</v>
      </c>
      <c r="M318">
        <f t="shared" si="8"/>
        <v>1.95</v>
      </c>
      <c r="N318" s="10">
        <f t="shared" si="9"/>
        <v>313</v>
      </c>
    </row>
    <row r="319" spans="1:14" s="10" customFormat="1" hidden="1" x14ac:dyDescent="0.25">
      <c r="A319" s="10" t="s">
        <v>890</v>
      </c>
      <c r="B319" s="10" t="s">
        <v>884</v>
      </c>
      <c r="C319" s="10" t="s">
        <v>1884</v>
      </c>
      <c r="D319" s="10" t="s">
        <v>2111</v>
      </c>
      <c r="E319" s="64">
        <v>0</v>
      </c>
      <c r="H319" s="30" t="s">
        <v>2112</v>
      </c>
      <c r="I319"/>
      <c r="J319" s="70">
        <v>2.5</v>
      </c>
      <c r="K319" s="30" t="s">
        <v>1896</v>
      </c>
      <c r="L319"/>
      <c r="M319">
        <f t="shared" si="8"/>
        <v>0</v>
      </c>
      <c r="N319" s="10">
        <f t="shared" si="9"/>
        <v>314</v>
      </c>
    </row>
    <row r="320" spans="1:14" s="10" customFormat="1" x14ac:dyDescent="0.25">
      <c r="A320" s="30" t="s">
        <v>890</v>
      </c>
      <c r="B320" s="30" t="s">
        <v>884</v>
      </c>
      <c r="C320" s="30" t="s">
        <v>5</v>
      </c>
      <c r="D320" s="10" t="s">
        <v>608</v>
      </c>
      <c r="E320" s="64">
        <v>2</v>
      </c>
      <c r="F320" s="10" t="s">
        <v>609</v>
      </c>
      <c r="G320" s="10" t="s">
        <v>610</v>
      </c>
      <c r="H320" s="10" t="s">
        <v>611</v>
      </c>
      <c r="I320" s="10">
        <v>1</v>
      </c>
      <c r="J320" s="64">
        <v>0.35</v>
      </c>
      <c r="K320" s="10" t="s">
        <v>1896</v>
      </c>
      <c r="M320">
        <f t="shared" si="8"/>
        <v>0.7</v>
      </c>
      <c r="N320" s="10">
        <f t="shared" si="9"/>
        <v>315</v>
      </c>
    </row>
    <row r="321" spans="1:14" s="10" customFormat="1" x14ac:dyDescent="0.25">
      <c r="A321" s="30" t="s">
        <v>890</v>
      </c>
      <c r="B321" s="30" t="s">
        <v>884</v>
      </c>
      <c r="C321" s="30" t="s">
        <v>5</v>
      </c>
      <c r="D321" s="10" t="s">
        <v>620</v>
      </c>
      <c r="E321" s="64">
        <v>2</v>
      </c>
      <c r="F321" s="10" t="s">
        <v>621</v>
      </c>
      <c r="G321" s="10" t="s">
        <v>622</v>
      </c>
      <c r="H321" s="10" t="s">
        <v>623</v>
      </c>
      <c r="I321" s="10">
        <v>1</v>
      </c>
      <c r="J321" s="64">
        <v>0.5</v>
      </c>
      <c r="K321" s="10" t="s">
        <v>1896</v>
      </c>
      <c r="M321">
        <f t="shared" si="8"/>
        <v>1</v>
      </c>
      <c r="N321" s="10">
        <f t="shared" si="9"/>
        <v>316</v>
      </c>
    </row>
    <row r="322" spans="1:14" s="10" customFormat="1" x14ac:dyDescent="0.25">
      <c r="A322" s="30" t="s">
        <v>890</v>
      </c>
      <c r="B322" s="30" t="s">
        <v>884</v>
      </c>
      <c r="C322" s="30" t="s">
        <v>5</v>
      </c>
      <c r="D322" s="10" t="s">
        <v>616</v>
      </c>
      <c r="E322" s="64">
        <v>2</v>
      </c>
      <c r="F322" s="10" t="s">
        <v>617</v>
      </c>
      <c r="G322" s="10" t="s">
        <v>618</v>
      </c>
      <c r="H322" s="10" t="s">
        <v>619</v>
      </c>
      <c r="I322" s="10">
        <v>1</v>
      </c>
      <c r="J322" s="64">
        <v>0.5</v>
      </c>
      <c r="K322" s="10" t="s">
        <v>1896</v>
      </c>
      <c r="M322">
        <f t="shared" si="8"/>
        <v>1</v>
      </c>
      <c r="N322" s="10">
        <f t="shared" si="9"/>
        <v>317</v>
      </c>
    </row>
    <row r="323" spans="1:14" s="10" customFormat="1" hidden="1" x14ac:dyDescent="0.25">
      <c r="A323" s="10" t="s">
        <v>890</v>
      </c>
      <c r="B323" s="10" t="s">
        <v>884</v>
      </c>
      <c r="C323" s="10" t="s">
        <v>1884</v>
      </c>
      <c r="D323" s="10" t="s">
        <v>2099</v>
      </c>
      <c r="E323" s="64">
        <v>0</v>
      </c>
      <c r="H323" s="30" t="s">
        <v>2100</v>
      </c>
      <c r="I323"/>
      <c r="J323" s="70">
        <v>1.95</v>
      </c>
      <c r="K323" s="30" t="s">
        <v>1896</v>
      </c>
      <c r="L323"/>
      <c r="M323">
        <f t="shared" si="8"/>
        <v>0</v>
      </c>
      <c r="N323" s="10">
        <f t="shared" si="9"/>
        <v>318</v>
      </c>
    </row>
    <row r="324" spans="1:14" s="78" customFormat="1" hidden="1" x14ac:dyDescent="0.25">
      <c r="A324" s="78" t="s">
        <v>890</v>
      </c>
      <c r="B324" s="78" t="s">
        <v>884</v>
      </c>
      <c r="C324" s="78" t="s">
        <v>1884</v>
      </c>
      <c r="D324" s="78" t="s">
        <v>2101</v>
      </c>
      <c r="E324" s="79">
        <v>0</v>
      </c>
      <c r="H324" s="77" t="s">
        <v>2102</v>
      </c>
      <c r="I324" s="80"/>
      <c r="J324" s="85">
        <v>1.95</v>
      </c>
      <c r="K324" s="77" t="s">
        <v>1896</v>
      </c>
      <c r="L324" s="80"/>
      <c r="M324">
        <f t="shared" si="8"/>
        <v>0</v>
      </c>
      <c r="N324" s="78">
        <f t="shared" si="9"/>
        <v>319</v>
      </c>
    </row>
    <row r="325" spans="1:14" s="78" customFormat="1" x14ac:dyDescent="0.25">
      <c r="A325" s="77" t="s">
        <v>890</v>
      </c>
      <c r="B325" s="77" t="s">
        <v>884</v>
      </c>
      <c r="C325" s="77" t="s">
        <v>5</v>
      </c>
      <c r="D325" s="78" t="s">
        <v>612</v>
      </c>
      <c r="E325" s="79">
        <f>FilterSpecs!$C$3</f>
        <v>5</v>
      </c>
      <c r="F325" s="78" t="s">
        <v>613</v>
      </c>
      <c r="G325" s="78" t="s">
        <v>614</v>
      </c>
      <c r="H325" s="78" t="s">
        <v>615</v>
      </c>
      <c r="I325" s="78">
        <v>1</v>
      </c>
      <c r="J325" s="79">
        <v>0.5</v>
      </c>
      <c r="K325" s="78" t="s">
        <v>1897</v>
      </c>
      <c r="M325">
        <f t="shared" si="8"/>
        <v>2.5</v>
      </c>
      <c r="N325" s="78">
        <f t="shared" si="9"/>
        <v>320</v>
      </c>
    </row>
    <row r="326" spans="1:14" s="78" customFormat="1" x14ac:dyDescent="0.25">
      <c r="A326" s="77" t="s">
        <v>890</v>
      </c>
      <c r="B326" s="77" t="s">
        <v>884</v>
      </c>
      <c r="C326" s="77" t="s">
        <v>5</v>
      </c>
      <c r="D326" s="78" t="s">
        <v>524</v>
      </c>
      <c r="E326" s="79">
        <f>FilterSpecs!$C$3+2</f>
        <v>7</v>
      </c>
      <c r="F326" s="78" t="s">
        <v>525</v>
      </c>
      <c r="G326" s="78" t="s">
        <v>526</v>
      </c>
      <c r="H326" s="78" t="s">
        <v>527</v>
      </c>
      <c r="I326" s="78">
        <v>1</v>
      </c>
      <c r="J326" s="79">
        <v>0.95</v>
      </c>
      <c r="K326" s="82" t="s">
        <v>1897</v>
      </c>
      <c r="M326">
        <f t="shared" ref="M326:M389" si="10">E326*J326</f>
        <v>6.6499999999999995</v>
      </c>
      <c r="N326" s="78">
        <f t="shared" ref="N326:N389" si="11">IF($N325="List #",1,$N325+1)</f>
        <v>321</v>
      </c>
    </row>
    <row r="327" spans="1:14" s="78" customFormat="1" x14ac:dyDescent="0.25">
      <c r="A327" s="77" t="s">
        <v>890</v>
      </c>
      <c r="B327" s="77" t="s">
        <v>884</v>
      </c>
      <c r="C327" s="77" t="s">
        <v>5</v>
      </c>
      <c r="D327" s="78" t="s">
        <v>624</v>
      </c>
      <c r="E327" s="79">
        <v>2</v>
      </c>
      <c r="F327" s="78" t="s">
        <v>625</v>
      </c>
      <c r="G327" s="78" t="s">
        <v>626</v>
      </c>
      <c r="H327" s="78" t="s">
        <v>627</v>
      </c>
      <c r="I327" s="78">
        <v>1</v>
      </c>
      <c r="J327" s="79">
        <v>1.5</v>
      </c>
      <c r="K327" s="78" t="s">
        <v>1896</v>
      </c>
      <c r="M327">
        <f t="shared" si="10"/>
        <v>3</v>
      </c>
      <c r="N327" s="78">
        <f t="shared" si="11"/>
        <v>322</v>
      </c>
    </row>
    <row r="328" spans="1:14" s="78" customFormat="1" x14ac:dyDescent="0.25">
      <c r="A328" s="77" t="s">
        <v>890</v>
      </c>
      <c r="B328" s="77" t="s">
        <v>884</v>
      </c>
      <c r="C328" s="77" t="s">
        <v>5</v>
      </c>
      <c r="D328" s="78" t="s">
        <v>1321</v>
      </c>
      <c r="E328" s="79">
        <f>FilterSpecs!$C$3</f>
        <v>5</v>
      </c>
      <c r="F328" s="78" t="s">
        <v>1322</v>
      </c>
      <c r="G328" s="78" t="s">
        <v>1323</v>
      </c>
      <c r="H328" s="78" t="s">
        <v>1324</v>
      </c>
      <c r="I328" s="78">
        <v>1</v>
      </c>
      <c r="J328" s="79">
        <v>0.75</v>
      </c>
      <c r="K328" s="78" t="s">
        <v>1897</v>
      </c>
      <c r="M328">
        <f t="shared" si="10"/>
        <v>3.75</v>
      </c>
      <c r="N328" s="78">
        <f t="shared" si="11"/>
        <v>323</v>
      </c>
    </row>
    <row r="329" spans="1:14" s="10" customFormat="1" x14ac:dyDescent="0.25">
      <c r="A329" s="30" t="s">
        <v>890</v>
      </c>
      <c r="B329" s="30" t="s">
        <v>884</v>
      </c>
      <c r="C329" s="30" t="s">
        <v>5</v>
      </c>
      <c r="D329" s="10" t="s">
        <v>1663</v>
      </c>
      <c r="E329" s="64">
        <v>1</v>
      </c>
      <c r="F329" s="10" t="s">
        <v>1664</v>
      </c>
      <c r="G329" s="10" t="s">
        <v>1665</v>
      </c>
      <c r="H329" s="10" t="s">
        <v>1666</v>
      </c>
      <c r="I329" s="10">
        <v>1</v>
      </c>
      <c r="J329" s="64">
        <v>0.95</v>
      </c>
      <c r="K329" s="10" t="s">
        <v>1896</v>
      </c>
      <c r="M329">
        <f t="shared" si="10"/>
        <v>0.95</v>
      </c>
      <c r="N329" s="10">
        <f t="shared" si="11"/>
        <v>324</v>
      </c>
    </row>
    <row r="330" spans="1:14" s="10" customFormat="1" x14ac:dyDescent="0.25">
      <c r="A330" s="30" t="s">
        <v>890</v>
      </c>
      <c r="B330" s="30" t="s">
        <v>884</v>
      </c>
      <c r="C330" s="30" t="s">
        <v>5</v>
      </c>
      <c r="D330" s="10" t="s">
        <v>1679</v>
      </c>
      <c r="E330" s="64">
        <v>1</v>
      </c>
      <c r="F330" s="10" t="s">
        <v>1680</v>
      </c>
      <c r="G330" s="10" t="s">
        <v>1681</v>
      </c>
      <c r="H330" s="10" t="s">
        <v>1682</v>
      </c>
      <c r="I330" s="10">
        <v>1</v>
      </c>
      <c r="J330" s="64">
        <v>1.95</v>
      </c>
      <c r="K330" s="10" t="s">
        <v>1896</v>
      </c>
      <c r="M330">
        <f t="shared" si="10"/>
        <v>1.95</v>
      </c>
      <c r="N330" s="10">
        <f t="shared" si="11"/>
        <v>325</v>
      </c>
    </row>
    <row r="331" spans="1:14" s="10" customFormat="1" x14ac:dyDescent="0.25">
      <c r="A331" s="30" t="s">
        <v>890</v>
      </c>
      <c r="B331" s="30" t="s">
        <v>884</v>
      </c>
      <c r="C331" s="30" t="s">
        <v>5</v>
      </c>
      <c r="D331" s="10" t="s">
        <v>1675</v>
      </c>
      <c r="E331" s="64">
        <v>1</v>
      </c>
      <c r="F331" s="10" t="s">
        <v>1676</v>
      </c>
      <c r="G331" s="10" t="s">
        <v>1677</v>
      </c>
      <c r="H331" s="10" t="s">
        <v>1678</v>
      </c>
      <c r="I331" s="10">
        <v>1</v>
      </c>
      <c r="J331" s="64">
        <v>3.5</v>
      </c>
      <c r="K331" s="10" t="s">
        <v>1896</v>
      </c>
      <c r="M331">
        <f t="shared" si="10"/>
        <v>3.5</v>
      </c>
      <c r="N331" s="10">
        <f t="shared" si="11"/>
        <v>326</v>
      </c>
    </row>
    <row r="332" spans="1:14" s="78" customFormat="1" x14ac:dyDescent="0.25">
      <c r="A332" s="10" t="s">
        <v>890</v>
      </c>
      <c r="B332" s="10" t="s">
        <v>884</v>
      </c>
      <c r="C332" s="65" t="s">
        <v>5</v>
      </c>
      <c r="D332" s="62" t="s">
        <v>724</v>
      </c>
      <c r="E332" s="43">
        <v>3</v>
      </c>
      <c r="F332" s="43" t="s">
        <v>725</v>
      </c>
      <c r="G332" s="43" t="s">
        <v>726</v>
      </c>
      <c r="H332" s="43" t="s">
        <v>727</v>
      </c>
      <c r="I332" s="43"/>
      <c r="J332" s="105">
        <v>1.5</v>
      </c>
      <c r="K332" s="43" t="s">
        <v>1896</v>
      </c>
      <c r="L332" s="4"/>
      <c r="M332">
        <f t="shared" si="10"/>
        <v>4.5</v>
      </c>
      <c r="N332" s="78">
        <f t="shared" si="11"/>
        <v>327</v>
      </c>
    </row>
    <row r="333" spans="1:14" s="78" customFormat="1" hidden="1" x14ac:dyDescent="0.25">
      <c r="A333" s="10" t="s">
        <v>890</v>
      </c>
      <c r="B333" s="10" t="s">
        <v>884</v>
      </c>
      <c r="C333" s="65" t="s">
        <v>5</v>
      </c>
      <c r="D333" s="62" t="s">
        <v>1654</v>
      </c>
      <c r="E333" s="43">
        <v>0</v>
      </c>
      <c r="F333" s="43" t="s">
        <v>725</v>
      </c>
      <c r="G333" s="43" t="s">
        <v>726</v>
      </c>
      <c r="H333" s="43" t="s">
        <v>1653</v>
      </c>
      <c r="I333" s="43"/>
      <c r="J333" s="105">
        <v>1.5</v>
      </c>
      <c r="K333" s="43" t="s">
        <v>1896</v>
      </c>
      <c r="L333" s="4"/>
      <c r="M333">
        <f t="shared" si="10"/>
        <v>0</v>
      </c>
      <c r="N333" s="78">
        <f t="shared" si="11"/>
        <v>328</v>
      </c>
    </row>
    <row r="334" spans="1:14" s="10" customFormat="1" hidden="1" x14ac:dyDescent="0.25">
      <c r="A334" s="10" t="s">
        <v>890</v>
      </c>
      <c r="B334" s="10" t="s">
        <v>884</v>
      </c>
      <c r="C334" s="10" t="s">
        <v>1884</v>
      </c>
      <c r="D334" s="10" t="s">
        <v>2103</v>
      </c>
      <c r="E334" s="64">
        <v>0</v>
      </c>
      <c r="H334" s="30" t="s">
        <v>2104</v>
      </c>
      <c r="I334"/>
      <c r="J334" s="70">
        <v>0.5</v>
      </c>
      <c r="K334" s="30" t="s">
        <v>1896</v>
      </c>
      <c r="L334"/>
      <c r="M334">
        <f t="shared" si="10"/>
        <v>0</v>
      </c>
      <c r="N334" s="10">
        <f t="shared" si="11"/>
        <v>329</v>
      </c>
    </row>
    <row r="335" spans="1:14" s="10" customFormat="1" hidden="1" x14ac:dyDescent="0.25">
      <c r="A335" s="10" t="s">
        <v>890</v>
      </c>
      <c r="B335" s="10" t="s">
        <v>884</v>
      </c>
      <c r="C335" s="10" t="s">
        <v>1884</v>
      </c>
      <c r="D335" s="10" t="s">
        <v>2105</v>
      </c>
      <c r="E335" s="64">
        <v>0</v>
      </c>
      <c r="H335" s="30" t="s">
        <v>2106</v>
      </c>
      <c r="I335"/>
      <c r="J335" s="70">
        <v>0.95</v>
      </c>
      <c r="K335" s="30" t="s">
        <v>1896</v>
      </c>
      <c r="L335"/>
      <c r="M335">
        <f t="shared" si="10"/>
        <v>0</v>
      </c>
      <c r="N335" s="10">
        <f t="shared" si="11"/>
        <v>330</v>
      </c>
    </row>
    <row r="336" spans="1:14" s="10" customFormat="1" hidden="1" x14ac:dyDescent="0.25">
      <c r="A336" s="10" t="s">
        <v>890</v>
      </c>
      <c r="B336" s="10" t="s">
        <v>884</v>
      </c>
      <c r="C336" s="10" t="s">
        <v>1884</v>
      </c>
      <c r="D336" s="10" t="s">
        <v>2107</v>
      </c>
      <c r="E336" s="64">
        <v>0</v>
      </c>
      <c r="H336" s="30" t="s">
        <v>2108</v>
      </c>
      <c r="I336"/>
      <c r="J336" s="70">
        <v>0.95</v>
      </c>
      <c r="K336" s="30" t="s">
        <v>1896</v>
      </c>
      <c r="L336"/>
      <c r="M336">
        <f t="shared" si="10"/>
        <v>0</v>
      </c>
      <c r="N336" s="10">
        <f t="shared" si="11"/>
        <v>331</v>
      </c>
    </row>
    <row r="337" spans="1:14" s="10" customFormat="1" hidden="1" x14ac:dyDescent="0.25">
      <c r="A337" s="10" t="s">
        <v>890</v>
      </c>
      <c r="B337" s="10" t="s">
        <v>884</v>
      </c>
      <c r="C337" s="10" t="s">
        <v>1884</v>
      </c>
      <c r="D337" s="10" t="s">
        <v>2109</v>
      </c>
      <c r="E337" s="64">
        <v>0</v>
      </c>
      <c r="H337" s="30" t="s">
        <v>2110</v>
      </c>
      <c r="I337"/>
      <c r="J337" s="70">
        <v>3.95</v>
      </c>
      <c r="K337" s="30" t="s">
        <v>1896</v>
      </c>
      <c r="L337"/>
      <c r="M337">
        <f t="shared" si="10"/>
        <v>0</v>
      </c>
      <c r="N337" s="10">
        <f t="shared" si="11"/>
        <v>332</v>
      </c>
    </row>
    <row r="338" spans="1:14" s="10" customFormat="1" hidden="1" x14ac:dyDescent="0.25">
      <c r="A338" s="63" t="s">
        <v>890</v>
      </c>
      <c r="B338" s="63" t="s">
        <v>2004</v>
      </c>
      <c r="C338" s="63" t="s">
        <v>1884</v>
      </c>
      <c r="D338" s="63" t="s">
        <v>2113</v>
      </c>
      <c r="E338" s="64">
        <v>0</v>
      </c>
      <c r="H338" s="60" t="s">
        <v>2114</v>
      </c>
      <c r="I338"/>
      <c r="J338" s="70">
        <v>1.95</v>
      </c>
      <c r="K338" s="60" t="s">
        <v>1896</v>
      </c>
      <c r="L338"/>
      <c r="M338">
        <f t="shared" si="10"/>
        <v>0</v>
      </c>
      <c r="N338" s="10">
        <f t="shared" si="11"/>
        <v>333</v>
      </c>
    </row>
    <row r="339" spans="1:14" s="10" customFormat="1" hidden="1" x14ac:dyDescent="0.25">
      <c r="A339" s="63" t="s">
        <v>890</v>
      </c>
      <c r="B339" s="63" t="s">
        <v>2004</v>
      </c>
      <c r="C339" s="63" t="s">
        <v>1884</v>
      </c>
      <c r="D339" s="63" t="s">
        <v>2115</v>
      </c>
      <c r="E339" s="64">
        <v>0</v>
      </c>
      <c r="H339" s="60" t="s">
        <v>2116</v>
      </c>
      <c r="I339"/>
      <c r="J339" s="70">
        <v>2.25</v>
      </c>
      <c r="K339" s="60" t="s">
        <v>1896</v>
      </c>
      <c r="L339"/>
      <c r="M339">
        <f t="shared" si="10"/>
        <v>0</v>
      </c>
      <c r="N339" s="10">
        <f t="shared" si="11"/>
        <v>334</v>
      </c>
    </row>
    <row r="340" spans="1:14" s="10" customFormat="1" x14ac:dyDescent="0.25">
      <c r="A340" s="63" t="s">
        <v>890</v>
      </c>
      <c r="B340" s="63" t="s">
        <v>2004</v>
      </c>
      <c r="C340" s="63" t="s">
        <v>1884</v>
      </c>
      <c r="D340" s="63" t="s">
        <v>2117</v>
      </c>
      <c r="E340" s="64">
        <f>2*FilterSpecs!$C$3</f>
        <v>10</v>
      </c>
      <c r="H340" s="60" t="s">
        <v>2118</v>
      </c>
      <c r="I340"/>
      <c r="J340" s="70">
        <v>0.95</v>
      </c>
      <c r="K340" s="60" t="s">
        <v>1896</v>
      </c>
      <c r="L340"/>
      <c r="M340">
        <f t="shared" si="10"/>
        <v>9.5</v>
      </c>
      <c r="N340" s="10">
        <f t="shared" si="11"/>
        <v>335</v>
      </c>
    </row>
    <row r="341" spans="1:14" s="10" customFormat="1" x14ac:dyDescent="0.25">
      <c r="A341" s="60" t="s">
        <v>890</v>
      </c>
      <c r="B341" s="60" t="s">
        <v>1870</v>
      </c>
      <c r="C341" s="60" t="s">
        <v>5</v>
      </c>
      <c r="D341" s="63" t="s">
        <v>438</v>
      </c>
      <c r="E341" s="64">
        <f>2*FilterSpecs!$C$3</f>
        <v>10</v>
      </c>
      <c r="F341" s="10" t="s">
        <v>439</v>
      </c>
      <c r="G341" s="10" t="s">
        <v>440</v>
      </c>
      <c r="H341" s="63" t="s">
        <v>441</v>
      </c>
      <c r="I341" s="10">
        <v>1</v>
      </c>
      <c r="J341" s="64">
        <v>0.95</v>
      </c>
      <c r="K341" s="63" t="s">
        <v>1897</v>
      </c>
      <c r="M341">
        <f t="shared" si="10"/>
        <v>9.5</v>
      </c>
      <c r="N341" s="10">
        <f t="shared" si="11"/>
        <v>336</v>
      </c>
    </row>
    <row r="342" spans="1:14" s="10" customFormat="1" x14ac:dyDescent="0.25">
      <c r="A342" s="60" t="s">
        <v>890</v>
      </c>
      <c r="B342" s="60" t="s">
        <v>1870</v>
      </c>
      <c r="C342" s="60" t="s">
        <v>5</v>
      </c>
      <c r="D342" s="63" t="s">
        <v>1841</v>
      </c>
      <c r="E342" s="64">
        <f>FilterSpecs!$C$3</f>
        <v>5</v>
      </c>
      <c r="F342" s="10" t="s">
        <v>1842</v>
      </c>
      <c r="G342" s="10" t="s">
        <v>1843</v>
      </c>
      <c r="H342" s="63" t="s">
        <v>1844</v>
      </c>
      <c r="I342" s="10">
        <v>1</v>
      </c>
      <c r="J342" s="64">
        <v>0.95</v>
      </c>
      <c r="K342" s="63" t="s">
        <v>1896</v>
      </c>
      <c r="M342">
        <f t="shared" si="10"/>
        <v>4.75</v>
      </c>
      <c r="N342" s="10">
        <f t="shared" si="11"/>
        <v>337</v>
      </c>
    </row>
    <row r="343" spans="1:14" s="10" customFormat="1" hidden="1" x14ac:dyDescent="0.25">
      <c r="A343" s="60" t="s">
        <v>890</v>
      </c>
      <c r="B343" s="60" t="s">
        <v>1870</v>
      </c>
      <c r="C343" s="60" t="s">
        <v>5</v>
      </c>
      <c r="D343" s="63" t="s">
        <v>1348</v>
      </c>
      <c r="E343" s="64">
        <v>0</v>
      </c>
      <c r="F343" s="10" t="s">
        <v>1349</v>
      </c>
      <c r="G343" s="10" t="s">
        <v>1350</v>
      </c>
      <c r="H343" s="63" t="s">
        <v>1351</v>
      </c>
      <c r="J343" s="64">
        <v>0.5</v>
      </c>
      <c r="K343" s="63" t="s">
        <v>1899</v>
      </c>
      <c r="M343">
        <f t="shared" si="10"/>
        <v>0</v>
      </c>
      <c r="N343" s="10">
        <f t="shared" si="11"/>
        <v>338</v>
      </c>
    </row>
    <row r="344" spans="1:14" s="10" customFormat="1" hidden="1" x14ac:dyDescent="0.25">
      <c r="A344" s="60" t="s">
        <v>890</v>
      </c>
      <c r="B344" s="60" t="s">
        <v>1870</v>
      </c>
      <c r="C344" s="60" t="s">
        <v>5</v>
      </c>
      <c r="D344" s="63" t="s">
        <v>1745</v>
      </c>
      <c r="E344" s="64">
        <v>0</v>
      </c>
      <c r="F344" s="10" t="s">
        <v>1746</v>
      </c>
      <c r="G344" s="10" t="s">
        <v>1747</v>
      </c>
      <c r="H344" s="63" t="s">
        <v>1748</v>
      </c>
      <c r="I344" s="10">
        <v>1</v>
      </c>
      <c r="J344" s="64">
        <v>0.95</v>
      </c>
      <c r="K344" s="63" t="s">
        <v>1896</v>
      </c>
      <c r="M344">
        <f t="shared" si="10"/>
        <v>0</v>
      </c>
      <c r="N344" s="10">
        <f t="shared" si="11"/>
        <v>339</v>
      </c>
    </row>
    <row r="345" spans="1:14" s="10" customFormat="1" hidden="1" x14ac:dyDescent="0.25">
      <c r="A345" s="60" t="s">
        <v>890</v>
      </c>
      <c r="B345" s="60" t="s">
        <v>1870</v>
      </c>
      <c r="C345" s="60" t="s">
        <v>5</v>
      </c>
      <c r="D345" s="63" t="s">
        <v>1749</v>
      </c>
      <c r="E345" s="64">
        <v>0</v>
      </c>
      <c r="F345" s="10" t="s">
        <v>1750</v>
      </c>
      <c r="G345" s="10" t="s">
        <v>1751</v>
      </c>
      <c r="H345" s="63" t="s">
        <v>1752</v>
      </c>
      <c r="I345" s="10">
        <v>1</v>
      </c>
      <c r="J345" s="64">
        <v>0.95</v>
      </c>
      <c r="K345" s="63" t="s">
        <v>1896</v>
      </c>
      <c r="M345">
        <f t="shared" si="10"/>
        <v>0</v>
      </c>
      <c r="N345" s="10">
        <f t="shared" si="11"/>
        <v>340</v>
      </c>
    </row>
    <row r="346" spans="1:14" s="10" customFormat="1" hidden="1" x14ac:dyDescent="0.25">
      <c r="A346" s="63" t="s">
        <v>890</v>
      </c>
      <c r="B346" s="63" t="s">
        <v>1870</v>
      </c>
      <c r="C346" s="63" t="s">
        <v>1884</v>
      </c>
      <c r="D346" s="63" t="s">
        <v>2119</v>
      </c>
      <c r="E346" s="64">
        <v>0</v>
      </c>
      <c r="H346" s="60" t="s">
        <v>2120</v>
      </c>
      <c r="I346"/>
      <c r="J346" s="70">
        <v>1.5</v>
      </c>
      <c r="K346" s="60" t="s">
        <v>1896</v>
      </c>
      <c r="L346"/>
      <c r="M346">
        <f t="shared" si="10"/>
        <v>0</v>
      </c>
      <c r="N346" s="10">
        <f t="shared" si="11"/>
        <v>341</v>
      </c>
    </row>
    <row r="347" spans="1:14" s="10" customFormat="1" hidden="1" x14ac:dyDescent="0.25">
      <c r="A347" s="63" t="s">
        <v>890</v>
      </c>
      <c r="B347" s="63" t="s">
        <v>1870</v>
      </c>
      <c r="C347" s="63" t="s">
        <v>1884</v>
      </c>
      <c r="D347" s="63" t="s">
        <v>2121</v>
      </c>
      <c r="E347" s="64">
        <v>0</v>
      </c>
      <c r="H347" s="60" t="s">
        <v>2122</v>
      </c>
      <c r="I347"/>
      <c r="J347" s="70">
        <v>0.75</v>
      </c>
      <c r="K347" s="60" t="s">
        <v>1896</v>
      </c>
      <c r="L347"/>
      <c r="M347">
        <f t="shared" si="10"/>
        <v>0</v>
      </c>
      <c r="N347" s="10">
        <f t="shared" si="11"/>
        <v>342</v>
      </c>
    </row>
    <row r="348" spans="1:14" s="10" customFormat="1" hidden="1" x14ac:dyDescent="0.25">
      <c r="A348" s="63" t="s">
        <v>890</v>
      </c>
      <c r="B348" s="63" t="s">
        <v>1870</v>
      </c>
      <c r="C348" s="63" t="s">
        <v>1884</v>
      </c>
      <c r="D348" s="63" t="s">
        <v>2123</v>
      </c>
      <c r="E348" s="64">
        <v>0</v>
      </c>
      <c r="H348" s="60" t="s">
        <v>2124</v>
      </c>
      <c r="I348"/>
      <c r="J348" s="70">
        <v>2.5</v>
      </c>
      <c r="K348" s="60" t="s">
        <v>1896</v>
      </c>
      <c r="L348"/>
      <c r="M348">
        <f t="shared" si="10"/>
        <v>0</v>
      </c>
      <c r="N348" s="10">
        <f t="shared" si="11"/>
        <v>343</v>
      </c>
    </row>
    <row r="349" spans="1:14" s="10" customFormat="1" hidden="1" x14ac:dyDescent="0.25">
      <c r="A349" s="60" t="s">
        <v>890</v>
      </c>
      <c r="B349" s="60" t="s">
        <v>1872</v>
      </c>
      <c r="C349" s="60" t="s">
        <v>5</v>
      </c>
      <c r="D349" s="63" t="s">
        <v>1352</v>
      </c>
      <c r="E349" s="64">
        <v>0</v>
      </c>
      <c r="F349" s="10" t="s">
        <v>1353</v>
      </c>
      <c r="G349" s="10" t="s">
        <v>1354</v>
      </c>
      <c r="H349" s="63" t="s">
        <v>1355</v>
      </c>
      <c r="I349" s="10">
        <v>1</v>
      </c>
      <c r="J349" s="64">
        <v>0.45</v>
      </c>
      <c r="K349" s="63" t="s">
        <v>1896</v>
      </c>
      <c r="M349">
        <f t="shared" si="10"/>
        <v>0</v>
      </c>
      <c r="N349" s="10">
        <f t="shared" si="11"/>
        <v>344</v>
      </c>
    </row>
    <row r="350" spans="1:14" s="10" customFormat="1" hidden="1" x14ac:dyDescent="0.25">
      <c r="A350" s="60" t="s">
        <v>890</v>
      </c>
      <c r="B350" s="60" t="s">
        <v>1872</v>
      </c>
      <c r="C350" s="60" t="s">
        <v>5</v>
      </c>
      <c r="D350" s="63" t="s">
        <v>1360</v>
      </c>
      <c r="E350" s="64">
        <v>0</v>
      </c>
      <c r="F350" s="10" t="s">
        <v>1361</v>
      </c>
      <c r="G350" s="10" t="s">
        <v>1362</v>
      </c>
      <c r="H350" s="63" t="s">
        <v>1363</v>
      </c>
      <c r="I350" s="10">
        <v>1</v>
      </c>
      <c r="J350" s="64">
        <v>0.45</v>
      </c>
      <c r="K350" s="63" t="s">
        <v>1896</v>
      </c>
      <c r="M350">
        <f t="shared" si="10"/>
        <v>0</v>
      </c>
      <c r="N350" s="10">
        <f t="shared" si="11"/>
        <v>345</v>
      </c>
    </row>
    <row r="351" spans="1:14" s="10" customFormat="1" x14ac:dyDescent="0.25">
      <c r="A351" s="60" t="s">
        <v>890</v>
      </c>
      <c r="B351" s="60" t="s">
        <v>1872</v>
      </c>
      <c r="C351" s="60" t="s">
        <v>5</v>
      </c>
      <c r="D351" s="63" t="s">
        <v>1368</v>
      </c>
      <c r="E351" s="79">
        <f>FilterSpecs!$C$3+1</f>
        <v>6</v>
      </c>
      <c r="F351" s="10" t="s">
        <v>1369</v>
      </c>
      <c r="G351" s="10" t="s">
        <v>1370</v>
      </c>
      <c r="H351" s="63" t="s">
        <v>1371</v>
      </c>
      <c r="I351" s="10">
        <v>1</v>
      </c>
      <c r="J351" s="64">
        <v>0.45</v>
      </c>
      <c r="K351" s="63" t="s">
        <v>1896</v>
      </c>
      <c r="M351">
        <f t="shared" si="10"/>
        <v>2.7</v>
      </c>
      <c r="N351" s="10">
        <f t="shared" si="11"/>
        <v>346</v>
      </c>
    </row>
    <row r="352" spans="1:14" s="10" customFormat="1" x14ac:dyDescent="0.25">
      <c r="A352" s="60" t="s">
        <v>890</v>
      </c>
      <c r="B352" s="60" t="s">
        <v>1872</v>
      </c>
      <c r="C352" s="60" t="s">
        <v>5</v>
      </c>
      <c r="D352" s="63" t="s">
        <v>1372</v>
      </c>
      <c r="E352" s="79">
        <f>FilterSpecs!$C$3+1</f>
        <v>6</v>
      </c>
      <c r="F352" s="10" t="s">
        <v>1373</v>
      </c>
      <c r="G352" s="10" t="s">
        <v>1374</v>
      </c>
      <c r="H352" s="63" t="s">
        <v>1375</v>
      </c>
      <c r="I352" s="10">
        <v>1</v>
      </c>
      <c r="J352" s="64">
        <v>0.45</v>
      </c>
      <c r="K352" s="63" t="s">
        <v>1896</v>
      </c>
      <c r="M352">
        <f t="shared" si="10"/>
        <v>2.7</v>
      </c>
      <c r="N352" s="10">
        <f t="shared" si="11"/>
        <v>347</v>
      </c>
    </row>
    <row r="353" spans="1:14" s="10" customFormat="1" x14ac:dyDescent="0.25">
      <c r="A353" s="60" t="s">
        <v>890</v>
      </c>
      <c r="B353" s="60" t="s">
        <v>1872</v>
      </c>
      <c r="C353" s="60" t="s">
        <v>5</v>
      </c>
      <c r="D353" s="63" t="s">
        <v>1356</v>
      </c>
      <c r="E353" s="79">
        <f>FilterSpecs!$C$3+1</f>
        <v>6</v>
      </c>
      <c r="F353" s="10" t="s">
        <v>1357</v>
      </c>
      <c r="G353" s="10" t="s">
        <v>1358</v>
      </c>
      <c r="H353" s="63" t="s">
        <v>1359</v>
      </c>
      <c r="I353" s="10">
        <v>1</v>
      </c>
      <c r="J353" s="64">
        <v>0.45</v>
      </c>
      <c r="K353" s="63" t="s">
        <v>1896</v>
      </c>
      <c r="M353">
        <f t="shared" si="10"/>
        <v>2.7</v>
      </c>
      <c r="N353" s="10">
        <f t="shared" si="11"/>
        <v>348</v>
      </c>
    </row>
    <row r="354" spans="1:14" s="10" customFormat="1" x14ac:dyDescent="0.25">
      <c r="A354" s="60" t="s">
        <v>890</v>
      </c>
      <c r="B354" s="60" t="s">
        <v>1872</v>
      </c>
      <c r="C354" s="60" t="s">
        <v>5</v>
      </c>
      <c r="D354" s="63" t="s">
        <v>1344</v>
      </c>
      <c r="E354" s="79">
        <f>FilterSpecs!$C$3+1</f>
        <v>6</v>
      </c>
      <c r="F354" s="10" t="s">
        <v>1345</v>
      </c>
      <c r="G354" s="10" t="s">
        <v>1346</v>
      </c>
      <c r="H354" s="63" t="s">
        <v>1347</v>
      </c>
      <c r="I354" s="10">
        <v>1</v>
      </c>
      <c r="J354" s="64">
        <v>0.45</v>
      </c>
      <c r="K354" s="63" t="s">
        <v>1896</v>
      </c>
      <c r="M354">
        <f t="shared" si="10"/>
        <v>2.7</v>
      </c>
      <c r="N354" s="10">
        <f t="shared" si="11"/>
        <v>349</v>
      </c>
    </row>
    <row r="355" spans="1:14" s="10" customFormat="1" x14ac:dyDescent="0.25">
      <c r="A355" s="60" t="s">
        <v>890</v>
      </c>
      <c r="B355" s="60" t="s">
        <v>1872</v>
      </c>
      <c r="C355" s="60" t="s">
        <v>5</v>
      </c>
      <c r="D355" s="63" t="s">
        <v>2400</v>
      </c>
      <c r="E355" s="79">
        <f>FilterSpecs!$C$3+1</f>
        <v>6</v>
      </c>
      <c r="F355" s="10" t="s">
        <v>2401</v>
      </c>
      <c r="G355" s="10" t="s">
        <v>2402</v>
      </c>
      <c r="H355" s="63" t="s">
        <v>2403</v>
      </c>
      <c r="I355" s="10">
        <v>1</v>
      </c>
      <c r="J355" s="64">
        <v>1.95</v>
      </c>
      <c r="K355" s="60" t="s">
        <v>1896</v>
      </c>
      <c r="L355"/>
      <c r="M355">
        <f t="shared" si="10"/>
        <v>11.7</v>
      </c>
      <c r="N355" s="10">
        <f t="shared" si="11"/>
        <v>350</v>
      </c>
    </row>
    <row r="356" spans="1:14" s="78" customFormat="1" x14ac:dyDescent="0.25">
      <c r="A356" s="60" t="s">
        <v>890</v>
      </c>
      <c r="B356" s="60" t="s">
        <v>1871</v>
      </c>
      <c r="C356" s="60" t="s">
        <v>5</v>
      </c>
      <c r="D356" s="63" t="s">
        <v>1573</v>
      </c>
      <c r="E356" s="64">
        <f>2*FilterSpecs!$C$3</f>
        <v>10</v>
      </c>
      <c r="F356" s="10" t="s">
        <v>1574</v>
      </c>
      <c r="G356" s="10" t="s">
        <v>1575</v>
      </c>
      <c r="H356" s="63" t="s">
        <v>1576</v>
      </c>
      <c r="I356" s="10">
        <v>1</v>
      </c>
      <c r="J356" s="64">
        <v>0.35</v>
      </c>
      <c r="K356" s="63" t="s">
        <v>1896</v>
      </c>
      <c r="L356" s="10"/>
      <c r="M356">
        <f t="shared" si="10"/>
        <v>3.5</v>
      </c>
      <c r="N356" s="78">
        <f t="shared" si="11"/>
        <v>351</v>
      </c>
    </row>
    <row r="357" spans="1:14" s="78" customFormat="1" x14ac:dyDescent="0.25">
      <c r="A357" s="60" t="s">
        <v>890</v>
      </c>
      <c r="B357" s="60" t="s">
        <v>1871</v>
      </c>
      <c r="C357" s="60" t="s">
        <v>5</v>
      </c>
      <c r="D357" s="63" t="s">
        <v>1569</v>
      </c>
      <c r="E357" s="64">
        <v>10</v>
      </c>
      <c r="F357" s="10" t="s">
        <v>1570</v>
      </c>
      <c r="G357" s="10" t="s">
        <v>1571</v>
      </c>
      <c r="H357" s="63" t="s">
        <v>1572</v>
      </c>
      <c r="I357" s="10">
        <v>1</v>
      </c>
      <c r="J357" s="64">
        <v>0.5</v>
      </c>
      <c r="K357" s="63" t="s">
        <v>1896</v>
      </c>
      <c r="L357" s="10"/>
      <c r="M357">
        <f t="shared" si="10"/>
        <v>5</v>
      </c>
      <c r="N357" s="78">
        <f t="shared" si="11"/>
        <v>352</v>
      </c>
    </row>
    <row r="358" spans="1:14" s="78" customFormat="1" hidden="1" x14ac:dyDescent="0.25">
      <c r="A358" s="60" t="s">
        <v>890</v>
      </c>
      <c r="B358" s="60" t="s">
        <v>1874</v>
      </c>
      <c r="C358" s="60" t="s">
        <v>5</v>
      </c>
      <c r="D358" s="63" t="s">
        <v>450</v>
      </c>
      <c r="E358" s="64">
        <v>0</v>
      </c>
      <c r="F358" s="10" t="s">
        <v>451</v>
      </c>
      <c r="G358" s="10" t="s">
        <v>452</v>
      </c>
      <c r="H358" s="63" t="s">
        <v>453</v>
      </c>
      <c r="I358" s="10">
        <v>1</v>
      </c>
      <c r="J358" s="64">
        <v>0.75</v>
      </c>
      <c r="K358" s="63" t="s">
        <v>1896</v>
      </c>
      <c r="L358" s="10"/>
      <c r="M358">
        <f t="shared" si="10"/>
        <v>0</v>
      </c>
      <c r="N358" s="78">
        <f t="shared" si="11"/>
        <v>353</v>
      </c>
    </row>
    <row r="359" spans="1:14" s="78" customFormat="1" x14ac:dyDescent="0.25">
      <c r="A359" s="69" t="s">
        <v>890</v>
      </c>
      <c r="B359" s="69" t="s">
        <v>1874</v>
      </c>
      <c r="C359" s="69" t="s">
        <v>5</v>
      </c>
      <c r="D359" s="66" t="s">
        <v>893</v>
      </c>
      <c r="E359" s="68">
        <f>2*FilterSpecs!$C$3</f>
        <v>10</v>
      </c>
      <c r="F359" s="46" t="s">
        <v>894</v>
      </c>
      <c r="G359" s="46" t="s">
        <v>895</v>
      </c>
      <c r="H359" s="66" t="s">
        <v>896</v>
      </c>
      <c r="I359" s="46">
        <v>1</v>
      </c>
      <c r="J359" s="68">
        <v>0.95</v>
      </c>
      <c r="K359" s="66" t="s">
        <v>1897</v>
      </c>
      <c r="L359" s="46"/>
      <c r="M359">
        <f t="shared" si="10"/>
        <v>9.5</v>
      </c>
      <c r="N359" s="78">
        <f t="shared" si="11"/>
        <v>354</v>
      </c>
    </row>
    <row r="360" spans="1:14" s="78" customFormat="1" x14ac:dyDescent="0.25">
      <c r="A360" s="69" t="s">
        <v>890</v>
      </c>
      <c r="B360" s="69" t="s">
        <v>1874</v>
      </c>
      <c r="C360" s="69" t="s">
        <v>5</v>
      </c>
      <c r="D360" s="66" t="s">
        <v>1400</v>
      </c>
      <c r="E360" s="68">
        <f>2*FilterSpecs!$C$3</f>
        <v>10</v>
      </c>
      <c r="F360" s="46" t="s">
        <v>1401</v>
      </c>
      <c r="G360" s="46" t="s">
        <v>1402</v>
      </c>
      <c r="H360" s="66" t="s">
        <v>1403</v>
      </c>
      <c r="I360" s="46">
        <v>1</v>
      </c>
      <c r="J360" s="68">
        <v>0.95</v>
      </c>
      <c r="K360" s="66" t="s">
        <v>1897</v>
      </c>
      <c r="L360" s="46"/>
      <c r="M360">
        <f t="shared" si="10"/>
        <v>9.5</v>
      </c>
      <c r="N360" s="78">
        <f t="shared" si="11"/>
        <v>355</v>
      </c>
    </row>
    <row r="361" spans="1:14" s="78" customFormat="1" hidden="1" x14ac:dyDescent="0.25">
      <c r="A361" s="60" t="s">
        <v>890</v>
      </c>
      <c r="B361" s="60" t="s">
        <v>1874</v>
      </c>
      <c r="C361" s="60" t="s">
        <v>5</v>
      </c>
      <c r="D361" s="63" t="s">
        <v>1364</v>
      </c>
      <c r="E361" s="64">
        <v>0</v>
      </c>
      <c r="F361" s="10" t="s">
        <v>1365</v>
      </c>
      <c r="G361" s="10" t="s">
        <v>1366</v>
      </c>
      <c r="H361" s="63" t="s">
        <v>1367</v>
      </c>
      <c r="I361" s="10">
        <v>1</v>
      </c>
      <c r="J361" s="64">
        <v>1.5</v>
      </c>
      <c r="K361" s="63" t="s">
        <v>1896</v>
      </c>
      <c r="L361" s="10"/>
      <c r="M361">
        <f t="shared" si="10"/>
        <v>0</v>
      </c>
      <c r="N361" s="78">
        <f t="shared" si="11"/>
        <v>356</v>
      </c>
    </row>
    <row r="362" spans="1:14" s="10" customFormat="1" hidden="1" x14ac:dyDescent="0.25">
      <c r="A362" s="60" t="s">
        <v>890</v>
      </c>
      <c r="B362" s="60" t="s">
        <v>1874</v>
      </c>
      <c r="C362" s="60" t="s">
        <v>5</v>
      </c>
      <c r="D362" s="63" t="s">
        <v>1404</v>
      </c>
      <c r="E362" s="64">
        <v>0</v>
      </c>
      <c r="F362" s="10" t="s">
        <v>1405</v>
      </c>
      <c r="G362" s="10" t="s">
        <v>1406</v>
      </c>
      <c r="H362" s="63" t="s">
        <v>1407</v>
      </c>
      <c r="I362" s="10">
        <v>1</v>
      </c>
      <c r="J362" s="64">
        <v>1.5</v>
      </c>
      <c r="K362" s="63" t="s">
        <v>1896</v>
      </c>
      <c r="M362">
        <f t="shared" si="10"/>
        <v>0</v>
      </c>
      <c r="N362" s="10">
        <f t="shared" si="11"/>
        <v>357</v>
      </c>
    </row>
    <row r="363" spans="1:14" s="10" customFormat="1" hidden="1" x14ac:dyDescent="0.25">
      <c r="A363" s="60" t="s">
        <v>890</v>
      </c>
      <c r="B363" s="60" t="s">
        <v>1874</v>
      </c>
      <c r="C363" s="60" t="s">
        <v>5</v>
      </c>
      <c r="D363" s="63" t="s">
        <v>446</v>
      </c>
      <c r="E363" s="64">
        <v>0</v>
      </c>
      <c r="F363" s="10" t="s">
        <v>447</v>
      </c>
      <c r="G363" s="10" t="s">
        <v>448</v>
      </c>
      <c r="H363" s="63" t="s">
        <v>449</v>
      </c>
      <c r="I363" s="10">
        <v>1</v>
      </c>
      <c r="J363" s="64">
        <v>1.5</v>
      </c>
      <c r="K363" s="63" t="s">
        <v>1896</v>
      </c>
      <c r="M363">
        <f t="shared" si="10"/>
        <v>0</v>
      </c>
      <c r="N363" s="10">
        <f t="shared" si="11"/>
        <v>358</v>
      </c>
    </row>
    <row r="364" spans="1:14" s="10" customFormat="1" x14ac:dyDescent="0.25">
      <c r="A364" s="60" t="s">
        <v>890</v>
      </c>
      <c r="B364" s="60" t="s">
        <v>1874</v>
      </c>
      <c r="C364" s="60" t="s">
        <v>5</v>
      </c>
      <c r="D364" s="63" t="s">
        <v>442</v>
      </c>
      <c r="E364" s="64">
        <v>2</v>
      </c>
      <c r="F364" s="10" t="s">
        <v>443</v>
      </c>
      <c r="G364" s="10" t="s">
        <v>444</v>
      </c>
      <c r="H364" s="63" t="s">
        <v>445</v>
      </c>
      <c r="I364" s="10">
        <v>1</v>
      </c>
      <c r="J364" s="64">
        <v>1.5</v>
      </c>
      <c r="K364" s="63" t="s">
        <v>1896</v>
      </c>
      <c r="M364">
        <f t="shared" si="10"/>
        <v>3</v>
      </c>
      <c r="N364" s="10">
        <f t="shared" si="11"/>
        <v>359</v>
      </c>
    </row>
    <row r="365" spans="1:14" s="10" customFormat="1" hidden="1" x14ac:dyDescent="0.25">
      <c r="A365" s="60" t="s">
        <v>890</v>
      </c>
      <c r="B365" s="60" t="s">
        <v>1873</v>
      </c>
      <c r="C365" s="60" t="s">
        <v>5</v>
      </c>
      <c r="D365" s="63" t="s">
        <v>1655</v>
      </c>
      <c r="E365" s="64">
        <v>0</v>
      </c>
      <c r="F365" s="10" t="s">
        <v>1656</v>
      </c>
      <c r="G365" s="10" t="s">
        <v>1657</v>
      </c>
      <c r="H365" s="63" t="s">
        <v>1658</v>
      </c>
      <c r="I365" s="10">
        <v>1</v>
      </c>
      <c r="J365" s="64">
        <v>1.25</v>
      </c>
      <c r="K365" s="63" t="s">
        <v>1896</v>
      </c>
      <c r="M365">
        <f t="shared" si="10"/>
        <v>0</v>
      </c>
      <c r="N365" s="10">
        <f t="shared" si="11"/>
        <v>360</v>
      </c>
    </row>
    <row r="366" spans="1:14" s="10" customFormat="1" hidden="1" x14ac:dyDescent="0.25">
      <c r="A366" s="60" t="s">
        <v>890</v>
      </c>
      <c r="B366" s="60" t="s">
        <v>1873</v>
      </c>
      <c r="C366" s="60" t="s">
        <v>5</v>
      </c>
      <c r="D366" s="63" t="s">
        <v>1707</v>
      </c>
      <c r="E366" s="64">
        <v>0</v>
      </c>
      <c r="F366" s="10" t="s">
        <v>1708</v>
      </c>
      <c r="G366" s="10" t="s">
        <v>1709</v>
      </c>
      <c r="H366" s="63" t="s">
        <v>1710</v>
      </c>
      <c r="I366" s="10">
        <v>1</v>
      </c>
      <c r="J366" s="64">
        <v>1.95</v>
      </c>
      <c r="K366" s="63" t="s">
        <v>1896</v>
      </c>
      <c r="M366">
        <f t="shared" si="10"/>
        <v>0</v>
      </c>
      <c r="N366" s="10">
        <f t="shared" si="11"/>
        <v>361</v>
      </c>
    </row>
    <row r="367" spans="1:14" s="10" customFormat="1" hidden="1" x14ac:dyDescent="0.25">
      <c r="A367" s="60" t="s">
        <v>890</v>
      </c>
      <c r="B367" s="60" t="s">
        <v>1873</v>
      </c>
      <c r="C367" s="60" t="s">
        <v>5</v>
      </c>
      <c r="D367" s="63" t="s">
        <v>1711</v>
      </c>
      <c r="E367" s="64">
        <v>0</v>
      </c>
      <c r="F367" s="10" t="s">
        <v>1712</v>
      </c>
      <c r="G367" s="10" t="s">
        <v>1713</v>
      </c>
      <c r="H367" s="63" t="s">
        <v>1714</v>
      </c>
      <c r="I367" s="10">
        <v>1</v>
      </c>
      <c r="J367" s="64">
        <v>3.95</v>
      </c>
      <c r="K367" s="63" t="s">
        <v>1896</v>
      </c>
      <c r="M367">
        <f t="shared" si="10"/>
        <v>0</v>
      </c>
      <c r="N367" s="10">
        <f t="shared" si="11"/>
        <v>362</v>
      </c>
    </row>
    <row r="368" spans="1:14" s="10" customFormat="1" hidden="1" x14ac:dyDescent="0.25">
      <c r="A368" s="60" t="s">
        <v>890</v>
      </c>
      <c r="B368" s="60" t="s">
        <v>1873</v>
      </c>
      <c r="C368" s="60" t="s">
        <v>5</v>
      </c>
      <c r="D368" s="63" t="s">
        <v>1703</v>
      </c>
      <c r="E368" s="64">
        <v>0</v>
      </c>
      <c r="F368" s="10" t="s">
        <v>1704</v>
      </c>
      <c r="G368" s="10" t="s">
        <v>1705</v>
      </c>
      <c r="H368" s="63" t="s">
        <v>1706</v>
      </c>
      <c r="I368" s="10">
        <v>1</v>
      </c>
      <c r="J368" s="64">
        <v>1.95</v>
      </c>
      <c r="K368" s="63" t="s">
        <v>1896</v>
      </c>
      <c r="M368">
        <f t="shared" si="10"/>
        <v>0</v>
      </c>
      <c r="N368" s="10">
        <f t="shared" si="11"/>
        <v>363</v>
      </c>
    </row>
    <row r="369" spans="1:14" s="10" customFormat="1" hidden="1" x14ac:dyDescent="0.25">
      <c r="A369" s="60" t="s">
        <v>890</v>
      </c>
      <c r="B369" s="60" t="s">
        <v>1875</v>
      </c>
      <c r="C369" s="60" t="s">
        <v>5</v>
      </c>
      <c r="D369" s="63" t="s">
        <v>696</v>
      </c>
      <c r="E369" s="64">
        <v>0</v>
      </c>
      <c r="F369" s="10" t="s">
        <v>697</v>
      </c>
      <c r="G369" s="10" t="s">
        <v>698</v>
      </c>
      <c r="H369" s="63" t="s">
        <v>699</v>
      </c>
      <c r="I369" s="10">
        <v>1</v>
      </c>
      <c r="J369" s="64">
        <v>1.95</v>
      </c>
      <c r="K369" s="63" t="s">
        <v>1896</v>
      </c>
      <c r="M369">
        <f t="shared" si="10"/>
        <v>0</v>
      </c>
      <c r="N369" s="10">
        <f t="shared" si="11"/>
        <v>364</v>
      </c>
    </row>
    <row r="370" spans="1:14" s="10" customFormat="1" x14ac:dyDescent="0.25">
      <c r="A370" s="60" t="s">
        <v>890</v>
      </c>
      <c r="B370" s="60" t="s">
        <v>1875</v>
      </c>
      <c r="C370" s="60" t="s">
        <v>5</v>
      </c>
      <c r="D370" s="63" t="s">
        <v>692</v>
      </c>
      <c r="E370" s="64">
        <f>E123+E124+E125+E126+E127+E128+E129+E130+E131+E132+E133+E134</f>
        <v>9</v>
      </c>
      <c r="F370" s="10" t="s">
        <v>693</v>
      </c>
      <c r="G370" s="10" t="s">
        <v>694</v>
      </c>
      <c r="H370" s="63" t="s">
        <v>695</v>
      </c>
      <c r="I370" s="10">
        <v>1</v>
      </c>
      <c r="J370" s="64">
        <v>1.95</v>
      </c>
      <c r="K370" s="63" t="s">
        <v>1897</v>
      </c>
      <c r="M370">
        <f t="shared" si="10"/>
        <v>17.55</v>
      </c>
      <c r="N370" s="10">
        <f t="shared" si="11"/>
        <v>365</v>
      </c>
    </row>
    <row r="371" spans="1:14" s="78" customFormat="1" hidden="1" x14ac:dyDescent="0.25">
      <c r="A371" s="60" t="s">
        <v>890</v>
      </c>
      <c r="B371" s="60" t="s">
        <v>1875</v>
      </c>
      <c r="C371" s="60" t="s">
        <v>5</v>
      </c>
      <c r="D371" s="63" t="s">
        <v>744</v>
      </c>
      <c r="E371" s="64">
        <v>0</v>
      </c>
      <c r="F371" s="10" t="s">
        <v>745</v>
      </c>
      <c r="G371" s="10" t="s">
        <v>746</v>
      </c>
      <c r="H371" s="63" t="s">
        <v>747</v>
      </c>
      <c r="I371" s="10">
        <v>1</v>
      </c>
      <c r="J371" s="64">
        <v>0.35</v>
      </c>
      <c r="K371" s="63" t="s">
        <v>1896</v>
      </c>
      <c r="L371" s="10"/>
      <c r="M371">
        <f t="shared" si="10"/>
        <v>0</v>
      </c>
      <c r="N371" s="78">
        <f t="shared" si="11"/>
        <v>366</v>
      </c>
    </row>
    <row r="372" spans="1:14" s="78" customFormat="1" x14ac:dyDescent="0.25">
      <c r="A372" s="63" t="s">
        <v>890</v>
      </c>
      <c r="B372" s="63" t="s">
        <v>1875</v>
      </c>
      <c r="C372" s="63" t="s">
        <v>1884</v>
      </c>
      <c r="D372" s="63">
        <v>3525</v>
      </c>
      <c r="E372" s="64">
        <v>1</v>
      </c>
      <c r="F372" s="10"/>
      <c r="G372" s="10"/>
      <c r="H372" s="60" t="s">
        <v>2125</v>
      </c>
      <c r="I372"/>
      <c r="J372" s="70">
        <v>0.95</v>
      </c>
      <c r="K372" s="60" t="s">
        <v>1896</v>
      </c>
      <c r="L372"/>
      <c r="M372">
        <f t="shared" si="10"/>
        <v>0.95</v>
      </c>
      <c r="N372" s="78">
        <f t="shared" si="11"/>
        <v>367</v>
      </c>
    </row>
    <row r="373" spans="1:14" s="78" customFormat="1" hidden="1" x14ac:dyDescent="0.25">
      <c r="A373" s="77" t="s">
        <v>890</v>
      </c>
      <c r="B373" s="82" t="s">
        <v>1603</v>
      </c>
      <c r="C373" s="82" t="s">
        <v>5</v>
      </c>
      <c r="D373" s="81" t="s">
        <v>360</v>
      </c>
      <c r="E373" s="79">
        <v>0</v>
      </c>
      <c r="F373" s="78" t="s">
        <v>361</v>
      </c>
      <c r="G373" s="78" t="s">
        <v>362</v>
      </c>
      <c r="H373" s="81" t="s">
        <v>363</v>
      </c>
      <c r="I373" s="78">
        <v>1</v>
      </c>
      <c r="J373" s="79">
        <v>14.95</v>
      </c>
      <c r="K373" s="81" t="s">
        <v>1899</v>
      </c>
      <c r="M373">
        <f t="shared" si="10"/>
        <v>0</v>
      </c>
      <c r="N373" s="78">
        <f t="shared" si="11"/>
        <v>368</v>
      </c>
    </row>
    <row r="374" spans="1:14" s="78" customFormat="1" x14ac:dyDescent="0.25">
      <c r="A374" s="78" t="s">
        <v>890</v>
      </c>
      <c r="B374" s="63" t="s">
        <v>1603</v>
      </c>
      <c r="C374" s="63" t="s">
        <v>1884</v>
      </c>
      <c r="D374" s="63" t="s">
        <v>2128</v>
      </c>
      <c r="E374" s="64">
        <v>1</v>
      </c>
      <c r="F374" s="10"/>
      <c r="G374" s="10"/>
      <c r="H374" s="60" t="s">
        <v>2129</v>
      </c>
      <c r="I374"/>
      <c r="J374" s="70">
        <v>19.95</v>
      </c>
      <c r="K374" s="60" t="s">
        <v>1896</v>
      </c>
      <c r="L374"/>
      <c r="M374">
        <f t="shared" si="10"/>
        <v>19.95</v>
      </c>
      <c r="N374" s="78">
        <f t="shared" si="11"/>
        <v>369</v>
      </c>
    </row>
    <row r="375" spans="1:14" s="78" customFormat="1" hidden="1" x14ac:dyDescent="0.25">
      <c r="A375" s="77" t="s">
        <v>890</v>
      </c>
      <c r="B375" s="60" t="s">
        <v>1603</v>
      </c>
      <c r="C375" s="60" t="s">
        <v>5</v>
      </c>
      <c r="D375" s="63" t="s">
        <v>1553</v>
      </c>
      <c r="E375" s="64">
        <v>0</v>
      </c>
      <c r="F375" s="10" t="s">
        <v>1554</v>
      </c>
      <c r="G375" s="10" t="s">
        <v>1555</v>
      </c>
      <c r="H375" s="63" t="s">
        <v>1556</v>
      </c>
      <c r="I375" s="10">
        <v>1</v>
      </c>
      <c r="J375" s="64">
        <v>0.5</v>
      </c>
      <c r="K375" s="63" t="s">
        <v>1896</v>
      </c>
      <c r="L375" s="10"/>
      <c r="M375">
        <f t="shared" si="10"/>
        <v>0</v>
      </c>
      <c r="N375" s="78">
        <f t="shared" si="11"/>
        <v>370</v>
      </c>
    </row>
    <row r="376" spans="1:14" s="78" customFormat="1" hidden="1" x14ac:dyDescent="0.25">
      <c r="A376" s="77" t="s">
        <v>890</v>
      </c>
      <c r="B376" s="60" t="s">
        <v>1603</v>
      </c>
      <c r="C376" s="60" t="s">
        <v>5</v>
      </c>
      <c r="D376" s="63" t="s">
        <v>1557</v>
      </c>
      <c r="E376" s="64">
        <v>0</v>
      </c>
      <c r="F376" s="10" t="s">
        <v>1558</v>
      </c>
      <c r="G376" s="10" t="s">
        <v>1559</v>
      </c>
      <c r="H376" s="63" t="s">
        <v>1560</v>
      </c>
      <c r="I376" s="10">
        <v>1</v>
      </c>
      <c r="J376" s="64">
        <v>0.5</v>
      </c>
      <c r="K376" s="63" t="s">
        <v>1896</v>
      </c>
      <c r="L376" s="10"/>
      <c r="M376">
        <f t="shared" si="10"/>
        <v>0</v>
      </c>
      <c r="N376" s="78">
        <f t="shared" si="11"/>
        <v>371</v>
      </c>
    </row>
    <row r="377" spans="1:14" s="78" customFormat="1" hidden="1" x14ac:dyDescent="0.25">
      <c r="A377" s="77" t="s">
        <v>890</v>
      </c>
      <c r="B377" s="60" t="s">
        <v>1603</v>
      </c>
      <c r="C377" s="60" t="s">
        <v>5</v>
      </c>
      <c r="D377" s="63" t="s">
        <v>1541</v>
      </c>
      <c r="E377" s="64">
        <v>0</v>
      </c>
      <c r="F377" s="10" t="s">
        <v>1542</v>
      </c>
      <c r="G377" s="10" t="s">
        <v>1543</v>
      </c>
      <c r="H377" s="63" t="s">
        <v>1544</v>
      </c>
      <c r="I377" s="10">
        <v>1</v>
      </c>
      <c r="J377" s="64">
        <v>0.5</v>
      </c>
      <c r="K377" s="63" t="s">
        <v>1896</v>
      </c>
      <c r="L377" s="10"/>
      <c r="M377">
        <f t="shared" si="10"/>
        <v>0</v>
      </c>
      <c r="N377" s="78">
        <f t="shared" si="11"/>
        <v>372</v>
      </c>
    </row>
    <row r="378" spans="1:14" s="78" customFormat="1" hidden="1" x14ac:dyDescent="0.25">
      <c r="A378" s="77" t="s">
        <v>890</v>
      </c>
      <c r="B378" s="60" t="s">
        <v>1603</v>
      </c>
      <c r="C378" s="60" t="s">
        <v>5</v>
      </c>
      <c r="D378" s="63" t="s">
        <v>1545</v>
      </c>
      <c r="E378" s="64">
        <v>0</v>
      </c>
      <c r="F378" s="10" t="s">
        <v>1546</v>
      </c>
      <c r="G378" s="10" t="s">
        <v>1547</v>
      </c>
      <c r="H378" s="63" t="s">
        <v>1548</v>
      </c>
      <c r="I378" s="10">
        <v>1</v>
      </c>
      <c r="J378" s="64">
        <v>0.95</v>
      </c>
      <c r="K378" s="63" t="s">
        <v>1896</v>
      </c>
      <c r="L378" s="10"/>
      <c r="M378">
        <f t="shared" si="10"/>
        <v>0</v>
      </c>
      <c r="N378" s="78">
        <f t="shared" si="11"/>
        <v>373</v>
      </c>
    </row>
    <row r="379" spans="1:14" s="78" customFormat="1" hidden="1" x14ac:dyDescent="0.25">
      <c r="A379" s="77" t="s">
        <v>890</v>
      </c>
      <c r="B379" s="82" t="s">
        <v>1603</v>
      </c>
      <c r="C379" s="82" t="s">
        <v>5</v>
      </c>
      <c r="D379" s="81" t="s">
        <v>1549</v>
      </c>
      <c r="E379" s="79">
        <v>0</v>
      </c>
      <c r="F379" s="78" t="s">
        <v>1550</v>
      </c>
      <c r="G379" s="78" t="s">
        <v>1551</v>
      </c>
      <c r="H379" s="81" t="s">
        <v>1552</v>
      </c>
      <c r="I379" s="78">
        <v>1</v>
      </c>
      <c r="J379" s="79">
        <v>0.95</v>
      </c>
      <c r="K379" s="81" t="s">
        <v>1899</v>
      </c>
      <c r="M379">
        <f t="shared" si="10"/>
        <v>0</v>
      </c>
      <c r="N379" s="78">
        <f t="shared" si="11"/>
        <v>374</v>
      </c>
    </row>
    <row r="380" spans="1:14" s="78" customFormat="1" hidden="1" x14ac:dyDescent="0.25">
      <c r="A380" s="77" t="s">
        <v>890</v>
      </c>
      <c r="B380" s="60" t="s">
        <v>1603</v>
      </c>
      <c r="C380" s="60" t="s">
        <v>5</v>
      </c>
      <c r="D380" s="63" t="s">
        <v>1561</v>
      </c>
      <c r="E380" s="64">
        <v>0</v>
      </c>
      <c r="F380" s="10" t="s">
        <v>1562</v>
      </c>
      <c r="G380" s="10" t="s">
        <v>1563</v>
      </c>
      <c r="H380" s="63" t="s">
        <v>1564</v>
      </c>
      <c r="I380" s="10"/>
      <c r="J380" s="64">
        <v>1.95</v>
      </c>
      <c r="K380" s="63" t="s">
        <v>1899</v>
      </c>
      <c r="L380" s="10"/>
      <c r="M380">
        <f t="shared" si="10"/>
        <v>0</v>
      </c>
      <c r="N380" s="78">
        <f t="shared" si="11"/>
        <v>375</v>
      </c>
    </row>
    <row r="381" spans="1:14" s="78" customFormat="1" x14ac:dyDescent="0.25">
      <c r="A381" s="77" t="s">
        <v>890</v>
      </c>
      <c r="B381" s="60" t="s">
        <v>1603</v>
      </c>
      <c r="C381" s="60" t="s">
        <v>5</v>
      </c>
      <c r="D381" s="63" t="s">
        <v>384</v>
      </c>
      <c r="E381" s="64">
        <v>6</v>
      </c>
      <c r="F381" s="10" t="s">
        <v>385</v>
      </c>
      <c r="G381" s="10" t="s">
        <v>386</v>
      </c>
      <c r="H381" s="63" t="s">
        <v>387</v>
      </c>
      <c r="I381" s="10">
        <v>1</v>
      </c>
      <c r="J381" s="64">
        <v>0.5</v>
      </c>
      <c r="K381" s="63" t="s">
        <v>1896</v>
      </c>
      <c r="L381" s="10"/>
      <c r="M381">
        <f t="shared" si="10"/>
        <v>3</v>
      </c>
      <c r="N381" s="78">
        <f t="shared" si="11"/>
        <v>376</v>
      </c>
    </row>
    <row r="382" spans="1:14" s="78" customFormat="1" x14ac:dyDescent="0.25">
      <c r="A382" s="77" t="s">
        <v>890</v>
      </c>
      <c r="B382" s="60" t="s">
        <v>1603</v>
      </c>
      <c r="C382" s="60" t="s">
        <v>5</v>
      </c>
      <c r="D382" s="63" t="s">
        <v>372</v>
      </c>
      <c r="E382" s="64">
        <v>2</v>
      </c>
      <c r="F382" s="10" t="s">
        <v>373</v>
      </c>
      <c r="G382" s="10" t="s">
        <v>374</v>
      </c>
      <c r="H382" s="63" t="s">
        <v>375</v>
      </c>
      <c r="I382" s="10">
        <v>1</v>
      </c>
      <c r="J382" s="64">
        <v>1.95</v>
      </c>
      <c r="K382" s="63" t="s">
        <v>1896</v>
      </c>
      <c r="L382" s="10"/>
      <c r="M382">
        <f t="shared" si="10"/>
        <v>3.9</v>
      </c>
      <c r="N382" s="78">
        <f t="shared" si="11"/>
        <v>377</v>
      </c>
    </row>
    <row r="383" spans="1:14" s="78" customFormat="1" x14ac:dyDescent="0.25">
      <c r="A383" s="77" t="s">
        <v>890</v>
      </c>
      <c r="B383" s="60" t="s">
        <v>1603</v>
      </c>
      <c r="C383" s="60" t="s">
        <v>5</v>
      </c>
      <c r="D383" s="63" t="s">
        <v>388</v>
      </c>
      <c r="E383" s="64">
        <v>3</v>
      </c>
      <c r="F383" s="10" t="s">
        <v>389</v>
      </c>
      <c r="G383" s="10" t="s">
        <v>390</v>
      </c>
      <c r="H383" s="63" t="s">
        <v>391</v>
      </c>
      <c r="I383" s="10">
        <v>1</v>
      </c>
      <c r="J383" s="64">
        <v>0.95</v>
      </c>
      <c r="K383" s="63" t="s">
        <v>1896</v>
      </c>
      <c r="L383" s="10"/>
      <c r="M383">
        <f t="shared" si="10"/>
        <v>2.8499999999999996</v>
      </c>
      <c r="N383" s="78">
        <f t="shared" si="11"/>
        <v>378</v>
      </c>
    </row>
    <row r="384" spans="1:14" s="78" customFormat="1" x14ac:dyDescent="0.25">
      <c r="A384" s="77" t="s">
        <v>890</v>
      </c>
      <c r="B384" s="60" t="s">
        <v>1603</v>
      </c>
      <c r="C384" s="60" t="s">
        <v>5</v>
      </c>
      <c r="D384" s="63" t="s">
        <v>1260</v>
      </c>
      <c r="E384" s="64">
        <v>2</v>
      </c>
      <c r="F384" s="10" t="s">
        <v>1261</v>
      </c>
      <c r="G384" s="10" t="s">
        <v>1262</v>
      </c>
      <c r="H384" s="63" t="s">
        <v>1263</v>
      </c>
      <c r="I384" s="10">
        <v>1</v>
      </c>
      <c r="J384" s="64">
        <v>1.5</v>
      </c>
      <c r="K384" s="63" t="s">
        <v>1896</v>
      </c>
      <c r="L384" s="10"/>
      <c r="M384">
        <f t="shared" si="10"/>
        <v>3</v>
      </c>
      <c r="N384" s="78">
        <f t="shared" si="11"/>
        <v>379</v>
      </c>
    </row>
    <row r="385" spans="1:14" s="78" customFormat="1" x14ac:dyDescent="0.25">
      <c r="A385" s="77" t="s">
        <v>890</v>
      </c>
      <c r="B385" s="60" t="s">
        <v>1603</v>
      </c>
      <c r="C385" s="60" t="s">
        <v>5</v>
      </c>
      <c r="D385" s="63" t="s">
        <v>376</v>
      </c>
      <c r="E385" s="64">
        <v>1</v>
      </c>
      <c r="F385" s="10" t="s">
        <v>377</v>
      </c>
      <c r="G385" s="10" t="s">
        <v>378</v>
      </c>
      <c r="H385" s="63" t="s">
        <v>379</v>
      </c>
      <c r="I385" s="10">
        <v>1</v>
      </c>
      <c r="J385" s="64">
        <v>1.95</v>
      </c>
      <c r="K385" s="63" t="s">
        <v>1896</v>
      </c>
      <c r="L385" s="10"/>
      <c r="M385">
        <f t="shared" si="10"/>
        <v>1.95</v>
      </c>
      <c r="N385" s="78">
        <f t="shared" si="11"/>
        <v>380</v>
      </c>
    </row>
    <row r="386" spans="1:14" s="78" customFormat="1" x14ac:dyDescent="0.25">
      <c r="A386" s="77" t="s">
        <v>890</v>
      </c>
      <c r="B386" s="60" t="s">
        <v>1603</v>
      </c>
      <c r="C386" s="60" t="s">
        <v>5</v>
      </c>
      <c r="D386" s="63" t="s">
        <v>1829</v>
      </c>
      <c r="E386" s="64">
        <v>1</v>
      </c>
      <c r="F386" s="10" t="s">
        <v>1830</v>
      </c>
      <c r="G386" s="10" t="s">
        <v>1831</v>
      </c>
      <c r="H386" s="63" t="s">
        <v>1832</v>
      </c>
      <c r="I386" s="10">
        <v>1</v>
      </c>
      <c r="J386" s="64">
        <v>0.5</v>
      </c>
      <c r="K386" s="63" t="s">
        <v>1899</v>
      </c>
      <c r="L386" s="10"/>
      <c r="M386">
        <f t="shared" si="10"/>
        <v>0.5</v>
      </c>
      <c r="N386" s="78">
        <f t="shared" si="11"/>
        <v>381</v>
      </c>
    </row>
    <row r="387" spans="1:14" s="78" customFormat="1" hidden="1" x14ac:dyDescent="0.25">
      <c r="A387" s="91" t="s">
        <v>890</v>
      </c>
      <c r="B387" s="86" t="s">
        <v>1603</v>
      </c>
      <c r="C387" s="86" t="s">
        <v>1884</v>
      </c>
      <c r="D387" s="86" t="s">
        <v>2451</v>
      </c>
      <c r="E387" s="88">
        <v>0</v>
      </c>
      <c r="F387"/>
      <c r="G387"/>
      <c r="H387" s="86" t="s">
        <v>2450</v>
      </c>
      <c r="I387" s="87">
        <v>114</v>
      </c>
      <c r="J387" s="88">
        <v>0.75</v>
      </c>
      <c r="K387" s="30" t="s">
        <v>1896</v>
      </c>
      <c r="L387"/>
      <c r="M387">
        <f t="shared" si="10"/>
        <v>0</v>
      </c>
      <c r="N387" s="78">
        <f t="shared" si="11"/>
        <v>382</v>
      </c>
    </row>
    <row r="388" spans="1:14" s="78" customFormat="1" x14ac:dyDescent="0.25">
      <c r="A388" s="77" t="s">
        <v>890</v>
      </c>
      <c r="B388" s="60" t="s">
        <v>1603</v>
      </c>
      <c r="C388" s="60" t="s">
        <v>5</v>
      </c>
      <c r="D388" s="63" t="s">
        <v>656</v>
      </c>
      <c r="E388" s="64">
        <v>5</v>
      </c>
      <c r="F388" s="10" t="s">
        <v>657</v>
      </c>
      <c r="G388" s="10" t="s">
        <v>658</v>
      </c>
      <c r="H388" s="63" t="s">
        <v>659</v>
      </c>
      <c r="I388" s="10">
        <v>1</v>
      </c>
      <c r="J388" s="64">
        <v>0.95</v>
      </c>
      <c r="K388" s="63" t="s">
        <v>1899</v>
      </c>
      <c r="L388" s="10"/>
      <c r="M388">
        <f t="shared" si="10"/>
        <v>4.75</v>
      </c>
      <c r="N388" s="78">
        <f t="shared" si="11"/>
        <v>383</v>
      </c>
    </row>
    <row r="389" spans="1:14" s="78" customFormat="1" x14ac:dyDescent="0.25">
      <c r="A389" s="77" t="s">
        <v>890</v>
      </c>
      <c r="B389" s="60" t="s">
        <v>1603</v>
      </c>
      <c r="C389" s="60" t="s">
        <v>5</v>
      </c>
      <c r="D389" s="63" t="s">
        <v>953</v>
      </c>
      <c r="E389" s="64">
        <v>1</v>
      </c>
      <c r="F389" s="10" t="s">
        <v>954</v>
      </c>
      <c r="G389" s="10" t="s">
        <v>955</v>
      </c>
      <c r="H389" s="63" t="s">
        <v>956</v>
      </c>
      <c r="I389" s="10">
        <v>1</v>
      </c>
      <c r="J389" s="64">
        <v>1.5</v>
      </c>
      <c r="K389" s="63" t="s">
        <v>1896</v>
      </c>
      <c r="L389" s="10"/>
      <c r="M389">
        <f t="shared" si="10"/>
        <v>1.5</v>
      </c>
      <c r="N389" s="78">
        <f t="shared" si="11"/>
        <v>384</v>
      </c>
    </row>
    <row r="390" spans="1:14" s="78" customFormat="1" x14ac:dyDescent="0.25">
      <c r="A390" s="77" t="s">
        <v>890</v>
      </c>
      <c r="B390" s="60" t="s">
        <v>1603</v>
      </c>
      <c r="C390" s="60" t="s">
        <v>5</v>
      </c>
      <c r="D390" s="63" t="s">
        <v>396</v>
      </c>
      <c r="E390" s="64">
        <v>2</v>
      </c>
      <c r="F390" s="10" t="s">
        <v>397</v>
      </c>
      <c r="G390" s="10" t="s">
        <v>398</v>
      </c>
      <c r="H390" s="63" t="s">
        <v>399</v>
      </c>
      <c r="I390" s="10">
        <v>1</v>
      </c>
      <c r="J390" s="64">
        <v>0.95</v>
      </c>
      <c r="K390" s="63" t="s">
        <v>1896</v>
      </c>
      <c r="L390" s="10"/>
      <c r="M390">
        <f t="shared" ref="M390:M453" si="12">E390*J390</f>
        <v>1.9</v>
      </c>
      <c r="N390" s="78">
        <f t="shared" ref="N390:N453" si="13">IF($N389="List #",1,$N389+1)</f>
        <v>385</v>
      </c>
    </row>
    <row r="391" spans="1:14" s="78" customFormat="1" x14ac:dyDescent="0.25">
      <c r="A391" s="77" t="s">
        <v>890</v>
      </c>
      <c r="B391" s="60" t="s">
        <v>1603</v>
      </c>
      <c r="C391" s="60" t="s">
        <v>5</v>
      </c>
      <c r="D391" s="63" t="s">
        <v>392</v>
      </c>
      <c r="E391" s="64">
        <v>3</v>
      </c>
      <c r="F391" s="10" t="s">
        <v>393</v>
      </c>
      <c r="G391" s="10" t="s">
        <v>394</v>
      </c>
      <c r="H391" s="63" t="s">
        <v>395</v>
      </c>
      <c r="I391" s="10">
        <v>1</v>
      </c>
      <c r="J391" s="64">
        <v>2.2999999999999998</v>
      </c>
      <c r="K391" s="63" t="s">
        <v>1896</v>
      </c>
      <c r="L391" s="10"/>
      <c r="M391">
        <f t="shared" si="12"/>
        <v>6.8999999999999995</v>
      </c>
      <c r="N391" s="78">
        <f t="shared" si="13"/>
        <v>386</v>
      </c>
    </row>
    <row r="392" spans="1:14" s="78" customFormat="1" x14ac:dyDescent="0.25">
      <c r="A392" s="77" t="s">
        <v>890</v>
      </c>
      <c r="B392" s="60" t="s">
        <v>1603</v>
      </c>
      <c r="C392" s="60" t="s">
        <v>5</v>
      </c>
      <c r="D392" s="63" t="s">
        <v>1084</v>
      </c>
      <c r="E392" s="64">
        <v>1</v>
      </c>
      <c r="F392" s="10" t="s">
        <v>1085</v>
      </c>
      <c r="G392" s="10" t="s">
        <v>1086</v>
      </c>
      <c r="H392" s="63" t="s">
        <v>1087</v>
      </c>
      <c r="I392" s="10">
        <v>1</v>
      </c>
      <c r="J392" s="64">
        <v>1.95</v>
      </c>
      <c r="K392" s="63" t="s">
        <v>1896</v>
      </c>
      <c r="L392" s="10"/>
      <c r="M392">
        <f t="shared" si="12"/>
        <v>1.95</v>
      </c>
      <c r="N392" s="78">
        <f t="shared" si="13"/>
        <v>387</v>
      </c>
    </row>
    <row r="393" spans="1:14" s="78" customFormat="1" hidden="1" x14ac:dyDescent="0.25">
      <c r="A393" s="78" t="s">
        <v>890</v>
      </c>
      <c r="B393" s="63" t="s">
        <v>1603</v>
      </c>
      <c r="C393" s="63" t="s">
        <v>1884</v>
      </c>
      <c r="D393" s="63" t="s">
        <v>2126</v>
      </c>
      <c r="E393" s="64">
        <v>0</v>
      </c>
      <c r="F393" s="10"/>
      <c r="G393" s="10"/>
      <c r="H393" s="60" t="s">
        <v>2127</v>
      </c>
      <c r="I393"/>
      <c r="J393" s="70">
        <v>1.5</v>
      </c>
      <c r="K393" s="60" t="s">
        <v>1896</v>
      </c>
      <c r="L393"/>
      <c r="M393">
        <f t="shared" si="12"/>
        <v>0</v>
      </c>
      <c r="N393" s="78">
        <f t="shared" si="13"/>
        <v>388</v>
      </c>
    </row>
    <row r="394" spans="1:14" s="78" customFormat="1" hidden="1" x14ac:dyDescent="0.25">
      <c r="A394" s="77" t="s">
        <v>890</v>
      </c>
      <c r="B394" s="60" t="s">
        <v>1603</v>
      </c>
      <c r="C394" s="60" t="s">
        <v>5</v>
      </c>
      <c r="D394" s="63" t="s">
        <v>672</v>
      </c>
      <c r="E394" s="64">
        <v>0</v>
      </c>
      <c r="F394" s="10" t="s">
        <v>673</v>
      </c>
      <c r="G394" s="10" t="s">
        <v>674</v>
      </c>
      <c r="H394" s="63" t="s">
        <v>675</v>
      </c>
      <c r="I394" s="10">
        <v>1</v>
      </c>
      <c r="J394" s="64">
        <v>1.95</v>
      </c>
      <c r="K394" s="63" t="s">
        <v>1896</v>
      </c>
      <c r="L394" s="10"/>
      <c r="M394">
        <f t="shared" si="12"/>
        <v>0</v>
      </c>
      <c r="N394" s="78">
        <f t="shared" si="13"/>
        <v>389</v>
      </c>
    </row>
    <row r="395" spans="1:14" s="78" customFormat="1" hidden="1" x14ac:dyDescent="0.25">
      <c r="A395" s="77" t="s">
        <v>890</v>
      </c>
      <c r="B395" s="60" t="s">
        <v>1603</v>
      </c>
      <c r="C395" s="60" t="s">
        <v>5</v>
      </c>
      <c r="D395" s="63" t="s">
        <v>400</v>
      </c>
      <c r="E395" s="64">
        <v>0</v>
      </c>
      <c r="F395" s="10" t="s">
        <v>401</v>
      </c>
      <c r="G395" s="10" t="s">
        <v>402</v>
      </c>
      <c r="H395" s="63" t="s">
        <v>403</v>
      </c>
      <c r="I395" s="10">
        <v>1</v>
      </c>
      <c r="J395" s="64">
        <v>0.95</v>
      </c>
      <c r="K395" s="63" t="s">
        <v>1896</v>
      </c>
      <c r="L395" s="10"/>
      <c r="M395">
        <f t="shared" si="12"/>
        <v>0</v>
      </c>
      <c r="N395" s="78">
        <f t="shared" si="13"/>
        <v>390</v>
      </c>
    </row>
    <row r="396" spans="1:14" s="78" customFormat="1" hidden="1" x14ac:dyDescent="0.25">
      <c r="A396" s="77" t="s">
        <v>890</v>
      </c>
      <c r="B396" s="60" t="s">
        <v>1603</v>
      </c>
      <c r="C396" s="60" t="s">
        <v>5</v>
      </c>
      <c r="D396" s="63" t="s">
        <v>404</v>
      </c>
      <c r="E396" s="64">
        <v>0</v>
      </c>
      <c r="F396" s="10" t="s">
        <v>405</v>
      </c>
      <c r="G396" s="10" t="s">
        <v>406</v>
      </c>
      <c r="H396" s="63" t="s">
        <v>214</v>
      </c>
      <c r="I396" s="10">
        <v>1</v>
      </c>
      <c r="J396" s="64">
        <v>3.95</v>
      </c>
      <c r="K396" s="63" t="s">
        <v>2464</v>
      </c>
      <c r="L396" s="10"/>
      <c r="M396">
        <f t="shared" si="12"/>
        <v>0</v>
      </c>
      <c r="N396" s="78">
        <f t="shared" si="13"/>
        <v>391</v>
      </c>
    </row>
    <row r="397" spans="1:14" s="78" customFormat="1" x14ac:dyDescent="0.25">
      <c r="A397" s="77" t="s">
        <v>890</v>
      </c>
      <c r="B397" s="69" t="s">
        <v>1603</v>
      </c>
      <c r="C397" s="69" t="s">
        <v>5</v>
      </c>
      <c r="D397" s="66" t="s">
        <v>426</v>
      </c>
      <c r="E397" s="68">
        <f>FilterSpecs!$C$3</f>
        <v>5</v>
      </c>
      <c r="F397" s="46" t="s">
        <v>427</v>
      </c>
      <c r="G397" s="46" t="s">
        <v>428</v>
      </c>
      <c r="H397" s="66" t="s">
        <v>429</v>
      </c>
      <c r="I397" s="46">
        <v>1</v>
      </c>
      <c r="J397" s="68">
        <v>1.5</v>
      </c>
      <c r="K397" s="66" t="s">
        <v>1897</v>
      </c>
      <c r="L397" s="46"/>
      <c r="M397">
        <f t="shared" si="12"/>
        <v>7.5</v>
      </c>
      <c r="N397" s="78">
        <f t="shared" si="13"/>
        <v>392</v>
      </c>
    </row>
    <row r="398" spans="1:14" s="78" customFormat="1" hidden="1" x14ac:dyDescent="0.25">
      <c r="A398" s="77" t="s">
        <v>890</v>
      </c>
      <c r="B398" s="77" t="s">
        <v>1879</v>
      </c>
      <c r="C398" s="77" t="s">
        <v>5</v>
      </c>
      <c r="D398" s="78" t="s">
        <v>768</v>
      </c>
      <c r="E398" s="79">
        <v>0</v>
      </c>
      <c r="F398" s="78" t="s">
        <v>769</v>
      </c>
      <c r="G398" s="78" t="s">
        <v>770</v>
      </c>
      <c r="H398" s="78" t="s">
        <v>771</v>
      </c>
      <c r="I398" s="78">
        <v>1</v>
      </c>
      <c r="J398" s="79">
        <v>0.5</v>
      </c>
      <c r="K398" s="78" t="s">
        <v>1896</v>
      </c>
      <c r="M398">
        <f t="shared" si="12"/>
        <v>0</v>
      </c>
      <c r="N398" s="78">
        <f t="shared" si="13"/>
        <v>393</v>
      </c>
    </row>
    <row r="399" spans="1:14" s="78" customFormat="1" x14ac:dyDescent="0.25">
      <c r="A399" s="77" t="s">
        <v>890</v>
      </c>
      <c r="B399" s="77" t="s">
        <v>1879</v>
      </c>
      <c r="C399" s="77" t="s">
        <v>5</v>
      </c>
      <c r="D399" s="78" t="s">
        <v>1761</v>
      </c>
      <c r="E399" s="79">
        <v>1</v>
      </c>
      <c r="F399" s="78" t="s">
        <v>1762</v>
      </c>
      <c r="G399" s="78" t="s">
        <v>1763</v>
      </c>
      <c r="H399" s="78" t="s">
        <v>1764</v>
      </c>
      <c r="I399" s="78">
        <v>1</v>
      </c>
      <c r="J399" s="79">
        <v>2.95</v>
      </c>
      <c r="K399" s="78" t="s">
        <v>1896</v>
      </c>
      <c r="M399">
        <f t="shared" si="12"/>
        <v>2.95</v>
      </c>
      <c r="N399" s="78">
        <f t="shared" si="13"/>
        <v>394</v>
      </c>
    </row>
    <row r="400" spans="1:14" s="78" customFormat="1" hidden="1" x14ac:dyDescent="0.25">
      <c r="A400" s="77" t="s">
        <v>890</v>
      </c>
      <c r="B400" s="77" t="s">
        <v>1879</v>
      </c>
      <c r="C400" s="77" t="s">
        <v>5</v>
      </c>
      <c r="D400" s="78" t="s">
        <v>516</v>
      </c>
      <c r="E400" s="79">
        <v>0</v>
      </c>
      <c r="F400" s="78" t="s">
        <v>517</v>
      </c>
      <c r="G400" s="78" t="s">
        <v>518</v>
      </c>
      <c r="H400" s="78" t="s">
        <v>519</v>
      </c>
      <c r="I400" s="78">
        <v>1</v>
      </c>
      <c r="J400" s="79">
        <v>1.5</v>
      </c>
      <c r="K400" s="78" t="s">
        <v>1896</v>
      </c>
      <c r="M400">
        <f t="shared" si="12"/>
        <v>0</v>
      </c>
      <c r="N400" s="78">
        <f t="shared" si="13"/>
        <v>395</v>
      </c>
    </row>
    <row r="401" spans="1:14" s="78" customFormat="1" hidden="1" x14ac:dyDescent="0.25">
      <c r="A401" s="77" t="s">
        <v>890</v>
      </c>
      <c r="B401" s="77" t="s">
        <v>1879</v>
      </c>
      <c r="C401" s="77" t="s">
        <v>5</v>
      </c>
      <c r="D401" s="78" t="s">
        <v>520</v>
      </c>
      <c r="E401" s="79">
        <v>0</v>
      </c>
      <c r="F401" s="78" t="s">
        <v>521</v>
      </c>
      <c r="G401" s="78" t="s">
        <v>522</v>
      </c>
      <c r="H401" s="78" t="s">
        <v>523</v>
      </c>
      <c r="I401" s="78">
        <v>1</v>
      </c>
      <c r="J401" s="79">
        <v>0.5</v>
      </c>
      <c r="K401" s="78" t="s">
        <v>1896</v>
      </c>
      <c r="M401">
        <f t="shared" si="12"/>
        <v>0</v>
      </c>
      <c r="N401" s="78">
        <f t="shared" si="13"/>
        <v>396</v>
      </c>
    </row>
    <row r="402" spans="1:14" s="78" customFormat="1" hidden="1" x14ac:dyDescent="0.25">
      <c r="A402" s="77" t="s">
        <v>890</v>
      </c>
      <c r="B402" s="77" t="s">
        <v>1879</v>
      </c>
      <c r="C402" s="77" t="s">
        <v>5</v>
      </c>
      <c r="D402" s="78" t="s">
        <v>572</v>
      </c>
      <c r="E402" s="79">
        <v>0</v>
      </c>
      <c r="F402" s="78" t="s">
        <v>573</v>
      </c>
      <c r="G402" s="78" t="s">
        <v>574</v>
      </c>
      <c r="H402" s="78" t="s">
        <v>575</v>
      </c>
      <c r="I402" s="78">
        <v>1</v>
      </c>
      <c r="J402" s="79">
        <v>1.5</v>
      </c>
      <c r="K402" s="78" t="s">
        <v>1896</v>
      </c>
      <c r="M402">
        <f t="shared" si="12"/>
        <v>0</v>
      </c>
      <c r="N402" s="78">
        <f t="shared" si="13"/>
        <v>397</v>
      </c>
    </row>
    <row r="403" spans="1:14" s="78" customFormat="1" hidden="1" x14ac:dyDescent="0.25">
      <c r="A403" s="77" t="s">
        <v>890</v>
      </c>
      <c r="B403" s="77" t="s">
        <v>1879</v>
      </c>
      <c r="C403" s="77" t="s">
        <v>5</v>
      </c>
      <c r="D403" s="78" t="s">
        <v>474</v>
      </c>
      <c r="E403" s="79">
        <v>0</v>
      </c>
      <c r="F403" s="78" t="s">
        <v>475</v>
      </c>
      <c r="G403" s="78" t="s">
        <v>476</v>
      </c>
      <c r="H403" s="78" t="s">
        <v>477</v>
      </c>
      <c r="J403" s="79">
        <v>0.5</v>
      </c>
      <c r="K403" s="78" t="s">
        <v>1896</v>
      </c>
      <c r="M403">
        <f t="shared" si="12"/>
        <v>0</v>
      </c>
      <c r="N403" s="78">
        <f t="shared" si="13"/>
        <v>398</v>
      </c>
    </row>
    <row r="404" spans="1:14" s="78" customFormat="1" hidden="1" x14ac:dyDescent="0.25">
      <c r="A404" s="77" t="s">
        <v>890</v>
      </c>
      <c r="B404" s="77" t="s">
        <v>1879</v>
      </c>
      <c r="C404" s="77" t="s">
        <v>5</v>
      </c>
      <c r="D404" s="78" t="s">
        <v>470</v>
      </c>
      <c r="E404" s="79">
        <v>0</v>
      </c>
      <c r="F404" s="78" t="s">
        <v>471</v>
      </c>
      <c r="G404" s="78" t="s">
        <v>472</v>
      </c>
      <c r="H404" s="78" t="s">
        <v>473</v>
      </c>
      <c r="I404" s="78">
        <v>1</v>
      </c>
      <c r="J404" s="79">
        <v>1.5</v>
      </c>
      <c r="K404" s="78" t="s">
        <v>1896</v>
      </c>
      <c r="M404">
        <f t="shared" si="12"/>
        <v>0</v>
      </c>
      <c r="N404" s="78">
        <f t="shared" si="13"/>
        <v>399</v>
      </c>
    </row>
    <row r="405" spans="1:14" s="78" customFormat="1" x14ac:dyDescent="0.25">
      <c r="A405" s="78" t="s">
        <v>890</v>
      </c>
      <c r="B405" s="78" t="s">
        <v>1879</v>
      </c>
      <c r="C405" s="78" t="s">
        <v>1884</v>
      </c>
      <c r="D405" s="78" t="s">
        <v>2168</v>
      </c>
      <c r="E405" s="79">
        <f>FilterSpecs!$C$3</f>
        <v>5</v>
      </c>
      <c r="H405" s="77" t="s">
        <v>2169</v>
      </c>
      <c r="I405" s="80"/>
      <c r="J405" s="85">
        <v>1.95</v>
      </c>
      <c r="K405" s="77" t="s">
        <v>1897</v>
      </c>
      <c r="L405" s="80"/>
      <c r="M405">
        <f t="shared" si="12"/>
        <v>9.75</v>
      </c>
      <c r="N405" s="78">
        <f t="shared" si="13"/>
        <v>400</v>
      </c>
    </row>
    <row r="406" spans="1:14" s="78" customFormat="1" x14ac:dyDescent="0.25">
      <c r="A406" s="78" t="s">
        <v>890</v>
      </c>
      <c r="B406" s="78" t="s">
        <v>1879</v>
      </c>
      <c r="C406" s="78" t="s">
        <v>1884</v>
      </c>
      <c r="D406" s="78" t="s">
        <v>2150</v>
      </c>
      <c r="E406" s="79">
        <v>1</v>
      </c>
      <c r="H406" s="77" t="s">
        <v>2151</v>
      </c>
      <c r="I406" s="80"/>
      <c r="J406" s="85">
        <v>2.95</v>
      </c>
      <c r="K406" s="77" t="s">
        <v>1896</v>
      </c>
      <c r="L406" s="80"/>
      <c r="M406">
        <f t="shared" si="12"/>
        <v>2.95</v>
      </c>
      <c r="N406" s="78">
        <f t="shared" si="13"/>
        <v>401</v>
      </c>
    </row>
    <row r="407" spans="1:14" s="78" customFormat="1" hidden="1" x14ac:dyDescent="0.25">
      <c r="A407" s="77" t="s">
        <v>890</v>
      </c>
      <c r="B407" s="77" t="s">
        <v>1877</v>
      </c>
      <c r="C407" s="77" t="s">
        <v>5</v>
      </c>
      <c r="D407" s="78" t="s">
        <v>764</v>
      </c>
      <c r="E407" s="79">
        <v>0</v>
      </c>
      <c r="F407" s="78" t="s">
        <v>765</v>
      </c>
      <c r="G407" s="78" t="s">
        <v>766</v>
      </c>
      <c r="H407" s="78" t="s">
        <v>767</v>
      </c>
      <c r="I407" s="78">
        <v>1</v>
      </c>
      <c r="J407" s="79">
        <v>0.5</v>
      </c>
      <c r="K407" s="78" t="s">
        <v>1896</v>
      </c>
      <c r="M407">
        <f t="shared" si="12"/>
        <v>0</v>
      </c>
      <c r="N407" s="78">
        <f t="shared" si="13"/>
        <v>402</v>
      </c>
    </row>
    <row r="408" spans="1:14" s="78" customFormat="1" hidden="1" x14ac:dyDescent="0.25">
      <c r="A408" s="77" t="s">
        <v>890</v>
      </c>
      <c r="B408" s="77" t="s">
        <v>1877</v>
      </c>
      <c r="C408" s="77" t="s">
        <v>5</v>
      </c>
      <c r="D408" s="78" t="s">
        <v>508</v>
      </c>
      <c r="E408" s="79">
        <v>0</v>
      </c>
      <c r="F408" s="78" t="s">
        <v>509</v>
      </c>
      <c r="G408" s="78" t="s">
        <v>510</v>
      </c>
      <c r="H408" s="78" t="s">
        <v>511</v>
      </c>
      <c r="I408" s="78">
        <v>1</v>
      </c>
      <c r="J408" s="79">
        <v>0.95</v>
      </c>
      <c r="K408" s="78" t="s">
        <v>1896</v>
      </c>
      <c r="M408">
        <f t="shared" si="12"/>
        <v>0</v>
      </c>
      <c r="N408" s="78">
        <f t="shared" si="13"/>
        <v>403</v>
      </c>
    </row>
    <row r="409" spans="1:14" s="78" customFormat="1" x14ac:dyDescent="0.25">
      <c r="A409" s="77" t="s">
        <v>890</v>
      </c>
      <c r="B409" s="77" t="s">
        <v>1877</v>
      </c>
      <c r="C409" s="77" t="s">
        <v>5</v>
      </c>
      <c r="D409" s="78" t="s">
        <v>1777</v>
      </c>
      <c r="E409" s="79">
        <v>1</v>
      </c>
      <c r="F409" s="78" t="s">
        <v>1778</v>
      </c>
      <c r="G409" s="78" t="s">
        <v>1779</v>
      </c>
      <c r="H409" s="78" t="s">
        <v>1780</v>
      </c>
      <c r="I409" s="78">
        <v>1</v>
      </c>
      <c r="J409" s="79">
        <v>0.95</v>
      </c>
      <c r="K409" s="78" t="s">
        <v>1896</v>
      </c>
      <c r="M409">
        <f t="shared" si="12"/>
        <v>0.95</v>
      </c>
      <c r="N409" s="78">
        <f t="shared" si="13"/>
        <v>404</v>
      </c>
    </row>
    <row r="410" spans="1:14" s="78" customFormat="1" hidden="1" x14ac:dyDescent="0.25">
      <c r="A410" s="77" t="s">
        <v>890</v>
      </c>
      <c r="B410" s="77" t="s">
        <v>1877</v>
      </c>
      <c r="C410" s="77" t="s">
        <v>5</v>
      </c>
      <c r="D410" s="78" t="s">
        <v>748</v>
      </c>
      <c r="E410" s="79">
        <v>0</v>
      </c>
      <c r="F410" s="78" t="s">
        <v>749</v>
      </c>
      <c r="G410" s="78" t="s">
        <v>750</v>
      </c>
      <c r="H410" s="78" t="s">
        <v>751</v>
      </c>
      <c r="I410" s="78">
        <v>1</v>
      </c>
      <c r="J410" s="79">
        <v>1.5</v>
      </c>
      <c r="K410" s="78" t="s">
        <v>1896</v>
      </c>
      <c r="M410">
        <f t="shared" si="12"/>
        <v>0</v>
      </c>
      <c r="N410" s="78">
        <f t="shared" si="13"/>
        <v>405</v>
      </c>
    </row>
    <row r="411" spans="1:14" s="78" customFormat="1" x14ac:dyDescent="0.25">
      <c r="A411" s="78" t="s">
        <v>890</v>
      </c>
      <c r="B411" s="78" t="s">
        <v>1877</v>
      </c>
      <c r="C411" s="78" t="s">
        <v>1884</v>
      </c>
      <c r="D411" s="78" t="s">
        <v>2164</v>
      </c>
      <c r="E411" s="79">
        <v>1</v>
      </c>
      <c r="H411" s="77" t="s">
        <v>2165</v>
      </c>
      <c r="I411" s="80"/>
      <c r="J411" s="85">
        <v>4.95</v>
      </c>
      <c r="K411" s="77" t="s">
        <v>1896</v>
      </c>
      <c r="L411" s="80"/>
      <c r="M411">
        <f t="shared" si="12"/>
        <v>4.95</v>
      </c>
      <c r="N411" s="78">
        <f t="shared" si="13"/>
        <v>406</v>
      </c>
    </row>
    <row r="412" spans="1:14" s="78" customFormat="1" x14ac:dyDescent="0.25">
      <c r="A412" s="78" t="s">
        <v>890</v>
      </c>
      <c r="B412" s="78" t="s">
        <v>1877</v>
      </c>
      <c r="C412" s="78" t="s">
        <v>1884</v>
      </c>
      <c r="D412" s="78" t="s">
        <v>2156</v>
      </c>
      <c r="E412" s="79">
        <v>1</v>
      </c>
      <c r="H412" s="77" t="s">
        <v>2157</v>
      </c>
      <c r="I412" s="80"/>
      <c r="J412" s="85">
        <v>4.95</v>
      </c>
      <c r="K412" s="77" t="s">
        <v>1896</v>
      </c>
      <c r="L412" s="80"/>
      <c r="M412">
        <f t="shared" si="12"/>
        <v>4.95</v>
      </c>
      <c r="N412" s="78">
        <f t="shared" si="13"/>
        <v>407</v>
      </c>
    </row>
    <row r="413" spans="1:14" s="78" customFormat="1" x14ac:dyDescent="0.25">
      <c r="A413" s="77" t="s">
        <v>890</v>
      </c>
      <c r="B413" s="77" t="s">
        <v>1877</v>
      </c>
      <c r="C413" s="77" t="s">
        <v>5</v>
      </c>
      <c r="D413" s="78" t="s">
        <v>482</v>
      </c>
      <c r="E413" s="79">
        <f>FilterSpecs!$C$3</f>
        <v>5</v>
      </c>
      <c r="F413" s="78" t="s">
        <v>483</v>
      </c>
      <c r="G413" s="78" t="s">
        <v>484</v>
      </c>
      <c r="H413" s="78" t="s">
        <v>485</v>
      </c>
      <c r="I413" s="78">
        <v>1</v>
      </c>
      <c r="J413" s="79">
        <v>2.95</v>
      </c>
      <c r="K413" s="78" t="s">
        <v>1896</v>
      </c>
      <c r="M413">
        <f t="shared" si="12"/>
        <v>14.75</v>
      </c>
      <c r="N413" s="78">
        <f t="shared" si="13"/>
        <v>408</v>
      </c>
    </row>
    <row r="414" spans="1:14" s="78" customFormat="1" x14ac:dyDescent="0.25">
      <c r="A414" s="77" t="s">
        <v>890</v>
      </c>
      <c r="B414" s="77" t="s">
        <v>1877</v>
      </c>
      <c r="C414" s="77" t="s">
        <v>5</v>
      </c>
      <c r="D414" s="78" t="s">
        <v>466</v>
      </c>
      <c r="E414" s="79">
        <f>FilterSpecs!$C$3</f>
        <v>5</v>
      </c>
      <c r="F414" s="78" t="s">
        <v>467</v>
      </c>
      <c r="G414" s="78" t="s">
        <v>468</v>
      </c>
      <c r="H414" s="78" t="s">
        <v>469</v>
      </c>
      <c r="I414" s="78">
        <v>1</v>
      </c>
      <c r="J414" s="79">
        <v>0.75</v>
      </c>
      <c r="K414" s="78" t="s">
        <v>1896</v>
      </c>
      <c r="M414">
        <f t="shared" si="12"/>
        <v>3.75</v>
      </c>
      <c r="N414" s="78">
        <f t="shared" si="13"/>
        <v>409</v>
      </c>
    </row>
    <row r="415" spans="1:14" s="78" customFormat="1" hidden="1" x14ac:dyDescent="0.25">
      <c r="A415" s="91" t="s">
        <v>890</v>
      </c>
      <c r="B415" s="91" t="s">
        <v>1877</v>
      </c>
      <c r="C415" s="91" t="s">
        <v>1884</v>
      </c>
      <c r="D415" s="91" t="s">
        <v>2457</v>
      </c>
      <c r="E415" s="92">
        <v>0</v>
      </c>
      <c r="F415" s="80"/>
      <c r="G415" s="80"/>
      <c r="H415" s="91" t="s">
        <v>2456</v>
      </c>
      <c r="I415" s="93">
        <v>117</v>
      </c>
      <c r="J415" s="92">
        <v>3</v>
      </c>
      <c r="K415" s="77" t="s">
        <v>1896</v>
      </c>
      <c r="L415" s="80"/>
      <c r="M415">
        <f t="shared" si="12"/>
        <v>0</v>
      </c>
      <c r="N415" s="78">
        <f t="shared" si="13"/>
        <v>410</v>
      </c>
    </row>
    <row r="416" spans="1:14" s="78" customFormat="1" hidden="1" x14ac:dyDescent="0.25">
      <c r="A416" s="77" t="s">
        <v>890</v>
      </c>
      <c r="B416" s="77" t="s">
        <v>1877</v>
      </c>
      <c r="C416" s="77" t="s">
        <v>5</v>
      </c>
      <c r="D416" s="78" t="s">
        <v>752</v>
      </c>
      <c r="E416" s="79">
        <v>0</v>
      </c>
      <c r="F416" s="78" t="s">
        <v>753</v>
      </c>
      <c r="G416" s="78" t="s">
        <v>754</v>
      </c>
      <c r="H416" s="78" t="s">
        <v>755</v>
      </c>
      <c r="I416" s="78">
        <v>1</v>
      </c>
      <c r="J416" s="79">
        <v>1.95</v>
      </c>
      <c r="K416" s="78" t="s">
        <v>1896</v>
      </c>
      <c r="M416">
        <f t="shared" si="12"/>
        <v>0</v>
      </c>
      <c r="N416" s="78">
        <f t="shared" si="13"/>
        <v>411</v>
      </c>
    </row>
    <row r="417" spans="1:14" s="78" customFormat="1" hidden="1" x14ac:dyDescent="0.25">
      <c r="A417" s="78" t="s">
        <v>890</v>
      </c>
      <c r="B417" s="78" t="s">
        <v>1877</v>
      </c>
      <c r="C417" s="78" t="s">
        <v>1884</v>
      </c>
      <c r="D417" s="78" t="s">
        <v>2166</v>
      </c>
      <c r="E417" s="79">
        <v>0</v>
      </c>
      <c r="H417" s="77" t="s">
        <v>2167</v>
      </c>
      <c r="I417" s="80"/>
      <c r="J417" s="85">
        <v>5.95</v>
      </c>
      <c r="K417" s="77" t="s">
        <v>1899</v>
      </c>
      <c r="L417" s="80"/>
      <c r="M417">
        <f t="shared" si="12"/>
        <v>0</v>
      </c>
      <c r="N417" s="78">
        <f t="shared" si="13"/>
        <v>412</v>
      </c>
    </row>
    <row r="418" spans="1:14" s="78" customFormat="1" hidden="1" x14ac:dyDescent="0.25">
      <c r="A418" s="78" t="s">
        <v>890</v>
      </c>
      <c r="B418" s="78" t="s">
        <v>1877</v>
      </c>
      <c r="C418" s="78" t="s">
        <v>1884</v>
      </c>
      <c r="D418" s="78" t="s">
        <v>2158</v>
      </c>
      <c r="E418" s="79">
        <v>0</v>
      </c>
      <c r="H418" s="77" t="s">
        <v>2159</v>
      </c>
      <c r="I418" s="80"/>
      <c r="J418" s="85">
        <v>0.95</v>
      </c>
      <c r="K418" s="77" t="s">
        <v>1896</v>
      </c>
      <c r="L418" s="80"/>
      <c r="M418">
        <f t="shared" si="12"/>
        <v>0</v>
      </c>
      <c r="N418" s="78">
        <f t="shared" si="13"/>
        <v>413</v>
      </c>
    </row>
    <row r="419" spans="1:14" s="78" customFormat="1" x14ac:dyDescent="0.25">
      <c r="A419" s="78" t="s">
        <v>890</v>
      </c>
      <c r="B419" s="78" t="s">
        <v>1877</v>
      </c>
      <c r="C419" s="78" t="s">
        <v>1884</v>
      </c>
      <c r="D419" s="78" t="s">
        <v>2160</v>
      </c>
      <c r="E419" s="79">
        <v>1</v>
      </c>
      <c r="H419" s="77" t="s">
        <v>2161</v>
      </c>
      <c r="I419" s="80"/>
      <c r="J419" s="85">
        <v>7.5</v>
      </c>
      <c r="K419" s="77" t="s">
        <v>1896</v>
      </c>
      <c r="L419" s="80"/>
      <c r="M419">
        <f t="shared" si="12"/>
        <v>7.5</v>
      </c>
      <c r="N419" s="78">
        <f t="shared" si="13"/>
        <v>414</v>
      </c>
    </row>
    <row r="420" spans="1:14" s="78" customFormat="1" x14ac:dyDescent="0.25">
      <c r="A420" s="78" t="s">
        <v>890</v>
      </c>
      <c r="B420" s="78" t="s">
        <v>1877</v>
      </c>
      <c r="C420" s="78" t="s">
        <v>1884</v>
      </c>
      <c r="D420" s="78" t="s">
        <v>2162</v>
      </c>
      <c r="E420" s="79">
        <v>1</v>
      </c>
      <c r="H420" s="77" t="s">
        <v>2163</v>
      </c>
      <c r="I420" s="80"/>
      <c r="J420" s="85">
        <v>5.95</v>
      </c>
      <c r="K420" s="77" t="s">
        <v>1896</v>
      </c>
      <c r="L420" s="80"/>
      <c r="M420">
        <f t="shared" si="12"/>
        <v>5.95</v>
      </c>
      <c r="N420" s="78">
        <f t="shared" si="13"/>
        <v>415</v>
      </c>
    </row>
    <row r="421" spans="1:14" s="78" customFormat="1" hidden="1" x14ac:dyDescent="0.25">
      <c r="A421" s="77" t="s">
        <v>890</v>
      </c>
      <c r="B421" s="77" t="s">
        <v>1877</v>
      </c>
      <c r="C421" s="77" t="s">
        <v>5</v>
      </c>
      <c r="D421" s="78" t="s">
        <v>756</v>
      </c>
      <c r="E421" s="79">
        <v>0</v>
      </c>
      <c r="F421" s="78" t="s">
        <v>757</v>
      </c>
      <c r="G421" s="78" t="s">
        <v>758</v>
      </c>
      <c r="H421" s="78" t="s">
        <v>759</v>
      </c>
      <c r="I421" s="78">
        <v>1</v>
      </c>
      <c r="J421" s="79">
        <v>1.95</v>
      </c>
      <c r="K421" s="78" t="s">
        <v>1896</v>
      </c>
      <c r="M421">
        <f t="shared" si="12"/>
        <v>0</v>
      </c>
      <c r="N421" s="78">
        <f t="shared" si="13"/>
        <v>416</v>
      </c>
    </row>
    <row r="422" spans="1:14" s="78" customFormat="1" hidden="1" x14ac:dyDescent="0.25">
      <c r="A422" s="77" t="s">
        <v>890</v>
      </c>
      <c r="B422" s="77" t="s">
        <v>1877</v>
      </c>
      <c r="C422" s="77" t="s">
        <v>5</v>
      </c>
      <c r="D422" s="78" t="s">
        <v>1291</v>
      </c>
      <c r="E422" s="79">
        <v>0</v>
      </c>
      <c r="F422" s="78" t="s">
        <v>1292</v>
      </c>
      <c r="G422" s="78" t="s">
        <v>1293</v>
      </c>
      <c r="H422" s="78" t="s">
        <v>1294</v>
      </c>
      <c r="I422" s="78">
        <v>1</v>
      </c>
      <c r="J422" s="79">
        <v>4.95</v>
      </c>
      <c r="K422" s="78" t="s">
        <v>1896</v>
      </c>
      <c r="M422">
        <f t="shared" si="12"/>
        <v>0</v>
      </c>
      <c r="N422" s="78">
        <f t="shared" si="13"/>
        <v>417</v>
      </c>
    </row>
    <row r="423" spans="1:14" s="78" customFormat="1" hidden="1" x14ac:dyDescent="0.25">
      <c r="A423" s="77" t="s">
        <v>890</v>
      </c>
      <c r="B423" s="77" t="s">
        <v>1877</v>
      </c>
      <c r="C423" s="77" t="s">
        <v>5</v>
      </c>
      <c r="D423" s="78" t="s">
        <v>776</v>
      </c>
      <c r="E423" s="79">
        <v>0</v>
      </c>
      <c r="F423" s="78" t="s">
        <v>777</v>
      </c>
      <c r="G423" s="78" t="s">
        <v>778</v>
      </c>
      <c r="H423" s="78" t="s">
        <v>779</v>
      </c>
      <c r="I423" s="78">
        <v>1</v>
      </c>
      <c r="J423" s="79">
        <v>0.95</v>
      </c>
      <c r="K423" s="78" t="s">
        <v>1896</v>
      </c>
      <c r="M423">
        <f t="shared" si="12"/>
        <v>0</v>
      </c>
      <c r="N423" s="78">
        <f t="shared" si="13"/>
        <v>418</v>
      </c>
    </row>
    <row r="424" spans="1:14" s="78" customFormat="1" x14ac:dyDescent="0.25">
      <c r="A424" s="78" t="s">
        <v>890</v>
      </c>
      <c r="B424" s="78" t="s">
        <v>1877</v>
      </c>
      <c r="C424" s="78" t="s">
        <v>1884</v>
      </c>
      <c r="D424" s="78" t="s">
        <v>2154</v>
      </c>
      <c r="E424" s="79">
        <v>1</v>
      </c>
      <c r="H424" s="77" t="s">
        <v>2155</v>
      </c>
      <c r="I424" s="80"/>
      <c r="J424" s="85">
        <v>2.95</v>
      </c>
      <c r="K424" s="77" t="s">
        <v>1896</v>
      </c>
      <c r="L424" s="80"/>
      <c r="M424">
        <f t="shared" si="12"/>
        <v>2.95</v>
      </c>
      <c r="N424" s="78">
        <f t="shared" si="13"/>
        <v>419</v>
      </c>
    </row>
    <row r="425" spans="1:14" s="78" customFormat="1" hidden="1" x14ac:dyDescent="0.25">
      <c r="A425" s="78" t="s">
        <v>890</v>
      </c>
      <c r="B425" s="78" t="s">
        <v>1878</v>
      </c>
      <c r="C425" s="78" t="s">
        <v>1884</v>
      </c>
      <c r="D425" s="78" t="s">
        <v>2152</v>
      </c>
      <c r="E425" s="79">
        <v>0</v>
      </c>
      <c r="H425" s="77" t="s">
        <v>2153</v>
      </c>
      <c r="I425" s="80"/>
      <c r="J425" s="85">
        <v>0.95</v>
      </c>
      <c r="K425" s="77" t="s">
        <v>1896</v>
      </c>
      <c r="L425" s="80"/>
      <c r="M425">
        <f t="shared" si="12"/>
        <v>0</v>
      </c>
      <c r="N425" s="78">
        <f t="shared" si="13"/>
        <v>420</v>
      </c>
    </row>
    <row r="426" spans="1:14" s="78" customFormat="1" x14ac:dyDescent="0.25">
      <c r="A426" s="78" t="s">
        <v>890</v>
      </c>
      <c r="B426" s="78" t="s">
        <v>1878</v>
      </c>
      <c r="C426" s="78" t="s">
        <v>1884</v>
      </c>
      <c r="D426" s="78" t="s">
        <v>2146</v>
      </c>
      <c r="E426" s="79">
        <v>1</v>
      </c>
      <c r="H426" s="77" t="s">
        <v>2147</v>
      </c>
      <c r="I426" s="80"/>
      <c r="J426" s="85">
        <v>2.95</v>
      </c>
      <c r="K426" s="77" t="s">
        <v>1896</v>
      </c>
      <c r="L426" s="80"/>
      <c r="M426">
        <f t="shared" si="12"/>
        <v>2.95</v>
      </c>
      <c r="N426" s="78">
        <f t="shared" si="13"/>
        <v>421</v>
      </c>
    </row>
    <row r="427" spans="1:14" s="78" customFormat="1" x14ac:dyDescent="0.25">
      <c r="A427" s="78" t="s">
        <v>890</v>
      </c>
      <c r="B427" s="78" t="s">
        <v>1878</v>
      </c>
      <c r="C427" s="78" t="s">
        <v>1884</v>
      </c>
      <c r="D427" s="78" t="s">
        <v>2148</v>
      </c>
      <c r="E427" s="79">
        <v>1</v>
      </c>
      <c r="H427" s="77" t="s">
        <v>2149</v>
      </c>
      <c r="I427" s="80"/>
      <c r="J427" s="85">
        <v>7.95</v>
      </c>
      <c r="K427" s="77" t="s">
        <v>1896</v>
      </c>
      <c r="L427" s="80"/>
      <c r="M427">
        <f t="shared" si="12"/>
        <v>7.95</v>
      </c>
      <c r="N427" s="78">
        <f t="shared" si="13"/>
        <v>422</v>
      </c>
    </row>
    <row r="428" spans="1:14" s="78" customFormat="1" x14ac:dyDescent="0.25">
      <c r="A428" s="78" t="s">
        <v>890</v>
      </c>
      <c r="B428" s="78" t="s">
        <v>1878</v>
      </c>
      <c r="C428" s="78" t="s">
        <v>1884</v>
      </c>
      <c r="D428" s="78" t="s">
        <v>2138</v>
      </c>
      <c r="E428" s="79">
        <v>1</v>
      </c>
      <c r="H428" s="77" t="s">
        <v>2139</v>
      </c>
      <c r="I428" s="80"/>
      <c r="J428" s="85">
        <v>4.95</v>
      </c>
      <c r="K428" s="77" t="s">
        <v>1896</v>
      </c>
      <c r="L428" s="80"/>
      <c r="M428">
        <f t="shared" si="12"/>
        <v>4.95</v>
      </c>
      <c r="N428" s="78">
        <f t="shared" si="13"/>
        <v>423</v>
      </c>
    </row>
    <row r="429" spans="1:14" s="78" customFormat="1" x14ac:dyDescent="0.25">
      <c r="A429" s="78" t="s">
        <v>890</v>
      </c>
      <c r="B429" s="78" t="s">
        <v>1878</v>
      </c>
      <c r="C429" s="78" t="s">
        <v>1884</v>
      </c>
      <c r="D429" s="78" t="s">
        <v>2136</v>
      </c>
      <c r="E429" s="79">
        <v>1</v>
      </c>
      <c r="H429" s="77" t="s">
        <v>2137</v>
      </c>
      <c r="I429" s="80"/>
      <c r="J429" s="85">
        <v>5.95</v>
      </c>
      <c r="K429" s="77" t="s">
        <v>1896</v>
      </c>
      <c r="L429" s="80"/>
      <c r="M429">
        <f t="shared" si="12"/>
        <v>5.95</v>
      </c>
      <c r="N429" s="78">
        <f t="shared" si="13"/>
        <v>424</v>
      </c>
    </row>
    <row r="430" spans="1:14" s="78" customFormat="1" hidden="1" x14ac:dyDescent="0.25">
      <c r="A430" s="78" t="s">
        <v>890</v>
      </c>
      <c r="B430" s="78" t="s">
        <v>1878</v>
      </c>
      <c r="C430" s="78" t="s">
        <v>1884</v>
      </c>
      <c r="D430" s="78" t="s">
        <v>2132</v>
      </c>
      <c r="E430" s="79">
        <v>0</v>
      </c>
      <c r="H430" s="77" t="s">
        <v>2133</v>
      </c>
      <c r="I430" s="80"/>
      <c r="J430" s="85">
        <v>1.5</v>
      </c>
      <c r="K430" s="77" t="s">
        <v>1896</v>
      </c>
      <c r="L430" s="80"/>
      <c r="M430">
        <f t="shared" si="12"/>
        <v>0</v>
      </c>
      <c r="N430" s="78">
        <f t="shared" si="13"/>
        <v>425</v>
      </c>
    </row>
    <row r="431" spans="1:14" s="78" customFormat="1" x14ac:dyDescent="0.25">
      <c r="A431" s="78" t="s">
        <v>890</v>
      </c>
      <c r="B431" s="78" t="s">
        <v>1878</v>
      </c>
      <c r="C431" s="78" t="s">
        <v>1884</v>
      </c>
      <c r="D431" s="78" t="s">
        <v>2134</v>
      </c>
      <c r="E431" s="79">
        <v>1</v>
      </c>
      <c r="H431" s="77" t="s">
        <v>2135</v>
      </c>
      <c r="I431" s="80"/>
      <c r="J431" s="85">
        <v>7.95</v>
      </c>
      <c r="K431" s="77" t="s">
        <v>1896</v>
      </c>
      <c r="L431" s="80"/>
      <c r="M431">
        <f t="shared" si="12"/>
        <v>7.95</v>
      </c>
      <c r="N431" s="78">
        <f t="shared" si="13"/>
        <v>426</v>
      </c>
    </row>
    <row r="432" spans="1:14" s="78" customFormat="1" hidden="1" x14ac:dyDescent="0.25">
      <c r="A432" s="78" t="s">
        <v>890</v>
      </c>
      <c r="B432" s="78" t="s">
        <v>1878</v>
      </c>
      <c r="C432" s="78" t="s">
        <v>1884</v>
      </c>
      <c r="D432" s="78" t="s">
        <v>2144</v>
      </c>
      <c r="E432" s="79">
        <v>0</v>
      </c>
      <c r="H432" s="77" t="s">
        <v>2145</v>
      </c>
      <c r="I432" s="80"/>
      <c r="J432" s="85">
        <v>0</v>
      </c>
      <c r="K432" s="77" t="s">
        <v>1896</v>
      </c>
      <c r="L432" s="80"/>
      <c r="M432">
        <f t="shared" si="12"/>
        <v>0</v>
      </c>
      <c r="N432" s="78">
        <f t="shared" si="13"/>
        <v>427</v>
      </c>
    </row>
    <row r="433" spans="1:14" s="78" customFormat="1" hidden="1" x14ac:dyDescent="0.25">
      <c r="A433" s="77" t="s">
        <v>890</v>
      </c>
      <c r="B433" s="77" t="s">
        <v>1878</v>
      </c>
      <c r="C433" s="77" t="s">
        <v>5</v>
      </c>
      <c r="D433" s="78" t="s">
        <v>760</v>
      </c>
      <c r="E433" s="79">
        <v>0</v>
      </c>
      <c r="F433" s="78" t="s">
        <v>761</v>
      </c>
      <c r="G433" s="78" t="s">
        <v>762</v>
      </c>
      <c r="H433" s="78" t="s">
        <v>763</v>
      </c>
      <c r="I433" s="78">
        <v>1</v>
      </c>
      <c r="J433" s="79">
        <v>0.5</v>
      </c>
      <c r="K433" s="78" t="s">
        <v>1896</v>
      </c>
      <c r="M433">
        <f t="shared" si="12"/>
        <v>0</v>
      </c>
      <c r="N433" s="78">
        <f t="shared" si="13"/>
        <v>428</v>
      </c>
    </row>
    <row r="434" spans="1:14" s="78" customFormat="1" x14ac:dyDescent="0.25">
      <c r="A434" s="77" t="s">
        <v>890</v>
      </c>
      <c r="B434" s="77" t="s">
        <v>1878</v>
      </c>
      <c r="C434" s="77" t="s">
        <v>5</v>
      </c>
      <c r="D434" s="78" t="s">
        <v>1521</v>
      </c>
      <c r="E434" s="79">
        <f>FilterSpecs!$C$3</f>
        <v>5</v>
      </c>
      <c r="F434" s="78" t="s">
        <v>1522</v>
      </c>
      <c r="G434" s="78" t="s">
        <v>1523</v>
      </c>
      <c r="H434" s="78" t="s">
        <v>1524</v>
      </c>
      <c r="I434" s="78">
        <v>1</v>
      </c>
      <c r="J434" s="79">
        <v>1.5</v>
      </c>
      <c r="K434" s="78" t="s">
        <v>1896</v>
      </c>
      <c r="M434">
        <f t="shared" si="12"/>
        <v>7.5</v>
      </c>
      <c r="N434" s="78">
        <f t="shared" si="13"/>
        <v>429</v>
      </c>
    </row>
    <row r="435" spans="1:14" s="78" customFormat="1" x14ac:dyDescent="0.25">
      <c r="A435" s="77" t="s">
        <v>890</v>
      </c>
      <c r="B435" s="77" t="s">
        <v>1878</v>
      </c>
      <c r="C435" s="77" t="s">
        <v>5</v>
      </c>
      <c r="D435" s="78" t="s">
        <v>1525</v>
      </c>
      <c r="E435" s="79">
        <f>FilterSpecs!$C$3</f>
        <v>5</v>
      </c>
      <c r="F435" s="78" t="s">
        <v>1526</v>
      </c>
      <c r="G435" s="78" t="s">
        <v>1527</v>
      </c>
      <c r="H435" s="78" t="s">
        <v>1528</v>
      </c>
      <c r="I435" s="78">
        <v>1</v>
      </c>
      <c r="J435" s="79">
        <v>1.5</v>
      </c>
      <c r="K435" s="78" t="s">
        <v>1896</v>
      </c>
      <c r="M435">
        <f t="shared" si="12"/>
        <v>7.5</v>
      </c>
      <c r="N435" s="78">
        <f t="shared" si="13"/>
        <v>430</v>
      </c>
    </row>
    <row r="436" spans="1:14" s="78" customFormat="1" hidden="1" x14ac:dyDescent="0.25">
      <c r="A436" s="91" t="s">
        <v>890</v>
      </c>
      <c r="B436" s="91" t="s">
        <v>1878</v>
      </c>
      <c r="C436" s="91" t="s">
        <v>1884</v>
      </c>
      <c r="D436" s="91" t="s">
        <v>2455</v>
      </c>
      <c r="E436" s="92">
        <v>0</v>
      </c>
      <c r="F436" s="80"/>
      <c r="G436" s="80"/>
      <c r="H436" s="91" t="s">
        <v>2454</v>
      </c>
      <c r="I436" s="93">
        <v>116</v>
      </c>
      <c r="J436" s="92">
        <v>0.95</v>
      </c>
      <c r="K436" s="77" t="s">
        <v>1896</v>
      </c>
      <c r="L436" s="80"/>
      <c r="M436">
        <f t="shared" si="12"/>
        <v>0</v>
      </c>
      <c r="N436" s="78">
        <f t="shared" si="13"/>
        <v>431</v>
      </c>
    </row>
    <row r="437" spans="1:14" s="78" customFormat="1" hidden="1" x14ac:dyDescent="0.25">
      <c r="A437" s="77" t="s">
        <v>890</v>
      </c>
      <c r="B437" s="77" t="s">
        <v>1878</v>
      </c>
      <c r="C437" s="77" t="s">
        <v>5</v>
      </c>
      <c r="D437" s="78" t="s">
        <v>772</v>
      </c>
      <c r="E437" s="79">
        <v>0</v>
      </c>
      <c r="F437" s="78" t="s">
        <v>773</v>
      </c>
      <c r="G437" s="78" t="s">
        <v>774</v>
      </c>
      <c r="H437" s="78" t="s">
        <v>775</v>
      </c>
      <c r="I437" s="78">
        <v>1</v>
      </c>
      <c r="J437" s="79">
        <v>1</v>
      </c>
      <c r="K437" s="78" t="s">
        <v>1896</v>
      </c>
      <c r="M437">
        <f t="shared" si="12"/>
        <v>0</v>
      </c>
      <c r="N437" s="78">
        <f t="shared" si="13"/>
        <v>432</v>
      </c>
    </row>
    <row r="438" spans="1:14" s="78" customFormat="1" x14ac:dyDescent="0.25">
      <c r="A438" s="78" t="s">
        <v>890</v>
      </c>
      <c r="B438" s="78" t="s">
        <v>1878</v>
      </c>
      <c r="C438" s="78" t="s">
        <v>1884</v>
      </c>
      <c r="D438" s="78" t="s">
        <v>2140</v>
      </c>
      <c r="E438" s="79">
        <v>2</v>
      </c>
      <c r="H438" s="77" t="s">
        <v>2141</v>
      </c>
      <c r="I438" s="80"/>
      <c r="J438" s="85">
        <v>0.95</v>
      </c>
      <c r="K438" s="77" t="s">
        <v>1896</v>
      </c>
      <c r="L438" s="80"/>
      <c r="M438">
        <f t="shared" si="12"/>
        <v>1.9</v>
      </c>
      <c r="N438" s="78">
        <f t="shared" si="13"/>
        <v>433</v>
      </c>
    </row>
    <row r="439" spans="1:14" s="78" customFormat="1" x14ac:dyDescent="0.25">
      <c r="A439" s="78" t="s">
        <v>890</v>
      </c>
      <c r="B439" s="78" t="s">
        <v>1878</v>
      </c>
      <c r="C439" s="78" t="s">
        <v>1884</v>
      </c>
      <c r="D439" s="78" t="s">
        <v>2142</v>
      </c>
      <c r="E439" s="79">
        <v>1</v>
      </c>
      <c r="H439" s="77" t="s">
        <v>2143</v>
      </c>
      <c r="I439" s="80"/>
      <c r="J439" s="85">
        <v>3.95</v>
      </c>
      <c r="K439" s="77" t="s">
        <v>1896</v>
      </c>
      <c r="L439" s="80"/>
      <c r="M439">
        <f t="shared" si="12"/>
        <v>3.95</v>
      </c>
      <c r="N439" s="78">
        <f t="shared" si="13"/>
        <v>434</v>
      </c>
    </row>
    <row r="440" spans="1:14" s="78" customFormat="1" x14ac:dyDescent="0.25">
      <c r="A440" s="77" t="s">
        <v>890</v>
      </c>
      <c r="B440" s="77" t="s">
        <v>1876</v>
      </c>
      <c r="C440" s="77" t="s">
        <v>5</v>
      </c>
      <c r="D440" s="78" t="s">
        <v>816</v>
      </c>
      <c r="E440" s="79">
        <f>3*FilterSpecs!$C$3</f>
        <v>15</v>
      </c>
      <c r="F440" s="78" t="s">
        <v>817</v>
      </c>
      <c r="G440" s="78" t="s">
        <v>818</v>
      </c>
      <c r="H440" s="78" t="s">
        <v>819</v>
      </c>
      <c r="I440" s="78">
        <v>1</v>
      </c>
      <c r="J440" s="79">
        <v>1.95</v>
      </c>
      <c r="K440" s="78" t="s">
        <v>1896</v>
      </c>
      <c r="M440">
        <f t="shared" si="12"/>
        <v>29.25</v>
      </c>
      <c r="N440" s="78">
        <f t="shared" si="13"/>
        <v>435</v>
      </c>
    </row>
    <row r="441" spans="1:14" s="78" customFormat="1" hidden="1" x14ac:dyDescent="0.25">
      <c r="A441" s="77" t="s">
        <v>890</v>
      </c>
      <c r="B441" s="77" t="s">
        <v>1876</v>
      </c>
      <c r="C441" s="77" t="s">
        <v>5</v>
      </c>
      <c r="D441" s="78" t="s">
        <v>812</v>
      </c>
      <c r="E441" s="79">
        <v>0</v>
      </c>
      <c r="F441" s="78" t="s">
        <v>813</v>
      </c>
      <c r="G441" s="78" t="s">
        <v>814</v>
      </c>
      <c r="H441" s="78" t="s">
        <v>815</v>
      </c>
      <c r="I441" s="78">
        <v>1</v>
      </c>
      <c r="J441" s="79">
        <v>0.95</v>
      </c>
      <c r="K441" s="78" t="s">
        <v>1896</v>
      </c>
      <c r="M441">
        <f t="shared" si="12"/>
        <v>0</v>
      </c>
      <c r="N441" s="78">
        <f t="shared" si="13"/>
        <v>436</v>
      </c>
    </row>
    <row r="442" spans="1:14" s="10" customFormat="1" x14ac:dyDescent="0.25">
      <c r="A442" s="63" t="s">
        <v>890</v>
      </c>
      <c r="B442" s="63" t="s">
        <v>2002</v>
      </c>
      <c r="C442" s="63" t="s">
        <v>1884</v>
      </c>
      <c r="D442" s="63" t="s">
        <v>2180</v>
      </c>
      <c r="E442" s="64">
        <v>3</v>
      </c>
      <c r="H442" s="60" t="s">
        <v>2181</v>
      </c>
      <c r="I442"/>
      <c r="J442" s="70">
        <v>1.95</v>
      </c>
      <c r="K442" s="60" t="s">
        <v>1896</v>
      </c>
      <c r="L442"/>
      <c r="M442">
        <f t="shared" si="12"/>
        <v>5.85</v>
      </c>
      <c r="N442" s="10">
        <f t="shared" si="13"/>
        <v>437</v>
      </c>
    </row>
    <row r="443" spans="1:14" s="10" customFormat="1" x14ac:dyDescent="0.25">
      <c r="A443" s="63" t="s">
        <v>890</v>
      </c>
      <c r="B443" s="63" t="s">
        <v>2002</v>
      </c>
      <c r="C443" s="63" t="s">
        <v>1884</v>
      </c>
      <c r="D443" s="63" t="s">
        <v>2170</v>
      </c>
      <c r="E443" s="64">
        <v>1</v>
      </c>
      <c r="H443" s="60" t="s">
        <v>2171</v>
      </c>
      <c r="I443"/>
      <c r="J443" s="70">
        <v>3.95</v>
      </c>
      <c r="K443" s="60" t="s">
        <v>1896</v>
      </c>
      <c r="L443"/>
      <c r="M443">
        <f t="shared" si="12"/>
        <v>3.95</v>
      </c>
      <c r="N443" s="10">
        <f t="shared" si="13"/>
        <v>438</v>
      </c>
    </row>
    <row r="444" spans="1:14" s="10" customFormat="1" x14ac:dyDescent="0.25">
      <c r="A444" s="63" t="s">
        <v>890</v>
      </c>
      <c r="B444" s="63" t="s">
        <v>2002</v>
      </c>
      <c r="C444" s="63" t="s">
        <v>1884</v>
      </c>
      <c r="D444" s="63" t="s">
        <v>2178</v>
      </c>
      <c r="E444" s="64">
        <v>2</v>
      </c>
      <c r="H444" s="60" t="s">
        <v>2179</v>
      </c>
      <c r="I444"/>
      <c r="J444" s="70">
        <v>1.95</v>
      </c>
      <c r="K444" s="60" t="s">
        <v>1896</v>
      </c>
      <c r="L444"/>
      <c r="M444">
        <f t="shared" si="12"/>
        <v>3.9</v>
      </c>
      <c r="N444" s="10">
        <f t="shared" si="13"/>
        <v>439</v>
      </c>
    </row>
    <row r="445" spans="1:14" s="10" customFormat="1" x14ac:dyDescent="0.25">
      <c r="A445" s="63" t="s">
        <v>890</v>
      </c>
      <c r="B445" s="63" t="s">
        <v>2002</v>
      </c>
      <c r="C445" s="63" t="s">
        <v>1884</v>
      </c>
      <c r="D445" s="63" t="s">
        <v>2172</v>
      </c>
      <c r="E445" s="64">
        <v>1</v>
      </c>
      <c r="H445" s="60" t="s">
        <v>2173</v>
      </c>
      <c r="I445"/>
      <c r="J445" s="70">
        <v>2.95</v>
      </c>
      <c r="K445" s="60" t="s">
        <v>1896</v>
      </c>
      <c r="L445"/>
      <c r="M445">
        <f t="shared" si="12"/>
        <v>2.95</v>
      </c>
      <c r="N445" s="10">
        <f t="shared" si="13"/>
        <v>440</v>
      </c>
    </row>
    <row r="446" spans="1:14" s="10" customFormat="1" x14ac:dyDescent="0.25">
      <c r="A446" s="63" t="s">
        <v>890</v>
      </c>
      <c r="B446" s="63" t="s">
        <v>2002</v>
      </c>
      <c r="C446" s="63" t="s">
        <v>1884</v>
      </c>
      <c r="D446" s="63" t="s">
        <v>2174</v>
      </c>
      <c r="E446" s="64">
        <f>FilterSpecs!$C$3</f>
        <v>5</v>
      </c>
      <c r="H446" s="60" t="s">
        <v>2175</v>
      </c>
      <c r="I446"/>
      <c r="J446" s="70">
        <v>2.95</v>
      </c>
      <c r="K446" s="60" t="s">
        <v>1896</v>
      </c>
      <c r="L446"/>
      <c r="M446">
        <f t="shared" si="12"/>
        <v>14.75</v>
      </c>
      <c r="N446" s="10">
        <f t="shared" si="13"/>
        <v>441</v>
      </c>
    </row>
    <row r="447" spans="1:14" s="10" customFormat="1" x14ac:dyDescent="0.25">
      <c r="A447" s="63" t="s">
        <v>890</v>
      </c>
      <c r="B447" s="63" t="s">
        <v>2002</v>
      </c>
      <c r="C447" s="63" t="s">
        <v>1884</v>
      </c>
      <c r="D447" s="63" t="s">
        <v>2176</v>
      </c>
      <c r="E447" s="64">
        <f>FilterSpecs!$C$3</f>
        <v>5</v>
      </c>
      <c r="H447" s="60" t="s">
        <v>2177</v>
      </c>
      <c r="I447"/>
      <c r="J447" s="70">
        <v>3.95</v>
      </c>
      <c r="K447" s="60" t="s">
        <v>1896</v>
      </c>
      <c r="L447"/>
      <c r="M447">
        <f t="shared" si="12"/>
        <v>19.75</v>
      </c>
      <c r="N447" s="10">
        <f t="shared" si="13"/>
        <v>442</v>
      </c>
    </row>
    <row r="448" spans="1:14" s="10" customFormat="1" hidden="1" x14ac:dyDescent="0.25">
      <c r="A448" s="60" t="s">
        <v>890</v>
      </c>
      <c r="B448" s="60" t="s">
        <v>2408</v>
      </c>
      <c r="C448" s="60" t="s">
        <v>5</v>
      </c>
      <c r="D448" s="63" t="s">
        <v>588</v>
      </c>
      <c r="E448" s="64">
        <v>0</v>
      </c>
      <c r="F448" s="10" t="s">
        <v>589</v>
      </c>
      <c r="G448" s="10" t="s">
        <v>590</v>
      </c>
      <c r="H448" s="63" t="s">
        <v>591</v>
      </c>
      <c r="I448" s="10">
        <v>1</v>
      </c>
      <c r="J448" s="64">
        <v>0.95</v>
      </c>
      <c r="K448" s="63" t="s">
        <v>1896</v>
      </c>
      <c r="L448" s="10" t="s">
        <v>2373</v>
      </c>
      <c r="M448">
        <f t="shared" si="12"/>
        <v>0</v>
      </c>
      <c r="N448" s="10">
        <f t="shared" si="13"/>
        <v>443</v>
      </c>
    </row>
    <row r="449" spans="1:14" s="10" customFormat="1" hidden="1" x14ac:dyDescent="0.25">
      <c r="A449" s="60" t="s">
        <v>890</v>
      </c>
      <c r="B449" s="60" t="s">
        <v>2408</v>
      </c>
      <c r="C449" s="60" t="s">
        <v>5</v>
      </c>
      <c r="D449" s="63" t="s">
        <v>584</v>
      </c>
      <c r="E449" s="64">
        <v>0</v>
      </c>
      <c r="F449" s="10" t="s">
        <v>585</v>
      </c>
      <c r="G449" s="10" t="s">
        <v>586</v>
      </c>
      <c r="H449" s="63" t="s">
        <v>587</v>
      </c>
      <c r="I449" s="10">
        <v>1</v>
      </c>
      <c r="J449" s="64">
        <v>0.95</v>
      </c>
      <c r="K449" s="63" t="s">
        <v>1896</v>
      </c>
      <c r="L449" s="10" t="s">
        <v>2373</v>
      </c>
      <c r="M449">
        <f t="shared" si="12"/>
        <v>0</v>
      </c>
      <c r="N449" s="10">
        <f t="shared" si="13"/>
        <v>444</v>
      </c>
    </row>
    <row r="450" spans="1:14" s="10" customFormat="1" x14ac:dyDescent="0.25">
      <c r="A450" s="60" t="s">
        <v>890</v>
      </c>
      <c r="B450" s="60" t="s">
        <v>2408</v>
      </c>
      <c r="C450" s="60" t="s">
        <v>5</v>
      </c>
      <c r="D450" s="63" t="s">
        <v>504</v>
      </c>
      <c r="E450" s="64">
        <f>2*FilterSpecs!$C$3</f>
        <v>10</v>
      </c>
      <c r="F450" s="10" t="s">
        <v>505</v>
      </c>
      <c r="G450" s="10" t="s">
        <v>506</v>
      </c>
      <c r="H450" s="63" t="s">
        <v>507</v>
      </c>
      <c r="I450" s="10">
        <v>1</v>
      </c>
      <c r="J450" s="64">
        <v>0.95</v>
      </c>
      <c r="K450" s="63" t="s">
        <v>1897</v>
      </c>
      <c r="L450" s="10" t="s">
        <v>2373</v>
      </c>
      <c r="M450">
        <f t="shared" si="12"/>
        <v>9.5</v>
      </c>
      <c r="N450" s="10">
        <f t="shared" si="13"/>
        <v>445</v>
      </c>
    </row>
    <row r="451" spans="1:14" s="10" customFormat="1" x14ac:dyDescent="0.25">
      <c r="A451" s="60" t="s">
        <v>890</v>
      </c>
      <c r="B451" s="60" t="s">
        <v>2408</v>
      </c>
      <c r="C451" s="60" t="s">
        <v>5</v>
      </c>
      <c r="D451" s="63" t="s">
        <v>1340</v>
      </c>
      <c r="E451" s="64">
        <f>FilterSpecs!$C$3</f>
        <v>5</v>
      </c>
      <c r="F451" s="10" t="s">
        <v>1341</v>
      </c>
      <c r="G451" s="10" t="s">
        <v>1342</v>
      </c>
      <c r="H451" s="63" t="s">
        <v>1343</v>
      </c>
      <c r="I451" s="10">
        <v>1</v>
      </c>
      <c r="J451" s="64">
        <v>1.5</v>
      </c>
      <c r="K451" s="63" t="s">
        <v>1897</v>
      </c>
      <c r="L451" s="10" t="s">
        <v>2373</v>
      </c>
      <c r="M451">
        <f t="shared" si="12"/>
        <v>7.5</v>
      </c>
      <c r="N451" s="10">
        <f t="shared" si="13"/>
        <v>446</v>
      </c>
    </row>
    <row r="452" spans="1:14" s="10" customFormat="1" x14ac:dyDescent="0.25">
      <c r="A452" s="60" t="s">
        <v>890</v>
      </c>
      <c r="B452" s="60" t="s">
        <v>2408</v>
      </c>
      <c r="C452" s="60" t="s">
        <v>5</v>
      </c>
      <c r="D452" s="63" t="s">
        <v>478</v>
      </c>
      <c r="E452" s="64">
        <f>2*FilterSpecs!$C$3</f>
        <v>10</v>
      </c>
      <c r="F452" s="10" t="s">
        <v>479</v>
      </c>
      <c r="G452" s="10" t="s">
        <v>480</v>
      </c>
      <c r="H452" s="63" t="s">
        <v>481</v>
      </c>
      <c r="J452" s="64">
        <v>1.5</v>
      </c>
      <c r="K452" s="63" t="s">
        <v>1897</v>
      </c>
      <c r="L452" s="10" t="s">
        <v>2373</v>
      </c>
      <c r="M452">
        <f t="shared" si="12"/>
        <v>15</v>
      </c>
      <c r="N452" s="10">
        <f t="shared" si="13"/>
        <v>447</v>
      </c>
    </row>
    <row r="453" spans="1:14" s="10" customFormat="1" x14ac:dyDescent="0.25">
      <c r="A453" s="63" t="s">
        <v>890</v>
      </c>
      <c r="B453" s="63" t="s">
        <v>2408</v>
      </c>
      <c r="C453" s="63" t="s">
        <v>1884</v>
      </c>
      <c r="D453" s="63" t="s">
        <v>2184</v>
      </c>
      <c r="E453" s="64">
        <f>FilterSpecs!$C$3</f>
        <v>5</v>
      </c>
      <c r="H453" s="60" t="s">
        <v>2185</v>
      </c>
      <c r="I453"/>
      <c r="J453" s="70">
        <v>2.95</v>
      </c>
      <c r="K453" s="60" t="s">
        <v>1897</v>
      </c>
      <c r="L453" t="s">
        <v>2373</v>
      </c>
      <c r="M453">
        <f t="shared" si="12"/>
        <v>14.75</v>
      </c>
      <c r="N453" s="10">
        <f t="shared" si="13"/>
        <v>448</v>
      </c>
    </row>
    <row r="454" spans="1:14" s="10" customFormat="1" hidden="1" x14ac:dyDescent="0.25">
      <c r="A454" s="63" t="s">
        <v>890</v>
      </c>
      <c r="B454" s="63" t="s">
        <v>2408</v>
      </c>
      <c r="C454" s="63" t="s">
        <v>1884</v>
      </c>
      <c r="D454" s="63" t="s">
        <v>2186</v>
      </c>
      <c r="E454" s="64">
        <v>0</v>
      </c>
      <c r="H454" s="60" t="s">
        <v>2187</v>
      </c>
      <c r="I454"/>
      <c r="J454" s="70">
        <v>0.75</v>
      </c>
      <c r="K454" s="60" t="s">
        <v>1896</v>
      </c>
      <c r="L454" t="s">
        <v>2373</v>
      </c>
      <c r="M454">
        <f t="shared" ref="M454:M517" si="14">E454*J454</f>
        <v>0</v>
      </c>
      <c r="N454" s="10">
        <f t="shared" ref="N454:N517" si="15">IF($N453="List #",1,$N453+1)</f>
        <v>449</v>
      </c>
    </row>
    <row r="455" spans="1:14" s="10" customFormat="1" x14ac:dyDescent="0.25">
      <c r="A455" s="60" t="s">
        <v>890</v>
      </c>
      <c r="B455" s="60" t="s">
        <v>2409</v>
      </c>
      <c r="C455" s="60" t="s">
        <v>5</v>
      </c>
      <c r="D455" s="63" t="s">
        <v>1805</v>
      </c>
      <c r="E455" s="64">
        <f>FilterSpecs!$C$3</f>
        <v>5</v>
      </c>
      <c r="F455" s="10" t="s">
        <v>1806</v>
      </c>
      <c r="G455" s="10" t="s">
        <v>1807</v>
      </c>
      <c r="H455" s="63" t="s">
        <v>1808</v>
      </c>
      <c r="J455" s="64">
        <v>1.5</v>
      </c>
      <c r="K455" s="63" t="s">
        <v>1897</v>
      </c>
      <c r="L455" s="10" t="s">
        <v>2372</v>
      </c>
      <c r="M455">
        <f t="shared" si="14"/>
        <v>7.5</v>
      </c>
      <c r="N455" s="10">
        <f t="shared" si="15"/>
        <v>450</v>
      </c>
    </row>
    <row r="456" spans="1:14" s="10" customFormat="1" hidden="1" x14ac:dyDescent="0.25">
      <c r="A456" s="60" t="s">
        <v>890</v>
      </c>
      <c r="B456" s="60" t="s">
        <v>2409</v>
      </c>
      <c r="C456" s="60" t="s">
        <v>5</v>
      </c>
      <c r="D456" s="63" t="s">
        <v>1797</v>
      </c>
      <c r="E456" s="64">
        <v>0</v>
      </c>
      <c r="F456" s="10" t="s">
        <v>1798</v>
      </c>
      <c r="G456" s="10" t="s">
        <v>1799</v>
      </c>
      <c r="H456" s="63" t="s">
        <v>1800</v>
      </c>
      <c r="J456" s="64">
        <v>2.95</v>
      </c>
      <c r="K456" s="63" t="s">
        <v>1896</v>
      </c>
      <c r="L456" s="10" t="s">
        <v>2372</v>
      </c>
      <c r="M456">
        <f t="shared" si="14"/>
        <v>0</v>
      </c>
      <c r="N456" s="10">
        <f t="shared" si="15"/>
        <v>451</v>
      </c>
    </row>
    <row r="457" spans="1:14" s="10" customFormat="1" hidden="1" x14ac:dyDescent="0.25">
      <c r="A457" s="60" t="s">
        <v>890</v>
      </c>
      <c r="B457" s="60" t="s">
        <v>2409</v>
      </c>
      <c r="C457" s="60" t="s">
        <v>5</v>
      </c>
      <c r="D457" s="63" t="s">
        <v>1789</v>
      </c>
      <c r="E457" s="64">
        <v>0</v>
      </c>
      <c r="F457" s="10" t="s">
        <v>1790</v>
      </c>
      <c r="G457" s="10" t="s">
        <v>1791</v>
      </c>
      <c r="H457" s="63" t="s">
        <v>1792</v>
      </c>
      <c r="J457" s="64">
        <v>1.5</v>
      </c>
      <c r="K457" s="63" t="s">
        <v>1896</v>
      </c>
      <c r="L457" s="10" t="s">
        <v>2372</v>
      </c>
      <c r="M457">
        <f t="shared" si="14"/>
        <v>0</v>
      </c>
      <c r="N457" s="10">
        <f t="shared" si="15"/>
        <v>452</v>
      </c>
    </row>
    <row r="458" spans="1:14" s="10" customFormat="1" hidden="1" x14ac:dyDescent="0.25">
      <c r="A458" s="60" t="s">
        <v>890</v>
      </c>
      <c r="B458" s="60" t="s">
        <v>2409</v>
      </c>
      <c r="C458" s="60" t="s">
        <v>5</v>
      </c>
      <c r="D458" s="63" t="s">
        <v>1801</v>
      </c>
      <c r="E458" s="64">
        <v>0</v>
      </c>
      <c r="F458" s="10" t="s">
        <v>1802</v>
      </c>
      <c r="G458" s="10" t="s">
        <v>1803</v>
      </c>
      <c r="H458" s="63" t="s">
        <v>1804</v>
      </c>
      <c r="I458" s="10">
        <v>1</v>
      </c>
      <c r="J458" s="64">
        <v>2.95</v>
      </c>
      <c r="K458" s="63" t="s">
        <v>1896</v>
      </c>
      <c r="L458" s="10" t="s">
        <v>2372</v>
      </c>
      <c r="M458">
        <f t="shared" si="14"/>
        <v>0</v>
      </c>
      <c r="N458" s="10">
        <f t="shared" si="15"/>
        <v>453</v>
      </c>
    </row>
    <row r="459" spans="1:14" s="10" customFormat="1" hidden="1" x14ac:dyDescent="0.25">
      <c r="A459" s="60" t="s">
        <v>890</v>
      </c>
      <c r="B459" s="60" t="s">
        <v>2409</v>
      </c>
      <c r="C459" s="60" t="s">
        <v>5</v>
      </c>
      <c r="D459" s="63" t="s">
        <v>2404</v>
      </c>
      <c r="E459" s="64">
        <v>0</v>
      </c>
      <c r="F459" s="10" t="s">
        <v>2405</v>
      </c>
      <c r="G459" s="10" t="s">
        <v>2406</v>
      </c>
      <c r="H459" s="63" t="s">
        <v>2407</v>
      </c>
      <c r="I459" s="10">
        <v>1</v>
      </c>
      <c r="J459" s="64">
        <v>0.95</v>
      </c>
      <c r="K459" s="60" t="s">
        <v>1896</v>
      </c>
      <c r="L459" t="s">
        <v>2372</v>
      </c>
      <c r="M459">
        <f t="shared" si="14"/>
        <v>0</v>
      </c>
      <c r="N459" s="10">
        <f t="shared" si="15"/>
        <v>454</v>
      </c>
    </row>
    <row r="460" spans="1:14" s="10" customFormat="1" hidden="1" x14ac:dyDescent="0.25">
      <c r="A460" s="63" t="s">
        <v>890</v>
      </c>
      <c r="B460" s="63" t="s">
        <v>2410</v>
      </c>
      <c r="C460" s="63" t="s">
        <v>1884</v>
      </c>
      <c r="D460" s="63" t="s">
        <v>2182</v>
      </c>
      <c r="E460" s="64">
        <v>0</v>
      </c>
      <c r="H460" s="60" t="s">
        <v>2183</v>
      </c>
      <c r="I460"/>
      <c r="J460" s="70">
        <v>1.5</v>
      </c>
      <c r="K460" s="60" t="s">
        <v>1899</v>
      </c>
      <c r="L460" t="s">
        <v>2373</v>
      </c>
      <c r="M460">
        <f t="shared" si="14"/>
        <v>0</v>
      </c>
      <c r="N460" s="10">
        <f t="shared" si="15"/>
        <v>455</v>
      </c>
    </row>
    <row r="461" spans="1:14" s="10" customFormat="1" x14ac:dyDescent="0.25">
      <c r="A461" s="60" t="s">
        <v>890</v>
      </c>
      <c r="B461" s="60" t="s">
        <v>1597</v>
      </c>
      <c r="C461" s="60" t="s">
        <v>5</v>
      </c>
      <c r="D461" s="63" t="s">
        <v>512</v>
      </c>
      <c r="E461" s="64">
        <f>FilterSpecs!$C$3+1</f>
        <v>6</v>
      </c>
      <c r="F461" s="10" t="s">
        <v>513</v>
      </c>
      <c r="G461" s="10" t="s">
        <v>514</v>
      </c>
      <c r="H461" s="63" t="s">
        <v>515</v>
      </c>
      <c r="I461" s="10">
        <v>1</v>
      </c>
      <c r="J461" s="64">
        <v>1.5</v>
      </c>
      <c r="K461" s="63" t="s">
        <v>1897</v>
      </c>
      <c r="L461" s="10" t="s">
        <v>2373</v>
      </c>
      <c r="M461">
        <f t="shared" si="14"/>
        <v>9</v>
      </c>
      <c r="N461" s="10">
        <f t="shared" si="15"/>
        <v>456</v>
      </c>
    </row>
    <row r="462" spans="1:14" s="10" customFormat="1" hidden="1" x14ac:dyDescent="0.25">
      <c r="A462" s="60" t="s">
        <v>890</v>
      </c>
      <c r="B462" s="60" t="s">
        <v>1597</v>
      </c>
      <c r="C462" s="60" t="s">
        <v>5</v>
      </c>
      <c r="D462" s="63" t="s">
        <v>576</v>
      </c>
      <c r="E462" s="64">
        <v>0</v>
      </c>
      <c r="F462" s="10" t="s">
        <v>577</v>
      </c>
      <c r="G462" s="10" t="s">
        <v>578</v>
      </c>
      <c r="H462" s="63" t="s">
        <v>579</v>
      </c>
      <c r="I462" s="10">
        <v>1</v>
      </c>
      <c r="J462" s="64">
        <v>1.5</v>
      </c>
      <c r="K462" s="63" t="s">
        <v>1896</v>
      </c>
      <c r="L462" s="10" t="s">
        <v>2373</v>
      </c>
      <c r="M462">
        <f t="shared" si="14"/>
        <v>0</v>
      </c>
      <c r="N462" s="10">
        <f t="shared" si="15"/>
        <v>457</v>
      </c>
    </row>
    <row r="463" spans="1:14" s="10" customFormat="1" hidden="1" x14ac:dyDescent="0.25">
      <c r="A463" s="60" t="s">
        <v>890</v>
      </c>
      <c r="B463" s="60" t="s">
        <v>1597</v>
      </c>
      <c r="C463" s="60" t="s">
        <v>5</v>
      </c>
      <c r="D463" s="63" t="s">
        <v>1737</v>
      </c>
      <c r="E463" s="64">
        <v>0</v>
      </c>
      <c r="F463" s="10" t="s">
        <v>1738</v>
      </c>
      <c r="G463" s="10" t="s">
        <v>1739</v>
      </c>
      <c r="H463" s="63" t="s">
        <v>1740</v>
      </c>
      <c r="I463" s="10">
        <v>1</v>
      </c>
      <c r="J463" s="64">
        <v>1.5</v>
      </c>
      <c r="K463" s="63" t="s">
        <v>1896</v>
      </c>
      <c r="L463" s="10" t="s">
        <v>2373</v>
      </c>
      <c r="M463">
        <f t="shared" si="14"/>
        <v>0</v>
      </c>
      <c r="N463" s="10">
        <f t="shared" si="15"/>
        <v>458</v>
      </c>
    </row>
    <row r="464" spans="1:14" s="10" customFormat="1" hidden="1" x14ac:dyDescent="0.25">
      <c r="A464" s="86" t="s">
        <v>890</v>
      </c>
      <c r="B464" s="86" t="s">
        <v>1597</v>
      </c>
      <c r="C464" s="86" t="s">
        <v>1884</v>
      </c>
      <c r="D464" s="86" t="s">
        <v>2437</v>
      </c>
      <c r="E464" s="88">
        <v>0</v>
      </c>
      <c r="F464"/>
      <c r="G464"/>
      <c r="H464" s="86" t="s">
        <v>2436</v>
      </c>
      <c r="I464" s="87">
        <v>107</v>
      </c>
      <c r="J464" s="88">
        <v>1.95</v>
      </c>
      <c r="K464" s="30" t="s">
        <v>1896</v>
      </c>
      <c r="L464"/>
      <c r="M464">
        <f t="shared" si="14"/>
        <v>0</v>
      </c>
      <c r="N464" s="10">
        <f t="shared" si="15"/>
        <v>459</v>
      </c>
    </row>
    <row r="465" spans="1:14" s="10" customFormat="1" hidden="1" x14ac:dyDescent="0.25">
      <c r="A465" s="86" t="s">
        <v>890</v>
      </c>
      <c r="B465" s="86" t="s">
        <v>2410</v>
      </c>
      <c r="C465" s="86" t="s">
        <v>1884</v>
      </c>
      <c r="D465" s="86" t="s">
        <v>2424</v>
      </c>
      <c r="E465" s="88">
        <v>0</v>
      </c>
      <c r="F465"/>
      <c r="G465"/>
      <c r="H465" s="86" t="s">
        <v>2423</v>
      </c>
      <c r="I465" s="87">
        <v>100</v>
      </c>
      <c r="J465" s="88">
        <v>0.75</v>
      </c>
      <c r="K465" s="30" t="s">
        <v>1896</v>
      </c>
      <c r="L465"/>
      <c r="M465">
        <f t="shared" si="14"/>
        <v>0</v>
      </c>
      <c r="N465" s="10">
        <f t="shared" si="15"/>
        <v>460</v>
      </c>
    </row>
    <row r="466" spans="1:14" s="10" customFormat="1" hidden="1" x14ac:dyDescent="0.25">
      <c r="A466" s="86" t="s">
        <v>890</v>
      </c>
      <c r="B466" s="86" t="s">
        <v>2408</v>
      </c>
      <c r="C466" s="86" t="s">
        <v>1884</v>
      </c>
      <c r="D466" s="86" t="s">
        <v>2426</v>
      </c>
      <c r="E466" s="88">
        <v>0</v>
      </c>
      <c r="F466"/>
      <c r="G466"/>
      <c r="H466" s="86" t="s">
        <v>2425</v>
      </c>
      <c r="I466" s="87">
        <v>101</v>
      </c>
      <c r="J466" s="88">
        <v>0.75</v>
      </c>
      <c r="K466" s="30" t="s">
        <v>1896</v>
      </c>
      <c r="L466"/>
      <c r="M466">
        <f t="shared" si="14"/>
        <v>0</v>
      </c>
      <c r="N466" s="10">
        <f t="shared" si="15"/>
        <v>461</v>
      </c>
    </row>
    <row r="467" spans="1:14" s="10" customFormat="1" hidden="1" x14ac:dyDescent="0.25">
      <c r="A467" s="86" t="s">
        <v>890</v>
      </c>
      <c r="B467" s="86" t="s">
        <v>2408</v>
      </c>
      <c r="C467" s="86" t="s">
        <v>1884</v>
      </c>
      <c r="D467" s="86" t="s">
        <v>2121</v>
      </c>
      <c r="E467" s="88">
        <v>0</v>
      </c>
      <c r="F467"/>
      <c r="G467"/>
      <c r="H467" s="86" t="s">
        <v>2427</v>
      </c>
      <c r="I467" s="87">
        <v>102</v>
      </c>
      <c r="J467" s="88">
        <v>0.75</v>
      </c>
      <c r="K467" s="30" t="s">
        <v>1896</v>
      </c>
      <c r="L467"/>
      <c r="M467">
        <f t="shared" si="14"/>
        <v>0</v>
      </c>
      <c r="N467" s="10">
        <f t="shared" si="15"/>
        <v>462</v>
      </c>
    </row>
    <row r="468" spans="1:14" s="10" customFormat="1" x14ac:dyDescent="0.25">
      <c r="A468" s="60" t="s">
        <v>890</v>
      </c>
      <c r="B468" s="60" t="s">
        <v>1869</v>
      </c>
      <c r="C468" s="60" t="s">
        <v>5</v>
      </c>
      <c r="D468" s="63" t="s">
        <v>1741</v>
      </c>
      <c r="E468" s="64">
        <f>2*FilterSpecs!$C$3</f>
        <v>10</v>
      </c>
      <c r="F468" s="10" t="s">
        <v>1742</v>
      </c>
      <c r="G468" s="10" t="s">
        <v>1743</v>
      </c>
      <c r="H468" s="63" t="s">
        <v>1744</v>
      </c>
      <c r="J468" s="64">
        <v>0.95</v>
      </c>
      <c r="K468" s="63" t="s">
        <v>1896</v>
      </c>
      <c r="M468">
        <f t="shared" si="14"/>
        <v>9.5</v>
      </c>
      <c r="N468" s="10">
        <f t="shared" si="15"/>
        <v>463</v>
      </c>
    </row>
    <row r="469" spans="1:14" s="10" customFormat="1" x14ac:dyDescent="0.25">
      <c r="A469" s="60" t="s">
        <v>890</v>
      </c>
      <c r="B469" s="60" t="s">
        <v>1869</v>
      </c>
      <c r="C469" s="60" t="s">
        <v>5</v>
      </c>
      <c r="D469" s="63" t="s">
        <v>1753</v>
      </c>
      <c r="E469" s="64">
        <f>2*FilterSpecs!$C$3</f>
        <v>10</v>
      </c>
      <c r="F469" s="10" t="s">
        <v>1754</v>
      </c>
      <c r="G469" s="10" t="s">
        <v>1755</v>
      </c>
      <c r="H469" s="63" t="s">
        <v>1756</v>
      </c>
      <c r="I469" s="10">
        <v>1</v>
      </c>
      <c r="J469" s="64">
        <v>1.95</v>
      </c>
      <c r="K469" s="63" t="s">
        <v>1896</v>
      </c>
      <c r="M469">
        <f t="shared" si="14"/>
        <v>19.5</v>
      </c>
      <c r="N469" s="10">
        <f t="shared" si="15"/>
        <v>464</v>
      </c>
    </row>
    <row r="470" spans="1:14" s="10" customFormat="1" hidden="1" x14ac:dyDescent="0.25">
      <c r="A470" s="60" t="s">
        <v>890</v>
      </c>
      <c r="B470" s="60" t="s">
        <v>1594</v>
      </c>
      <c r="C470" s="60" t="s">
        <v>5</v>
      </c>
      <c r="D470" s="63" t="s">
        <v>462</v>
      </c>
      <c r="E470" s="64">
        <v>0</v>
      </c>
      <c r="F470" s="10" t="s">
        <v>463</v>
      </c>
      <c r="G470" s="10" t="s">
        <v>464</v>
      </c>
      <c r="H470" s="63" t="s">
        <v>465</v>
      </c>
      <c r="I470" s="10">
        <v>1</v>
      </c>
      <c r="J470" s="64">
        <v>1.5</v>
      </c>
      <c r="K470" s="63" t="s">
        <v>1896</v>
      </c>
      <c r="M470">
        <f t="shared" si="14"/>
        <v>0</v>
      </c>
      <c r="N470" s="10">
        <f t="shared" si="15"/>
        <v>465</v>
      </c>
    </row>
    <row r="471" spans="1:14" s="10" customFormat="1" hidden="1" x14ac:dyDescent="0.25">
      <c r="A471" s="60" t="s">
        <v>890</v>
      </c>
      <c r="B471" s="60" t="s">
        <v>1594</v>
      </c>
      <c r="C471" s="60" t="s">
        <v>5</v>
      </c>
      <c r="D471" s="63" t="s">
        <v>458</v>
      </c>
      <c r="E471" s="64">
        <v>0</v>
      </c>
      <c r="F471" s="10" t="s">
        <v>459</v>
      </c>
      <c r="G471" s="10" t="s">
        <v>460</v>
      </c>
      <c r="H471" s="63" t="s">
        <v>461</v>
      </c>
      <c r="I471" s="10">
        <v>1</v>
      </c>
      <c r="J471" s="64">
        <v>0.95</v>
      </c>
      <c r="K471" s="63" t="s">
        <v>1896</v>
      </c>
      <c r="M471">
        <f t="shared" si="14"/>
        <v>0</v>
      </c>
      <c r="N471" s="10">
        <f t="shared" si="15"/>
        <v>466</v>
      </c>
    </row>
    <row r="472" spans="1:14" s="10" customFormat="1" hidden="1" x14ac:dyDescent="0.25">
      <c r="A472" s="60" t="s">
        <v>890</v>
      </c>
      <c r="B472" s="60" t="s">
        <v>1594</v>
      </c>
      <c r="C472" s="60" t="s">
        <v>5</v>
      </c>
      <c r="D472" s="63" t="s">
        <v>580</v>
      </c>
      <c r="E472" s="64">
        <v>0</v>
      </c>
      <c r="F472" s="10" t="s">
        <v>581</v>
      </c>
      <c r="G472" s="10" t="s">
        <v>582</v>
      </c>
      <c r="H472" s="63" t="s">
        <v>583</v>
      </c>
      <c r="J472" s="64">
        <v>1.5</v>
      </c>
      <c r="K472" s="63" t="s">
        <v>1896</v>
      </c>
      <c r="M472">
        <f t="shared" si="14"/>
        <v>0</v>
      </c>
      <c r="N472" s="10">
        <f t="shared" si="15"/>
        <v>467</v>
      </c>
    </row>
    <row r="473" spans="1:14" s="10" customFormat="1" hidden="1" x14ac:dyDescent="0.25">
      <c r="A473" s="60" t="s">
        <v>890</v>
      </c>
      <c r="B473" s="60" t="s">
        <v>1594</v>
      </c>
      <c r="C473" s="60" t="s">
        <v>5</v>
      </c>
      <c r="D473" s="63" t="s">
        <v>568</v>
      </c>
      <c r="E473" s="64">
        <v>0</v>
      </c>
      <c r="F473" s="10" t="s">
        <v>569</v>
      </c>
      <c r="G473" s="10" t="s">
        <v>570</v>
      </c>
      <c r="H473" s="63" t="s">
        <v>571</v>
      </c>
      <c r="J473" s="64">
        <v>1.95</v>
      </c>
      <c r="K473" s="63" t="s">
        <v>1896</v>
      </c>
      <c r="M473">
        <f t="shared" si="14"/>
        <v>0</v>
      </c>
      <c r="N473" s="10">
        <f t="shared" si="15"/>
        <v>468</v>
      </c>
    </row>
    <row r="474" spans="1:14" s="10" customFormat="1" hidden="1" x14ac:dyDescent="0.25">
      <c r="A474" s="60" t="s">
        <v>890</v>
      </c>
      <c r="B474" s="60" t="s">
        <v>1594</v>
      </c>
      <c r="C474" s="60" t="s">
        <v>5</v>
      </c>
      <c r="D474" s="63" t="s">
        <v>532</v>
      </c>
      <c r="E474" s="64">
        <v>0</v>
      </c>
      <c r="F474" s="10" t="s">
        <v>533</v>
      </c>
      <c r="G474" s="10" t="s">
        <v>534</v>
      </c>
      <c r="H474" s="63" t="s">
        <v>535</v>
      </c>
      <c r="I474" s="10">
        <v>1</v>
      </c>
      <c r="J474" s="64">
        <v>1.5</v>
      </c>
      <c r="K474" s="63" t="s">
        <v>1896</v>
      </c>
      <c r="M474">
        <f t="shared" si="14"/>
        <v>0</v>
      </c>
      <c r="N474" s="10">
        <f t="shared" si="15"/>
        <v>469</v>
      </c>
    </row>
    <row r="475" spans="1:14" s="10" customFormat="1" hidden="1" x14ac:dyDescent="0.25">
      <c r="A475" s="60" t="s">
        <v>890</v>
      </c>
      <c r="B475" s="60" t="s">
        <v>1594</v>
      </c>
      <c r="C475" s="60" t="s">
        <v>5</v>
      </c>
      <c r="D475" s="63" t="s">
        <v>492</v>
      </c>
      <c r="E475" s="64">
        <v>0</v>
      </c>
      <c r="F475" s="10" t="s">
        <v>493</v>
      </c>
      <c r="G475" s="10" t="s">
        <v>494</v>
      </c>
      <c r="H475" s="63" t="s">
        <v>495</v>
      </c>
      <c r="J475" s="64">
        <v>1.5</v>
      </c>
      <c r="K475" s="63" t="s">
        <v>1896</v>
      </c>
      <c r="M475">
        <f t="shared" si="14"/>
        <v>0</v>
      </c>
      <c r="N475" s="10">
        <f t="shared" si="15"/>
        <v>470</v>
      </c>
    </row>
    <row r="476" spans="1:14" s="10" customFormat="1" hidden="1" x14ac:dyDescent="0.25">
      <c r="A476" s="60" t="s">
        <v>890</v>
      </c>
      <c r="B476" s="60" t="s">
        <v>1594</v>
      </c>
      <c r="C476" s="60" t="s">
        <v>5</v>
      </c>
      <c r="D476" s="63" t="s">
        <v>528</v>
      </c>
      <c r="E476" s="64">
        <v>0</v>
      </c>
      <c r="F476" s="10" t="s">
        <v>529</v>
      </c>
      <c r="G476" s="10" t="s">
        <v>530</v>
      </c>
      <c r="H476" s="63" t="s">
        <v>531</v>
      </c>
      <c r="J476" s="64">
        <v>1.5</v>
      </c>
      <c r="K476" s="63" t="s">
        <v>1896</v>
      </c>
      <c r="M476">
        <f t="shared" si="14"/>
        <v>0</v>
      </c>
      <c r="N476" s="10">
        <f t="shared" si="15"/>
        <v>471</v>
      </c>
    </row>
    <row r="477" spans="1:14" s="10" customFormat="1" hidden="1" x14ac:dyDescent="0.25">
      <c r="A477" s="60" t="s">
        <v>890</v>
      </c>
      <c r="B477" s="60" t="s">
        <v>1594</v>
      </c>
      <c r="C477" s="60" t="s">
        <v>5</v>
      </c>
      <c r="D477" s="63" t="s">
        <v>496</v>
      </c>
      <c r="E477" s="64">
        <v>0</v>
      </c>
      <c r="F477" s="10" t="s">
        <v>497</v>
      </c>
      <c r="G477" s="10" t="s">
        <v>498</v>
      </c>
      <c r="H477" s="63" t="s">
        <v>499</v>
      </c>
      <c r="J477" s="64">
        <v>1.95</v>
      </c>
      <c r="K477" s="63" t="s">
        <v>1896</v>
      </c>
      <c r="M477">
        <f t="shared" si="14"/>
        <v>0</v>
      </c>
      <c r="N477" s="10">
        <f t="shared" si="15"/>
        <v>472</v>
      </c>
    </row>
    <row r="478" spans="1:14" s="10" customFormat="1" hidden="1" x14ac:dyDescent="0.25">
      <c r="A478" s="60" t="s">
        <v>890</v>
      </c>
      <c r="B478" s="60" t="s">
        <v>1594</v>
      </c>
      <c r="C478" s="60" t="s">
        <v>5</v>
      </c>
      <c r="D478" s="63" t="s">
        <v>500</v>
      </c>
      <c r="E478" s="64">
        <v>0</v>
      </c>
      <c r="F478" s="10" t="s">
        <v>501</v>
      </c>
      <c r="G478" s="10" t="s">
        <v>502</v>
      </c>
      <c r="H478" s="63" t="s">
        <v>503</v>
      </c>
      <c r="J478" s="64">
        <v>1.5</v>
      </c>
      <c r="K478" s="63" t="s">
        <v>1896</v>
      </c>
      <c r="M478">
        <f t="shared" si="14"/>
        <v>0</v>
      </c>
      <c r="N478" s="10">
        <f t="shared" si="15"/>
        <v>473</v>
      </c>
    </row>
    <row r="479" spans="1:14" s="10" customFormat="1" hidden="1" x14ac:dyDescent="0.25">
      <c r="A479" s="60" t="s">
        <v>890</v>
      </c>
      <c r="B479" s="60" t="s">
        <v>1594</v>
      </c>
      <c r="C479" s="60" t="s">
        <v>5</v>
      </c>
      <c r="D479" s="63" t="s">
        <v>540</v>
      </c>
      <c r="E479" s="64">
        <v>0</v>
      </c>
      <c r="F479" s="10" t="s">
        <v>541</v>
      </c>
      <c r="G479" s="10" t="s">
        <v>542</v>
      </c>
      <c r="H479" s="63" t="s">
        <v>543</v>
      </c>
      <c r="I479" s="10">
        <v>1</v>
      </c>
      <c r="J479" s="64">
        <v>1.95</v>
      </c>
      <c r="K479" s="63" t="s">
        <v>1896</v>
      </c>
      <c r="M479">
        <f t="shared" si="14"/>
        <v>0</v>
      </c>
      <c r="N479" s="10">
        <f t="shared" si="15"/>
        <v>474</v>
      </c>
    </row>
    <row r="480" spans="1:14" s="10" customFormat="1" hidden="1" x14ac:dyDescent="0.25">
      <c r="A480" s="60" t="s">
        <v>890</v>
      </c>
      <c r="B480" s="60" t="s">
        <v>1594</v>
      </c>
      <c r="C480" s="60" t="s">
        <v>5</v>
      </c>
      <c r="D480" s="63" t="s">
        <v>544</v>
      </c>
      <c r="E480" s="64">
        <v>0</v>
      </c>
      <c r="F480" s="10" t="s">
        <v>545</v>
      </c>
      <c r="G480" s="10" t="s">
        <v>546</v>
      </c>
      <c r="H480" s="63" t="s">
        <v>547</v>
      </c>
      <c r="I480" s="10">
        <v>1</v>
      </c>
      <c r="J480" s="64">
        <v>4.95</v>
      </c>
      <c r="K480" s="63" t="s">
        <v>1896</v>
      </c>
      <c r="M480">
        <f t="shared" si="14"/>
        <v>0</v>
      </c>
      <c r="N480" s="10">
        <f t="shared" si="15"/>
        <v>475</v>
      </c>
    </row>
    <row r="481" spans="1:14" s="10" customFormat="1" hidden="1" x14ac:dyDescent="0.25">
      <c r="A481" s="60" t="s">
        <v>890</v>
      </c>
      <c r="B481" s="60" t="s">
        <v>1594</v>
      </c>
      <c r="C481" s="60" t="s">
        <v>5</v>
      </c>
      <c r="D481" s="63" t="s">
        <v>592</v>
      </c>
      <c r="E481" s="64">
        <v>0</v>
      </c>
      <c r="F481" s="10" t="s">
        <v>593</v>
      </c>
      <c r="G481" s="10" t="s">
        <v>594</v>
      </c>
      <c r="H481" s="63" t="s">
        <v>595</v>
      </c>
      <c r="I481" s="10">
        <v>1</v>
      </c>
      <c r="J481" s="64">
        <v>4.5</v>
      </c>
      <c r="K481" s="63" t="s">
        <v>1896</v>
      </c>
      <c r="M481">
        <f t="shared" si="14"/>
        <v>0</v>
      </c>
      <c r="N481" s="10">
        <f t="shared" si="15"/>
        <v>476</v>
      </c>
    </row>
    <row r="482" spans="1:14" s="10" customFormat="1" hidden="1" x14ac:dyDescent="0.25">
      <c r="A482" s="60" t="s">
        <v>890</v>
      </c>
      <c r="B482" s="60" t="s">
        <v>1594</v>
      </c>
      <c r="C482" s="60" t="s">
        <v>5</v>
      </c>
      <c r="D482" s="63" t="s">
        <v>552</v>
      </c>
      <c r="E482" s="64">
        <v>0</v>
      </c>
      <c r="F482" s="10" t="s">
        <v>553</v>
      </c>
      <c r="G482" s="10" t="s">
        <v>554</v>
      </c>
      <c r="H482" s="63" t="s">
        <v>555</v>
      </c>
      <c r="I482" s="10">
        <v>1</v>
      </c>
      <c r="J482" s="64">
        <v>3.95</v>
      </c>
      <c r="K482" s="63" t="s">
        <v>1896</v>
      </c>
      <c r="M482">
        <f t="shared" si="14"/>
        <v>0</v>
      </c>
      <c r="N482" s="10">
        <f t="shared" si="15"/>
        <v>477</v>
      </c>
    </row>
    <row r="483" spans="1:14" s="10" customFormat="1" hidden="1" x14ac:dyDescent="0.25">
      <c r="A483" s="60" t="s">
        <v>890</v>
      </c>
      <c r="B483" s="60" t="s">
        <v>1594</v>
      </c>
      <c r="C483" s="60" t="s">
        <v>5</v>
      </c>
      <c r="D483" s="63" t="s">
        <v>560</v>
      </c>
      <c r="E483" s="64">
        <v>0</v>
      </c>
      <c r="F483" s="10" t="s">
        <v>561</v>
      </c>
      <c r="G483" s="10" t="s">
        <v>562</v>
      </c>
      <c r="H483" s="63" t="s">
        <v>563</v>
      </c>
      <c r="I483" s="10">
        <v>1</v>
      </c>
      <c r="J483" s="64">
        <v>4.5</v>
      </c>
      <c r="K483" s="63" t="s">
        <v>1896</v>
      </c>
      <c r="M483">
        <f t="shared" si="14"/>
        <v>0</v>
      </c>
      <c r="N483" s="10">
        <f t="shared" si="15"/>
        <v>478</v>
      </c>
    </row>
    <row r="484" spans="1:14" s="10" customFormat="1" hidden="1" x14ac:dyDescent="0.25">
      <c r="A484" s="60" t="s">
        <v>890</v>
      </c>
      <c r="B484" s="60" t="s">
        <v>1594</v>
      </c>
      <c r="C484" s="60" t="s">
        <v>5</v>
      </c>
      <c r="D484" s="63" t="s">
        <v>536</v>
      </c>
      <c r="E484" s="64">
        <v>0</v>
      </c>
      <c r="F484" s="10" t="s">
        <v>537</v>
      </c>
      <c r="G484" s="10" t="s">
        <v>538</v>
      </c>
      <c r="H484" s="63" t="s">
        <v>539</v>
      </c>
      <c r="I484" s="10">
        <v>1</v>
      </c>
      <c r="J484" s="64">
        <v>1.95</v>
      </c>
      <c r="K484" s="63" t="s">
        <v>1896</v>
      </c>
      <c r="M484">
        <f t="shared" si="14"/>
        <v>0</v>
      </c>
      <c r="N484" s="10">
        <f t="shared" si="15"/>
        <v>479</v>
      </c>
    </row>
    <row r="485" spans="1:14" s="10" customFormat="1" hidden="1" x14ac:dyDescent="0.25">
      <c r="A485" s="60" t="s">
        <v>890</v>
      </c>
      <c r="B485" s="60" t="s">
        <v>1594</v>
      </c>
      <c r="C485" s="60" t="s">
        <v>5</v>
      </c>
      <c r="D485" s="63" t="s">
        <v>1339</v>
      </c>
      <c r="E485" s="64">
        <v>0</v>
      </c>
      <c r="F485" s="10" t="s">
        <v>545</v>
      </c>
      <c r="G485" s="10" t="s">
        <v>546</v>
      </c>
      <c r="H485" s="63" t="s">
        <v>1338</v>
      </c>
      <c r="I485" s="10">
        <v>1</v>
      </c>
      <c r="J485" s="64">
        <v>4.95</v>
      </c>
      <c r="K485" s="63" t="s">
        <v>1896</v>
      </c>
      <c r="M485">
        <f t="shared" si="14"/>
        <v>0</v>
      </c>
      <c r="N485" s="10">
        <f t="shared" si="15"/>
        <v>480</v>
      </c>
    </row>
    <row r="486" spans="1:14" s="10" customFormat="1" hidden="1" x14ac:dyDescent="0.25">
      <c r="A486" s="60" t="s">
        <v>890</v>
      </c>
      <c r="B486" s="60" t="s">
        <v>1594</v>
      </c>
      <c r="C486" s="60" t="s">
        <v>5</v>
      </c>
      <c r="D486" s="63" t="s">
        <v>556</v>
      </c>
      <c r="E486" s="64">
        <v>0</v>
      </c>
      <c r="F486" s="10" t="s">
        <v>557</v>
      </c>
      <c r="G486" s="10" t="s">
        <v>558</v>
      </c>
      <c r="H486" s="63" t="s">
        <v>559</v>
      </c>
      <c r="I486" s="10">
        <v>1</v>
      </c>
      <c r="J486" s="64">
        <v>3.95</v>
      </c>
      <c r="K486" s="63" t="s">
        <v>1896</v>
      </c>
      <c r="M486">
        <f t="shared" si="14"/>
        <v>0</v>
      </c>
      <c r="N486" s="10">
        <f t="shared" si="15"/>
        <v>481</v>
      </c>
    </row>
    <row r="487" spans="1:14" s="10" customFormat="1" hidden="1" x14ac:dyDescent="0.25">
      <c r="A487" s="60" t="s">
        <v>890</v>
      </c>
      <c r="B487" s="60" t="s">
        <v>1594</v>
      </c>
      <c r="C487" s="60" t="s">
        <v>5</v>
      </c>
      <c r="D487" s="63" t="s">
        <v>548</v>
      </c>
      <c r="E487" s="64">
        <v>0</v>
      </c>
      <c r="F487" s="10" t="s">
        <v>549</v>
      </c>
      <c r="G487" s="10" t="s">
        <v>550</v>
      </c>
      <c r="H487" s="63" t="s">
        <v>551</v>
      </c>
      <c r="I487" s="10">
        <v>1</v>
      </c>
      <c r="J487" s="64">
        <v>1.95</v>
      </c>
      <c r="K487" s="63" t="s">
        <v>1896</v>
      </c>
      <c r="M487">
        <f t="shared" si="14"/>
        <v>0</v>
      </c>
      <c r="N487" s="10">
        <f t="shared" si="15"/>
        <v>482</v>
      </c>
    </row>
    <row r="488" spans="1:14" s="78" customFormat="1" x14ac:dyDescent="0.25">
      <c r="A488" s="77" t="s">
        <v>890</v>
      </c>
      <c r="B488" s="77" t="s">
        <v>1004</v>
      </c>
      <c r="C488" s="77" t="s">
        <v>5</v>
      </c>
      <c r="D488" s="78" t="s">
        <v>364</v>
      </c>
      <c r="E488" s="79">
        <v>1</v>
      </c>
      <c r="F488" s="78" t="s">
        <v>365</v>
      </c>
      <c r="G488" s="78" t="s">
        <v>366</v>
      </c>
      <c r="H488" s="78" t="s">
        <v>367</v>
      </c>
      <c r="I488" s="78">
        <v>1</v>
      </c>
      <c r="J488" s="79">
        <v>7.95</v>
      </c>
      <c r="K488" s="78" t="s">
        <v>1896</v>
      </c>
      <c r="M488">
        <f t="shared" si="14"/>
        <v>7.95</v>
      </c>
      <c r="N488" s="78">
        <f t="shared" si="15"/>
        <v>483</v>
      </c>
    </row>
    <row r="489" spans="1:14" s="78" customFormat="1" x14ac:dyDescent="0.25">
      <c r="A489" s="77" t="s">
        <v>890</v>
      </c>
      <c r="B489" s="77" t="s">
        <v>1004</v>
      </c>
      <c r="C489" s="77" t="s">
        <v>5</v>
      </c>
      <c r="D489" s="78" t="s">
        <v>430</v>
      </c>
      <c r="E489" s="79">
        <f>FilterSpecs!$C$3</f>
        <v>5</v>
      </c>
      <c r="F489" s="78" t="s">
        <v>431</v>
      </c>
      <c r="G489" s="78" t="s">
        <v>432</v>
      </c>
      <c r="H489" s="78" t="s">
        <v>433</v>
      </c>
      <c r="I489" s="78">
        <v>1</v>
      </c>
      <c r="J489" s="79">
        <v>0.5</v>
      </c>
      <c r="K489" s="78" t="s">
        <v>1896</v>
      </c>
      <c r="M489">
        <f t="shared" si="14"/>
        <v>2.5</v>
      </c>
      <c r="N489" s="78">
        <f t="shared" si="15"/>
        <v>484</v>
      </c>
    </row>
    <row r="490" spans="1:14" s="78" customFormat="1" x14ac:dyDescent="0.25">
      <c r="A490" s="77" t="s">
        <v>890</v>
      </c>
      <c r="B490" s="77" t="s">
        <v>1004</v>
      </c>
      <c r="C490" s="77" t="s">
        <v>5</v>
      </c>
      <c r="D490" s="78" t="s">
        <v>434</v>
      </c>
      <c r="E490" s="79">
        <f>FilterSpecs!$C$3</f>
        <v>5</v>
      </c>
      <c r="F490" s="78" t="s">
        <v>435</v>
      </c>
      <c r="G490" s="78" t="s">
        <v>436</v>
      </c>
      <c r="H490" s="78" t="s">
        <v>437</v>
      </c>
      <c r="I490" s="78">
        <v>1</v>
      </c>
      <c r="J490" s="79">
        <v>0.5</v>
      </c>
      <c r="K490" s="78" t="s">
        <v>1896</v>
      </c>
      <c r="M490">
        <f t="shared" si="14"/>
        <v>2.5</v>
      </c>
      <c r="N490" s="78">
        <f t="shared" si="15"/>
        <v>485</v>
      </c>
    </row>
    <row r="491" spans="1:14" s="78" customFormat="1" x14ac:dyDescent="0.25">
      <c r="A491" s="77" t="s">
        <v>890</v>
      </c>
      <c r="B491" s="77" t="s">
        <v>1004</v>
      </c>
      <c r="C491" s="77" t="s">
        <v>5</v>
      </c>
      <c r="D491" s="78" t="s">
        <v>1683</v>
      </c>
      <c r="E491" s="79">
        <v>1</v>
      </c>
      <c r="F491" s="78" t="s">
        <v>1684</v>
      </c>
      <c r="G491" s="78" t="s">
        <v>1685</v>
      </c>
      <c r="H491" s="78" t="s">
        <v>1686</v>
      </c>
      <c r="I491" s="78">
        <v>1</v>
      </c>
      <c r="J491" s="79">
        <v>0.95</v>
      </c>
      <c r="K491" s="82" t="s">
        <v>1897</v>
      </c>
      <c r="M491">
        <f t="shared" si="14"/>
        <v>0.95</v>
      </c>
      <c r="N491" s="78">
        <f t="shared" si="15"/>
        <v>486</v>
      </c>
    </row>
    <row r="492" spans="1:14" s="78" customFormat="1" x14ac:dyDescent="0.25">
      <c r="A492" s="77" t="s">
        <v>890</v>
      </c>
      <c r="B492" s="77" t="s">
        <v>1004</v>
      </c>
      <c r="C492" s="77" t="s">
        <v>5</v>
      </c>
      <c r="D492" s="78" t="s">
        <v>1687</v>
      </c>
      <c r="E492" s="79">
        <v>1</v>
      </c>
      <c r="F492" s="78" t="s">
        <v>1688</v>
      </c>
      <c r="G492" s="78" t="s">
        <v>1689</v>
      </c>
      <c r="H492" s="78" t="s">
        <v>1690</v>
      </c>
      <c r="I492" s="78">
        <v>1</v>
      </c>
      <c r="J492" s="79">
        <v>1.95</v>
      </c>
      <c r="K492" s="78" t="s">
        <v>1896</v>
      </c>
      <c r="M492">
        <f t="shared" si="14"/>
        <v>1.95</v>
      </c>
      <c r="N492" s="78">
        <f t="shared" si="15"/>
        <v>487</v>
      </c>
    </row>
    <row r="493" spans="1:14" s="78" customFormat="1" x14ac:dyDescent="0.25">
      <c r="A493" s="77" t="s">
        <v>890</v>
      </c>
      <c r="B493" s="77" t="s">
        <v>1004</v>
      </c>
      <c r="C493" s="77" t="s">
        <v>5</v>
      </c>
      <c r="D493" s="78" t="s">
        <v>1667</v>
      </c>
      <c r="E493" s="79">
        <v>1</v>
      </c>
      <c r="F493" s="78" t="s">
        <v>1668</v>
      </c>
      <c r="G493" s="78" t="s">
        <v>1669</v>
      </c>
      <c r="H493" s="78" t="s">
        <v>1670</v>
      </c>
      <c r="I493" s="78">
        <v>1</v>
      </c>
      <c r="J493" s="79">
        <v>2.5</v>
      </c>
      <c r="K493" s="78" t="s">
        <v>1896</v>
      </c>
      <c r="M493">
        <f t="shared" si="14"/>
        <v>2.5</v>
      </c>
      <c r="N493" s="78">
        <f t="shared" si="15"/>
        <v>488</v>
      </c>
    </row>
    <row r="494" spans="1:14" s="78" customFormat="1" x14ac:dyDescent="0.25">
      <c r="A494" s="77" t="s">
        <v>890</v>
      </c>
      <c r="B494" s="77" t="s">
        <v>1004</v>
      </c>
      <c r="C494" s="77" t="s">
        <v>5</v>
      </c>
      <c r="D494" s="78" t="s">
        <v>1821</v>
      </c>
      <c r="E494" s="79">
        <v>1</v>
      </c>
      <c r="F494" s="78" t="s">
        <v>1822</v>
      </c>
      <c r="G494" s="78" t="s">
        <v>1823</v>
      </c>
      <c r="H494" s="78" t="s">
        <v>1824</v>
      </c>
      <c r="I494" s="78">
        <v>1</v>
      </c>
      <c r="J494" s="79">
        <v>2.95</v>
      </c>
      <c r="K494" s="78" t="s">
        <v>1896</v>
      </c>
      <c r="M494">
        <f t="shared" si="14"/>
        <v>2.95</v>
      </c>
      <c r="N494" s="78">
        <f t="shared" si="15"/>
        <v>489</v>
      </c>
    </row>
    <row r="495" spans="1:14" s="78" customFormat="1" x14ac:dyDescent="0.25">
      <c r="A495" s="77" t="s">
        <v>890</v>
      </c>
      <c r="B495" s="77" t="s">
        <v>1004</v>
      </c>
      <c r="C495" s="77" t="s">
        <v>5</v>
      </c>
      <c r="D495" s="78" t="s">
        <v>604</v>
      </c>
      <c r="E495" s="79">
        <v>4</v>
      </c>
      <c r="F495" s="78" t="s">
        <v>605</v>
      </c>
      <c r="G495" s="78" t="s">
        <v>606</v>
      </c>
      <c r="H495" s="78" t="s">
        <v>607</v>
      </c>
      <c r="I495" s="78">
        <v>1</v>
      </c>
      <c r="J495" s="79">
        <v>0.95</v>
      </c>
      <c r="K495" s="78" t="s">
        <v>1896</v>
      </c>
      <c r="M495">
        <f t="shared" si="14"/>
        <v>3.8</v>
      </c>
      <c r="N495" s="78">
        <f t="shared" si="15"/>
        <v>490</v>
      </c>
    </row>
    <row r="496" spans="1:14" s="78" customFormat="1" x14ac:dyDescent="0.25">
      <c r="A496" s="77" t="s">
        <v>890</v>
      </c>
      <c r="B496" s="77" t="s">
        <v>1004</v>
      </c>
      <c r="C496" s="77" t="s">
        <v>5</v>
      </c>
      <c r="D496" s="78" t="s">
        <v>368</v>
      </c>
      <c r="E496" s="79">
        <v>1</v>
      </c>
      <c r="F496" s="78" t="s">
        <v>369</v>
      </c>
      <c r="G496" s="78" t="s">
        <v>370</v>
      </c>
      <c r="H496" s="78" t="s">
        <v>371</v>
      </c>
      <c r="J496" s="79">
        <v>6.95</v>
      </c>
      <c r="K496" s="78" t="s">
        <v>1896</v>
      </c>
      <c r="M496">
        <f t="shared" si="14"/>
        <v>6.95</v>
      </c>
      <c r="N496" s="78">
        <f t="shared" si="15"/>
        <v>491</v>
      </c>
    </row>
    <row r="497" spans="1:14" s="78" customFormat="1" x14ac:dyDescent="0.25">
      <c r="A497" s="77" t="s">
        <v>890</v>
      </c>
      <c r="B497" s="77" t="s">
        <v>1004</v>
      </c>
      <c r="C497" s="77" t="s">
        <v>5</v>
      </c>
      <c r="D497" s="78" t="s">
        <v>720</v>
      </c>
      <c r="E497" s="79">
        <v>3</v>
      </c>
      <c r="F497" s="78" t="s">
        <v>721</v>
      </c>
      <c r="G497" s="78" t="s">
        <v>722</v>
      </c>
      <c r="H497" s="78" t="s">
        <v>723</v>
      </c>
      <c r="I497" s="78">
        <v>1</v>
      </c>
      <c r="J497" s="79">
        <v>0.35</v>
      </c>
      <c r="K497" s="78" t="s">
        <v>1896</v>
      </c>
      <c r="M497">
        <f t="shared" si="14"/>
        <v>1.0499999999999998</v>
      </c>
      <c r="N497" s="78">
        <f t="shared" si="15"/>
        <v>492</v>
      </c>
    </row>
    <row r="498" spans="1:14" s="78" customFormat="1" x14ac:dyDescent="0.25">
      <c r="A498" s="77" t="s">
        <v>890</v>
      </c>
      <c r="B498" s="77" t="s">
        <v>1004</v>
      </c>
      <c r="C498" s="77" t="s">
        <v>5</v>
      </c>
      <c r="D498" s="78" t="s">
        <v>716</v>
      </c>
      <c r="E498" s="79">
        <v>3</v>
      </c>
      <c r="F498" s="78" t="s">
        <v>717</v>
      </c>
      <c r="G498" s="78" t="s">
        <v>718</v>
      </c>
      <c r="H498" s="78" t="s">
        <v>719</v>
      </c>
      <c r="I498" s="78">
        <v>1</v>
      </c>
      <c r="J498" s="79">
        <v>0.45</v>
      </c>
      <c r="K498" s="78" t="s">
        <v>1896</v>
      </c>
      <c r="M498">
        <f t="shared" si="14"/>
        <v>1.35</v>
      </c>
      <c r="N498" s="78">
        <f t="shared" si="15"/>
        <v>493</v>
      </c>
    </row>
    <row r="499" spans="1:14" s="78" customFormat="1" x14ac:dyDescent="0.25">
      <c r="A499" s="77" t="s">
        <v>890</v>
      </c>
      <c r="B499" s="77" t="s">
        <v>1004</v>
      </c>
      <c r="C499" s="77" t="s">
        <v>5</v>
      </c>
      <c r="D499" s="78" t="s">
        <v>708</v>
      </c>
      <c r="E499" s="79">
        <v>3</v>
      </c>
      <c r="F499" s="78" t="s">
        <v>709</v>
      </c>
      <c r="G499" s="78" t="s">
        <v>710</v>
      </c>
      <c r="H499" s="78" t="s">
        <v>711</v>
      </c>
      <c r="I499" s="78">
        <v>1</v>
      </c>
      <c r="J499" s="79">
        <v>4.95</v>
      </c>
      <c r="K499" s="78" t="s">
        <v>1896</v>
      </c>
      <c r="M499">
        <f t="shared" si="14"/>
        <v>14.850000000000001</v>
      </c>
      <c r="N499" s="78">
        <f t="shared" si="15"/>
        <v>494</v>
      </c>
    </row>
    <row r="500" spans="1:14" s="78" customFormat="1" x14ac:dyDescent="0.25">
      <c r="A500" s="77" t="s">
        <v>890</v>
      </c>
      <c r="B500" s="77" t="s">
        <v>1004</v>
      </c>
      <c r="C500" s="77" t="s">
        <v>5</v>
      </c>
      <c r="D500" s="78" t="s">
        <v>704</v>
      </c>
      <c r="E500" s="79">
        <f>2*FilterSpecs!$C$3</f>
        <v>10</v>
      </c>
      <c r="F500" s="78" t="s">
        <v>705</v>
      </c>
      <c r="G500" s="78" t="s">
        <v>706</v>
      </c>
      <c r="H500" s="78" t="s">
        <v>707</v>
      </c>
      <c r="I500" s="78">
        <v>1</v>
      </c>
      <c r="J500" s="79">
        <v>0.75</v>
      </c>
      <c r="K500" s="78" t="s">
        <v>1896</v>
      </c>
      <c r="M500">
        <f t="shared" si="14"/>
        <v>7.5</v>
      </c>
      <c r="N500" s="78">
        <f t="shared" si="15"/>
        <v>495</v>
      </c>
    </row>
    <row r="501" spans="1:14" s="78" customFormat="1" x14ac:dyDescent="0.25">
      <c r="A501" s="77" t="s">
        <v>890</v>
      </c>
      <c r="B501" s="77" t="s">
        <v>1004</v>
      </c>
      <c r="C501" s="77" t="s">
        <v>5</v>
      </c>
      <c r="D501" s="78" t="s">
        <v>418</v>
      </c>
      <c r="E501" s="79">
        <f>2*FilterSpecs!$C$3</f>
        <v>10</v>
      </c>
      <c r="F501" s="78" t="s">
        <v>419</v>
      </c>
      <c r="G501" s="78" t="s">
        <v>420</v>
      </c>
      <c r="H501" s="78" t="s">
        <v>421</v>
      </c>
      <c r="I501" s="78">
        <v>1</v>
      </c>
      <c r="J501" s="79">
        <v>0.15</v>
      </c>
      <c r="K501" s="78" t="s">
        <v>1896</v>
      </c>
      <c r="M501">
        <f t="shared" si="14"/>
        <v>1.5</v>
      </c>
      <c r="N501" s="78">
        <f t="shared" si="15"/>
        <v>496</v>
      </c>
    </row>
    <row r="502" spans="1:14" s="78" customFormat="1" x14ac:dyDescent="0.25">
      <c r="A502" s="77" t="s">
        <v>890</v>
      </c>
      <c r="B502" s="77" t="s">
        <v>1004</v>
      </c>
      <c r="C502" s="77" t="s">
        <v>5</v>
      </c>
      <c r="D502" s="78" t="s">
        <v>422</v>
      </c>
      <c r="E502" s="79">
        <f>2*FilterSpecs!$C$3</f>
        <v>10</v>
      </c>
      <c r="F502" s="78" t="s">
        <v>423</v>
      </c>
      <c r="G502" s="78" t="s">
        <v>424</v>
      </c>
      <c r="H502" s="78" t="s">
        <v>425</v>
      </c>
      <c r="I502" s="78">
        <v>1</v>
      </c>
      <c r="J502" s="79">
        <v>0.15</v>
      </c>
      <c r="K502" s="78" t="s">
        <v>1896</v>
      </c>
      <c r="M502">
        <f t="shared" si="14"/>
        <v>1.5</v>
      </c>
      <c r="N502" s="78">
        <f t="shared" si="15"/>
        <v>497</v>
      </c>
    </row>
    <row r="503" spans="1:14" s="78" customFormat="1" x14ac:dyDescent="0.25">
      <c r="A503" s="77" t="s">
        <v>890</v>
      </c>
      <c r="B503" s="77" t="s">
        <v>1004</v>
      </c>
      <c r="C503" s="77" t="s">
        <v>5</v>
      </c>
      <c r="D503" s="78" t="s">
        <v>664</v>
      </c>
      <c r="E503" s="79">
        <f>2*FilterSpecs!$C$3</f>
        <v>10</v>
      </c>
      <c r="F503" s="78" t="s">
        <v>665</v>
      </c>
      <c r="G503" s="78" t="s">
        <v>666</v>
      </c>
      <c r="H503" s="78" t="s">
        <v>667</v>
      </c>
      <c r="I503" s="78">
        <v>1</v>
      </c>
      <c r="J503" s="79">
        <v>0.15</v>
      </c>
      <c r="K503" s="78" t="s">
        <v>1896</v>
      </c>
      <c r="M503">
        <f t="shared" si="14"/>
        <v>1.5</v>
      </c>
      <c r="N503" s="78">
        <f t="shared" si="15"/>
        <v>498</v>
      </c>
    </row>
    <row r="504" spans="1:14" s="78" customFormat="1" x14ac:dyDescent="0.25">
      <c r="A504" s="77" t="s">
        <v>890</v>
      </c>
      <c r="B504" s="77" t="s">
        <v>1004</v>
      </c>
      <c r="C504" s="77" t="s">
        <v>5</v>
      </c>
      <c r="D504" s="78" t="s">
        <v>414</v>
      </c>
      <c r="E504" s="79">
        <f>2*FilterSpecs!$C$3</f>
        <v>10</v>
      </c>
      <c r="F504" s="78" t="s">
        <v>415</v>
      </c>
      <c r="G504" s="78" t="s">
        <v>416</v>
      </c>
      <c r="H504" s="78" t="s">
        <v>417</v>
      </c>
      <c r="I504" s="78">
        <v>1</v>
      </c>
      <c r="J504" s="79">
        <v>0.25</v>
      </c>
      <c r="K504" s="78" t="s">
        <v>1896</v>
      </c>
      <c r="M504">
        <f t="shared" si="14"/>
        <v>2.5</v>
      </c>
      <c r="N504" s="78">
        <f t="shared" si="15"/>
        <v>499</v>
      </c>
    </row>
    <row r="505" spans="1:14" s="78" customFormat="1" x14ac:dyDescent="0.25">
      <c r="A505" s="77" t="s">
        <v>890</v>
      </c>
      <c r="B505" s="77" t="s">
        <v>1880</v>
      </c>
      <c r="C505" s="77" t="s">
        <v>5</v>
      </c>
      <c r="D505" s="78" t="s">
        <v>740</v>
      </c>
      <c r="E505" s="79">
        <v>2</v>
      </c>
      <c r="F505" s="78" t="s">
        <v>741</v>
      </c>
      <c r="G505" s="78" t="s">
        <v>742</v>
      </c>
      <c r="H505" s="78" t="s">
        <v>743</v>
      </c>
      <c r="J505" s="79">
        <v>0.5</v>
      </c>
      <c r="K505" s="78" t="s">
        <v>1896</v>
      </c>
      <c r="M505">
        <f t="shared" si="14"/>
        <v>1</v>
      </c>
      <c r="N505" s="78">
        <f t="shared" si="15"/>
        <v>500</v>
      </c>
    </row>
    <row r="506" spans="1:14" s="78" customFormat="1" x14ac:dyDescent="0.25">
      <c r="A506" s="77" t="s">
        <v>890</v>
      </c>
      <c r="B506" s="77" t="s">
        <v>1880</v>
      </c>
      <c r="C506" s="77" t="s">
        <v>5</v>
      </c>
      <c r="D506" s="78" t="s">
        <v>736</v>
      </c>
      <c r="E506" s="79">
        <v>4</v>
      </c>
      <c r="F506" s="78" t="s">
        <v>737</v>
      </c>
      <c r="G506" s="78" t="s">
        <v>738</v>
      </c>
      <c r="H506" s="78" t="s">
        <v>739</v>
      </c>
      <c r="I506" s="78">
        <v>1</v>
      </c>
      <c r="J506" s="79">
        <v>1.5</v>
      </c>
      <c r="K506" s="78" t="s">
        <v>1896</v>
      </c>
      <c r="M506">
        <f t="shared" si="14"/>
        <v>6</v>
      </c>
      <c r="N506" s="78">
        <f t="shared" si="15"/>
        <v>501</v>
      </c>
    </row>
    <row r="507" spans="1:14" s="78" customFormat="1" x14ac:dyDescent="0.25">
      <c r="A507" s="77" t="s">
        <v>890</v>
      </c>
      <c r="B507" s="77" t="s">
        <v>1880</v>
      </c>
      <c r="C507" s="77" t="s">
        <v>5</v>
      </c>
      <c r="D507" s="78" t="s">
        <v>732</v>
      </c>
      <c r="E507" s="79">
        <v>8</v>
      </c>
      <c r="F507" s="78" t="s">
        <v>733</v>
      </c>
      <c r="G507" s="78" t="s">
        <v>734</v>
      </c>
      <c r="H507" s="78" t="s">
        <v>735</v>
      </c>
      <c r="J507" s="79">
        <v>0.5</v>
      </c>
      <c r="K507" s="78" t="s">
        <v>1896</v>
      </c>
      <c r="M507">
        <f t="shared" si="14"/>
        <v>4</v>
      </c>
      <c r="N507" s="78">
        <f t="shared" si="15"/>
        <v>502</v>
      </c>
    </row>
    <row r="508" spans="1:14" s="78" customFormat="1" x14ac:dyDescent="0.25">
      <c r="A508" s="77" t="s">
        <v>890</v>
      </c>
      <c r="B508" s="77" t="s">
        <v>1880</v>
      </c>
      <c r="C508" s="77" t="s">
        <v>5</v>
      </c>
      <c r="D508" s="78" t="s">
        <v>897</v>
      </c>
      <c r="E508" s="79">
        <f>FilterSpecs!$C$3</f>
        <v>5</v>
      </c>
      <c r="F508" s="78" t="s">
        <v>898</v>
      </c>
      <c r="G508" s="78" t="s">
        <v>899</v>
      </c>
      <c r="H508" s="78" t="s">
        <v>900</v>
      </c>
      <c r="I508" s="78">
        <v>1</v>
      </c>
      <c r="J508" s="79">
        <v>0.95</v>
      </c>
      <c r="K508" s="82" t="s">
        <v>1897</v>
      </c>
      <c r="M508">
        <f t="shared" si="14"/>
        <v>4.75</v>
      </c>
      <c r="N508" s="78">
        <f t="shared" si="15"/>
        <v>503</v>
      </c>
    </row>
    <row r="509" spans="1:14" s="78" customFormat="1" hidden="1" x14ac:dyDescent="0.25">
      <c r="A509" s="78" t="s">
        <v>890</v>
      </c>
      <c r="B509" s="78" t="s">
        <v>1880</v>
      </c>
      <c r="C509" s="78" t="s">
        <v>1884</v>
      </c>
      <c r="D509" s="78" t="s">
        <v>2188</v>
      </c>
      <c r="E509" s="79">
        <v>0</v>
      </c>
      <c r="H509" s="77" t="s">
        <v>2189</v>
      </c>
      <c r="I509" s="80"/>
      <c r="J509" s="85">
        <v>1.95</v>
      </c>
      <c r="K509" s="77" t="s">
        <v>1896</v>
      </c>
      <c r="L509" s="80"/>
      <c r="M509">
        <f t="shared" si="14"/>
        <v>0</v>
      </c>
      <c r="N509" s="78">
        <f t="shared" si="15"/>
        <v>504</v>
      </c>
    </row>
    <row r="510" spans="1:14" s="78" customFormat="1" hidden="1" x14ac:dyDescent="0.25">
      <c r="A510" s="78" t="s">
        <v>890</v>
      </c>
      <c r="B510" s="78" t="s">
        <v>1880</v>
      </c>
      <c r="C510" s="78" t="s">
        <v>1884</v>
      </c>
      <c r="D510" s="78" t="s">
        <v>2190</v>
      </c>
      <c r="E510" s="79">
        <v>0</v>
      </c>
      <c r="H510" s="77" t="s">
        <v>2191</v>
      </c>
      <c r="I510" s="80"/>
      <c r="J510" s="85">
        <v>2.5</v>
      </c>
      <c r="K510" s="77" t="s">
        <v>1896</v>
      </c>
      <c r="L510" s="80"/>
      <c r="M510">
        <f t="shared" si="14"/>
        <v>0</v>
      </c>
      <c r="N510" s="78">
        <f t="shared" si="15"/>
        <v>505</v>
      </c>
    </row>
    <row r="511" spans="1:14" s="78" customFormat="1" hidden="1" x14ac:dyDescent="0.25">
      <c r="A511" s="78" t="s">
        <v>890</v>
      </c>
      <c r="B511" s="78" t="s">
        <v>1880</v>
      </c>
      <c r="C511" s="78" t="s">
        <v>1884</v>
      </c>
      <c r="D511" s="78" t="s">
        <v>2192</v>
      </c>
      <c r="E511" s="79">
        <v>0</v>
      </c>
      <c r="H511" s="77" t="s">
        <v>2193</v>
      </c>
      <c r="I511" s="80"/>
      <c r="J511" s="85">
        <v>2.5</v>
      </c>
      <c r="K511" s="77" t="s">
        <v>1896</v>
      </c>
      <c r="L511" s="80"/>
      <c r="M511">
        <f t="shared" si="14"/>
        <v>0</v>
      </c>
      <c r="N511" s="78">
        <f t="shared" si="15"/>
        <v>506</v>
      </c>
    </row>
    <row r="512" spans="1:14" s="78" customFormat="1" hidden="1" x14ac:dyDescent="0.25">
      <c r="A512" s="78" t="s">
        <v>890</v>
      </c>
      <c r="B512" s="78" t="s">
        <v>1880</v>
      </c>
      <c r="C512" s="78" t="s">
        <v>1884</v>
      </c>
      <c r="D512" s="78" t="s">
        <v>2194</v>
      </c>
      <c r="E512" s="79">
        <v>0</v>
      </c>
      <c r="H512" s="77" t="s">
        <v>2195</v>
      </c>
      <c r="I512" s="80"/>
      <c r="J512" s="85">
        <v>0.95</v>
      </c>
      <c r="K512" s="77" t="s">
        <v>1896</v>
      </c>
      <c r="L512" s="80"/>
      <c r="M512">
        <f t="shared" si="14"/>
        <v>0</v>
      </c>
      <c r="N512" s="78">
        <f t="shared" si="15"/>
        <v>507</v>
      </c>
    </row>
    <row r="513" spans="1:14" s="78" customFormat="1" x14ac:dyDescent="0.25">
      <c r="A513" s="78" t="s">
        <v>890</v>
      </c>
      <c r="B513" s="78" t="s">
        <v>1999</v>
      </c>
      <c r="C513" s="78" t="s">
        <v>1884</v>
      </c>
      <c r="D513" s="78" t="s">
        <v>2202</v>
      </c>
      <c r="E513" s="79">
        <v>1</v>
      </c>
      <c r="H513" s="77" t="s">
        <v>2203</v>
      </c>
      <c r="I513" s="80"/>
      <c r="J513" s="85">
        <v>4.95</v>
      </c>
      <c r="K513" s="77" t="s">
        <v>1896</v>
      </c>
      <c r="L513" s="80"/>
      <c r="M513">
        <f t="shared" si="14"/>
        <v>4.95</v>
      </c>
      <c r="N513" s="78">
        <f t="shared" si="15"/>
        <v>508</v>
      </c>
    </row>
    <row r="514" spans="1:14" s="78" customFormat="1" x14ac:dyDescent="0.25">
      <c r="A514" s="78" t="s">
        <v>890</v>
      </c>
      <c r="B514" s="78" t="s">
        <v>1999</v>
      </c>
      <c r="C514" s="78" t="s">
        <v>1884</v>
      </c>
      <c r="D514" s="78" t="s">
        <v>2204</v>
      </c>
      <c r="E514" s="79">
        <v>1</v>
      </c>
      <c r="H514" s="77" t="s">
        <v>2205</v>
      </c>
      <c r="I514" s="80"/>
      <c r="J514" s="85">
        <v>4.95</v>
      </c>
      <c r="K514" s="77" t="s">
        <v>1896</v>
      </c>
      <c r="L514" s="80"/>
      <c r="M514">
        <f t="shared" si="14"/>
        <v>4.95</v>
      </c>
      <c r="N514" s="78">
        <f t="shared" si="15"/>
        <v>509</v>
      </c>
    </row>
    <row r="515" spans="1:14" s="78" customFormat="1" x14ac:dyDescent="0.25">
      <c r="A515" s="78" t="s">
        <v>890</v>
      </c>
      <c r="B515" s="78" t="s">
        <v>1999</v>
      </c>
      <c r="C515" s="78" t="s">
        <v>1884</v>
      </c>
      <c r="D515" s="78" t="s">
        <v>2206</v>
      </c>
      <c r="E515" s="79">
        <v>1</v>
      </c>
      <c r="H515" s="77" t="s">
        <v>2207</v>
      </c>
      <c r="I515" s="80"/>
      <c r="J515" s="85">
        <v>4.95</v>
      </c>
      <c r="K515" s="77" t="s">
        <v>1896</v>
      </c>
      <c r="L515" s="80"/>
      <c r="M515">
        <f t="shared" si="14"/>
        <v>4.95</v>
      </c>
      <c r="N515" s="78">
        <f t="shared" si="15"/>
        <v>510</v>
      </c>
    </row>
    <row r="516" spans="1:14" s="78" customFormat="1" x14ac:dyDescent="0.25">
      <c r="A516" s="78" t="s">
        <v>890</v>
      </c>
      <c r="B516" s="78" t="s">
        <v>1999</v>
      </c>
      <c r="C516" s="78" t="s">
        <v>1884</v>
      </c>
      <c r="D516" s="78" t="s">
        <v>2208</v>
      </c>
      <c r="E516" s="79">
        <v>1</v>
      </c>
      <c r="H516" s="77" t="s">
        <v>2209</v>
      </c>
      <c r="I516" s="80"/>
      <c r="J516" s="85">
        <v>7.5</v>
      </c>
      <c r="K516" s="77" t="s">
        <v>1896</v>
      </c>
      <c r="L516" s="80"/>
      <c r="M516">
        <f t="shared" si="14"/>
        <v>7.5</v>
      </c>
      <c r="N516" s="78">
        <f t="shared" si="15"/>
        <v>511</v>
      </c>
    </row>
    <row r="517" spans="1:14" s="78" customFormat="1" x14ac:dyDescent="0.25">
      <c r="A517" s="60" t="s">
        <v>890</v>
      </c>
      <c r="B517" s="60" t="s">
        <v>2001</v>
      </c>
      <c r="C517" s="60" t="s">
        <v>5</v>
      </c>
      <c r="D517" s="63" t="s">
        <v>1581</v>
      </c>
      <c r="E517" s="64">
        <v>2</v>
      </c>
      <c r="F517" s="10" t="s">
        <v>1582</v>
      </c>
      <c r="G517" s="10" t="s">
        <v>1583</v>
      </c>
      <c r="H517" s="63" t="s">
        <v>1584</v>
      </c>
      <c r="I517" s="10">
        <v>1</v>
      </c>
      <c r="J517" s="64">
        <v>2.95</v>
      </c>
      <c r="K517" s="63" t="s">
        <v>1896</v>
      </c>
      <c r="L517" s="10"/>
      <c r="M517">
        <f t="shared" si="14"/>
        <v>5.9</v>
      </c>
      <c r="N517" s="78">
        <f t="shared" si="15"/>
        <v>512</v>
      </c>
    </row>
    <row r="518" spans="1:14" s="78" customFormat="1" hidden="1" x14ac:dyDescent="0.25">
      <c r="A518" s="86" t="s">
        <v>890</v>
      </c>
      <c r="B518" s="86" t="s">
        <v>2001</v>
      </c>
      <c r="C518" s="86" t="s">
        <v>1884</v>
      </c>
      <c r="D518" s="86" t="s">
        <v>2435</v>
      </c>
      <c r="E518" s="88">
        <v>0</v>
      </c>
      <c r="F518"/>
      <c r="G518"/>
      <c r="H518" s="86" t="s">
        <v>2434</v>
      </c>
      <c r="I518" s="87">
        <v>106</v>
      </c>
      <c r="J518" s="88">
        <v>2</v>
      </c>
      <c r="K518" s="30" t="s">
        <v>1896</v>
      </c>
      <c r="L518"/>
      <c r="M518">
        <f t="shared" ref="M518:M581" si="16">E518*J518</f>
        <v>0</v>
      </c>
      <c r="N518" s="78">
        <f t="shared" ref="N518:N581" si="17">IF($N517="List #",1,$N517+1)</f>
        <v>513</v>
      </c>
    </row>
    <row r="519" spans="1:14" s="78" customFormat="1" hidden="1" x14ac:dyDescent="0.25">
      <c r="A519" s="60" t="s">
        <v>890</v>
      </c>
      <c r="B519" s="60" t="s">
        <v>2001</v>
      </c>
      <c r="C519" s="60" t="s">
        <v>5</v>
      </c>
      <c r="D519" s="63" t="s">
        <v>1577</v>
      </c>
      <c r="E519" s="64">
        <v>0</v>
      </c>
      <c r="F519" s="10" t="s">
        <v>1578</v>
      </c>
      <c r="G519" s="10" t="s">
        <v>1579</v>
      </c>
      <c r="H519" s="63" t="s">
        <v>1580</v>
      </c>
      <c r="I519" s="10">
        <v>1</v>
      </c>
      <c r="J519" s="64">
        <v>0.95</v>
      </c>
      <c r="K519" s="63" t="s">
        <v>1896</v>
      </c>
      <c r="L519" s="10"/>
      <c r="M519">
        <f t="shared" si="16"/>
        <v>0</v>
      </c>
      <c r="N519" s="78">
        <f t="shared" si="17"/>
        <v>514</v>
      </c>
    </row>
    <row r="520" spans="1:14" s="78" customFormat="1" x14ac:dyDescent="0.25">
      <c r="A520" s="60" t="s">
        <v>890</v>
      </c>
      <c r="B520" s="60" t="s">
        <v>2001</v>
      </c>
      <c r="C520" s="60" t="s">
        <v>5</v>
      </c>
      <c r="D520" s="63" t="s">
        <v>1585</v>
      </c>
      <c r="E520" s="64">
        <v>1</v>
      </c>
      <c r="F520" s="10" t="s">
        <v>1586</v>
      </c>
      <c r="G520" s="10" t="s">
        <v>1587</v>
      </c>
      <c r="H520" s="63" t="s">
        <v>1588</v>
      </c>
      <c r="I520" s="10">
        <v>1</v>
      </c>
      <c r="J520" s="64">
        <v>4.95</v>
      </c>
      <c r="K520" s="63" t="s">
        <v>1896</v>
      </c>
      <c r="L520" s="10"/>
      <c r="M520">
        <f t="shared" si="16"/>
        <v>4.95</v>
      </c>
      <c r="N520" s="78">
        <f t="shared" si="17"/>
        <v>515</v>
      </c>
    </row>
    <row r="521" spans="1:14" s="78" customFormat="1" hidden="1" x14ac:dyDescent="0.25">
      <c r="A521" s="86" t="s">
        <v>890</v>
      </c>
      <c r="B521" s="86" t="s">
        <v>2001</v>
      </c>
      <c r="C521" s="86" t="s">
        <v>1884</v>
      </c>
      <c r="D521" s="86" t="s">
        <v>2433</v>
      </c>
      <c r="E521" s="88">
        <v>0</v>
      </c>
      <c r="F521"/>
      <c r="G521"/>
      <c r="H521" s="86" t="s">
        <v>2432</v>
      </c>
      <c r="I521" s="87">
        <v>105</v>
      </c>
      <c r="J521" s="88">
        <v>1.5</v>
      </c>
      <c r="K521" s="30" t="s">
        <v>1896</v>
      </c>
      <c r="L521"/>
      <c r="M521">
        <f t="shared" si="16"/>
        <v>0</v>
      </c>
      <c r="N521" s="78">
        <f t="shared" si="17"/>
        <v>516</v>
      </c>
    </row>
    <row r="522" spans="1:14" s="78" customFormat="1" hidden="1" x14ac:dyDescent="0.25">
      <c r="A522" s="63" t="s">
        <v>890</v>
      </c>
      <c r="B522" s="63" t="s">
        <v>2001</v>
      </c>
      <c r="C522" s="63" t="s">
        <v>1884</v>
      </c>
      <c r="D522" s="63" t="s">
        <v>2210</v>
      </c>
      <c r="E522" s="64">
        <v>0</v>
      </c>
      <c r="F522" s="10"/>
      <c r="G522" s="10"/>
      <c r="H522" s="60" t="s">
        <v>2211</v>
      </c>
      <c r="I522"/>
      <c r="J522" s="70">
        <v>2</v>
      </c>
      <c r="K522" s="60" t="s">
        <v>1896</v>
      </c>
      <c r="L522"/>
      <c r="M522">
        <f t="shared" si="16"/>
        <v>0</v>
      </c>
      <c r="N522" s="78">
        <f t="shared" si="17"/>
        <v>517</v>
      </c>
    </row>
    <row r="523" spans="1:14" s="78" customFormat="1" hidden="1" x14ac:dyDescent="0.25">
      <c r="A523" s="86" t="s">
        <v>890</v>
      </c>
      <c r="B523" s="60" t="s">
        <v>2001</v>
      </c>
      <c r="C523" s="86" t="s">
        <v>1884</v>
      </c>
      <c r="D523" s="86" t="s">
        <v>2431</v>
      </c>
      <c r="E523" s="88">
        <v>0</v>
      </c>
      <c r="F523"/>
      <c r="G523"/>
      <c r="H523" s="86" t="s">
        <v>2430</v>
      </c>
      <c r="I523" s="87">
        <v>104</v>
      </c>
      <c r="J523" s="88">
        <v>3.95</v>
      </c>
      <c r="K523" s="30" t="s">
        <v>1896</v>
      </c>
      <c r="L523"/>
      <c r="M523">
        <f t="shared" si="16"/>
        <v>0</v>
      </c>
      <c r="N523" s="78">
        <f t="shared" si="17"/>
        <v>518</v>
      </c>
    </row>
    <row r="524" spans="1:14" s="78" customFormat="1" hidden="1" x14ac:dyDescent="0.25">
      <c r="A524" s="60" t="s">
        <v>890</v>
      </c>
      <c r="B524" s="60" t="s">
        <v>2001</v>
      </c>
      <c r="C524" s="60" t="s">
        <v>5</v>
      </c>
      <c r="D524" s="63" t="s">
        <v>1517</v>
      </c>
      <c r="E524" s="64">
        <v>0</v>
      </c>
      <c r="F524" s="10" t="s">
        <v>1518</v>
      </c>
      <c r="G524" s="10" t="s">
        <v>1519</v>
      </c>
      <c r="H524" s="63" t="s">
        <v>1520</v>
      </c>
      <c r="I524" s="10">
        <v>1</v>
      </c>
      <c r="J524" s="64">
        <v>1.5</v>
      </c>
      <c r="K524" s="63" t="s">
        <v>1896</v>
      </c>
      <c r="L524" s="10"/>
      <c r="M524">
        <f t="shared" si="16"/>
        <v>0</v>
      </c>
      <c r="N524" s="78">
        <f t="shared" si="17"/>
        <v>519</v>
      </c>
    </row>
    <row r="525" spans="1:14" s="78" customFormat="1" hidden="1" x14ac:dyDescent="0.25">
      <c r="A525" s="86" t="s">
        <v>890</v>
      </c>
      <c r="B525" s="86" t="s">
        <v>2001</v>
      </c>
      <c r="C525" s="86" t="s">
        <v>1884</v>
      </c>
      <c r="D525" s="86" t="s">
        <v>2429</v>
      </c>
      <c r="E525" s="88">
        <v>0</v>
      </c>
      <c r="F525"/>
      <c r="G525"/>
      <c r="H525" s="86" t="s">
        <v>2428</v>
      </c>
      <c r="I525" s="87">
        <v>103</v>
      </c>
      <c r="J525" s="88">
        <v>2.95</v>
      </c>
      <c r="K525" s="30" t="s">
        <v>1896</v>
      </c>
      <c r="L525"/>
      <c r="M525">
        <f t="shared" si="16"/>
        <v>0</v>
      </c>
      <c r="N525" s="78">
        <f t="shared" si="17"/>
        <v>520</v>
      </c>
    </row>
    <row r="526" spans="1:14" s="78" customFormat="1" hidden="1" x14ac:dyDescent="0.25">
      <c r="A526" s="77" t="s">
        <v>890</v>
      </c>
      <c r="B526" s="77" t="s">
        <v>2010</v>
      </c>
      <c r="C526" s="77" t="s">
        <v>5</v>
      </c>
      <c r="D526" s="78" t="s">
        <v>992</v>
      </c>
      <c r="E526" s="79">
        <v>0</v>
      </c>
      <c r="F526" s="78" t="s">
        <v>993</v>
      </c>
      <c r="G526" s="78" t="s">
        <v>994</v>
      </c>
      <c r="H526" s="78" t="s">
        <v>995</v>
      </c>
      <c r="J526" s="79">
        <v>0.95</v>
      </c>
      <c r="K526" s="78" t="s">
        <v>1896</v>
      </c>
      <c r="M526">
        <f t="shared" si="16"/>
        <v>0</v>
      </c>
      <c r="N526" s="78">
        <f t="shared" si="17"/>
        <v>521</v>
      </c>
    </row>
    <row r="527" spans="1:14" s="78" customFormat="1" hidden="1" x14ac:dyDescent="0.25">
      <c r="A527" s="77" t="s">
        <v>890</v>
      </c>
      <c r="B527" s="77" t="s">
        <v>2010</v>
      </c>
      <c r="C527" s="77" t="s">
        <v>5</v>
      </c>
      <c r="D527" s="78" t="s">
        <v>988</v>
      </c>
      <c r="E527" s="79">
        <v>0</v>
      </c>
      <c r="F527" s="78" t="s">
        <v>989</v>
      </c>
      <c r="G527" s="78" t="s">
        <v>990</v>
      </c>
      <c r="H527" s="78" t="s">
        <v>991</v>
      </c>
      <c r="I527" s="78">
        <v>1</v>
      </c>
      <c r="J527" s="79">
        <v>0.95</v>
      </c>
      <c r="K527" s="78" t="s">
        <v>1896</v>
      </c>
      <c r="M527">
        <f t="shared" si="16"/>
        <v>0</v>
      </c>
      <c r="N527" s="78">
        <f t="shared" si="17"/>
        <v>522</v>
      </c>
    </row>
    <row r="528" spans="1:14" s="78" customFormat="1" x14ac:dyDescent="0.25">
      <c r="A528" s="77" t="s">
        <v>890</v>
      </c>
      <c r="B528" s="77" t="s">
        <v>2010</v>
      </c>
      <c r="C528" s="77" t="s">
        <v>5</v>
      </c>
      <c r="D528" s="78" t="s">
        <v>996</v>
      </c>
      <c r="E528" s="79">
        <f>FilterSpecs!$C$3</f>
        <v>5</v>
      </c>
      <c r="F528" s="78" t="s">
        <v>997</v>
      </c>
      <c r="G528" s="78" t="s">
        <v>998</v>
      </c>
      <c r="H528" s="78" t="s">
        <v>999</v>
      </c>
      <c r="I528" s="78">
        <v>1</v>
      </c>
      <c r="J528" s="79">
        <v>0.95</v>
      </c>
      <c r="K528" s="82" t="s">
        <v>1897</v>
      </c>
      <c r="M528">
        <f t="shared" si="16"/>
        <v>4.75</v>
      </c>
      <c r="N528" s="78">
        <f t="shared" si="17"/>
        <v>523</v>
      </c>
    </row>
    <row r="529" spans="1:14" s="78" customFormat="1" hidden="1" x14ac:dyDescent="0.25">
      <c r="A529" s="78" t="s">
        <v>890</v>
      </c>
      <c r="B529" s="78" t="s">
        <v>2010</v>
      </c>
      <c r="C529" s="78" t="s">
        <v>1884</v>
      </c>
      <c r="D529" s="78" t="s">
        <v>2214</v>
      </c>
      <c r="E529" s="79">
        <v>0</v>
      </c>
      <c r="H529" s="77" t="s">
        <v>2215</v>
      </c>
      <c r="I529" s="80"/>
      <c r="J529" s="85">
        <v>1.5</v>
      </c>
      <c r="K529" s="77" t="s">
        <v>1896</v>
      </c>
      <c r="L529" s="80"/>
      <c r="M529">
        <f t="shared" si="16"/>
        <v>0</v>
      </c>
      <c r="N529" s="78">
        <f t="shared" si="17"/>
        <v>524</v>
      </c>
    </row>
    <row r="530" spans="1:14" s="78" customFormat="1" ht="30" hidden="1" x14ac:dyDescent="0.25">
      <c r="A530" s="78" t="s">
        <v>890</v>
      </c>
      <c r="B530" s="78" t="s">
        <v>2010</v>
      </c>
      <c r="C530" s="78" t="s">
        <v>1884</v>
      </c>
      <c r="D530" s="78" t="s">
        <v>2216</v>
      </c>
      <c r="E530" s="79">
        <v>0</v>
      </c>
      <c r="H530" s="77" t="s">
        <v>2217</v>
      </c>
      <c r="I530" s="80"/>
      <c r="J530" s="85">
        <v>1.75</v>
      </c>
      <c r="K530" s="77" t="s">
        <v>1896</v>
      </c>
      <c r="L530" s="80"/>
      <c r="M530">
        <f t="shared" si="16"/>
        <v>0</v>
      </c>
      <c r="N530" s="78">
        <f t="shared" si="17"/>
        <v>525</v>
      </c>
    </row>
    <row r="531" spans="1:14" s="78" customFormat="1" hidden="1" x14ac:dyDescent="0.25">
      <c r="A531" s="78" t="s">
        <v>890</v>
      </c>
      <c r="B531" s="78" t="s">
        <v>2010</v>
      </c>
      <c r="C531" s="78" t="s">
        <v>1884</v>
      </c>
      <c r="D531" s="78" t="s">
        <v>2218</v>
      </c>
      <c r="E531" s="79">
        <v>0</v>
      </c>
      <c r="H531" s="77" t="s">
        <v>2219</v>
      </c>
      <c r="I531" s="80"/>
      <c r="J531" s="85">
        <v>0.95</v>
      </c>
      <c r="K531" s="77" t="s">
        <v>1896</v>
      </c>
      <c r="L531" s="80"/>
      <c r="M531">
        <f t="shared" si="16"/>
        <v>0</v>
      </c>
      <c r="N531" s="78">
        <f t="shared" si="17"/>
        <v>526</v>
      </c>
    </row>
    <row r="532" spans="1:14" s="78" customFormat="1" hidden="1" x14ac:dyDescent="0.25">
      <c r="A532" s="78" t="s">
        <v>890</v>
      </c>
      <c r="B532" s="78" t="s">
        <v>2010</v>
      </c>
      <c r="C532" s="78" t="s">
        <v>1884</v>
      </c>
      <c r="D532" s="78" t="s">
        <v>2220</v>
      </c>
      <c r="E532" s="79">
        <v>0</v>
      </c>
      <c r="H532" s="77" t="s">
        <v>2221</v>
      </c>
      <c r="I532" s="80"/>
      <c r="J532" s="85">
        <v>0.95</v>
      </c>
      <c r="K532" s="77" t="s">
        <v>1896</v>
      </c>
      <c r="L532" s="80"/>
      <c r="M532">
        <f t="shared" si="16"/>
        <v>0</v>
      </c>
      <c r="N532" s="78">
        <f t="shared" si="17"/>
        <v>527</v>
      </c>
    </row>
    <row r="533" spans="1:14" s="78" customFormat="1" ht="30" x14ac:dyDescent="0.25">
      <c r="A533" s="78" t="s">
        <v>890</v>
      </c>
      <c r="B533" s="78" t="s">
        <v>2010</v>
      </c>
      <c r="C533" s="78" t="s">
        <v>1884</v>
      </c>
      <c r="D533" s="78" t="s">
        <v>2222</v>
      </c>
      <c r="E533" s="79">
        <f>FilterSpecs!$C$3</f>
        <v>5</v>
      </c>
      <c r="H533" s="77" t="s">
        <v>2223</v>
      </c>
      <c r="I533" s="80"/>
      <c r="J533" s="85">
        <v>1.5</v>
      </c>
      <c r="K533" s="82" t="s">
        <v>1897</v>
      </c>
      <c r="L533" s="80"/>
      <c r="M533">
        <f t="shared" si="16"/>
        <v>7.5</v>
      </c>
      <c r="N533" s="78">
        <f t="shared" si="17"/>
        <v>528</v>
      </c>
    </row>
    <row r="534" spans="1:14" s="78" customFormat="1" hidden="1" x14ac:dyDescent="0.25">
      <c r="A534" s="77" t="s">
        <v>890</v>
      </c>
      <c r="B534" s="77" t="s">
        <v>2010</v>
      </c>
      <c r="C534" s="77" t="s">
        <v>5</v>
      </c>
      <c r="D534" s="78" t="s">
        <v>1000</v>
      </c>
      <c r="E534" s="79">
        <v>0</v>
      </c>
      <c r="F534" s="78" t="s">
        <v>1001</v>
      </c>
      <c r="G534" s="78" t="s">
        <v>1002</v>
      </c>
      <c r="H534" s="78" t="s">
        <v>1003</v>
      </c>
      <c r="I534" s="78">
        <v>1</v>
      </c>
      <c r="J534" s="79">
        <v>2.95</v>
      </c>
      <c r="K534" s="78" t="s">
        <v>1896</v>
      </c>
      <c r="M534">
        <f t="shared" si="16"/>
        <v>0</v>
      </c>
      <c r="N534" s="78">
        <f t="shared" si="17"/>
        <v>529</v>
      </c>
    </row>
    <row r="535" spans="1:14" s="78" customFormat="1" hidden="1" x14ac:dyDescent="0.25">
      <c r="A535" s="77" t="s">
        <v>890</v>
      </c>
      <c r="B535" s="77" t="s">
        <v>2010</v>
      </c>
      <c r="C535" s="77" t="s">
        <v>5</v>
      </c>
      <c r="D535" s="78" t="s">
        <v>1691</v>
      </c>
      <c r="E535" s="79">
        <v>0</v>
      </c>
      <c r="F535" s="78" t="s">
        <v>1692</v>
      </c>
      <c r="G535" s="78" t="s">
        <v>1693</v>
      </c>
      <c r="H535" s="78" t="s">
        <v>1694</v>
      </c>
      <c r="I535" s="78">
        <v>1</v>
      </c>
      <c r="J535" s="79">
        <v>2.95</v>
      </c>
      <c r="K535" s="78" t="s">
        <v>1896</v>
      </c>
      <c r="M535">
        <f t="shared" si="16"/>
        <v>0</v>
      </c>
      <c r="N535" s="78">
        <f t="shared" si="17"/>
        <v>530</v>
      </c>
    </row>
    <row r="536" spans="1:14" s="78" customFormat="1" hidden="1" x14ac:dyDescent="0.25">
      <c r="A536" s="77" t="s">
        <v>890</v>
      </c>
      <c r="B536" s="77" t="s">
        <v>2010</v>
      </c>
      <c r="C536" s="77" t="s">
        <v>5</v>
      </c>
      <c r="D536" s="78" t="s">
        <v>1671</v>
      </c>
      <c r="E536" s="79">
        <v>0</v>
      </c>
      <c r="F536" s="78" t="s">
        <v>1672</v>
      </c>
      <c r="G536" s="78" t="s">
        <v>1673</v>
      </c>
      <c r="H536" s="78" t="s">
        <v>1674</v>
      </c>
      <c r="I536" s="78">
        <v>1</v>
      </c>
      <c r="J536" s="79">
        <v>3.95</v>
      </c>
      <c r="K536" s="78" t="s">
        <v>1896</v>
      </c>
      <c r="M536">
        <f t="shared" si="16"/>
        <v>0</v>
      </c>
      <c r="N536" s="78">
        <f t="shared" si="17"/>
        <v>531</v>
      </c>
    </row>
    <row r="537" spans="1:14" s="78" customFormat="1" hidden="1" x14ac:dyDescent="0.25">
      <c r="A537" s="77" t="s">
        <v>890</v>
      </c>
      <c r="B537" s="77" t="s">
        <v>2010</v>
      </c>
      <c r="C537" s="77" t="s">
        <v>5</v>
      </c>
      <c r="D537" s="78" t="s">
        <v>1719</v>
      </c>
      <c r="E537" s="79">
        <v>0</v>
      </c>
      <c r="F537" s="78" t="s">
        <v>1720</v>
      </c>
      <c r="G537" s="78" t="s">
        <v>1721</v>
      </c>
      <c r="H537" s="78" t="s">
        <v>1722</v>
      </c>
      <c r="I537" s="78">
        <v>1</v>
      </c>
      <c r="J537" s="79">
        <v>2.95</v>
      </c>
      <c r="K537" s="78" t="s">
        <v>1898</v>
      </c>
      <c r="M537">
        <f t="shared" si="16"/>
        <v>0</v>
      </c>
      <c r="N537" s="78">
        <f t="shared" si="17"/>
        <v>532</v>
      </c>
    </row>
    <row r="538" spans="1:14" s="78" customFormat="1" hidden="1" x14ac:dyDescent="0.25">
      <c r="A538" s="78" t="s">
        <v>890</v>
      </c>
      <c r="B538" s="78" t="s">
        <v>2010</v>
      </c>
      <c r="C538" s="78" t="s">
        <v>1884</v>
      </c>
      <c r="D538" s="78" t="s">
        <v>2224</v>
      </c>
      <c r="E538" s="79">
        <v>0</v>
      </c>
      <c r="H538" s="77" t="s">
        <v>2225</v>
      </c>
      <c r="I538" s="80"/>
      <c r="J538" s="85">
        <v>4.5</v>
      </c>
      <c r="K538" s="77" t="s">
        <v>1898</v>
      </c>
      <c r="L538" s="80"/>
      <c r="M538">
        <f t="shared" si="16"/>
        <v>0</v>
      </c>
      <c r="N538" s="78">
        <f t="shared" si="17"/>
        <v>533</v>
      </c>
    </row>
    <row r="539" spans="1:14" s="78" customFormat="1" x14ac:dyDescent="0.25">
      <c r="A539" s="77" t="s">
        <v>890</v>
      </c>
      <c r="B539" s="77" t="s">
        <v>2010</v>
      </c>
      <c r="C539" s="77" t="s">
        <v>5</v>
      </c>
      <c r="D539" s="78" t="s">
        <v>1108</v>
      </c>
      <c r="E539" s="79">
        <f>FilterSpecs!$C$3</f>
        <v>5</v>
      </c>
      <c r="F539" s="78" t="s">
        <v>1109</v>
      </c>
      <c r="G539" s="78" t="s">
        <v>1110</v>
      </c>
      <c r="H539" s="78" t="s">
        <v>1111</v>
      </c>
      <c r="I539" s="78">
        <v>1</v>
      </c>
      <c r="J539" s="79">
        <v>1.95</v>
      </c>
      <c r="K539" s="82" t="s">
        <v>1897</v>
      </c>
      <c r="M539">
        <f t="shared" si="16"/>
        <v>9.75</v>
      </c>
      <c r="N539" s="78">
        <f t="shared" si="17"/>
        <v>534</v>
      </c>
    </row>
    <row r="540" spans="1:14" s="78" customFormat="1" x14ac:dyDescent="0.25">
      <c r="A540" s="77" t="s">
        <v>890</v>
      </c>
      <c r="B540" s="77" t="s">
        <v>2010</v>
      </c>
      <c r="C540" s="77" t="s">
        <v>5</v>
      </c>
      <c r="D540" s="78" t="s">
        <v>1104</v>
      </c>
      <c r="E540" s="79">
        <f>FilterSpecs!$C$3</f>
        <v>5</v>
      </c>
      <c r="F540" s="78" t="s">
        <v>1105</v>
      </c>
      <c r="G540" s="78" t="s">
        <v>1106</v>
      </c>
      <c r="H540" s="78" t="s">
        <v>1107</v>
      </c>
      <c r="I540" s="78">
        <v>1</v>
      </c>
      <c r="J540" s="79">
        <v>1.95</v>
      </c>
      <c r="K540" s="82" t="s">
        <v>1897</v>
      </c>
      <c r="M540">
        <f t="shared" si="16"/>
        <v>9.75</v>
      </c>
      <c r="N540" s="78">
        <f t="shared" si="17"/>
        <v>535</v>
      </c>
    </row>
    <row r="541" spans="1:14" s="78" customFormat="1" x14ac:dyDescent="0.25">
      <c r="A541" s="77" t="s">
        <v>890</v>
      </c>
      <c r="B541" s="77" t="s">
        <v>2010</v>
      </c>
      <c r="C541" s="77" t="s">
        <v>5</v>
      </c>
      <c r="D541" s="78" t="s">
        <v>1112</v>
      </c>
      <c r="E541" s="79">
        <f>FilterSpecs!$C$3</f>
        <v>5</v>
      </c>
      <c r="F541" s="78" t="s">
        <v>1113</v>
      </c>
      <c r="G541" s="78" t="s">
        <v>1114</v>
      </c>
      <c r="H541" s="78" t="s">
        <v>1115</v>
      </c>
      <c r="I541" s="78">
        <v>1</v>
      </c>
      <c r="J541" s="79">
        <v>1.95</v>
      </c>
      <c r="K541" s="82" t="s">
        <v>1897</v>
      </c>
      <c r="M541">
        <f t="shared" si="16"/>
        <v>9.75</v>
      </c>
      <c r="N541" s="78">
        <f t="shared" si="17"/>
        <v>536</v>
      </c>
    </row>
    <row r="542" spans="1:14" s="78" customFormat="1" hidden="1" x14ac:dyDescent="0.25">
      <c r="A542" s="78" t="s">
        <v>890</v>
      </c>
      <c r="B542" s="78" t="s">
        <v>2010</v>
      </c>
      <c r="C542" s="78" t="s">
        <v>1884</v>
      </c>
      <c r="D542" s="78" t="s">
        <v>2212</v>
      </c>
      <c r="E542" s="79">
        <v>0</v>
      </c>
      <c r="H542" s="77" t="s">
        <v>2213</v>
      </c>
      <c r="I542" s="80"/>
      <c r="J542" s="85">
        <v>1.95</v>
      </c>
      <c r="K542" s="77" t="s">
        <v>1896</v>
      </c>
      <c r="L542" s="80"/>
      <c r="M542">
        <f t="shared" si="16"/>
        <v>0</v>
      </c>
      <c r="N542" s="78">
        <f t="shared" si="17"/>
        <v>537</v>
      </c>
    </row>
    <row r="543" spans="1:14" s="78" customFormat="1" hidden="1" x14ac:dyDescent="0.25">
      <c r="A543" s="77" t="s">
        <v>890</v>
      </c>
      <c r="B543" s="77" t="s">
        <v>1598</v>
      </c>
      <c r="C543" s="77" t="s">
        <v>5</v>
      </c>
      <c r="D543" s="78" t="s">
        <v>1649</v>
      </c>
      <c r="E543" s="79">
        <v>0</v>
      </c>
      <c r="F543" s="78" t="s">
        <v>1650</v>
      </c>
      <c r="G543" s="78" t="s">
        <v>1651</v>
      </c>
      <c r="H543" s="78" t="s">
        <v>1652</v>
      </c>
      <c r="I543" s="78">
        <v>1</v>
      </c>
      <c r="J543" s="79">
        <v>16.95</v>
      </c>
      <c r="K543" s="78" t="s">
        <v>1896</v>
      </c>
      <c r="M543">
        <f t="shared" si="16"/>
        <v>0</v>
      </c>
      <c r="N543" s="78">
        <f t="shared" si="17"/>
        <v>538</v>
      </c>
    </row>
    <row r="544" spans="1:14" s="78" customFormat="1" x14ac:dyDescent="0.25">
      <c r="A544" s="91" t="s">
        <v>890</v>
      </c>
      <c r="B544" s="91" t="s">
        <v>1598</v>
      </c>
      <c r="C544" s="91" t="s">
        <v>1884</v>
      </c>
      <c r="D544" s="91" t="s">
        <v>2441</v>
      </c>
      <c r="E544" s="92">
        <v>1</v>
      </c>
      <c r="F544" s="80"/>
      <c r="G544" s="80"/>
      <c r="H544" s="91" t="s">
        <v>2440</v>
      </c>
      <c r="I544" s="93">
        <v>109</v>
      </c>
      <c r="J544" s="92">
        <v>27.5</v>
      </c>
      <c r="K544" s="77" t="s">
        <v>1896</v>
      </c>
      <c r="L544" s="80"/>
      <c r="M544">
        <f t="shared" si="16"/>
        <v>27.5</v>
      </c>
      <c r="N544" s="78">
        <f t="shared" si="17"/>
        <v>539</v>
      </c>
    </row>
    <row r="545" spans="1:14" s="78" customFormat="1" hidden="1" x14ac:dyDescent="0.25">
      <c r="A545" s="77" t="s">
        <v>890</v>
      </c>
      <c r="B545" s="77" t="s">
        <v>1598</v>
      </c>
      <c r="C545" s="77" t="s">
        <v>5</v>
      </c>
      <c r="D545" s="78" t="s">
        <v>1388</v>
      </c>
      <c r="E545" s="79">
        <v>0</v>
      </c>
      <c r="F545" s="78" t="s">
        <v>1389</v>
      </c>
      <c r="G545" s="78" t="s">
        <v>1390</v>
      </c>
      <c r="H545" s="78" t="s">
        <v>1391</v>
      </c>
      <c r="I545" s="78">
        <v>1</v>
      </c>
      <c r="J545" s="79">
        <v>2.5</v>
      </c>
      <c r="K545" s="78" t="s">
        <v>1898</v>
      </c>
      <c r="M545">
        <f t="shared" si="16"/>
        <v>0</v>
      </c>
      <c r="N545" s="78">
        <f t="shared" si="17"/>
        <v>540</v>
      </c>
    </row>
    <row r="546" spans="1:14" s="78" customFormat="1" hidden="1" x14ac:dyDescent="0.25">
      <c r="A546" s="77" t="s">
        <v>890</v>
      </c>
      <c r="B546" s="77" t="s">
        <v>1598</v>
      </c>
      <c r="C546" s="77" t="s">
        <v>5</v>
      </c>
      <c r="D546" s="78" t="s">
        <v>1380</v>
      </c>
      <c r="E546" s="79">
        <v>0</v>
      </c>
      <c r="F546" s="78" t="s">
        <v>1381</v>
      </c>
      <c r="G546" s="78" t="s">
        <v>1382</v>
      </c>
      <c r="H546" s="78" t="s">
        <v>1383</v>
      </c>
      <c r="I546" s="78">
        <v>1</v>
      </c>
      <c r="J546" s="79">
        <v>2.5</v>
      </c>
      <c r="K546" s="78" t="s">
        <v>1898</v>
      </c>
      <c r="M546">
        <f t="shared" si="16"/>
        <v>0</v>
      </c>
      <c r="N546" s="78">
        <f t="shared" si="17"/>
        <v>541</v>
      </c>
    </row>
    <row r="547" spans="1:14" s="78" customFormat="1" hidden="1" x14ac:dyDescent="0.25">
      <c r="A547" s="77" t="s">
        <v>890</v>
      </c>
      <c r="B547" s="77" t="s">
        <v>1598</v>
      </c>
      <c r="C547" s="77" t="s">
        <v>5</v>
      </c>
      <c r="D547" s="78" t="s">
        <v>1384</v>
      </c>
      <c r="E547" s="79">
        <v>0</v>
      </c>
      <c r="F547" s="78" t="s">
        <v>1385</v>
      </c>
      <c r="G547" s="78" t="s">
        <v>1386</v>
      </c>
      <c r="H547" s="78" t="s">
        <v>1387</v>
      </c>
      <c r="I547" s="78">
        <v>1</v>
      </c>
      <c r="J547" s="79">
        <v>2.5</v>
      </c>
      <c r="K547" s="78" t="s">
        <v>1898</v>
      </c>
      <c r="M547">
        <f t="shared" si="16"/>
        <v>0</v>
      </c>
      <c r="N547" s="78">
        <f t="shared" si="17"/>
        <v>542</v>
      </c>
    </row>
    <row r="548" spans="1:14" s="78" customFormat="1" hidden="1" x14ac:dyDescent="0.25">
      <c r="A548" s="77" t="s">
        <v>890</v>
      </c>
      <c r="B548" s="77" t="s">
        <v>1598</v>
      </c>
      <c r="C548" s="77" t="s">
        <v>5</v>
      </c>
      <c r="D548" s="78" t="s">
        <v>1641</v>
      </c>
      <c r="E548" s="79">
        <v>0</v>
      </c>
      <c r="F548" s="78" t="s">
        <v>1642</v>
      </c>
      <c r="G548" s="78" t="s">
        <v>1643</v>
      </c>
      <c r="H548" s="78" t="s">
        <v>1644</v>
      </c>
      <c r="J548" s="79">
        <v>2.95</v>
      </c>
      <c r="K548" s="78" t="s">
        <v>1896</v>
      </c>
      <c r="M548">
        <f t="shared" si="16"/>
        <v>0</v>
      </c>
      <c r="N548" s="78">
        <f t="shared" si="17"/>
        <v>543</v>
      </c>
    </row>
    <row r="549" spans="1:14" s="78" customFormat="1" hidden="1" x14ac:dyDescent="0.25">
      <c r="A549" s="77" t="s">
        <v>890</v>
      </c>
      <c r="B549" s="77" t="s">
        <v>1598</v>
      </c>
      <c r="C549" s="77" t="s">
        <v>5</v>
      </c>
      <c r="D549" s="78" t="s">
        <v>1376</v>
      </c>
      <c r="E549" s="79">
        <v>0</v>
      </c>
      <c r="F549" s="78" t="s">
        <v>1377</v>
      </c>
      <c r="G549" s="78" t="s">
        <v>1378</v>
      </c>
      <c r="H549" s="78" t="s">
        <v>1379</v>
      </c>
      <c r="I549" s="78">
        <v>1</v>
      </c>
      <c r="J549" s="79">
        <v>2.5</v>
      </c>
      <c r="K549" s="78" t="s">
        <v>1899</v>
      </c>
      <c r="M549">
        <f t="shared" si="16"/>
        <v>0</v>
      </c>
      <c r="N549" s="78">
        <f t="shared" si="17"/>
        <v>544</v>
      </c>
    </row>
    <row r="550" spans="1:14" s="78" customFormat="1" hidden="1" x14ac:dyDescent="0.25">
      <c r="A550" s="77" t="s">
        <v>890</v>
      </c>
      <c r="B550" s="77" t="s">
        <v>1598</v>
      </c>
      <c r="C550" s="77" t="s">
        <v>5</v>
      </c>
      <c r="D550" s="78" t="s">
        <v>1645</v>
      </c>
      <c r="E550" s="79">
        <v>0</v>
      </c>
      <c r="F550" s="78" t="s">
        <v>1646</v>
      </c>
      <c r="G550" s="78" t="s">
        <v>1647</v>
      </c>
      <c r="H550" s="78" t="s">
        <v>1648</v>
      </c>
      <c r="J550" s="79">
        <v>2.95</v>
      </c>
      <c r="K550" s="78" t="s">
        <v>1896</v>
      </c>
      <c r="M550">
        <f t="shared" si="16"/>
        <v>0</v>
      </c>
      <c r="N550" s="78">
        <f t="shared" si="17"/>
        <v>545</v>
      </c>
    </row>
    <row r="551" spans="1:14" s="78" customFormat="1" x14ac:dyDescent="0.25">
      <c r="A551" s="77" t="s">
        <v>890</v>
      </c>
      <c r="B551" s="77" t="s">
        <v>1598</v>
      </c>
      <c r="C551" s="77" t="s">
        <v>5</v>
      </c>
      <c r="D551" s="78" t="s">
        <v>410</v>
      </c>
      <c r="E551" s="79">
        <v>2</v>
      </c>
      <c r="F551" s="78" t="s">
        <v>411</v>
      </c>
      <c r="G551" s="78" t="s">
        <v>412</v>
      </c>
      <c r="H551" s="78" t="s">
        <v>413</v>
      </c>
      <c r="I551" s="78">
        <v>1</v>
      </c>
      <c r="J551" s="79">
        <v>6.95</v>
      </c>
      <c r="K551" s="78" t="s">
        <v>1896</v>
      </c>
      <c r="M551">
        <f t="shared" si="16"/>
        <v>13.9</v>
      </c>
      <c r="N551" s="78">
        <f t="shared" si="17"/>
        <v>546</v>
      </c>
    </row>
    <row r="552" spans="1:14" s="78" customFormat="1" hidden="1" x14ac:dyDescent="0.25">
      <c r="A552" s="91" t="s">
        <v>890</v>
      </c>
      <c r="B552" s="91" t="s">
        <v>1598</v>
      </c>
      <c r="C552" s="91" t="s">
        <v>1884</v>
      </c>
      <c r="D552" s="91" t="s">
        <v>2443</v>
      </c>
      <c r="E552" s="92">
        <v>0</v>
      </c>
      <c r="F552" s="80"/>
      <c r="G552" s="80"/>
      <c r="H552" s="91" t="s">
        <v>2442</v>
      </c>
      <c r="I552" s="93">
        <v>110</v>
      </c>
      <c r="J552" s="92">
        <v>7.95</v>
      </c>
      <c r="K552" s="77" t="s">
        <v>1896</v>
      </c>
      <c r="L552" s="80"/>
      <c r="M552">
        <f t="shared" si="16"/>
        <v>0</v>
      </c>
      <c r="N552" s="78">
        <f t="shared" si="17"/>
        <v>547</v>
      </c>
    </row>
    <row r="553" spans="1:14" s="78" customFormat="1" x14ac:dyDescent="0.25">
      <c r="A553" s="77" t="s">
        <v>13</v>
      </c>
      <c r="B553" s="77" t="s">
        <v>1600</v>
      </c>
      <c r="C553" s="77" t="s">
        <v>5</v>
      </c>
      <c r="D553" s="78" t="s">
        <v>1185</v>
      </c>
      <c r="E553" s="79">
        <v>0</v>
      </c>
      <c r="F553" s="78" t="s">
        <v>1186</v>
      </c>
      <c r="G553" s="78" t="s">
        <v>1187</v>
      </c>
      <c r="H553" s="78" t="s">
        <v>1188</v>
      </c>
      <c r="I553" s="78">
        <v>1</v>
      </c>
      <c r="J553" s="79">
        <v>34.950000000000003</v>
      </c>
      <c r="K553" s="78" t="s">
        <v>1900</v>
      </c>
      <c r="L553" s="80"/>
      <c r="M553">
        <f t="shared" si="16"/>
        <v>0</v>
      </c>
      <c r="N553" s="78">
        <f t="shared" si="17"/>
        <v>548</v>
      </c>
    </row>
    <row r="554" spans="1:14" s="78" customFormat="1" hidden="1" x14ac:dyDescent="0.25">
      <c r="A554" s="91" t="s">
        <v>13</v>
      </c>
      <c r="B554" s="91" t="s">
        <v>1600</v>
      </c>
      <c r="C554" s="91" t="s">
        <v>1884</v>
      </c>
      <c r="D554" s="91" t="s">
        <v>2439</v>
      </c>
      <c r="E554" s="92">
        <v>0</v>
      </c>
      <c r="F554" s="80"/>
      <c r="G554" s="80"/>
      <c r="H554" s="91" t="s">
        <v>2438</v>
      </c>
      <c r="I554" s="93">
        <v>108</v>
      </c>
      <c r="J554" s="92">
        <v>100</v>
      </c>
      <c r="K554" s="77" t="s">
        <v>1896</v>
      </c>
      <c r="L554" s="80"/>
      <c r="M554">
        <f t="shared" si="16"/>
        <v>0</v>
      </c>
      <c r="N554" s="78">
        <f t="shared" si="17"/>
        <v>549</v>
      </c>
    </row>
    <row r="555" spans="1:14" s="78" customFormat="1" hidden="1" x14ac:dyDescent="0.25">
      <c r="A555" s="77" t="s">
        <v>13</v>
      </c>
      <c r="B555" s="77" t="s">
        <v>1600</v>
      </c>
      <c r="C555" s="77" t="s">
        <v>5</v>
      </c>
      <c r="D555" s="78" t="s">
        <v>1628</v>
      </c>
      <c r="E555" s="79">
        <v>0</v>
      </c>
      <c r="F555" s="78" t="s">
        <v>1629</v>
      </c>
      <c r="G555" s="78" t="s">
        <v>1630</v>
      </c>
      <c r="H555" s="78" t="s">
        <v>1631</v>
      </c>
      <c r="J555" s="79">
        <v>59.95</v>
      </c>
      <c r="K555" s="78" t="s">
        <v>1900</v>
      </c>
      <c r="L555" s="80"/>
      <c r="M555">
        <f t="shared" si="16"/>
        <v>0</v>
      </c>
      <c r="N555" s="78">
        <f t="shared" si="17"/>
        <v>550</v>
      </c>
    </row>
    <row r="556" spans="1:14" s="78" customFormat="1" x14ac:dyDescent="0.25">
      <c r="A556" s="77" t="s">
        <v>13</v>
      </c>
      <c r="B556" s="77" t="s">
        <v>1600</v>
      </c>
      <c r="C556" s="77" t="s">
        <v>5</v>
      </c>
      <c r="D556" s="78" t="s">
        <v>1636</v>
      </c>
      <c r="E556" s="79">
        <v>0</v>
      </c>
      <c r="F556" s="78" t="s">
        <v>1637</v>
      </c>
      <c r="G556" s="78" t="s">
        <v>1638</v>
      </c>
      <c r="H556" s="78" t="s">
        <v>1639</v>
      </c>
      <c r="J556" s="79">
        <v>4.95</v>
      </c>
      <c r="K556" s="78" t="s">
        <v>1900</v>
      </c>
      <c r="L556" s="80"/>
      <c r="M556">
        <f t="shared" si="16"/>
        <v>0</v>
      </c>
      <c r="N556" s="78">
        <f t="shared" si="17"/>
        <v>551</v>
      </c>
    </row>
    <row r="557" spans="1:14" s="78" customFormat="1" x14ac:dyDescent="0.25">
      <c r="A557" s="77" t="s">
        <v>13</v>
      </c>
      <c r="B557" s="77" t="s">
        <v>1600</v>
      </c>
      <c r="C557" s="77" t="s">
        <v>5</v>
      </c>
      <c r="D557" s="78" t="s">
        <v>1608</v>
      </c>
      <c r="E557" s="79">
        <v>0</v>
      </c>
      <c r="F557" s="78" t="s">
        <v>1609</v>
      </c>
      <c r="G557" s="78" t="s">
        <v>1610</v>
      </c>
      <c r="H557" s="78" t="s">
        <v>1611</v>
      </c>
      <c r="I557" s="78">
        <v>1</v>
      </c>
      <c r="J557" s="79">
        <v>2.95</v>
      </c>
      <c r="K557" s="78" t="s">
        <v>1900</v>
      </c>
      <c r="L557" s="80"/>
      <c r="M557">
        <f t="shared" si="16"/>
        <v>0</v>
      </c>
      <c r="N557" s="78">
        <f t="shared" si="17"/>
        <v>552</v>
      </c>
    </row>
    <row r="558" spans="1:14" s="78" customFormat="1" x14ac:dyDescent="0.25">
      <c r="A558" s="77" t="s">
        <v>13</v>
      </c>
      <c r="B558" s="77" t="s">
        <v>1600</v>
      </c>
      <c r="C558" s="77" t="s">
        <v>5</v>
      </c>
      <c r="D558" s="78" t="s">
        <v>1428</v>
      </c>
      <c r="E558" s="79">
        <v>1</v>
      </c>
      <c r="F558" s="78" t="s">
        <v>1429</v>
      </c>
      <c r="G558" s="78" t="s">
        <v>1430</v>
      </c>
      <c r="H558" s="78" t="s">
        <v>1431</v>
      </c>
      <c r="I558" s="78">
        <v>1</v>
      </c>
      <c r="J558" s="79">
        <v>16.95</v>
      </c>
      <c r="K558" s="78" t="s">
        <v>1900</v>
      </c>
      <c r="L558" s="80"/>
      <c r="M558">
        <f t="shared" si="16"/>
        <v>16.95</v>
      </c>
      <c r="N558" s="78">
        <f t="shared" si="17"/>
        <v>553</v>
      </c>
    </row>
    <row r="559" spans="1:14" s="78" customFormat="1" x14ac:dyDescent="0.25">
      <c r="A559" s="77" t="s">
        <v>13</v>
      </c>
      <c r="B559" s="77" t="s">
        <v>1600</v>
      </c>
      <c r="C559" s="77" t="s">
        <v>5</v>
      </c>
      <c r="D559" s="78" t="s">
        <v>850</v>
      </c>
      <c r="E559" s="79">
        <v>0</v>
      </c>
      <c r="F559" s="78" t="s">
        <v>851</v>
      </c>
      <c r="G559" s="78" t="s">
        <v>852</v>
      </c>
      <c r="H559" s="78" t="s">
        <v>853</v>
      </c>
      <c r="J559" s="79">
        <v>114.95</v>
      </c>
      <c r="K559" s="78" t="s">
        <v>1900</v>
      </c>
      <c r="M559">
        <f t="shared" si="16"/>
        <v>0</v>
      </c>
      <c r="N559" s="78">
        <f t="shared" si="17"/>
        <v>554</v>
      </c>
    </row>
    <row r="560" spans="1:14" s="78" customFormat="1" hidden="1" x14ac:dyDescent="0.25">
      <c r="A560" s="78" t="s">
        <v>13</v>
      </c>
      <c r="B560" s="78" t="s">
        <v>1600</v>
      </c>
      <c r="C560" s="78" t="s">
        <v>1884</v>
      </c>
      <c r="D560" s="78" t="s">
        <v>2366</v>
      </c>
      <c r="E560" s="79">
        <v>0</v>
      </c>
      <c r="H560" s="77" t="s">
        <v>2367</v>
      </c>
      <c r="I560" s="80"/>
      <c r="J560" s="85">
        <v>97.5</v>
      </c>
      <c r="K560" s="77" t="s">
        <v>1899</v>
      </c>
      <c r="L560" s="80"/>
      <c r="M560">
        <f t="shared" si="16"/>
        <v>0</v>
      </c>
      <c r="N560" s="78">
        <f t="shared" si="17"/>
        <v>555</v>
      </c>
    </row>
    <row r="561" spans="1:14" s="78" customFormat="1" x14ac:dyDescent="0.25">
      <c r="A561" s="77" t="s">
        <v>13</v>
      </c>
      <c r="B561" s="77" t="s">
        <v>1600</v>
      </c>
      <c r="C561" s="77" t="s">
        <v>5</v>
      </c>
      <c r="D561" s="78" t="s">
        <v>1624</v>
      </c>
      <c r="E561" s="79">
        <v>0</v>
      </c>
      <c r="F561" s="78" t="s">
        <v>1625</v>
      </c>
      <c r="G561" s="78" t="s">
        <v>1626</v>
      </c>
      <c r="H561" s="78" t="s">
        <v>1627</v>
      </c>
      <c r="J561" s="79">
        <v>14.95</v>
      </c>
      <c r="K561" s="78" t="s">
        <v>1900</v>
      </c>
      <c r="L561" s="80"/>
      <c r="M561">
        <f t="shared" si="16"/>
        <v>0</v>
      </c>
      <c r="N561" s="78">
        <f t="shared" si="17"/>
        <v>556</v>
      </c>
    </row>
    <row r="562" spans="1:14" s="78" customFormat="1" hidden="1" x14ac:dyDescent="0.25">
      <c r="A562" s="77" t="s">
        <v>13</v>
      </c>
      <c r="B562" s="77" t="s">
        <v>1600</v>
      </c>
      <c r="C562" s="77" t="s">
        <v>5</v>
      </c>
      <c r="D562" s="78" t="s">
        <v>842</v>
      </c>
      <c r="E562" s="79">
        <v>0</v>
      </c>
      <c r="F562" s="78" t="s">
        <v>843</v>
      </c>
      <c r="G562" s="78" t="s">
        <v>844</v>
      </c>
      <c r="H562" s="78" t="s">
        <v>845</v>
      </c>
      <c r="I562" s="78">
        <v>1</v>
      </c>
      <c r="J562" s="79">
        <v>13.95</v>
      </c>
      <c r="K562" s="78" t="s">
        <v>1900</v>
      </c>
      <c r="L562" s="80" t="s">
        <v>1295</v>
      </c>
      <c r="M562">
        <f t="shared" si="16"/>
        <v>0</v>
      </c>
      <c r="N562" s="78">
        <f t="shared" si="17"/>
        <v>557</v>
      </c>
    </row>
    <row r="563" spans="1:14" s="78" customFormat="1" hidden="1" x14ac:dyDescent="0.25">
      <c r="A563" s="78" t="s">
        <v>13</v>
      </c>
      <c r="B563" s="78" t="s">
        <v>1600</v>
      </c>
      <c r="C563" s="78" t="s">
        <v>1884</v>
      </c>
      <c r="D563" s="78" t="s">
        <v>2370</v>
      </c>
      <c r="E563" s="79">
        <v>0</v>
      </c>
      <c r="H563" s="77" t="s">
        <v>2371</v>
      </c>
      <c r="I563" s="80"/>
      <c r="J563" s="85">
        <v>9.9499999999999993</v>
      </c>
      <c r="K563" s="77" t="s">
        <v>1896</v>
      </c>
      <c r="L563" s="80"/>
      <c r="M563">
        <f t="shared" si="16"/>
        <v>0</v>
      </c>
      <c r="N563" s="78">
        <f t="shared" si="17"/>
        <v>558</v>
      </c>
    </row>
    <row r="564" spans="1:14" s="78" customFormat="1" hidden="1" x14ac:dyDescent="0.25">
      <c r="A564" s="77" t="s">
        <v>13</v>
      </c>
      <c r="B564" s="77" t="s">
        <v>1601</v>
      </c>
      <c r="C564" s="77" t="s">
        <v>5</v>
      </c>
      <c r="D564" s="78" t="s">
        <v>874</v>
      </c>
      <c r="E564" s="79">
        <v>0</v>
      </c>
      <c r="F564" s="78" t="s">
        <v>875</v>
      </c>
      <c r="G564" s="78" t="s">
        <v>876</v>
      </c>
      <c r="H564" s="78" t="s">
        <v>877</v>
      </c>
      <c r="J564" s="79">
        <v>32.950000000000003</v>
      </c>
      <c r="K564" s="78" t="s">
        <v>1900</v>
      </c>
      <c r="L564" s="80"/>
      <c r="M564">
        <f t="shared" si="16"/>
        <v>0</v>
      </c>
      <c r="N564" s="78">
        <f t="shared" si="17"/>
        <v>559</v>
      </c>
    </row>
    <row r="565" spans="1:14" s="78" customFormat="1" hidden="1" x14ac:dyDescent="0.25">
      <c r="A565" s="77" t="s">
        <v>13</v>
      </c>
      <c r="B565" s="77" t="s">
        <v>1601</v>
      </c>
      <c r="C565" s="77" t="s">
        <v>5</v>
      </c>
      <c r="D565" s="78" t="s">
        <v>1132</v>
      </c>
      <c r="E565" s="79">
        <v>0</v>
      </c>
      <c r="F565" s="78" t="s">
        <v>1133</v>
      </c>
      <c r="G565" s="78" t="s">
        <v>1134</v>
      </c>
      <c r="H565" s="78" t="s">
        <v>1135</v>
      </c>
      <c r="I565" s="78">
        <v>1</v>
      </c>
      <c r="J565" s="79">
        <v>29.95</v>
      </c>
      <c r="K565" s="78" t="s">
        <v>1900</v>
      </c>
      <c r="L565" s="80"/>
      <c r="M565">
        <f t="shared" si="16"/>
        <v>0</v>
      </c>
      <c r="N565" s="78">
        <f t="shared" si="17"/>
        <v>560</v>
      </c>
    </row>
    <row r="566" spans="1:14" s="78" customFormat="1" hidden="1" x14ac:dyDescent="0.25">
      <c r="A566" s="77" t="s">
        <v>13</v>
      </c>
      <c r="B566" s="77" t="s">
        <v>1601</v>
      </c>
      <c r="C566" s="77" t="s">
        <v>5</v>
      </c>
      <c r="D566" s="78" t="s">
        <v>846</v>
      </c>
      <c r="E566" s="79">
        <v>0</v>
      </c>
      <c r="F566" s="78" t="s">
        <v>847</v>
      </c>
      <c r="G566" s="78" t="s">
        <v>848</v>
      </c>
      <c r="H566" s="78" t="s">
        <v>849</v>
      </c>
      <c r="I566" s="78">
        <v>1</v>
      </c>
      <c r="J566" s="79">
        <v>9.9499999999999993</v>
      </c>
      <c r="K566" s="78" t="s">
        <v>1900</v>
      </c>
      <c r="L566" s="80"/>
      <c r="M566">
        <f t="shared" si="16"/>
        <v>0</v>
      </c>
      <c r="N566" s="78">
        <f t="shared" si="17"/>
        <v>561</v>
      </c>
    </row>
    <row r="567" spans="1:14" s="78" customFormat="1" x14ac:dyDescent="0.25">
      <c r="A567" s="78" t="s">
        <v>13</v>
      </c>
      <c r="B567" s="78" t="s">
        <v>1601</v>
      </c>
      <c r="C567" s="78" t="s">
        <v>1884</v>
      </c>
      <c r="D567" s="78" t="s">
        <v>2368</v>
      </c>
      <c r="E567" s="79">
        <v>1</v>
      </c>
      <c r="H567" s="77" t="s">
        <v>2369</v>
      </c>
      <c r="I567" s="80"/>
      <c r="J567" s="85">
        <v>54.95</v>
      </c>
      <c r="K567" s="77" t="s">
        <v>1900</v>
      </c>
      <c r="L567" s="80"/>
      <c r="M567">
        <f t="shared" si="16"/>
        <v>54.95</v>
      </c>
      <c r="N567" s="78">
        <f t="shared" si="17"/>
        <v>562</v>
      </c>
    </row>
    <row r="568" spans="1:14" s="78" customFormat="1" x14ac:dyDescent="0.25">
      <c r="A568" s="77" t="s">
        <v>13</v>
      </c>
      <c r="B568" s="77" t="s">
        <v>1601</v>
      </c>
      <c r="C568" s="77" t="s">
        <v>5</v>
      </c>
      <c r="D568" s="78" t="s">
        <v>866</v>
      </c>
      <c r="E568" s="79">
        <v>1</v>
      </c>
      <c r="F568" s="78" t="s">
        <v>867</v>
      </c>
      <c r="G568" s="78" t="s">
        <v>868</v>
      </c>
      <c r="H568" s="78" t="s">
        <v>869</v>
      </c>
      <c r="I568" s="78">
        <v>1</v>
      </c>
      <c r="J568" s="79">
        <v>9.9499999999999993</v>
      </c>
      <c r="K568" s="78" t="s">
        <v>1900</v>
      </c>
      <c r="L568" s="80"/>
      <c r="M568">
        <f t="shared" si="16"/>
        <v>9.9499999999999993</v>
      </c>
      <c r="N568" s="78">
        <f t="shared" si="17"/>
        <v>563</v>
      </c>
    </row>
    <row r="569" spans="1:14" s="78" customFormat="1" x14ac:dyDescent="0.25">
      <c r="A569" s="77" t="s">
        <v>13</v>
      </c>
      <c r="B569" s="77" t="s">
        <v>1601</v>
      </c>
      <c r="C569" s="77" t="s">
        <v>5</v>
      </c>
      <c r="D569" s="78" t="s">
        <v>122</v>
      </c>
      <c r="E569" s="79">
        <v>1</v>
      </c>
      <c r="F569" s="78" t="s">
        <v>123</v>
      </c>
      <c r="G569" s="78" t="s">
        <v>124</v>
      </c>
      <c r="H569" s="78" t="s">
        <v>125</v>
      </c>
      <c r="J569" s="79">
        <v>14.95</v>
      </c>
      <c r="K569" s="78" t="s">
        <v>1899</v>
      </c>
      <c r="L569" s="80"/>
      <c r="M569">
        <f t="shared" si="16"/>
        <v>14.95</v>
      </c>
      <c r="N569" s="78">
        <f t="shared" si="17"/>
        <v>564</v>
      </c>
    </row>
    <row r="570" spans="1:14" s="78" customFormat="1" x14ac:dyDescent="0.25">
      <c r="A570" s="77" t="s">
        <v>13</v>
      </c>
      <c r="B570" s="77" t="s">
        <v>1601</v>
      </c>
      <c r="C570" s="77" t="s">
        <v>5</v>
      </c>
      <c r="D570" s="78" t="s">
        <v>126</v>
      </c>
      <c r="E570" s="79">
        <v>1</v>
      </c>
      <c r="F570" s="78" t="s">
        <v>127</v>
      </c>
      <c r="G570" s="78" t="s">
        <v>128</v>
      </c>
      <c r="H570" s="78" t="s">
        <v>129</v>
      </c>
      <c r="I570" s="78">
        <v>1</v>
      </c>
      <c r="J570" s="79">
        <v>0.1</v>
      </c>
      <c r="K570" s="78" t="s">
        <v>1896</v>
      </c>
      <c r="L570" s="80"/>
      <c r="M570">
        <f t="shared" si="16"/>
        <v>0.1</v>
      </c>
      <c r="N570" s="78">
        <f t="shared" si="17"/>
        <v>565</v>
      </c>
    </row>
    <row r="571" spans="1:14" s="78" customFormat="1" x14ac:dyDescent="0.25">
      <c r="A571" s="77" t="s">
        <v>13</v>
      </c>
      <c r="B571" s="77" t="s">
        <v>1599</v>
      </c>
      <c r="C571" s="77" t="s">
        <v>5</v>
      </c>
      <c r="D571" s="78" t="s">
        <v>1612</v>
      </c>
      <c r="E571" s="79">
        <v>1</v>
      </c>
      <c r="F571" s="78" t="s">
        <v>1613</v>
      </c>
      <c r="G571" s="78" t="s">
        <v>1614</v>
      </c>
      <c r="H571" s="78" t="s">
        <v>1615</v>
      </c>
      <c r="J571" s="79">
        <v>4.95</v>
      </c>
      <c r="K571" s="78" t="s">
        <v>1900</v>
      </c>
      <c r="L571" s="80"/>
      <c r="M571">
        <f t="shared" si="16"/>
        <v>4.95</v>
      </c>
      <c r="N571" s="78">
        <f t="shared" si="17"/>
        <v>566</v>
      </c>
    </row>
    <row r="572" spans="1:14" s="78" customFormat="1" x14ac:dyDescent="0.25">
      <c r="A572" s="77" t="s">
        <v>13</v>
      </c>
      <c r="B572" s="77" t="s">
        <v>1599</v>
      </c>
      <c r="C572" s="77" t="s">
        <v>5</v>
      </c>
      <c r="D572" s="78" t="s">
        <v>830</v>
      </c>
      <c r="E572" s="79">
        <v>1</v>
      </c>
      <c r="F572" s="78" t="s">
        <v>831</v>
      </c>
      <c r="G572" s="78" t="s">
        <v>832</v>
      </c>
      <c r="H572" s="78" t="s">
        <v>833</v>
      </c>
      <c r="J572" s="79">
        <v>4.95</v>
      </c>
      <c r="K572" s="78" t="s">
        <v>1900</v>
      </c>
      <c r="L572" s="80"/>
      <c r="M572">
        <f t="shared" si="16"/>
        <v>4.95</v>
      </c>
      <c r="N572" s="78">
        <f t="shared" si="17"/>
        <v>567</v>
      </c>
    </row>
    <row r="573" spans="1:14" s="78" customFormat="1" x14ac:dyDescent="0.25">
      <c r="A573" s="77" t="s">
        <v>13</v>
      </c>
      <c r="B573" s="77" t="s">
        <v>1599</v>
      </c>
      <c r="C573" s="77" t="s">
        <v>5</v>
      </c>
      <c r="D573" s="78" t="s">
        <v>862</v>
      </c>
      <c r="E573" s="79">
        <v>1</v>
      </c>
      <c r="F573" s="78" t="s">
        <v>863</v>
      </c>
      <c r="G573" s="78" t="s">
        <v>864</v>
      </c>
      <c r="H573" s="78" t="s">
        <v>865</v>
      </c>
      <c r="I573" s="78">
        <v>1</v>
      </c>
      <c r="J573" s="79">
        <v>3.95</v>
      </c>
      <c r="K573" s="78" t="s">
        <v>1900</v>
      </c>
      <c r="L573" s="80"/>
      <c r="M573">
        <f t="shared" si="16"/>
        <v>3.95</v>
      </c>
      <c r="N573" s="78">
        <f t="shared" si="17"/>
        <v>568</v>
      </c>
    </row>
    <row r="574" spans="1:14" s="78" customFormat="1" x14ac:dyDescent="0.25">
      <c r="A574" s="77" t="s">
        <v>13</v>
      </c>
      <c r="B574" s="77" t="s">
        <v>1599</v>
      </c>
      <c r="C574" s="77" t="s">
        <v>5</v>
      </c>
      <c r="D574" s="78" t="s">
        <v>854</v>
      </c>
      <c r="E574" s="79">
        <v>1</v>
      </c>
      <c r="F574" s="78" t="s">
        <v>855</v>
      </c>
      <c r="G574" s="78" t="s">
        <v>856</v>
      </c>
      <c r="H574" s="78" t="s">
        <v>857</v>
      </c>
      <c r="I574" s="78">
        <v>1</v>
      </c>
      <c r="J574" s="79">
        <v>3.95</v>
      </c>
      <c r="K574" s="78" t="s">
        <v>1900</v>
      </c>
      <c r="L574" s="80"/>
      <c r="M574">
        <f t="shared" si="16"/>
        <v>3.95</v>
      </c>
      <c r="N574" s="78">
        <f t="shared" si="17"/>
        <v>569</v>
      </c>
    </row>
    <row r="575" spans="1:14" s="78" customFormat="1" x14ac:dyDescent="0.25">
      <c r="A575" s="77" t="s">
        <v>13</v>
      </c>
      <c r="B575" s="77" t="s">
        <v>1599</v>
      </c>
      <c r="C575" s="77" t="s">
        <v>5</v>
      </c>
      <c r="D575" s="78" t="s">
        <v>838</v>
      </c>
      <c r="E575" s="79">
        <v>1</v>
      </c>
      <c r="F575" s="78" t="s">
        <v>839</v>
      </c>
      <c r="G575" s="78" t="s">
        <v>840</v>
      </c>
      <c r="H575" s="78" t="s">
        <v>841</v>
      </c>
      <c r="I575" s="78">
        <v>1</v>
      </c>
      <c r="J575" s="79">
        <v>3.95</v>
      </c>
      <c r="K575" s="78" t="s">
        <v>1900</v>
      </c>
      <c r="L575" s="80"/>
      <c r="M575">
        <f t="shared" si="16"/>
        <v>3.95</v>
      </c>
      <c r="N575" s="78">
        <f t="shared" si="17"/>
        <v>570</v>
      </c>
    </row>
    <row r="576" spans="1:14" s="78" customFormat="1" x14ac:dyDescent="0.25">
      <c r="A576" s="77" t="s">
        <v>13</v>
      </c>
      <c r="B576" s="77" t="s">
        <v>1599</v>
      </c>
      <c r="C576" s="77" t="s">
        <v>5</v>
      </c>
      <c r="D576" s="78" t="s">
        <v>1632</v>
      </c>
      <c r="E576" s="79">
        <v>0</v>
      </c>
      <c r="F576" s="78" t="s">
        <v>1633</v>
      </c>
      <c r="G576" s="78" t="s">
        <v>1634</v>
      </c>
      <c r="H576" s="78" t="s">
        <v>1635</v>
      </c>
      <c r="I576" s="78">
        <v>1</v>
      </c>
      <c r="J576" s="79">
        <v>1.95</v>
      </c>
      <c r="K576" s="78" t="s">
        <v>1900</v>
      </c>
      <c r="L576" s="80"/>
      <c r="M576">
        <f t="shared" si="16"/>
        <v>0</v>
      </c>
      <c r="N576" s="78">
        <f t="shared" si="17"/>
        <v>571</v>
      </c>
    </row>
    <row r="577" spans="1:14" s="78" customFormat="1" hidden="1" x14ac:dyDescent="0.25">
      <c r="A577" s="91" t="s">
        <v>13</v>
      </c>
      <c r="B577" s="91" t="s">
        <v>1599</v>
      </c>
      <c r="C577" s="91" t="s">
        <v>1884</v>
      </c>
      <c r="D577" s="91" t="s">
        <v>2449</v>
      </c>
      <c r="E577" s="92">
        <v>0</v>
      </c>
      <c r="F577" s="80"/>
      <c r="G577" s="80"/>
      <c r="H577" s="91" t="s">
        <v>2448</v>
      </c>
      <c r="I577" s="93">
        <v>113</v>
      </c>
      <c r="J577" s="92">
        <v>11.95</v>
      </c>
      <c r="K577" s="77" t="s">
        <v>1896</v>
      </c>
      <c r="L577" s="80"/>
      <c r="M577">
        <f t="shared" si="16"/>
        <v>0</v>
      </c>
      <c r="N577" s="78">
        <f t="shared" si="17"/>
        <v>572</v>
      </c>
    </row>
    <row r="578" spans="1:14" s="78" customFormat="1" hidden="1" x14ac:dyDescent="0.25">
      <c r="A578" s="91" t="s">
        <v>13</v>
      </c>
      <c r="B578" s="91" t="s">
        <v>1599</v>
      </c>
      <c r="C578" s="91" t="s">
        <v>1884</v>
      </c>
      <c r="D578" s="91" t="s">
        <v>2447</v>
      </c>
      <c r="E578" s="92">
        <v>0</v>
      </c>
      <c r="F578" s="80"/>
      <c r="G578" s="80"/>
      <c r="H578" s="91" t="s">
        <v>2446</v>
      </c>
      <c r="I578" s="93">
        <v>112</v>
      </c>
      <c r="J578" s="92">
        <v>14.95</v>
      </c>
      <c r="K578" s="77" t="s">
        <v>1896</v>
      </c>
      <c r="L578" s="80"/>
      <c r="M578">
        <f t="shared" si="16"/>
        <v>0</v>
      </c>
      <c r="N578" s="78">
        <f t="shared" si="17"/>
        <v>573</v>
      </c>
    </row>
    <row r="579" spans="1:14" s="78" customFormat="1" x14ac:dyDescent="0.25">
      <c r="A579" s="77" t="s">
        <v>13</v>
      </c>
      <c r="B579" s="77" t="s">
        <v>1599</v>
      </c>
      <c r="C579" s="77" t="s">
        <v>5</v>
      </c>
      <c r="D579" s="78" t="s">
        <v>2419</v>
      </c>
      <c r="E579" s="79">
        <v>0</v>
      </c>
      <c r="F579" s="78" t="s">
        <v>2420</v>
      </c>
      <c r="G579" s="78" t="s">
        <v>2421</v>
      </c>
      <c r="H579" s="78" t="s">
        <v>2422</v>
      </c>
      <c r="I579" s="78">
        <v>1</v>
      </c>
      <c r="J579" s="79">
        <v>9.9499999999999993</v>
      </c>
      <c r="K579" s="78" t="s">
        <v>1900</v>
      </c>
      <c r="M579">
        <f t="shared" si="16"/>
        <v>0</v>
      </c>
      <c r="N579" s="78">
        <f t="shared" si="17"/>
        <v>574</v>
      </c>
    </row>
    <row r="580" spans="1:14" s="78" customFormat="1" hidden="1" x14ac:dyDescent="0.25">
      <c r="A580" s="91" t="s">
        <v>13</v>
      </c>
      <c r="B580" s="91" t="s">
        <v>1599</v>
      </c>
      <c r="C580" s="91" t="s">
        <v>1884</v>
      </c>
      <c r="D580" s="91" t="s">
        <v>2445</v>
      </c>
      <c r="E580" s="92">
        <v>0</v>
      </c>
      <c r="F580" s="80"/>
      <c r="G580" s="80"/>
      <c r="H580" s="91" t="s">
        <v>2444</v>
      </c>
      <c r="I580" s="93">
        <v>111</v>
      </c>
      <c r="J580" s="92">
        <v>14.95</v>
      </c>
      <c r="K580" s="77" t="s">
        <v>1896</v>
      </c>
      <c r="L580" s="80"/>
      <c r="M580">
        <f t="shared" si="16"/>
        <v>0</v>
      </c>
      <c r="N580" s="78">
        <f t="shared" si="17"/>
        <v>575</v>
      </c>
    </row>
    <row r="581" spans="1:14" s="78" customFormat="1" x14ac:dyDescent="0.25">
      <c r="A581" s="77" t="s">
        <v>13</v>
      </c>
      <c r="B581" s="77" t="s">
        <v>1599</v>
      </c>
      <c r="C581" s="77" t="s">
        <v>5</v>
      </c>
      <c r="D581" s="78" t="s">
        <v>834</v>
      </c>
      <c r="E581" s="79">
        <v>0</v>
      </c>
      <c r="F581" s="78" t="s">
        <v>835</v>
      </c>
      <c r="G581" s="78" t="s">
        <v>836</v>
      </c>
      <c r="H581" s="78" t="s">
        <v>837</v>
      </c>
      <c r="I581" s="78">
        <v>1</v>
      </c>
      <c r="J581" s="79">
        <v>1.95</v>
      </c>
      <c r="K581" s="78" t="s">
        <v>1900</v>
      </c>
      <c r="M581">
        <f t="shared" si="16"/>
        <v>0</v>
      </c>
      <c r="N581" s="78">
        <f t="shared" si="17"/>
        <v>576</v>
      </c>
    </row>
    <row r="582" spans="1:14" s="78" customFormat="1" hidden="1" x14ac:dyDescent="0.25">
      <c r="A582" s="77" t="s">
        <v>13</v>
      </c>
      <c r="B582" s="77" t="s">
        <v>1599</v>
      </c>
      <c r="C582" s="77" t="s">
        <v>5</v>
      </c>
      <c r="D582" s="78" t="s">
        <v>870</v>
      </c>
      <c r="E582" s="79">
        <v>0</v>
      </c>
      <c r="F582" s="78" t="s">
        <v>871</v>
      </c>
      <c r="G582" s="78" t="s">
        <v>872</v>
      </c>
      <c r="H582" s="78" t="s">
        <v>873</v>
      </c>
      <c r="I582" s="78">
        <v>1</v>
      </c>
      <c r="J582" s="79">
        <v>6.95</v>
      </c>
      <c r="K582" s="78" t="s">
        <v>1900</v>
      </c>
      <c r="L582" s="78" t="s">
        <v>1197</v>
      </c>
      <c r="M582">
        <f t="shared" ref="M582:M592" si="18">E582*J582</f>
        <v>0</v>
      </c>
      <c r="N582" s="78">
        <f t="shared" ref="N582:N592" si="19">IF($N581="List #",1,$N581+1)</f>
        <v>577</v>
      </c>
    </row>
    <row r="583" spans="1:14" s="78" customFormat="1" x14ac:dyDescent="0.25">
      <c r="A583" s="77" t="s">
        <v>13</v>
      </c>
      <c r="B583" s="77" t="s">
        <v>1599</v>
      </c>
      <c r="C583" s="77" t="s">
        <v>5</v>
      </c>
      <c r="D583" s="78" t="s">
        <v>858</v>
      </c>
      <c r="E583" s="79">
        <v>0</v>
      </c>
      <c r="F583" s="78" t="s">
        <v>859</v>
      </c>
      <c r="G583" s="78" t="s">
        <v>860</v>
      </c>
      <c r="H583" s="78" t="s">
        <v>861</v>
      </c>
      <c r="I583" s="78">
        <v>1</v>
      </c>
      <c r="J583" s="79">
        <v>2.95</v>
      </c>
      <c r="K583" s="78" t="s">
        <v>1900</v>
      </c>
      <c r="L583" s="80"/>
      <c r="M583">
        <f t="shared" si="18"/>
        <v>0</v>
      </c>
      <c r="N583" s="78">
        <f t="shared" si="19"/>
        <v>578</v>
      </c>
    </row>
    <row r="584" spans="1:14" s="78" customFormat="1" x14ac:dyDescent="0.25">
      <c r="A584" s="77" t="s">
        <v>13</v>
      </c>
      <c r="B584" s="77" t="s">
        <v>1599</v>
      </c>
      <c r="C584" s="77" t="s">
        <v>5</v>
      </c>
      <c r="D584" s="78" t="s">
        <v>1164</v>
      </c>
      <c r="E584" s="79">
        <v>0</v>
      </c>
      <c r="F584" s="78" t="s">
        <v>1165</v>
      </c>
      <c r="G584" s="78" t="s">
        <v>1166</v>
      </c>
      <c r="H584" s="78" t="s">
        <v>1167</v>
      </c>
      <c r="J584" s="79">
        <v>1.95</v>
      </c>
      <c r="K584" s="78" t="s">
        <v>1900</v>
      </c>
      <c r="L584" s="80"/>
      <c r="M584">
        <f t="shared" si="18"/>
        <v>0</v>
      </c>
      <c r="N584" s="78">
        <f t="shared" si="19"/>
        <v>579</v>
      </c>
    </row>
    <row r="585" spans="1:14" s="78" customFormat="1" x14ac:dyDescent="0.25">
      <c r="A585" s="77" t="s">
        <v>13</v>
      </c>
      <c r="B585" s="77" t="s">
        <v>1599</v>
      </c>
      <c r="C585" s="77" t="s">
        <v>5</v>
      </c>
      <c r="D585" s="78" t="s">
        <v>826</v>
      </c>
      <c r="E585" s="79">
        <v>1</v>
      </c>
      <c r="F585" s="78" t="s">
        <v>827</v>
      </c>
      <c r="G585" s="78" t="s">
        <v>828</v>
      </c>
      <c r="H585" s="78" t="s">
        <v>829</v>
      </c>
      <c r="J585" s="79">
        <v>4.8</v>
      </c>
      <c r="K585" s="78" t="s">
        <v>1900</v>
      </c>
      <c r="L585" s="80"/>
      <c r="M585">
        <f t="shared" si="18"/>
        <v>4.8</v>
      </c>
      <c r="N585" s="78">
        <f t="shared" si="19"/>
        <v>580</v>
      </c>
    </row>
    <row r="586" spans="1:14" s="78" customFormat="1" hidden="1" x14ac:dyDescent="0.25">
      <c r="A586" s="77" t="s">
        <v>13</v>
      </c>
      <c r="B586" s="77" t="s">
        <v>1640</v>
      </c>
      <c r="C586" s="77" t="s">
        <v>5</v>
      </c>
      <c r="D586" s="78" t="s">
        <v>1616</v>
      </c>
      <c r="E586" s="79">
        <v>0</v>
      </c>
      <c r="F586" s="78" t="s">
        <v>1617</v>
      </c>
      <c r="G586" s="78" t="s">
        <v>1618</v>
      </c>
      <c r="H586" s="78" t="s">
        <v>1619</v>
      </c>
      <c r="J586" s="79">
        <v>3.95</v>
      </c>
      <c r="K586" s="78" t="s">
        <v>1896</v>
      </c>
      <c r="L586" s="80"/>
      <c r="M586">
        <f t="shared" si="18"/>
        <v>0</v>
      </c>
      <c r="N586" s="78">
        <f t="shared" si="19"/>
        <v>581</v>
      </c>
    </row>
    <row r="587" spans="1:14" s="78" customFormat="1" hidden="1" x14ac:dyDescent="0.25">
      <c r="A587" s="77" t="s">
        <v>13</v>
      </c>
      <c r="B587" s="77" t="s">
        <v>1640</v>
      </c>
      <c r="C587" s="77" t="s">
        <v>5</v>
      </c>
      <c r="D587" s="78" t="s">
        <v>1620</v>
      </c>
      <c r="E587" s="79">
        <v>0</v>
      </c>
      <c r="F587" s="78" t="s">
        <v>1621</v>
      </c>
      <c r="G587" s="78" t="s">
        <v>1622</v>
      </c>
      <c r="H587" s="78" t="s">
        <v>1623</v>
      </c>
      <c r="J587" s="79">
        <v>3.95</v>
      </c>
      <c r="K587" s="78" t="s">
        <v>1896</v>
      </c>
      <c r="L587" s="80"/>
      <c r="M587">
        <f t="shared" si="18"/>
        <v>0</v>
      </c>
      <c r="N587" s="78">
        <f t="shared" si="19"/>
        <v>582</v>
      </c>
    </row>
    <row r="588" spans="1:14" s="10" customFormat="1" hidden="1" x14ac:dyDescent="0.25">
      <c r="A588" s="10" t="s">
        <v>13</v>
      </c>
      <c r="B588" s="10" t="s">
        <v>1640</v>
      </c>
      <c r="C588" s="10" t="s">
        <v>1884</v>
      </c>
      <c r="D588" s="10" t="s">
        <v>2062</v>
      </c>
      <c r="E588" s="64">
        <v>0</v>
      </c>
      <c r="H588" s="30" t="s">
        <v>2061</v>
      </c>
      <c r="I588"/>
      <c r="J588" s="70">
        <v>2.5</v>
      </c>
      <c r="K588" s="30" t="s">
        <v>1896</v>
      </c>
      <c r="L588"/>
      <c r="M588">
        <f t="shared" si="18"/>
        <v>0</v>
      </c>
      <c r="N588" s="10">
        <f t="shared" si="19"/>
        <v>583</v>
      </c>
    </row>
    <row r="589" spans="1:14" s="10" customFormat="1" x14ac:dyDescent="0.25">
      <c r="A589" s="10" t="s">
        <v>13</v>
      </c>
      <c r="B589" s="10" t="s">
        <v>1640</v>
      </c>
      <c r="C589" s="10" t="s">
        <v>1884</v>
      </c>
      <c r="D589" s="10" t="s">
        <v>2060</v>
      </c>
      <c r="E589" s="64">
        <v>1</v>
      </c>
      <c r="H589" s="30" t="s">
        <v>2059</v>
      </c>
      <c r="I589"/>
      <c r="J589" s="70">
        <v>2.95</v>
      </c>
      <c r="K589" s="30" t="s">
        <v>1896</v>
      </c>
      <c r="L589"/>
      <c r="M589">
        <f t="shared" si="18"/>
        <v>2.95</v>
      </c>
      <c r="N589" s="10">
        <f t="shared" si="19"/>
        <v>584</v>
      </c>
    </row>
    <row r="590" spans="1:14" s="10" customFormat="1" x14ac:dyDescent="0.25">
      <c r="A590" s="10" t="s">
        <v>13</v>
      </c>
      <c r="B590" s="10" t="s">
        <v>1640</v>
      </c>
      <c r="C590" s="10" t="s">
        <v>1884</v>
      </c>
      <c r="D590" s="10" t="s">
        <v>2056</v>
      </c>
      <c r="E590" s="64">
        <v>1</v>
      </c>
      <c r="H590" s="30" t="s">
        <v>2055</v>
      </c>
      <c r="I590"/>
      <c r="J590" s="70">
        <v>2.95</v>
      </c>
      <c r="K590" s="30" t="s">
        <v>1896</v>
      </c>
      <c r="L590"/>
      <c r="M590">
        <f t="shared" si="18"/>
        <v>2.95</v>
      </c>
      <c r="N590" s="10">
        <f t="shared" si="19"/>
        <v>585</v>
      </c>
    </row>
    <row r="591" spans="1:14" s="10" customFormat="1" x14ac:dyDescent="0.25">
      <c r="A591" s="10" t="s">
        <v>13</v>
      </c>
      <c r="B591" s="10" t="s">
        <v>1640</v>
      </c>
      <c r="C591" s="10" t="s">
        <v>1884</v>
      </c>
      <c r="D591" s="10" t="s">
        <v>2058</v>
      </c>
      <c r="E591" s="64">
        <v>1</v>
      </c>
      <c r="H591" s="30" t="s">
        <v>2057</v>
      </c>
      <c r="I591"/>
      <c r="J591" s="70">
        <v>3.95</v>
      </c>
      <c r="K591" s="30" t="s">
        <v>1896</v>
      </c>
      <c r="L591"/>
      <c r="M591">
        <f t="shared" si="18"/>
        <v>3.95</v>
      </c>
      <c r="N591" s="10">
        <f t="shared" si="19"/>
        <v>586</v>
      </c>
    </row>
    <row r="592" spans="1:14" s="10" customFormat="1" x14ac:dyDescent="0.25">
      <c r="A592" s="10" t="s">
        <v>13</v>
      </c>
      <c r="B592" s="10" t="s">
        <v>1640</v>
      </c>
      <c r="C592" s="10" t="s">
        <v>1884</v>
      </c>
      <c r="D592" s="10" t="s">
        <v>2052</v>
      </c>
      <c r="E592" s="64">
        <v>1</v>
      </c>
      <c r="H592" s="30" t="s">
        <v>2051</v>
      </c>
      <c r="I592"/>
      <c r="J592" s="70">
        <v>3.95</v>
      </c>
      <c r="K592" s="30" t="s">
        <v>1896</v>
      </c>
      <c r="L592"/>
      <c r="M592">
        <f t="shared" si="18"/>
        <v>3.95</v>
      </c>
      <c r="N592" s="10">
        <f t="shared" si="19"/>
        <v>587</v>
      </c>
    </row>
    <row r="593" spans="1:14" s="10" customFormat="1" x14ac:dyDescent="0.25">
      <c r="A593" s="30" t="s">
        <v>1398</v>
      </c>
      <c r="B593" s="30">
        <f>SUBTOTAL(103,RawListTable[Category])</f>
        <v>282</v>
      </c>
      <c r="C593" s="30"/>
      <c r="E593" s="10">
        <f>SUBTOTAL(109,RawListTable[Qty.])</f>
        <v>1005</v>
      </c>
      <c r="J593" s="11">
        <f>SUBTOTAL(101,RawListTable[Price (USD)])</f>
        <v>7.207198581560311</v>
      </c>
      <c r="K593" s="11"/>
      <c r="L593" s="10">
        <f>SUBTOTAL(103,RawListTable[Description/Comments])</f>
        <v>10</v>
      </c>
      <c r="M593" s="10">
        <f>SUBTOTAL(109,RawListTable[Total Price])</f>
        <v>5055.619999999989</v>
      </c>
      <c r="N593" s="10">
        <f>SUBTOTAL(103,RawListTable[List '#])</f>
        <v>282</v>
      </c>
    </row>
    <row r="594" spans="1:14" x14ac:dyDescent="0.25">
      <c r="A594" s="30" t="e">
        <f>#REF!+#REF!+#REF!+#REF!+#REF!+#REF!+#REF!</f>
        <v>#REF!</v>
      </c>
      <c r="D594" s="10"/>
      <c r="E594" s="10"/>
      <c r="F594" s="10"/>
      <c r="G594" s="10"/>
      <c r="H594" s="10"/>
      <c r="I594" s="10"/>
      <c r="J594" s="10"/>
      <c r="K594" s="10"/>
      <c r="L594" s="10"/>
    </row>
    <row r="595" spans="1:14" x14ac:dyDescent="0.25">
      <c r="D595" s="10"/>
      <c r="E595" s="10"/>
      <c r="F595" s="10"/>
      <c r="G595" s="10"/>
      <c r="H595" s="10"/>
      <c r="I595" s="10"/>
      <c r="J595" s="10"/>
      <c r="K595" s="10"/>
      <c r="L595" s="10"/>
    </row>
    <row r="596" spans="1:14" x14ac:dyDescent="0.25">
      <c r="D596" s="10"/>
      <c r="E596" s="10"/>
      <c r="F596" s="10"/>
      <c r="G596" s="10"/>
    </row>
    <row r="597" spans="1:14" ht="33.75" x14ac:dyDescent="0.25">
      <c r="A597" s="171" t="s">
        <v>2459</v>
      </c>
      <c r="B597" s="171"/>
      <c r="C597" s="101"/>
      <c r="D597" s="10"/>
      <c r="E597" s="10"/>
      <c r="F597" s="10"/>
      <c r="G597" s="10"/>
      <c r="H597" s="104"/>
      <c r="I597" s="104"/>
      <c r="J597" s="104"/>
      <c r="K597" s="104"/>
      <c r="L597" s="104"/>
      <c r="M597" s="104"/>
      <c r="N597" s="104"/>
    </row>
    <row r="598" spans="1:14" x14ac:dyDescent="0.25">
      <c r="A598" s="30" t="s">
        <v>889</v>
      </c>
      <c r="B598" s="30" t="s">
        <v>986</v>
      </c>
      <c r="C598" s="30" t="s">
        <v>5</v>
      </c>
      <c r="D598" s="10" t="s">
        <v>1757</v>
      </c>
      <c r="E598" s="64">
        <v>1</v>
      </c>
      <c r="F598" s="10" t="s">
        <v>1758</v>
      </c>
      <c r="G598" s="10" t="s">
        <v>1759</v>
      </c>
      <c r="H598" s="10" t="s">
        <v>1760</v>
      </c>
      <c r="I598" s="10">
        <v>1</v>
      </c>
      <c r="J598" s="64">
        <v>9.9499999999999993</v>
      </c>
      <c r="K598" s="10" t="s">
        <v>1896</v>
      </c>
    </row>
    <row r="599" spans="1:14" x14ac:dyDescent="0.25">
      <c r="A599" s="10" t="s">
        <v>889</v>
      </c>
      <c r="B599" s="10" t="s">
        <v>986</v>
      </c>
      <c r="C599" s="10" t="s">
        <v>1884</v>
      </c>
      <c r="D599" s="10" t="s">
        <v>2087</v>
      </c>
      <c r="E599" s="64">
        <v>0</v>
      </c>
      <c r="F599" s="10"/>
      <c r="G599" s="10"/>
      <c r="H599" s="30" t="s">
        <v>2088</v>
      </c>
      <c r="J599" s="70">
        <v>14.95</v>
      </c>
      <c r="K599" s="30" t="s">
        <v>1896</v>
      </c>
    </row>
    <row r="600" spans="1:14" x14ac:dyDescent="0.25">
      <c r="A600" s="10" t="s">
        <v>889</v>
      </c>
      <c r="B600" s="10" t="s">
        <v>986</v>
      </c>
      <c r="C600" s="10" t="s">
        <v>1884</v>
      </c>
      <c r="D600" s="10" t="s">
        <v>2075</v>
      </c>
      <c r="E600" s="64">
        <v>0</v>
      </c>
      <c r="F600" s="10"/>
      <c r="G600" s="10"/>
      <c r="H600" s="30" t="s">
        <v>2076</v>
      </c>
      <c r="J600" s="70">
        <v>9.9499999999999993</v>
      </c>
      <c r="K600" s="30" t="s">
        <v>1896</v>
      </c>
    </row>
    <row r="601" spans="1:14" x14ac:dyDescent="0.25">
      <c r="A601" s="10" t="s">
        <v>889</v>
      </c>
      <c r="B601" s="10" t="s">
        <v>986</v>
      </c>
      <c r="C601" s="10" t="s">
        <v>1884</v>
      </c>
      <c r="D601" s="10" t="s">
        <v>2079</v>
      </c>
      <c r="E601" s="64">
        <v>0</v>
      </c>
      <c r="F601" s="10"/>
      <c r="G601" s="10"/>
      <c r="H601" s="30" t="s">
        <v>2080</v>
      </c>
      <c r="J601" s="70">
        <v>14.95</v>
      </c>
      <c r="K601" s="30" t="s">
        <v>1896</v>
      </c>
    </row>
    <row r="602" spans="1:14" x14ac:dyDescent="0.25">
      <c r="A602" s="78" t="s">
        <v>887</v>
      </c>
      <c r="B602" s="78" t="s">
        <v>2016</v>
      </c>
      <c r="C602" s="78" t="s">
        <v>5</v>
      </c>
      <c r="D602" s="78" t="s">
        <v>30</v>
      </c>
      <c r="E602" s="79">
        <v>5</v>
      </c>
      <c r="F602" s="78" t="s">
        <v>31</v>
      </c>
      <c r="G602" s="78" t="s">
        <v>32</v>
      </c>
      <c r="H602" s="77" t="s">
        <v>33</v>
      </c>
      <c r="I602" s="80">
        <v>1</v>
      </c>
      <c r="J602" s="85">
        <v>29.95</v>
      </c>
      <c r="K602" s="77" t="s">
        <v>1897</v>
      </c>
      <c r="L602" s="80"/>
      <c r="M602" s="80">
        <v>149.75</v>
      </c>
      <c r="N602" s="80"/>
    </row>
    <row r="603" spans="1:14" x14ac:dyDescent="0.25">
      <c r="A603" s="77" t="s">
        <v>887</v>
      </c>
      <c r="B603" s="77" t="s">
        <v>2008</v>
      </c>
      <c r="C603" s="77" t="s">
        <v>5</v>
      </c>
      <c r="D603" s="78" t="s">
        <v>110</v>
      </c>
      <c r="E603" s="79">
        <v>5</v>
      </c>
      <c r="F603" s="78" t="s">
        <v>111</v>
      </c>
      <c r="G603" s="78" t="s">
        <v>112</v>
      </c>
      <c r="H603" s="78" t="s">
        <v>113</v>
      </c>
      <c r="I603" s="78">
        <v>1</v>
      </c>
      <c r="J603" s="79">
        <v>12.95</v>
      </c>
      <c r="K603" s="78" t="s">
        <v>1897</v>
      </c>
      <c r="L603" s="80"/>
      <c r="M603" s="80">
        <v>64.75</v>
      </c>
      <c r="N603" s="80"/>
    </row>
    <row r="604" spans="1:14" x14ac:dyDescent="0.25">
      <c r="A604" s="77" t="s">
        <v>887</v>
      </c>
      <c r="B604" s="77" t="s">
        <v>9</v>
      </c>
      <c r="C604" s="77" t="s">
        <v>5</v>
      </c>
      <c r="D604" s="78" t="s">
        <v>253</v>
      </c>
      <c r="E604" s="79">
        <v>5</v>
      </c>
      <c r="F604" s="78" t="s">
        <v>254</v>
      </c>
      <c r="G604" s="78" t="s">
        <v>255</v>
      </c>
      <c r="H604" s="78" t="s">
        <v>256</v>
      </c>
      <c r="I604" s="78">
        <v>1</v>
      </c>
      <c r="J604" s="79">
        <v>6.95</v>
      </c>
      <c r="K604" s="78" t="s">
        <v>1897</v>
      </c>
      <c r="L604" s="80"/>
      <c r="M604" s="80">
        <v>34.75</v>
      </c>
      <c r="N604" s="80"/>
    </row>
    <row r="605" spans="1:14" x14ac:dyDescent="0.25">
      <c r="A605" s="77" t="s">
        <v>888</v>
      </c>
      <c r="B605" s="77" t="s">
        <v>892</v>
      </c>
      <c r="C605" s="77" t="s">
        <v>5</v>
      </c>
      <c r="D605" s="78" t="s">
        <v>356</v>
      </c>
      <c r="E605" s="79">
        <v>0</v>
      </c>
      <c r="F605" s="78" t="s">
        <v>357</v>
      </c>
      <c r="G605" s="78" t="s">
        <v>358</v>
      </c>
      <c r="H605" s="78" t="s">
        <v>359</v>
      </c>
      <c r="I605" s="78">
        <v>1</v>
      </c>
      <c r="J605" s="79">
        <v>2.95</v>
      </c>
      <c r="K605" s="78" t="s">
        <v>2461</v>
      </c>
      <c r="L605" s="78"/>
      <c r="M605" s="78">
        <v>0</v>
      </c>
      <c r="N605" s="80"/>
    </row>
    <row r="606" spans="1:14" x14ac:dyDescent="0.25">
      <c r="A606" s="77" t="s">
        <v>888</v>
      </c>
      <c r="B606" s="77" t="s">
        <v>892</v>
      </c>
      <c r="C606" s="77" t="s">
        <v>5</v>
      </c>
      <c r="D606" s="78" t="s">
        <v>1173</v>
      </c>
      <c r="E606" s="79">
        <v>0</v>
      </c>
      <c r="F606" s="78" t="s">
        <v>1174</v>
      </c>
      <c r="G606" s="78" t="s">
        <v>1175</v>
      </c>
      <c r="H606" s="78" t="s">
        <v>1176</v>
      </c>
      <c r="I606" s="78">
        <v>1</v>
      </c>
      <c r="J606" s="79">
        <v>9.9499999999999993</v>
      </c>
      <c r="K606" s="78" t="s">
        <v>2461</v>
      </c>
      <c r="L606" s="80"/>
      <c r="M606" s="78">
        <v>0</v>
      </c>
      <c r="N606" s="80"/>
    </row>
    <row r="607" spans="1:14" x14ac:dyDescent="0.25">
      <c r="A607" s="30" t="s">
        <v>888</v>
      </c>
      <c r="B607" s="30" t="s">
        <v>1593</v>
      </c>
      <c r="C607" s="30" t="s">
        <v>5</v>
      </c>
      <c r="D607" s="10" t="s">
        <v>1096</v>
      </c>
      <c r="E607" s="64">
        <v>1</v>
      </c>
      <c r="F607" s="10" t="s">
        <v>1097</v>
      </c>
      <c r="G607" s="10" t="s">
        <v>1098</v>
      </c>
      <c r="H607" s="10" t="s">
        <v>1099</v>
      </c>
      <c r="I607" s="10"/>
      <c r="J607" s="64">
        <v>24.95</v>
      </c>
      <c r="K607" s="10" t="s">
        <v>1896</v>
      </c>
      <c r="M607" s="10">
        <v>24.95</v>
      </c>
    </row>
    <row r="608" spans="1:14" x14ac:dyDescent="0.25">
      <c r="A608" s="74" t="s">
        <v>1058</v>
      </c>
      <c r="B608" s="75" t="s">
        <v>1005</v>
      </c>
      <c r="C608" s="75" t="s">
        <v>5</v>
      </c>
      <c r="D608" s="48" t="s">
        <v>981</v>
      </c>
      <c r="E608" s="73">
        <v>0</v>
      </c>
      <c r="F608" s="48" t="s">
        <v>982</v>
      </c>
      <c r="G608" s="48" t="s">
        <v>983</v>
      </c>
      <c r="H608" s="48" t="s">
        <v>984</v>
      </c>
      <c r="I608" s="48">
        <v>1</v>
      </c>
      <c r="J608" s="73">
        <v>44.95</v>
      </c>
      <c r="K608" s="48" t="s">
        <v>1900</v>
      </c>
      <c r="L608" s="48" t="s">
        <v>1046</v>
      </c>
      <c r="M608" s="48">
        <v>0</v>
      </c>
      <c r="N608" s="49"/>
    </row>
    <row r="609" spans="1:14" x14ac:dyDescent="0.25">
      <c r="A609" s="10" t="s">
        <v>1058</v>
      </c>
      <c r="B609" s="10" t="s">
        <v>1005</v>
      </c>
      <c r="C609" s="10" t="s">
        <v>1884</v>
      </c>
      <c r="D609" s="10" t="s">
        <v>2069</v>
      </c>
      <c r="E609" s="64">
        <v>0</v>
      </c>
      <c r="F609" s="10"/>
      <c r="G609" s="10"/>
      <c r="H609" s="10" t="s">
        <v>2070</v>
      </c>
      <c r="I609" s="10"/>
      <c r="J609" s="64">
        <v>44.95</v>
      </c>
      <c r="K609" s="10" t="s">
        <v>1896</v>
      </c>
    </row>
    <row r="610" spans="1:14" x14ac:dyDescent="0.25">
      <c r="A610" s="10" t="s">
        <v>1058</v>
      </c>
      <c r="B610" s="10" t="s">
        <v>2040</v>
      </c>
      <c r="C610" s="10" t="s">
        <v>1884</v>
      </c>
      <c r="D610" s="10" t="s">
        <v>2048</v>
      </c>
      <c r="E610" s="64">
        <v>1</v>
      </c>
      <c r="F610" s="10"/>
      <c r="G610" s="10"/>
      <c r="H610" s="10" t="s">
        <v>2047</v>
      </c>
      <c r="I610" s="10"/>
      <c r="J610" s="64">
        <v>39.950000000000003</v>
      </c>
      <c r="K610" s="10" t="s">
        <v>1896</v>
      </c>
    </row>
    <row r="611" spans="1:14" x14ac:dyDescent="0.25">
      <c r="A611" s="10" t="s">
        <v>1058</v>
      </c>
      <c r="B611" s="67" t="s">
        <v>2005</v>
      </c>
      <c r="C611" s="10" t="s">
        <v>1884</v>
      </c>
      <c r="D611" s="10" t="s">
        <v>2073</v>
      </c>
      <c r="E611" s="64">
        <v>0</v>
      </c>
      <c r="F611" s="10"/>
      <c r="G611" s="10"/>
      <c r="H611" s="30" t="s">
        <v>2074</v>
      </c>
      <c r="J611" s="70">
        <v>44.95</v>
      </c>
      <c r="K611" s="30" t="s">
        <v>1896</v>
      </c>
    </row>
    <row r="612" spans="1:14" x14ac:dyDescent="0.25">
      <c r="A612" s="77" t="s">
        <v>1058</v>
      </c>
      <c r="B612" s="90" t="s">
        <v>1424</v>
      </c>
      <c r="C612" s="90" t="s">
        <v>5</v>
      </c>
      <c r="D612" s="78" t="s">
        <v>969</v>
      </c>
      <c r="E612" s="79">
        <v>1</v>
      </c>
      <c r="F612" s="78" t="s">
        <v>970</v>
      </c>
      <c r="G612" s="78" t="s">
        <v>971</v>
      </c>
      <c r="H612" s="78" t="s">
        <v>972</v>
      </c>
      <c r="I612" s="78">
        <v>1</v>
      </c>
      <c r="J612" s="79">
        <v>49.95</v>
      </c>
      <c r="K612" s="78" t="s">
        <v>1896</v>
      </c>
      <c r="L612" s="78" t="s">
        <v>1050</v>
      </c>
      <c r="M612" s="78">
        <v>49.95</v>
      </c>
      <c r="N612" s="80"/>
    </row>
  </sheetData>
  <mergeCells count="1">
    <mergeCell ref="A597:B597"/>
  </mergeCells>
  <conditionalFormatting sqref="A123:M1048576 A1:M112 A114:M121 A113:D113 F113:M113">
    <cfRule type="expression" dxfId="1224" priority="1095">
      <formula>AND($E1=0,NOT(ISBLANK($E1)))</formula>
    </cfRule>
  </conditionalFormatting>
  <conditionalFormatting sqref="N2">
    <cfRule type="expression" dxfId="1223" priority="1315">
      <formula>AND($E2=0,NOT(ISBLANK($E2)))</formula>
    </cfRule>
  </conditionalFormatting>
  <conditionalFormatting sqref="E122">
    <cfRule type="expression" dxfId="1222" priority="12">
      <formula>AND($E122=0,NOT(ISBLANK($E122)))</formula>
    </cfRule>
  </conditionalFormatting>
  <conditionalFormatting sqref="E113">
    <cfRule type="expression" dxfId="1221" priority="1">
      <formula>AND($E113=0,NOT(ISBLANK($E113)))</formula>
    </cfRule>
  </conditionalFormatting>
  <conditionalFormatting sqref="A122:D122 F122:M122">
    <cfRule type="expression" dxfId="1220" priority="26">
      <formula>AND((#REF!=0),NOT(ISBLANK(#REF!)))</formula>
    </cfRule>
  </conditionalFormatting>
  <dataValidations disablePrompts="1" count="3">
    <dataValidation allowBlank="1" showInputMessage="1" showErrorMessage="1" prompt="Title of this worksheet is in this cell" sqref="A1" xr:uid="{BFB0C8DF-CF3B-4E22-B4BC-3EBC6E027E80}"/>
    <dataValidation allowBlank="1" showInputMessage="1" showErrorMessage="1" prompt="Title of this worksheet is in cells B1 through D1" sqref="A597" xr:uid="{8E942F3C-5CA7-482C-8BDA-EC71D9192273}"/>
    <dataValidation type="list" allowBlank="1" showInputMessage="1" showErrorMessage="1" sqref="A257" xr:uid="{79283BEC-4A34-4A76-87B7-70434516C94E}">
      <formula1>$C$6:$C$13</formula1>
    </dataValidation>
  </dataValidations>
  <pageMargins left="0.7" right="0.7" top="0.75" bottom="0.75" header="0.3" footer="0.3"/>
  <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expression" priority="1091" id="{54B0C499-EDF7-4A72-9067-E7FE7F3D1CDD}">
            <xm:f>$K602=FilterSpecs!$F$13</xm:f>
            <x14:dxf>
              <font>
                <b/>
                <i val="0"/>
                <color theme="0"/>
              </font>
              <fill>
                <patternFill>
                  <bgColor theme="9" tint="-0.499984740745262"/>
                </patternFill>
              </fill>
            </x14:dxf>
          </x14:cfRule>
          <x14:cfRule type="expression" priority="1092" id="{55A52834-7ECF-45A3-AE4A-D69155792642}">
            <xm:f>$K602=FilterSpecs!$E$13</xm:f>
            <x14:dxf>
              <font>
                <b/>
                <i val="0"/>
                <color theme="0"/>
              </font>
              <fill>
                <patternFill>
                  <bgColor theme="9" tint="-0.499984740745262"/>
                </patternFill>
              </fill>
            </x14:dxf>
          </x14:cfRule>
          <x14:cfRule type="expression" priority="1093" id="{29807D33-E9C2-4918-A45B-2FCD2860DACC}">
            <xm:f>$K602=FilterSpecs!$F$12</xm:f>
            <x14:dxf>
              <font>
                <b/>
                <i val="0"/>
                <color theme="0"/>
              </font>
              <fill>
                <patternFill>
                  <bgColor rgb="FFFF4F4F"/>
                </patternFill>
              </fill>
            </x14:dxf>
          </x14:cfRule>
          <x14:cfRule type="expression" priority="1094" id="{2458F256-ADB8-4B4C-8F50-E95ED443D9F1}">
            <xm:f>$K602=FilterSpecs!$F$9</xm:f>
            <x14:dxf>
              <font>
                <b/>
                <i val="0"/>
                <color theme="0"/>
              </font>
              <fill>
                <patternFill>
                  <bgColor rgb="FFFF0000"/>
                </patternFill>
              </fill>
            </x14:dxf>
          </x14:cfRule>
          <x14:cfRule type="expression" priority="1096" id="{64A1DCD8-5AD2-46C9-B02E-1A4DE473B793}">
            <xm:f>$K602=FilterSpecs!$F$7</xm:f>
            <x14:dxf>
              <font>
                <b/>
                <i val="0"/>
                <color theme="0"/>
              </font>
              <fill>
                <patternFill>
                  <bgColor rgb="FF00B0F0"/>
                </patternFill>
              </fill>
            </x14:dxf>
          </x14:cfRule>
          <x14:cfRule type="expression" priority="1097" id="{1C33E49F-7E97-40DA-92B7-BCCDF9D29D6D}">
            <xm:f>$K602=FilterSpecs!$F$10</xm:f>
            <x14:dxf>
              <font>
                <b/>
                <i val="0"/>
                <color theme="0"/>
              </font>
              <fill>
                <patternFill>
                  <bgColor rgb="FF002060"/>
                </patternFill>
              </fill>
            </x14:dxf>
          </x14:cfRule>
          <x14:cfRule type="expression" priority="1101" id="{3886C0E2-B08D-447D-8EF4-FC17D61D9622}">
            <xm:f>$K602=FilterSpecs!$F$7</xm:f>
            <x14:dxf>
              <font>
                <b/>
                <i val="0"/>
                <color theme="0"/>
              </font>
              <fill>
                <patternFill>
                  <bgColor rgb="FF00B0F0"/>
                </patternFill>
              </fill>
            </x14:dxf>
          </x14:cfRule>
          <xm:sqref>A602:M612</xm:sqref>
        </x14:conditionalFormatting>
        <x14:conditionalFormatting xmlns:xm="http://schemas.microsoft.com/office/excel/2006/main">
          <x14:cfRule type="expression" priority="1545" id="{8D7BC319-4BB2-45AF-A7AC-22D3676BFA58}">
            <xm:f>$G158=FilterSpecs!$F$13</xm:f>
            <x14:dxf>
              <font>
                <b/>
                <i val="0"/>
                <color theme="0"/>
              </font>
              <fill>
                <patternFill>
                  <bgColor theme="9" tint="-0.499984740745262"/>
                </patternFill>
              </fill>
            </x14:dxf>
          </x14:cfRule>
          <x14:cfRule type="expression" priority="1546" id="{2789F04D-4D31-48CA-ADDE-B767870161FF}">
            <xm:f>$G158=FilterSpecs!$E$13</xm:f>
            <x14:dxf>
              <font>
                <b/>
                <i val="0"/>
                <color theme="0"/>
              </font>
              <fill>
                <patternFill>
                  <bgColor theme="9" tint="-0.499984740745262"/>
                </patternFill>
              </fill>
            </x14:dxf>
          </x14:cfRule>
          <x14:cfRule type="expression" priority="1547" id="{B34CF8E8-895B-4A9F-B9C1-9D04AC68ED63}">
            <xm:f>$G158=FilterSpecs!$F$12</xm:f>
            <x14:dxf>
              <font>
                <b/>
                <i val="0"/>
                <color theme="0"/>
              </font>
              <fill>
                <patternFill>
                  <bgColor rgb="FFFF4F4F"/>
                </patternFill>
              </fill>
            </x14:dxf>
          </x14:cfRule>
          <x14:cfRule type="expression" priority="1548" id="{7D897FA7-67A9-4CF9-ABE7-F31E1BC9BD90}">
            <xm:f>$G158=FilterSpecs!$F$9</xm:f>
            <x14:dxf>
              <font>
                <b/>
                <i val="0"/>
                <color theme="0"/>
              </font>
              <fill>
                <patternFill>
                  <bgColor rgb="FFFF0000"/>
                </patternFill>
              </fill>
            </x14:dxf>
          </x14:cfRule>
          <x14:cfRule type="expression" priority="1549" id="{8006B30B-1953-47CD-9D6E-C6D5C607BCAC}">
            <xm:f>$G158=FilterSpecs!$F$7</xm:f>
            <x14:dxf>
              <font>
                <b/>
                <i val="0"/>
                <color theme="0"/>
              </font>
              <fill>
                <patternFill>
                  <bgColor rgb="FF00B0F0"/>
                </patternFill>
              </fill>
            </x14:dxf>
          </x14:cfRule>
          <x14:cfRule type="expression" priority="1550" id="{01F18857-52CC-4A85-B007-4440EB795441}">
            <xm:f>$G158=FilterSpecs!$F$10</xm:f>
            <x14:dxf>
              <font>
                <b/>
                <i val="0"/>
                <color theme="0"/>
              </font>
              <fill>
                <patternFill>
                  <bgColor rgb="FF002060"/>
                </patternFill>
              </fill>
            </x14:dxf>
          </x14:cfRule>
          <x14:cfRule type="expression" priority="1551" id="{F1C31A38-C19F-4EB0-B7B3-F409B518B551}">
            <xm:f>$G158=FilterSpecs!$F$8</xm:f>
            <x14:dxf>
              <font>
                <b/>
                <i val="0"/>
                <color theme="0"/>
              </font>
              <fill>
                <patternFill>
                  <bgColor rgb="FFFFC000"/>
                </patternFill>
              </fill>
            </x14:dxf>
          </x14:cfRule>
          <x14:cfRule type="expression" priority="1552" id="{C0942B8F-B025-442A-8797-866B0FA90D62}">
            <xm:f>$G158=FilterSpecs!$F$10</xm:f>
            <x14:dxf>
              <font>
                <b/>
                <i val="0"/>
                <color theme="0"/>
              </font>
              <fill>
                <patternFill>
                  <bgColor rgb="FF002060"/>
                </patternFill>
              </fill>
            </x14:dxf>
          </x14:cfRule>
          <x14:cfRule type="expression" priority="1553" id="{8D042CA9-6DD0-4DF0-A718-12B2DA067062}">
            <xm:f>$G158=FilterSpecs!$F$8</xm:f>
            <x14:dxf>
              <font>
                <b/>
                <i val="0"/>
                <color theme="0"/>
              </font>
              <fill>
                <patternFill>
                  <bgColor rgb="FFFFC000"/>
                </patternFill>
              </fill>
            </x14:dxf>
          </x14:cfRule>
          <x14:cfRule type="expression" priority="1554" id="{64AC5D4E-6DAD-4AF3-B626-A9CD489993B3}">
            <xm:f>$G158=FilterSpecs!$F$7</xm:f>
            <x14:dxf>
              <font>
                <b/>
                <i val="0"/>
                <color theme="0"/>
              </font>
              <fill>
                <patternFill>
                  <bgColor rgb="FF00B0F0"/>
                </patternFill>
              </fill>
            </x14:dxf>
          </x14:cfRule>
          <xm:sqref>A596:G597</xm:sqref>
        </x14:conditionalFormatting>
        <x14:conditionalFormatting xmlns:xm="http://schemas.microsoft.com/office/excel/2006/main">
          <x14:cfRule type="expression" priority="1102" id="{8D7BC319-4BB2-45AF-A7AC-22D3676BFA58}">
            <xm:f>$K1=FilterSpecs!$F$13</xm:f>
            <x14:dxf>
              <font>
                <b/>
                <i val="0"/>
                <color theme="0"/>
              </font>
              <fill>
                <patternFill>
                  <bgColor theme="9" tint="-0.499984740745262"/>
                </patternFill>
              </fill>
            </x14:dxf>
          </x14:cfRule>
          <x14:cfRule type="expression" priority="1103" id="{2789F04D-4D31-48CA-ADDE-B767870161FF}">
            <xm:f>$K1=FilterSpecs!$E$13</xm:f>
            <x14:dxf>
              <font>
                <b/>
                <i val="0"/>
                <color theme="0"/>
              </font>
              <fill>
                <patternFill>
                  <bgColor theme="9" tint="-0.499984740745262"/>
                </patternFill>
              </fill>
            </x14:dxf>
          </x14:cfRule>
          <x14:cfRule type="expression" priority="1301" id="{B34CF8E8-895B-4A9F-B9C1-9D04AC68ED63}">
            <xm:f>$K1=FilterSpecs!$F$12</xm:f>
            <x14:dxf>
              <font>
                <b/>
                <i val="0"/>
                <color theme="0"/>
              </font>
              <fill>
                <patternFill>
                  <bgColor rgb="FFFF4F4F"/>
                </patternFill>
              </fill>
            </x14:dxf>
          </x14:cfRule>
          <x14:cfRule type="expression" priority="1302" id="{7D897FA7-67A9-4CF9-ABE7-F31E1BC9BD90}">
            <xm:f>$K1=FilterSpecs!$F$9</xm:f>
            <x14:dxf>
              <font>
                <b/>
                <i val="0"/>
                <color theme="0"/>
              </font>
              <fill>
                <patternFill>
                  <bgColor rgb="FFFF0000"/>
                </patternFill>
              </fill>
            </x14:dxf>
          </x14:cfRule>
          <x14:cfRule type="expression" priority="1316" id="{8006B30B-1953-47CD-9D6E-C6D5C607BCAC}">
            <xm:f>$K1=FilterSpecs!$F$7</xm:f>
            <x14:dxf>
              <font>
                <b/>
                <i val="0"/>
                <color theme="0"/>
              </font>
              <fill>
                <patternFill>
                  <bgColor rgb="FF00B0F0"/>
                </patternFill>
              </fill>
            </x14:dxf>
          </x14:cfRule>
          <x14:cfRule type="expression" priority="1317" id="{01F18857-52CC-4A85-B007-4440EB795441}">
            <xm:f>$K1=FilterSpecs!$F$10</xm:f>
            <x14:dxf>
              <font>
                <b/>
                <i val="0"/>
                <color theme="0"/>
              </font>
              <fill>
                <patternFill>
                  <bgColor rgb="FF002060"/>
                </patternFill>
              </fill>
            </x14:dxf>
          </x14:cfRule>
          <x14:cfRule type="expression" priority="1318" id="{F1C31A38-C19F-4EB0-B7B3-F409B518B551}">
            <xm:f>$K1=FilterSpecs!$F$8</xm:f>
            <x14:dxf>
              <font>
                <b/>
                <i val="0"/>
                <color theme="0"/>
              </font>
              <fill>
                <patternFill>
                  <bgColor rgb="FFFFC000"/>
                </patternFill>
              </fill>
            </x14:dxf>
          </x14:cfRule>
          <x14:cfRule type="expression" priority="1319" id="{C0942B8F-B025-442A-8797-866B0FA90D62}">
            <xm:f>$K1=FilterSpecs!$F$10</xm:f>
            <x14:dxf>
              <font>
                <b/>
                <i val="0"/>
                <color theme="0"/>
              </font>
              <fill>
                <patternFill>
                  <bgColor rgb="FF002060"/>
                </patternFill>
              </fill>
            </x14:dxf>
          </x14:cfRule>
          <x14:cfRule type="expression" priority="1320" id="{8D042CA9-6DD0-4DF0-A718-12B2DA067062}">
            <xm:f>$K1=FilterSpecs!$F$8</xm:f>
            <x14:dxf>
              <font>
                <b/>
                <i val="0"/>
                <color theme="0"/>
              </font>
              <fill>
                <patternFill>
                  <bgColor rgb="FFFFC000"/>
                </patternFill>
              </fill>
            </x14:dxf>
          </x14:cfRule>
          <x14:cfRule type="expression" priority="1321" id="{64AC5D4E-6DAD-4AF3-B626-A9CD489993B3}">
            <xm:f>$K1=FilterSpecs!$F$7</xm:f>
            <x14:dxf>
              <font>
                <b/>
                <i val="0"/>
                <color theme="0"/>
              </font>
              <fill>
                <patternFill>
                  <bgColor rgb="FF00B0F0"/>
                </patternFill>
              </fill>
            </x14:dxf>
          </x14:cfRule>
          <xm:sqref>N2 A123:M1048576 A1:M112 A114:M121 A113:D113 F113:M113</xm:sqref>
        </x14:conditionalFormatting>
        <x14:conditionalFormatting xmlns:xm="http://schemas.microsoft.com/office/excel/2006/main">
          <x14:cfRule type="expression" priority="23" id="{52B99984-8B96-4FA5-B32D-124E2B2DC276}">
            <xm:f>#REF!=FilterSpecs!$F$13</xm:f>
            <x14:dxf>
              <font>
                <b/>
                <i val="0"/>
                <color theme="0"/>
              </font>
              <fill>
                <patternFill>
                  <bgColor theme="9" tint="-0.499984740745262"/>
                </patternFill>
              </fill>
            </x14:dxf>
          </x14:cfRule>
          <x14:cfRule type="expression" priority="24" id="{3223EF63-852B-4705-B6E7-92F0C8420593}">
            <xm:f>#REF!=FilterSpecs!$F$12</xm:f>
            <x14:dxf>
              <font>
                <b/>
                <i val="0"/>
                <color theme="0"/>
              </font>
              <fill>
                <patternFill>
                  <bgColor rgb="FFFF4F4F"/>
                </patternFill>
              </fill>
            </x14:dxf>
          </x14:cfRule>
          <x14:cfRule type="expression" priority="25" id="{76098596-6507-4573-A649-09C08B8280CC}">
            <xm:f>#REF!=FilterSpecs!$F$9</xm:f>
            <x14:dxf>
              <font>
                <b/>
                <i val="0"/>
                <color theme="0"/>
              </font>
              <fill>
                <patternFill>
                  <bgColor rgb="FFFF0000"/>
                </patternFill>
              </fill>
            </x14:dxf>
          </x14:cfRule>
          <x14:cfRule type="expression" priority="27" id="{BBC2610D-7FB6-49F6-BD09-2EE68F918B01}">
            <xm:f>#REF!=FilterSpecs!$F$10</xm:f>
            <x14:dxf>
              <font>
                <b/>
                <i val="0"/>
                <color theme="0"/>
              </font>
              <fill>
                <patternFill>
                  <bgColor rgb="FF002060"/>
                </patternFill>
              </fill>
            </x14:dxf>
          </x14:cfRule>
          <x14:cfRule type="expression" priority="28" id="{FC3D7E5A-CAD7-4D05-B156-B3CC314099CB}">
            <xm:f>#REF!=FilterSpecs!$F$8</xm:f>
            <x14:dxf>
              <font>
                <b/>
                <i val="0"/>
                <color theme="0"/>
              </font>
              <fill>
                <patternFill>
                  <bgColor rgb="FFFFC000"/>
                </patternFill>
              </fill>
            </x14:dxf>
          </x14:cfRule>
          <x14:cfRule type="expression" priority="29" id="{42F864C3-E8B3-48DE-9880-9376A3FB0BA1}">
            <xm:f>#REF!=FilterSpecs!$F$7</xm:f>
            <x14:dxf>
              <font>
                <b/>
                <i val="0"/>
                <color theme="0"/>
              </font>
              <fill>
                <patternFill>
                  <bgColor rgb="FF00B0F0"/>
                </patternFill>
              </fill>
            </x14:dxf>
          </x14:cfRule>
          <xm:sqref>A122:D122 F122:M122</xm:sqref>
        </x14:conditionalFormatting>
        <x14:conditionalFormatting xmlns:xm="http://schemas.microsoft.com/office/excel/2006/main">
          <x14:cfRule type="expression" priority="13" id="{975E67B9-C2B9-4606-8F5E-6812EC3434F6}">
            <xm:f>$K122=FilterSpecs!$F$13</xm:f>
            <x14:dxf>
              <font>
                <b/>
                <i val="0"/>
                <color theme="0"/>
              </font>
              <fill>
                <patternFill>
                  <bgColor theme="9" tint="-0.499984740745262"/>
                </patternFill>
              </fill>
            </x14:dxf>
          </x14:cfRule>
          <x14:cfRule type="expression" priority="14" id="{56832D7A-BCFD-40BB-AF5D-546A1B249131}">
            <xm:f>$K122=FilterSpecs!$E$13</xm:f>
            <x14:dxf>
              <font>
                <b/>
                <i val="0"/>
                <color theme="0"/>
              </font>
              <fill>
                <patternFill>
                  <bgColor theme="9" tint="-0.499984740745262"/>
                </patternFill>
              </fill>
            </x14:dxf>
          </x14:cfRule>
          <x14:cfRule type="expression" priority="15" id="{DACFE4EE-E167-4BC2-ADF0-4D3227EF1048}">
            <xm:f>$K122=FilterSpecs!$F$12</xm:f>
            <x14:dxf>
              <font>
                <b/>
                <i val="0"/>
                <color theme="0"/>
              </font>
              <fill>
                <patternFill>
                  <bgColor rgb="FFFF4F4F"/>
                </patternFill>
              </fill>
            </x14:dxf>
          </x14:cfRule>
          <x14:cfRule type="expression" priority="16" id="{E6209B79-1CDD-40FC-892B-B65D0F2C3DA5}">
            <xm:f>$K122=FilterSpecs!$F$9</xm:f>
            <x14:dxf>
              <font>
                <b/>
                <i val="0"/>
                <color theme="0"/>
              </font>
              <fill>
                <patternFill>
                  <bgColor rgb="FFFF0000"/>
                </patternFill>
              </fill>
            </x14:dxf>
          </x14:cfRule>
          <x14:cfRule type="expression" priority="17" id="{E05FE2A7-6196-4AD5-8E22-4E981B338F4D}">
            <xm:f>$K122=FilterSpecs!$F$7</xm:f>
            <x14:dxf>
              <font>
                <b/>
                <i val="0"/>
                <color theme="0"/>
              </font>
              <fill>
                <patternFill>
                  <bgColor rgb="FF00B0F0"/>
                </patternFill>
              </fill>
            </x14:dxf>
          </x14:cfRule>
          <x14:cfRule type="expression" priority="18" id="{6AD2D096-E7A6-41F3-BEE3-4420CAACC88E}">
            <xm:f>$K122=FilterSpecs!$F$10</xm:f>
            <x14:dxf>
              <font>
                <b/>
                <i val="0"/>
                <color theme="0"/>
              </font>
              <fill>
                <patternFill>
                  <bgColor rgb="FF002060"/>
                </patternFill>
              </fill>
            </x14:dxf>
          </x14:cfRule>
          <x14:cfRule type="expression" priority="19" id="{A7DD3AD0-B928-4792-99E7-458D494A09B5}">
            <xm:f>$K122=FilterSpecs!$F$8</xm:f>
            <x14:dxf>
              <font>
                <b/>
                <i val="0"/>
                <color theme="0"/>
              </font>
              <fill>
                <patternFill>
                  <bgColor rgb="FFFFC000"/>
                </patternFill>
              </fill>
            </x14:dxf>
          </x14:cfRule>
          <x14:cfRule type="expression" priority="20" id="{B0919C7E-098A-4B08-87CA-8B3311C3E6E5}">
            <xm:f>$K122=FilterSpecs!$F$10</xm:f>
            <x14:dxf>
              <font>
                <b/>
                <i val="0"/>
                <color theme="0"/>
              </font>
              <fill>
                <patternFill>
                  <bgColor rgb="FF002060"/>
                </patternFill>
              </fill>
            </x14:dxf>
          </x14:cfRule>
          <x14:cfRule type="expression" priority="21" id="{09DF7AD3-365A-42D0-9995-EA7D5CB2FB07}">
            <xm:f>$K122=FilterSpecs!$F$8</xm:f>
            <x14:dxf>
              <font>
                <b/>
                <i val="0"/>
                <color theme="0"/>
              </font>
              <fill>
                <patternFill>
                  <bgColor rgb="FFFFC000"/>
                </patternFill>
              </fill>
            </x14:dxf>
          </x14:cfRule>
          <x14:cfRule type="expression" priority="22" id="{EC892B37-5E37-4B13-9987-181306AC4F5F}">
            <xm:f>$K122=FilterSpecs!$F$7</xm:f>
            <x14:dxf>
              <font>
                <b/>
                <i val="0"/>
                <color theme="0"/>
              </font>
              <fill>
                <patternFill>
                  <bgColor rgb="FF00B0F0"/>
                </patternFill>
              </fill>
            </x14:dxf>
          </x14:cfRule>
          <xm:sqref>E122</xm:sqref>
        </x14:conditionalFormatting>
        <x14:conditionalFormatting xmlns:xm="http://schemas.microsoft.com/office/excel/2006/main">
          <x14:cfRule type="expression" priority="2" id="{370DF626-D563-4012-9479-803BE38871E6}">
            <xm:f>$K113=FilterSpecs!$F$13</xm:f>
            <x14:dxf>
              <font>
                <b/>
                <i val="0"/>
                <color theme="0"/>
              </font>
              <fill>
                <patternFill>
                  <bgColor theme="9" tint="-0.499984740745262"/>
                </patternFill>
              </fill>
            </x14:dxf>
          </x14:cfRule>
          <x14:cfRule type="expression" priority="3" id="{3018CD3A-2F17-4D67-BA4F-40E4A056CE81}">
            <xm:f>$K113=FilterSpecs!$E$13</xm:f>
            <x14:dxf>
              <font>
                <b/>
                <i val="0"/>
                <color theme="0"/>
              </font>
              <fill>
                <patternFill>
                  <bgColor theme="9" tint="-0.499984740745262"/>
                </patternFill>
              </fill>
            </x14:dxf>
          </x14:cfRule>
          <x14:cfRule type="expression" priority="4" id="{1A26E155-BD4F-4B46-9C21-CEC2A1558DDF}">
            <xm:f>$K113=FilterSpecs!$F$12</xm:f>
            <x14:dxf>
              <font>
                <b/>
                <i val="0"/>
                <color theme="0"/>
              </font>
              <fill>
                <patternFill>
                  <bgColor rgb="FFFF4F4F"/>
                </patternFill>
              </fill>
            </x14:dxf>
          </x14:cfRule>
          <x14:cfRule type="expression" priority="5" id="{93EE63C3-226F-4959-ACF5-5BA4361880BB}">
            <xm:f>$K113=FilterSpecs!$F$9</xm:f>
            <x14:dxf>
              <font>
                <b/>
                <i val="0"/>
                <color theme="0"/>
              </font>
              <fill>
                <patternFill>
                  <bgColor rgb="FFFF0000"/>
                </patternFill>
              </fill>
            </x14:dxf>
          </x14:cfRule>
          <x14:cfRule type="expression" priority="6" id="{44F24000-6B30-477C-BF9F-F0CCDED9B60F}">
            <xm:f>$K113=FilterSpecs!$F$7</xm:f>
            <x14:dxf>
              <font>
                <b/>
                <i val="0"/>
                <color theme="0"/>
              </font>
              <fill>
                <patternFill>
                  <bgColor rgb="FF00B0F0"/>
                </patternFill>
              </fill>
            </x14:dxf>
          </x14:cfRule>
          <x14:cfRule type="expression" priority="7" id="{8CCA1CEE-03CE-4F6D-8635-586E1C16DFA2}">
            <xm:f>$K113=FilterSpecs!$F$10</xm:f>
            <x14:dxf>
              <font>
                <b/>
                <i val="0"/>
                <color theme="0"/>
              </font>
              <fill>
                <patternFill>
                  <bgColor rgb="FF002060"/>
                </patternFill>
              </fill>
            </x14:dxf>
          </x14:cfRule>
          <x14:cfRule type="expression" priority="8" id="{0FBD2C06-1603-4D70-B3B7-8AF7F93D250A}">
            <xm:f>$K113=FilterSpecs!$F$8</xm:f>
            <x14:dxf>
              <font>
                <b/>
                <i val="0"/>
                <color theme="0"/>
              </font>
              <fill>
                <patternFill>
                  <bgColor rgb="FFFFC000"/>
                </patternFill>
              </fill>
            </x14:dxf>
          </x14:cfRule>
          <x14:cfRule type="expression" priority="9" id="{4CE2A192-29D8-4733-A852-AD4934AE36D6}">
            <xm:f>$K113=FilterSpecs!$F$10</xm:f>
            <x14:dxf>
              <font>
                <b/>
                <i val="0"/>
                <color theme="0"/>
              </font>
              <fill>
                <patternFill>
                  <bgColor rgb="FF002060"/>
                </patternFill>
              </fill>
            </x14:dxf>
          </x14:cfRule>
          <x14:cfRule type="expression" priority="10" id="{95D248DC-5AC4-4F50-AC18-098284848CFA}">
            <xm:f>$K113=FilterSpecs!$F$8</xm:f>
            <x14:dxf>
              <font>
                <b/>
                <i val="0"/>
                <color theme="0"/>
              </font>
              <fill>
                <patternFill>
                  <bgColor rgb="FFFFC000"/>
                </patternFill>
              </fill>
            </x14:dxf>
          </x14:cfRule>
          <x14:cfRule type="expression" priority="11" id="{5B6CFD12-531A-4EC2-8DD9-A9083BAC5ABA}">
            <xm:f>$K113=FilterSpecs!$F$7</xm:f>
            <x14:dxf>
              <font>
                <b/>
                <i val="0"/>
                <color theme="0"/>
              </font>
              <fill>
                <patternFill>
                  <bgColor rgb="FF00B0F0"/>
                </patternFill>
              </fill>
            </x14:dxf>
          </x14:cfRule>
          <xm:sqref>E113</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C16FEC18-6A69-4D28-9C45-10A95F19F123}">
          <x14:formula1>
            <xm:f>FilterSpecs!$C$6:$C$13</xm:f>
          </x14:formula1>
          <xm:sqref>A258:B258</xm:sqref>
        </x14:dataValidation>
      </x14:dataValidations>
    </ext>
    <ext xmlns:x15="http://schemas.microsoft.com/office/spreadsheetml/2010/11/main" uri="{3A4CF648-6AED-40f4-86FF-DC5316D8AED3}">
      <x14:slicerList xmlns:x14="http://schemas.microsoft.com/office/spreadsheetml/2009/9/main">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887330-B8AC-4002-B9F9-B5E1C46A30C6}">
  <sheetPr codeName="Sheet21">
    <tabColor rgb="FF92D050"/>
  </sheetPr>
  <dimension ref="A11:XFB718"/>
  <sheetViews>
    <sheetView zoomScale="85" zoomScaleNormal="85" workbookViewId="0">
      <selection activeCell="A14" sqref="A14:Y647"/>
    </sheetView>
  </sheetViews>
  <sheetFormatPr defaultRowHeight="15" x14ac:dyDescent="0.25"/>
  <cols>
    <col min="1" max="1" width="37.7109375" style="30" customWidth="1"/>
    <col min="2" max="2" width="46.140625" style="30" bestFit="1" customWidth="1"/>
    <col min="3" max="3" width="17.140625" style="30" customWidth="1"/>
    <col min="4" max="4" width="14" style="30" customWidth="1"/>
    <col min="5" max="5" width="7.7109375" style="30" customWidth="1"/>
    <col min="6" max="6" width="10.140625" customWidth="1"/>
    <col min="7" max="7" width="2.5703125" hidden="1" customWidth="1"/>
    <col min="8" max="8" width="92.42578125" style="30" bestFit="1" customWidth="1"/>
    <col min="9" max="9" width="63.140625" customWidth="1"/>
    <col min="10" max="10" width="19.28515625" style="30" bestFit="1" customWidth="1"/>
    <col min="11" max="11" width="9.5703125" style="30" customWidth="1"/>
    <col min="12" max="12" width="5" customWidth="1"/>
    <col min="13" max="13" width="175.42578125" bestFit="1" customWidth="1"/>
    <col min="14" max="14" width="13.28515625" bestFit="1" customWidth="1"/>
    <col min="15" max="15" width="11.5703125" customWidth="1"/>
    <col min="16" max="16" width="8.140625" bestFit="1" customWidth="1"/>
    <col min="17" max="17" width="18.7109375" bestFit="1" customWidth="1"/>
    <col min="18" max="18" width="19.140625" bestFit="1" customWidth="1"/>
    <col min="19" max="19" width="57.7109375" bestFit="1" customWidth="1"/>
    <col min="20" max="20" width="7.28515625" customWidth="1"/>
    <col min="21" max="21" width="12.140625" customWidth="1"/>
    <col min="22" max="22" width="7.7109375" customWidth="1"/>
    <col min="25" max="25" width="10.140625" bestFit="1" customWidth="1"/>
    <col min="27" max="27" width="62.7109375" bestFit="1" customWidth="1"/>
    <col min="28" max="28" width="20.7109375" customWidth="1"/>
  </cols>
  <sheetData>
    <row r="11" spans="1:26" ht="72" customHeight="1" thickBot="1" x14ac:dyDescent="0.3">
      <c r="A11" s="38"/>
    </row>
    <row r="12" spans="1:26" ht="6.6" customHeight="1" thickTop="1" x14ac:dyDescent="0.25">
      <c r="A12" s="83"/>
      <c r="B12" s="83"/>
      <c r="C12" s="83"/>
      <c r="D12" s="83"/>
      <c r="E12" s="83"/>
      <c r="F12" s="83"/>
      <c r="G12" s="83"/>
      <c r="H12" s="83"/>
      <c r="I12" s="83"/>
      <c r="J12" s="83"/>
      <c r="K12" s="83"/>
      <c r="L12" s="83"/>
      <c r="M12" s="83"/>
      <c r="N12" s="83"/>
      <c r="O12" s="83"/>
      <c r="P12" s="83"/>
    </row>
    <row r="13" spans="1:26" x14ac:dyDescent="0.25">
      <c r="A13" s="30" t="s">
        <v>886</v>
      </c>
      <c r="B13" s="72" t="s">
        <v>156</v>
      </c>
      <c r="C13" s="72" t="s">
        <v>4</v>
      </c>
      <c r="D13" s="10" t="s">
        <v>20</v>
      </c>
      <c r="E13" s="10" t="s">
        <v>2536</v>
      </c>
      <c r="F13" s="10" t="s">
        <v>2537</v>
      </c>
      <c r="G13" s="10" t="s">
        <v>21</v>
      </c>
      <c r="H13" s="10" t="s">
        <v>22</v>
      </c>
      <c r="I13" s="10" t="s">
        <v>23</v>
      </c>
      <c r="J13" s="10" t="s">
        <v>24</v>
      </c>
      <c r="K13" s="10" t="s">
        <v>25</v>
      </c>
      <c r="L13" s="10" t="s">
        <v>1904</v>
      </c>
      <c r="M13" s="10" t="s">
        <v>1607</v>
      </c>
      <c r="N13" s="10" t="s">
        <v>1399</v>
      </c>
      <c r="O13" s="10" t="s">
        <v>2557</v>
      </c>
      <c r="P13" s="10" t="s">
        <v>2519</v>
      </c>
      <c r="Q13" s="10" t="s">
        <v>2533</v>
      </c>
      <c r="R13" s="10" t="s">
        <v>2529</v>
      </c>
      <c r="S13" s="10" t="s">
        <v>2374</v>
      </c>
      <c r="T13" s="10" t="s">
        <v>2539</v>
      </c>
      <c r="U13" s="10" t="s">
        <v>2535</v>
      </c>
      <c r="V13" s="10" t="s">
        <v>2534</v>
      </c>
      <c r="W13" s="10" t="s">
        <v>2538</v>
      </c>
      <c r="X13" s="10" t="s">
        <v>2552</v>
      </c>
      <c r="Y13" s="10" t="s">
        <v>2553</v>
      </c>
    </row>
    <row r="14" spans="1:26" s="109" customFormat="1" x14ac:dyDescent="0.25">
      <c r="A14" s="78" t="s">
        <v>887</v>
      </c>
      <c r="B14" s="78" t="s">
        <v>881</v>
      </c>
      <c r="C14" s="78" t="s">
        <v>1892</v>
      </c>
      <c r="D14" s="81" t="str">
        <f>IF(MouserListTable[[#This Row],[Vendor]]=FilterSpecs!$A$8,MouserListTable[[#This Row],[Mouser SKU]], MouserListTable[[#This Row],[Supplier SKU]])</f>
        <v>474-WIG-13660</v>
      </c>
      <c r="E14" s="94">
        <f>MouserListTable[[#This Row],[Tot '#]]-MouserListTable[[#This Row],['# Initial]]</f>
        <v>1</v>
      </c>
      <c r="F14" s="94">
        <f>IF(AND(MouserListTable[[#This Row],[Tag]]&lt;&gt;FilterSpecs!$F$12, MouserListTable[[#This Row],[Tag]]&lt;&gt;FilterSpecs!$F$9), MouserListTable[[#This Row],['#/Unit]]*FilterSpecs!$B$3+MouserListTable[[#This Row],[Extra Initial]],0)</f>
        <v>0</v>
      </c>
      <c r="G14" s="78" t="s">
        <v>131</v>
      </c>
      <c r="H14" s="78" t="s">
        <v>132</v>
      </c>
      <c r="I14" s="78" t="s">
        <v>133</v>
      </c>
      <c r="J14" s="78">
        <v>1</v>
      </c>
      <c r="K14" s="117">
        <v>49.95</v>
      </c>
      <c r="L14" s="78" t="s">
        <v>1896</v>
      </c>
      <c r="M14" s="81" t="s">
        <v>1476</v>
      </c>
      <c r="N14" s="154">
        <f>MouserListTable[[#This Row],['# Initial]]*MouserListTable[[#This Row],[Price (USD)]]</f>
        <v>0</v>
      </c>
      <c r="O14" s="81" t="s">
        <v>130</v>
      </c>
      <c r="P14" s="78">
        <f t="shared" ref="P14:P89" si="0">IF($P13="List #",1,$P13+1)</f>
        <v>1</v>
      </c>
      <c r="Q14" s="78" t="s">
        <v>5</v>
      </c>
      <c r="R14"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474-WIG-13660</v>
      </c>
      <c r="S14" s="133" t="str">
        <f>HYPERLINK("https://www.mouser.com/ProductDetail/" &amp;MouserListTable[[#This Row],[Mouser SKU]])</f>
        <v>https://www.mouser.com/ProductDetail/474-WIG-13660</v>
      </c>
      <c r="T14" s="94">
        <v>0</v>
      </c>
      <c r="U14" s="94">
        <v>1</v>
      </c>
      <c r="V14" s="94">
        <v>0</v>
      </c>
      <c r="W14" s="94">
        <f>MouserListTable[[#This Row],['#/Unit]]*FilterSpecs!$C$3+MouserListTable[[#This Row],[Extra]]</f>
        <v>1</v>
      </c>
      <c r="X14" s="94">
        <f>IF(MouserListTable[[#This Row],[Tag]]=FilterSpecs!$F$7,MouserListTable[[#This Row],['#/Unit]]*MouserListTable[[#This Row],[Price (USD)]],0)</f>
        <v>0</v>
      </c>
      <c r="Y14" s="94">
        <f>MouserListTable[[#This Row],[Tot '#]]*MouserListTable[[#This Row],[Price (USD)]]</f>
        <v>49.95</v>
      </c>
      <c r="Z14"/>
    </row>
    <row r="15" spans="1:26" s="106" customFormat="1" x14ac:dyDescent="0.25">
      <c r="A15" s="78" t="s">
        <v>887</v>
      </c>
      <c r="B15" s="78" t="s">
        <v>881</v>
      </c>
      <c r="C15" s="78" t="s">
        <v>1892</v>
      </c>
      <c r="D15" s="81" t="str">
        <f>IF(MouserListTable[[#This Row],[Vendor]]=FilterSpecs!$A$8,MouserListTable[[#This Row],[Mouser SKU]], MouserListTable[[#This Row],[Supplier SKU]])</f>
        <v>474-COM-14023</v>
      </c>
      <c r="E15" s="94">
        <f>MouserListTable[[#This Row],[Tot '#]]-MouserListTable[[#This Row],['# Initial]]</f>
        <v>1</v>
      </c>
      <c r="F15" s="94">
        <f>IF(AND(MouserListTable[[#This Row],[Tag]]&lt;&gt;FilterSpecs!$F$12, MouserListTable[[#This Row],[Tag]]&lt;&gt;FilterSpecs!$F$9), MouserListTable[[#This Row],['#/Unit]]*FilterSpecs!$B$3+MouserListTable[[#This Row],[Extra Initial]],0)</f>
        <v>0</v>
      </c>
      <c r="G15" s="78" t="s">
        <v>143</v>
      </c>
      <c r="H15" s="78" t="s">
        <v>144</v>
      </c>
      <c r="I15" s="78" t="s">
        <v>145</v>
      </c>
      <c r="J15" s="78"/>
      <c r="K15" s="117">
        <v>4.95</v>
      </c>
      <c r="L15" s="78" t="s">
        <v>1896</v>
      </c>
      <c r="M15" s="81"/>
      <c r="N15" s="154">
        <f>MouserListTable[[#This Row],['# Initial]]*MouserListTable[[#This Row],[Price (USD)]]</f>
        <v>0</v>
      </c>
      <c r="O15" s="81" t="s">
        <v>142</v>
      </c>
      <c r="P15" s="150">
        <f t="shared" si="0"/>
        <v>2</v>
      </c>
      <c r="Q15" s="78" t="s">
        <v>5</v>
      </c>
      <c r="R15"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474-COM-14023</v>
      </c>
      <c r="S15" s="133" t="str">
        <f>HYPERLINK("https://www.mouser.com/ProductDetail/" &amp;MouserListTable[[#This Row],[Mouser SKU]])</f>
        <v>https://www.mouser.com/ProductDetail/474-COM-14023</v>
      </c>
      <c r="T15" s="94">
        <v>0</v>
      </c>
      <c r="U15" s="94">
        <v>1</v>
      </c>
      <c r="V15" s="94">
        <v>0</v>
      </c>
      <c r="W15" s="94">
        <f>MouserListTable[[#This Row],['#/Unit]]*FilterSpecs!$C$3+MouserListTable[[#This Row],[Extra]]</f>
        <v>1</v>
      </c>
      <c r="X15" s="94">
        <f>IF(MouserListTable[[#This Row],[Tag]]=FilterSpecs!$F$7,MouserListTable[[#This Row],['#/Unit]]*MouserListTable[[#This Row],[Price (USD)]],0)</f>
        <v>0</v>
      </c>
      <c r="Y15" s="94">
        <f>MouserListTable[[#This Row],[Tot '#]]*MouserListTable[[#This Row],[Price (USD)]]</f>
        <v>4.95</v>
      </c>
      <c r="Z15"/>
    </row>
    <row r="16" spans="1:26" s="106" customFormat="1" x14ac:dyDescent="0.25">
      <c r="A16" s="78" t="s">
        <v>887</v>
      </c>
      <c r="B16" s="78" t="s">
        <v>881</v>
      </c>
      <c r="C16" s="78" t="s">
        <v>1892</v>
      </c>
      <c r="D16" s="81" t="str">
        <f>IF(MouserListTable[[#This Row],[Vendor]]=FilterSpecs!$A$8,MouserListTable[[#This Row],[Mouser SKU]], MouserListTable[[#This Row],[Supplier SKU]])</f>
        <v>474-COM-09151</v>
      </c>
      <c r="E16" s="94">
        <f>MouserListTable[[#This Row],[Tot '#]]-MouserListTable[[#This Row],['# Initial]]</f>
        <v>2</v>
      </c>
      <c r="F16" s="94">
        <f>IF(AND(MouserListTable[[#This Row],[Tag]]&lt;&gt;FilterSpecs!$F$12, MouserListTable[[#This Row],[Tag]]&lt;&gt;FilterSpecs!$F$9), MouserListTable[[#This Row],['#/Unit]]*FilterSpecs!$B$3+MouserListTable[[#This Row],[Extra Initial]],0)</f>
        <v>0</v>
      </c>
      <c r="G16" s="78" t="s">
        <v>147</v>
      </c>
      <c r="H16" s="78" t="s">
        <v>148</v>
      </c>
      <c r="I16" s="78" t="s">
        <v>149</v>
      </c>
      <c r="J16" s="78">
        <v>1</v>
      </c>
      <c r="K16" s="117">
        <v>1.95</v>
      </c>
      <c r="L16" s="78" t="s">
        <v>1896</v>
      </c>
      <c r="M16" s="81"/>
      <c r="N16" s="154">
        <f>MouserListTable[[#This Row],['# Initial]]*MouserListTable[[#This Row],[Price (USD)]]</f>
        <v>0</v>
      </c>
      <c r="O16" s="81" t="s">
        <v>146</v>
      </c>
      <c r="P16" s="150">
        <f t="shared" si="0"/>
        <v>3</v>
      </c>
      <c r="Q16" s="78" t="s">
        <v>5</v>
      </c>
      <c r="R16"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474-COM-09151</v>
      </c>
      <c r="S16" s="133" t="str">
        <f>HYPERLINK("https://www.mouser.com/ProductDetail/" &amp;MouserListTable[[#This Row],[Mouser SKU]])</f>
        <v>https://www.mouser.com/ProductDetail/474-COM-09151</v>
      </c>
      <c r="T16" s="94">
        <v>0</v>
      </c>
      <c r="U16" s="94">
        <v>2</v>
      </c>
      <c r="V16" s="94">
        <v>0</v>
      </c>
      <c r="W16" s="94">
        <f>MouserListTable[[#This Row],['#/Unit]]*FilterSpecs!$C$3+MouserListTable[[#This Row],[Extra]]</f>
        <v>2</v>
      </c>
      <c r="X16" s="94">
        <f>IF(MouserListTable[[#This Row],[Tag]]=FilterSpecs!$F$7,MouserListTable[[#This Row],['#/Unit]]*MouserListTable[[#This Row],[Price (USD)]],0)</f>
        <v>0</v>
      </c>
      <c r="Y16" s="94">
        <f>MouserListTable[[#This Row],[Tot '#]]*MouserListTable[[#This Row],[Price (USD)]]</f>
        <v>3.9</v>
      </c>
      <c r="Z16"/>
    </row>
    <row r="17" spans="1:16382" s="106" customFormat="1" x14ac:dyDescent="0.25">
      <c r="A17" s="78" t="s">
        <v>887</v>
      </c>
      <c r="B17" s="78" t="s">
        <v>881</v>
      </c>
      <c r="C17" s="78" t="s">
        <v>1892</v>
      </c>
      <c r="D17" s="81" t="str">
        <f>IF(MouserListTable[[#This Row],[Vendor]]=FilterSpecs!$A$8,MouserListTable[[#This Row],[Mouser SKU]], MouserListTable[[#This Row],[Supplier SKU]])</f>
        <v>474-COM-11145</v>
      </c>
      <c r="E17" s="94">
        <f>MouserListTable[[#This Row],[Tot '#]]-MouserListTable[[#This Row],['# Initial]]</f>
        <v>1</v>
      </c>
      <c r="F17" s="94">
        <f>IF(AND(MouserListTable[[#This Row],[Tag]]&lt;&gt;FilterSpecs!$F$12, MouserListTable[[#This Row],[Tag]]&lt;&gt;FilterSpecs!$F$9), MouserListTable[[#This Row],['#/Unit]]*FilterSpecs!$B$3+MouserListTable[[#This Row],[Extra Initial]],0)</f>
        <v>0</v>
      </c>
      <c r="G17" s="78" t="s">
        <v>151</v>
      </c>
      <c r="H17" s="78" t="s">
        <v>152</v>
      </c>
      <c r="I17" s="78" t="s">
        <v>153</v>
      </c>
      <c r="J17" s="78"/>
      <c r="K17" s="117">
        <v>0.75</v>
      </c>
      <c r="L17" s="78" t="s">
        <v>1896</v>
      </c>
      <c r="M17" s="81"/>
      <c r="N17" s="154">
        <f>MouserListTable[[#This Row],['# Initial]]*MouserListTable[[#This Row],[Price (USD)]]</f>
        <v>0</v>
      </c>
      <c r="O17" s="81" t="s">
        <v>150</v>
      </c>
      <c r="P17" s="150">
        <f t="shared" si="0"/>
        <v>4</v>
      </c>
      <c r="Q17" s="78" t="s">
        <v>5</v>
      </c>
      <c r="R17"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474-COM-11145</v>
      </c>
      <c r="S17" s="133" t="str">
        <f>HYPERLINK("https://www.mouser.com/ProductDetail/" &amp;MouserListTable[[#This Row],[Mouser SKU]])</f>
        <v>https://www.mouser.com/ProductDetail/474-COM-11145</v>
      </c>
      <c r="T17" s="94">
        <v>0</v>
      </c>
      <c r="U17" s="94">
        <v>1</v>
      </c>
      <c r="V17" s="94">
        <v>0</v>
      </c>
      <c r="W17" s="94">
        <f>MouserListTable[[#This Row],['#/Unit]]*FilterSpecs!$C$3+MouserListTable[[#This Row],[Extra]]</f>
        <v>1</v>
      </c>
      <c r="X17" s="94">
        <f>IF(MouserListTable[[#This Row],[Tag]]=FilterSpecs!$F$7,MouserListTable[[#This Row],['#/Unit]]*MouserListTable[[#This Row],[Price (USD)]],0)</f>
        <v>0</v>
      </c>
      <c r="Y17" s="94">
        <f>MouserListTable[[#This Row],[Tot '#]]*MouserListTable[[#This Row],[Price (USD)]]</f>
        <v>0.75</v>
      </c>
      <c r="Z17"/>
    </row>
    <row r="18" spans="1:16382" s="106" customFormat="1" x14ac:dyDescent="0.25">
      <c r="A18" s="78" t="s">
        <v>887</v>
      </c>
      <c r="B18" s="78" t="s">
        <v>881</v>
      </c>
      <c r="C18" s="78" t="s">
        <v>1892</v>
      </c>
      <c r="D18" s="81" t="str">
        <f>IF(MouserListTable[[#This Row],[Vendor]]=FilterSpecs!$A$8,MouserListTable[[#This Row],[Mouser SKU]], MouserListTable[[#This Row],[Supplier SKU]])</f>
        <v>474-ROB-08449</v>
      </c>
      <c r="E18" s="94">
        <f>MouserListTable[[#This Row],[Tot '#]]-MouserListTable[[#This Row],['# Initial]]</f>
        <v>2</v>
      </c>
      <c r="F18" s="94">
        <f>IF(AND(MouserListTable[[#This Row],[Tag]]&lt;&gt;FilterSpecs!$F$12, MouserListTable[[#This Row],[Tag]]&lt;&gt;FilterSpecs!$F$9), MouserListTable[[#This Row],['#/Unit]]*FilterSpecs!$B$3+MouserListTable[[#This Row],[Extra Initial]],0)</f>
        <v>0</v>
      </c>
      <c r="G18" s="78" t="s">
        <v>661</v>
      </c>
      <c r="H18" s="78" t="s">
        <v>662</v>
      </c>
      <c r="I18" s="78" t="s">
        <v>663</v>
      </c>
      <c r="J18" s="78">
        <v>1</v>
      </c>
      <c r="K18" s="117">
        <v>4.95</v>
      </c>
      <c r="L18" s="78" t="s">
        <v>1896</v>
      </c>
      <c r="M18" s="81"/>
      <c r="N18" s="154">
        <f>MouserListTable[[#This Row],['# Initial]]*MouserListTable[[#This Row],[Price (USD)]]</f>
        <v>0</v>
      </c>
      <c r="O18" s="81" t="s">
        <v>660</v>
      </c>
      <c r="P18" s="150">
        <f t="shared" si="0"/>
        <v>5</v>
      </c>
      <c r="Q18" s="78" t="s">
        <v>5</v>
      </c>
      <c r="R18"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474-ROB-08449</v>
      </c>
      <c r="S18" s="133" t="str">
        <f>HYPERLINK("https://www.mouser.com/ProductDetail/" &amp;MouserListTable[[#This Row],[Mouser SKU]])</f>
        <v>https://www.mouser.com/ProductDetail/474-ROB-08449</v>
      </c>
      <c r="T18" s="94">
        <v>0</v>
      </c>
      <c r="U18" s="94">
        <v>2</v>
      </c>
      <c r="V18" s="94">
        <v>0</v>
      </c>
      <c r="W18" s="94">
        <f>MouserListTable[[#This Row],['#/Unit]]*FilterSpecs!$C$3+MouserListTable[[#This Row],[Extra]]</f>
        <v>2</v>
      </c>
      <c r="X18" s="94">
        <f>IF(MouserListTable[[#This Row],[Tag]]=FilterSpecs!$F$7,MouserListTable[[#This Row],['#/Unit]]*MouserListTable[[#This Row],[Price (USD)]],0)</f>
        <v>0</v>
      </c>
      <c r="Y18" s="94">
        <f>MouserListTable[[#This Row],[Tot '#]]*MouserListTable[[#This Row],[Price (USD)]]</f>
        <v>9.9</v>
      </c>
      <c r="Z18"/>
    </row>
    <row r="19" spans="1:16382" s="106" customFormat="1" x14ac:dyDescent="0.25">
      <c r="A19" s="78" t="s">
        <v>887</v>
      </c>
      <c r="B19" s="78" t="s">
        <v>881</v>
      </c>
      <c r="C19" s="78" t="s">
        <v>1892</v>
      </c>
      <c r="D19" s="81" t="str">
        <f>IF(MouserListTable[[#This Row],[Vendor]]=FilterSpecs!$A$8,MouserListTable[[#This Row],[Mouser SKU]], MouserListTable[[#This Row],[Supplier SKU]])</f>
        <v>474-DEV-11711</v>
      </c>
      <c r="E19" s="94">
        <f>MouserListTable[[#This Row],[Tot '#]]-MouserListTable[[#This Row],['# Initial]]</f>
        <v>1</v>
      </c>
      <c r="F19" s="94">
        <f>IF(AND(MouserListTable[[#This Row],[Tag]]&lt;&gt;FilterSpecs!$F$12, MouserListTable[[#This Row],[Tag]]&lt;&gt;FilterSpecs!$F$9), MouserListTable[[#This Row],['#/Unit]]*FilterSpecs!$B$3+MouserListTable[[#This Row],[Extra Initial]],0)</f>
        <v>0</v>
      </c>
      <c r="G19" s="78" t="s">
        <v>135</v>
      </c>
      <c r="H19" s="78" t="s">
        <v>136</v>
      </c>
      <c r="I19" s="78" t="s">
        <v>137</v>
      </c>
      <c r="J19" s="78">
        <v>1</v>
      </c>
      <c r="K19" s="117">
        <v>59.95</v>
      </c>
      <c r="L19" s="78" t="s">
        <v>1896</v>
      </c>
      <c r="M19" s="81"/>
      <c r="N19" s="154">
        <f>MouserListTable[[#This Row],['# Initial]]*MouserListTable[[#This Row],[Price (USD)]]</f>
        <v>0</v>
      </c>
      <c r="O19" s="81" t="s">
        <v>134</v>
      </c>
      <c r="P19" s="150">
        <f t="shared" si="0"/>
        <v>6</v>
      </c>
      <c r="Q19" s="78" t="s">
        <v>5</v>
      </c>
      <c r="R19"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474-DEV-11711</v>
      </c>
      <c r="S19" s="133" t="str">
        <f>HYPERLINK("https://www.mouser.com/ProductDetail/" &amp;MouserListTable[[#This Row],[Mouser SKU]])</f>
        <v>https://www.mouser.com/ProductDetail/474-DEV-11711</v>
      </c>
      <c r="T19" s="94">
        <v>0</v>
      </c>
      <c r="U19" s="94">
        <v>1</v>
      </c>
      <c r="V19" s="94">
        <v>0</v>
      </c>
      <c r="W19" s="94">
        <f>MouserListTable[[#This Row],['#/Unit]]*FilterSpecs!$C$3+MouserListTable[[#This Row],[Extra]]</f>
        <v>1</v>
      </c>
      <c r="X19" s="94">
        <f>IF(MouserListTable[[#This Row],[Tag]]=FilterSpecs!$F$7,MouserListTable[[#This Row],['#/Unit]]*MouserListTable[[#This Row],[Price (USD)]],0)</f>
        <v>0</v>
      </c>
      <c r="Y19" s="94">
        <f>MouserListTable[[#This Row],[Tot '#]]*MouserListTable[[#This Row],[Price (USD)]]</f>
        <v>59.95</v>
      </c>
      <c r="Z19"/>
    </row>
    <row r="20" spans="1:16382" s="106" customFormat="1" x14ac:dyDescent="0.25">
      <c r="A20" s="78" t="s">
        <v>887</v>
      </c>
      <c r="B20" s="78" t="s">
        <v>881</v>
      </c>
      <c r="C20" s="78" t="s">
        <v>1892</v>
      </c>
      <c r="D20" s="81" t="str">
        <f>IF(MouserListTable[[#This Row],[Vendor]]=FilterSpecs!$A$8,MouserListTable[[#This Row],[Mouser SKU]], MouserListTable[[#This Row],[Supplier SKU]])</f>
        <v>474-BOB-09868</v>
      </c>
      <c r="E20" s="94">
        <f>MouserListTable[[#This Row],[Tot '#]]-MouserListTable[[#This Row],['# Initial]]</f>
        <v>1</v>
      </c>
      <c r="F20" s="94">
        <f>IF(AND(MouserListTable[[#This Row],[Tag]]&lt;&gt;FilterSpecs!$F$12, MouserListTable[[#This Row],[Tag]]&lt;&gt;FilterSpecs!$F$9), MouserListTable[[#This Row],['#/Unit]]*FilterSpecs!$B$3+MouserListTable[[#This Row],[Extra Initial]],0)</f>
        <v>0</v>
      </c>
      <c r="G20" s="78" t="s">
        <v>1486</v>
      </c>
      <c r="H20" s="78" t="s">
        <v>1487</v>
      </c>
      <c r="I20" s="78" t="s">
        <v>1488</v>
      </c>
      <c r="J20" s="78">
        <v>1</v>
      </c>
      <c r="K20" s="117">
        <v>9.9499999999999993</v>
      </c>
      <c r="L20" s="78" t="s">
        <v>1896</v>
      </c>
      <c r="M20" s="81"/>
      <c r="N20" s="154">
        <f>MouserListTable[[#This Row],['# Initial]]*MouserListTable[[#This Row],[Price (USD)]]</f>
        <v>0</v>
      </c>
      <c r="O20" s="81" t="s">
        <v>1485</v>
      </c>
      <c r="P20" s="150">
        <f t="shared" si="0"/>
        <v>7</v>
      </c>
      <c r="Q20" s="78" t="s">
        <v>5</v>
      </c>
      <c r="R20"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474-BOB-09868</v>
      </c>
      <c r="S20" s="133" t="str">
        <f>HYPERLINK("https://www.mouser.com/ProductDetail/" &amp;MouserListTable[[#This Row],[Mouser SKU]])</f>
        <v>https://www.mouser.com/ProductDetail/474-BOB-09868</v>
      </c>
      <c r="T20" s="94">
        <v>0</v>
      </c>
      <c r="U20" s="94">
        <v>1</v>
      </c>
      <c r="V20" s="94">
        <v>0</v>
      </c>
      <c r="W20" s="94">
        <f>MouserListTable[[#This Row],['#/Unit]]*FilterSpecs!$C$3+MouserListTable[[#This Row],[Extra]]</f>
        <v>1</v>
      </c>
      <c r="X20" s="94">
        <f>IF(MouserListTable[[#This Row],[Tag]]=FilterSpecs!$F$7,MouserListTable[[#This Row],['#/Unit]]*MouserListTable[[#This Row],[Price (USD)]],0)</f>
        <v>0</v>
      </c>
      <c r="Y20" s="94">
        <f>MouserListTable[[#This Row],[Tot '#]]*MouserListTable[[#This Row],[Price (USD)]]</f>
        <v>9.9499999999999993</v>
      </c>
      <c r="Z20"/>
    </row>
    <row r="21" spans="1:16382" s="106" customFormat="1" x14ac:dyDescent="0.25">
      <c r="A21" s="78" t="s">
        <v>887</v>
      </c>
      <c r="B21" s="78" t="s">
        <v>881</v>
      </c>
      <c r="C21" s="78" t="s">
        <v>1892</v>
      </c>
      <c r="D21" s="81" t="str">
        <f>IF(MouserListTable[[#This Row],[Vendor]]=FilterSpecs!$A$8,MouserListTable[[#This Row],[Mouser SKU]], MouserListTable[[#This Row],[Supplier SKU]])</f>
        <v>474-COM-08635</v>
      </c>
      <c r="E21" s="94">
        <f>MouserListTable[[#This Row],[Tot '#]]-MouserListTable[[#This Row],['# Initial]]</f>
        <v>1</v>
      </c>
      <c r="F21" s="94">
        <f>IF(AND(MouserListTable[[#This Row],[Tag]]&lt;&gt;FilterSpecs!$F$12, MouserListTable[[#This Row],[Tag]]&lt;&gt;FilterSpecs!$F$9), MouserListTable[[#This Row],['#/Unit]]*FilterSpecs!$B$3+MouserListTable[[#This Row],[Extra Initial]],0)</f>
        <v>0</v>
      </c>
      <c r="G21" s="78" t="s">
        <v>1506</v>
      </c>
      <c r="H21" s="78" t="s">
        <v>1507</v>
      </c>
      <c r="I21" s="78" t="s">
        <v>1508</v>
      </c>
      <c r="J21" s="78">
        <v>1</v>
      </c>
      <c r="K21" s="117">
        <v>0.95</v>
      </c>
      <c r="L21" s="78" t="s">
        <v>1896</v>
      </c>
      <c r="M21" s="81"/>
      <c r="N21" s="154">
        <f>MouserListTable[[#This Row],['# Initial]]*MouserListTable[[#This Row],[Price (USD)]]</f>
        <v>0</v>
      </c>
      <c r="O21" s="81" t="s">
        <v>1505</v>
      </c>
      <c r="P21" s="150">
        <f t="shared" si="0"/>
        <v>8</v>
      </c>
      <c r="Q21" s="78" t="s">
        <v>5</v>
      </c>
      <c r="R21"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474-COM-08635</v>
      </c>
      <c r="S21" s="133" t="str">
        <f>HYPERLINK("https://www.mouser.com/ProductDetail/" &amp;MouserListTable[[#This Row],[Mouser SKU]])</f>
        <v>https://www.mouser.com/ProductDetail/474-COM-08635</v>
      </c>
      <c r="T21" s="94">
        <v>0</v>
      </c>
      <c r="U21" s="94">
        <v>1</v>
      </c>
      <c r="V21" s="94">
        <v>0</v>
      </c>
      <c r="W21" s="94">
        <f>MouserListTable[[#This Row],['#/Unit]]*FilterSpecs!$C$3+MouserListTable[[#This Row],[Extra]]</f>
        <v>1</v>
      </c>
      <c r="X21" s="94">
        <f>IF(MouserListTable[[#This Row],[Tag]]=FilterSpecs!$F$7,MouserListTable[[#This Row],['#/Unit]]*MouserListTable[[#This Row],[Price (USD)]],0)</f>
        <v>0</v>
      </c>
      <c r="Y21" s="94">
        <f>MouserListTable[[#This Row],[Tot '#]]*MouserListTable[[#This Row],[Price (USD)]]</f>
        <v>0.95</v>
      </c>
      <c r="Z21"/>
    </row>
    <row r="22" spans="1:16382" s="106" customFormat="1" x14ac:dyDescent="0.25">
      <c r="A22" s="78" t="s">
        <v>887</v>
      </c>
      <c r="B22" s="78" t="s">
        <v>881</v>
      </c>
      <c r="C22" s="78" t="s">
        <v>1892</v>
      </c>
      <c r="D22" s="81" t="str">
        <f>IF(MouserListTable[[#This Row],[Vendor]]=FilterSpecs!$A$8,MouserListTable[[#This Row],[Mouser SKU]], MouserListTable[[#This Row],[Supplier SKU]])</f>
        <v>474-BOB-12758</v>
      </c>
      <c r="E22" s="94">
        <f>MouserListTable[[#This Row],[Tot '#]]-MouserListTable[[#This Row],['# Initial]]</f>
        <v>1</v>
      </c>
      <c r="F22" s="94">
        <f>IF(AND(MouserListTable[[#This Row],[Tag]]&lt;&gt;FilterSpecs!$F$12, MouserListTable[[#This Row],[Tag]]&lt;&gt;FilterSpecs!$F$9), MouserListTable[[#This Row],['#/Unit]]*FilterSpecs!$B$3+MouserListTable[[#This Row],[Extra Initial]],0)</f>
        <v>0</v>
      </c>
      <c r="G22" s="78" t="s">
        <v>1838</v>
      </c>
      <c r="H22" s="78" t="s">
        <v>1839</v>
      </c>
      <c r="I22" s="78" t="s">
        <v>1840</v>
      </c>
      <c r="J22" s="78">
        <v>1</v>
      </c>
      <c r="K22" s="117">
        <v>5.95</v>
      </c>
      <c r="L22" s="78" t="s">
        <v>1896</v>
      </c>
      <c r="M22" s="81"/>
      <c r="N22" s="154">
        <f>MouserListTable[[#This Row],['# Initial]]*MouserListTable[[#This Row],[Price (USD)]]</f>
        <v>0</v>
      </c>
      <c r="O22" s="81" t="s">
        <v>1837</v>
      </c>
      <c r="P22" s="150">
        <f t="shared" si="0"/>
        <v>9</v>
      </c>
      <c r="Q22" s="78" t="s">
        <v>5</v>
      </c>
      <c r="R22"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474-BOB-12758</v>
      </c>
      <c r="S22" s="133" t="str">
        <f>HYPERLINK("https://www.mouser.com/ProductDetail/" &amp;MouserListTable[[#This Row],[Mouser SKU]])</f>
        <v>https://www.mouser.com/ProductDetail/474-BOB-12758</v>
      </c>
      <c r="T22" s="94">
        <v>0</v>
      </c>
      <c r="U22" s="94">
        <v>1</v>
      </c>
      <c r="V22" s="94">
        <v>0</v>
      </c>
      <c r="W22" s="94">
        <f>MouserListTable[[#This Row],['#/Unit]]*FilterSpecs!$C$3+MouserListTable[[#This Row],[Extra]]</f>
        <v>1</v>
      </c>
      <c r="X22" s="94">
        <f>IF(MouserListTable[[#This Row],[Tag]]=FilterSpecs!$F$7,MouserListTable[[#This Row],['#/Unit]]*MouserListTable[[#This Row],[Price (USD)]],0)</f>
        <v>0</v>
      </c>
      <c r="Y22" s="94">
        <f>MouserListTable[[#This Row],[Tot '#]]*MouserListTable[[#This Row],[Price (USD)]]</f>
        <v>5.95</v>
      </c>
      <c r="Z22"/>
    </row>
    <row r="23" spans="1:16382" s="106" customFormat="1" x14ac:dyDescent="0.25">
      <c r="A23" s="97" t="s">
        <v>887</v>
      </c>
      <c r="B23" s="97" t="s">
        <v>881</v>
      </c>
      <c r="C23" s="78" t="s">
        <v>1892</v>
      </c>
      <c r="D23" s="81" t="str">
        <f>IF(MouserListTable[[#This Row],[Vendor]]=FilterSpecs!$A$8,MouserListTable[[#This Row],[Mouser SKU]], MouserListTable[[#This Row],[Supplier SKU]])</f>
        <v>474-SEN-12642</v>
      </c>
      <c r="E23" s="94">
        <f>MouserListTable[[#This Row],[Tot '#]]-MouserListTable[[#This Row],['# Initial]]</f>
        <v>0</v>
      </c>
      <c r="F23" s="94">
        <f>IF(AND(MouserListTable[[#This Row],[Tag]]&lt;&gt;FilterSpecs!$F$12, MouserListTable[[#This Row],[Tag]]&lt;&gt;FilterSpecs!$F$9), MouserListTable[[#This Row],['#/Unit]]*FilterSpecs!$B$3+MouserListTable[[#This Row],[Extra Initial]],0)</f>
        <v>0</v>
      </c>
      <c r="G23" s="78" t="s">
        <v>139</v>
      </c>
      <c r="H23" s="78" t="s">
        <v>140</v>
      </c>
      <c r="I23" s="78" t="s">
        <v>141</v>
      </c>
      <c r="J23" s="78">
        <v>1</v>
      </c>
      <c r="K23" s="117">
        <v>10.95</v>
      </c>
      <c r="L23" s="78" t="s">
        <v>1896</v>
      </c>
      <c r="N23" s="154">
        <f>MouserListTable[[#This Row],['# Initial]]*MouserListTable[[#This Row],[Price (USD)]]</f>
        <v>0</v>
      </c>
      <c r="O23" s="81" t="s">
        <v>138</v>
      </c>
      <c r="P23" s="150">
        <f t="shared" si="0"/>
        <v>10</v>
      </c>
      <c r="Q23" s="78" t="s">
        <v>5</v>
      </c>
      <c r="R23"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474-SEN-12642</v>
      </c>
      <c r="S23" s="133" t="str">
        <f>HYPERLINK("https://www.mouser.com/ProductDetail/" &amp;MouserListTable[[#This Row],[Mouser SKU]])</f>
        <v>https://www.mouser.com/ProductDetail/474-SEN-12642</v>
      </c>
      <c r="T23" s="94">
        <v>0</v>
      </c>
      <c r="U23" s="94">
        <v>0</v>
      </c>
      <c r="V23" s="94">
        <v>0</v>
      </c>
      <c r="W23" s="94">
        <f>MouserListTable[[#This Row],['#/Unit]]*FilterSpecs!$C$3+MouserListTable[[#This Row],[Extra]]</f>
        <v>0</v>
      </c>
      <c r="X23" s="94">
        <f>IF(MouserListTable[[#This Row],[Tag]]=FilterSpecs!$F$7,MouserListTable[[#This Row],['#/Unit]]*MouserListTable[[#This Row],[Price (USD)]],0)</f>
        <v>0</v>
      </c>
      <c r="Y23" s="94">
        <f>MouserListTable[[#This Row],[Tot '#]]*MouserListTable[[#This Row],[Price (USD)]]</f>
        <v>0</v>
      </c>
      <c r="Z23"/>
    </row>
    <row r="24" spans="1:16382" s="106" customFormat="1" x14ac:dyDescent="0.25">
      <c r="A24" s="78" t="s">
        <v>887</v>
      </c>
      <c r="B24" s="78" t="s">
        <v>881</v>
      </c>
      <c r="C24" s="78" t="s">
        <v>1892</v>
      </c>
      <c r="D24" s="81" t="str">
        <f>IF(MouserListTable[[#This Row],[Vendor]]=FilterSpecs!$A$8,MouserListTable[[#This Row],[Mouser SKU]], MouserListTable[[#This Row],[Supplier SKU]])</f>
        <v>485-94</v>
      </c>
      <c r="E24" s="94">
        <f>MouserListTable[[#This Row],[Tot '#]]-MouserListTable[[#This Row],['# Initial]]</f>
        <v>0</v>
      </c>
      <c r="F24" s="94">
        <f>IF(AND(MouserListTable[[#This Row],[Tag]]&lt;&gt;FilterSpecs!$F$12, MouserListTable[[#This Row],[Tag]]&lt;&gt;FilterSpecs!$F$9), MouserListTable[[#This Row],['#/Unit]]*FilterSpecs!$B$3+MouserListTable[[#This Row],[Extra Initial]],0)</f>
        <v>0</v>
      </c>
      <c r="G24" s="78"/>
      <c r="H24" s="78"/>
      <c r="I24" s="97" t="s">
        <v>2227</v>
      </c>
      <c r="K24" s="118">
        <v>22</v>
      </c>
      <c r="L24" s="97" t="s">
        <v>1896</v>
      </c>
      <c r="N24" s="154">
        <f>MouserListTable[[#This Row],['# Initial]]*MouserListTable[[#This Row],[Price (USD)]]</f>
        <v>0</v>
      </c>
      <c r="O24" s="81" t="s">
        <v>2226</v>
      </c>
      <c r="P24" s="150">
        <f t="shared" si="0"/>
        <v>11</v>
      </c>
      <c r="Q24" s="78" t="s">
        <v>1884</v>
      </c>
      <c r="R24"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485-94</v>
      </c>
      <c r="S24" s="133" t="str">
        <f>HYPERLINK("https://www.mouser.com/ProductDetail/" &amp;MouserListTable[[#This Row],[Mouser SKU]])</f>
        <v>https://www.mouser.com/ProductDetail/485-94</v>
      </c>
      <c r="T24" s="94">
        <v>0</v>
      </c>
      <c r="U24" s="94">
        <v>0</v>
      </c>
      <c r="V24" s="94">
        <v>0</v>
      </c>
      <c r="W24" s="94">
        <f>MouserListTable[[#This Row],['#/Unit]]*FilterSpecs!$C$3+MouserListTable[[#This Row],[Extra]]</f>
        <v>0</v>
      </c>
      <c r="X24" s="94">
        <f>IF(MouserListTable[[#This Row],[Tag]]=FilterSpecs!$F$7,MouserListTable[[#This Row],['#/Unit]]*MouserListTable[[#This Row],[Price (USD)]],0)</f>
        <v>0</v>
      </c>
      <c r="Y24" s="94">
        <f>MouserListTable[[#This Row],[Tot '#]]*MouserListTable[[#This Row],[Price (USD)]]</f>
        <v>0</v>
      </c>
      <c r="Z24"/>
    </row>
    <row r="25" spans="1:16382" s="153" customFormat="1" x14ac:dyDescent="0.25">
      <c r="A25" s="150" t="s">
        <v>887</v>
      </c>
      <c r="B25" s="150" t="s">
        <v>881</v>
      </c>
      <c r="C25" s="150" t="s">
        <v>1892</v>
      </c>
      <c r="D25" s="151" t="str">
        <f>IF(MouserListTable[[#This Row],[Vendor]]=FilterSpecs!$A$8,MouserListTable[[#This Row],[Mouser SKU]], MouserListTable[[#This Row],[Supplier SKU]])</f>
        <v>474-WRL-11924</v>
      </c>
      <c r="E25" s="152">
        <f>MouserListTable[[#This Row],[Tot '#]]-MouserListTable[[#This Row],['# Initial]]</f>
        <v>0</v>
      </c>
      <c r="F25" s="152">
        <f>IF(AND(MouserListTable[[#This Row],[Tag]]&lt;&gt;FilterSpecs!$F$12, MouserListTable[[#This Row],[Tag]]&lt;&gt;FilterSpecs!$F$9), MouserListTable[[#This Row],['#/Unit]]*FilterSpecs!$B$3+MouserListTable[[#This Row],[Extra Initial]],0)</f>
        <v>0</v>
      </c>
      <c r="G25" s="147" t="s">
        <v>1478</v>
      </c>
      <c r="H25" s="150" t="s">
        <v>1479</v>
      </c>
      <c r="I25" s="97" t="s">
        <v>1480</v>
      </c>
      <c r="J25" s="97">
        <v>49.95</v>
      </c>
      <c r="K25" s="97">
        <v>49.95</v>
      </c>
      <c r="L25" s="97" t="s">
        <v>1896</v>
      </c>
      <c r="M25" s="97"/>
      <c r="N25" s="154">
        <f>MouserListTable[[#This Row],['# Initial]]*MouserListTable[[#This Row],[Price (USD)]]</f>
        <v>0</v>
      </c>
      <c r="O25" s="97" t="s">
        <v>1477</v>
      </c>
      <c r="P25" s="150">
        <f t="shared" si="0"/>
        <v>12</v>
      </c>
      <c r="Q25" s="150" t="s">
        <v>5</v>
      </c>
      <c r="R2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474-WRL-11924</v>
      </c>
      <c r="S25" s="157" t="str">
        <f>HYPERLINK("https://www.mouser.com/ProductDetail/" &amp;MouserListTable[[#This Row],[Mouser SKU]])</f>
        <v>https://www.mouser.com/ProductDetail/474-WRL-11924</v>
      </c>
      <c r="T25" s="152">
        <v>0</v>
      </c>
      <c r="U25" s="152">
        <v>0</v>
      </c>
      <c r="V25" s="152">
        <v>0</v>
      </c>
      <c r="W25" s="152">
        <f>MouserListTable[[#This Row],['#/Unit]]*FilterSpecs!$C$3+MouserListTable[[#This Row],[Extra]]</f>
        <v>0</v>
      </c>
      <c r="X25" s="152">
        <f>IF(MouserListTable[[#This Row],[Tag]]=FilterSpecs!$F$7,MouserListTable[[#This Row],['#/Unit]]*MouserListTable[[#This Row],[Price (USD)]],0)</f>
        <v>0</v>
      </c>
      <c r="Y25" s="152">
        <f>MouserListTable[[#This Row],[Tot '#]]*MouserListTable[[#This Row],[Price (USD)]]</f>
        <v>0</v>
      </c>
      <c r="Z25" s="146"/>
      <c r="AA25" s="146"/>
      <c r="AB25" s="146"/>
      <c r="AC25" s="146"/>
      <c r="AD25" s="146"/>
      <c r="AE25" s="146"/>
      <c r="AF25" s="146"/>
      <c r="AG25" s="146"/>
      <c r="AH25" s="146"/>
      <c r="AI25" s="146"/>
      <c r="AJ25" s="146"/>
      <c r="AK25" s="146"/>
      <c r="AL25" s="146"/>
      <c r="AM25" s="146"/>
      <c r="AN25" s="146"/>
      <c r="AO25" s="146"/>
      <c r="AP25" s="146"/>
      <c r="AQ25" s="146"/>
      <c r="AR25" s="146"/>
      <c r="AS25" s="146"/>
      <c r="AT25" s="146"/>
      <c r="AU25" s="146"/>
      <c r="AV25" s="146"/>
      <c r="AW25" s="146"/>
      <c r="AX25" s="146"/>
      <c r="AY25" s="146"/>
      <c r="AZ25" s="146"/>
      <c r="BA25" s="146"/>
      <c r="BB25" s="146"/>
      <c r="BC25" s="146"/>
      <c r="BD25" s="146"/>
      <c r="BE25" s="146"/>
      <c r="BF25" s="146"/>
      <c r="BG25" s="146"/>
      <c r="BH25" s="146"/>
      <c r="BI25" s="146"/>
      <c r="BJ25" s="146"/>
      <c r="BK25" s="146"/>
      <c r="BL25" s="146"/>
      <c r="BM25" s="146"/>
      <c r="BN25" s="146"/>
      <c r="BO25" s="146"/>
      <c r="BP25" s="146"/>
      <c r="BQ25" s="146"/>
      <c r="BR25" s="146"/>
      <c r="BS25" s="146"/>
      <c r="BT25" s="146"/>
      <c r="BU25" s="146"/>
      <c r="BV25" s="146"/>
      <c r="BW25" s="146"/>
      <c r="BX25" s="146"/>
      <c r="BY25" s="146"/>
      <c r="BZ25" s="146"/>
      <c r="CA25" s="146"/>
      <c r="CB25" s="146"/>
      <c r="CC25" s="146"/>
      <c r="CD25" s="146"/>
      <c r="CE25" s="146"/>
      <c r="CF25" s="146"/>
      <c r="CG25" s="146"/>
      <c r="CH25" s="146"/>
      <c r="CI25" s="146"/>
      <c r="CJ25" s="146"/>
      <c r="CK25" s="146"/>
      <c r="CL25" s="146"/>
      <c r="CM25" s="146"/>
      <c r="CN25" s="146"/>
      <c r="CO25" s="146"/>
      <c r="CP25" s="146"/>
      <c r="CQ25" s="146"/>
      <c r="CR25" s="146"/>
      <c r="CS25" s="146"/>
      <c r="CT25" s="146"/>
      <c r="CU25" s="146"/>
      <c r="CV25" s="146"/>
      <c r="CW25" s="146"/>
      <c r="CX25" s="146"/>
      <c r="CY25" s="146"/>
      <c r="CZ25" s="146"/>
      <c r="DA25" s="146"/>
      <c r="DB25" s="146"/>
      <c r="DC25" s="146"/>
      <c r="DD25" s="146"/>
      <c r="DE25" s="146"/>
      <c r="DF25" s="146"/>
      <c r="DG25" s="146"/>
      <c r="DH25" s="146"/>
      <c r="DI25" s="146"/>
      <c r="DJ25" s="146"/>
      <c r="DK25" s="146"/>
      <c r="DL25" s="146"/>
      <c r="DM25" s="146"/>
      <c r="DN25" s="146"/>
      <c r="DO25" s="146"/>
      <c r="DP25" s="146"/>
      <c r="DQ25" s="146"/>
      <c r="DR25" s="146"/>
      <c r="DS25" s="146"/>
      <c r="DT25" s="146"/>
      <c r="DU25" s="146"/>
      <c r="DV25" s="146"/>
      <c r="DW25" s="146"/>
      <c r="DX25" s="146"/>
      <c r="DY25" s="146"/>
      <c r="DZ25" s="146"/>
      <c r="EA25" s="146"/>
      <c r="EB25" s="146"/>
      <c r="EC25" s="146"/>
      <c r="ED25" s="146"/>
      <c r="EE25" s="146"/>
      <c r="EF25" s="146"/>
      <c r="EG25" s="146"/>
      <c r="EH25" s="146"/>
      <c r="EI25" s="146"/>
      <c r="EJ25" s="146"/>
      <c r="EK25" s="146"/>
      <c r="EL25" s="146"/>
      <c r="EM25" s="146"/>
      <c r="EN25" s="146"/>
      <c r="EO25" s="146"/>
      <c r="EP25" s="146"/>
      <c r="EQ25" s="146"/>
      <c r="ER25" s="146"/>
      <c r="ES25" s="146"/>
      <c r="ET25" s="146"/>
      <c r="EU25" s="146"/>
      <c r="EV25" s="146"/>
      <c r="EW25" s="146"/>
      <c r="EX25" s="146"/>
      <c r="EY25" s="146"/>
      <c r="EZ25" s="146"/>
      <c r="FA25" s="146"/>
      <c r="FB25" s="146"/>
      <c r="FC25" s="146"/>
      <c r="FD25" s="146"/>
      <c r="FE25" s="146"/>
      <c r="FF25" s="146"/>
      <c r="FG25" s="146"/>
      <c r="FH25" s="146"/>
      <c r="FI25" s="146"/>
      <c r="FJ25" s="146"/>
      <c r="FK25" s="146"/>
      <c r="FL25" s="146"/>
      <c r="FM25" s="146"/>
      <c r="FN25" s="146"/>
      <c r="FO25" s="146"/>
      <c r="FP25" s="146"/>
      <c r="FQ25" s="146"/>
      <c r="FR25" s="146"/>
      <c r="FS25" s="146"/>
      <c r="FT25" s="146"/>
      <c r="FU25" s="146"/>
      <c r="FV25" s="146"/>
      <c r="FW25" s="146"/>
      <c r="FX25" s="146"/>
      <c r="FY25" s="146"/>
      <c r="FZ25" s="146"/>
      <c r="GA25" s="146"/>
      <c r="GB25" s="146"/>
      <c r="GC25" s="146"/>
      <c r="GD25" s="146"/>
      <c r="GE25" s="146"/>
      <c r="GF25" s="146"/>
      <c r="GG25" s="146"/>
      <c r="GH25" s="146"/>
      <c r="GI25" s="146"/>
      <c r="GJ25" s="146"/>
      <c r="GK25" s="146"/>
      <c r="GL25" s="146"/>
      <c r="GM25" s="146"/>
      <c r="GN25" s="146"/>
      <c r="GO25" s="146"/>
      <c r="GP25" s="146"/>
      <c r="GQ25" s="146"/>
      <c r="GR25" s="146"/>
      <c r="GS25" s="146"/>
      <c r="GT25" s="146"/>
      <c r="GU25" s="146"/>
      <c r="GV25" s="146"/>
      <c r="GW25" s="146"/>
      <c r="GX25" s="146"/>
      <c r="GY25" s="146"/>
      <c r="GZ25" s="146"/>
      <c r="HA25" s="146"/>
      <c r="HB25" s="146"/>
      <c r="HC25" s="146"/>
      <c r="HD25" s="146"/>
      <c r="HE25" s="146"/>
      <c r="HF25" s="146"/>
      <c r="HG25" s="146"/>
      <c r="HH25" s="146"/>
      <c r="HI25" s="146"/>
      <c r="HJ25" s="146"/>
      <c r="HK25" s="146"/>
      <c r="HL25" s="146"/>
      <c r="HM25" s="146"/>
      <c r="HN25" s="146"/>
      <c r="HO25" s="146"/>
      <c r="HP25" s="146"/>
      <c r="HQ25" s="146"/>
      <c r="HR25" s="146"/>
      <c r="HS25" s="146"/>
      <c r="HT25" s="146"/>
      <c r="HU25" s="146"/>
      <c r="HV25" s="146"/>
      <c r="HW25" s="146"/>
      <c r="HX25" s="146"/>
      <c r="HY25" s="146"/>
      <c r="HZ25" s="146"/>
      <c r="IA25" s="146"/>
      <c r="IB25" s="146"/>
      <c r="IC25" s="146"/>
      <c r="ID25" s="146"/>
      <c r="IE25" s="146"/>
      <c r="IF25" s="146"/>
      <c r="IG25" s="146"/>
      <c r="IH25" s="146"/>
      <c r="II25" s="146"/>
      <c r="IJ25" s="146"/>
      <c r="IK25" s="146"/>
      <c r="IL25" s="146"/>
      <c r="IM25" s="146"/>
      <c r="IN25" s="146"/>
      <c r="IO25" s="146"/>
      <c r="IP25" s="146"/>
      <c r="IQ25" s="146"/>
      <c r="IR25" s="146"/>
      <c r="IS25" s="146"/>
      <c r="IT25" s="146"/>
      <c r="IU25" s="146"/>
      <c r="IV25" s="146"/>
      <c r="IW25" s="146"/>
      <c r="IX25" s="146"/>
      <c r="IY25" s="146"/>
      <c r="IZ25" s="146"/>
      <c r="JA25" s="146"/>
      <c r="JB25" s="146"/>
      <c r="JC25" s="146"/>
      <c r="JD25" s="146"/>
      <c r="JE25" s="146"/>
      <c r="JF25" s="146"/>
      <c r="JG25" s="146"/>
      <c r="JH25" s="146"/>
      <c r="JI25" s="146"/>
      <c r="JJ25" s="146"/>
      <c r="JK25" s="146"/>
      <c r="JL25" s="146"/>
      <c r="JM25" s="146"/>
      <c r="JN25" s="146"/>
      <c r="JO25" s="146"/>
      <c r="JP25" s="146"/>
      <c r="JQ25" s="146"/>
      <c r="JR25" s="146"/>
      <c r="JS25" s="146"/>
      <c r="JT25" s="146"/>
      <c r="JU25" s="146"/>
      <c r="JV25" s="146"/>
      <c r="JW25" s="146"/>
      <c r="JX25" s="146"/>
      <c r="JY25" s="146"/>
      <c r="JZ25" s="146"/>
      <c r="KA25" s="146"/>
      <c r="KB25" s="146"/>
      <c r="KC25" s="146"/>
      <c r="KD25" s="146"/>
      <c r="KE25" s="146"/>
      <c r="KF25" s="146"/>
      <c r="KG25" s="146"/>
      <c r="KH25" s="146"/>
      <c r="KI25" s="146"/>
      <c r="KJ25" s="146"/>
      <c r="KK25" s="146"/>
      <c r="KL25" s="146"/>
      <c r="KM25" s="146"/>
      <c r="KN25" s="146"/>
      <c r="KO25" s="146"/>
      <c r="KP25" s="146"/>
      <c r="KQ25" s="146"/>
      <c r="KR25" s="146"/>
      <c r="KS25" s="146"/>
      <c r="KT25" s="146"/>
      <c r="KU25" s="146"/>
      <c r="KV25" s="146"/>
      <c r="KW25" s="146"/>
      <c r="KX25" s="146"/>
      <c r="KY25" s="146"/>
      <c r="KZ25" s="146"/>
      <c r="LA25" s="146"/>
      <c r="LB25" s="146"/>
      <c r="LC25" s="146"/>
      <c r="LD25" s="146"/>
      <c r="LE25" s="146"/>
      <c r="LF25" s="146"/>
      <c r="LG25" s="146"/>
      <c r="LH25" s="146"/>
      <c r="LI25" s="146"/>
      <c r="LJ25" s="146"/>
      <c r="LK25" s="146"/>
      <c r="LL25" s="146"/>
      <c r="LM25" s="146"/>
      <c r="LN25" s="146"/>
      <c r="LO25" s="146"/>
      <c r="LP25" s="146"/>
      <c r="LQ25" s="146"/>
      <c r="LR25" s="146"/>
      <c r="LS25" s="146"/>
      <c r="LT25" s="146"/>
      <c r="LU25" s="146"/>
      <c r="LV25" s="146"/>
      <c r="LW25" s="146"/>
      <c r="LX25" s="146"/>
      <c r="LY25" s="146"/>
      <c r="LZ25" s="146"/>
      <c r="MA25" s="146"/>
      <c r="MB25" s="146"/>
      <c r="MC25" s="146"/>
      <c r="MD25" s="146"/>
      <c r="ME25" s="146"/>
      <c r="MF25" s="146"/>
      <c r="MG25" s="146"/>
      <c r="MH25" s="146"/>
      <c r="MI25" s="146"/>
      <c r="MJ25" s="146"/>
      <c r="MK25" s="146"/>
      <c r="ML25" s="146"/>
      <c r="MM25" s="146"/>
      <c r="MN25" s="146"/>
      <c r="MO25" s="146"/>
      <c r="MP25" s="146"/>
      <c r="MQ25" s="146"/>
      <c r="MR25" s="146"/>
      <c r="MS25" s="146"/>
      <c r="MT25" s="146"/>
      <c r="MU25" s="146"/>
      <c r="MV25" s="146"/>
      <c r="MW25" s="146"/>
      <c r="MX25" s="146"/>
      <c r="MY25" s="146"/>
      <c r="MZ25" s="146"/>
      <c r="NA25" s="146"/>
      <c r="NB25" s="146"/>
      <c r="NC25" s="146"/>
      <c r="ND25" s="146"/>
      <c r="NE25" s="146"/>
      <c r="NF25" s="146"/>
      <c r="NG25" s="146"/>
      <c r="NH25" s="146"/>
      <c r="NI25" s="146"/>
      <c r="NJ25" s="146"/>
      <c r="NK25" s="146"/>
      <c r="NL25" s="146"/>
      <c r="NM25" s="146"/>
      <c r="NN25" s="146"/>
      <c r="NO25" s="146"/>
      <c r="NP25" s="146"/>
      <c r="NQ25" s="146"/>
      <c r="NR25" s="146"/>
      <c r="NS25" s="146"/>
      <c r="NT25" s="146"/>
      <c r="NU25" s="146"/>
      <c r="NV25" s="146"/>
      <c r="NW25" s="146"/>
      <c r="NX25" s="146"/>
      <c r="NY25" s="146"/>
      <c r="NZ25" s="146"/>
      <c r="OA25" s="146"/>
      <c r="OB25" s="146"/>
      <c r="OC25" s="146"/>
      <c r="OD25" s="146"/>
      <c r="OE25" s="146"/>
      <c r="OF25" s="146"/>
      <c r="OG25" s="146"/>
      <c r="OH25" s="146"/>
      <c r="OI25" s="146"/>
      <c r="OJ25" s="146"/>
      <c r="OK25" s="146"/>
      <c r="OL25" s="146"/>
      <c r="OM25" s="146"/>
      <c r="ON25" s="146"/>
      <c r="OO25" s="146"/>
      <c r="OP25" s="146"/>
      <c r="OQ25" s="146"/>
      <c r="OR25" s="146"/>
      <c r="OS25" s="146"/>
      <c r="OT25" s="146"/>
      <c r="OU25" s="146"/>
      <c r="OV25" s="146"/>
      <c r="OW25" s="146"/>
      <c r="OX25" s="146"/>
      <c r="OY25" s="146"/>
      <c r="OZ25" s="146"/>
      <c r="PA25" s="146"/>
      <c r="PB25" s="146"/>
      <c r="PC25" s="146"/>
      <c r="PD25" s="146"/>
      <c r="PE25" s="146"/>
      <c r="PF25" s="146"/>
      <c r="PG25" s="146"/>
      <c r="PH25" s="146"/>
      <c r="PI25" s="146"/>
      <c r="PJ25" s="146"/>
      <c r="PK25" s="146"/>
      <c r="PL25" s="146"/>
      <c r="PM25" s="146"/>
      <c r="PN25" s="146"/>
      <c r="PO25" s="146"/>
      <c r="PP25" s="146"/>
      <c r="PQ25" s="146"/>
      <c r="PR25" s="146"/>
      <c r="PS25" s="146"/>
      <c r="PT25" s="146"/>
      <c r="PU25" s="146"/>
      <c r="PV25" s="146"/>
      <c r="PW25" s="146"/>
      <c r="PX25" s="146"/>
      <c r="PY25" s="146"/>
      <c r="PZ25" s="146"/>
      <c r="QA25" s="146"/>
      <c r="QB25" s="146"/>
      <c r="QC25" s="146"/>
      <c r="QD25" s="146"/>
      <c r="QE25" s="146"/>
      <c r="QF25" s="146"/>
      <c r="QG25" s="146"/>
      <c r="QH25" s="146"/>
      <c r="QI25" s="146"/>
      <c r="QJ25" s="146"/>
      <c r="QK25" s="146"/>
      <c r="QL25" s="146"/>
      <c r="QM25" s="146"/>
      <c r="QN25" s="146"/>
      <c r="QO25" s="146"/>
      <c r="QP25" s="146"/>
      <c r="QQ25" s="146"/>
      <c r="QR25" s="146"/>
      <c r="QS25" s="146"/>
      <c r="QT25" s="146"/>
      <c r="QU25" s="146"/>
      <c r="QV25" s="146"/>
      <c r="QW25" s="146"/>
      <c r="QX25" s="146"/>
      <c r="QY25" s="146"/>
      <c r="QZ25" s="146"/>
      <c r="RA25" s="146"/>
      <c r="RB25" s="146"/>
      <c r="RC25" s="146"/>
      <c r="RD25" s="146"/>
      <c r="RE25" s="146"/>
      <c r="RF25" s="146"/>
      <c r="RG25" s="146"/>
      <c r="RH25" s="146"/>
      <c r="RI25" s="146"/>
      <c r="RJ25" s="146"/>
      <c r="RK25" s="146"/>
      <c r="RL25" s="146"/>
      <c r="RM25" s="146"/>
      <c r="RN25" s="146"/>
      <c r="RO25" s="146"/>
      <c r="RP25" s="146"/>
      <c r="RQ25" s="146"/>
      <c r="RR25" s="146"/>
      <c r="RS25" s="146"/>
      <c r="RT25" s="146"/>
      <c r="RU25" s="146"/>
      <c r="RV25" s="146"/>
      <c r="RW25" s="146"/>
      <c r="RX25" s="146"/>
      <c r="RY25" s="146"/>
      <c r="RZ25" s="146"/>
      <c r="SA25" s="146"/>
      <c r="SB25" s="146"/>
      <c r="SC25" s="146"/>
      <c r="SD25" s="146"/>
      <c r="SE25" s="146"/>
      <c r="SF25" s="146"/>
      <c r="SG25" s="146"/>
      <c r="SH25" s="146"/>
      <c r="SI25" s="146"/>
      <c r="SJ25" s="146"/>
      <c r="SK25" s="146"/>
      <c r="SL25" s="146"/>
      <c r="SM25" s="146"/>
      <c r="SN25" s="146"/>
      <c r="SO25" s="146"/>
      <c r="SP25" s="146"/>
      <c r="SQ25" s="146"/>
      <c r="SR25" s="146"/>
      <c r="SS25" s="146"/>
      <c r="ST25" s="146"/>
      <c r="SU25" s="146"/>
      <c r="SV25" s="146"/>
      <c r="SW25" s="146"/>
      <c r="SX25" s="146"/>
      <c r="SY25" s="146"/>
      <c r="SZ25" s="146"/>
      <c r="TA25" s="146"/>
      <c r="TB25" s="146"/>
      <c r="TC25" s="146"/>
      <c r="TD25" s="146"/>
      <c r="TE25" s="146"/>
      <c r="TF25" s="146"/>
      <c r="TG25" s="146"/>
      <c r="TH25" s="146"/>
      <c r="TI25" s="146"/>
      <c r="TJ25" s="146"/>
      <c r="TK25" s="146"/>
      <c r="TL25" s="146"/>
      <c r="TM25" s="146"/>
      <c r="TN25" s="146"/>
      <c r="TO25" s="146"/>
      <c r="TP25" s="146"/>
      <c r="TQ25" s="146"/>
      <c r="TR25" s="146"/>
      <c r="TS25" s="146"/>
      <c r="TT25" s="146"/>
      <c r="TU25" s="146"/>
      <c r="TV25" s="146"/>
      <c r="TW25" s="146"/>
      <c r="TX25" s="146"/>
      <c r="TY25" s="146"/>
      <c r="TZ25" s="146"/>
      <c r="UA25" s="146"/>
      <c r="UB25" s="146"/>
      <c r="UC25" s="146"/>
      <c r="UD25" s="146"/>
      <c r="UE25" s="146"/>
      <c r="UF25" s="146"/>
      <c r="UG25" s="146"/>
      <c r="UH25" s="146"/>
      <c r="UI25" s="146"/>
      <c r="UJ25" s="146"/>
      <c r="UK25" s="146"/>
      <c r="UL25" s="146"/>
      <c r="UM25" s="146"/>
      <c r="UN25" s="146"/>
      <c r="UO25" s="146"/>
      <c r="UP25" s="146"/>
      <c r="UQ25" s="146"/>
      <c r="UR25" s="146"/>
      <c r="US25" s="146"/>
      <c r="UT25" s="146"/>
      <c r="UU25" s="146"/>
      <c r="UV25" s="146"/>
      <c r="UW25" s="146"/>
      <c r="UX25" s="146"/>
      <c r="UY25" s="146"/>
      <c r="UZ25" s="146"/>
      <c r="VA25" s="146"/>
      <c r="VB25" s="146"/>
      <c r="VC25" s="146"/>
      <c r="VD25" s="146"/>
      <c r="VE25" s="146"/>
      <c r="VF25" s="146"/>
      <c r="VG25" s="146"/>
      <c r="VH25" s="146"/>
      <c r="VI25" s="146"/>
      <c r="VJ25" s="146"/>
      <c r="VK25" s="146"/>
      <c r="VL25" s="146"/>
      <c r="VM25" s="146"/>
      <c r="VN25" s="146"/>
      <c r="VO25" s="146"/>
      <c r="VP25" s="146"/>
      <c r="VQ25" s="146"/>
      <c r="VR25" s="146"/>
      <c r="VS25" s="146"/>
      <c r="VT25" s="146"/>
      <c r="VU25" s="146"/>
      <c r="VV25" s="146"/>
      <c r="VW25" s="146"/>
      <c r="VX25" s="146"/>
      <c r="VY25" s="146"/>
      <c r="VZ25" s="146"/>
      <c r="WA25" s="146"/>
      <c r="WB25" s="146"/>
      <c r="WC25" s="146"/>
      <c r="WD25" s="146"/>
      <c r="WE25" s="146"/>
      <c r="WF25" s="146"/>
      <c r="WG25" s="146"/>
      <c r="WH25" s="146"/>
      <c r="WI25" s="146"/>
      <c r="WJ25" s="146"/>
      <c r="WK25" s="146"/>
      <c r="WL25" s="146"/>
      <c r="WM25" s="146"/>
      <c r="WN25" s="146"/>
      <c r="WO25" s="146"/>
      <c r="WP25" s="146"/>
      <c r="WQ25" s="146"/>
      <c r="WR25" s="146"/>
      <c r="WS25" s="146"/>
      <c r="WT25" s="146"/>
      <c r="WU25" s="146"/>
      <c r="WV25" s="146"/>
      <c r="WW25" s="146"/>
      <c r="WX25" s="146"/>
      <c r="WY25" s="146"/>
      <c r="WZ25" s="146"/>
      <c r="XA25" s="146"/>
      <c r="XB25" s="146"/>
      <c r="XC25" s="146"/>
      <c r="XD25" s="146"/>
      <c r="XE25" s="146"/>
      <c r="XF25" s="146"/>
      <c r="XG25" s="146"/>
      <c r="XH25" s="146"/>
      <c r="XI25" s="146"/>
      <c r="XJ25" s="146"/>
      <c r="XK25" s="146"/>
      <c r="XL25" s="146"/>
      <c r="XM25" s="146"/>
      <c r="XN25" s="146"/>
      <c r="XO25" s="146"/>
      <c r="XP25" s="146"/>
      <c r="XQ25" s="146"/>
      <c r="XR25" s="146"/>
      <c r="XS25" s="146"/>
      <c r="XT25" s="146"/>
      <c r="XU25" s="146"/>
      <c r="XV25" s="146"/>
      <c r="XW25" s="146"/>
      <c r="XX25" s="146"/>
      <c r="XY25" s="146"/>
      <c r="XZ25" s="146"/>
      <c r="YA25" s="146"/>
      <c r="YB25" s="146"/>
      <c r="YC25" s="146"/>
      <c r="YD25" s="146"/>
      <c r="YE25" s="146"/>
      <c r="YF25" s="146"/>
      <c r="YG25" s="146"/>
      <c r="YH25" s="146"/>
      <c r="YI25" s="146"/>
      <c r="YJ25" s="146"/>
      <c r="YK25" s="146"/>
      <c r="YL25" s="146"/>
      <c r="YM25" s="146"/>
      <c r="YN25" s="146"/>
      <c r="YO25" s="146"/>
      <c r="YP25" s="146"/>
      <c r="YQ25" s="146"/>
      <c r="YR25" s="146"/>
      <c r="YS25" s="146"/>
      <c r="YT25" s="146"/>
      <c r="YU25" s="146"/>
      <c r="YV25" s="146"/>
      <c r="YW25" s="146"/>
      <c r="YX25" s="146"/>
      <c r="YY25" s="146"/>
      <c r="YZ25" s="146"/>
      <c r="ZA25" s="146"/>
      <c r="ZB25" s="146"/>
      <c r="ZC25" s="146"/>
      <c r="ZD25" s="146"/>
      <c r="ZE25" s="146"/>
      <c r="ZF25" s="146"/>
      <c r="ZG25" s="146"/>
      <c r="ZH25" s="146"/>
      <c r="ZI25" s="146"/>
      <c r="ZJ25" s="146"/>
      <c r="ZK25" s="146"/>
      <c r="ZL25" s="146"/>
      <c r="ZM25" s="146"/>
      <c r="ZN25" s="146"/>
      <c r="ZO25" s="146"/>
      <c r="ZP25" s="146"/>
      <c r="ZQ25" s="146"/>
      <c r="ZR25" s="146"/>
      <c r="ZS25" s="146"/>
      <c r="ZT25" s="146"/>
      <c r="ZU25" s="146"/>
      <c r="ZV25" s="146"/>
      <c r="ZW25" s="146"/>
      <c r="ZX25" s="146"/>
      <c r="ZY25" s="146"/>
      <c r="ZZ25" s="146"/>
      <c r="AAA25" s="146"/>
      <c r="AAB25" s="146"/>
      <c r="AAC25" s="146"/>
      <c r="AAD25" s="146"/>
      <c r="AAE25" s="146"/>
      <c r="AAF25" s="146"/>
      <c r="AAG25" s="146"/>
      <c r="AAH25" s="146"/>
      <c r="AAI25" s="146"/>
      <c r="AAJ25" s="146"/>
      <c r="AAK25" s="146"/>
      <c r="AAL25" s="146"/>
      <c r="AAM25" s="146"/>
      <c r="AAN25" s="146"/>
      <c r="AAO25" s="146"/>
      <c r="AAP25" s="146"/>
      <c r="AAQ25" s="146"/>
      <c r="AAR25" s="146"/>
      <c r="AAS25" s="146"/>
      <c r="AAT25" s="146"/>
      <c r="AAU25" s="146"/>
      <c r="AAV25" s="146"/>
      <c r="AAW25" s="146"/>
      <c r="AAX25" s="146"/>
      <c r="AAY25" s="146"/>
      <c r="AAZ25" s="146"/>
      <c r="ABA25" s="146"/>
      <c r="ABB25" s="146"/>
      <c r="ABC25" s="146"/>
      <c r="ABD25" s="146"/>
      <c r="ABE25" s="146"/>
      <c r="ABF25" s="146"/>
      <c r="ABG25" s="146"/>
      <c r="ABH25" s="146"/>
      <c r="ABI25" s="146"/>
      <c r="ABJ25" s="146"/>
      <c r="ABK25" s="146"/>
      <c r="ABL25" s="146"/>
      <c r="ABM25" s="146"/>
      <c r="ABN25" s="146"/>
      <c r="ABO25" s="146"/>
      <c r="ABP25" s="146"/>
      <c r="ABQ25" s="146"/>
      <c r="ABR25" s="146"/>
      <c r="ABS25" s="146"/>
      <c r="ABT25" s="146"/>
      <c r="ABU25" s="146"/>
      <c r="ABV25" s="146"/>
      <c r="ABW25" s="146"/>
      <c r="ABX25" s="146"/>
      <c r="ABY25" s="146"/>
      <c r="ABZ25" s="146"/>
      <c r="ACA25" s="146"/>
      <c r="ACB25" s="146"/>
      <c r="ACC25" s="146"/>
      <c r="ACD25" s="146"/>
      <c r="ACE25" s="146"/>
      <c r="ACF25" s="146"/>
      <c r="ACG25" s="146"/>
      <c r="ACH25" s="146"/>
      <c r="ACI25" s="146"/>
      <c r="ACJ25" s="146"/>
      <c r="ACK25" s="146"/>
      <c r="ACL25" s="146"/>
      <c r="ACM25" s="146"/>
      <c r="ACN25" s="146"/>
      <c r="ACO25" s="146"/>
      <c r="ACP25" s="146"/>
      <c r="ACQ25" s="146"/>
      <c r="ACR25" s="146"/>
      <c r="ACS25" s="146"/>
      <c r="ACT25" s="146"/>
      <c r="ACU25" s="146"/>
      <c r="ACV25" s="146"/>
      <c r="ACW25" s="146"/>
      <c r="ACX25" s="146"/>
      <c r="ACY25" s="146"/>
      <c r="ACZ25" s="146"/>
      <c r="ADA25" s="146"/>
      <c r="ADB25" s="146"/>
      <c r="ADC25" s="146"/>
      <c r="ADD25" s="146"/>
      <c r="ADE25" s="146"/>
      <c r="ADF25" s="146"/>
      <c r="ADG25" s="146"/>
      <c r="ADH25" s="146"/>
      <c r="ADI25" s="146"/>
      <c r="ADJ25" s="146"/>
      <c r="ADK25" s="146"/>
      <c r="ADL25" s="146"/>
      <c r="ADM25" s="146"/>
      <c r="ADN25" s="146"/>
      <c r="ADO25" s="146"/>
      <c r="ADP25" s="146"/>
      <c r="ADQ25" s="146"/>
      <c r="ADR25" s="146"/>
      <c r="ADS25" s="146"/>
      <c r="ADT25" s="146"/>
      <c r="ADU25" s="146"/>
      <c r="ADV25" s="146"/>
      <c r="ADW25" s="146"/>
      <c r="ADX25" s="146"/>
      <c r="ADY25" s="146"/>
      <c r="ADZ25" s="146"/>
      <c r="AEA25" s="146"/>
      <c r="AEB25" s="146"/>
      <c r="AEC25" s="146"/>
      <c r="AED25" s="146"/>
      <c r="AEE25" s="146"/>
      <c r="AEF25" s="146"/>
      <c r="AEG25" s="146"/>
      <c r="AEH25" s="146"/>
      <c r="AEI25" s="146"/>
      <c r="AEJ25" s="146"/>
      <c r="AEK25" s="146"/>
      <c r="AEL25" s="146"/>
      <c r="AEM25" s="146"/>
      <c r="AEN25" s="146"/>
      <c r="AEO25" s="146"/>
      <c r="AEP25" s="146"/>
      <c r="AEQ25" s="146"/>
      <c r="AER25" s="146"/>
      <c r="AES25" s="146"/>
      <c r="AET25" s="146"/>
      <c r="AEU25" s="146"/>
      <c r="AEV25" s="146"/>
      <c r="AEW25" s="146"/>
      <c r="AEX25" s="146"/>
      <c r="AEY25" s="146"/>
      <c r="AEZ25" s="146"/>
      <c r="AFA25" s="146"/>
      <c r="AFB25" s="146"/>
      <c r="AFC25" s="146"/>
      <c r="AFD25" s="146"/>
      <c r="AFE25" s="146"/>
      <c r="AFF25" s="146"/>
      <c r="AFG25" s="146"/>
      <c r="AFH25" s="146"/>
      <c r="AFI25" s="146"/>
      <c r="AFJ25" s="146"/>
      <c r="AFK25" s="146"/>
      <c r="AFL25" s="146"/>
      <c r="AFM25" s="146"/>
      <c r="AFN25" s="146"/>
      <c r="AFO25" s="146"/>
      <c r="AFP25" s="146"/>
      <c r="AFQ25" s="146"/>
      <c r="AFR25" s="146"/>
      <c r="AFS25" s="146"/>
      <c r="AFT25" s="146"/>
      <c r="AFU25" s="146"/>
      <c r="AFV25" s="146"/>
      <c r="AFW25" s="146"/>
      <c r="AFX25" s="146"/>
      <c r="AFY25" s="146"/>
      <c r="AFZ25" s="146"/>
      <c r="AGA25" s="146"/>
      <c r="AGB25" s="146"/>
      <c r="AGC25" s="146"/>
      <c r="AGD25" s="146"/>
      <c r="AGE25" s="146"/>
      <c r="AGF25" s="146"/>
      <c r="AGG25" s="146"/>
      <c r="AGH25" s="146"/>
      <c r="AGI25" s="146"/>
      <c r="AGJ25" s="146"/>
      <c r="AGK25" s="146"/>
      <c r="AGL25" s="146"/>
      <c r="AGM25" s="146"/>
      <c r="AGN25" s="146"/>
      <c r="AGO25" s="146"/>
      <c r="AGP25" s="146"/>
      <c r="AGQ25" s="146"/>
      <c r="AGR25" s="146"/>
      <c r="AGS25" s="146"/>
      <c r="AGT25" s="146"/>
      <c r="AGU25" s="146"/>
      <c r="AGV25" s="146"/>
      <c r="AGW25" s="146"/>
      <c r="AGX25" s="146"/>
      <c r="AGY25" s="146"/>
      <c r="AGZ25" s="146"/>
      <c r="AHA25" s="146"/>
      <c r="AHB25" s="146"/>
      <c r="AHC25" s="146"/>
      <c r="AHD25" s="146"/>
      <c r="AHE25" s="146"/>
      <c r="AHF25" s="146"/>
      <c r="AHG25" s="146"/>
      <c r="AHH25" s="146"/>
      <c r="AHI25" s="146"/>
      <c r="AHJ25" s="146"/>
      <c r="AHK25" s="146"/>
      <c r="AHL25" s="146"/>
      <c r="AHM25" s="146"/>
      <c r="AHN25" s="146"/>
      <c r="AHO25" s="146"/>
      <c r="AHP25" s="146"/>
      <c r="AHQ25" s="146"/>
      <c r="AHR25" s="146"/>
      <c r="AHS25" s="146"/>
      <c r="AHT25" s="146"/>
      <c r="AHU25" s="146"/>
      <c r="AHV25" s="146"/>
      <c r="AHW25" s="146"/>
      <c r="AHX25" s="146"/>
      <c r="AHY25" s="146"/>
      <c r="AHZ25" s="146"/>
      <c r="AIA25" s="146"/>
      <c r="AIB25" s="146"/>
      <c r="AIC25" s="146"/>
      <c r="AID25" s="146"/>
      <c r="AIE25" s="146"/>
      <c r="AIF25" s="146"/>
      <c r="AIG25" s="146"/>
      <c r="AIH25" s="146"/>
      <c r="AII25" s="146"/>
      <c r="AIJ25" s="146"/>
      <c r="AIK25" s="146"/>
      <c r="AIL25" s="146"/>
      <c r="AIM25" s="146"/>
      <c r="AIN25" s="146"/>
      <c r="AIO25" s="146"/>
      <c r="AIP25" s="146"/>
      <c r="AIQ25" s="146"/>
      <c r="AIR25" s="146"/>
      <c r="AIS25" s="146"/>
      <c r="AIT25" s="146"/>
      <c r="AIU25" s="146"/>
      <c r="AIV25" s="146"/>
      <c r="AIW25" s="146"/>
      <c r="AIX25" s="146"/>
      <c r="AIY25" s="146"/>
      <c r="AIZ25" s="146"/>
      <c r="AJA25" s="146"/>
      <c r="AJB25" s="146"/>
      <c r="AJC25" s="146"/>
      <c r="AJD25" s="146"/>
      <c r="AJE25" s="146"/>
      <c r="AJF25" s="146"/>
      <c r="AJG25" s="146"/>
      <c r="AJH25" s="146"/>
      <c r="AJI25" s="146"/>
      <c r="AJJ25" s="146"/>
      <c r="AJK25" s="146"/>
      <c r="AJL25" s="146"/>
      <c r="AJM25" s="146"/>
      <c r="AJN25" s="146"/>
      <c r="AJO25" s="146"/>
      <c r="AJP25" s="146"/>
      <c r="AJQ25" s="146"/>
      <c r="AJR25" s="146"/>
      <c r="AJS25" s="146"/>
      <c r="AJT25" s="146"/>
      <c r="AJU25" s="146"/>
      <c r="AJV25" s="146"/>
      <c r="AJW25" s="146"/>
      <c r="AJX25" s="146"/>
      <c r="AJY25" s="146"/>
      <c r="AJZ25" s="146"/>
      <c r="AKA25" s="146"/>
      <c r="AKB25" s="146"/>
      <c r="AKC25" s="146"/>
      <c r="AKD25" s="146"/>
      <c r="AKE25" s="146"/>
      <c r="AKF25" s="146"/>
      <c r="AKG25" s="146"/>
      <c r="AKH25" s="146"/>
      <c r="AKI25" s="146"/>
      <c r="AKJ25" s="146"/>
      <c r="AKK25" s="146"/>
      <c r="AKL25" s="146"/>
      <c r="AKM25" s="146"/>
      <c r="AKN25" s="146"/>
      <c r="AKO25" s="146"/>
      <c r="AKP25" s="146"/>
      <c r="AKQ25" s="146"/>
      <c r="AKR25" s="146"/>
      <c r="AKS25" s="146"/>
      <c r="AKT25" s="146"/>
      <c r="AKU25" s="146"/>
      <c r="AKV25" s="146"/>
      <c r="AKW25" s="146"/>
      <c r="AKX25" s="146"/>
      <c r="AKY25" s="146"/>
      <c r="AKZ25" s="146"/>
      <c r="ALA25" s="146"/>
      <c r="ALB25" s="146"/>
      <c r="ALC25" s="146"/>
      <c r="ALD25" s="146"/>
      <c r="ALE25" s="146"/>
      <c r="ALF25" s="146"/>
      <c r="ALG25" s="146"/>
      <c r="ALH25" s="146"/>
      <c r="ALI25" s="146"/>
      <c r="ALJ25" s="146"/>
      <c r="ALK25" s="146"/>
      <c r="ALL25" s="146"/>
      <c r="ALM25" s="146"/>
      <c r="ALN25" s="146"/>
      <c r="ALO25" s="146"/>
      <c r="ALP25" s="146"/>
      <c r="ALQ25" s="146"/>
      <c r="ALR25" s="146"/>
      <c r="ALS25" s="146"/>
      <c r="ALT25" s="146"/>
      <c r="ALU25" s="146"/>
      <c r="ALV25" s="146"/>
      <c r="ALW25" s="146"/>
      <c r="ALX25" s="146"/>
      <c r="ALY25" s="146"/>
      <c r="ALZ25" s="146"/>
      <c r="AMA25" s="146"/>
      <c r="AMB25" s="146"/>
      <c r="AMC25" s="146"/>
      <c r="AMD25" s="146"/>
      <c r="AME25" s="146"/>
      <c r="AMF25" s="146"/>
      <c r="AMG25" s="146"/>
      <c r="AMH25" s="146"/>
      <c r="AMI25" s="146"/>
      <c r="AMJ25" s="146"/>
      <c r="AMK25" s="146"/>
      <c r="AML25" s="146"/>
      <c r="AMM25" s="146"/>
      <c r="AMN25" s="146"/>
      <c r="AMO25" s="146"/>
      <c r="AMP25" s="146"/>
      <c r="AMQ25" s="146"/>
      <c r="AMR25" s="146"/>
      <c r="AMS25" s="146"/>
      <c r="AMT25" s="146"/>
      <c r="AMU25" s="146"/>
      <c r="AMV25" s="146"/>
      <c r="AMW25" s="146"/>
      <c r="AMX25" s="146"/>
      <c r="AMY25" s="146"/>
      <c r="AMZ25" s="146"/>
      <c r="ANA25" s="146"/>
      <c r="ANB25" s="146"/>
      <c r="ANC25" s="146"/>
      <c r="AND25" s="146"/>
      <c r="ANE25" s="146"/>
      <c r="ANF25" s="146"/>
      <c r="ANG25" s="146"/>
      <c r="ANH25" s="146"/>
      <c r="ANI25" s="146"/>
      <c r="ANJ25" s="146"/>
      <c r="ANK25" s="146"/>
      <c r="ANL25" s="146"/>
      <c r="ANM25" s="146"/>
      <c r="ANN25" s="146"/>
      <c r="ANO25" s="146"/>
      <c r="ANP25" s="146"/>
      <c r="ANQ25" s="146"/>
      <c r="ANR25" s="146"/>
      <c r="ANS25" s="146"/>
      <c r="ANT25" s="146"/>
      <c r="ANU25" s="146"/>
      <c r="ANV25" s="146"/>
      <c r="ANW25" s="146"/>
      <c r="ANX25" s="146"/>
      <c r="ANY25" s="146"/>
      <c r="ANZ25" s="146"/>
      <c r="AOA25" s="146"/>
      <c r="AOB25" s="146"/>
      <c r="AOC25" s="146"/>
      <c r="AOD25" s="146"/>
      <c r="AOE25" s="146"/>
      <c r="AOF25" s="146"/>
      <c r="AOG25" s="146"/>
      <c r="AOH25" s="146"/>
      <c r="AOI25" s="146"/>
      <c r="AOJ25" s="146"/>
      <c r="AOK25" s="146"/>
      <c r="AOL25" s="146"/>
      <c r="AOM25" s="146"/>
      <c r="AON25" s="146"/>
      <c r="AOO25" s="146"/>
      <c r="AOP25" s="146"/>
      <c r="AOQ25" s="146"/>
      <c r="AOR25" s="146"/>
      <c r="AOS25" s="146"/>
      <c r="AOT25" s="146"/>
      <c r="AOU25" s="146"/>
      <c r="AOV25" s="146"/>
      <c r="AOW25" s="146"/>
      <c r="AOX25" s="146"/>
      <c r="AOY25" s="146"/>
      <c r="AOZ25" s="146"/>
      <c r="APA25" s="146"/>
      <c r="APB25" s="146"/>
      <c r="APC25" s="146"/>
      <c r="APD25" s="146"/>
      <c r="APE25" s="146"/>
      <c r="APF25" s="146"/>
      <c r="APG25" s="146"/>
      <c r="APH25" s="146"/>
      <c r="API25" s="146"/>
      <c r="APJ25" s="146"/>
      <c r="APK25" s="146"/>
      <c r="APL25" s="146"/>
      <c r="APM25" s="146"/>
      <c r="APN25" s="146"/>
      <c r="APO25" s="146"/>
      <c r="APP25" s="146"/>
      <c r="APQ25" s="146"/>
      <c r="APR25" s="146"/>
      <c r="APS25" s="146"/>
      <c r="APT25" s="146"/>
      <c r="APU25" s="146"/>
      <c r="APV25" s="146"/>
      <c r="APW25" s="146"/>
      <c r="APX25" s="146"/>
      <c r="APY25" s="146"/>
      <c r="APZ25" s="146"/>
      <c r="AQA25" s="146"/>
      <c r="AQB25" s="146"/>
      <c r="AQC25" s="146"/>
      <c r="AQD25" s="146"/>
      <c r="AQE25" s="146"/>
      <c r="AQF25" s="146"/>
      <c r="AQG25" s="146"/>
      <c r="AQH25" s="146"/>
      <c r="AQI25" s="146"/>
      <c r="AQJ25" s="146"/>
      <c r="AQK25" s="146"/>
      <c r="AQL25" s="146"/>
      <c r="AQM25" s="146"/>
      <c r="AQN25" s="146"/>
      <c r="AQO25" s="146"/>
      <c r="AQP25" s="146"/>
      <c r="AQQ25" s="146"/>
      <c r="AQR25" s="146"/>
      <c r="AQS25" s="146"/>
      <c r="AQT25" s="146"/>
      <c r="AQU25" s="146"/>
      <c r="AQV25" s="146"/>
      <c r="AQW25" s="146"/>
      <c r="AQX25" s="146"/>
      <c r="AQY25" s="146"/>
      <c r="AQZ25" s="146"/>
      <c r="ARA25" s="146"/>
      <c r="ARB25" s="146"/>
      <c r="ARC25" s="146"/>
      <c r="ARD25" s="146"/>
      <c r="ARE25" s="146"/>
      <c r="ARF25" s="146"/>
      <c r="ARG25" s="146"/>
      <c r="ARH25" s="146"/>
      <c r="ARI25" s="146"/>
      <c r="ARJ25" s="146"/>
      <c r="ARK25" s="146"/>
      <c r="ARL25" s="146"/>
      <c r="ARM25" s="146"/>
      <c r="ARN25" s="146"/>
      <c r="ARO25" s="146"/>
      <c r="ARP25" s="146"/>
      <c r="ARQ25" s="146"/>
      <c r="ARR25" s="146"/>
      <c r="ARS25" s="146"/>
      <c r="ART25" s="146"/>
      <c r="ARU25" s="146"/>
      <c r="ARV25" s="146"/>
      <c r="ARW25" s="146"/>
      <c r="ARX25" s="146"/>
      <c r="ARY25" s="146"/>
      <c r="ARZ25" s="146"/>
      <c r="ASA25" s="146"/>
      <c r="ASB25" s="146"/>
      <c r="ASC25" s="146"/>
      <c r="ASD25" s="146"/>
      <c r="ASE25" s="146"/>
      <c r="ASF25" s="146"/>
      <c r="ASG25" s="146"/>
      <c r="ASH25" s="146"/>
      <c r="ASI25" s="146"/>
      <c r="ASJ25" s="146"/>
      <c r="ASK25" s="146"/>
      <c r="ASL25" s="146"/>
      <c r="ASM25" s="146"/>
      <c r="ASN25" s="146"/>
      <c r="ASO25" s="146"/>
      <c r="ASP25" s="146"/>
      <c r="ASQ25" s="146"/>
      <c r="ASR25" s="146"/>
      <c r="ASS25" s="146"/>
      <c r="AST25" s="146"/>
      <c r="ASU25" s="146"/>
      <c r="ASV25" s="146"/>
      <c r="ASW25" s="146"/>
      <c r="ASX25" s="146"/>
      <c r="ASY25" s="146"/>
      <c r="ASZ25" s="146"/>
      <c r="ATA25" s="146"/>
      <c r="ATB25" s="146"/>
      <c r="ATC25" s="146"/>
      <c r="ATD25" s="146"/>
      <c r="ATE25" s="146"/>
      <c r="ATF25" s="146"/>
      <c r="ATG25" s="146"/>
      <c r="ATH25" s="146"/>
      <c r="ATI25" s="146"/>
      <c r="ATJ25" s="146"/>
      <c r="ATK25" s="146"/>
      <c r="ATL25" s="146"/>
      <c r="ATM25" s="146"/>
      <c r="ATN25" s="146"/>
      <c r="ATO25" s="146"/>
      <c r="ATP25" s="146"/>
      <c r="ATQ25" s="146"/>
      <c r="ATR25" s="146"/>
      <c r="ATS25" s="146"/>
      <c r="ATT25" s="146"/>
      <c r="ATU25" s="146"/>
      <c r="ATV25" s="146"/>
      <c r="ATW25" s="146"/>
      <c r="ATX25" s="146"/>
      <c r="ATY25" s="146"/>
      <c r="ATZ25" s="146"/>
      <c r="AUA25" s="146"/>
      <c r="AUB25" s="146"/>
      <c r="AUC25" s="146"/>
      <c r="AUD25" s="146"/>
      <c r="AUE25" s="146"/>
      <c r="AUF25" s="146"/>
      <c r="AUG25" s="146"/>
      <c r="AUH25" s="146"/>
      <c r="AUI25" s="146"/>
      <c r="AUJ25" s="146"/>
      <c r="AUK25" s="146"/>
      <c r="AUL25" s="146"/>
      <c r="AUM25" s="146"/>
      <c r="AUN25" s="146"/>
      <c r="AUO25" s="146"/>
      <c r="AUP25" s="146"/>
      <c r="AUQ25" s="146"/>
      <c r="AUR25" s="146"/>
      <c r="AUS25" s="146"/>
      <c r="AUT25" s="146"/>
      <c r="AUU25" s="146"/>
      <c r="AUV25" s="146"/>
      <c r="AUW25" s="146"/>
      <c r="AUX25" s="146"/>
      <c r="AUY25" s="146"/>
      <c r="AUZ25" s="146"/>
      <c r="AVA25" s="146"/>
      <c r="AVB25" s="146"/>
      <c r="AVC25" s="146"/>
      <c r="AVD25" s="146"/>
      <c r="AVE25" s="146"/>
      <c r="AVF25" s="146"/>
      <c r="AVG25" s="146"/>
      <c r="AVH25" s="146"/>
      <c r="AVI25" s="146"/>
      <c r="AVJ25" s="146"/>
      <c r="AVK25" s="146"/>
      <c r="AVL25" s="146"/>
      <c r="AVM25" s="146"/>
      <c r="AVN25" s="146"/>
      <c r="AVO25" s="146"/>
      <c r="AVP25" s="146"/>
      <c r="AVQ25" s="146"/>
      <c r="AVR25" s="146"/>
      <c r="AVS25" s="146"/>
      <c r="AVT25" s="146"/>
      <c r="AVU25" s="146"/>
      <c r="AVV25" s="146"/>
      <c r="AVW25" s="146"/>
      <c r="AVX25" s="146"/>
      <c r="AVY25" s="146"/>
      <c r="AVZ25" s="146"/>
      <c r="AWA25" s="146"/>
      <c r="AWB25" s="146"/>
      <c r="AWC25" s="146"/>
      <c r="AWD25" s="146"/>
      <c r="AWE25" s="146"/>
      <c r="AWF25" s="146"/>
      <c r="AWG25" s="146"/>
      <c r="AWH25" s="146"/>
      <c r="AWI25" s="146"/>
      <c r="AWJ25" s="146"/>
      <c r="AWK25" s="146"/>
      <c r="AWL25" s="146"/>
      <c r="AWM25" s="146"/>
      <c r="AWN25" s="146"/>
      <c r="AWO25" s="146"/>
      <c r="AWP25" s="146"/>
      <c r="AWQ25" s="146"/>
      <c r="AWR25" s="146"/>
      <c r="AWS25" s="146"/>
      <c r="AWT25" s="146"/>
      <c r="AWU25" s="146"/>
      <c r="AWV25" s="146"/>
      <c r="AWW25" s="146"/>
      <c r="AWX25" s="146"/>
      <c r="AWY25" s="146"/>
      <c r="AWZ25" s="146"/>
      <c r="AXA25" s="146"/>
      <c r="AXB25" s="146"/>
      <c r="AXC25" s="146"/>
      <c r="AXD25" s="146"/>
      <c r="AXE25" s="146"/>
      <c r="AXF25" s="146"/>
      <c r="AXG25" s="146"/>
      <c r="AXH25" s="146"/>
      <c r="AXI25" s="146"/>
      <c r="AXJ25" s="146"/>
      <c r="AXK25" s="146"/>
      <c r="AXL25" s="146"/>
      <c r="AXM25" s="146"/>
      <c r="AXN25" s="146"/>
      <c r="AXO25" s="146"/>
      <c r="AXP25" s="146"/>
      <c r="AXQ25" s="146"/>
      <c r="AXR25" s="146"/>
      <c r="AXS25" s="146"/>
      <c r="AXT25" s="146"/>
      <c r="AXU25" s="146"/>
      <c r="AXV25" s="146"/>
      <c r="AXW25" s="146"/>
      <c r="AXX25" s="146"/>
      <c r="AXY25" s="146"/>
      <c r="AXZ25" s="146"/>
      <c r="AYA25" s="146"/>
      <c r="AYB25" s="146"/>
      <c r="AYC25" s="146"/>
      <c r="AYD25" s="146"/>
      <c r="AYE25" s="146"/>
      <c r="AYF25" s="146"/>
      <c r="AYG25" s="146"/>
      <c r="AYH25" s="146"/>
      <c r="AYI25" s="146"/>
      <c r="AYJ25" s="146"/>
      <c r="AYK25" s="146"/>
      <c r="AYL25" s="146"/>
      <c r="AYM25" s="146"/>
      <c r="AYN25" s="146"/>
      <c r="AYO25" s="146"/>
      <c r="AYP25" s="146"/>
      <c r="AYQ25" s="146"/>
      <c r="AYR25" s="146"/>
      <c r="AYS25" s="146"/>
      <c r="AYT25" s="146"/>
      <c r="AYU25" s="146"/>
      <c r="AYV25" s="146"/>
      <c r="AYW25" s="146"/>
      <c r="AYX25" s="146"/>
      <c r="AYY25" s="146"/>
      <c r="AYZ25" s="146"/>
      <c r="AZA25" s="146"/>
      <c r="AZB25" s="146"/>
      <c r="AZC25" s="146"/>
      <c r="AZD25" s="146"/>
      <c r="AZE25" s="146"/>
      <c r="AZF25" s="146"/>
      <c r="AZG25" s="146"/>
      <c r="AZH25" s="146"/>
      <c r="AZI25" s="146"/>
      <c r="AZJ25" s="146"/>
      <c r="AZK25" s="146"/>
      <c r="AZL25" s="146"/>
      <c r="AZM25" s="146"/>
      <c r="AZN25" s="146"/>
      <c r="AZO25" s="146"/>
      <c r="AZP25" s="146"/>
      <c r="AZQ25" s="146"/>
      <c r="AZR25" s="146"/>
      <c r="AZS25" s="146"/>
      <c r="AZT25" s="146"/>
      <c r="AZU25" s="146"/>
      <c r="AZV25" s="146"/>
      <c r="AZW25" s="146"/>
      <c r="AZX25" s="146"/>
      <c r="AZY25" s="146"/>
      <c r="AZZ25" s="146"/>
      <c r="BAA25" s="146"/>
      <c r="BAB25" s="146"/>
      <c r="BAC25" s="146"/>
      <c r="BAD25" s="146"/>
      <c r="BAE25" s="146"/>
      <c r="BAF25" s="146"/>
      <c r="BAG25" s="146"/>
      <c r="BAH25" s="146"/>
      <c r="BAI25" s="146"/>
      <c r="BAJ25" s="146"/>
      <c r="BAK25" s="146"/>
      <c r="BAL25" s="146"/>
      <c r="BAM25" s="146"/>
      <c r="BAN25" s="146"/>
      <c r="BAO25" s="146"/>
      <c r="BAP25" s="146"/>
      <c r="BAQ25" s="146"/>
      <c r="BAR25" s="146"/>
      <c r="BAS25" s="146"/>
      <c r="BAT25" s="146"/>
      <c r="BAU25" s="146"/>
      <c r="BAV25" s="146"/>
      <c r="BAW25" s="146"/>
      <c r="BAX25" s="146"/>
      <c r="BAY25" s="146"/>
      <c r="BAZ25" s="146"/>
      <c r="BBA25" s="146"/>
      <c r="BBB25" s="146"/>
      <c r="BBC25" s="146"/>
      <c r="BBD25" s="146"/>
      <c r="BBE25" s="146"/>
      <c r="BBF25" s="146"/>
      <c r="BBG25" s="146"/>
      <c r="BBH25" s="146"/>
      <c r="BBI25" s="146"/>
      <c r="BBJ25" s="146"/>
      <c r="BBK25" s="146"/>
      <c r="BBL25" s="146"/>
      <c r="BBM25" s="146"/>
      <c r="BBN25" s="146"/>
      <c r="BBO25" s="146"/>
      <c r="BBP25" s="146"/>
      <c r="BBQ25" s="146"/>
      <c r="BBR25" s="146"/>
      <c r="BBS25" s="146"/>
      <c r="BBT25" s="146"/>
      <c r="BBU25" s="146"/>
      <c r="BBV25" s="146"/>
      <c r="BBW25" s="146"/>
      <c r="BBX25" s="146"/>
      <c r="BBY25" s="146"/>
      <c r="BBZ25" s="146"/>
      <c r="BCA25" s="146"/>
      <c r="BCB25" s="146"/>
      <c r="BCC25" s="146"/>
      <c r="BCD25" s="146"/>
      <c r="BCE25" s="146"/>
      <c r="BCF25" s="146"/>
      <c r="BCG25" s="146"/>
      <c r="BCH25" s="146"/>
      <c r="BCI25" s="146"/>
      <c r="BCJ25" s="146"/>
      <c r="BCK25" s="146"/>
      <c r="BCL25" s="146"/>
      <c r="BCM25" s="146"/>
      <c r="BCN25" s="146"/>
      <c r="BCO25" s="146"/>
      <c r="BCP25" s="146"/>
      <c r="BCQ25" s="146"/>
      <c r="BCR25" s="146"/>
      <c r="BCS25" s="146"/>
      <c r="BCT25" s="146"/>
      <c r="BCU25" s="146"/>
      <c r="BCV25" s="146"/>
      <c r="BCW25" s="146"/>
      <c r="BCX25" s="146"/>
      <c r="BCY25" s="146"/>
      <c r="BCZ25" s="146"/>
      <c r="BDA25" s="146"/>
      <c r="BDB25" s="146"/>
      <c r="BDC25" s="146"/>
      <c r="BDD25" s="146"/>
      <c r="BDE25" s="146"/>
      <c r="BDF25" s="146"/>
      <c r="BDG25" s="146"/>
      <c r="BDH25" s="146"/>
      <c r="BDI25" s="146"/>
      <c r="BDJ25" s="146"/>
      <c r="BDK25" s="146"/>
      <c r="BDL25" s="146"/>
      <c r="BDM25" s="146"/>
      <c r="BDN25" s="146"/>
      <c r="BDO25" s="146"/>
      <c r="BDP25" s="146"/>
      <c r="BDQ25" s="146"/>
      <c r="BDR25" s="146"/>
      <c r="BDS25" s="146"/>
      <c r="BDT25" s="146"/>
      <c r="BDU25" s="146"/>
      <c r="BDV25" s="146"/>
      <c r="BDW25" s="146"/>
      <c r="BDX25" s="146"/>
      <c r="BDY25" s="146"/>
      <c r="BDZ25" s="146"/>
      <c r="BEA25" s="146"/>
      <c r="BEB25" s="146"/>
      <c r="BEC25" s="146"/>
      <c r="BED25" s="146"/>
      <c r="BEE25" s="146"/>
      <c r="BEF25" s="146"/>
      <c r="BEG25" s="146"/>
      <c r="BEH25" s="146"/>
      <c r="BEI25" s="146"/>
      <c r="BEJ25" s="146"/>
      <c r="BEK25" s="146"/>
      <c r="BEL25" s="146"/>
      <c r="BEM25" s="146"/>
      <c r="BEN25" s="146"/>
      <c r="BEO25" s="146"/>
      <c r="BEP25" s="146"/>
      <c r="BEQ25" s="146"/>
      <c r="BER25" s="146"/>
      <c r="BES25" s="146"/>
      <c r="BET25" s="146"/>
      <c r="BEU25" s="146"/>
      <c r="BEV25" s="146"/>
      <c r="BEW25" s="146"/>
      <c r="BEX25" s="146"/>
      <c r="BEY25" s="146"/>
      <c r="BEZ25" s="146"/>
      <c r="BFA25" s="146"/>
      <c r="BFB25" s="146"/>
      <c r="BFC25" s="146"/>
      <c r="BFD25" s="146"/>
      <c r="BFE25" s="146"/>
      <c r="BFF25" s="146"/>
      <c r="BFG25" s="146"/>
      <c r="BFH25" s="146"/>
      <c r="BFI25" s="146"/>
      <c r="BFJ25" s="146"/>
      <c r="BFK25" s="146"/>
      <c r="BFL25" s="146"/>
      <c r="BFM25" s="146"/>
      <c r="BFN25" s="146"/>
      <c r="BFO25" s="146"/>
      <c r="BFP25" s="146"/>
      <c r="BFQ25" s="146"/>
      <c r="BFR25" s="146"/>
      <c r="BFS25" s="146"/>
      <c r="BFT25" s="146"/>
      <c r="BFU25" s="146"/>
      <c r="BFV25" s="146"/>
      <c r="BFW25" s="146"/>
      <c r="BFX25" s="146"/>
      <c r="BFY25" s="146"/>
      <c r="BFZ25" s="146"/>
      <c r="BGA25" s="146"/>
      <c r="BGB25" s="146"/>
      <c r="BGC25" s="146"/>
      <c r="BGD25" s="146"/>
      <c r="BGE25" s="146"/>
      <c r="BGF25" s="146"/>
      <c r="BGG25" s="146"/>
      <c r="BGH25" s="146"/>
      <c r="BGI25" s="146"/>
      <c r="BGJ25" s="146"/>
      <c r="BGK25" s="146"/>
      <c r="BGL25" s="146"/>
      <c r="BGM25" s="146"/>
      <c r="BGN25" s="146"/>
      <c r="BGO25" s="146"/>
      <c r="BGP25" s="146"/>
      <c r="BGQ25" s="146"/>
      <c r="BGR25" s="146"/>
      <c r="BGS25" s="146"/>
      <c r="BGT25" s="146"/>
      <c r="BGU25" s="146"/>
      <c r="BGV25" s="146"/>
      <c r="BGW25" s="146"/>
      <c r="BGX25" s="146"/>
      <c r="BGY25" s="146"/>
      <c r="BGZ25" s="146"/>
      <c r="BHA25" s="146"/>
      <c r="BHB25" s="146"/>
      <c r="BHC25" s="146"/>
      <c r="BHD25" s="146"/>
      <c r="BHE25" s="146"/>
      <c r="BHF25" s="146"/>
      <c r="BHG25" s="146"/>
      <c r="BHH25" s="146"/>
      <c r="BHI25" s="146"/>
      <c r="BHJ25" s="146"/>
      <c r="BHK25" s="146"/>
      <c r="BHL25" s="146"/>
      <c r="BHM25" s="146"/>
      <c r="BHN25" s="146"/>
      <c r="BHO25" s="146"/>
      <c r="BHP25" s="146"/>
      <c r="BHQ25" s="146"/>
      <c r="BHR25" s="146"/>
      <c r="BHS25" s="146"/>
      <c r="BHT25" s="146"/>
      <c r="BHU25" s="146"/>
      <c r="BHV25" s="146"/>
      <c r="BHW25" s="146"/>
      <c r="BHX25" s="146"/>
      <c r="BHY25" s="146"/>
      <c r="BHZ25" s="146"/>
      <c r="BIA25" s="146"/>
      <c r="BIB25" s="146"/>
      <c r="BIC25" s="146"/>
      <c r="BID25" s="146"/>
      <c r="BIE25" s="146"/>
      <c r="BIF25" s="146"/>
      <c r="BIG25" s="146"/>
      <c r="BIH25" s="146"/>
      <c r="BII25" s="146"/>
      <c r="BIJ25" s="146"/>
      <c r="BIK25" s="146"/>
      <c r="BIL25" s="146"/>
      <c r="BIM25" s="146"/>
      <c r="BIN25" s="146"/>
      <c r="BIO25" s="146"/>
      <c r="BIP25" s="146"/>
      <c r="BIQ25" s="146"/>
      <c r="BIR25" s="146"/>
      <c r="BIS25" s="146"/>
      <c r="BIT25" s="146"/>
      <c r="BIU25" s="146"/>
      <c r="BIV25" s="146"/>
      <c r="BIW25" s="146"/>
      <c r="BIX25" s="146"/>
      <c r="BIY25" s="146"/>
      <c r="BIZ25" s="146"/>
      <c r="BJA25" s="146"/>
      <c r="BJB25" s="146"/>
      <c r="BJC25" s="146"/>
      <c r="BJD25" s="146"/>
      <c r="BJE25" s="146"/>
      <c r="BJF25" s="146"/>
      <c r="BJG25" s="146"/>
      <c r="BJH25" s="146"/>
      <c r="BJI25" s="146"/>
      <c r="BJJ25" s="146"/>
      <c r="BJK25" s="146"/>
      <c r="BJL25" s="146"/>
      <c r="BJM25" s="146"/>
      <c r="BJN25" s="146"/>
      <c r="BJO25" s="146"/>
      <c r="BJP25" s="146"/>
      <c r="BJQ25" s="146"/>
      <c r="BJR25" s="146"/>
      <c r="BJS25" s="146"/>
      <c r="BJT25" s="146"/>
      <c r="BJU25" s="146"/>
      <c r="BJV25" s="146"/>
      <c r="BJW25" s="146"/>
      <c r="BJX25" s="146"/>
      <c r="BJY25" s="146"/>
      <c r="BJZ25" s="146"/>
      <c r="BKA25" s="146"/>
      <c r="BKB25" s="146"/>
      <c r="BKC25" s="146"/>
      <c r="BKD25" s="146"/>
      <c r="BKE25" s="146"/>
      <c r="BKF25" s="146"/>
      <c r="BKG25" s="146"/>
      <c r="BKH25" s="146"/>
      <c r="BKI25" s="146"/>
      <c r="BKJ25" s="146"/>
      <c r="BKK25" s="146"/>
      <c r="BKL25" s="146"/>
      <c r="BKM25" s="146"/>
      <c r="BKN25" s="146"/>
      <c r="BKO25" s="146"/>
      <c r="BKP25" s="146"/>
      <c r="BKQ25" s="146"/>
      <c r="BKR25" s="146"/>
      <c r="BKS25" s="146"/>
      <c r="BKT25" s="146"/>
      <c r="BKU25" s="146"/>
      <c r="BKV25" s="146"/>
      <c r="BKW25" s="146"/>
      <c r="BKX25" s="146"/>
      <c r="BKY25" s="146"/>
      <c r="BKZ25" s="146"/>
      <c r="BLA25" s="146"/>
      <c r="BLB25" s="146"/>
      <c r="BLC25" s="146"/>
      <c r="BLD25" s="146"/>
      <c r="BLE25" s="146"/>
      <c r="BLF25" s="146"/>
      <c r="BLG25" s="146"/>
      <c r="BLH25" s="146"/>
      <c r="BLI25" s="146"/>
      <c r="BLJ25" s="146"/>
      <c r="BLK25" s="146"/>
      <c r="BLL25" s="146"/>
      <c r="BLM25" s="146"/>
      <c r="BLN25" s="146"/>
      <c r="BLO25" s="146"/>
      <c r="BLP25" s="146"/>
      <c r="BLQ25" s="146"/>
      <c r="BLR25" s="146"/>
      <c r="BLS25" s="146"/>
      <c r="BLT25" s="146"/>
      <c r="BLU25" s="146"/>
      <c r="BLV25" s="146"/>
      <c r="BLW25" s="146"/>
      <c r="BLX25" s="146"/>
      <c r="BLY25" s="146"/>
      <c r="BLZ25" s="146"/>
      <c r="BMA25" s="146"/>
      <c r="BMB25" s="146"/>
      <c r="BMC25" s="146"/>
      <c r="BMD25" s="146"/>
      <c r="BME25" s="146"/>
      <c r="BMF25" s="146"/>
      <c r="BMG25" s="146"/>
      <c r="BMH25" s="146"/>
      <c r="BMI25" s="146"/>
      <c r="BMJ25" s="146"/>
      <c r="BMK25" s="146"/>
      <c r="BML25" s="146"/>
      <c r="BMM25" s="146"/>
      <c r="BMN25" s="146"/>
      <c r="BMO25" s="146"/>
      <c r="BMP25" s="146"/>
      <c r="BMQ25" s="146"/>
      <c r="BMR25" s="146"/>
      <c r="BMS25" s="146"/>
      <c r="BMT25" s="146"/>
      <c r="BMU25" s="146"/>
      <c r="BMV25" s="146"/>
      <c r="BMW25" s="146"/>
      <c r="BMX25" s="146"/>
      <c r="BMY25" s="146"/>
      <c r="BMZ25" s="146"/>
      <c r="BNA25" s="146"/>
      <c r="BNB25" s="146"/>
      <c r="BNC25" s="146"/>
      <c r="BND25" s="146"/>
      <c r="BNE25" s="146"/>
      <c r="BNF25" s="146"/>
      <c r="BNG25" s="146"/>
      <c r="BNH25" s="146"/>
      <c r="BNI25" s="146"/>
      <c r="BNJ25" s="146"/>
      <c r="BNK25" s="146"/>
      <c r="BNL25" s="146"/>
      <c r="BNM25" s="146"/>
      <c r="BNN25" s="146"/>
      <c r="BNO25" s="146"/>
      <c r="BNP25" s="146"/>
      <c r="BNQ25" s="146"/>
      <c r="BNR25" s="146"/>
      <c r="BNS25" s="146"/>
      <c r="BNT25" s="146"/>
      <c r="BNU25" s="146"/>
      <c r="BNV25" s="146"/>
      <c r="BNW25" s="146"/>
      <c r="BNX25" s="146"/>
      <c r="BNY25" s="146"/>
      <c r="BNZ25" s="146"/>
      <c r="BOA25" s="146"/>
      <c r="BOB25" s="146"/>
      <c r="BOC25" s="146"/>
      <c r="BOD25" s="146"/>
      <c r="BOE25" s="146"/>
      <c r="BOF25" s="146"/>
      <c r="BOG25" s="146"/>
      <c r="BOH25" s="146"/>
      <c r="BOI25" s="146"/>
      <c r="BOJ25" s="146"/>
      <c r="BOK25" s="146"/>
      <c r="BOL25" s="146"/>
      <c r="BOM25" s="146"/>
      <c r="BON25" s="146"/>
      <c r="BOO25" s="146"/>
      <c r="BOP25" s="146"/>
      <c r="BOQ25" s="146"/>
      <c r="BOR25" s="146"/>
      <c r="BOS25" s="146"/>
      <c r="BOT25" s="146"/>
      <c r="BOU25" s="146"/>
      <c r="BOV25" s="146"/>
      <c r="BOW25" s="146"/>
      <c r="BOX25" s="146"/>
      <c r="BOY25" s="146"/>
      <c r="BOZ25" s="146"/>
      <c r="BPA25" s="146"/>
      <c r="BPB25" s="146"/>
      <c r="BPC25" s="146"/>
      <c r="BPD25" s="146"/>
      <c r="BPE25" s="146"/>
      <c r="BPF25" s="146"/>
      <c r="BPG25" s="146"/>
      <c r="BPH25" s="146"/>
      <c r="BPI25" s="146"/>
      <c r="BPJ25" s="146"/>
      <c r="BPK25" s="146"/>
      <c r="BPL25" s="146"/>
      <c r="BPM25" s="146"/>
      <c r="BPN25" s="146"/>
      <c r="BPO25" s="146"/>
      <c r="BPP25" s="146"/>
      <c r="BPQ25" s="146"/>
      <c r="BPR25" s="146"/>
      <c r="BPS25" s="146"/>
      <c r="BPT25" s="146"/>
      <c r="BPU25" s="146"/>
      <c r="BPV25" s="146"/>
      <c r="BPW25" s="146"/>
      <c r="BPX25" s="146"/>
      <c r="BPY25" s="146"/>
      <c r="BPZ25" s="146"/>
      <c r="BQA25" s="146"/>
      <c r="BQB25" s="146"/>
      <c r="BQC25" s="146"/>
      <c r="BQD25" s="146"/>
      <c r="BQE25" s="146"/>
      <c r="BQF25" s="146"/>
      <c r="BQG25" s="146"/>
      <c r="BQH25" s="146"/>
      <c r="BQI25" s="146"/>
      <c r="BQJ25" s="146"/>
      <c r="BQK25" s="146"/>
      <c r="BQL25" s="146"/>
      <c r="BQM25" s="146"/>
      <c r="BQN25" s="146"/>
      <c r="BQO25" s="146"/>
      <c r="BQP25" s="146"/>
      <c r="BQQ25" s="146"/>
      <c r="BQR25" s="146"/>
      <c r="BQS25" s="146"/>
      <c r="BQT25" s="146"/>
      <c r="BQU25" s="146"/>
      <c r="BQV25" s="146"/>
      <c r="BQW25" s="146"/>
      <c r="BQX25" s="146"/>
      <c r="BQY25" s="146"/>
      <c r="BQZ25" s="146"/>
      <c r="BRA25" s="146"/>
      <c r="BRB25" s="146"/>
      <c r="BRC25" s="146"/>
      <c r="BRD25" s="146"/>
      <c r="BRE25" s="146"/>
      <c r="BRF25" s="146"/>
      <c r="BRG25" s="146"/>
      <c r="BRH25" s="146"/>
      <c r="BRI25" s="146"/>
      <c r="BRJ25" s="146"/>
      <c r="BRK25" s="146"/>
      <c r="BRL25" s="146"/>
      <c r="BRM25" s="146"/>
      <c r="BRN25" s="146"/>
      <c r="BRO25" s="146"/>
      <c r="BRP25" s="146"/>
      <c r="BRQ25" s="146"/>
      <c r="BRR25" s="146"/>
      <c r="BRS25" s="146"/>
      <c r="BRT25" s="146"/>
      <c r="BRU25" s="146"/>
      <c r="BRV25" s="146"/>
      <c r="BRW25" s="146"/>
      <c r="BRX25" s="146"/>
      <c r="BRY25" s="146"/>
      <c r="BRZ25" s="146"/>
      <c r="BSA25" s="146"/>
      <c r="BSB25" s="146"/>
      <c r="BSC25" s="146"/>
      <c r="BSD25" s="146"/>
      <c r="BSE25" s="146"/>
      <c r="BSF25" s="146"/>
      <c r="BSG25" s="146"/>
      <c r="BSH25" s="146"/>
      <c r="BSI25" s="146"/>
      <c r="BSJ25" s="146"/>
      <c r="BSK25" s="146"/>
      <c r="BSL25" s="146"/>
      <c r="BSM25" s="146"/>
      <c r="BSN25" s="146"/>
      <c r="BSO25" s="146"/>
      <c r="BSP25" s="146"/>
      <c r="BSQ25" s="146"/>
      <c r="BSR25" s="146"/>
      <c r="BSS25" s="146"/>
      <c r="BST25" s="146"/>
      <c r="BSU25" s="146"/>
      <c r="BSV25" s="146"/>
      <c r="BSW25" s="146"/>
      <c r="BSX25" s="146"/>
      <c r="BSY25" s="146"/>
      <c r="BSZ25" s="146"/>
      <c r="BTA25" s="146"/>
      <c r="BTB25" s="146"/>
      <c r="BTC25" s="146"/>
      <c r="BTD25" s="146"/>
      <c r="BTE25" s="146"/>
      <c r="BTF25" s="146"/>
      <c r="BTG25" s="146"/>
      <c r="BTH25" s="146"/>
      <c r="BTI25" s="146"/>
      <c r="BTJ25" s="146"/>
      <c r="BTK25" s="146"/>
      <c r="BTL25" s="146"/>
      <c r="BTM25" s="146"/>
      <c r="BTN25" s="146"/>
      <c r="BTO25" s="146"/>
      <c r="BTP25" s="146"/>
      <c r="BTQ25" s="146"/>
      <c r="BTR25" s="146"/>
      <c r="BTS25" s="146"/>
      <c r="BTT25" s="146"/>
      <c r="BTU25" s="146"/>
      <c r="BTV25" s="146"/>
      <c r="BTW25" s="146"/>
      <c r="BTX25" s="146"/>
      <c r="BTY25" s="146"/>
      <c r="BTZ25" s="146"/>
      <c r="BUA25" s="146"/>
      <c r="BUB25" s="146"/>
      <c r="BUC25" s="146"/>
      <c r="BUD25" s="146"/>
      <c r="BUE25" s="146"/>
      <c r="BUF25" s="146"/>
      <c r="BUG25" s="146"/>
      <c r="BUH25" s="146"/>
      <c r="BUI25" s="146"/>
      <c r="BUJ25" s="146"/>
      <c r="BUK25" s="146"/>
      <c r="BUL25" s="146"/>
      <c r="BUM25" s="146"/>
      <c r="BUN25" s="146"/>
      <c r="BUO25" s="146"/>
      <c r="BUP25" s="146"/>
      <c r="BUQ25" s="146"/>
      <c r="BUR25" s="146"/>
      <c r="BUS25" s="146"/>
      <c r="BUT25" s="146"/>
      <c r="BUU25" s="146"/>
      <c r="BUV25" s="146"/>
      <c r="BUW25" s="146"/>
      <c r="BUX25" s="146"/>
      <c r="BUY25" s="146"/>
      <c r="BUZ25" s="146"/>
      <c r="BVA25" s="146"/>
      <c r="BVB25" s="146"/>
      <c r="BVC25" s="146"/>
      <c r="BVD25" s="146"/>
      <c r="BVE25" s="146"/>
      <c r="BVF25" s="146"/>
      <c r="BVG25" s="146"/>
      <c r="BVH25" s="146"/>
      <c r="BVI25" s="146"/>
      <c r="BVJ25" s="146"/>
      <c r="BVK25" s="146"/>
      <c r="BVL25" s="146"/>
      <c r="BVM25" s="146"/>
      <c r="BVN25" s="146"/>
      <c r="BVO25" s="146"/>
      <c r="BVP25" s="146"/>
      <c r="BVQ25" s="146"/>
      <c r="BVR25" s="146"/>
      <c r="BVS25" s="146"/>
      <c r="BVT25" s="146"/>
      <c r="BVU25" s="146"/>
      <c r="BVV25" s="146"/>
      <c r="BVW25" s="146"/>
      <c r="BVX25" s="146"/>
      <c r="BVY25" s="146"/>
      <c r="BVZ25" s="146"/>
      <c r="BWA25" s="146"/>
      <c r="BWB25" s="146"/>
      <c r="BWC25" s="146"/>
      <c r="BWD25" s="146"/>
      <c r="BWE25" s="146"/>
      <c r="BWF25" s="146"/>
      <c r="BWG25" s="146"/>
      <c r="BWH25" s="146"/>
      <c r="BWI25" s="146"/>
      <c r="BWJ25" s="146"/>
      <c r="BWK25" s="146"/>
      <c r="BWL25" s="146"/>
      <c r="BWM25" s="146"/>
      <c r="BWN25" s="146"/>
      <c r="BWO25" s="146"/>
      <c r="BWP25" s="146"/>
      <c r="BWQ25" s="146"/>
      <c r="BWR25" s="146"/>
      <c r="BWS25" s="146"/>
      <c r="BWT25" s="146"/>
      <c r="BWU25" s="146"/>
      <c r="BWV25" s="146"/>
      <c r="BWW25" s="146"/>
      <c r="BWX25" s="146"/>
      <c r="BWY25" s="146"/>
      <c r="BWZ25" s="146"/>
      <c r="BXA25" s="146"/>
      <c r="BXB25" s="146"/>
      <c r="BXC25" s="146"/>
      <c r="BXD25" s="146"/>
      <c r="BXE25" s="146"/>
      <c r="BXF25" s="146"/>
      <c r="BXG25" s="146"/>
      <c r="BXH25" s="146"/>
      <c r="BXI25" s="146"/>
      <c r="BXJ25" s="146"/>
      <c r="BXK25" s="146"/>
      <c r="BXL25" s="146"/>
      <c r="BXM25" s="146"/>
      <c r="BXN25" s="146"/>
      <c r="BXO25" s="146"/>
      <c r="BXP25" s="146"/>
      <c r="BXQ25" s="146"/>
      <c r="BXR25" s="146"/>
      <c r="BXS25" s="146"/>
      <c r="BXT25" s="146"/>
      <c r="BXU25" s="146"/>
      <c r="BXV25" s="146"/>
      <c r="BXW25" s="146"/>
      <c r="BXX25" s="146"/>
      <c r="BXY25" s="146"/>
      <c r="BXZ25" s="146"/>
      <c r="BYA25" s="146"/>
      <c r="BYB25" s="146"/>
      <c r="BYC25" s="146"/>
      <c r="BYD25" s="146"/>
      <c r="BYE25" s="146"/>
      <c r="BYF25" s="146"/>
      <c r="BYG25" s="146"/>
      <c r="BYH25" s="146"/>
      <c r="BYI25" s="146"/>
      <c r="BYJ25" s="146"/>
      <c r="BYK25" s="146"/>
      <c r="BYL25" s="146"/>
      <c r="BYM25" s="146"/>
      <c r="BYN25" s="146"/>
      <c r="BYO25" s="146"/>
      <c r="BYP25" s="146"/>
      <c r="BYQ25" s="146"/>
      <c r="BYR25" s="146"/>
      <c r="BYS25" s="146"/>
      <c r="BYT25" s="146"/>
      <c r="BYU25" s="146"/>
      <c r="BYV25" s="146"/>
      <c r="BYW25" s="146"/>
      <c r="BYX25" s="146"/>
      <c r="BYY25" s="146"/>
      <c r="BYZ25" s="146"/>
      <c r="BZA25" s="146"/>
      <c r="BZB25" s="146"/>
      <c r="BZC25" s="146"/>
      <c r="BZD25" s="146"/>
      <c r="BZE25" s="146"/>
      <c r="BZF25" s="146"/>
      <c r="BZG25" s="146"/>
      <c r="BZH25" s="146"/>
      <c r="BZI25" s="146"/>
      <c r="BZJ25" s="146"/>
      <c r="BZK25" s="146"/>
      <c r="BZL25" s="146"/>
      <c r="BZM25" s="146"/>
      <c r="BZN25" s="146"/>
      <c r="BZO25" s="146"/>
      <c r="BZP25" s="146"/>
      <c r="BZQ25" s="146"/>
      <c r="BZR25" s="146"/>
      <c r="BZS25" s="146"/>
      <c r="BZT25" s="146"/>
      <c r="BZU25" s="146"/>
      <c r="BZV25" s="146"/>
      <c r="BZW25" s="146"/>
      <c r="BZX25" s="146"/>
      <c r="BZY25" s="146"/>
      <c r="BZZ25" s="146"/>
      <c r="CAA25" s="146"/>
      <c r="CAB25" s="146"/>
      <c r="CAC25" s="146"/>
      <c r="CAD25" s="146"/>
      <c r="CAE25" s="146"/>
      <c r="CAF25" s="146"/>
      <c r="CAG25" s="146"/>
      <c r="CAH25" s="146"/>
      <c r="CAI25" s="146"/>
      <c r="CAJ25" s="146"/>
      <c r="CAK25" s="146"/>
      <c r="CAL25" s="146"/>
      <c r="CAM25" s="146"/>
      <c r="CAN25" s="146"/>
      <c r="CAO25" s="146"/>
      <c r="CAP25" s="146"/>
      <c r="CAQ25" s="146"/>
      <c r="CAR25" s="146"/>
      <c r="CAS25" s="146"/>
      <c r="CAT25" s="146"/>
      <c r="CAU25" s="146"/>
      <c r="CAV25" s="146"/>
      <c r="CAW25" s="146"/>
      <c r="CAX25" s="146"/>
      <c r="CAY25" s="146"/>
      <c r="CAZ25" s="146"/>
      <c r="CBA25" s="146"/>
      <c r="CBB25" s="146"/>
      <c r="CBC25" s="146"/>
      <c r="CBD25" s="146"/>
      <c r="CBE25" s="146"/>
      <c r="CBF25" s="146"/>
      <c r="CBG25" s="146"/>
      <c r="CBH25" s="146"/>
      <c r="CBI25" s="146"/>
      <c r="CBJ25" s="146"/>
      <c r="CBK25" s="146"/>
      <c r="CBL25" s="146"/>
      <c r="CBM25" s="146"/>
      <c r="CBN25" s="146"/>
      <c r="CBO25" s="146"/>
      <c r="CBP25" s="146"/>
      <c r="CBQ25" s="146"/>
      <c r="CBR25" s="146"/>
      <c r="CBS25" s="146"/>
      <c r="CBT25" s="146"/>
      <c r="CBU25" s="146"/>
      <c r="CBV25" s="146"/>
      <c r="CBW25" s="146"/>
      <c r="CBX25" s="146"/>
      <c r="CBY25" s="146"/>
      <c r="CBZ25" s="146"/>
      <c r="CCA25" s="146"/>
      <c r="CCB25" s="146"/>
      <c r="CCC25" s="146"/>
      <c r="CCD25" s="146"/>
      <c r="CCE25" s="146"/>
      <c r="CCF25" s="146"/>
      <c r="CCG25" s="146"/>
      <c r="CCH25" s="146"/>
      <c r="CCI25" s="146"/>
      <c r="CCJ25" s="146"/>
      <c r="CCK25" s="146"/>
      <c r="CCL25" s="146"/>
      <c r="CCM25" s="146"/>
      <c r="CCN25" s="146"/>
      <c r="CCO25" s="146"/>
      <c r="CCP25" s="146"/>
      <c r="CCQ25" s="146"/>
      <c r="CCR25" s="146"/>
      <c r="CCS25" s="146"/>
      <c r="CCT25" s="146"/>
      <c r="CCU25" s="146"/>
      <c r="CCV25" s="146"/>
      <c r="CCW25" s="146"/>
      <c r="CCX25" s="146"/>
      <c r="CCY25" s="146"/>
      <c r="CCZ25" s="146"/>
      <c r="CDA25" s="146"/>
      <c r="CDB25" s="146"/>
      <c r="CDC25" s="146"/>
      <c r="CDD25" s="146"/>
      <c r="CDE25" s="146"/>
      <c r="CDF25" s="146"/>
      <c r="CDG25" s="146"/>
      <c r="CDH25" s="146"/>
      <c r="CDI25" s="146"/>
      <c r="CDJ25" s="146"/>
      <c r="CDK25" s="146"/>
      <c r="CDL25" s="146"/>
      <c r="CDM25" s="146"/>
      <c r="CDN25" s="146"/>
      <c r="CDO25" s="146"/>
      <c r="CDP25" s="146"/>
      <c r="CDQ25" s="146"/>
      <c r="CDR25" s="146"/>
      <c r="CDS25" s="146"/>
      <c r="CDT25" s="146"/>
      <c r="CDU25" s="146"/>
      <c r="CDV25" s="146"/>
      <c r="CDW25" s="146"/>
      <c r="CDX25" s="146"/>
      <c r="CDY25" s="146"/>
      <c r="CDZ25" s="146"/>
      <c r="CEA25" s="146"/>
      <c r="CEB25" s="146"/>
      <c r="CEC25" s="146"/>
      <c r="CED25" s="146"/>
      <c r="CEE25" s="146"/>
      <c r="CEF25" s="146"/>
      <c r="CEG25" s="146"/>
      <c r="CEH25" s="146"/>
      <c r="CEI25" s="146"/>
      <c r="CEJ25" s="146"/>
      <c r="CEK25" s="146"/>
      <c r="CEL25" s="146"/>
      <c r="CEM25" s="146"/>
      <c r="CEN25" s="146"/>
      <c r="CEO25" s="146"/>
      <c r="CEP25" s="146"/>
      <c r="CEQ25" s="146"/>
      <c r="CER25" s="146"/>
      <c r="CES25" s="146"/>
      <c r="CET25" s="146"/>
      <c r="CEU25" s="146"/>
      <c r="CEV25" s="146"/>
      <c r="CEW25" s="146"/>
      <c r="CEX25" s="146"/>
      <c r="CEY25" s="146"/>
      <c r="CEZ25" s="146"/>
      <c r="CFA25" s="146"/>
      <c r="CFB25" s="146"/>
      <c r="CFC25" s="146"/>
      <c r="CFD25" s="146"/>
      <c r="CFE25" s="146"/>
      <c r="CFF25" s="146"/>
      <c r="CFG25" s="146"/>
      <c r="CFH25" s="146"/>
      <c r="CFI25" s="146"/>
      <c r="CFJ25" s="146"/>
      <c r="CFK25" s="146"/>
      <c r="CFL25" s="146"/>
      <c r="CFM25" s="146"/>
      <c r="CFN25" s="146"/>
      <c r="CFO25" s="146"/>
      <c r="CFP25" s="146"/>
      <c r="CFQ25" s="146"/>
      <c r="CFR25" s="146"/>
      <c r="CFS25" s="146"/>
      <c r="CFT25" s="146"/>
      <c r="CFU25" s="146"/>
      <c r="CFV25" s="146"/>
      <c r="CFW25" s="146"/>
      <c r="CFX25" s="146"/>
      <c r="CFY25" s="146"/>
      <c r="CFZ25" s="146"/>
      <c r="CGA25" s="146"/>
      <c r="CGB25" s="146"/>
      <c r="CGC25" s="146"/>
      <c r="CGD25" s="146"/>
      <c r="CGE25" s="146"/>
      <c r="CGF25" s="146"/>
      <c r="CGG25" s="146"/>
      <c r="CGH25" s="146"/>
      <c r="CGI25" s="146"/>
      <c r="CGJ25" s="146"/>
      <c r="CGK25" s="146"/>
      <c r="CGL25" s="146"/>
      <c r="CGM25" s="146"/>
      <c r="CGN25" s="146"/>
      <c r="CGO25" s="146"/>
      <c r="CGP25" s="146"/>
      <c r="CGQ25" s="146"/>
      <c r="CGR25" s="146"/>
      <c r="CGS25" s="146"/>
      <c r="CGT25" s="146"/>
      <c r="CGU25" s="146"/>
      <c r="CGV25" s="146"/>
      <c r="CGW25" s="146"/>
      <c r="CGX25" s="146"/>
      <c r="CGY25" s="146"/>
      <c r="CGZ25" s="146"/>
      <c r="CHA25" s="146"/>
      <c r="CHB25" s="146"/>
      <c r="CHC25" s="146"/>
      <c r="CHD25" s="146"/>
      <c r="CHE25" s="146"/>
      <c r="CHF25" s="146"/>
      <c r="CHG25" s="146"/>
      <c r="CHH25" s="146"/>
      <c r="CHI25" s="146"/>
      <c r="CHJ25" s="146"/>
      <c r="CHK25" s="146"/>
      <c r="CHL25" s="146"/>
      <c r="CHM25" s="146"/>
      <c r="CHN25" s="146"/>
      <c r="CHO25" s="146"/>
      <c r="CHP25" s="146"/>
      <c r="CHQ25" s="146"/>
      <c r="CHR25" s="146"/>
      <c r="CHS25" s="146"/>
      <c r="CHT25" s="146"/>
      <c r="CHU25" s="146"/>
      <c r="CHV25" s="146"/>
      <c r="CHW25" s="146"/>
      <c r="CHX25" s="146"/>
      <c r="CHY25" s="146"/>
      <c r="CHZ25" s="146"/>
      <c r="CIA25" s="146"/>
      <c r="CIB25" s="146"/>
      <c r="CIC25" s="146"/>
      <c r="CID25" s="146"/>
      <c r="CIE25" s="146"/>
      <c r="CIF25" s="146"/>
      <c r="CIG25" s="146"/>
      <c r="CIH25" s="146"/>
      <c r="CII25" s="146"/>
      <c r="CIJ25" s="146"/>
      <c r="CIK25" s="146"/>
      <c r="CIL25" s="146"/>
      <c r="CIM25" s="146"/>
      <c r="CIN25" s="146"/>
      <c r="CIO25" s="146"/>
      <c r="CIP25" s="146"/>
      <c r="CIQ25" s="146"/>
      <c r="CIR25" s="146"/>
      <c r="CIS25" s="146"/>
      <c r="CIT25" s="146"/>
      <c r="CIU25" s="146"/>
      <c r="CIV25" s="146"/>
      <c r="CIW25" s="146"/>
      <c r="CIX25" s="146"/>
      <c r="CIY25" s="146"/>
      <c r="CIZ25" s="146"/>
      <c r="CJA25" s="146"/>
      <c r="CJB25" s="146"/>
      <c r="CJC25" s="146"/>
      <c r="CJD25" s="146"/>
      <c r="CJE25" s="146"/>
      <c r="CJF25" s="146"/>
      <c r="CJG25" s="146"/>
      <c r="CJH25" s="146"/>
      <c r="CJI25" s="146"/>
      <c r="CJJ25" s="146"/>
      <c r="CJK25" s="146"/>
      <c r="CJL25" s="146"/>
      <c r="CJM25" s="146"/>
      <c r="CJN25" s="146"/>
      <c r="CJO25" s="146"/>
      <c r="CJP25" s="146"/>
      <c r="CJQ25" s="146"/>
      <c r="CJR25" s="146"/>
      <c r="CJS25" s="146"/>
      <c r="CJT25" s="146"/>
      <c r="CJU25" s="146"/>
      <c r="CJV25" s="146"/>
      <c r="CJW25" s="146"/>
      <c r="CJX25" s="146"/>
      <c r="CJY25" s="146"/>
      <c r="CJZ25" s="146"/>
      <c r="CKA25" s="146"/>
      <c r="CKB25" s="146"/>
      <c r="CKC25" s="146"/>
      <c r="CKD25" s="146"/>
      <c r="CKE25" s="146"/>
      <c r="CKF25" s="146"/>
      <c r="CKG25" s="146"/>
      <c r="CKH25" s="146"/>
      <c r="CKI25" s="146"/>
      <c r="CKJ25" s="146"/>
      <c r="CKK25" s="146"/>
      <c r="CKL25" s="146"/>
      <c r="CKM25" s="146"/>
      <c r="CKN25" s="146"/>
      <c r="CKO25" s="146"/>
      <c r="CKP25" s="146"/>
      <c r="CKQ25" s="146"/>
      <c r="CKR25" s="146"/>
      <c r="CKS25" s="146"/>
      <c r="CKT25" s="146"/>
      <c r="CKU25" s="146"/>
      <c r="CKV25" s="146"/>
      <c r="CKW25" s="146"/>
      <c r="CKX25" s="146"/>
      <c r="CKY25" s="146"/>
      <c r="CKZ25" s="146"/>
      <c r="CLA25" s="146"/>
      <c r="CLB25" s="146"/>
      <c r="CLC25" s="146"/>
      <c r="CLD25" s="146"/>
      <c r="CLE25" s="146"/>
      <c r="CLF25" s="146"/>
      <c r="CLG25" s="146"/>
      <c r="CLH25" s="146"/>
      <c r="CLI25" s="146"/>
      <c r="CLJ25" s="146"/>
      <c r="CLK25" s="146"/>
      <c r="CLL25" s="146"/>
      <c r="CLM25" s="146"/>
      <c r="CLN25" s="146"/>
      <c r="CLO25" s="146"/>
      <c r="CLP25" s="146"/>
      <c r="CLQ25" s="146"/>
      <c r="CLR25" s="146"/>
      <c r="CLS25" s="146"/>
      <c r="CLT25" s="146"/>
      <c r="CLU25" s="146"/>
      <c r="CLV25" s="146"/>
      <c r="CLW25" s="146"/>
      <c r="CLX25" s="146"/>
      <c r="CLY25" s="146"/>
      <c r="CLZ25" s="146"/>
      <c r="CMA25" s="146"/>
      <c r="CMB25" s="146"/>
      <c r="CMC25" s="146"/>
      <c r="CMD25" s="146"/>
      <c r="CME25" s="146"/>
      <c r="CMF25" s="146"/>
      <c r="CMG25" s="146"/>
      <c r="CMH25" s="146"/>
      <c r="CMI25" s="146"/>
      <c r="CMJ25" s="146"/>
      <c r="CMK25" s="146"/>
      <c r="CML25" s="146"/>
      <c r="CMM25" s="146"/>
      <c r="CMN25" s="146"/>
      <c r="CMO25" s="146"/>
      <c r="CMP25" s="146"/>
      <c r="CMQ25" s="146"/>
      <c r="CMR25" s="146"/>
      <c r="CMS25" s="146"/>
      <c r="CMT25" s="146"/>
      <c r="CMU25" s="146"/>
      <c r="CMV25" s="146"/>
      <c r="CMW25" s="146"/>
      <c r="CMX25" s="146"/>
      <c r="CMY25" s="146"/>
      <c r="CMZ25" s="146"/>
      <c r="CNA25" s="146"/>
      <c r="CNB25" s="146"/>
      <c r="CNC25" s="146"/>
      <c r="CND25" s="146"/>
      <c r="CNE25" s="146"/>
      <c r="CNF25" s="146"/>
      <c r="CNG25" s="146"/>
      <c r="CNH25" s="146"/>
      <c r="CNI25" s="146"/>
      <c r="CNJ25" s="146"/>
      <c r="CNK25" s="146"/>
      <c r="CNL25" s="146"/>
      <c r="CNM25" s="146"/>
      <c r="CNN25" s="146"/>
      <c r="CNO25" s="146"/>
      <c r="CNP25" s="146"/>
      <c r="CNQ25" s="146"/>
      <c r="CNR25" s="146"/>
      <c r="CNS25" s="146"/>
      <c r="CNT25" s="146"/>
      <c r="CNU25" s="146"/>
      <c r="CNV25" s="146"/>
      <c r="CNW25" s="146"/>
      <c r="CNX25" s="146"/>
      <c r="CNY25" s="146"/>
      <c r="CNZ25" s="146"/>
      <c r="COA25" s="146"/>
      <c r="COB25" s="146"/>
      <c r="COC25" s="146"/>
      <c r="COD25" s="146"/>
      <c r="COE25" s="146"/>
      <c r="COF25" s="146"/>
      <c r="COG25" s="146"/>
      <c r="COH25" s="146"/>
      <c r="COI25" s="146"/>
      <c r="COJ25" s="146"/>
      <c r="COK25" s="146"/>
      <c r="COL25" s="146"/>
      <c r="COM25" s="146"/>
      <c r="CON25" s="146"/>
      <c r="COO25" s="146"/>
      <c r="COP25" s="146"/>
      <c r="COQ25" s="146"/>
      <c r="COR25" s="146"/>
      <c r="COS25" s="146"/>
      <c r="COT25" s="146"/>
      <c r="COU25" s="146"/>
      <c r="COV25" s="146"/>
      <c r="COW25" s="146"/>
      <c r="COX25" s="146"/>
      <c r="COY25" s="146"/>
      <c r="COZ25" s="146"/>
      <c r="CPA25" s="146"/>
      <c r="CPB25" s="146"/>
      <c r="CPC25" s="146"/>
      <c r="CPD25" s="146"/>
      <c r="CPE25" s="146"/>
      <c r="CPF25" s="146"/>
      <c r="CPG25" s="146"/>
      <c r="CPH25" s="146"/>
      <c r="CPI25" s="146"/>
      <c r="CPJ25" s="146"/>
      <c r="CPK25" s="146"/>
      <c r="CPL25" s="146"/>
      <c r="CPM25" s="146"/>
      <c r="CPN25" s="146"/>
      <c r="CPO25" s="146"/>
      <c r="CPP25" s="146"/>
      <c r="CPQ25" s="146"/>
      <c r="CPR25" s="146"/>
      <c r="CPS25" s="146"/>
      <c r="CPT25" s="146"/>
      <c r="CPU25" s="146"/>
      <c r="CPV25" s="146"/>
      <c r="CPW25" s="146"/>
      <c r="CPX25" s="146"/>
      <c r="CPY25" s="146"/>
      <c r="CPZ25" s="146"/>
      <c r="CQA25" s="146"/>
      <c r="CQB25" s="146"/>
      <c r="CQC25" s="146"/>
      <c r="CQD25" s="146"/>
      <c r="CQE25" s="146"/>
      <c r="CQF25" s="146"/>
      <c r="CQG25" s="146"/>
      <c r="CQH25" s="146"/>
      <c r="CQI25" s="146"/>
      <c r="CQJ25" s="146"/>
      <c r="CQK25" s="146"/>
      <c r="CQL25" s="146"/>
      <c r="CQM25" s="146"/>
      <c r="CQN25" s="146"/>
      <c r="CQO25" s="146"/>
      <c r="CQP25" s="146"/>
      <c r="CQQ25" s="146"/>
      <c r="CQR25" s="146"/>
      <c r="CQS25" s="146"/>
      <c r="CQT25" s="146"/>
      <c r="CQU25" s="146"/>
      <c r="CQV25" s="146"/>
      <c r="CQW25" s="146"/>
      <c r="CQX25" s="146"/>
      <c r="CQY25" s="146"/>
      <c r="CQZ25" s="146"/>
      <c r="CRA25" s="146"/>
      <c r="CRB25" s="146"/>
      <c r="CRC25" s="146"/>
      <c r="CRD25" s="146"/>
      <c r="CRE25" s="146"/>
      <c r="CRF25" s="146"/>
      <c r="CRG25" s="146"/>
      <c r="CRH25" s="146"/>
      <c r="CRI25" s="146"/>
      <c r="CRJ25" s="146"/>
      <c r="CRK25" s="146"/>
      <c r="CRL25" s="146"/>
      <c r="CRM25" s="146"/>
      <c r="CRN25" s="146"/>
      <c r="CRO25" s="146"/>
      <c r="CRP25" s="146"/>
      <c r="CRQ25" s="146"/>
      <c r="CRR25" s="146"/>
      <c r="CRS25" s="146"/>
      <c r="CRT25" s="146"/>
      <c r="CRU25" s="146"/>
      <c r="CRV25" s="146"/>
      <c r="CRW25" s="146"/>
      <c r="CRX25" s="146"/>
      <c r="CRY25" s="146"/>
      <c r="CRZ25" s="146"/>
      <c r="CSA25" s="146"/>
      <c r="CSB25" s="146"/>
      <c r="CSC25" s="146"/>
      <c r="CSD25" s="146"/>
      <c r="CSE25" s="146"/>
      <c r="CSF25" s="146"/>
      <c r="CSG25" s="146"/>
      <c r="CSH25" s="146"/>
      <c r="CSI25" s="146"/>
      <c r="CSJ25" s="146"/>
      <c r="CSK25" s="146"/>
      <c r="CSL25" s="146"/>
      <c r="CSM25" s="146"/>
      <c r="CSN25" s="146"/>
      <c r="CSO25" s="146"/>
      <c r="CSP25" s="146"/>
      <c r="CSQ25" s="146"/>
      <c r="CSR25" s="146"/>
      <c r="CSS25" s="146"/>
      <c r="CST25" s="146"/>
      <c r="CSU25" s="146"/>
      <c r="CSV25" s="146"/>
      <c r="CSW25" s="146"/>
      <c r="CSX25" s="146"/>
      <c r="CSY25" s="146"/>
      <c r="CSZ25" s="146"/>
      <c r="CTA25" s="146"/>
      <c r="CTB25" s="146"/>
      <c r="CTC25" s="146"/>
      <c r="CTD25" s="146"/>
      <c r="CTE25" s="146"/>
      <c r="CTF25" s="146"/>
      <c r="CTG25" s="146"/>
      <c r="CTH25" s="146"/>
      <c r="CTI25" s="146"/>
      <c r="CTJ25" s="146"/>
      <c r="CTK25" s="146"/>
      <c r="CTL25" s="146"/>
      <c r="CTM25" s="146"/>
      <c r="CTN25" s="146"/>
      <c r="CTO25" s="146"/>
      <c r="CTP25" s="146"/>
      <c r="CTQ25" s="146"/>
      <c r="CTR25" s="146"/>
      <c r="CTS25" s="146"/>
      <c r="CTT25" s="146"/>
      <c r="CTU25" s="146"/>
      <c r="CTV25" s="146"/>
      <c r="CTW25" s="146"/>
      <c r="CTX25" s="146"/>
      <c r="CTY25" s="146"/>
      <c r="CTZ25" s="146"/>
      <c r="CUA25" s="146"/>
      <c r="CUB25" s="146"/>
      <c r="CUC25" s="146"/>
      <c r="CUD25" s="146"/>
      <c r="CUE25" s="146"/>
      <c r="CUF25" s="146"/>
      <c r="CUG25" s="146"/>
      <c r="CUH25" s="146"/>
      <c r="CUI25" s="146"/>
      <c r="CUJ25" s="146"/>
      <c r="CUK25" s="146"/>
      <c r="CUL25" s="146"/>
      <c r="CUM25" s="146"/>
      <c r="CUN25" s="146"/>
      <c r="CUO25" s="146"/>
      <c r="CUP25" s="146"/>
      <c r="CUQ25" s="146"/>
      <c r="CUR25" s="146"/>
      <c r="CUS25" s="146"/>
      <c r="CUT25" s="146"/>
      <c r="CUU25" s="146"/>
      <c r="CUV25" s="146"/>
      <c r="CUW25" s="146"/>
      <c r="CUX25" s="146"/>
      <c r="CUY25" s="146"/>
      <c r="CUZ25" s="146"/>
      <c r="CVA25" s="146"/>
      <c r="CVB25" s="146"/>
      <c r="CVC25" s="146"/>
      <c r="CVD25" s="146"/>
      <c r="CVE25" s="146"/>
      <c r="CVF25" s="146"/>
      <c r="CVG25" s="146"/>
      <c r="CVH25" s="146"/>
      <c r="CVI25" s="146"/>
      <c r="CVJ25" s="146"/>
      <c r="CVK25" s="146"/>
      <c r="CVL25" s="146"/>
      <c r="CVM25" s="146"/>
      <c r="CVN25" s="146"/>
      <c r="CVO25" s="146"/>
      <c r="CVP25" s="146"/>
      <c r="CVQ25" s="146"/>
      <c r="CVR25" s="146"/>
      <c r="CVS25" s="146"/>
      <c r="CVT25" s="146"/>
      <c r="CVU25" s="146"/>
      <c r="CVV25" s="146"/>
      <c r="CVW25" s="146"/>
      <c r="CVX25" s="146"/>
      <c r="CVY25" s="146"/>
      <c r="CVZ25" s="146"/>
      <c r="CWA25" s="146"/>
      <c r="CWB25" s="146"/>
      <c r="CWC25" s="146"/>
      <c r="CWD25" s="146"/>
      <c r="CWE25" s="146"/>
      <c r="CWF25" s="146"/>
      <c r="CWG25" s="146"/>
      <c r="CWH25" s="146"/>
      <c r="CWI25" s="146"/>
      <c r="CWJ25" s="146"/>
      <c r="CWK25" s="146"/>
      <c r="CWL25" s="146"/>
      <c r="CWM25" s="146"/>
      <c r="CWN25" s="146"/>
      <c r="CWO25" s="146"/>
      <c r="CWP25" s="146"/>
      <c r="CWQ25" s="146"/>
      <c r="CWR25" s="146"/>
      <c r="CWS25" s="146"/>
      <c r="CWT25" s="146"/>
      <c r="CWU25" s="146"/>
      <c r="CWV25" s="146"/>
      <c r="CWW25" s="146"/>
      <c r="CWX25" s="146"/>
      <c r="CWY25" s="146"/>
      <c r="CWZ25" s="146"/>
      <c r="CXA25" s="146"/>
      <c r="CXB25" s="146"/>
      <c r="CXC25" s="146"/>
      <c r="CXD25" s="146"/>
      <c r="CXE25" s="146"/>
      <c r="CXF25" s="146"/>
      <c r="CXG25" s="146"/>
      <c r="CXH25" s="146"/>
      <c r="CXI25" s="146"/>
      <c r="CXJ25" s="146"/>
      <c r="CXK25" s="146"/>
      <c r="CXL25" s="146"/>
      <c r="CXM25" s="146"/>
      <c r="CXN25" s="146"/>
      <c r="CXO25" s="146"/>
      <c r="CXP25" s="146"/>
      <c r="CXQ25" s="146"/>
      <c r="CXR25" s="146"/>
      <c r="CXS25" s="146"/>
      <c r="CXT25" s="146"/>
      <c r="CXU25" s="146"/>
      <c r="CXV25" s="146"/>
      <c r="CXW25" s="146"/>
      <c r="CXX25" s="146"/>
      <c r="CXY25" s="146"/>
      <c r="CXZ25" s="146"/>
      <c r="CYA25" s="146"/>
      <c r="CYB25" s="146"/>
      <c r="CYC25" s="146"/>
      <c r="CYD25" s="146"/>
      <c r="CYE25" s="146"/>
      <c r="CYF25" s="146"/>
      <c r="CYG25" s="146"/>
      <c r="CYH25" s="146"/>
      <c r="CYI25" s="146"/>
      <c r="CYJ25" s="146"/>
      <c r="CYK25" s="146"/>
      <c r="CYL25" s="146"/>
      <c r="CYM25" s="146"/>
      <c r="CYN25" s="146"/>
      <c r="CYO25" s="146"/>
      <c r="CYP25" s="146"/>
      <c r="CYQ25" s="146"/>
      <c r="CYR25" s="146"/>
      <c r="CYS25" s="146"/>
      <c r="CYT25" s="146"/>
      <c r="CYU25" s="146"/>
      <c r="CYV25" s="146"/>
      <c r="CYW25" s="146"/>
      <c r="CYX25" s="146"/>
      <c r="CYY25" s="146"/>
      <c r="CYZ25" s="146"/>
      <c r="CZA25" s="146"/>
      <c r="CZB25" s="146"/>
      <c r="CZC25" s="146"/>
      <c r="CZD25" s="146"/>
      <c r="CZE25" s="146"/>
      <c r="CZF25" s="146"/>
      <c r="CZG25" s="146"/>
      <c r="CZH25" s="146"/>
      <c r="CZI25" s="146"/>
      <c r="CZJ25" s="146"/>
      <c r="CZK25" s="146"/>
      <c r="CZL25" s="146"/>
      <c r="CZM25" s="146"/>
      <c r="CZN25" s="146"/>
      <c r="CZO25" s="146"/>
      <c r="CZP25" s="146"/>
      <c r="CZQ25" s="146"/>
      <c r="CZR25" s="146"/>
      <c r="CZS25" s="146"/>
      <c r="CZT25" s="146"/>
      <c r="CZU25" s="146"/>
      <c r="CZV25" s="146"/>
      <c r="CZW25" s="146"/>
      <c r="CZX25" s="146"/>
      <c r="CZY25" s="146"/>
      <c r="CZZ25" s="146"/>
      <c r="DAA25" s="146"/>
      <c r="DAB25" s="146"/>
      <c r="DAC25" s="146"/>
      <c r="DAD25" s="146"/>
      <c r="DAE25" s="146"/>
      <c r="DAF25" s="146"/>
      <c r="DAG25" s="146"/>
      <c r="DAH25" s="146"/>
      <c r="DAI25" s="146"/>
      <c r="DAJ25" s="146"/>
      <c r="DAK25" s="146"/>
      <c r="DAL25" s="146"/>
      <c r="DAM25" s="146"/>
      <c r="DAN25" s="146"/>
      <c r="DAO25" s="146"/>
      <c r="DAP25" s="146"/>
      <c r="DAQ25" s="146"/>
      <c r="DAR25" s="146"/>
      <c r="DAS25" s="146"/>
      <c r="DAT25" s="146"/>
      <c r="DAU25" s="146"/>
      <c r="DAV25" s="146"/>
      <c r="DAW25" s="146"/>
      <c r="DAX25" s="146"/>
      <c r="DAY25" s="146"/>
      <c r="DAZ25" s="146"/>
      <c r="DBA25" s="146"/>
      <c r="DBB25" s="146"/>
      <c r="DBC25" s="146"/>
      <c r="DBD25" s="146"/>
      <c r="DBE25" s="146"/>
      <c r="DBF25" s="146"/>
      <c r="DBG25" s="146"/>
      <c r="DBH25" s="146"/>
      <c r="DBI25" s="146"/>
      <c r="DBJ25" s="146"/>
      <c r="DBK25" s="146"/>
      <c r="DBL25" s="146"/>
      <c r="DBM25" s="146"/>
      <c r="DBN25" s="146"/>
      <c r="DBO25" s="146"/>
      <c r="DBP25" s="146"/>
      <c r="DBQ25" s="146"/>
      <c r="DBR25" s="146"/>
      <c r="DBS25" s="146"/>
      <c r="DBT25" s="146"/>
      <c r="DBU25" s="146"/>
      <c r="DBV25" s="146"/>
      <c r="DBW25" s="146"/>
      <c r="DBX25" s="146"/>
      <c r="DBY25" s="146"/>
      <c r="DBZ25" s="146"/>
      <c r="DCA25" s="146"/>
      <c r="DCB25" s="146"/>
      <c r="DCC25" s="146"/>
      <c r="DCD25" s="146"/>
      <c r="DCE25" s="146"/>
      <c r="DCF25" s="146"/>
      <c r="DCG25" s="146"/>
      <c r="DCH25" s="146"/>
      <c r="DCI25" s="146"/>
      <c r="DCJ25" s="146"/>
      <c r="DCK25" s="146"/>
      <c r="DCL25" s="146"/>
      <c r="DCM25" s="146"/>
      <c r="DCN25" s="146"/>
      <c r="DCO25" s="146"/>
      <c r="DCP25" s="146"/>
      <c r="DCQ25" s="146"/>
      <c r="DCR25" s="146"/>
      <c r="DCS25" s="146"/>
      <c r="DCT25" s="146"/>
      <c r="DCU25" s="146"/>
      <c r="DCV25" s="146"/>
      <c r="DCW25" s="146"/>
      <c r="DCX25" s="146"/>
      <c r="DCY25" s="146"/>
      <c r="DCZ25" s="146"/>
      <c r="DDA25" s="146"/>
      <c r="DDB25" s="146"/>
      <c r="DDC25" s="146"/>
      <c r="DDD25" s="146"/>
      <c r="DDE25" s="146"/>
      <c r="DDF25" s="146"/>
      <c r="DDG25" s="146"/>
      <c r="DDH25" s="146"/>
      <c r="DDI25" s="146"/>
      <c r="DDJ25" s="146"/>
      <c r="DDK25" s="146"/>
      <c r="DDL25" s="146"/>
      <c r="DDM25" s="146"/>
      <c r="DDN25" s="146"/>
      <c r="DDO25" s="146"/>
      <c r="DDP25" s="146"/>
      <c r="DDQ25" s="146"/>
      <c r="DDR25" s="146"/>
      <c r="DDS25" s="146"/>
      <c r="DDT25" s="146"/>
      <c r="DDU25" s="146"/>
      <c r="DDV25" s="146"/>
      <c r="DDW25" s="146"/>
      <c r="DDX25" s="146"/>
      <c r="DDY25" s="146"/>
      <c r="DDZ25" s="146"/>
      <c r="DEA25" s="146"/>
      <c r="DEB25" s="146"/>
      <c r="DEC25" s="146"/>
      <c r="DED25" s="146"/>
      <c r="DEE25" s="146"/>
      <c r="DEF25" s="146"/>
      <c r="DEG25" s="146"/>
      <c r="DEH25" s="146"/>
      <c r="DEI25" s="146"/>
      <c r="DEJ25" s="146"/>
      <c r="DEK25" s="146"/>
      <c r="DEL25" s="146"/>
      <c r="DEM25" s="146"/>
      <c r="DEN25" s="146"/>
      <c r="DEO25" s="146"/>
      <c r="DEP25" s="146"/>
      <c r="DEQ25" s="146"/>
      <c r="DER25" s="146"/>
      <c r="DES25" s="146"/>
      <c r="DET25" s="146"/>
      <c r="DEU25" s="146"/>
      <c r="DEV25" s="146"/>
      <c r="DEW25" s="146"/>
      <c r="DEX25" s="146"/>
      <c r="DEY25" s="146"/>
      <c r="DEZ25" s="146"/>
      <c r="DFA25" s="146"/>
      <c r="DFB25" s="146"/>
      <c r="DFC25" s="146"/>
      <c r="DFD25" s="146"/>
      <c r="DFE25" s="146"/>
      <c r="DFF25" s="146"/>
      <c r="DFG25" s="146"/>
      <c r="DFH25" s="146"/>
      <c r="DFI25" s="146"/>
      <c r="DFJ25" s="146"/>
      <c r="DFK25" s="146"/>
      <c r="DFL25" s="146"/>
      <c r="DFM25" s="146"/>
      <c r="DFN25" s="146"/>
      <c r="DFO25" s="146"/>
      <c r="DFP25" s="146"/>
      <c r="DFQ25" s="146"/>
      <c r="DFR25" s="146"/>
      <c r="DFS25" s="146"/>
      <c r="DFT25" s="146"/>
      <c r="DFU25" s="146"/>
      <c r="DFV25" s="146"/>
      <c r="DFW25" s="146"/>
      <c r="DFX25" s="146"/>
      <c r="DFY25" s="146"/>
      <c r="DFZ25" s="146"/>
      <c r="DGA25" s="146"/>
      <c r="DGB25" s="146"/>
      <c r="DGC25" s="146"/>
      <c r="DGD25" s="146"/>
      <c r="DGE25" s="146"/>
      <c r="DGF25" s="146"/>
      <c r="DGG25" s="146"/>
      <c r="DGH25" s="146"/>
      <c r="DGI25" s="146"/>
      <c r="DGJ25" s="146"/>
      <c r="DGK25" s="146"/>
      <c r="DGL25" s="146"/>
      <c r="DGM25" s="146"/>
      <c r="DGN25" s="146"/>
      <c r="DGO25" s="146"/>
      <c r="DGP25" s="146"/>
      <c r="DGQ25" s="146"/>
      <c r="DGR25" s="146"/>
      <c r="DGS25" s="146"/>
      <c r="DGT25" s="146"/>
      <c r="DGU25" s="146"/>
      <c r="DGV25" s="146"/>
      <c r="DGW25" s="146"/>
      <c r="DGX25" s="146"/>
      <c r="DGY25" s="146"/>
      <c r="DGZ25" s="146"/>
      <c r="DHA25" s="146"/>
      <c r="DHB25" s="146"/>
      <c r="DHC25" s="146"/>
      <c r="DHD25" s="146"/>
      <c r="DHE25" s="146"/>
      <c r="DHF25" s="146"/>
      <c r="DHG25" s="146"/>
      <c r="DHH25" s="146"/>
      <c r="DHI25" s="146"/>
      <c r="DHJ25" s="146"/>
      <c r="DHK25" s="146"/>
      <c r="DHL25" s="146"/>
      <c r="DHM25" s="146"/>
      <c r="DHN25" s="146"/>
      <c r="DHO25" s="146"/>
      <c r="DHP25" s="146"/>
      <c r="DHQ25" s="146"/>
      <c r="DHR25" s="146"/>
      <c r="DHS25" s="146"/>
      <c r="DHT25" s="146"/>
      <c r="DHU25" s="146"/>
      <c r="DHV25" s="146"/>
      <c r="DHW25" s="146"/>
      <c r="DHX25" s="146"/>
      <c r="DHY25" s="146"/>
      <c r="DHZ25" s="146"/>
      <c r="DIA25" s="146"/>
      <c r="DIB25" s="146"/>
      <c r="DIC25" s="146"/>
      <c r="DID25" s="146"/>
      <c r="DIE25" s="146"/>
      <c r="DIF25" s="146"/>
      <c r="DIG25" s="146"/>
      <c r="DIH25" s="146"/>
      <c r="DII25" s="146"/>
      <c r="DIJ25" s="146"/>
      <c r="DIK25" s="146"/>
      <c r="DIL25" s="146"/>
      <c r="DIM25" s="146"/>
      <c r="DIN25" s="146"/>
      <c r="DIO25" s="146"/>
      <c r="DIP25" s="146"/>
      <c r="DIQ25" s="146"/>
      <c r="DIR25" s="146"/>
      <c r="DIS25" s="146"/>
      <c r="DIT25" s="146"/>
      <c r="DIU25" s="146"/>
      <c r="DIV25" s="146"/>
      <c r="DIW25" s="146"/>
      <c r="DIX25" s="146"/>
      <c r="DIY25" s="146"/>
      <c r="DIZ25" s="146"/>
      <c r="DJA25" s="146"/>
      <c r="DJB25" s="146"/>
      <c r="DJC25" s="146"/>
      <c r="DJD25" s="146"/>
      <c r="DJE25" s="146"/>
      <c r="DJF25" s="146"/>
      <c r="DJG25" s="146"/>
      <c r="DJH25" s="146"/>
      <c r="DJI25" s="146"/>
      <c r="DJJ25" s="146"/>
      <c r="DJK25" s="146"/>
      <c r="DJL25" s="146"/>
      <c r="DJM25" s="146"/>
      <c r="DJN25" s="146"/>
      <c r="DJO25" s="146"/>
      <c r="DJP25" s="146"/>
      <c r="DJQ25" s="146"/>
      <c r="DJR25" s="146"/>
      <c r="DJS25" s="146"/>
      <c r="DJT25" s="146"/>
      <c r="DJU25" s="146"/>
      <c r="DJV25" s="146"/>
      <c r="DJW25" s="146"/>
      <c r="DJX25" s="146"/>
      <c r="DJY25" s="146"/>
      <c r="DJZ25" s="146"/>
      <c r="DKA25" s="146"/>
      <c r="DKB25" s="146"/>
      <c r="DKC25" s="146"/>
      <c r="DKD25" s="146"/>
      <c r="DKE25" s="146"/>
      <c r="DKF25" s="146"/>
      <c r="DKG25" s="146"/>
      <c r="DKH25" s="146"/>
      <c r="DKI25" s="146"/>
      <c r="DKJ25" s="146"/>
      <c r="DKK25" s="146"/>
      <c r="DKL25" s="146"/>
      <c r="DKM25" s="146"/>
      <c r="DKN25" s="146"/>
      <c r="DKO25" s="146"/>
      <c r="DKP25" s="146"/>
      <c r="DKQ25" s="146"/>
      <c r="DKR25" s="146"/>
      <c r="DKS25" s="146"/>
      <c r="DKT25" s="146"/>
      <c r="DKU25" s="146"/>
      <c r="DKV25" s="146"/>
      <c r="DKW25" s="146"/>
      <c r="DKX25" s="146"/>
      <c r="DKY25" s="146"/>
      <c r="DKZ25" s="146"/>
      <c r="DLA25" s="146"/>
      <c r="DLB25" s="146"/>
      <c r="DLC25" s="146"/>
      <c r="DLD25" s="146"/>
      <c r="DLE25" s="146"/>
      <c r="DLF25" s="146"/>
      <c r="DLG25" s="146"/>
      <c r="DLH25" s="146"/>
      <c r="DLI25" s="146"/>
      <c r="DLJ25" s="146"/>
      <c r="DLK25" s="146"/>
      <c r="DLL25" s="146"/>
      <c r="DLM25" s="146"/>
      <c r="DLN25" s="146"/>
      <c r="DLO25" s="146"/>
      <c r="DLP25" s="146"/>
      <c r="DLQ25" s="146"/>
      <c r="DLR25" s="146"/>
      <c r="DLS25" s="146"/>
      <c r="DLT25" s="146"/>
      <c r="DLU25" s="146"/>
      <c r="DLV25" s="146"/>
      <c r="DLW25" s="146"/>
      <c r="DLX25" s="146"/>
      <c r="DLY25" s="146"/>
      <c r="DLZ25" s="146"/>
      <c r="DMA25" s="146"/>
      <c r="DMB25" s="146"/>
      <c r="DMC25" s="146"/>
      <c r="DMD25" s="146"/>
      <c r="DME25" s="146"/>
      <c r="DMF25" s="146"/>
      <c r="DMG25" s="146"/>
      <c r="DMH25" s="146"/>
      <c r="DMI25" s="146"/>
      <c r="DMJ25" s="146"/>
      <c r="DMK25" s="146"/>
      <c r="DML25" s="146"/>
      <c r="DMM25" s="146"/>
      <c r="DMN25" s="146"/>
      <c r="DMO25" s="146"/>
      <c r="DMP25" s="146"/>
      <c r="DMQ25" s="146"/>
      <c r="DMR25" s="146"/>
      <c r="DMS25" s="146"/>
      <c r="DMT25" s="146"/>
      <c r="DMU25" s="146"/>
      <c r="DMV25" s="146"/>
      <c r="DMW25" s="146"/>
      <c r="DMX25" s="146"/>
      <c r="DMY25" s="146"/>
      <c r="DMZ25" s="146"/>
      <c r="DNA25" s="146"/>
      <c r="DNB25" s="146"/>
      <c r="DNC25" s="146"/>
      <c r="DND25" s="146"/>
      <c r="DNE25" s="146"/>
      <c r="DNF25" s="146"/>
      <c r="DNG25" s="146"/>
      <c r="DNH25" s="146"/>
      <c r="DNI25" s="146"/>
      <c r="DNJ25" s="146"/>
      <c r="DNK25" s="146"/>
      <c r="DNL25" s="146"/>
      <c r="DNM25" s="146"/>
      <c r="DNN25" s="146"/>
      <c r="DNO25" s="146"/>
      <c r="DNP25" s="146"/>
      <c r="DNQ25" s="146"/>
      <c r="DNR25" s="146"/>
      <c r="DNS25" s="146"/>
      <c r="DNT25" s="146"/>
      <c r="DNU25" s="146"/>
      <c r="DNV25" s="146"/>
      <c r="DNW25" s="146"/>
      <c r="DNX25" s="146"/>
      <c r="DNY25" s="146"/>
      <c r="DNZ25" s="146"/>
      <c r="DOA25" s="146"/>
      <c r="DOB25" s="146"/>
      <c r="DOC25" s="146"/>
      <c r="DOD25" s="146"/>
      <c r="DOE25" s="146"/>
      <c r="DOF25" s="146"/>
      <c r="DOG25" s="146"/>
      <c r="DOH25" s="146"/>
      <c r="DOI25" s="146"/>
      <c r="DOJ25" s="146"/>
      <c r="DOK25" s="146"/>
      <c r="DOL25" s="146"/>
      <c r="DOM25" s="146"/>
      <c r="DON25" s="146"/>
      <c r="DOO25" s="146"/>
      <c r="DOP25" s="146"/>
      <c r="DOQ25" s="146"/>
      <c r="DOR25" s="146"/>
      <c r="DOS25" s="146"/>
      <c r="DOT25" s="146"/>
      <c r="DOU25" s="146"/>
      <c r="DOV25" s="146"/>
      <c r="DOW25" s="146"/>
      <c r="DOX25" s="146"/>
      <c r="DOY25" s="146"/>
      <c r="DOZ25" s="146"/>
      <c r="DPA25" s="146"/>
      <c r="DPB25" s="146"/>
      <c r="DPC25" s="146"/>
      <c r="DPD25" s="146"/>
      <c r="DPE25" s="146"/>
      <c r="DPF25" s="146"/>
      <c r="DPG25" s="146"/>
      <c r="DPH25" s="146"/>
      <c r="DPI25" s="146"/>
      <c r="DPJ25" s="146"/>
      <c r="DPK25" s="146"/>
      <c r="DPL25" s="146"/>
      <c r="DPM25" s="146"/>
      <c r="DPN25" s="146"/>
      <c r="DPO25" s="146"/>
      <c r="DPP25" s="146"/>
      <c r="DPQ25" s="146"/>
      <c r="DPR25" s="146"/>
      <c r="DPS25" s="146"/>
      <c r="DPT25" s="146"/>
      <c r="DPU25" s="146"/>
      <c r="DPV25" s="146"/>
      <c r="DPW25" s="146"/>
      <c r="DPX25" s="146"/>
      <c r="DPY25" s="146"/>
      <c r="DPZ25" s="146"/>
      <c r="DQA25" s="146"/>
      <c r="DQB25" s="146"/>
      <c r="DQC25" s="146"/>
      <c r="DQD25" s="146"/>
      <c r="DQE25" s="146"/>
      <c r="DQF25" s="146"/>
      <c r="DQG25" s="146"/>
      <c r="DQH25" s="146"/>
      <c r="DQI25" s="146"/>
      <c r="DQJ25" s="146"/>
      <c r="DQK25" s="146"/>
      <c r="DQL25" s="146"/>
      <c r="DQM25" s="146"/>
      <c r="DQN25" s="146"/>
      <c r="DQO25" s="146"/>
      <c r="DQP25" s="146"/>
      <c r="DQQ25" s="146"/>
      <c r="DQR25" s="146"/>
      <c r="DQS25" s="146"/>
      <c r="DQT25" s="146"/>
      <c r="DQU25" s="146"/>
      <c r="DQV25" s="146"/>
      <c r="DQW25" s="146"/>
      <c r="DQX25" s="146"/>
      <c r="DQY25" s="146"/>
      <c r="DQZ25" s="146"/>
      <c r="DRA25" s="146"/>
      <c r="DRB25" s="146"/>
      <c r="DRC25" s="146"/>
      <c r="DRD25" s="146"/>
      <c r="DRE25" s="146"/>
      <c r="DRF25" s="146"/>
      <c r="DRG25" s="146"/>
      <c r="DRH25" s="146"/>
      <c r="DRI25" s="146"/>
      <c r="DRJ25" s="146"/>
      <c r="DRK25" s="146"/>
      <c r="DRL25" s="146"/>
      <c r="DRM25" s="146"/>
      <c r="DRN25" s="146"/>
      <c r="DRO25" s="146"/>
      <c r="DRP25" s="146"/>
      <c r="DRQ25" s="146"/>
      <c r="DRR25" s="146"/>
      <c r="DRS25" s="146"/>
      <c r="DRT25" s="146"/>
      <c r="DRU25" s="146"/>
      <c r="DRV25" s="146"/>
      <c r="DRW25" s="146"/>
      <c r="DRX25" s="146"/>
      <c r="DRY25" s="146"/>
      <c r="DRZ25" s="146"/>
      <c r="DSA25" s="146"/>
      <c r="DSB25" s="146"/>
      <c r="DSC25" s="146"/>
      <c r="DSD25" s="146"/>
      <c r="DSE25" s="146"/>
      <c r="DSF25" s="146"/>
      <c r="DSG25" s="146"/>
      <c r="DSH25" s="146"/>
      <c r="DSI25" s="146"/>
      <c r="DSJ25" s="146"/>
      <c r="DSK25" s="146"/>
      <c r="DSL25" s="146"/>
      <c r="DSM25" s="146"/>
      <c r="DSN25" s="146"/>
      <c r="DSO25" s="146"/>
      <c r="DSP25" s="146"/>
      <c r="DSQ25" s="146"/>
      <c r="DSR25" s="146"/>
      <c r="DSS25" s="146"/>
      <c r="DST25" s="146"/>
      <c r="DSU25" s="146"/>
      <c r="DSV25" s="146"/>
      <c r="DSW25" s="146"/>
      <c r="DSX25" s="146"/>
      <c r="DSY25" s="146"/>
      <c r="DSZ25" s="146"/>
      <c r="DTA25" s="146"/>
      <c r="DTB25" s="146"/>
      <c r="DTC25" s="146"/>
      <c r="DTD25" s="146"/>
      <c r="DTE25" s="146"/>
      <c r="DTF25" s="146"/>
      <c r="DTG25" s="146"/>
      <c r="DTH25" s="146"/>
      <c r="DTI25" s="146"/>
      <c r="DTJ25" s="146"/>
      <c r="DTK25" s="146"/>
      <c r="DTL25" s="146"/>
      <c r="DTM25" s="146"/>
      <c r="DTN25" s="146"/>
      <c r="DTO25" s="146"/>
      <c r="DTP25" s="146"/>
      <c r="DTQ25" s="146"/>
      <c r="DTR25" s="146"/>
      <c r="DTS25" s="146"/>
      <c r="DTT25" s="146"/>
      <c r="DTU25" s="146"/>
      <c r="DTV25" s="146"/>
      <c r="DTW25" s="146"/>
      <c r="DTX25" s="146"/>
      <c r="DTY25" s="146"/>
      <c r="DTZ25" s="146"/>
      <c r="DUA25" s="146"/>
      <c r="DUB25" s="146"/>
      <c r="DUC25" s="146"/>
      <c r="DUD25" s="146"/>
      <c r="DUE25" s="146"/>
      <c r="DUF25" s="146"/>
      <c r="DUG25" s="146"/>
      <c r="DUH25" s="146"/>
      <c r="DUI25" s="146"/>
      <c r="DUJ25" s="146"/>
      <c r="DUK25" s="146"/>
      <c r="DUL25" s="146"/>
      <c r="DUM25" s="146"/>
      <c r="DUN25" s="146"/>
      <c r="DUO25" s="146"/>
      <c r="DUP25" s="146"/>
      <c r="DUQ25" s="146"/>
      <c r="DUR25" s="146"/>
      <c r="DUS25" s="146"/>
      <c r="DUT25" s="146"/>
      <c r="DUU25" s="146"/>
      <c r="DUV25" s="146"/>
      <c r="DUW25" s="146"/>
      <c r="DUX25" s="146"/>
      <c r="DUY25" s="146"/>
      <c r="DUZ25" s="146"/>
      <c r="DVA25" s="146"/>
      <c r="DVB25" s="146"/>
      <c r="DVC25" s="146"/>
      <c r="DVD25" s="146"/>
      <c r="DVE25" s="146"/>
      <c r="DVF25" s="146"/>
      <c r="DVG25" s="146"/>
      <c r="DVH25" s="146"/>
      <c r="DVI25" s="146"/>
      <c r="DVJ25" s="146"/>
      <c r="DVK25" s="146"/>
      <c r="DVL25" s="146"/>
      <c r="DVM25" s="146"/>
      <c r="DVN25" s="146"/>
      <c r="DVO25" s="146"/>
      <c r="DVP25" s="146"/>
      <c r="DVQ25" s="146"/>
      <c r="DVR25" s="146"/>
      <c r="DVS25" s="146"/>
      <c r="DVT25" s="146"/>
      <c r="DVU25" s="146"/>
      <c r="DVV25" s="146"/>
      <c r="DVW25" s="146"/>
      <c r="DVX25" s="146"/>
      <c r="DVY25" s="146"/>
      <c r="DVZ25" s="146"/>
      <c r="DWA25" s="146"/>
      <c r="DWB25" s="146"/>
      <c r="DWC25" s="146"/>
      <c r="DWD25" s="146"/>
      <c r="DWE25" s="146"/>
      <c r="DWF25" s="146"/>
      <c r="DWG25" s="146"/>
      <c r="DWH25" s="146"/>
      <c r="DWI25" s="146"/>
      <c r="DWJ25" s="146"/>
      <c r="DWK25" s="146"/>
      <c r="DWL25" s="146"/>
      <c r="DWM25" s="146"/>
      <c r="DWN25" s="146"/>
      <c r="DWO25" s="146"/>
      <c r="DWP25" s="146"/>
      <c r="DWQ25" s="146"/>
      <c r="DWR25" s="146"/>
      <c r="DWS25" s="146"/>
      <c r="DWT25" s="146"/>
      <c r="DWU25" s="146"/>
      <c r="DWV25" s="146"/>
      <c r="DWW25" s="146"/>
      <c r="DWX25" s="146"/>
      <c r="DWY25" s="146"/>
      <c r="DWZ25" s="146"/>
      <c r="DXA25" s="146"/>
      <c r="DXB25" s="146"/>
      <c r="DXC25" s="146"/>
      <c r="DXD25" s="146"/>
      <c r="DXE25" s="146"/>
      <c r="DXF25" s="146"/>
      <c r="DXG25" s="146"/>
      <c r="DXH25" s="146"/>
      <c r="DXI25" s="146"/>
      <c r="DXJ25" s="146"/>
      <c r="DXK25" s="146"/>
      <c r="DXL25" s="146"/>
      <c r="DXM25" s="146"/>
      <c r="DXN25" s="146"/>
      <c r="DXO25" s="146"/>
      <c r="DXP25" s="146"/>
      <c r="DXQ25" s="146"/>
      <c r="DXR25" s="146"/>
      <c r="DXS25" s="146"/>
      <c r="DXT25" s="146"/>
      <c r="DXU25" s="146"/>
      <c r="DXV25" s="146"/>
      <c r="DXW25" s="146"/>
      <c r="DXX25" s="146"/>
      <c r="DXY25" s="146"/>
      <c r="DXZ25" s="146"/>
      <c r="DYA25" s="146"/>
      <c r="DYB25" s="146"/>
      <c r="DYC25" s="146"/>
      <c r="DYD25" s="146"/>
      <c r="DYE25" s="146"/>
      <c r="DYF25" s="146"/>
      <c r="DYG25" s="146"/>
      <c r="DYH25" s="146"/>
      <c r="DYI25" s="146"/>
      <c r="DYJ25" s="146"/>
      <c r="DYK25" s="146"/>
      <c r="DYL25" s="146"/>
      <c r="DYM25" s="146"/>
      <c r="DYN25" s="146"/>
      <c r="DYO25" s="146"/>
      <c r="DYP25" s="146"/>
      <c r="DYQ25" s="146"/>
      <c r="DYR25" s="146"/>
      <c r="DYS25" s="146"/>
      <c r="DYT25" s="146"/>
      <c r="DYU25" s="146"/>
      <c r="DYV25" s="146"/>
      <c r="DYW25" s="146"/>
      <c r="DYX25" s="146"/>
      <c r="DYY25" s="146"/>
      <c r="DYZ25" s="146"/>
      <c r="DZA25" s="146"/>
      <c r="DZB25" s="146"/>
      <c r="DZC25" s="146"/>
      <c r="DZD25" s="146"/>
      <c r="DZE25" s="146"/>
      <c r="DZF25" s="146"/>
      <c r="DZG25" s="146"/>
      <c r="DZH25" s="146"/>
      <c r="DZI25" s="146"/>
      <c r="DZJ25" s="146"/>
      <c r="DZK25" s="146"/>
      <c r="DZL25" s="146"/>
      <c r="DZM25" s="146"/>
      <c r="DZN25" s="146"/>
      <c r="DZO25" s="146"/>
      <c r="DZP25" s="146"/>
      <c r="DZQ25" s="146"/>
      <c r="DZR25" s="146"/>
      <c r="DZS25" s="146"/>
      <c r="DZT25" s="146"/>
      <c r="DZU25" s="146"/>
      <c r="DZV25" s="146"/>
      <c r="DZW25" s="146"/>
      <c r="DZX25" s="146"/>
      <c r="DZY25" s="146"/>
      <c r="DZZ25" s="146"/>
      <c r="EAA25" s="146"/>
      <c r="EAB25" s="146"/>
      <c r="EAC25" s="146"/>
      <c r="EAD25" s="146"/>
      <c r="EAE25" s="146"/>
      <c r="EAF25" s="146"/>
      <c r="EAG25" s="146"/>
      <c r="EAH25" s="146"/>
      <c r="EAI25" s="146"/>
      <c r="EAJ25" s="146"/>
      <c r="EAK25" s="146"/>
      <c r="EAL25" s="146"/>
      <c r="EAM25" s="146"/>
      <c r="EAN25" s="146"/>
      <c r="EAO25" s="146"/>
      <c r="EAP25" s="146"/>
      <c r="EAQ25" s="146"/>
      <c r="EAR25" s="146"/>
      <c r="EAS25" s="146"/>
      <c r="EAT25" s="146"/>
      <c r="EAU25" s="146"/>
      <c r="EAV25" s="146"/>
      <c r="EAW25" s="146"/>
      <c r="EAX25" s="146"/>
      <c r="EAY25" s="146"/>
      <c r="EAZ25" s="146"/>
      <c r="EBA25" s="146"/>
      <c r="EBB25" s="146"/>
      <c r="EBC25" s="146"/>
      <c r="EBD25" s="146"/>
      <c r="EBE25" s="146"/>
      <c r="EBF25" s="146"/>
      <c r="EBG25" s="146"/>
      <c r="EBH25" s="146"/>
      <c r="EBI25" s="146"/>
      <c r="EBJ25" s="146"/>
      <c r="EBK25" s="146"/>
      <c r="EBL25" s="146"/>
      <c r="EBM25" s="146"/>
      <c r="EBN25" s="146"/>
      <c r="EBO25" s="146"/>
      <c r="EBP25" s="146"/>
      <c r="EBQ25" s="146"/>
      <c r="EBR25" s="146"/>
      <c r="EBS25" s="146"/>
      <c r="EBT25" s="146"/>
      <c r="EBU25" s="146"/>
      <c r="EBV25" s="146"/>
      <c r="EBW25" s="146"/>
      <c r="EBX25" s="146"/>
      <c r="EBY25" s="146"/>
      <c r="EBZ25" s="146"/>
      <c r="ECA25" s="146"/>
      <c r="ECB25" s="146"/>
      <c r="ECC25" s="146"/>
      <c r="ECD25" s="146"/>
      <c r="ECE25" s="146"/>
      <c r="ECF25" s="146"/>
      <c r="ECG25" s="146"/>
      <c r="ECH25" s="146"/>
      <c r="ECI25" s="146"/>
      <c r="ECJ25" s="146"/>
      <c r="ECK25" s="146"/>
      <c r="ECL25" s="146"/>
      <c r="ECM25" s="146"/>
      <c r="ECN25" s="146"/>
      <c r="ECO25" s="146"/>
      <c r="ECP25" s="146"/>
      <c r="ECQ25" s="146"/>
      <c r="ECR25" s="146"/>
      <c r="ECS25" s="146"/>
      <c r="ECT25" s="146"/>
      <c r="ECU25" s="146"/>
      <c r="ECV25" s="146"/>
      <c r="ECW25" s="146"/>
      <c r="ECX25" s="146"/>
      <c r="ECY25" s="146"/>
      <c r="ECZ25" s="146"/>
      <c r="EDA25" s="146"/>
      <c r="EDB25" s="146"/>
      <c r="EDC25" s="146"/>
      <c r="EDD25" s="146"/>
      <c r="EDE25" s="146"/>
      <c r="EDF25" s="146"/>
      <c r="EDG25" s="146"/>
      <c r="EDH25" s="146"/>
      <c r="EDI25" s="146"/>
      <c r="EDJ25" s="146"/>
      <c r="EDK25" s="146"/>
      <c r="EDL25" s="146"/>
      <c r="EDM25" s="146"/>
      <c r="EDN25" s="146"/>
      <c r="EDO25" s="146"/>
      <c r="EDP25" s="146"/>
      <c r="EDQ25" s="146"/>
      <c r="EDR25" s="146"/>
      <c r="EDS25" s="146"/>
      <c r="EDT25" s="146"/>
      <c r="EDU25" s="146"/>
      <c r="EDV25" s="146"/>
      <c r="EDW25" s="146"/>
      <c r="EDX25" s="146"/>
      <c r="EDY25" s="146"/>
      <c r="EDZ25" s="146"/>
      <c r="EEA25" s="146"/>
      <c r="EEB25" s="146"/>
      <c r="EEC25" s="146"/>
      <c r="EED25" s="146"/>
      <c r="EEE25" s="146"/>
      <c r="EEF25" s="146"/>
      <c r="EEG25" s="146"/>
      <c r="EEH25" s="146"/>
      <c r="EEI25" s="146"/>
      <c r="EEJ25" s="146"/>
      <c r="EEK25" s="146"/>
      <c r="EEL25" s="146"/>
      <c r="EEM25" s="146"/>
      <c r="EEN25" s="146"/>
      <c r="EEO25" s="146"/>
      <c r="EEP25" s="146"/>
      <c r="EEQ25" s="146"/>
      <c r="EER25" s="146"/>
      <c r="EES25" s="146"/>
      <c r="EET25" s="146"/>
      <c r="EEU25" s="146"/>
      <c r="EEV25" s="146"/>
      <c r="EEW25" s="146"/>
      <c r="EEX25" s="146"/>
      <c r="EEY25" s="146"/>
      <c r="EEZ25" s="146"/>
      <c r="EFA25" s="146"/>
      <c r="EFB25" s="146"/>
      <c r="EFC25" s="146"/>
      <c r="EFD25" s="146"/>
      <c r="EFE25" s="146"/>
      <c r="EFF25" s="146"/>
      <c r="EFG25" s="146"/>
      <c r="EFH25" s="146"/>
      <c r="EFI25" s="146"/>
      <c r="EFJ25" s="146"/>
      <c r="EFK25" s="146"/>
      <c r="EFL25" s="146"/>
      <c r="EFM25" s="146"/>
      <c r="EFN25" s="146"/>
      <c r="EFO25" s="146"/>
      <c r="EFP25" s="146"/>
      <c r="EFQ25" s="146"/>
      <c r="EFR25" s="146"/>
      <c r="EFS25" s="146"/>
      <c r="EFT25" s="146"/>
      <c r="EFU25" s="146"/>
      <c r="EFV25" s="146"/>
      <c r="EFW25" s="146"/>
      <c r="EFX25" s="146"/>
      <c r="EFY25" s="146"/>
      <c r="EFZ25" s="146"/>
      <c r="EGA25" s="146"/>
      <c r="EGB25" s="146"/>
      <c r="EGC25" s="146"/>
      <c r="EGD25" s="146"/>
      <c r="EGE25" s="146"/>
      <c r="EGF25" s="146"/>
      <c r="EGG25" s="146"/>
      <c r="EGH25" s="146"/>
      <c r="EGI25" s="146"/>
      <c r="EGJ25" s="146"/>
      <c r="EGK25" s="146"/>
      <c r="EGL25" s="146"/>
      <c r="EGM25" s="146"/>
      <c r="EGN25" s="146"/>
      <c r="EGO25" s="146"/>
      <c r="EGP25" s="146"/>
      <c r="EGQ25" s="146"/>
      <c r="EGR25" s="146"/>
      <c r="EGS25" s="146"/>
      <c r="EGT25" s="146"/>
      <c r="EGU25" s="146"/>
      <c r="EGV25" s="146"/>
      <c r="EGW25" s="146"/>
      <c r="EGX25" s="146"/>
      <c r="EGY25" s="146"/>
      <c r="EGZ25" s="146"/>
      <c r="EHA25" s="146"/>
      <c r="EHB25" s="146"/>
      <c r="EHC25" s="146"/>
      <c r="EHD25" s="146"/>
      <c r="EHE25" s="146"/>
      <c r="EHF25" s="146"/>
      <c r="EHG25" s="146"/>
      <c r="EHH25" s="146"/>
      <c r="EHI25" s="146"/>
      <c r="EHJ25" s="146"/>
      <c r="EHK25" s="146"/>
      <c r="EHL25" s="146"/>
      <c r="EHM25" s="146"/>
      <c r="EHN25" s="146"/>
      <c r="EHO25" s="146"/>
      <c r="EHP25" s="146"/>
      <c r="EHQ25" s="146"/>
      <c r="EHR25" s="146"/>
      <c r="EHS25" s="146"/>
      <c r="EHT25" s="146"/>
      <c r="EHU25" s="146"/>
      <c r="EHV25" s="146"/>
      <c r="EHW25" s="146"/>
      <c r="EHX25" s="146"/>
      <c r="EHY25" s="146"/>
      <c r="EHZ25" s="146"/>
      <c r="EIA25" s="146"/>
      <c r="EIB25" s="146"/>
      <c r="EIC25" s="146"/>
      <c r="EID25" s="146"/>
      <c r="EIE25" s="146"/>
      <c r="EIF25" s="146"/>
      <c r="EIG25" s="146"/>
      <c r="EIH25" s="146"/>
      <c r="EII25" s="146"/>
      <c r="EIJ25" s="146"/>
      <c r="EIK25" s="146"/>
      <c r="EIL25" s="146"/>
      <c r="EIM25" s="146"/>
      <c r="EIN25" s="146"/>
      <c r="EIO25" s="146"/>
      <c r="EIP25" s="146"/>
      <c r="EIQ25" s="146"/>
      <c r="EIR25" s="146"/>
      <c r="EIS25" s="146"/>
      <c r="EIT25" s="146"/>
      <c r="EIU25" s="146"/>
      <c r="EIV25" s="146"/>
      <c r="EIW25" s="146"/>
      <c r="EIX25" s="146"/>
      <c r="EIY25" s="146"/>
      <c r="EIZ25" s="146"/>
      <c r="EJA25" s="146"/>
      <c r="EJB25" s="146"/>
      <c r="EJC25" s="146"/>
      <c r="EJD25" s="146"/>
      <c r="EJE25" s="146"/>
      <c r="EJF25" s="146"/>
      <c r="EJG25" s="146"/>
      <c r="EJH25" s="146"/>
      <c r="EJI25" s="146"/>
      <c r="EJJ25" s="146"/>
      <c r="EJK25" s="146"/>
      <c r="EJL25" s="146"/>
      <c r="EJM25" s="146"/>
      <c r="EJN25" s="146"/>
      <c r="EJO25" s="146"/>
      <c r="EJP25" s="146"/>
      <c r="EJQ25" s="146"/>
      <c r="EJR25" s="146"/>
      <c r="EJS25" s="146"/>
      <c r="EJT25" s="146"/>
      <c r="EJU25" s="146"/>
      <c r="EJV25" s="146"/>
      <c r="EJW25" s="146"/>
      <c r="EJX25" s="146"/>
      <c r="EJY25" s="146"/>
      <c r="EJZ25" s="146"/>
      <c r="EKA25" s="146"/>
      <c r="EKB25" s="146"/>
      <c r="EKC25" s="146"/>
      <c r="EKD25" s="146"/>
      <c r="EKE25" s="146"/>
      <c r="EKF25" s="146"/>
      <c r="EKG25" s="146"/>
      <c r="EKH25" s="146"/>
      <c r="EKI25" s="146"/>
      <c r="EKJ25" s="146"/>
      <c r="EKK25" s="146"/>
      <c r="EKL25" s="146"/>
      <c r="EKM25" s="146"/>
      <c r="EKN25" s="146"/>
      <c r="EKO25" s="146"/>
      <c r="EKP25" s="146"/>
      <c r="EKQ25" s="146"/>
      <c r="EKR25" s="146"/>
      <c r="EKS25" s="146"/>
      <c r="EKT25" s="146"/>
      <c r="EKU25" s="146"/>
      <c r="EKV25" s="146"/>
      <c r="EKW25" s="146"/>
      <c r="EKX25" s="146"/>
      <c r="EKY25" s="146"/>
      <c r="EKZ25" s="146"/>
      <c r="ELA25" s="146"/>
      <c r="ELB25" s="146"/>
      <c r="ELC25" s="146"/>
      <c r="ELD25" s="146"/>
      <c r="ELE25" s="146"/>
      <c r="ELF25" s="146"/>
      <c r="ELG25" s="146"/>
      <c r="ELH25" s="146"/>
      <c r="ELI25" s="146"/>
      <c r="ELJ25" s="146"/>
      <c r="ELK25" s="146"/>
      <c r="ELL25" s="146"/>
      <c r="ELM25" s="146"/>
      <c r="ELN25" s="146"/>
      <c r="ELO25" s="146"/>
      <c r="ELP25" s="146"/>
      <c r="ELQ25" s="146"/>
      <c r="ELR25" s="146"/>
      <c r="ELS25" s="146"/>
      <c r="ELT25" s="146"/>
      <c r="ELU25" s="146"/>
      <c r="ELV25" s="146"/>
      <c r="ELW25" s="146"/>
      <c r="ELX25" s="146"/>
      <c r="ELY25" s="146"/>
      <c r="ELZ25" s="146"/>
      <c r="EMA25" s="146"/>
      <c r="EMB25" s="146"/>
      <c r="EMC25" s="146"/>
      <c r="EMD25" s="146"/>
      <c r="EME25" s="146"/>
      <c r="EMF25" s="146"/>
      <c r="EMG25" s="146"/>
      <c r="EMH25" s="146"/>
      <c r="EMI25" s="146"/>
      <c r="EMJ25" s="146"/>
      <c r="EMK25" s="146"/>
      <c r="EML25" s="146"/>
      <c r="EMM25" s="146"/>
      <c r="EMN25" s="146"/>
      <c r="EMO25" s="146"/>
      <c r="EMP25" s="146"/>
      <c r="EMQ25" s="146"/>
      <c r="EMR25" s="146"/>
      <c r="EMS25" s="146"/>
      <c r="EMT25" s="146"/>
      <c r="EMU25" s="146"/>
      <c r="EMV25" s="146"/>
      <c r="EMW25" s="146"/>
      <c r="EMX25" s="146"/>
      <c r="EMY25" s="146"/>
      <c r="EMZ25" s="146"/>
      <c r="ENA25" s="146"/>
      <c r="ENB25" s="146"/>
      <c r="ENC25" s="146"/>
      <c r="END25" s="146"/>
      <c r="ENE25" s="146"/>
      <c r="ENF25" s="146"/>
      <c r="ENG25" s="146"/>
      <c r="ENH25" s="146"/>
      <c r="ENI25" s="146"/>
      <c r="ENJ25" s="146"/>
      <c r="ENK25" s="146"/>
      <c r="ENL25" s="146"/>
      <c r="ENM25" s="146"/>
      <c r="ENN25" s="146"/>
      <c r="ENO25" s="146"/>
      <c r="ENP25" s="146"/>
      <c r="ENQ25" s="146"/>
      <c r="ENR25" s="146"/>
      <c r="ENS25" s="146"/>
      <c r="ENT25" s="146"/>
      <c r="ENU25" s="146"/>
      <c r="ENV25" s="146"/>
      <c r="ENW25" s="146"/>
      <c r="ENX25" s="146"/>
      <c r="ENY25" s="146"/>
      <c r="ENZ25" s="146"/>
      <c r="EOA25" s="146"/>
      <c r="EOB25" s="146"/>
      <c r="EOC25" s="146"/>
      <c r="EOD25" s="146"/>
      <c r="EOE25" s="146"/>
      <c r="EOF25" s="146"/>
      <c r="EOG25" s="146"/>
      <c r="EOH25" s="146"/>
      <c r="EOI25" s="146"/>
      <c r="EOJ25" s="146"/>
      <c r="EOK25" s="146"/>
      <c r="EOL25" s="146"/>
      <c r="EOM25" s="146"/>
      <c r="EON25" s="146"/>
      <c r="EOO25" s="146"/>
      <c r="EOP25" s="146"/>
      <c r="EOQ25" s="146"/>
      <c r="EOR25" s="146"/>
      <c r="EOS25" s="146"/>
      <c r="EOT25" s="146"/>
      <c r="EOU25" s="146"/>
      <c r="EOV25" s="146"/>
      <c r="EOW25" s="146"/>
      <c r="EOX25" s="146"/>
      <c r="EOY25" s="146"/>
      <c r="EOZ25" s="146"/>
      <c r="EPA25" s="146"/>
      <c r="EPB25" s="146"/>
      <c r="EPC25" s="146"/>
      <c r="EPD25" s="146"/>
      <c r="EPE25" s="146"/>
      <c r="EPF25" s="146"/>
      <c r="EPG25" s="146"/>
      <c r="EPH25" s="146"/>
      <c r="EPI25" s="146"/>
      <c r="EPJ25" s="146"/>
      <c r="EPK25" s="146"/>
      <c r="EPL25" s="146"/>
      <c r="EPM25" s="146"/>
      <c r="EPN25" s="146"/>
      <c r="EPO25" s="146"/>
      <c r="EPP25" s="146"/>
      <c r="EPQ25" s="146"/>
      <c r="EPR25" s="146"/>
      <c r="EPS25" s="146"/>
      <c r="EPT25" s="146"/>
      <c r="EPU25" s="146"/>
      <c r="EPV25" s="146"/>
      <c r="EPW25" s="146"/>
      <c r="EPX25" s="146"/>
      <c r="EPY25" s="146"/>
      <c r="EPZ25" s="146"/>
      <c r="EQA25" s="146"/>
      <c r="EQB25" s="146"/>
      <c r="EQC25" s="146"/>
      <c r="EQD25" s="146"/>
      <c r="EQE25" s="146"/>
      <c r="EQF25" s="146"/>
      <c r="EQG25" s="146"/>
      <c r="EQH25" s="146"/>
      <c r="EQI25" s="146"/>
      <c r="EQJ25" s="146"/>
      <c r="EQK25" s="146"/>
      <c r="EQL25" s="146"/>
      <c r="EQM25" s="146"/>
      <c r="EQN25" s="146"/>
      <c r="EQO25" s="146"/>
      <c r="EQP25" s="146"/>
      <c r="EQQ25" s="146"/>
      <c r="EQR25" s="146"/>
      <c r="EQS25" s="146"/>
      <c r="EQT25" s="146"/>
      <c r="EQU25" s="146"/>
      <c r="EQV25" s="146"/>
      <c r="EQW25" s="146"/>
      <c r="EQX25" s="146"/>
      <c r="EQY25" s="146"/>
      <c r="EQZ25" s="146"/>
      <c r="ERA25" s="146"/>
      <c r="ERB25" s="146"/>
      <c r="ERC25" s="146"/>
      <c r="ERD25" s="146"/>
      <c r="ERE25" s="146"/>
      <c r="ERF25" s="146"/>
      <c r="ERG25" s="146"/>
      <c r="ERH25" s="146"/>
      <c r="ERI25" s="146"/>
      <c r="ERJ25" s="146"/>
      <c r="ERK25" s="146"/>
      <c r="ERL25" s="146"/>
      <c r="ERM25" s="146"/>
      <c r="ERN25" s="146"/>
      <c r="ERO25" s="146"/>
      <c r="ERP25" s="146"/>
      <c r="ERQ25" s="146"/>
      <c r="ERR25" s="146"/>
      <c r="ERS25" s="146"/>
      <c r="ERT25" s="146"/>
      <c r="ERU25" s="146"/>
      <c r="ERV25" s="146"/>
      <c r="ERW25" s="146"/>
      <c r="ERX25" s="146"/>
      <c r="ERY25" s="146"/>
      <c r="ERZ25" s="146"/>
      <c r="ESA25" s="146"/>
      <c r="ESB25" s="146"/>
      <c r="ESC25" s="146"/>
      <c r="ESD25" s="146"/>
      <c r="ESE25" s="146"/>
      <c r="ESF25" s="146"/>
      <c r="ESG25" s="146"/>
      <c r="ESH25" s="146"/>
      <c r="ESI25" s="146"/>
      <c r="ESJ25" s="146"/>
      <c r="ESK25" s="146"/>
      <c r="ESL25" s="146"/>
      <c r="ESM25" s="146"/>
      <c r="ESN25" s="146"/>
      <c r="ESO25" s="146"/>
      <c r="ESP25" s="146"/>
      <c r="ESQ25" s="146"/>
      <c r="ESR25" s="146"/>
      <c r="ESS25" s="146"/>
      <c r="EST25" s="146"/>
      <c r="ESU25" s="146"/>
      <c r="ESV25" s="146"/>
      <c r="ESW25" s="146"/>
      <c r="ESX25" s="146"/>
      <c r="ESY25" s="146"/>
      <c r="ESZ25" s="146"/>
      <c r="ETA25" s="146"/>
      <c r="ETB25" s="146"/>
      <c r="ETC25" s="146"/>
      <c r="ETD25" s="146"/>
      <c r="ETE25" s="146"/>
      <c r="ETF25" s="146"/>
      <c r="ETG25" s="146"/>
      <c r="ETH25" s="146"/>
      <c r="ETI25" s="146"/>
      <c r="ETJ25" s="146"/>
      <c r="ETK25" s="146"/>
      <c r="ETL25" s="146"/>
      <c r="ETM25" s="146"/>
      <c r="ETN25" s="146"/>
      <c r="ETO25" s="146"/>
      <c r="ETP25" s="146"/>
      <c r="ETQ25" s="146"/>
      <c r="ETR25" s="146"/>
      <c r="ETS25" s="146"/>
      <c r="ETT25" s="146"/>
      <c r="ETU25" s="146"/>
      <c r="ETV25" s="146"/>
      <c r="ETW25" s="146"/>
      <c r="ETX25" s="146"/>
      <c r="ETY25" s="146"/>
      <c r="ETZ25" s="146"/>
      <c r="EUA25" s="146"/>
      <c r="EUB25" s="146"/>
      <c r="EUC25" s="146"/>
      <c r="EUD25" s="146"/>
      <c r="EUE25" s="146"/>
      <c r="EUF25" s="146"/>
      <c r="EUG25" s="146"/>
      <c r="EUH25" s="146"/>
      <c r="EUI25" s="146"/>
      <c r="EUJ25" s="146"/>
      <c r="EUK25" s="146"/>
      <c r="EUL25" s="146"/>
      <c r="EUM25" s="146"/>
      <c r="EUN25" s="146"/>
      <c r="EUO25" s="146"/>
      <c r="EUP25" s="146"/>
      <c r="EUQ25" s="146"/>
      <c r="EUR25" s="146"/>
      <c r="EUS25" s="146"/>
      <c r="EUT25" s="146"/>
      <c r="EUU25" s="146"/>
      <c r="EUV25" s="146"/>
      <c r="EUW25" s="146"/>
      <c r="EUX25" s="146"/>
      <c r="EUY25" s="146"/>
      <c r="EUZ25" s="146"/>
      <c r="EVA25" s="146"/>
      <c r="EVB25" s="146"/>
      <c r="EVC25" s="146"/>
      <c r="EVD25" s="146"/>
      <c r="EVE25" s="146"/>
      <c r="EVF25" s="146"/>
      <c r="EVG25" s="146"/>
      <c r="EVH25" s="146"/>
      <c r="EVI25" s="146"/>
      <c r="EVJ25" s="146"/>
      <c r="EVK25" s="146"/>
      <c r="EVL25" s="146"/>
      <c r="EVM25" s="146"/>
      <c r="EVN25" s="146"/>
      <c r="EVO25" s="146"/>
      <c r="EVP25" s="146"/>
      <c r="EVQ25" s="146"/>
      <c r="EVR25" s="146"/>
      <c r="EVS25" s="146"/>
      <c r="EVT25" s="146"/>
      <c r="EVU25" s="146"/>
      <c r="EVV25" s="146"/>
      <c r="EVW25" s="146"/>
      <c r="EVX25" s="146"/>
      <c r="EVY25" s="146"/>
      <c r="EVZ25" s="146"/>
      <c r="EWA25" s="146"/>
      <c r="EWB25" s="146"/>
      <c r="EWC25" s="146"/>
      <c r="EWD25" s="146"/>
      <c r="EWE25" s="146"/>
      <c r="EWF25" s="146"/>
      <c r="EWG25" s="146"/>
      <c r="EWH25" s="146"/>
      <c r="EWI25" s="146"/>
      <c r="EWJ25" s="146"/>
      <c r="EWK25" s="146"/>
      <c r="EWL25" s="146"/>
      <c r="EWM25" s="146"/>
      <c r="EWN25" s="146"/>
      <c r="EWO25" s="146"/>
      <c r="EWP25" s="146"/>
      <c r="EWQ25" s="146"/>
      <c r="EWR25" s="146"/>
      <c r="EWS25" s="146"/>
      <c r="EWT25" s="146"/>
      <c r="EWU25" s="146"/>
      <c r="EWV25" s="146"/>
      <c r="EWW25" s="146"/>
      <c r="EWX25" s="146"/>
      <c r="EWY25" s="146"/>
      <c r="EWZ25" s="146"/>
      <c r="EXA25" s="146"/>
      <c r="EXB25" s="146"/>
      <c r="EXC25" s="146"/>
      <c r="EXD25" s="146"/>
      <c r="EXE25" s="146"/>
      <c r="EXF25" s="146"/>
      <c r="EXG25" s="146"/>
      <c r="EXH25" s="146"/>
      <c r="EXI25" s="146"/>
      <c r="EXJ25" s="146"/>
      <c r="EXK25" s="146"/>
      <c r="EXL25" s="146"/>
      <c r="EXM25" s="146"/>
      <c r="EXN25" s="146"/>
      <c r="EXO25" s="146"/>
      <c r="EXP25" s="146"/>
      <c r="EXQ25" s="146"/>
      <c r="EXR25" s="146"/>
      <c r="EXS25" s="146"/>
      <c r="EXT25" s="146"/>
      <c r="EXU25" s="146"/>
      <c r="EXV25" s="146"/>
      <c r="EXW25" s="146"/>
      <c r="EXX25" s="146"/>
      <c r="EXY25" s="146"/>
      <c r="EXZ25" s="146"/>
      <c r="EYA25" s="146"/>
      <c r="EYB25" s="146"/>
      <c r="EYC25" s="146"/>
      <c r="EYD25" s="146"/>
      <c r="EYE25" s="146"/>
      <c r="EYF25" s="146"/>
      <c r="EYG25" s="146"/>
      <c r="EYH25" s="146"/>
      <c r="EYI25" s="146"/>
      <c r="EYJ25" s="146"/>
      <c r="EYK25" s="146"/>
      <c r="EYL25" s="146"/>
      <c r="EYM25" s="146"/>
      <c r="EYN25" s="146"/>
      <c r="EYO25" s="146"/>
      <c r="EYP25" s="146"/>
      <c r="EYQ25" s="146"/>
      <c r="EYR25" s="146"/>
      <c r="EYS25" s="146"/>
      <c r="EYT25" s="146"/>
      <c r="EYU25" s="146"/>
      <c r="EYV25" s="146"/>
      <c r="EYW25" s="146"/>
      <c r="EYX25" s="146"/>
      <c r="EYY25" s="146"/>
      <c r="EYZ25" s="146"/>
      <c r="EZA25" s="146"/>
      <c r="EZB25" s="146"/>
      <c r="EZC25" s="146"/>
      <c r="EZD25" s="146"/>
      <c r="EZE25" s="146"/>
      <c r="EZF25" s="146"/>
      <c r="EZG25" s="146"/>
      <c r="EZH25" s="146"/>
      <c r="EZI25" s="146"/>
      <c r="EZJ25" s="146"/>
      <c r="EZK25" s="146"/>
      <c r="EZL25" s="146"/>
      <c r="EZM25" s="146"/>
      <c r="EZN25" s="146"/>
      <c r="EZO25" s="146"/>
      <c r="EZP25" s="146"/>
      <c r="EZQ25" s="146"/>
      <c r="EZR25" s="146"/>
      <c r="EZS25" s="146"/>
      <c r="EZT25" s="146"/>
      <c r="EZU25" s="146"/>
      <c r="EZV25" s="146"/>
      <c r="EZW25" s="146"/>
      <c r="EZX25" s="146"/>
      <c r="EZY25" s="146"/>
      <c r="EZZ25" s="146"/>
      <c r="FAA25" s="146"/>
      <c r="FAB25" s="146"/>
      <c r="FAC25" s="146"/>
      <c r="FAD25" s="146"/>
      <c r="FAE25" s="146"/>
      <c r="FAF25" s="146"/>
      <c r="FAG25" s="146"/>
      <c r="FAH25" s="146"/>
      <c r="FAI25" s="146"/>
      <c r="FAJ25" s="146"/>
      <c r="FAK25" s="146"/>
      <c r="FAL25" s="146"/>
      <c r="FAM25" s="146"/>
      <c r="FAN25" s="146"/>
      <c r="FAO25" s="146"/>
      <c r="FAP25" s="146"/>
      <c r="FAQ25" s="146"/>
      <c r="FAR25" s="146"/>
      <c r="FAS25" s="146"/>
      <c r="FAT25" s="146"/>
      <c r="FAU25" s="146"/>
      <c r="FAV25" s="146"/>
      <c r="FAW25" s="146"/>
      <c r="FAX25" s="146"/>
      <c r="FAY25" s="146"/>
      <c r="FAZ25" s="146"/>
      <c r="FBA25" s="146"/>
      <c r="FBB25" s="146"/>
      <c r="FBC25" s="146"/>
      <c r="FBD25" s="146"/>
      <c r="FBE25" s="146"/>
      <c r="FBF25" s="146"/>
      <c r="FBG25" s="146"/>
      <c r="FBH25" s="146"/>
      <c r="FBI25" s="146"/>
      <c r="FBJ25" s="146"/>
      <c r="FBK25" s="146"/>
      <c r="FBL25" s="146"/>
      <c r="FBM25" s="146"/>
      <c r="FBN25" s="146"/>
      <c r="FBO25" s="146"/>
      <c r="FBP25" s="146"/>
      <c r="FBQ25" s="146"/>
      <c r="FBR25" s="146"/>
      <c r="FBS25" s="146"/>
      <c r="FBT25" s="146"/>
      <c r="FBU25" s="146"/>
      <c r="FBV25" s="146"/>
      <c r="FBW25" s="146"/>
      <c r="FBX25" s="146"/>
      <c r="FBY25" s="146"/>
      <c r="FBZ25" s="146"/>
      <c r="FCA25" s="146"/>
      <c r="FCB25" s="146"/>
      <c r="FCC25" s="146"/>
      <c r="FCD25" s="146"/>
      <c r="FCE25" s="146"/>
      <c r="FCF25" s="146"/>
      <c r="FCG25" s="146"/>
      <c r="FCH25" s="146"/>
      <c r="FCI25" s="146"/>
      <c r="FCJ25" s="146"/>
      <c r="FCK25" s="146"/>
      <c r="FCL25" s="146"/>
      <c r="FCM25" s="146"/>
      <c r="FCN25" s="146"/>
      <c r="FCO25" s="146"/>
      <c r="FCP25" s="146"/>
      <c r="FCQ25" s="146"/>
      <c r="FCR25" s="146"/>
      <c r="FCS25" s="146"/>
      <c r="FCT25" s="146"/>
      <c r="FCU25" s="146"/>
      <c r="FCV25" s="146"/>
      <c r="FCW25" s="146"/>
      <c r="FCX25" s="146"/>
      <c r="FCY25" s="146"/>
      <c r="FCZ25" s="146"/>
      <c r="FDA25" s="146"/>
      <c r="FDB25" s="146"/>
      <c r="FDC25" s="146"/>
      <c r="FDD25" s="146"/>
      <c r="FDE25" s="146"/>
      <c r="FDF25" s="146"/>
      <c r="FDG25" s="146"/>
      <c r="FDH25" s="146"/>
      <c r="FDI25" s="146"/>
      <c r="FDJ25" s="146"/>
      <c r="FDK25" s="146"/>
      <c r="FDL25" s="146"/>
      <c r="FDM25" s="146"/>
      <c r="FDN25" s="146"/>
      <c r="FDO25" s="146"/>
      <c r="FDP25" s="146"/>
      <c r="FDQ25" s="146"/>
      <c r="FDR25" s="146"/>
      <c r="FDS25" s="146"/>
      <c r="FDT25" s="146"/>
      <c r="FDU25" s="146"/>
      <c r="FDV25" s="146"/>
      <c r="FDW25" s="146"/>
      <c r="FDX25" s="146"/>
      <c r="FDY25" s="146"/>
      <c r="FDZ25" s="146"/>
      <c r="FEA25" s="146"/>
      <c r="FEB25" s="146"/>
      <c r="FEC25" s="146"/>
      <c r="FED25" s="146"/>
      <c r="FEE25" s="146"/>
      <c r="FEF25" s="146"/>
      <c r="FEG25" s="146"/>
      <c r="FEH25" s="146"/>
      <c r="FEI25" s="146"/>
      <c r="FEJ25" s="146"/>
      <c r="FEK25" s="146"/>
      <c r="FEL25" s="146"/>
      <c r="FEM25" s="146"/>
      <c r="FEN25" s="146"/>
      <c r="FEO25" s="146"/>
      <c r="FEP25" s="146"/>
      <c r="FEQ25" s="146"/>
      <c r="FER25" s="146"/>
      <c r="FES25" s="146"/>
      <c r="FET25" s="146"/>
      <c r="FEU25" s="146"/>
      <c r="FEV25" s="146"/>
      <c r="FEW25" s="146"/>
      <c r="FEX25" s="146"/>
      <c r="FEY25" s="146"/>
      <c r="FEZ25" s="146"/>
      <c r="FFA25" s="146"/>
      <c r="FFB25" s="146"/>
      <c r="FFC25" s="146"/>
      <c r="FFD25" s="146"/>
      <c r="FFE25" s="146"/>
      <c r="FFF25" s="146"/>
      <c r="FFG25" s="146"/>
      <c r="FFH25" s="146"/>
      <c r="FFI25" s="146"/>
      <c r="FFJ25" s="146"/>
      <c r="FFK25" s="146"/>
      <c r="FFL25" s="146"/>
      <c r="FFM25" s="146"/>
      <c r="FFN25" s="146"/>
      <c r="FFO25" s="146"/>
      <c r="FFP25" s="146"/>
      <c r="FFQ25" s="146"/>
      <c r="FFR25" s="146"/>
      <c r="FFS25" s="146"/>
      <c r="FFT25" s="146"/>
      <c r="FFU25" s="146"/>
      <c r="FFV25" s="146"/>
      <c r="FFW25" s="146"/>
      <c r="FFX25" s="146"/>
      <c r="FFY25" s="146"/>
      <c r="FFZ25" s="146"/>
      <c r="FGA25" s="146"/>
      <c r="FGB25" s="146"/>
      <c r="FGC25" s="146"/>
      <c r="FGD25" s="146"/>
      <c r="FGE25" s="146"/>
      <c r="FGF25" s="146"/>
      <c r="FGG25" s="146"/>
      <c r="FGH25" s="146"/>
      <c r="FGI25" s="146"/>
      <c r="FGJ25" s="146"/>
      <c r="FGK25" s="146"/>
      <c r="FGL25" s="146"/>
      <c r="FGM25" s="146"/>
      <c r="FGN25" s="146"/>
      <c r="FGO25" s="146"/>
      <c r="FGP25" s="146"/>
      <c r="FGQ25" s="146"/>
      <c r="FGR25" s="146"/>
      <c r="FGS25" s="146"/>
      <c r="FGT25" s="146"/>
      <c r="FGU25" s="146"/>
      <c r="FGV25" s="146"/>
      <c r="FGW25" s="146"/>
      <c r="FGX25" s="146"/>
      <c r="FGY25" s="146"/>
      <c r="FGZ25" s="146"/>
      <c r="FHA25" s="146"/>
      <c r="FHB25" s="146"/>
      <c r="FHC25" s="146"/>
      <c r="FHD25" s="146"/>
      <c r="FHE25" s="146"/>
      <c r="FHF25" s="146"/>
      <c r="FHG25" s="146"/>
      <c r="FHH25" s="146"/>
      <c r="FHI25" s="146"/>
      <c r="FHJ25" s="146"/>
      <c r="FHK25" s="146"/>
      <c r="FHL25" s="146"/>
      <c r="FHM25" s="146"/>
      <c r="FHN25" s="146"/>
      <c r="FHO25" s="146"/>
      <c r="FHP25" s="146"/>
      <c r="FHQ25" s="146"/>
      <c r="FHR25" s="146"/>
      <c r="FHS25" s="146"/>
      <c r="FHT25" s="146"/>
      <c r="FHU25" s="146"/>
      <c r="FHV25" s="146"/>
      <c r="FHW25" s="146"/>
      <c r="FHX25" s="146"/>
      <c r="FHY25" s="146"/>
      <c r="FHZ25" s="146"/>
      <c r="FIA25" s="146"/>
      <c r="FIB25" s="146"/>
      <c r="FIC25" s="146"/>
      <c r="FID25" s="146"/>
      <c r="FIE25" s="146"/>
      <c r="FIF25" s="146"/>
      <c r="FIG25" s="146"/>
      <c r="FIH25" s="146"/>
      <c r="FII25" s="146"/>
      <c r="FIJ25" s="146"/>
      <c r="FIK25" s="146"/>
      <c r="FIL25" s="146"/>
      <c r="FIM25" s="146"/>
      <c r="FIN25" s="146"/>
      <c r="FIO25" s="146"/>
      <c r="FIP25" s="146"/>
      <c r="FIQ25" s="146"/>
      <c r="FIR25" s="146"/>
      <c r="FIS25" s="146"/>
      <c r="FIT25" s="146"/>
      <c r="FIU25" s="146"/>
      <c r="FIV25" s="146"/>
      <c r="FIW25" s="146"/>
      <c r="FIX25" s="146"/>
      <c r="FIY25" s="146"/>
      <c r="FIZ25" s="146"/>
      <c r="FJA25" s="146"/>
      <c r="FJB25" s="146"/>
      <c r="FJC25" s="146"/>
      <c r="FJD25" s="146"/>
      <c r="FJE25" s="146"/>
      <c r="FJF25" s="146"/>
      <c r="FJG25" s="146"/>
      <c r="FJH25" s="146"/>
      <c r="FJI25" s="146"/>
      <c r="FJJ25" s="146"/>
      <c r="FJK25" s="146"/>
      <c r="FJL25" s="146"/>
      <c r="FJM25" s="146"/>
      <c r="FJN25" s="146"/>
      <c r="FJO25" s="146"/>
      <c r="FJP25" s="146"/>
      <c r="FJQ25" s="146"/>
      <c r="FJR25" s="146"/>
      <c r="FJS25" s="146"/>
      <c r="FJT25" s="146"/>
      <c r="FJU25" s="146"/>
      <c r="FJV25" s="146"/>
      <c r="FJW25" s="146"/>
      <c r="FJX25" s="146"/>
      <c r="FJY25" s="146"/>
      <c r="FJZ25" s="146"/>
      <c r="FKA25" s="146"/>
      <c r="FKB25" s="146"/>
      <c r="FKC25" s="146"/>
      <c r="FKD25" s="146"/>
      <c r="FKE25" s="146"/>
      <c r="FKF25" s="146"/>
      <c r="FKG25" s="146"/>
      <c r="FKH25" s="146"/>
      <c r="FKI25" s="146"/>
      <c r="FKJ25" s="146"/>
      <c r="FKK25" s="146"/>
      <c r="FKL25" s="146"/>
      <c r="FKM25" s="146"/>
      <c r="FKN25" s="146"/>
      <c r="FKO25" s="146"/>
      <c r="FKP25" s="146"/>
      <c r="FKQ25" s="146"/>
      <c r="FKR25" s="146"/>
      <c r="FKS25" s="146"/>
      <c r="FKT25" s="146"/>
      <c r="FKU25" s="146"/>
      <c r="FKV25" s="146"/>
      <c r="FKW25" s="146"/>
      <c r="FKX25" s="146"/>
      <c r="FKY25" s="146"/>
      <c r="FKZ25" s="146"/>
      <c r="FLA25" s="146"/>
      <c r="FLB25" s="146"/>
      <c r="FLC25" s="146"/>
      <c r="FLD25" s="146"/>
      <c r="FLE25" s="146"/>
      <c r="FLF25" s="146"/>
      <c r="FLG25" s="146"/>
      <c r="FLH25" s="146"/>
      <c r="FLI25" s="146"/>
      <c r="FLJ25" s="146"/>
      <c r="FLK25" s="146"/>
      <c r="FLL25" s="146"/>
      <c r="FLM25" s="146"/>
      <c r="FLN25" s="146"/>
      <c r="FLO25" s="146"/>
      <c r="FLP25" s="146"/>
      <c r="FLQ25" s="146"/>
      <c r="FLR25" s="146"/>
      <c r="FLS25" s="146"/>
      <c r="FLT25" s="146"/>
      <c r="FLU25" s="146"/>
      <c r="FLV25" s="146"/>
      <c r="FLW25" s="146"/>
      <c r="FLX25" s="146"/>
      <c r="FLY25" s="146"/>
      <c r="FLZ25" s="146"/>
      <c r="FMA25" s="146"/>
      <c r="FMB25" s="146"/>
      <c r="FMC25" s="146"/>
      <c r="FMD25" s="146"/>
      <c r="FME25" s="146"/>
      <c r="FMF25" s="146"/>
      <c r="FMG25" s="146"/>
      <c r="FMH25" s="146"/>
      <c r="FMI25" s="146"/>
      <c r="FMJ25" s="146"/>
      <c r="FMK25" s="146"/>
      <c r="FML25" s="146"/>
      <c r="FMM25" s="146"/>
      <c r="FMN25" s="146"/>
      <c r="FMO25" s="146"/>
      <c r="FMP25" s="146"/>
      <c r="FMQ25" s="146"/>
      <c r="FMR25" s="146"/>
      <c r="FMS25" s="146"/>
      <c r="FMT25" s="146"/>
      <c r="FMU25" s="146"/>
      <c r="FMV25" s="146"/>
      <c r="FMW25" s="146"/>
      <c r="FMX25" s="146"/>
      <c r="FMY25" s="146"/>
      <c r="FMZ25" s="146"/>
      <c r="FNA25" s="146"/>
      <c r="FNB25" s="146"/>
      <c r="FNC25" s="146"/>
      <c r="FND25" s="146"/>
      <c r="FNE25" s="146"/>
      <c r="FNF25" s="146"/>
      <c r="FNG25" s="146"/>
      <c r="FNH25" s="146"/>
      <c r="FNI25" s="146"/>
      <c r="FNJ25" s="146"/>
      <c r="FNK25" s="146"/>
      <c r="FNL25" s="146"/>
      <c r="FNM25" s="146"/>
      <c r="FNN25" s="146"/>
      <c r="FNO25" s="146"/>
      <c r="FNP25" s="146"/>
      <c r="FNQ25" s="146"/>
      <c r="FNR25" s="146"/>
      <c r="FNS25" s="146"/>
      <c r="FNT25" s="146"/>
      <c r="FNU25" s="146"/>
      <c r="FNV25" s="146"/>
      <c r="FNW25" s="146"/>
      <c r="FNX25" s="146"/>
      <c r="FNY25" s="146"/>
      <c r="FNZ25" s="146"/>
      <c r="FOA25" s="146"/>
      <c r="FOB25" s="146"/>
      <c r="FOC25" s="146"/>
      <c r="FOD25" s="146"/>
      <c r="FOE25" s="146"/>
      <c r="FOF25" s="146"/>
      <c r="FOG25" s="146"/>
      <c r="FOH25" s="146"/>
      <c r="FOI25" s="146"/>
      <c r="FOJ25" s="146"/>
      <c r="FOK25" s="146"/>
      <c r="FOL25" s="146"/>
      <c r="FOM25" s="146"/>
      <c r="FON25" s="146"/>
      <c r="FOO25" s="146"/>
      <c r="FOP25" s="146"/>
      <c r="FOQ25" s="146"/>
      <c r="FOR25" s="146"/>
      <c r="FOS25" s="146"/>
      <c r="FOT25" s="146"/>
      <c r="FOU25" s="146"/>
      <c r="FOV25" s="146"/>
      <c r="FOW25" s="146"/>
      <c r="FOX25" s="146"/>
      <c r="FOY25" s="146"/>
      <c r="FOZ25" s="146"/>
      <c r="FPA25" s="146"/>
      <c r="FPB25" s="146"/>
      <c r="FPC25" s="146"/>
      <c r="FPD25" s="146"/>
      <c r="FPE25" s="146"/>
      <c r="FPF25" s="146"/>
      <c r="FPG25" s="146"/>
      <c r="FPH25" s="146"/>
      <c r="FPI25" s="146"/>
      <c r="FPJ25" s="146"/>
      <c r="FPK25" s="146"/>
      <c r="FPL25" s="146"/>
      <c r="FPM25" s="146"/>
      <c r="FPN25" s="146"/>
      <c r="FPO25" s="146"/>
      <c r="FPP25" s="146"/>
      <c r="FPQ25" s="146"/>
      <c r="FPR25" s="146"/>
      <c r="FPS25" s="146"/>
      <c r="FPT25" s="146"/>
      <c r="FPU25" s="146"/>
      <c r="FPV25" s="146"/>
      <c r="FPW25" s="146"/>
      <c r="FPX25" s="146"/>
      <c r="FPY25" s="146"/>
      <c r="FPZ25" s="146"/>
      <c r="FQA25" s="146"/>
      <c r="FQB25" s="146"/>
      <c r="FQC25" s="146"/>
      <c r="FQD25" s="146"/>
      <c r="FQE25" s="146"/>
      <c r="FQF25" s="146"/>
      <c r="FQG25" s="146"/>
      <c r="FQH25" s="146"/>
      <c r="FQI25" s="146"/>
      <c r="FQJ25" s="146"/>
      <c r="FQK25" s="146"/>
      <c r="FQL25" s="146"/>
      <c r="FQM25" s="146"/>
      <c r="FQN25" s="146"/>
      <c r="FQO25" s="146"/>
      <c r="FQP25" s="146"/>
      <c r="FQQ25" s="146"/>
      <c r="FQR25" s="146"/>
      <c r="FQS25" s="146"/>
      <c r="FQT25" s="146"/>
      <c r="FQU25" s="146"/>
      <c r="FQV25" s="146"/>
      <c r="FQW25" s="146"/>
      <c r="FQX25" s="146"/>
      <c r="FQY25" s="146"/>
      <c r="FQZ25" s="146"/>
      <c r="FRA25" s="146"/>
      <c r="FRB25" s="146"/>
      <c r="FRC25" s="146"/>
      <c r="FRD25" s="146"/>
      <c r="FRE25" s="146"/>
      <c r="FRF25" s="146"/>
      <c r="FRG25" s="146"/>
      <c r="FRH25" s="146"/>
      <c r="FRI25" s="146"/>
      <c r="FRJ25" s="146"/>
      <c r="FRK25" s="146"/>
      <c r="FRL25" s="146"/>
      <c r="FRM25" s="146"/>
      <c r="FRN25" s="146"/>
      <c r="FRO25" s="146"/>
      <c r="FRP25" s="146"/>
      <c r="FRQ25" s="146"/>
      <c r="FRR25" s="146"/>
      <c r="FRS25" s="146"/>
      <c r="FRT25" s="146"/>
      <c r="FRU25" s="146"/>
      <c r="FRV25" s="146"/>
      <c r="FRW25" s="146"/>
      <c r="FRX25" s="146"/>
      <c r="FRY25" s="146"/>
      <c r="FRZ25" s="146"/>
      <c r="FSA25" s="146"/>
      <c r="FSB25" s="146"/>
      <c r="FSC25" s="146"/>
      <c r="FSD25" s="146"/>
      <c r="FSE25" s="146"/>
      <c r="FSF25" s="146"/>
      <c r="FSG25" s="146"/>
      <c r="FSH25" s="146"/>
      <c r="FSI25" s="146"/>
      <c r="FSJ25" s="146"/>
      <c r="FSK25" s="146"/>
      <c r="FSL25" s="146"/>
      <c r="FSM25" s="146"/>
      <c r="FSN25" s="146"/>
      <c r="FSO25" s="146"/>
      <c r="FSP25" s="146"/>
      <c r="FSQ25" s="146"/>
      <c r="FSR25" s="146"/>
      <c r="FSS25" s="146"/>
      <c r="FST25" s="146"/>
      <c r="FSU25" s="146"/>
      <c r="FSV25" s="146"/>
      <c r="FSW25" s="146"/>
      <c r="FSX25" s="146"/>
      <c r="FSY25" s="146"/>
      <c r="FSZ25" s="146"/>
      <c r="FTA25" s="146"/>
      <c r="FTB25" s="146"/>
      <c r="FTC25" s="146"/>
      <c r="FTD25" s="146"/>
      <c r="FTE25" s="146"/>
      <c r="FTF25" s="146"/>
      <c r="FTG25" s="146"/>
      <c r="FTH25" s="146"/>
      <c r="FTI25" s="146"/>
      <c r="FTJ25" s="146"/>
      <c r="FTK25" s="146"/>
      <c r="FTL25" s="146"/>
      <c r="FTM25" s="146"/>
      <c r="FTN25" s="146"/>
      <c r="FTO25" s="146"/>
      <c r="FTP25" s="146"/>
      <c r="FTQ25" s="146"/>
      <c r="FTR25" s="146"/>
      <c r="FTS25" s="146"/>
      <c r="FTT25" s="146"/>
      <c r="FTU25" s="146"/>
      <c r="FTV25" s="146"/>
      <c r="FTW25" s="146"/>
      <c r="FTX25" s="146"/>
      <c r="FTY25" s="146"/>
      <c r="FTZ25" s="146"/>
      <c r="FUA25" s="146"/>
      <c r="FUB25" s="146"/>
      <c r="FUC25" s="146"/>
      <c r="FUD25" s="146"/>
      <c r="FUE25" s="146"/>
      <c r="FUF25" s="146"/>
      <c r="FUG25" s="146"/>
      <c r="FUH25" s="146"/>
      <c r="FUI25" s="146"/>
      <c r="FUJ25" s="146"/>
      <c r="FUK25" s="146"/>
      <c r="FUL25" s="146"/>
      <c r="FUM25" s="146"/>
      <c r="FUN25" s="146"/>
      <c r="FUO25" s="146"/>
      <c r="FUP25" s="146"/>
      <c r="FUQ25" s="146"/>
      <c r="FUR25" s="146"/>
      <c r="FUS25" s="146"/>
      <c r="FUT25" s="146"/>
      <c r="FUU25" s="146"/>
      <c r="FUV25" s="146"/>
      <c r="FUW25" s="146"/>
      <c r="FUX25" s="146"/>
      <c r="FUY25" s="146"/>
      <c r="FUZ25" s="146"/>
      <c r="FVA25" s="146"/>
      <c r="FVB25" s="146"/>
      <c r="FVC25" s="146"/>
      <c r="FVD25" s="146"/>
      <c r="FVE25" s="146"/>
      <c r="FVF25" s="146"/>
      <c r="FVG25" s="146"/>
      <c r="FVH25" s="146"/>
      <c r="FVI25" s="146"/>
      <c r="FVJ25" s="146"/>
      <c r="FVK25" s="146"/>
      <c r="FVL25" s="146"/>
      <c r="FVM25" s="146"/>
      <c r="FVN25" s="146"/>
      <c r="FVO25" s="146"/>
      <c r="FVP25" s="146"/>
      <c r="FVQ25" s="146"/>
      <c r="FVR25" s="146"/>
      <c r="FVS25" s="146"/>
      <c r="FVT25" s="146"/>
      <c r="FVU25" s="146"/>
      <c r="FVV25" s="146"/>
      <c r="FVW25" s="146"/>
      <c r="FVX25" s="146"/>
      <c r="FVY25" s="146"/>
      <c r="FVZ25" s="146"/>
      <c r="FWA25" s="146"/>
      <c r="FWB25" s="146"/>
      <c r="FWC25" s="146"/>
      <c r="FWD25" s="146"/>
      <c r="FWE25" s="146"/>
      <c r="FWF25" s="146"/>
      <c r="FWG25" s="146"/>
      <c r="FWH25" s="146"/>
      <c r="FWI25" s="146"/>
      <c r="FWJ25" s="146"/>
      <c r="FWK25" s="146"/>
      <c r="FWL25" s="146"/>
      <c r="FWM25" s="146"/>
      <c r="FWN25" s="146"/>
      <c r="FWO25" s="146"/>
      <c r="FWP25" s="146"/>
      <c r="FWQ25" s="146"/>
      <c r="FWR25" s="146"/>
      <c r="FWS25" s="146"/>
      <c r="FWT25" s="146"/>
      <c r="FWU25" s="146"/>
      <c r="FWV25" s="146"/>
      <c r="FWW25" s="146"/>
      <c r="FWX25" s="146"/>
      <c r="FWY25" s="146"/>
      <c r="FWZ25" s="146"/>
      <c r="FXA25" s="146"/>
      <c r="FXB25" s="146"/>
      <c r="FXC25" s="146"/>
      <c r="FXD25" s="146"/>
      <c r="FXE25" s="146"/>
      <c r="FXF25" s="146"/>
      <c r="FXG25" s="146"/>
      <c r="FXH25" s="146"/>
      <c r="FXI25" s="146"/>
      <c r="FXJ25" s="146"/>
      <c r="FXK25" s="146"/>
      <c r="FXL25" s="146"/>
      <c r="FXM25" s="146"/>
      <c r="FXN25" s="146"/>
      <c r="FXO25" s="146"/>
      <c r="FXP25" s="146"/>
      <c r="FXQ25" s="146"/>
      <c r="FXR25" s="146"/>
      <c r="FXS25" s="146"/>
      <c r="FXT25" s="146"/>
      <c r="FXU25" s="146"/>
      <c r="FXV25" s="146"/>
      <c r="FXW25" s="146"/>
      <c r="FXX25" s="146"/>
      <c r="FXY25" s="146"/>
      <c r="FXZ25" s="146"/>
      <c r="FYA25" s="146"/>
      <c r="FYB25" s="146"/>
      <c r="FYC25" s="146"/>
      <c r="FYD25" s="146"/>
      <c r="FYE25" s="146"/>
      <c r="FYF25" s="146"/>
      <c r="FYG25" s="146"/>
      <c r="FYH25" s="146"/>
      <c r="FYI25" s="146"/>
      <c r="FYJ25" s="146"/>
      <c r="FYK25" s="146"/>
      <c r="FYL25" s="146"/>
      <c r="FYM25" s="146"/>
      <c r="FYN25" s="146"/>
      <c r="FYO25" s="146"/>
      <c r="FYP25" s="146"/>
      <c r="FYQ25" s="146"/>
      <c r="FYR25" s="146"/>
      <c r="FYS25" s="146"/>
      <c r="FYT25" s="146"/>
      <c r="FYU25" s="146"/>
      <c r="FYV25" s="146"/>
      <c r="FYW25" s="146"/>
      <c r="FYX25" s="146"/>
      <c r="FYY25" s="146"/>
      <c r="FYZ25" s="146"/>
      <c r="FZA25" s="146"/>
      <c r="FZB25" s="146"/>
      <c r="FZC25" s="146"/>
      <c r="FZD25" s="146"/>
      <c r="FZE25" s="146"/>
      <c r="FZF25" s="146"/>
      <c r="FZG25" s="146"/>
      <c r="FZH25" s="146"/>
      <c r="FZI25" s="146"/>
      <c r="FZJ25" s="146"/>
      <c r="FZK25" s="146"/>
      <c r="FZL25" s="146"/>
      <c r="FZM25" s="146"/>
      <c r="FZN25" s="146"/>
      <c r="FZO25" s="146"/>
      <c r="FZP25" s="146"/>
      <c r="FZQ25" s="146"/>
      <c r="FZR25" s="146"/>
      <c r="FZS25" s="146"/>
      <c r="FZT25" s="146"/>
      <c r="FZU25" s="146"/>
      <c r="FZV25" s="146"/>
      <c r="FZW25" s="146"/>
      <c r="FZX25" s="146"/>
      <c r="FZY25" s="146"/>
      <c r="FZZ25" s="146"/>
      <c r="GAA25" s="146"/>
      <c r="GAB25" s="146"/>
      <c r="GAC25" s="146"/>
      <c r="GAD25" s="146"/>
      <c r="GAE25" s="146"/>
      <c r="GAF25" s="146"/>
      <c r="GAG25" s="146"/>
      <c r="GAH25" s="146"/>
      <c r="GAI25" s="146"/>
      <c r="GAJ25" s="146"/>
      <c r="GAK25" s="146"/>
      <c r="GAL25" s="146"/>
      <c r="GAM25" s="146"/>
      <c r="GAN25" s="146"/>
      <c r="GAO25" s="146"/>
      <c r="GAP25" s="146"/>
      <c r="GAQ25" s="146"/>
      <c r="GAR25" s="146"/>
      <c r="GAS25" s="146"/>
      <c r="GAT25" s="146"/>
      <c r="GAU25" s="146"/>
      <c r="GAV25" s="146"/>
      <c r="GAW25" s="146"/>
      <c r="GAX25" s="146"/>
      <c r="GAY25" s="146"/>
      <c r="GAZ25" s="146"/>
      <c r="GBA25" s="146"/>
      <c r="GBB25" s="146"/>
      <c r="GBC25" s="146"/>
      <c r="GBD25" s="146"/>
      <c r="GBE25" s="146"/>
      <c r="GBF25" s="146"/>
      <c r="GBG25" s="146"/>
      <c r="GBH25" s="146"/>
      <c r="GBI25" s="146"/>
      <c r="GBJ25" s="146"/>
      <c r="GBK25" s="146"/>
      <c r="GBL25" s="146"/>
      <c r="GBM25" s="146"/>
      <c r="GBN25" s="146"/>
      <c r="GBO25" s="146"/>
      <c r="GBP25" s="146"/>
      <c r="GBQ25" s="146"/>
      <c r="GBR25" s="146"/>
      <c r="GBS25" s="146"/>
      <c r="GBT25" s="146"/>
      <c r="GBU25" s="146"/>
      <c r="GBV25" s="146"/>
      <c r="GBW25" s="146"/>
      <c r="GBX25" s="146"/>
      <c r="GBY25" s="146"/>
      <c r="GBZ25" s="146"/>
      <c r="GCA25" s="146"/>
      <c r="GCB25" s="146"/>
      <c r="GCC25" s="146"/>
      <c r="GCD25" s="146"/>
      <c r="GCE25" s="146"/>
      <c r="GCF25" s="146"/>
      <c r="GCG25" s="146"/>
      <c r="GCH25" s="146"/>
      <c r="GCI25" s="146"/>
      <c r="GCJ25" s="146"/>
      <c r="GCK25" s="146"/>
      <c r="GCL25" s="146"/>
      <c r="GCM25" s="146"/>
      <c r="GCN25" s="146"/>
      <c r="GCO25" s="146"/>
      <c r="GCP25" s="146"/>
      <c r="GCQ25" s="146"/>
      <c r="GCR25" s="146"/>
      <c r="GCS25" s="146"/>
      <c r="GCT25" s="146"/>
      <c r="GCU25" s="146"/>
      <c r="GCV25" s="146"/>
      <c r="GCW25" s="146"/>
      <c r="GCX25" s="146"/>
      <c r="GCY25" s="146"/>
      <c r="GCZ25" s="146"/>
      <c r="GDA25" s="146"/>
      <c r="GDB25" s="146"/>
      <c r="GDC25" s="146"/>
      <c r="GDD25" s="146"/>
      <c r="GDE25" s="146"/>
      <c r="GDF25" s="146"/>
      <c r="GDG25" s="146"/>
      <c r="GDH25" s="146"/>
      <c r="GDI25" s="146"/>
      <c r="GDJ25" s="146"/>
      <c r="GDK25" s="146"/>
      <c r="GDL25" s="146"/>
      <c r="GDM25" s="146"/>
      <c r="GDN25" s="146"/>
      <c r="GDO25" s="146"/>
      <c r="GDP25" s="146"/>
      <c r="GDQ25" s="146"/>
      <c r="GDR25" s="146"/>
      <c r="GDS25" s="146"/>
      <c r="GDT25" s="146"/>
      <c r="GDU25" s="146"/>
      <c r="GDV25" s="146"/>
      <c r="GDW25" s="146"/>
      <c r="GDX25" s="146"/>
      <c r="GDY25" s="146"/>
      <c r="GDZ25" s="146"/>
      <c r="GEA25" s="146"/>
      <c r="GEB25" s="146"/>
      <c r="GEC25" s="146"/>
      <c r="GED25" s="146"/>
      <c r="GEE25" s="146"/>
      <c r="GEF25" s="146"/>
      <c r="GEG25" s="146"/>
      <c r="GEH25" s="146"/>
      <c r="GEI25" s="146"/>
      <c r="GEJ25" s="146"/>
      <c r="GEK25" s="146"/>
      <c r="GEL25" s="146"/>
      <c r="GEM25" s="146"/>
      <c r="GEN25" s="146"/>
      <c r="GEO25" s="146"/>
      <c r="GEP25" s="146"/>
      <c r="GEQ25" s="146"/>
      <c r="GER25" s="146"/>
      <c r="GES25" s="146"/>
      <c r="GET25" s="146"/>
      <c r="GEU25" s="146"/>
      <c r="GEV25" s="146"/>
      <c r="GEW25" s="146"/>
      <c r="GEX25" s="146"/>
      <c r="GEY25" s="146"/>
      <c r="GEZ25" s="146"/>
      <c r="GFA25" s="146"/>
      <c r="GFB25" s="146"/>
      <c r="GFC25" s="146"/>
      <c r="GFD25" s="146"/>
      <c r="GFE25" s="146"/>
      <c r="GFF25" s="146"/>
      <c r="GFG25" s="146"/>
      <c r="GFH25" s="146"/>
      <c r="GFI25" s="146"/>
      <c r="GFJ25" s="146"/>
      <c r="GFK25" s="146"/>
      <c r="GFL25" s="146"/>
      <c r="GFM25" s="146"/>
      <c r="GFN25" s="146"/>
      <c r="GFO25" s="146"/>
      <c r="GFP25" s="146"/>
      <c r="GFQ25" s="146"/>
      <c r="GFR25" s="146"/>
      <c r="GFS25" s="146"/>
      <c r="GFT25" s="146"/>
      <c r="GFU25" s="146"/>
      <c r="GFV25" s="146"/>
      <c r="GFW25" s="146"/>
      <c r="GFX25" s="146"/>
      <c r="GFY25" s="146"/>
      <c r="GFZ25" s="146"/>
      <c r="GGA25" s="146"/>
      <c r="GGB25" s="146"/>
      <c r="GGC25" s="146"/>
      <c r="GGD25" s="146"/>
      <c r="GGE25" s="146"/>
      <c r="GGF25" s="146"/>
      <c r="GGG25" s="146"/>
      <c r="GGH25" s="146"/>
      <c r="GGI25" s="146"/>
      <c r="GGJ25" s="146"/>
      <c r="GGK25" s="146"/>
      <c r="GGL25" s="146"/>
      <c r="GGM25" s="146"/>
      <c r="GGN25" s="146"/>
      <c r="GGO25" s="146"/>
      <c r="GGP25" s="146"/>
      <c r="GGQ25" s="146"/>
      <c r="GGR25" s="146"/>
      <c r="GGS25" s="146"/>
      <c r="GGT25" s="146"/>
      <c r="GGU25" s="146"/>
      <c r="GGV25" s="146"/>
      <c r="GGW25" s="146"/>
      <c r="GGX25" s="146"/>
      <c r="GGY25" s="146"/>
      <c r="GGZ25" s="146"/>
      <c r="GHA25" s="146"/>
      <c r="GHB25" s="146"/>
      <c r="GHC25" s="146"/>
      <c r="GHD25" s="146"/>
      <c r="GHE25" s="146"/>
      <c r="GHF25" s="146"/>
      <c r="GHG25" s="146"/>
      <c r="GHH25" s="146"/>
      <c r="GHI25" s="146"/>
      <c r="GHJ25" s="146"/>
      <c r="GHK25" s="146"/>
      <c r="GHL25" s="146"/>
      <c r="GHM25" s="146"/>
      <c r="GHN25" s="146"/>
      <c r="GHO25" s="146"/>
      <c r="GHP25" s="146"/>
      <c r="GHQ25" s="146"/>
      <c r="GHR25" s="146"/>
      <c r="GHS25" s="146"/>
      <c r="GHT25" s="146"/>
      <c r="GHU25" s="146"/>
      <c r="GHV25" s="146"/>
      <c r="GHW25" s="146"/>
      <c r="GHX25" s="146"/>
      <c r="GHY25" s="146"/>
      <c r="GHZ25" s="146"/>
      <c r="GIA25" s="146"/>
      <c r="GIB25" s="146"/>
      <c r="GIC25" s="146"/>
      <c r="GID25" s="146"/>
      <c r="GIE25" s="146"/>
      <c r="GIF25" s="146"/>
      <c r="GIG25" s="146"/>
      <c r="GIH25" s="146"/>
      <c r="GII25" s="146"/>
      <c r="GIJ25" s="146"/>
      <c r="GIK25" s="146"/>
      <c r="GIL25" s="146"/>
      <c r="GIM25" s="146"/>
      <c r="GIN25" s="146"/>
      <c r="GIO25" s="146"/>
      <c r="GIP25" s="146"/>
      <c r="GIQ25" s="146"/>
      <c r="GIR25" s="146"/>
      <c r="GIS25" s="146"/>
      <c r="GIT25" s="146"/>
      <c r="GIU25" s="146"/>
      <c r="GIV25" s="146"/>
      <c r="GIW25" s="146"/>
      <c r="GIX25" s="146"/>
      <c r="GIY25" s="146"/>
      <c r="GIZ25" s="146"/>
      <c r="GJA25" s="146"/>
      <c r="GJB25" s="146"/>
      <c r="GJC25" s="146"/>
      <c r="GJD25" s="146"/>
      <c r="GJE25" s="146"/>
      <c r="GJF25" s="146"/>
      <c r="GJG25" s="146"/>
      <c r="GJH25" s="146"/>
      <c r="GJI25" s="146"/>
      <c r="GJJ25" s="146"/>
      <c r="GJK25" s="146"/>
      <c r="GJL25" s="146"/>
      <c r="GJM25" s="146"/>
      <c r="GJN25" s="146"/>
      <c r="GJO25" s="146"/>
      <c r="GJP25" s="146"/>
      <c r="GJQ25" s="146"/>
      <c r="GJR25" s="146"/>
      <c r="GJS25" s="146"/>
      <c r="GJT25" s="146"/>
      <c r="GJU25" s="146"/>
      <c r="GJV25" s="146"/>
      <c r="GJW25" s="146"/>
      <c r="GJX25" s="146"/>
      <c r="GJY25" s="146"/>
      <c r="GJZ25" s="146"/>
      <c r="GKA25" s="146"/>
      <c r="GKB25" s="146"/>
      <c r="GKC25" s="146"/>
      <c r="GKD25" s="146"/>
      <c r="GKE25" s="146"/>
      <c r="GKF25" s="146"/>
      <c r="GKG25" s="146"/>
      <c r="GKH25" s="146"/>
      <c r="GKI25" s="146"/>
      <c r="GKJ25" s="146"/>
      <c r="GKK25" s="146"/>
      <c r="GKL25" s="146"/>
      <c r="GKM25" s="146"/>
      <c r="GKN25" s="146"/>
      <c r="GKO25" s="146"/>
      <c r="GKP25" s="146"/>
      <c r="GKQ25" s="146"/>
      <c r="GKR25" s="146"/>
      <c r="GKS25" s="146"/>
      <c r="GKT25" s="146"/>
      <c r="GKU25" s="146"/>
      <c r="GKV25" s="146"/>
      <c r="GKW25" s="146"/>
      <c r="GKX25" s="146"/>
      <c r="GKY25" s="146"/>
      <c r="GKZ25" s="146"/>
      <c r="GLA25" s="146"/>
      <c r="GLB25" s="146"/>
      <c r="GLC25" s="146"/>
      <c r="GLD25" s="146"/>
      <c r="GLE25" s="146"/>
      <c r="GLF25" s="146"/>
      <c r="GLG25" s="146"/>
      <c r="GLH25" s="146"/>
      <c r="GLI25" s="146"/>
      <c r="GLJ25" s="146"/>
      <c r="GLK25" s="146"/>
      <c r="GLL25" s="146"/>
      <c r="GLM25" s="146"/>
      <c r="GLN25" s="146"/>
      <c r="GLO25" s="146"/>
      <c r="GLP25" s="146"/>
      <c r="GLQ25" s="146"/>
      <c r="GLR25" s="146"/>
      <c r="GLS25" s="146"/>
      <c r="GLT25" s="146"/>
      <c r="GLU25" s="146"/>
      <c r="GLV25" s="146"/>
      <c r="GLW25" s="146"/>
      <c r="GLX25" s="146"/>
      <c r="GLY25" s="146"/>
      <c r="GLZ25" s="146"/>
      <c r="GMA25" s="146"/>
      <c r="GMB25" s="146"/>
      <c r="GMC25" s="146"/>
      <c r="GMD25" s="146"/>
      <c r="GME25" s="146"/>
      <c r="GMF25" s="146"/>
      <c r="GMG25" s="146"/>
      <c r="GMH25" s="146"/>
      <c r="GMI25" s="146"/>
      <c r="GMJ25" s="146"/>
      <c r="GMK25" s="146"/>
      <c r="GML25" s="146"/>
      <c r="GMM25" s="146"/>
      <c r="GMN25" s="146"/>
      <c r="GMO25" s="146"/>
      <c r="GMP25" s="146"/>
      <c r="GMQ25" s="146"/>
      <c r="GMR25" s="146"/>
      <c r="GMS25" s="146"/>
      <c r="GMT25" s="146"/>
      <c r="GMU25" s="146"/>
      <c r="GMV25" s="146"/>
      <c r="GMW25" s="146"/>
      <c r="GMX25" s="146"/>
      <c r="GMY25" s="146"/>
      <c r="GMZ25" s="146"/>
      <c r="GNA25" s="146"/>
      <c r="GNB25" s="146"/>
      <c r="GNC25" s="146"/>
      <c r="GND25" s="146"/>
      <c r="GNE25" s="146"/>
      <c r="GNF25" s="146"/>
      <c r="GNG25" s="146"/>
      <c r="GNH25" s="146"/>
      <c r="GNI25" s="146"/>
      <c r="GNJ25" s="146"/>
      <c r="GNK25" s="146"/>
      <c r="GNL25" s="146"/>
      <c r="GNM25" s="146"/>
      <c r="GNN25" s="146"/>
      <c r="GNO25" s="146"/>
      <c r="GNP25" s="146"/>
      <c r="GNQ25" s="146"/>
      <c r="GNR25" s="146"/>
      <c r="GNS25" s="146"/>
      <c r="GNT25" s="146"/>
      <c r="GNU25" s="146"/>
      <c r="GNV25" s="146"/>
      <c r="GNW25" s="146"/>
      <c r="GNX25" s="146"/>
      <c r="GNY25" s="146"/>
      <c r="GNZ25" s="146"/>
      <c r="GOA25" s="146"/>
      <c r="GOB25" s="146"/>
      <c r="GOC25" s="146"/>
      <c r="GOD25" s="146"/>
      <c r="GOE25" s="146"/>
      <c r="GOF25" s="146"/>
      <c r="GOG25" s="146"/>
      <c r="GOH25" s="146"/>
      <c r="GOI25" s="146"/>
      <c r="GOJ25" s="146"/>
      <c r="GOK25" s="146"/>
      <c r="GOL25" s="146"/>
      <c r="GOM25" s="146"/>
      <c r="GON25" s="146"/>
      <c r="GOO25" s="146"/>
      <c r="GOP25" s="146"/>
      <c r="GOQ25" s="146"/>
      <c r="GOR25" s="146"/>
      <c r="GOS25" s="146"/>
      <c r="GOT25" s="146"/>
      <c r="GOU25" s="146"/>
      <c r="GOV25" s="146"/>
      <c r="GOW25" s="146"/>
      <c r="GOX25" s="146"/>
      <c r="GOY25" s="146"/>
      <c r="GOZ25" s="146"/>
      <c r="GPA25" s="146"/>
      <c r="GPB25" s="146"/>
      <c r="GPC25" s="146"/>
      <c r="GPD25" s="146"/>
      <c r="GPE25" s="146"/>
      <c r="GPF25" s="146"/>
      <c r="GPG25" s="146"/>
      <c r="GPH25" s="146"/>
      <c r="GPI25" s="146"/>
      <c r="GPJ25" s="146"/>
      <c r="GPK25" s="146"/>
      <c r="GPL25" s="146"/>
      <c r="GPM25" s="146"/>
      <c r="GPN25" s="146"/>
      <c r="GPO25" s="146"/>
      <c r="GPP25" s="146"/>
      <c r="GPQ25" s="146"/>
      <c r="GPR25" s="146"/>
      <c r="GPS25" s="146"/>
      <c r="GPT25" s="146"/>
      <c r="GPU25" s="146"/>
      <c r="GPV25" s="146"/>
      <c r="GPW25" s="146"/>
      <c r="GPX25" s="146"/>
      <c r="GPY25" s="146"/>
      <c r="GPZ25" s="146"/>
      <c r="GQA25" s="146"/>
      <c r="GQB25" s="146"/>
      <c r="GQC25" s="146"/>
      <c r="GQD25" s="146"/>
      <c r="GQE25" s="146"/>
      <c r="GQF25" s="146"/>
      <c r="GQG25" s="146"/>
      <c r="GQH25" s="146"/>
      <c r="GQI25" s="146"/>
      <c r="GQJ25" s="146"/>
      <c r="GQK25" s="146"/>
      <c r="GQL25" s="146"/>
      <c r="GQM25" s="146"/>
      <c r="GQN25" s="146"/>
      <c r="GQO25" s="146"/>
      <c r="GQP25" s="146"/>
      <c r="GQQ25" s="146"/>
      <c r="GQR25" s="146"/>
      <c r="GQS25" s="146"/>
      <c r="GQT25" s="146"/>
      <c r="GQU25" s="146"/>
      <c r="GQV25" s="146"/>
      <c r="GQW25" s="146"/>
      <c r="GQX25" s="146"/>
      <c r="GQY25" s="146"/>
      <c r="GQZ25" s="146"/>
      <c r="GRA25" s="146"/>
      <c r="GRB25" s="146"/>
      <c r="GRC25" s="146"/>
      <c r="GRD25" s="146"/>
      <c r="GRE25" s="146"/>
      <c r="GRF25" s="146"/>
      <c r="GRG25" s="146"/>
      <c r="GRH25" s="146"/>
      <c r="GRI25" s="146"/>
      <c r="GRJ25" s="146"/>
      <c r="GRK25" s="146"/>
      <c r="GRL25" s="146"/>
      <c r="GRM25" s="146"/>
      <c r="GRN25" s="146"/>
      <c r="GRO25" s="146"/>
      <c r="GRP25" s="146"/>
      <c r="GRQ25" s="146"/>
      <c r="GRR25" s="146"/>
      <c r="GRS25" s="146"/>
      <c r="GRT25" s="146"/>
      <c r="GRU25" s="146"/>
      <c r="GRV25" s="146"/>
      <c r="GRW25" s="146"/>
      <c r="GRX25" s="146"/>
      <c r="GRY25" s="146"/>
      <c r="GRZ25" s="146"/>
      <c r="GSA25" s="146"/>
      <c r="GSB25" s="146"/>
      <c r="GSC25" s="146"/>
      <c r="GSD25" s="146"/>
      <c r="GSE25" s="146"/>
      <c r="GSF25" s="146"/>
      <c r="GSG25" s="146"/>
      <c r="GSH25" s="146"/>
      <c r="GSI25" s="146"/>
      <c r="GSJ25" s="146"/>
      <c r="GSK25" s="146"/>
      <c r="GSL25" s="146"/>
      <c r="GSM25" s="146"/>
      <c r="GSN25" s="146"/>
      <c r="GSO25" s="146"/>
      <c r="GSP25" s="146"/>
      <c r="GSQ25" s="146"/>
      <c r="GSR25" s="146"/>
      <c r="GSS25" s="146"/>
      <c r="GST25" s="146"/>
      <c r="GSU25" s="146"/>
      <c r="GSV25" s="146"/>
      <c r="GSW25" s="146"/>
      <c r="GSX25" s="146"/>
      <c r="GSY25" s="146"/>
      <c r="GSZ25" s="146"/>
      <c r="GTA25" s="146"/>
      <c r="GTB25" s="146"/>
      <c r="GTC25" s="146"/>
      <c r="GTD25" s="146"/>
      <c r="GTE25" s="146"/>
      <c r="GTF25" s="146"/>
      <c r="GTG25" s="146"/>
      <c r="GTH25" s="146"/>
      <c r="GTI25" s="146"/>
      <c r="GTJ25" s="146"/>
      <c r="GTK25" s="146"/>
      <c r="GTL25" s="146"/>
      <c r="GTM25" s="146"/>
      <c r="GTN25" s="146"/>
      <c r="GTO25" s="146"/>
      <c r="GTP25" s="146"/>
      <c r="GTQ25" s="146"/>
      <c r="GTR25" s="146"/>
      <c r="GTS25" s="146"/>
      <c r="GTT25" s="146"/>
      <c r="GTU25" s="146"/>
      <c r="GTV25" s="146"/>
      <c r="GTW25" s="146"/>
      <c r="GTX25" s="146"/>
      <c r="GTY25" s="146"/>
      <c r="GTZ25" s="146"/>
      <c r="GUA25" s="146"/>
      <c r="GUB25" s="146"/>
      <c r="GUC25" s="146"/>
      <c r="GUD25" s="146"/>
      <c r="GUE25" s="146"/>
      <c r="GUF25" s="146"/>
      <c r="GUG25" s="146"/>
      <c r="GUH25" s="146"/>
      <c r="GUI25" s="146"/>
      <c r="GUJ25" s="146"/>
      <c r="GUK25" s="146"/>
      <c r="GUL25" s="146"/>
      <c r="GUM25" s="146"/>
      <c r="GUN25" s="146"/>
      <c r="GUO25" s="146"/>
      <c r="GUP25" s="146"/>
      <c r="GUQ25" s="146"/>
      <c r="GUR25" s="146"/>
      <c r="GUS25" s="146"/>
      <c r="GUT25" s="146"/>
      <c r="GUU25" s="146"/>
      <c r="GUV25" s="146"/>
      <c r="GUW25" s="146"/>
      <c r="GUX25" s="146"/>
      <c r="GUY25" s="146"/>
      <c r="GUZ25" s="146"/>
      <c r="GVA25" s="146"/>
      <c r="GVB25" s="146"/>
      <c r="GVC25" s="146"/>
      <c r="GVD25" s="146"/>
      <c r="GVE25" s="146"/>
      <c r="GVF25" s="146"/>
      <c r="GVG25" s="146"/>
      <c r="GVH25" s="146"/>
      <c r="GVI25" s="146"/>
      <c r="GVJ25" s="146"/>
      <c r="GVK25" s="146"/>
      <c r="GVL25" s="146"/>
      <c r="GVM25" s="146"/>
      <c r="GVN25" s="146"/>
      <c r="GVO25" s="146"/>
      <c r="GVP25" s="146"/>
      <c r="GVQ25" s="146"/>
      <c r="GVR25" s="146"/>
      <c r="GVS25" s="146"/>
      <c r="GVT25" s="146"/>
      <c r="GVU25" s="146"/>
      <c r="GVV25" s="146"/>
      <c r="GVW25" s="146"/>
      <c r="GVX25" s="146"/>
      <c r="GVY25" s="146"/>
      <c r="GVZ25" s="146"/>
      <c r="GWA25" s="146"/>
      <c r="GWB25" s="146"/>
      <c r="GWC25" s="146"/>
      <c r="GWD25" s="146"/>
      <c r="GWE25" s="146"/>
      <c r="GWF25" s="146"/>
      <c r="GWG25" s="146"/>
      <c r="GWH25" s="146"/>
      <c r="GWI25" s="146"/>
      <c r="GWJ25" s="146"/>
      <c r="GWK25" s="146"/>
      <c r="GWL25" s="146"/>
      <c r="GWM25" s="146"/>
      <c r="GWN25" s="146"/>
      <c r="GWO25" s="146"/>
      <c r="GWP25" s="146"/>
      <c r="GWQ25" s="146"/>
      <c r="GWR25" s="146"/>
      <c r="GWS25" s="146"/>
      <c r="GWT25" s="146"/>
      <c r="GWU25" s="146"/>
      <c r="GWV25" s="146"/>
      <c r="GWW25" s="146"/>
      <c r="GWX25" s="146"/>
      <c r="GWY25" s="146"/>
      <c r="GWZ25" s="146"/>
      <c r="GXA25" s="146"/>
      <c r="GXB25" s="146"/>
      <c r="GXC25" s="146"/>
      <c r="GXD25" s="146"/>
      <c r="GXE25" s="146"/>
      <c r="GXF25" s="146"/>
      <c r="GXG25" s="146"/>
      <c r="GXH25" s="146"/>
      <c r="GXI25" s="146"/>
      <c r="GXJ25" s="146"/>
      <c r="GXK25" s="146"/>
      <c r="GXL25" s="146"/>
      <c r="GXM25" s="146"/>
      <c r="GXN25" s="146"/>
      <c r="GXO25" s="146"/>
      <c r="GXP25" s="146"/>
      <c r="GXQ25" s="146"/>
      <c r="GXR25" s="146"/>
      <c r="GXS25" s="146"/>
      <c r="GXT25" s="146"/>
      <c r="GXU25" s="146"/>
      <c r="GXV25" s="146"/>
      <c r="GXW25" s="146"/>
      <c r="GXX25" s="146"/>
      <c r="GXY25" s="146"/>
      <c r="GXZ25" s="146"/>
      <c r="GYA25" s="146"/>
      <c r="GYB25" s="146"/>
      <c r="GYC25" s="146"/>
      <c r="GYD25" s="146"/>
      <c r="GYE25" s="146"/>
      <c r="GYF25" s="146"/>
      <c r="GYG25" s="146"/>
      <c r="GYH25" s="146"/>
      <c r="GYI25" s="146"/>
      <c r="GYJ25" s="146"/>
      <c r="GYK25" s="146"/>
      <c r="GYL25" s="146"/>
      <c r="GYM25" s="146"/>
      <c r="GYN25" s="146"/>
      <c r="GYO25" s="146"/>
      <c r="GYP25" s="146"/>
      <c r="GYQ25" s="146"/>
      <c r="GYR25" s="146"/>
      <c r="GYS25" s="146"/>
      <c r="GYT25" s="146"/>
      <c r="GYU25" s="146"/>
      <c r="GYV25" s="146"/>
      <c r="GYW25" s="146"/>
      <c r="GYX25" s="146"/>
      <c r="GYY25" s="146"/>
      <c r="GYZ25" s="146"/>
      <c r="GZA25" s="146"/>
      <c r="GZB25" s="146"/>
      <c r="GZC25" s="146"/>
      <c r="GZD25" s="146"/>
      <c r="GZE25" s="146"/>
      <c r="GZF25" s="146"/>
      <c r="GZG25" s="146"/>
      <c r="GZH25" s="146"/>
      <c r="GZI25" s="146"/>
      <c r="GZJ25" s="146"/>
      <c r="GZK25" s="146"/>
      <c r="GZL25" s="146"/>
      <c r="GZM25" s="146"/>
      <c r="GZN25" s="146"/>
      <c r="GZO25" s="146"/>
      <c r="GZP25" s="146"/>
      <c r="GZQ25" s="146"/>
      <c r="GZR25" s="146"/>
      <c r="GZS25" s="146"/>
      <c r="GZT25" s="146"/>
      <c r="GZU25" s="146"/>
      <c r="GZV25" s="146"/>
      <c r="GZW25" s="146"/>
      <c r="GZX25" s="146"/>
      <c r="GZY25" s="146"/>
      <c r="GZZ25" s="146"/>
      <c r="HAA25" s="146"/>
      <c r="HAB25" s="146"/>
      <c r="HAC25" s="146"/>
      <c r="HAD25" s="146"/>
      <c r="HAE25" s="146"/>
      <c r="HAF25" s="146"/>
      <c r="HAG25" s="146"/>
      <c r="HAH25" s="146"/>
      <c r="HAI25" s="146"/>
      <c r="HAJ25" s="146"/>
      <c r="HAK25" s="146"/>
      <c r="HAL25" s="146"/>
      <c r="HAM25" s="146"/>
      <c r="HAN25" s="146"/>
      <c r="HAO25" s="146"/>
      <c r="HAP25" s="146"/>
      <c r="HAQ25" s="146"/>
      <c r="HAR25" s="146"/>
      <c r="HAS25" s="146"/>
      <c r="HAT25" s="146"/>
      <c r="HAU25" s="146"/>
      <c r="HAV25" s="146"/>
      <c r="HAW25" s="146"/>
      <c r="HAX25" s="146"/>
      <c r="HAY25" s="146"/>
      <c r="HAZ25" s="146"/>
      <c r="HBA25" s="146"/>
      <c r="HBB25" s="146"/>
      <c r="HBC25" s="146"/>
      <c r="HBD25" s="146"/>
      <c r="HBE25" s="146"/>
      <c r="HBF25" s="146"/>
      <c r="HBG25" s="146"/>
      <c r="HBH25" s="146"/>
      <c r="HBI25" s="146"/>
      <c r="HBJ25" s="146"/>
      <c r="HBK25" s="146"/>
      <c r="HBL25" s="146"/>
      <c r="HBM25" s="146"/>
      <c r="HBN25" s="146"/>
      <c r="HBO25" s="146"/>
      <c r="HBP25" s="146"/>
      <c r="HBQ25" s="146"/>
      <c r="HBR25" s="146"/>
      <c r="HBS25" s="146"/>
      <c r="HBT25" s="146"/>
      <c r="HBU25" s="146"/>
      <c r="HBV25" s="146"/>
      <c r="HBW25" s="146"/>
      <c r="HBX25" s="146"/>
      <c r="HBY25" s="146"/>
      <c r="HBZ25" s="146"/>
      <c r="HCA25" s="146"/>
      <c r="HCB25" s="146"/>
      <c r="HCC25" s="146"/>
      <c r="HCD25" s="146"/>
      <c r="HCE25" s="146"/>
      <c r="HCF25" s="146"/>
      <c r="HCG25" s="146"/>
      <c r="HCH25" s="146"/>
      <c r="HCI25" s="146"/>
      <c r="HCJ25" s="146"/>
      <c r="HCK25" s="146"/>
      <c r="HCL25" s="146"/>
      <c r="HCM25" s="146"/>
      <c r="HCN25" s="146"/>
      <c r="HCO25" s="146"/>
      <c r="HCP25" s="146"/>
      <c r="HCQ25" s="146"/>
      <c r="HCR25" s="146"/>
      <c r="HCS25" s="146"/>
      <c r="HCT25" s="146"/>
      <c r="HCU25" s="146"/>
      <c r="HCV25" s="146"/>
      <c r="HCW25" s="146"/>
      <c r="HCX25" s="146"/>
      <c r="HCY25" s="146"/>
      <c r="HCZ25" s="146"/>
      <c r="HDA25" s="146"/>
      <c r="HDB25" s="146"/>
      <c r="HDC25" s="146"/>
      <c r="HDD25" s="146"/>
      <c r="HDE25" s="146"/>
      <c r="HDF25" s="146"/>
      <c r="HDG25" s="146"/>
      <c r="HDH25" s="146"/>
      <c r="HDI25" s="146"/>
      <c r="HDJ25" s="146"/>
      <c r="HDK25" s="146"/>
      <c r="HDL25" s="146"/>
      <c r="HDM25" s="146"/>
      <c r="HDN25" s="146"/>
      <c r="HDO25" s="146"/>
      <c r="HDP25" s="146"/>
      <c r="HDQ25" s="146"/>
      <c r="HDR25" s="146"/>
      <c r="HDS25" s="146"/>
      <c r="HDT25" s="146"/>
      <c r="HDU25" s="146"/>
      <c r="HDV25" s="146"/>
      <c r="HDW25" s="146"/>
      <c r="HDX25" s="146"/>
      <c r="HDY25" s="146"/>
      <c r="HDZ25" s="146"/>
      <c r="HEA25" s="146"/>
      <c r="HEB25" s="146"/>
      <c r="HEC25" s="146"/>
      <c r="HED25" s="146"/>
      <c r="HEE25" s="146"/>
      <c r="HEF25" s="146"/>
      <c r="HEG25" s="146"/>
      <c r="HEH25" s="146"/>
      <c r="HEI25" s="146"/>
      <c r="HEJ25" s="146"/>
      <c r="HEK25" s="146"/>
      <c r="HEL25" s="146"/>
      <c r="HEM25" s="146"/>
      <c r="HEN25" s="146"/>
      <c r="HEO25" s="146"/>
      <c r="HEP25" s="146"/>
      <c r="HEQ25" s="146"/>
      <c r="HER25" s="146"/>
      <c r="HES25" s="146"/>
      <c r="HET25" s="146"/>
      <c r="HEU25" s="146"/>
      <c r="HEV25" s="146"/>
      <c r="HEW25" s="146"/>
      <c r="HEX25" s="146"/>
      <c r="HEY25" s="146"/>
      <c r="HEZ25" s="146"/>
      <c r="HFA25" s="146"/>
      <c r="HFB25" s="146"/>
      <c r="HFC25" s="146"/>
      <c r="HFD25" s="146"/>
      <c r="HFE25" s="146"/>
      <c r="HFF25" s="146"/>
      <c r="HFG25" s="146"/>
      <c r="HFH25" s="146"/>
      <c r="HFI25" s="146"/>
      <c r="HFJ25" s="146"/>
      <c r="HFK25" s="146"/>
      <c r="HFL25" s="146"/>
      <c r="HFM25" s="146"/>
      <c r="HFN25" s="146"/>
      <c r="HFO25" s="146"/>
      <c r="HFP25" s="146"/>
      <c r="HFQ25" s="146"/>
      <c r="HFR25" s="146"/>
      <c r="HFS25" s="146"/>
      <c r="HFT25" s="146"/>
      <c r="HFU25" s="146"/>
      <c r="HFV25" s="146"/>
      <c r="HFW25" s="146"/>
      <c r="HFX25" s="146"/>
      <c r="HFY25" s="146"/>
      <c r="HFZ25" s="146"/>
      <c r="HGA25" s="146"/>
      <c r="HGB25" s="146"/>
      <c r="HGC25" s="146"/>
      <c r="HGD25" s="146"/>
      <c r="HGE25" s="146"/>
      <c r="HGF25" s="146"/>
      <c r="HGG25" s="146"/>
      <c r="HGH25" s="146"/>
      <c r="HGI25" s="146"/>
      <c r="HGJ25" s="146"/>
      <c r="HGK25" s="146"/>
      <c r="HGL25" s="146"/>
      <c r="HGM25" s="146"/>
      <c r="HGN25" s="146"/>
      <c r="HGO25" s="146"/>
      <c r="HGP25" s="146"/>
      <c r="HGQ25" s="146"/>
      <c r="HGR25" s="146"/>
      <c r="HGS25" s="146"/>
      <c r="HGT25" s="146"/>
      <c r="HGU25" s="146"/>
      <c r="HGV25" s="146"/>
      <c r="HGW25" s="146"/>
      <c r="HGX25" s="146"/>
      <c r="HGY25" s="146"/>
      <c r="HGZ25" s="146"/>
      <c r="HHA25" s="146"/>
      <c r="HHB25" s="146"/>
      <c r="HHC25" s="146"/>
      <c r="HHD25" s="146"/>
      <c r="HHE25" s="146"/>
      <c r="HHF25" s="146"/>
      <c r="HHG25" s="146"/>
      <c r="HHH25" s="146"/>
      <c r="HHI25" s="146"/>
      <c r="HHJ25" s="146"/>
      <c r="HHK25" s="146"/>
      <c r="HHL25" s="146"/>
      <c r="HHM25" s="146"/>
      <c r="HHN25" s="146"/>
      <c r="HHO25" s="146"/>
      <c r="HHP25" s="146"/>
      <c r="HHQ25" s="146"/>
      <c r="HHR25" s="146"/>
      <c r="HHS25" s="146"/>
      <c r="HHT25" s="146"/>
      <c r="HHU25" s="146"/>
      <c r="HHV25" s="146"/>
      <c r="HHW25" s="146"/>
      <c r="HHX25" s="146"/>
      <c r="HHY25" s="146"/>
      <c r="HHZ25" s="146"/>
      <c r="HIA25" s="146"/>
      <c r="HIB25" s="146"/>
      <c r="HIC25" s="146"/>
      <c r="HID25" s="146"/>
      <c r="HIE25" s="146"/>
      <c r="HIF25" s="146"/>
      <c r="HIG25" s="146"/>
      <c r="HIH25" s="146"/>
      <c r="HII25" s="146"/>
      <c r="HIJ25" s="146"/>
      <c r="HIK25" s="146"/>
      <c r="HIL25" s="146"/>
      <c r="HIM25" s="146"/>
      <c r="HIN25" s="146"/>
      <c r="HIO25" s="146"/>
      <c r="HIP25" s="146"/>
      <c r="HIQ25" s="146"/>
      <c r="HIR25" s="146"/>
      <c r="HIS25" s="146"/>
      <c r="HIT25" s="146"/>
      <c r="HIU25" s="146"/>
      <c r="HIV25" s="146"/>
      <c r="HIW25" s="146"/>
      <c r="HIX25" s="146"/>
      <c r="HIY25" s="146"/>
      <c r="HIZ25" s="146"/>
      <c r="HJA25" s="146"/>
      <c r="HJB25" s="146"/>
      <c r="HJC25" s="146"/>
      <c r="HJD25" s="146"/>
      <c r="HJE25" s="146"/>
      <c r="HJF25" s="146"/>
      <c r="HJG25" s="146"/>
      <c r="HJH25" s="146"/>
      <c r="HJI25" s="146"/>
      <c r="HJJ25" s="146"/>
      <c r="HJK25" s="146"/>
      <c r="HJL25" s="146"/>
      <c r="HJM25" s="146"/>
      <c r="HJN25" s="146"/>
      <c r="HJO25" s="146"/>
      <c r="HJP25" s="146"/>
      <c r="HJQ25" s="146"/>
      <c r="HJR25" s="146"/>
      <c r="HJS25" s="146"/>
      <c r="HJT25" s="146"/>
      <c r="HJU25" s="146"/>
      <c r="HJV25" s="146"/>
      <c r="HJW25" s="146"/>
      <c r="HJX25" s="146"/>
      <c r="HJY25" s="146"/>
      <c r="HJZ25" s="146"/>
      <c r="HKA25" s="146"/>
      <c r="HKB25" s="146"/>
      <c r="HKC25" s="146"/>
      <c r="HKD25" s="146"/>
      <c r="HKE25" s="146"/>
      <c r="HKF25" s="146"/>
      <c r="HKG25" s="146"/>
      <c r="HKH25" s="146"/>
      <c r="HKI25" s="146"/>
      <c r="HKJ25" s="146"/>
      <c r="HKK25" s="146"/>
      <c r="HKL25" s="146"/>
      <c r="HKM25" s="146"/>
      <c r="HKN25" s="146"/>
      <c r="HKO25" s="146"/>
      <c r="HKP25" s="146"/>
      <c r="HKQ25" s="146"/>
      <c r="HKR25" s="146"/>
      <c r="HKS25" s="146"/>
      <c r="HKT25" s="146"/>
      <c r="HKU25" s="146"/>
      <c r="HKV25" s="146"/>
      <c r="HKW25" s="146"/>
      <c r="HKX25" s="146"/>
      <c r="HKY25" s="146"/>
      <c r="HKZ25" s="146"/>
      <c r="HLA25" s="146"/>
      <c r="HLB25" s="146"/>
      <c r="HLC25" s="146"/>
      <c r="HLD25" s="146"/>
      <c r="HLE25" s="146"/>
      <c r="HLF25" s="146"/>
      <c r="HLG25" s="146"/>
      <c r="HLH25" s="146"/>
      <c r="HLI25" s="146"/>
      <c r="HLJ25" s="146"/>
      <c r="HLK25" s="146"/>
      <c r="HLL25" s="146"/>
      <c r="HLM25" s="146"/>
      <c r="HLN25" s="146"/>
      <c r="HLO25" s="146"/>
      <c r="HLP25" s="146"/>
      <c r="HLQ25" s="146"/>
      <c r="HLR25" s="146"/>
      <c r="HLS25" s="146"/>
      <c r="HLT25" s="146"/>
      <c r="HLU25" s="146"/>
      <c r="HLV25" s="146"/>
      <c r="HLW25" s="146"/>
      <c r="HLX25" s="146"/>
      <c r="HLY25" s="146"/>
      <c r="HLZ25" s="146"/>
      <c r="HMA25" s="146"/>
      <c r="HMB25" s="146"/>
      <c r="HMC25" s="146"/>
      <c r="HMD25" s="146"/>
      <c r="HME25" s="146"/>
      <c r="HMF25" s="146"/>
      <c r="HMG25" s="146"/>
      <c r="HMH25" s="146"/>
      <c r="HMI25" s="146"/>
      <c r="HMJ25" s="146"/>
      <c r="HMK25" s="146"/>
      <c r="HML25" s="146"/>
      <c r="HMM25" s="146"/>
      <c r="HMN25" s="146"/>
      <c r="HMO25" s="146"/>
      <c r="HMP25" s="146"/>
      <c r="HMQ25" s="146"/>
      <c r="HMR25" s="146"/>
      <c r="HMS25" s="146"/>
      <c r="HMT25" s="146"/>
      <c r="HMU25" s="146"/>
      <c r="HMV25" s="146"/>
      <c r="HMW25" s="146"/>
      <c r="HMX25" s="146"/>
      <c r="HMY25" s="146"/>
      <c r="HMZ25" s="146"/>
      <c r="HNA25" s="146"/>
      <c r="HNB25" s="146"/>
      <c r="HNC25" s="146"/>
      <c r="HND25" s="146"/>
      <c r="HNE25" s="146"/>
      <c r="HNF25" s="146"/>
      <c r="HNG25" s="146"/>
      <c r="HNH25" s="146"/>
      <c r="HNI25" s="146"/>
      <c r="HNJ25" s="146"/>
      <c r="HNK25" s="146"/>
      <c r="HNL25" s="146"/>
      <c r="HNM25" s="146"/>
      <c r="HNN25" s="146"/>
      <c r="HNO25" s="146"/>
      <c r="HNP25" s="146"/>
      <c r="HNQ25" s="146"/>
      <c r="HNR25" s="146"/>
      <c r="HNS25" s="146"/>
      <c r="HNT25" s="146"/>
      <c r="HNU25" s="146"/>
      <c r="HNV25" s="146"/>
      <c r="HNW25" s="146"/>
      <c r="HNX25" s="146"/>
      <c r="HNY25" s="146"/>
      <c r="HNZ25" s="146"/>
      <c r="HOA25" s="146"/>
      <c r="HOB25" s="146"/>
      <c r="HOC25" s="146"/>
      <c r="HOD25" s="146"/>
      <c r="HOE25" s="146"/>
      <c r="HOF25" s="146"/>
      <c r="HOG25" s="146"/>
      <c r="HOH25" s="146"/>
      <c r="HOI25" s="146"/>
      <c r="HOJ25" s="146"/>
      <c r="HOK25" s="146"/>
      <c r="HOL25" s="146"/>
      <c r="HOM25" s="146"/>
      <c r="HON25" s="146"/>
      <c r="HOO25" s="146"/>
      <c r="HOP25" s="146"/>
      <c r="HOQ25" s="146"/>
      <c r="HOR25" s="146"/>
      <c r="HOS25" s="146"/>
      <c r="HOT25" s="146"/>
      <c r="HOU25" s="146"/>
      <c r="HOV25" s="146"/>
      <c r="HOW25" s="146"/>
      <c r="HOX25" s="146"/>
      <c r="HOY25" s="146"/>
      <c r="HOZ25" s="146"/>
      <c r="HPA25" s="146"/>
      <c r="HPB25" s="146"/>
      <c r="HPC25" s="146"/>
      <c r="HPD25" s="146"/>
      <c r="HPE25" s="146"/>
      <c r="HPF25" s="146"/>
      <c r="HPG25" s="146"/>
      <c r="HPH25" s="146"/>
      <c r="HPI25" s="146"/>
      <c r="HPJ25" s="146"/>
      <c r="HPK25" s="146"/>
      <c r="HPL25" s="146"/>
      <c r="HPM25" s="146"/>
      <c r="HPN25" s="146"/>
      <c r="HPO25" s="146"/>
      <c r="HPP25" s="146"/>
      <c r="HPQ25" s="146"/>
      <c r="HPR25" s="146"/>
      <c r="HPS25" s="146"/>
      <c r="HPT25" s="146"/>
      <c r="HPU25" s="146"/>
      <c r="HPV25" s="146"/>
      <c r="HPW25" s="146"/>
      <c r="HPX25" s="146"/>
      <c r="HPY25" s="146"/>
      <c r="HPZ25" s="146"/>
      <c r="HQA25" s="146"/>
      <c r="HQB25" s="146"/>
      <c r="HQC25" s="146"/>
      <c r="HQD25" s="146"/>
      <c r="HQE25" s="146"/>
      <c r="HQF25" s="146"/>
      <c r="HQG25" s="146"/>
      <c r="HQH25" s="146"/>
      <c r="HQI25" s="146"/>
      <c r="HQJ25" s="146"/>
      <c r="HQK25" s="146"/>
      <c r="HQL25" s="146"/>
      <c r="HQM25" s="146"/>
      <c r="HQN25" s="146"/>
      <c r="HQO25" s="146"/>
      <c r="HQP25" s="146"/>
      <c r="HQQ25" s="146"/>
      <c r="HQR25" s="146"/>
      <c r="HQS25" s="146"/>
      <c r="HQT25" s="146"/>
      <c r="HQU25" s="146"/>
      <c r="HQV25" s="146"/>
      <c r="HQW25" s="146"/>
      <c r="HQX25" s="146"/>
      <c r="HQY25" s="146"/>
      <c r="HQZ25" s="146"/>
      <c r="HRA25" s="146"/>
      <c r="HRB25" s="146"/>
      <c r="HRC25" s="146"/>
      <c r="HRD25" s="146"/>
      <c r="HRE25" s="146"/>
      <c r="HRF25" s="146"/>
      <c r="HRG25" s="146"/>
      <c r="HRH25" s="146"/>
      <c r="HRI25" s="146"/>
      <c r="HRJ25" s="146"/>
      <c r="HRK25" s="146"/>
      <c r="HRL25" s="146"/>
      <c r="HRM25" s="146"/>
      <c r="HRN25" s="146"/>
      <c r="HRO25" s="146"/>
      <c r="HRP25" s="146"/>
      <c r="HRQ25" s="146"/>
      <c r="HRR25" s="146"/>
      <c r="HRS25" s="146"/>
      <c r="HRT25" s="146"/>
      <c r="HRU25" s="146"/>
      <c r="HRV25" s="146"/>
      <c r="HRW25" s="146"/>
      <c r="HRX25" s="146"/>
      <c r="HRY25" s="146"/>
      <c r="HRZ25" s="146"/>
      <c r="HSA25" s="146"/>
      <c r="HSB25" s="146"/>
      <c r="HSC25" s="146"/>
      <c r="HSD25" s="146"/>
      <c r="HSE25" s="146"/>
      <c r="HSF25" s="146"/>
      <c r="HSG25" s="146"/>
      <c r="HSH25" s="146"/>
      <c r="HSI25" s="146"/>
      <c r="HSJ25" s="146"/>
      <c r="HSK25" s="146"/>
      <c r="HSL25" s="146"/>
      <c r="HSM25" s="146"/>
      <c r="HSN25" s="146"/>
      <c r="HSO25" s="146"/>
      <c r="HSP25" s="146"/>
      <c r="HSQ25" s="146"/>
      <c r="HSR25" s="146"/>
      <c r="HSS25" s="146"/>
      <c r="HST25" s="146"/>
      <c r="HSU25" s="146"/>
      <c r="HSV25" s="146"/>
      <c r="HSW25" s="146"/>
      <c r="HSX25" s="146"/>
      <c r="HSY25" s="146"/>
      <c r="HSZ25" s="146"/>
      <c r="HTA25" s="146"/>
      <c r="HTB25" s="146"/>
      <c r="HTC25" s="146"/>
      <c r="HTD25" s="146"/>
      <c r="HTE25" s="146"/>
      <c r="HTF25" s="146"/>
      <c r="HTG25" s="146"/>
      <c r="HTH25" s="146"/>
      <c r="HTI25" s="146"/>
      <c r="HTJ25" s="146"/>
      <c r="HTK25" s="146"/>
      <c r="HTL25" s="146"/>
      <c r="HTM25" s="146"/>
      <c r="HTN25" s="146"/>
      <c r="HTO25" s="146"/>
      <c r="HTP25" s="146"/>
      <c r="HTQ25" s="146"/>
      <c r="HTR25" s="146"/>
      <c r="HTS25" s="146"/>
      <c r="HTT25" s="146"/>
      <c r="HTU25" s="146"/>
      <c r="HTV25" s="146"/>
      <c r="HTW25" s="146"/>
      <c r="HTX25" s="146"/>
      <c r="HTY25" s="146"/>
      <c r="HTZ25" s="146"/>
      <c r="HUA25" s="146"/>
      <c r="HUB25" s="146"/>
      <c r="HUC25" s="146"/>
      <c r="HUD25" s="146"/>
      <c r="HUE25" s="146"/>
      <c r="HUF25" s="146"/>
      <c r="HUG25" s="146"/>
      <c r="HUH25" s="146"/>
      <c r="HUI25" s="146"/>
      <c r="HUJ25" s="146"/>
      <c r="HUK25" s="146"/>
      <c r="HUL25" s="146"/>
      <c r="HUM25" s="146"/>
      <c r="HUN25" s="146"/>
      <c r="HUO25" s="146"/>
      <c r="HUP25" s="146"/>
      <c r="HUQ25" s="146"/>
      <c r="HUR25" s="146"/>
      <c r="HUS25" s="146"/>
      <c r="HUT25" s="146"/>
      <c r="HUU25" s="146"/>
      <c r="HUV25" s="146"/>
      <c r="HUW25" s="146"/>
      <c r="HUX25" s="146"/>
      <c r="HUY25" s="146"/>
      <c r="HUZ25" s="146"/>
      <c r="HVA25" s="146"/>
      <c r="HVB25" s="146"/>
      <c r="HVC25" s="146"/>
      <c r="HVD25" s="146"/>
      <c r="HVE25" s="146"/>
      <c r="HVF25" s="146"/>
      <c r="HVG25" s="146"/>
      <c r="HVH25" s="146"/>
      <c r="HVI25" s="146"/>
      <c r="HVJ25" s="146"/>
      <c r="HVK25" s="146"/>
      <c r="HVL25" s="146"/>
      <c r="HVM25" s="146"/>
      <c r="HVN25" s="146"/>
      <c r="HVO25" s="146"/>
      <c r="HVP25" s="146"/>
      <c r="HVQ25" s="146"/>
      <c r="HVR25" s="146"/>
      <c r="HVS25" s="146"/>
      <c r="HVT25" s="146"/>
      <c r="HVU25" s="146"/>
      <c r="HVV25" s="146"/>
      <c r="HVW25" s="146"/>
      <c r="HVX25" s="146"/>
      <c r="HVY25" s="146"/>
      <c r="HVZ25" s="146"/>
      <c r="HWA25" s="146"/>
      <c r="HWB25" s="146"/>
      <c r="HWC25" s="146"/>
      <c r="HWD25" s="146"/>
      <c r="HWE25" s="146"/>
      <c r="HWF25" s="146"/>
      <c r="HWG25" s="146"/>
      <c r="HWH25" s="146"/>
      <c r="HWI25" s="146"/>
      <c r="HWJ25" s="146"/>
      <c r="HWK25" s="146"/>
      <c r="HWL25" s="146"/>
      <c r="HWM25" s="146"/>
      <c r="HWN25" s="146"/>
      <c r="HWO25" s="146"/>
      <c r="HWP25" s="146"/>
      <c r="HWQ25" s="146"/>
      <c r="HWR25" s="146"/>
      <c r="HWS25" s="146"/>
      <c r="HWT25" s="146"/>
      <c r="HWU25" s="146"/>
      <c r="HWV25" s="146"/>
      <c r="HWW25" s="146"/>
      <c r="HWX25" s="146"/>
      <c r="HWY25" s="146"/>
      <c r="HWZ25" s="146"/>
      <c r="HXA25" s="146"/>
      <c r="HXB25" s="146"/>
      <c r="HXC25" s="146"/>
      <c r="HXD25" s="146"/>
      <c r="HXE25" s="146"/>
      <c r="HXF25" s="146"/>
      <c r="HXG25" s="146"/>
      <c r="HXH25" s="146"/>
      <c r="HXI25" s="146"/>
      <c r="HXJ25" s="146"/>
      <c r="HXK25" s="146"/>
      <c r="HXL25" s="146"/>
      <c r="HXM25" s="146"/>
      <c r="HXN25" s="146"/>
      <c r="HXO25" s="146"/>
      <c r="HXP25" s="146"/>
      <c r="HXQ25" s="146"/>
      <c r="HXR25" s="146"/>
      <c r="HXS25" s="146"/>
      <c r="HXT25" s="146"/>
      <c r="HXU25" s="146"/>
      <c r="HXV25" s="146"/>
      <c r="HXW25" s="146"/>
      <c r="HXX25" s="146"/>
      <c r="HXY25" s="146"/>
      <c r="HXZ25" s="146"/>
      <c r="HYA25" s="146"/>
      <c r="HYB25" s="146"/>
      <c r="HYC25" s="146"/>
      <c r="HYD25" s="146"/>
      <c r="HYE25" s="146"/>
      <c r="HYF25" s="146"/>
      <c r="HYG25" s="146"/>
      <c r="HYH25" s="146"/>
      <c r="HYI25" s="146"/>
      <c r="HYJ25" s="146"/>
      <c r="HYK25" s="146"/>
      <c r="HYL25" s="146"/>
      <c r="HYM25" s="146"/>
      <c r="HYN25" s="146"/>
      <c r="HYO25" s="146"/>
      <c r="HYP25" s="146"/>
      <c r="HYQ25" s="146"/>
      <c r="HYR25" s="146"/>
      <c r="HYS25" s="146"/>
      <c r="HYT25" s="146"/>
      <c r="HYU25" s="146"/>
      <c r="HYV25" s="146"/>
      <c r="HYW25" s="146"/>
      <c r="HYX25" s="146"/>
      <c r="HYY25" s="146"/>
      <c r="HYZ25" s="146"/>
      <c r="HZA25" s="146"/>
      <c r="HZB25" s="146"/>
      <c r="HZC25" s="146"/>
      <c r="HZD25" s="146"/>
      <c r="HZE25" s="146"/>
      <c r="HZF25" s="146"/>
      <c r="HZG25" s="146"/>
      <c r="HZH25" s="146"/>
      <c r="HZI25" s="146"/>
      <c r="HZJ25" s="146"/>
      <c r="HZK25" s="146"/>
      <c r="HZL25" s="146"/>
      <c r="HZM25" s="146"/>
      <c r="HZN25" s="146"/>
      <c r="HZO25" s="146"/>
      <c r="HZP25" s="146"/>
      <c r="HZQ25" s="146"/>
      <c r="HZR25" s="146"/>
      <c r="HZS25" s="146"/>
      <c r="HZT25" s="146"/>
      <c r="HZU25" s="146"/>
      <c r="HZV25" s="146"/>
      <c r="HZW25" s="146"/>
      <c r="HZX25" s="146"/>
      <c r="HZY25" s="146"/>
      <c r="HZZ25" s="146"/>
      <c r="IAA25" s="146"/>
      <c r="IAB25" s="146"/>
      <c r="IAC25" s="146"/>
      <c r="IAD25" s="146"/>
      <c r="IAE25" s="146"/>
      <c r="IAF25" s="146"/>
      <c r="IAG25" s="146"/>
      <c r="IAH25" s="146"/>
      <c r="IAI25" s="146"/>
      <c r="IAJ25" s="146"/>
      <c r="IAK25" s="146"/>
      <c r="IAL25" s="146"/>
      <c r="IAM25" s="146"/>
      <c r="IAN25" s="146"/>
      <c r="IAO25" s="146"/>
      <c r="IAP25" s="146"/>
      <c r="IAQ25" s="146"/>
      <c r="IAR25" s="146"/>
      <c r="IAS25" s="146"/>
      <c r="IAT25" s="146"/>
      <c r="IAU25" s="146"/>
      <c r="IAV25" s="146"/>
      <c r="IAW25" s="146"/>
      <c r="IAX25" s="146"/>
      <c r="IAY25" s="146"/>
      <c r="IAZ25" s="146"/>
      <c r="IBA25" s="146"/>
      <c r="IBB25" s="146"/>
      <c r="IBC25" s="146"/>
      <c r="IBD25" s="146"/>
      <c r="IBE25" s="146"/>
      <c r="IBF25" s="146"/>
      <c r="IBG25" s="146"/>
      <c r="IBH25" s="146"/>
      <c r="IBI25" s="146"/>
      <c r="IBJ25" s="146"/>
      <c r="IBK25" s="146"/>
      <c r="IBL25" s="146"/>
      <c r="IBM25" s="146"/>
      <c r="IBN25" s="146"/>
      <c r="IBO25" s="146"/>
      <c r="IBP25" s="146"/>
      <c r="IBQ25" s="146"/>
      <c r="IBR25" s="146"/>
      <c r="IBS25" s="146"/>
      <c r="IBT25" s="146"/>
      <c r="IBU25" s="146"/>
      <c r="IBV25" s="146"/>
      <c r="IBW25" s="146"/>
      <c r="IBX25" s="146"/>
      <c r="IBY25" s="146"/>
      <c r="IBZ25" s="146"/>
      <c r="ICA25" s="146"/>
      <c r="ICB25" s="146"/>
      <c r="ICC25" s="146"/>
      <c r="ICD25" s="146"/>
      <c r="ICE25" s="146"/>
      <c r="ICF25" s="146"/>
      <c r="ICG25" s="146"/>
      <c r="ICH25" s="146"/>
      <c r="ICI25" s="146"/>
      <c r="ICJ25" s="146"/>
      <c r="ICK25" s="146"/>
      <c r="ICL25" s="146"/>
      <c r="ICM25" s="146"/>
      <c r="ICN25" s="146"/>
      <c r="ICO25" s="146"/>
      <c r="ICP25" s="146"/>
      <c r="ICQ25" s="146"/>
      <c r="ICR25" s="146"/>
      <c r="ICS25" s="146"/>
      <c r="ICT25" s="146"/>
      <c r="ICU25" s="146"/>
      <c r="ICV25" s="146"/>
      <c r="ICW25" s="146"/>
      <c r="ICX25" s="146"/>
      <c r="ICY25" s="146"/>
      <c r="ICZ25" s="146"/>
      <c r="IDA25" s="146"/>
      <c r="IDB25" s="146"/>
      <c r="IDC25" s="146"/>
      <c r="IDD25" s="146"/>
      <c r="IDE25" s="146"/>
      <c r="IDF25" s="146"/>
      <c r="IDG25" s="146"/>
      <c r="IDH25" s="146"/>
      <c r="IDI25" s="146"/>
      <c r="IDJ25" s="146"/>
      <c r="IDK25" s="146"/>
      <c r="IDL25" s="146"/>
      <c r="IDM25" s="146"/>
      <c r="IDN25" s="146"/>
      <c r="IDO25" s="146"/>
      <c r="IDP25" s="146"/>
      <c r="IDQ25" s="146"/>
      <c r="IDR25" s="146"/>
      <c r="IDS25" s="146"/>
      <c r="IDT25" s="146"/>
      <c r="IDU25" s="146"/>
      <c r="IDV25" s="146"/>
      <c r="IDW25" s="146"/>
      <c r="IDX25" s="146"/>
      <c r="IDY25" s="146"/>
      <c r="IDZ25" s="146"/>
      <c r="IEA25" s="146"/>
      <c r="IEB25" s="146"/>
      <c r="IEC25" s="146"/>
      <c r="IED25" s="146"/>
      <c r="IEE25" s="146"/>
      <c r="IEF25" s="146"/>
      <c r="IEG25" s="146"/>
      <c r="IEH25" s="146"/>
      <c r="IEI25" s="146"/>
      <c r="IEJ25" s="146"/>
      <c r="IEK25" s="146"/>
      <c r="IEL25" s="146"/>
      <c r="IEM25" s="146"/>
      <c r="IEN25" s="146"/>
      <c r="IEO25" s="146"/>
      <c r="IEP25" s="146"/>
      <c r="IEQ25" s="146"/>
      <c r="IER25" s="146"/>
      <c r="IES25" s="146"/>
      <c r="IET25" s="146"/>
      <c r="IEU25" s="146"/>
      <c r="IEV25" s="146"/>
      <c r="IEW25" s="146"/>
      <c r="IEX25" s="146"/>
      <c r="IEY25" s="146"/>
      <c r="IEZ25" s="146"/>
      <c r="IFA25" s="146"/>
      <c r="IFB25" s="146"/>
      <c r="IFC25" s="146"/>
      <c r="IFD25" s="146"/>
      <c r="IFE25" s="146"/>
      <c r="IFF25" s="146"/>
      <c r="IFG25" s="146"/>
      <c r="IFH25" s="146"/>
      <c r="IFI25" s="146"/>
      <c r="IFJ25" s="146"/>
      <c r="IFK25" s="146"/>
      <c r="IFL25" s="146"/>
      <c r="IFM25" s="146"/>
      <c r="IFN25" s="146"/>
      <c r="IFO25" s="146"/>
      <c r="IFP25" s="146"/>
      <c r="IFQ25" s="146"/>
      <c r="IFR25" s="146"/>
      <c r="IFS25" s="146"/>
      <c r="IFT25" s="146"/>
      <c r="IFU25" s="146"/>
      <c r="IFV25" s="146"/>
      <c r="IFW25" s="146"/>
      <c r="IFX25" s="146"/>
      <c r="IFY25" s="146"/>
      <c r="IFZ25" s="146"/>
      <c r="IGA25" s="146"/>
      <c r="IGB25" s="146"/>
      <c r="IGC25" s="146"/>
      <c r="IGD25" s="146"/>
      <c r="IGE25" s="146"/>
      <c r="IGF25" s="146"/>
      <c r="IGG25" s="146"/>
      <c r="IGH25" s="146"/>
      <c r="IGI25" s="146"/>
      <c r="IGJ25" s="146"/>
      <c r="IGK25" s="146"/>
      <c r="IGL25" s="146"/>
      <c r="IGM25" s="146"/>
      <c r="IGN25" s="146"/>
      <c r="IGO25" s="146"/>
      <c r="IGP25" s="146"/>
      <c r="IGQ25" s="146"/>
      <c r="IGR25" s="146"/>
      <c r="IGS25" s="146"/>
      <c r="IGT25" s="146"/>
      <c r="IGU25" s="146"/>
      <c r="IGV25" s="146"/>
      <c r="IGW25" s="146"/>
      <c r="IGX25" s="146"/>
      <c r="IGY25" s="146"/>
      <c r="IGZ25" s="146"/>
      <c r="IHA25" s="146"/>
      <c r="IHB25" s="146"/>
      <c r="IHC25" s="146"/>
      <c r="IHD25" s="146"/>
      <c r="IHE25" s="146"/>
      <c r="IHF25" s="146"/>
      <c r="IHG25" s="146"/>
      <c r="IHH25" s="146"/>
      <c r="IHI25" s="146"/>
      <c r="IHJ25" s="146"/>
      <c r="IHK25" s="146"/>
      <c r="IHL25" s="146"/>
      <c r="IHM25" s="146"/>
      <c r="IHN25" s="146"/>
      <c r="IHO25" s="146"/>
      <c r="IHP25" s="146"/>
      <c r="IHQ25" s="146"/>
      <c r="IHR25" s="146"/>
      <c r="IHS25" s="146"/>
      <c r="IHT25" s="146"/>
      <c r="IHU25" s="146"/>
      <c r="IHV25" s="146"/>
      <c r="IHW25" s="146"/>
      <c r="IHX25" s="146"/>
      <c r="IHY25" s="146"/>
      <c r="IHZ25" s="146"/>
      <c r="IIA25" s="146"/>
      <c r="IIB25" s="146"/>
      <c r="IIC25" s="146"/>
      <c r="IID25" s="146"/>
      <c r="IIE25" s="146"/>
      <c r="IIF25" s="146"/>
      <c r="IIG25" s="146"/>
      <c r="IIH25" s="146"/>
      <c r="III25" s="146"/>
      <c r="IIJ25" s="146"/>
      <c r="IIK25" s="146"/>
      <c r="IIL25" s="146"/>
      <c r="IIM25" s="146"/>
      <c r="IIN25" s="146"/>
      <c r="IIO25" s="146"/>
      <c r="IIP25" s="146"/>
      <c r="IIQ25" s="146"/>
      <c r="IIR25" s="146"/>
      <c r="IIS25" s="146"/>
      <c r="IIT25" s="146"/>
      <c r="IIU25" s="146"/>
      <c r="IIV25" s="146"/>
      <c r="IIW25" s="146"/>
      <c r="IIX25" s="146"/>
      <c r="IIY25" s="146"/>
      <c r="IIZ25" s="146"/>
      <c r="IJA25" s="146"/>
      <c r="IJB25" s="146"/>
      <c r="IJC25" s="146"/>
      <c r="IJD25" s="146"/>
      <c r="IJE25" s="146"/>
      <c r="IJF25" s="146"/>
      <c r="IJG25" s="146"/>
      <c r="IJH25" s="146"/>
      <c r="IJI25" s="146"/>
      <c r="IJJ25" s="146"/>
      <c r="IJK25" s="146"/>
      <c r="IJL25" s="146"/>
      <c r="IJM25" s="146"/>
      <c r="IJN25" s="146"/>
      <c r="IJO25" s="146"/>
      <c r="IJP25" s="146"/>
      <c r="IJQ25" s="146"/>
      <c r="IJR25" s="146"/>
      <c r="IJS25" s="146"/>
      <c r="IJT25" s="146"/>
      <c r="IJU25" s="146"/>
      <c r="IJV25" s="146"/>
      <c r="IJW25" s="146"/>
      <c r="IJX25" s="146"/>
      <c r="IJY25" s="146"/>
      <c r="IJZ25" s="146"/>
      <c r="IKA25" s="146"/>
      <c r="IKB25" s="146"/>
      <c r="IKC25" s="146"/>
      <c r="IKD25" s="146"/>
      <c r="IKE25" s="146"/>
      <c r="IKF25" s="146"/>
      <c r="IKG25" s="146"/>
      <c r="IKH25" s="146"/>
      <c r="IKI25" s="146"/>
      <c r="IKJ25" s="146"/>
      <c r="IKK25" s="146"/>
      <c r="IKL25" s="146"/>
      <c r="IKM25" s="146"/>
      <c r="IKN25" s="146"/>
      <c r="IKO25" s="146"/>
      <c r="IKP25" s="146"/>
      <c r="IKQ25" s="146"/>
      <c r="IKR25" s="146"/>
      <c r="IKS25" s="146"/>
      <c r="IKT25" s="146"/>
      <c r="IKU25" s="146"/>
      <c r="IKV25" s="146"/>
      <c r="IKW25" s="146"/>
      <c r="IKX25" s="146"/>
      <c r="IKY25" s="146"/>
      <c r="IKZ25" s="146"/>
      <c r="ILA25" s="146"/>
      <c r="ILB25" s="146"/>
      <c r="ILC25" s="146"/>
      <c r="ILD25" s="146"/>
      <c r="ILE25" s="146"/>
      <c r="ILF25" s="146"/>
      <c r="ILG25" s="146"/>
      <c r="ILH25" s="146"/>
      <c r="ILI25" s="146"/>
      <c r="ILJ25" s="146"/>
      <c r="ILK25" s="146"/>
      <c r="ILL25" s="146"/>
      <c r="ILM25" s="146"/>
      <c r="ILN25" s="146"/>
      <c r="ILO25" s="146"/>
      <c r="ILP25" s="146"/>
      <c r="ILQ25" s="146"/>
      <c r="ILR25" s="146"/>
      <c r="ILS25" s="146"/>
      <c r="ILT25" s="146"/>
      <c r="ILU25" s="146"/>
      <c r="ILV25" s="146"/>
      <c r="ILW25" s="146"/>
      <c r="ILX25" s="146"/>
      <c r="ILY25" s="146"/>
      <c r="ILZ25" s="146"/>
      <c r="IMA25" s="146"/>
      <c r="IMB25" s="146"/>
      <c r="IMC25" s="146"/>
      <c r="IMD25" s="146"/>
      <c r="IME25" s="146"/>
      <c r="IMF25" s="146"/>
      <c r="IMG25" s="146"/>
      <c r="IMH25" s="146"/>
      <c r="IMI25" s="146"/>
      <c r="IMJ25" s="146"/>
      <c r="IMK25" s="146"/>
      <c r="IML25" s="146"/>
      <c r="IMM25" s="146"/>
      <c r="IMN25" s="146"/>
      <c r="IMO25" s="146"/>
      <c r="IMP25" s="146"/>
      <c r="IMQ25" s="146"/>
      <c r="IMR25" s="146"/>
      <c r="IMS25" s="146"/>
      <c r="IMT25" s="146"/>
      <c r="IMU25" s="146"/>
      <c r="IMV25" s="146"/>
      <c r="IMW25" s="146"/>
      <c r="IMX25" s="146"/>
      <c r="IMY25" s="146"/>
      <c r="IMZ25" s="146"/>
      <c r="INA25" s="146"/>
      <c r="INB25" s="146"/>
      <c r="INC25" s="146"/>
      <c r="IND25" s="146"/>
      <c r="INE25" s="146"/>
      <c r="INF25" s="146"/>
      <c r="ING25" s="146"/>
      <c r="INH25" s="146"/>
      <c r="INI25" s="146"/>
      <c r="INJ25" s="146"/>
      <c r="INK25" s="146"/>
      <c r="INL25" s="146"/>
      <c r="INM25" s="146"/>
      <c r="INN25" s="146"/>
      <c r="INO25" s="146"/>
      <c r="INP25" s="146"/>
      <c r="INQ25" s="146"/>
      <c r="INR25" s="146"/>
      <c r="INS25" s="146"/>
      <c r="INT25" s="146"/>
      <c r="INU25" s="146"/>
      <c r="INV25" s="146"/>
      <c r="INW25" s="146"/>
      <c r="INX25" s="146"/>
      <c r="INY25" s="146"/>
      <c r="INZ25" s="146"/>
      <c r="IOA25" s="146"/>
      <c r="IOB25" s="146"/>
      <c r="IOC25" s="146"/>
      <c r="IOD25" s="146"/>
      <c r="IOE25" s="146"/>
      <c r="IOF25" s="146"/>
      <c r="IOG25" s="146"/>
      <c r="IOH25" s="146"/>
      <c r="IOI25" s="146"/>
      <c r="IOJ25" s="146"/>
      <c r="IOK25" s="146"/>
      <c r="IOL25" s="146"/>
      <c r="IOM25" s="146"/>
      <c r="ION25" s="146"/>
      <c r="IOO25" s="146"/>
      <c r="IOP25" s="146"/>
      <c r="IOQ25" s="146"/>
      <c r="IOR25" s="146"/>
      <c r="IOS25" s="146"/>
      <c r="IOT25" s="146"/>
      <c r="IOU25" s="146"/>
      <c r="IOV25" s="146"/>
      <c r="IOW25" s="146"/>
      <c r="IOX25" s="146"/>
      <c r="IOY25" s="146"/>
      <c r="IOZ25" s="146"/>
      <c r="IPA25" s="146"/>
      <c r="IPB25" s="146"/>
      <c r="IPC25" s="146"/>
      <c r="IPD25" s="146"/>
      <c r="IPE25" s="146"/>
      <c r="IPF25" s="146"/>
      <c r="IPG25" s="146"/>
      <c r="IPH25" s="146"/>
      <c r="IPI25" s="146"/>
      <c r="IPJ25" s="146"/>
      <c r="IPK25" s="146"/>
      <c r="IPL25" s="146"/>
      <c r="IPM25" s="146"/>
      <c r="IPN25" s="146"/>
      <c r="IPO25" s="146"/>
      <c r="IPP25" s="146"/>
      <c r="IPQ25" s="146"/>
      <c r="IPR25" s="146"/>
      <c r="IPS25" s="146"/>
      <c r="IPT25" s="146"/>
      <c r="IPU25" s="146"/>
      <c r="IPV25" s="146"/>
      <c r="IPW25" s="146"/>
      <c r="IPX25" s="146"/>
      <c r="IPY25" s="146"/>
      <c r="IPZ25" s="146"/>
      <c r="IQA25" s="146"/>
      <c r="IQB25" s="146"/>
      <c r="IQC25" s="146"/>
      <c r="IQD25" s="146"/>
      <c r="IQE25" s="146"/>
      <c r="IQF25" s="146"/>
      <c r="IQG25" s="146"/>
      <c r="IQH25" s="146"/>
      <c r="IQI25" s="146"/>
      <c r="IQJ25" s="146"/>
      <c r="IQK25" s="146"/>
      <c r="IQL25" s="146"/>
      <c r="IQM25" s="146"/>
      <c r="IQN25" s="146"/>
      <c r="IQO25" s="146"/>
      <c r="IQP25" s="146"/>
      <c r="IQQ25" s="146"/>
      <c r="IQR25" s="146"/>
      <c r="IQS25" s="146"/>
      <c r="IQT25" s="146"/>
      <c r="IQU25" s="146"/>
      <c r="IQV25" s="146"/>
      <c r="IQW25" s="146"/>
      <c r="IQX25" s="146"/>
      <c r="IQY25" s="146"/>
      <c r="IQZ25" s="146"/>
      <c r="IRA25" s="146"/>
      <c r="IRB25" s="146"/>
      <c r="IRC25" s="146"/>
      <c r="IRD25" s="146"/>
      <c r="IRE25" s="146"/>
      <c r="IRF25" s="146"/>
      <c r="IRG25" s="146"/>
      <c r="IRH25" s="146"/>
      <c r="IRI25" s="146"/>
      <c r="IRJ25" s="146"/>
      <c r="IRK25" s="146"/>
      <c r="IRL25" s="146"/>
      <c r="IRM25" s="146"/>
      <c r="IRN25" s="146"/>
      <c r="IRO25" s="146"/>
      <c r="IRP25" s="146"/>
      <c r="IRQ25" s="146"/>
      <c r="IRR25" s="146"/>
      <c r="IRS25" s="146"/>
      <c r="IRT25" s="146"/>
      <c r="IRU25" s="146"/>
      <c r="IRV25" s="146"/>
      <c r="IRW25" s="146"/>
      <c r="IRX25" s="146"/>
      <c r="IRY25" s="146"/>
      <c r="IRZ25" s="146"/>
      <c r="ISA25" s="146"/>
      <c r="ISB25" s="146"/>
      <c r="ISC25" s="146"/>
      <c r="ISD25" s="146"/>
      <c r="ISE25" s="146"/>
      <c r="ISF25" s="146"/>
      <c r="ISG25" s="146"/>
      <c r="ISH25" s="146"/>
      <c r="ISI25" s="146"/>
      <c r="ISJ25" s="146"/>
      <c r="ISK25" s="146"/>
      <c r="ISL25" s="146"/>
      <c r="ISM25" s="146"/>
      <c r="ISN25" s="146"/>
      <c r="ISO25" s="146"/>
      <c r="ISP25" s="146"/>
      <c r="ISQ25" s="146"/>
      <c r="ISR25" s="146"/>
      <c r="ISS25" s="146"/>
      <c r="IST25" s="146"/>
      <c r="ISU25" s="146"/>
      <c r="ISV25" s="146"/>
      <c r="ISW25" s="146"/>
      <c r="ISX25" s="146"/>
      <c r="ISY25" s="146"/>
      <c r="ISZ25" s="146"/>
      <c r="ITA25" s="146"/>
      <c r="ITB25" s="146"/>
      <c r="ITC25" s="146"/>
      <c r="ITD25" s="146"/>
      <c r="ITE25" s="146"/>
      <c r="ITF25" s="146"/>
      <c r="ITG25" s="146"/>
      <c r="ITH25" s="146"/>
      <c r="ITI25" s="146"/>
      <c r="ITJ25" s="146"/>
      <c r="ITK25" s="146"/>
      <c r="ITL25" s="146"/>
      <c r="ITM25" s="146"/>
      <c r="ITN25" s="146"/>
      <c r="ITO25" s="146"/>
      <c r="ITP25" s="146"/>
      <c r="ITQ25" s="146"/>
      <c r="ITR25" s="146"/>
      <c r="ITS25" s="146"/>
      <c r="ITT25" s="146"/>
      <c r="ITU25" s="146"/>
      <c r="ITV25" s="146"/>
      <c r="ITW25" s="146"/>
      <c r="ITX25" s="146"/>
      <c r="ITY25" s="146"/>
      <c r="ITZ25" s="146"/>
      <c r="IUA25" s="146"/>
      <c r="IUB25" s="146"/>
      <c r="IUC25" s="146"/>
      <c r="IUD25" s="146"/>
      <c r="IUE25" s="146"/>
      <c r="IUF25" s="146"/>
      <c r="IUG25" s="146"/>
      <c r="IUH25" s="146"/>
      <c r="IUI25" s="146"/>
      <c r="IUJ25" s="146"/>
      <c r="IUK25" s="146"/>
      <c r="IUL25" s="146"/>
      <c r="IUM25" s="146"/>
      <c r="IUN25" s="146"/>
      <c r="IUO25" s="146"/>
      <c r="IUP25" s="146"/>
      <c r="IUQ25" s="146"/>
      <c r="IUR25" s="146"/>
      <c r="IUS25" s="146"/>
      <c r="IUT25" s="146"/>
      <c r="IUU25" s="146"/>
      <c r="IUV25" s="146"/>
      <c r="IUW25" s="146"/>
      <c r="IUX25" s="146"/>
      <c r="IUY25" s="146"/>
      <c r="IUZ25" s="146"/>
      <c r="IVA25" s="146"/>
      <c r="IVB25" s="146"/>
      <c r="IVC25" s="146"/>
      <c r="IVD25" s="146"/>
      <c r="IVE25" s="146"/>
      <c r="IVF25" s="146"/>
      <c r="IVG25" s="146"/>
      <c r="IVH25" s="146"/>
      <c r="IVI25" s="146"/>
      <c r="IVJ25" s="146"/>
      <c r="IVK25" s="146"/>
      <c r="IVL25" s="146"/>
      <c r="IVM25" s="146"/>
      <c r="IVN25" s="146"/>
      <c r="IVO25" s="146"/>
      <c r="IVP25" s="146"/>
      <c r="IVQ25" s="146"/>
      <c r="IVR25" s="146"/>
      <c r="IVS25" s="146"/>
      <c r="IVT25" s="146"/>
      <c r="IVU25" s="146"/>
      <c r="IVV25" s="146"/>
      <c r="IVW25" s="146"/>
      <c r="IVX25" s="146"/>
      <c r="IVY25" s="146"/>
      <c r="IVZ25" s="146"/>
      <c r="IWA25" s="146"/>
      <c r="IWB25" s="146"/>
      <c r="IWC25" s="146"/>
      <c r="IWD25" s="146"/>
      <c r="IWE25" s="146"/>
      <c r="IWF25" s="146"/>
      <c r="IWG25" s="146"/>
      <c r="IWH25" s="146"/>
      <c r="IWI25" s="146"/>
      <c r="IWJ25" s="146"/>
      <c r="IWK25" s="146"/>
      <c r="IWL25" s="146"/>
      <c r="IWM25" s="146"/>
      <c r="IWN25" s="146"/>
      <c r="IWO25" s="146"/>
      <c r="IWP25" s="146"/>
      <c r="IWQ25" s="146"/>
      <c r="IWR25" s="146"/>
      <c r="IWS25" s="146"/>
      <c r="IWT25" s="146"/>
      <c r="IWU25" s="146"/>
      <c r="IWV25" s="146"/>
      <c r="IWW25" s="146"/>
      <c r="IWX25" s="146"/>
      <c r="IWY25" s="146"/>
      <c r="IWZ25" s="146"/>
      <c r="IXA25" s="146"/>
      <c r="IXB25" s="146"/>
      <c r="IXC25" s="146"/>
      <c r="IXD25" s="146"/>
      <c r="IXE25" s="146"/>
      <c r="IXF25" s="146"/>
      <c r="IXG25" s="146"/>
      <c r="IXH25" s="146"/>
      <c r="IXI25" s="146"/>
      <c r="IXJ25" s="146"/>
      <c r="IXK25" s="146"/>
      <c r="IXL25" s="146"/>
      <c r="IXM25" s="146"/>
      <c r="IXN25" s="146"/>
      <c r="IXO25" s="146"/>
      <c r="IXP25" s="146"/>
      <c r="IXQ25" s="146"/>
      <c r="IXR25" s="146"/>
      <c r="IXS25" s="146"/>
      <c r="IXT25" s="146"/>
      <c r="IXU25" s="146"/>
      <c r="IXV25" s="146"/>
      <c r="IXW25" s="146"/>
      <c r="IXX25" s="146"/>
      <c r="IXY25" s="146"/>
      <c r="IXZ25" s="146"/>
      <c r="IYA25" s="146"/>
      <c r="IYB25" s="146"/>
      <c r="IYC25" s="146"/>
      <c r="IYD25" s="146"/>
      <c r="IYE25" s="146"/>
      <c r="IYF25" s="146"/>
      <c r="IYG25" s="146"/>
      <c r="IYH25" s="146"/>
      <c r="IYI25" s="146"/>
      <c r="IYJ25" s="146"/>
      <c r="IYK25" s="146"/>
      <c r="IYL25" s="146"/>
      <c r="IYM25" s="146"/>
      <c r="IYN25" s="146"/>
      <c r="IYO25" s="146"/>
      <c r="IYP25" s="146"/>
      <c r="IYQ25" s="146"/>
      <c r="IYR25" s="146"/>
      <c r="IYS25" s="146"/>
      <c r="IYT25" s="146"/>
      <c r="IYU25" s="146"/>
      <c r="IYV25" s="146"/>
      <c r="IYW25" s="146"/>
      <c r="IYX25" s="146"/>
      <c r="IYY25" s="146"/>
      <c r="IYZ25" s="146"/>
      <c r="IZA25" s="146"/>
      <c r="IZB25" s="146"/>
      <c r="IZC25" s="146"/>
      <c r="IZD25" s="146"/>
      <c r="IZE25" s="146"/>
      <c r="IZF25" s="146"/>
      <c r="IZG25" s="146"/>
      <c r="IZH25" s="146"/>
      <c r="IZI25" s="146"/>
      <c r="IZJ25" s="146"/>
      <c r="IZK25" s="146"/>
      <c r="IZL25" s="146"/>
      <c r="IZM25" s="146"/>
      <c r="IZN25" s="146"/>
      <c r="IZO25" s="146"/>
      <c r="IZP25" s="146"/>
      <c r="IZQ25" s="146"/>
      <c r="IZR25" s="146"/>
      <c r="IZS25" s="146"/>
      <c r="IZT25" s="146"/>
      <c r="IZU25" s="146"/>
      <c r="IZV25" s="146"/>
      <c r="IZW25" s="146"/>
      <c r="IZX25" s="146"/>
      <c r="IZY25" s="146"/>
      <c r="IZZ25" s="146"/>
      <c r="JAA25" s="146"/>
      <c r="JAB25" s="146"/>
      <c r="JAC25" s="146"/>
      <c r="JAD25" s="146"/>
      <c r="JAE25" s="146"/>
      <c r="JAF25" s="146"/>
      <c r="JAG25" s="146"/>
      <c r="JAH25" s="146"/>
      <c r="JAI25" s="146"/>
      <c r="JAJ25" s="146"/>
      <c r="JAK25" s="146"/>
      <c r="JAL25" s="146"/>
      <c r="JAM25" s="146"/>
      <c r="JAN25" s="146"/>
      <c r="JAO25" s="146"/>
      <c r="JAP25" s="146"/>
      <c r="JAQ25" s="146"/>
      <c r="JAR25" s="146"/>
      <c r="JAS25" s="146"/>
      <c r="JAT25" s="146"/>
      <c r="JAU25" s="146"/>
      <c r="JAV25" s="146"/>
      <c r="JAW25" s="146"/>
      <c r="JAX25" s="146"/>
      <c r="JAY25" s="146"/>
      <c r="JAZ25" s="146"/>
      <c r="JBA25" s="146"/>
      <c r="JBB25" s="146"/>
      <c r="JBC25" s="146"/>
      <c r="JBD25" s="146"/>
      <c r="JBE25" s="146"/>
      <c r="JBF25" s="146"/>
      <c r="JBG25" s="146"/>
      <c r="JBH25" s="146"/>
      <c r="JBI25" s="146"/>
      <c r="JBJ25" s="146"/>
      <c r="JBK25" s="146"/>
      <c r="JBL25" s="146"/>
      <c r="JBM25" s="146"/>
      <c r="JBN25" s="146"/>
      <c r="JBO25" s="146"/>
      <c r="JBP25" s="146"/>
      <c r="JBQ25" s="146"/>
      <c r="JBR25" s="146"/>
      <c r="JBS25" s="146"/>
      <c r="JBT25" s="146"/>
      <c r="JBU25" s="146"/>
      <c r="JBV25" s="146"/>
      <c r="JBW25" s="146"/>
      <c r="JBX25" s="146"/>
      <c r="JBY25" s="146"/>
      <c r="JBZ25" s="146"/>
      <c r="JCA25" s="146"/>
      <c r="JCB25" s="146"/>
      <c r="JCC25" s="146"/>
      <c r="JCD25" s="146"/>
      <c r="JCE25" s="146"/>
      <c r="JCF25" s="146"/>
      <c r="JCG25" s="146"/>
      <c r="JCH25" s="146"/>
      <c r="JCI25" s="146"/>
      <c r="JCJ25" s="146"/>
      <c r="JCK25" s="146"/>
      <c r="JCL25" s="146"/>
      <c r="JCM25" s="146"/>
      <c r="JCN25" s="146"/>
      <c r="JCO25" s="146"/>
      <c r="JCP25" s="146"/>
      <c r="JCQ25" s="146"/>
      <c r="JCR25" s="146"/>
      <c r="JCS25" s="146"/>
      <c r="JCT25" s="146"/>
      <c r="JCU25" s="146"/>
      <c r="JCV25" s="146"/>
      <c r="JCW25" s="146"/>
      <c r="JCX25" s="146"/>
      <c r="JCY25" s="146"/>
      <c r="JCZ25" s="146"/>
      <c r="JDA25" s="146"/>
      <c r="JDB25" s="146"/>
      <c r="JDC25" s="146"/>
      <c r="JDD25" s="146"/>
      <c r="JDE25" s="146"/>
      <c r="JDF25" s="146"/>
      <c r="JDG25" s="146"/>
      <c r="JDH25" s="146"/>
      <c r="JDI25" s="146"/>
      <c r="JDJ25" s="146"/>
      <c r="JDK25" s="146"/>
      <c r="JDL25" s="146"/>
      <c r="JDM25" s="146"/>
      <c r="JDN25" s="146"/>
      <c r="JDO25" s="146"/>
      <c r="JDP25" s="146"/>
      <c r="JDQ25" s="146"/>
      <c r="JDR25" s="146"/>
      <c r="JDS25" s="146"/>
      <c r="JDT25" s="146"/>
      <c r="JDU25" s="146"/>
      <c r="JDV25" s="146"/>
      <c r="JDW25" s="146"/>
      <c r="JDX25" s="146"/>
      <c r="JDY25" s="146"/>
      <c r="JDZ25" s="146"/>
      <c r="JEA25" s="146"/>
      <c r="JEB25" s="146"/>
      <c r="JEC25" s="146"/>
      <c r="JED25" s="146"/>
      <c r="JEE25" s="146"/>
      <c r="JEF25" s="146"/>
      <c r="JEG25" s="146"/>
      <c r="JEH25" s="146"/>
      <c r="JEI25" s="146"/>
      <c r="JEJ25" s="146"/>
      <c r="JEK25" s="146"/>
      <c r="JEL25" s="146"/>
      <c r="JEM25" s="146"/>
      <c r="JEN25" s="146"/>
      <c r="JEO25" s="146"/>
      <c r="JEP25" s="146"/>
      <c r="JEQ25" s="146"/>
      <c r="JER25" s="146"/>
      <c r="JES25" s="146"/>
      <c r="JET25" s="146"/>
      <c r="JEU25" s="146"/>
      <c r="JEV25" s="146"/>
      <c r="JEW25" s="146"/>
      <c r="JEX25" s="146"/>
      <c r="JEY25" s="146"/>
      <c r="JEZ25" s="146"/>
      <c r="JFA25" s="146"/>
      <c r="JFB25" s="146"/>
      <c r="JFC25" s="146"/>
      <c r="JFD25" s="146"/>
      <c r="JFE25" s="146"/>
      <c r="JFF25" s="146"/>
      <c r="JFG25" s="146"/>
      <c r="JFH25" s="146"/>
      <c r="JFI25" s="146"/>
      <c r="JFJ25" s="146"/>
      <c r="JFK25" s="146"/>
      <c r="JFL25" s="146"/>
      <c r="JFM25" s="146"/>
      <c r="JFN25" s="146"/>
      <c r="JFO25" s="146"/>
      <c r="JFP25" s="146"/>
      <c r="JFQ25" s="146"/>
      <c r="JFR25" s="146"/>
      <c r="JFS25" s="146"/>
      <c r="JFT25" s="146"/>
      <c r="JFU25" s="146"/>
      <c r="JFV25" s="146"/>
      <c r="JFW25" s="146"/>
      <c r="JFX25" s="146"/>
      <c r="JFY25" s="146"/>
      <c r="JFZ25" s="146"/>
      <c r="JGA25" s="146"/>
      <c r="JGB25" s="146"/>
      <c r="JGC25" s="146"/>
      <c r="JGD25" s="146"/>
      <c r="JGE25" s="146"/>
      <c r="JGF25" s="146"/>
      <c r="JGG25" s="146"/>
      <c r="JGH25" s="146"/>
      <c r="JGI25" s="146"/>
      <c r="JGJ25" s="146"/>
      <c r="JGK25" s="146"/>
      <c r="JGL25" s="146"/>
      <c r="JGM25" s="146"/>
      <c r="JGN25" s="146"/>
      <c r="JGO25" s="146"/>
      <c r="JGP25" s="146"/>
      <c r="JGQ25" s="146"/>
      <c r="JGR25" s="146"/>
      <c r="JGS25" s="146"/>
      <c r="JGT25" s="146"/>
      <c r="JGU25" s="146"/>
      <c r="JGV25" s="146"/>
      <c r="JGW25" s="146"/>
      <c r="JGX25" s="146"/>
      <c r="JGY25" s="146"/>
      <c r="JGZ25" s="146"/>
      <c r="JHA25" s="146"/>
      <c r="JHB25" s="146"/>
      <c r="JHC25" s="146"/>
      <c r="JHD25" s="146"/>
      <c r="JHE25" s="146"/>
      <c r="JHF25" s="146"/>
      <c r="JHG25" s="146"/>
      <c r="JHH25" s="146"/>
      <c r="JHI25" s="146"/>
      <c r="JHJ25" s="146"/>
      <c r="JHK25" s="146"/>
      <c r="JHL25" s="146"/>
      <c r="JHM25" s="146"/>
      <c r="JHN25" s="146"/>
      <c r="JHO25" s="146"/>
      <c r="JHP25" s="146"/>
      <c r="JHQ25" s="146"/>
      <c r="JHR25" s="146"/>
      <c r="JHS25" s="146"/>
      <c r="JHT25" s="146"/>
      <c r="JHU25" s="146"/>
      <c r="JHV25" s="146"/>
      <c r="JHW25" s="146"/>
      <c r="JHX25" s="146"/>
      <c r="JHY25" s="146"/>
      <c r="JHZ25" s="146"/>
      <c r="JIA25" s="146"/>
      <c r="JIB25" s="146"/>
      <c r="JIC25" s="146"/>
      <c r="JID25" s="146"/>
      <c r="JIE25" s="146"/>
      <c r="JIF25" s="146"/>
      <c r="JIG25" s="146"/>
      <c r="JIH25" s="146"/>
      <c r="JII25" s="146"/>
      <c r="JIJ25" s="146"/>
      <c r="JIK25" s="146"/>
      <c r="JIL25" s="146"/>
      <c r="JIM25" s="146"/>
      <c r="JIN25" s="146"/>
      <c r="JIO25" s="146"/>
      <c r="JIP25" s="146"/>
      <c r="JIQ25" s="146"/>
      <c r="JIR25" s="146"/>
      <c r="JIS25" s="146"/>
      <c r="JIT25" s="146"/>
      <c r="JIU25" s="146"/>
      <c r="JIV25" s="146"/>
      <c r="JIW25" s="146"/>
      <c r="JIX25" s="146"/>
      <c r="JIY25" s="146"/>
      <c r="JIZ25" s="146"/>
      <c r="JJA25" s="146"/>
      <c r="JJB25" s="146"/>
      <c r="JJC25" s="146"/>
      <c r="JJD25" s="146"/>
      <c r="JJE25" s="146"/>
      <c r="JJF25" s="146"/>
      <c r="JJG25" s="146"/>
      <c r="JJH25" s="146"/>
      <c r="JJI25" s="146"/>
      <c r="JJJ25" s="146"/>
      <c r="JJK25" s="146"/>
      <c r="JJL25" s="146"/>
      <c r="JJM25" s="146"/>
      <c r="JJN25" s="146"/>
      <c r="JJO25" s="146"/>
      <c r="JJP25" s="146"/>
      <c r="JJQ25" s="146"/>
      <c r="JJR25" s="146"/>
      <c r="JJS25" s="146"/>
      <c r="JJT25" s="146"/>
      <c r="JJU25" s="146"/>
      <c r="JJV25" s="146"/>
      <c r="JJW25" s="146"/>
      <c r="JJX25" s="146"/>
      <c r="JJY25" s="146"/>
      <c r="JJZ25" s="146"/>
      <c r="JKA25" s="146"/>
      <c r="JKB25" s="146"/>
      <c r="JKC25" s="146"/>
      <c r="JKD25" s="146"/>
      <c r="JKE25" s="146"/>
      <c r="JKF25" s="146"/>
      <c r="JKG25" s="146"/>
      <c r="JKH25" s="146"/>
      <c r="JKI25" s="146"/>
      <c r="JKJ25" s="146"/>
      <c r="JKK25" s="146"/>
      <c r="JKL25" s="146"/>
      <c r="JKM25" s="146"/>
      <c r="JKN25" s="146"/>
      <c r="JKO25" s="146"/>
      <c r="JKP25" s="146"/>
      <c r="JKQ25" s="146"/>
      <c r="JKR25" s="146"/>
      <c r="JKS25" s="146"/>
      <c r="JKT25" s="146"/>
      <c r="JKU25" s="146"/>
      <c r="JKV25" s="146"/>
      <c r="JKW25" s="146"/>
      <c r="JKX25" s="146"/>
      <c r="JKY25" s="146"/>
      <c r="JKZ25" s="146"/>
      <c r="JLA25" s="146"/>
      <c r="JLB25" s="146"/>
      <c r="JLC25" s="146"/>
      <c r="JLD25" s="146"/>
      <c r="JLE25" s="146"/>
      <c r="JLF25" s="146"/>
      <c r="JLG25" s="146"/>
      <c r="JLH25" s="146"/>
      <c r="JLI25" s="146"/>
      <c r="JLJ25" s="146"/>
      <c r="JLK25" s="146"/>
      <c r="JLL25" s="146"/>
      <c r="JLM25" s="146"/>
      <c r="JLN25" s="146"/>
      <c r="JLO25" s="146"/>
      <c r="JLP25" s="146"/>
      <c r="JLQ25" s="146"/>
      <c r="JLR25" s="146"/>
      <c r="JLS25" s="146"/>
      <c r="JLT25" s="146"/>
      <c r="JLU25" s="146"/>
      <c r="JLV25" s="146"/>
      <c r="JLW25" s="146"/>
      <c r="JLX25" s="146"/>
      <c r="JLY25" s="146"/>
      <c r="JLZ25" s="146"/>
      <c r="JMA25" s="146"/>
      <c r="JMB25" s="146"/>
      <c r="JMC25" s="146"/>
      <c r="JMD25" s="146"/>
      <c r="JME25" s="146"/>
      <c r="JMF25" s="146"/>
      <c r="JMG25" s="146"/>
      <c r="JMH25" s="146"/>
      <c r="JMI25" s="146"/>
      <c r="JMJ25" s="146"/>
      <c r="JMK25" s="146"/>
      <c r="JML25" s="146"/>
      <c r="JMM25" s="146"/>
      <c r="JMN25" s="146"/>
      <c r="JMO25" s="146"/>
      <c r="JMP25" s="146"/>
      <c r="JMQ25" s="146"/>
      <c r="JMR25" s="146"/>
      <c r="JMS25" s="146"/>
      <c r="JMT25" s="146"/>
      <c r="JMU25" s="146"/>
      <c r="JMV25" s="146"/>
      <c r="JMW25" s="146"/>
      <c r="JMX25" s="146"/>
      <c r="JMY25" s="146"/>
      <c r="JMZ25" s="146"/>
      <c r="JNA25" s="146"/>
      <c r="JNB25" s="146"/>
      <c r="JNC25" s="146"/>
      <c r="JND25" s="146"/>
      <c r="JNE25" s="146"/>
      <c r="JNF25" s="146"/>
      <c r="JNG25" s="146"/>
      <c r="JNH25" s="146"/>
      <c r="JNI25" s="146"/>
      <c r="JNJ25" s="146"/>
      <c r="JNK25" s="146"/>
      <c r="JNL25" s="146"/>
      <c r="JNM25" s="146"/>
      <c r="JNN25" s="146"/>
      <c r="JNO25" s="146"/>
      <c r="JNP25" s="146"/>
      <c r="JNQ25" s="146"/>
      <c r="JNR25" s="146"/>
      <c r="JNS25" s="146"/>
      <c r="JNT25" s="146"/>
      <c r="JNU25" s="146"/>
      <c r="JNV25" s="146"/>
      <c r="JNW25" s="146"/>
      <c r="JNX25" s="146"/>
      <c r="JNY25" s="146"/>
      <c r="JNZ25" s="146"/>
      <c r="JOA25" s="146"/>
      <c r="JOB25" s="146"/>
      <c r="JOC25" s="146"/>
      <c r="JOD25" s="146"/>
      <c r="JOE25" s="146"/>
      <c r="JOF25" s="146"/>
      <c r="JOG25" s="146"/>
      <c r="JOH25" s="146"/>
      <c r="JOI25" s="146"/>
      <c r="JOJ25" s="146"/>
      <c r="JOK25" s="146"/>
      <c r="JOL25" s="146"/>
      <c r="JOM25" s="146"/>
      <c r="JON25" s="146"/>
      <c r="JOO25" s="146"/>
      <c r="JOP25" s="146"/>
      <c r="JOQ25" s="146"/>
      <c r="JOR25" s="146"/>
      <c r="JOS25" s="146"/>
      <c r="JOT25" s="146"/>
      <c r="JOU25" s="146"/>
      <c r="JOV25" s="146"/>
      <c r="JOW25" s="146"/>
      <c r="JOX25" s="146"/>
      <c r="JOY25" s="146"/>
      <c r="JOZ25" s="146"/>
      <c r="JPA25" s="146"/>
      <c r="JPB25" s="146"/>
      <c r="JPC25" s="146"/>
      <c r="JPD25" s="146"/>
      <c r="JPE25" s="146"/>
      <c r="JPF25" s="146"/>
      <c r="JPG25" s="146"/>
      <c r="JPH25" s="146"/>
      <c r="JPI25" s="146"/>
      <c r="JPJ25" s="146"/>
      <c r="JPK25" s="146"/>
      <c r="JPL25" s="146"/>
      <c r="JPM25" s="146"/>
      <c r="JPN25" s="146"/>
      <c r="JPO25" s="146"/>
      <c r="JPP25" s="146"/>
      <c r="JPQ25" s="146"/>
      <c r="JPR25" s="146"/>
      <c r="JPS25" s="146"/>
      <c r="JPT25" s="146"/>
      <c r="JPU25" s="146"/>
      <c r="JPV25" s="146"/>
      <c r="JPW25" s="146"/>
      <c r="JPX25" s="146"/>
      <c r="JPY25" s="146"/>
      <c r="JPZ25" s="146"/>
      <c r="JQA25" s="146"/>
      <c r="JQB25" s="146"/>
      <c r="JQC25" s="146"/>
      <c r="JQD25" s="146"/>
      <c r="JQE25" s="146"/>
      <c r="JQF25" s="146"/>
      <c r="JQG25" s="146"/>
      <c r="JQH25" s="146"/>
      <c r="JQI25" s="146"/>
      <c r="JQJ25" s="146"/>
      <c r="JQK25" s="146"/>
      <c r="JQL25" s="146"/>
      <c r="JQM25" s="146"/>
      <c r="JQN25" s="146"/>
      <c r="JQO25" s="146"/>
      <c r="JQP25" s="146"/>
      <c r="JQQ25" s="146"/>
      <c r="JQR25" s="146"/>
      <c r="JQS25" s="146"/>
      <c r="JQT25" s="146"/>
      <c r="JQU25" s="146"/>
      <c r="JQV25" s="146"/>
      <c r="JQW25" s="146"/>
      <c r="JQX25" s="146"/>
      <c r="JQY25" s="146"/>
      <c r="JQZ25" s="146"/>
      <c r="JRA25" s="146"/>
      <c r="JRB25" s="146"/>
      <c r="JRC25" s="146"/>
      <c r="JRD25" s="146"/>
      <c r="JRE25" s="146"/>
      <c r="JRF25" s="146"/>
      <c r="JRG25" s="146"/>
      <c r="JRH25" s="146"/>
      <c r="JRI25" s="146"/>
      <c r="JRJ25" s="146"/>
      <c r="JRK25" s="146"/>
      <c r="JRL25" s="146"/>
      <c r="JRM25" s="146"/>
      <c r="JRN25" s="146"/>
      <c r="JRO25" s="146"/>
      <c r="JRP25" s="146"/>
      <c r="JRQ25" s="146"/>
      <c r="JRR25" s="146"/>
      <c r="JRS25" s="146"/>
      <c r="JRT25" s="146"/>
      <c r="JRU25" s="146"/>
      <c r="JRV25" s="146"/>
      <c r="JRW25" s="146"/>
      <c r="JRX25" s="146"/>
      <c r="JRY25" s="146"/>
      <c r="JRZ25" s="146"/>
      <c r="JSA25" s="146"/>
      <c r="JSB25" s="146"/>
      <c r="JSC25" s="146"/>
      <c r="JSD25" s="146"/>
      <c r="JSE25" s="146"/>
      <c r="JSF25" s="146"/>
      <c r="JSG25" s="146"/>
      <c r="JSH25" s="146"/>
      <c r="JSI25" s="146"/>
      <c r="JSJ25" s="146"/>
      <c r="JSK25" s="146"/>
      <c r="JSL25" s="146"/>
      <c r="JSM25" s="146"/>
      <c r="JSN25" s="146"/>
      <c r="JSO25" s="146"/>
      <c r="JSP25" s="146"/>
      <c r="JSQ25" s="146"/>
      <c r="JSR25" s="146"/>
      <c r="JSS25" s="146"/>
      <c r="JST25" s="146"/>
      <c r="JSU25" s="146"/>
      <c r="JSV25" s="146"/>
      <c r="JSW25" s="146"/>
      <c r="JSX25" s="146"/>
      <c r="JSY25" s="146"/>
      <c r="JSZ25" s="146"/>
      <c r="JTA25" s="146"/>
      <c r="JTB25" s="146"/>
      <c r="JTC25" s="146"/>
      <c r="JTD25" s="146"/>
      <c r="JTE25" s="146"/>
      <c r="JTF25" s="146"/>
      <c r="JTG25" s="146"/>
      <c r="JTH25" s="146"/>
      <c r="JTI25" s="146"/>
      <c r="JTJ25" s="146"/>
      <c r="JTK25" s="146"/>
      <c r="JTL25" s="146"/>
      <c r="JTM25" s="146"/>
      <c r="JTN25" s="146"/>
      <c r="JTO25" s="146"/>
      <c r="JTP25" s="146"/>
      <c r="JTQ25" s="146"/>
      <c r="JTR25" s="146"/>
      <c r="JTS25" s="146"/>
      <c r="JTT25" s="146"/>
      <c r="JTU25" s="146"/>
      <c r="JTV25" s="146"/>
      <c r="JTW25" s="146"/>
      <c r="JTX25" s="146"/>
      <c r="JTY25" s="146"/>
      <c r="JTZ25" s="146"/>
      <c r="JUA25" s="146"/>
      <c r="JUB25" s="146"/>
      <c r="JUC25" s="146"/>
      <c r="JUD25" s="146"/>
      <c r="JUE25" s="146"/>
      <c r="JUF25" s="146"/>
      <c r="JUG25" s="146"/>
      <c r="JUH25" s="146"/>
      <c r="JUI25" s="146"/>
      <c r="JUJ25" s="146"/>
      <c r="JUK25" s="146"/>
      <c r="JUL25" s="146"/>
      <c r="JUM25" s="146"/>
      <c r="JUN25" s="146"/>
      <c r="JUO25" s="146"/>
      <c r="JUP25" s="146"/>
      <c r="JUQ25" s="146"/>
      <c r="JUR25" s="146"/>
      <c r="JUS25" s="146"/>
      <c r="JUT25" s="146"/>
      <c r="JUU25" s="146"/>
      <c r="JUV25" s="146"/>
      <c r="JUW25" s="146"/>
      <c r="JUX25" s="146"/>
      <c r="JUY25" s="146"/>
      <c r="JUZ25" s="146"/>
      <c r="JVA25" s="146"/>
      <c r="JVB25" s="146"/>
      <c r="JVC25" s="146"/>
      <c r="JVD25" s="146"/>
      <c r="JVE25" s="146"/>
      <c r="JVF25" s="146"/>
      <c r="JVG25" s="146"/>
      <c r="JVH25" s="146"/>
      <c r="JVI25" s="146"/>
      <c r="JVJ25" s="146"/>
      <c r="JVK25" s="146"/>
      <c r="JVL25" s="146"/>
      <c r="JVM25" s="146"/>
      <c r="JVN25" s="146"/>
      <c r="JVO25" s="146"/>
      <c r="JVP25" s="146"/>
      <c r="JVQ25" s="146"/>
      <c r="JVR25" s="146"/>
      <c r="JVS25" s="146"/>
      <c r="JVT25" s="146"/>
      <c r="JVU25" s="146"/>
      <c r="JVV25" s="146"/>
      <c r="JVW25" s="146"/>
      <c r="JVX25" s="146"/>
      <c r="JVY25" s="146"/>
      <c r="JVZ25" s="146"/>
      <c r="JWA25" s="146"/>
      <c r="JWB25" s="146"/>
      <c r="JWC25" s="146"/>
      <c r="JWD25" s="146"/>
      <c r="JWE25" s="146"/>
      <c r="JWF25" s="146"/>
      <c r="JWG25" s="146"/>
      <c r="JWH25" s="146"/>
      <c r="JWI25" s="146"/>
      <c r="JWJ25" s="146"/>
      <c r="JWK25" s="146"/>
      <c r="JWL25" s="146"/>
      <c r="JWM25" s="146"/>
      <c r="JWN25" s="146"/>
      <c r="JWO25" s="146"/>
      <c r="JWP25" s="146"/>
      <c r="JWQ25" s="146"/>
      <c r="JWR25" s="146"/>
      <c r="JWS25" s="146"/>
      <c r="JWT25" s="146"/>
      <c r="JWU25" s="146"/>
      <c r="JWV25" s="146"/>
      <c r="JWW25" s="146"/>
      <c r="JWX25" s="146"/>
      <c r="JWY25" s="146"/>
      <c r="JWZ25" s="146"/>
      <c r="JXA25" s="146"/>
      <c r="JXB25" s="146"/>
      <c r="JXC25" s="146"/>
      <c r="JXD25" s="146"/>
      <c r="JXE25" s="146"/>
      <c r="JXF25" s="146"/>
      <c r="JXG25" s="146"/>
      <c r="JXH25" s="146"/>
      <c r="JXI25" s="146"/>
      <c r="JXJ25" s="146"/>
      <c r="JXK25" s="146"/>
      <c r="JXL25" s="146"/>
      <c r="JXM25" s="146"/>
      <c r="JXN25" s="146"/>
      <c r="JXO25" s="146"/>
      <c r="JXP25" s="146"/>
      <c r="JXQ25" s="146"/>
      <c r="JXR25" s="146"/>
      <c r="JXS25" s="146"/>
      <c r="JXT25" s="146"/>
      <c r="JXU25" s="146"/>
      <c r="JXV25" s="146"/>
      <c r="JXW25" s="146"/>
      <c r="JXX25" s="146"/>
      <c r="JXY25" s="146"/>
      <c r="JXZ25" s="146"/>
      <c r="JYA25" s="146"/>
      <c r="JYB25" s="146"/>
      <c r="JYC25" s="146"/>
      <c r="JYD25" s="146"/>
      <c r="JYE25" s="146"/>
      <c r="JYF25" s="146"/>
      <c r="JYG25" s="146"/>
      <c r="JYH25" s="146"/>
      <c r="JYI25" s="146"/>
      <c r="JYJ25" s="146"/>
      <c r="JYK25" s="146"/>
      <c r="JYL25" s="146"/>
      <c r="JYM25" s="146"/>
      <c r="JYN25" s="146"/>
      <c r="JYO25" s="146"/>
      <c r="JYP25" s="146"/>
      <c r="JYQ25" s="146"/>
      <c r="JYR25" s="146"/>
      <c r="JYS25" s="146"/>
      <c r="JYT25" s="146"/>
      <c r="JYU25" s="146"/>
      <c r="JYV25" s="146"/>
      <c r="JYW25" s="146"/>
      <c r="JYX25" s="146"/>
      <c r="JYY25" s="146"/>
      <c r="JYZ25" s="146"/>
      <c r="JZA25" s="146"/>
      <c r="JZB25" s="146"/>
      <c r="JZC25" s="146"/>
      <c r="JZD25" s="146"/>
      <c r="JZE25" s="146"/>
      <c r="JZF25" s="146"/>
      <c r="JZG25" s="146"/>
      <c r="JZH25" s="146"/>
      <c r="JZI25" s="146"/>
      <c r="JZJ25" s="146"/>
      <c r="JZK25" s="146"/>
      <c r="JZL25" s="146"/>
      <c r="JZM25" s="146"/>
      <c r="JZN25" s="146"/>
      <c r="JZO25" s="146"/>
      <c r="JZP25" s="146"/>
      <c r="JZQ25" s="146"/>
      <c r="JZR25" s="146"/>
      <c r="JZS25" s="146"/>
      <c r="JZT25" s="146"/>
      <c r="JZU25" s="146"/>
      <c r="JZV25" s="146"/>
      <c r="JZW25" s="146"/>
      <c r="JZX25" s="146"/>
      <c r="JZY25" s="146"/>
      <c r="JZZ25" s="146"/>
      <c r="KAA25" s="146"/>
      <c r="KAB25" s="146"/>
      <c r="KAC25" s="146"/>
      <c r="KAD25" s="146"/>
      <c r="KAE25" s="146"/>
      <c r="KAF25" s="146"/>
      <c r="KAG25" s="146"/>
      <c r="KAH25" s="146"/>
      <c r="KAI25" s="146"/>
      <c r="KAJ25" s="146"/>
      <c r="KAK25" s="146"/>
      <c r="KAL25" s="146"/>
      <c r="KAM25" s="146"/>
      <c r="KAN25" s="146"/>
      <c r="KAO25" s="146"/>
      <c r="KAP25" s="146"/>
      <c r="KAQ25" s="146"/>
      <c r="KAR25" s="146"/>
      <c r="KAS25" s="146"/>
      <c r="KAT25" s="146"/>
      <c r="KAU25" s="146"/>
      <c r="KAV25" s="146"/>
      <c r="KAW25" s="146"/>
      <c r="KAX25" s="146"/>
      <c r="KAY25" s="146"/>
      <c r="KAZ25" s="146"/>
      <c r="KBA25" s="146"/>
      <c r="KBB25" s="146"/>
      <c r="KBC25" s="146"/>
      <c r="KBD25" s="146"/>
      <c r="KBE25" s="146"/>
      <c r="KBF25" s="146"/>
      <c r="KBG25" s="146"/>
      <c r="KBH25" s="146"/>
      <c r="KBI25" s="146"/>
      <c r="KBJ25" s="146"/>
      <c r="KBK25" s="146"/>
      <c r="KBL25" s="146"/>
      <c r="KBM25" s="146"/>
      <c r="KBN25" s="146"/>
      <c r="KBO25" s="146"/>
      <c r="KBP25" s="146"/>
      <c r="KBQ25" s="146"/>
      <c r="KBR25" s="146"/>
      <c r="KBS25" s="146"/>
      <c r="KBT25" s="146"/>
      <c r="KBU25" s="146"/>
      <c r="KBV25" s="146"/>
      <c r="KBW25" s="146"/>
      <c r="KBX25" s="146"/>
      <c r="KBY25" s="146"/>
      <c r="KBZ25" s="146"/>
      <c r="KCA25" s="146"/>
      <c r="KCB25" s="146"/>
      <c r="KCC25" s="146"/>
      <c r="KCD25" s="146"/>
      <c r="KCE25" s="146"/>
      <c r="KCF25" s="146"/>
      <c r="KCG25" s="146"/>
      <c r="KCH25" s="146"/>
      <c r="KCI25" s="146"/>
      <c r="KCJ25" s="146"/>
      <c r="KCK25" s="146"/>
      <c r="KCL25" s="146"/>
      <c r="KCM25" s="146"/>
      <c r="KCN25" s="146"/>
      <c r="KCO25" s="146"/>
      <c r="KCP25" s="146"/>
      <c r="KCQ25" s="146"/>
      <c r="KCR25" s="146"/>
      <c r="KCS25" s="146"/>
      <c r="KCT25" s="146"/>
      <c r="KCU25" s="146"/>
      <c r="KCV25" s="146"/>
      <c r="KCW25" s="146"/>
      <c r="KCX25" s="146"/>
      <c r="KCY25" s="146"/>
      <c r="KCZ25" s="146"/>
      <c r="KDA25" s="146"/>
      <c r="KDB25" s="146"/>
      <c r="KDC25" s="146"/>
      <c r="KDD25" s="146"/>
      <c r="KDE25" s="146"/>
      <c r="KDF25" s="146"/>
      <c r="KDG25" s="146"/>
      <c r="KDH25" s="146"/>
      <c r="KDI25" s="146"/>
      <c r="KDJ25" s="146"/>
      <c r="KDK25" s="146"/>
      <c r="KDL25" s="146"/>
      <c r="KDM25" s="146"/>
      <c r="KDN25" s="146"/>
      <c r="KDO25" s="146"/>
      <c r="KDP25" s="146"/>
      <c r="KDQ25" s="146"/>
      <c r="KDR25" s="146"/>
      <c r="KDS25" s="146"/>
      <c r="KDT25" s="146"/>
      <c r="KDU25" s="146"/>
      <c r="KDV25" s="146"/>
      <c r="KDW25" s="146"/>
      <c r="KDX25" s="146"/>
      <c r="KDY25" s="146"/>
      <c r="KDZ25" s="146"/>
      <c r="KEA25" s="146"/>
      <c r="KEB25" s="146"/>
      <c r="KEC25" s="146"/>
      <c r="KED25" s="146"/>
      <c r="KEE25" s="146"/>
      <c r="KEF25" s="146"/>
      <c r="KEG25" s="146"/>
      <c r="KEH25" s="146"/>
      <c r="KEI25" s="146"/>
      <c r="KEJ25" s="146"/>
      <c r="KEK25" s="146"/>
      <c r="KEL25" s="146"/>
      <c r="KEM25" s="146"/>
      <c r="KEN25" s="146"/>
      <c r="KEO25" s="146"/>
      <c r="KEP25" s="146"/>
      <c r="KEQ25" s="146"/>
      <c r="KER25" s="146"/>
      <c r="KES25" s="146"/>
      <c r="KET25" s="146"/>
      <c r="KEU25" s="146"/>
      <c r="KEV25" s="146"/>
      <c r="KEW25" s="146"/>
      <c r="KEX25" s="146"/>
      <c r="KEY25" s="146"/>
      <c r="KEZ25" s="146"/>
      <c r="KFA25" s="146"/>
      <c r="KFB25" s="146"/>
      <c r="KFC25" s="146"/>
      <c r="KFD25" s="146"/>
      <c r="KFE25" s="146"/>
      <c r="KFF25" s="146"/>
      <c r="KFG25" s="146"/>
      <c r="KFH25" s="146"/>
      <c r="KFI25" s="146"/>
      <c r="KFJ25" s="146"/>
      <c r="KFK25" s="146"/>
      <c r="KFL25" s="146"/>
      <c r="KFM25" s="146"/>
      <c r="KFN25" s="146"/>
      <c r="KFO25" s="146"/>
      <c r="KFP25" s="146"/>
      <c r="KFQ25" s="146"/>
      <c r="KFR25" s="146"/>
      <c r="KFS25" s="146"/>
      <c r="KFT25" s="146"/>
      <c r="KFU25" s="146"/>
      <c r="KFV25" s="146"/>
      <c r="KFW25" s="146"/>
      <c r="KFX25" s="146"/>
      <c r="KFY25" s="146"/>
      <c r="KFZ25" s="146"/>
      <c r="KGA25" s="146"/>
      <c r="KGB25" s="146"/>
      <c r="KGC25" s="146"/>
      <c r="KGD25" s="146"/>
      <c r="KGE25" s="146"/>
      <c r="KGF25" s="146"/>
      <c r="KGG25" s="146"/>
      <c r="KGH25" s="146"/>
      <c r="KGI25" s="146"/>
      <c r="KGJ25" s="146"/>
      <c r="KGK25" s="146"/>
      <c r="KGL25" s="146"/>
      <c r="KGM25" s="146"/>
      <c r="KGN25" s="146"/>
      <c r="KGO25" s="146"/>
      <c r="KGP25" s="146"/>
      <c r="KGQ25" s="146"/>
      <c r="KGR25" s="146"/>
      <c r="KGS25" s="146"/>
      <c r="KGT25" s="146"/>
      <c r="KGU25" s="146"/>
      <c r="KGV25" s="146"/>
      <c r="KGW25" s="146"/>
      <c r="KGX25" s="146"/>
      <c r="KGY25" s="146"/>
      <c r="KGZ25" s="146"/>
      <c r="KHA25" s="146"/>
      <c r="KHB25" s="146"/>
      <c r="KHC25" s="146"/>
      <c r="KHD25" s="146"/>
      <c r="KHE25" s="146"/>
      <c r="KHF25" s="146"/>
      <c r="KHG25" s="146"/>
      <c r="KHH25" s="146"/>
      <c r="KHI25" s="146"/>
      <c r="KHJ25" s="146"/>
      <c r="KHK25" s="146"/>
      <c r="KHL25" s="146"/>
      <c r="KHM25" s="146"/>
      <c r="KHN25" s="146"/>
      <c r="KHO25" s="146"/>
      <c r="KHP25" s="146"/>
      <c r="KHQ25" s="146"/>
      <c r="KHR25" s="146"/>
      <c r="KHS25" s="146"/>
      <c r="KHT25" s="146"/>
      <c r="KHU25" s="146"/>
      <c r="KHV25" s="146"/>
      <c r="KHW25" s="146"/>
      <c r="KHX25" s="146"/>
      <c r="KHY25" s="146"/>
      <c r="KHZ25" s="146"/>
      <c r="KIA25" s="146"/>
      <c r="KIB25" s="146"/>
      <c r="KIC25" s="146"/>
      <c r="KID25" s="146"/>
      <c r="KIE25" s="146"/>
      <c r="KIF25" s="146"/>
      <c r="KIG25" s="146"/>
      <c r="KIH25" s="146"/>
      <c r="KII25" s="146"/>
      <c r="KIJ25" s="146"/>
      <c r="KIK25" s="146"/>
      <c r="KIL25" s="146"/>
      <c r="KIM25" s="146"/>
      <c r="KIN25" s="146"/>
      <c r="KIO25" s="146"/>
      <c r="KIP25" s="146"/>
      <c r="KIQ25" s="146"/>
      <c r="KIR25" s="146"/>
      <c r="KIS25" s="146"/>
      <c r="KIT25" s="146"/>
      <c r="KIU25" s="146"/>
      <c r="KIV25" s="146"/>
      <c r="KIW25" s="146"/>
      <c r="KIX25" s="146"/>
      <c r="KIY25" s="146"/>
      <c r="KIZ25" s="146"/>
      <c r="KJA25" s="146"/>
      <c r="KJB25" s="146"/>
      <c r="KJC25" s="146"/>
      <c r="KJD25" s="146"/>
      <c r="KJE25" s="146"/>
      <c r="KJF25" s="146"/>
      <c r="KJG25" s="146"/>
      <c r="KJH25" s="146"/>
      <c r="KJI25" s="146"/>
      <c r="KJJ25" s="146"/>
      <c r="KJK25" s="146"/>
      <c r="KJL25" s="146"/>
      <c r="KJM25" s="146"/>
      <c r="KJN25" s="146"/>
      <c r="KJO25" s="146"/>
      <c r="KJP25" s="146"/>
      <c r="KJQ25" s="146"/>
      <c r="KJR25" s="146"/>
      <c r="KJS25" s="146"/>
      <c r="KJT25" s="146"/>
      <c r="KJU25" s="146"/>
      <c r="KJV25" s="146"/>
      <c r="KJW25" s="146"/>
      <c r="KJX25" s="146"/>
      <c r="KJY25" s="146"/>
      <c r="KJZ25" s="146"/>
      <c r="KKA25" s="146"/>
      <c r="KKB25" s="146"/>
      <c r="KKC25" s="146"/>
      <c r="KKD25" s="146"/>
      <c r="KKE25" s="146"/>
      <c r="KKF25" s="146"/>
      <c r="KKG25" s="146"/>
      <c r="KKH25" s="146"/>
      <c r="KKI25" s="146"/>
      <c r="KKJ25" s="146"/>
      <c r="KKK25" s="146"/>
      <c r="KKL25" s="146"/>
      <c r="KKM25" s="146"/>
      <c r="KKN25" s="146"/>
      <c r="KKO25" s="146"/>
      <c r="KKP25" s="146"/>
      <c r="KKQ25" s="146"/>
      <c r="KKR25" s="146"/>
      <c r="KKS25" s="146"/>
      <c r="KKT25" s="146"/>
      <c r="KKU25" s="146"/>
      <c r="KKV25" s="146"/>
      <c r="KKW25" s="146"/>
      <c r="KKX25" s="146"/>
      <c r="KKY25" s="146"/>
      <c r="KKZ25" s="146"/>
      <c r="KLA25" s="146"/>
      <c r="KLB25" s="146"/>
      <c r="KLC25" s="146"/>
      <c r="KLD25" s="146"/>
      <c r="KLE25" s="146"/>
      <c r="KLF25" s="146"/>
      <c r="KLG25" s="146"/>
      <c r="KLH25" s="146"/>
      <c r="KLI25" s="146"/>
      <c r="KLJ25" s="146"/>
      <c r="KLK25" s="146"/>
      <c r="KLL25" s="146"/>
      <c r="KLM25" s="146"/>
      <c r="KLN25" s="146"/>
      <c r="KLO25" s="146"/>
      <c r="KLP25" s="146"/>
      <c r="KLQ25" s="146"/>
      <c r="KLR25" s="146"/>
      <c r="KLS25" s="146"/>
      <c r="KLT25" s="146"/>
      <c r="KLU25" s="146"/>
      <c r="KLV25" s="146"/>
      <c r="KLW25" s="146"/>
      <c r="KLX25" s="146"/>
      <c r="KLY25" s="146"/>
      <c r="KLZ25" s="146"/>
      <c r="KMA25" s="146"/>
      <c r="KMB25" s="146"/>
      <c r="KMC25" s="146"/>
      <c r="KMD25" s="146"/>
      <c r="KME25" s="146"/>
      <c r="KMF25" s="146"/>
      <c r="KMG25" s="146"/>
      <c r="KMH25" s="146"/>
      <c r="KMI25" s="146"/>
      <c r="KMJ25" s="146"/>
      <c r="KMK25" s="146"/>
      <c r="KML25" s="146"/>
      <c r="KMM25" s="146"/>
      <c r="KMN25" s="146"/>
      <c r="KMO25" s="146"/>
      <c r="KMP25" s="146"/>
      <c r="KMQ25" s="146"/>
      <c r="KMR25" s="146"/>
      <c r="KMS25" s="146"/>
      <c r="KMT25" s="146"/>
      <c r="KMU25" s="146"/>
      <c r="KMV25" s="146"/>
      <c r="KMW25" s="146"/>
      <c r="KMX25" s="146"/>
      <c r="KMY25" s="146"/>
      <c r="KMZ25" s="146"/>
      <c r="KNA25" s="146"/>
      <c r="KNB25" s="146"/>
      <c r="KNC25" s="146"/>
      <c r="KND25" s="146"/>
      <c r="KNE25" s="146"/>
      <c r="KNF25" s="146"/>
      <c r="KNG25" s="146"/>
      <c r="KNH25" s="146"/>
      <c r="KNI25" s="146"/>
      <c r="KNJ25" s="146"/>
      <c r="KNK25" s="146"/>
      <c r="KNL25" s="146"/>
      <c r="KNM25" s="146"/>
      <c r="KNN25" s="146"/>
      <c r="KNO25" s="146"/>
      <c r="KNP25" s="146"/>
      <c r="KNQ25" s="146"/>
      <c r="KNR25" s="146"/>
      <c r="KNS25" s="146"/>
      <c r="KNT25" s="146"/>
      <c r="KNU25" s="146"/>
      <c r="KNV25" s="146"/>
      <c r="KNW25" s="146"/>
      <c r="KNX25" s="146"/>
      <c r="KNY25" s="146"/>
      <c r="KNZ25" s="146"/>
      <c r="KOA25" s="146"/>
      <c r="KOB25" s="146"/>
      <c r="KOC25" s="146"/>
      <c r="KOD25" s="146"/>
      <c r="KOE25" s="146"/>
      <c r="KOF25" s="146"/>
      <c r="KOG25" s="146"/>
      <c r="KOH25" s="146"/>
      <c r="KOI25" s="146"/>
      <c r="KOJ25" s="146"/>
      <c r="KOK25" s="146"/>
      <c r="KOL25" s="146"/>
      <c r="KOM25" s="146"/>
      <c r="KON25" s="146"/>
      <c r="KOO25" s="146"/>
      <c r="KOP25" s="146"/>
      <c r="KOQ25" s="146"/>
      <c r="KOR25" s="146"/>
      <c r="KOS25" s="146"/>
      <c r="KOT25" s="146"/>
      <c r="KOU25" s="146"/>
      <c r="KOV25" s="146"/>
      <c r="KOW25" s="146"/>
      <c r="KOX25" s="146"/>
      <c r="KOY25" s="146"/>
      <c r="KOZ25" s="146"/>
      <c r="KPA25" s="146"/>
      <c r="KPB25" s="146"/>
      <c r="KPC25" s="146"/>
      <c r="KPD25" s="146"/>
      <c r="KPE25" s="146"/>
      <c r="KPF25" s="146"/>
      <c r="KPG25" s="146"/>
      <c r="KPH25" s="146"/>
      <c r="KPI25" s="146"/>
      <c r="KPJ25" s="146"/>
      <c r="KPK25" s="146"/>
      <c r="KPL25" s="146"/>
      <c r="KPM25" s="146"/>
      <c r="KPN25" s="146"/>
      <c r="KPO25" s="146"/>
      <c r="KPP25" s="146"/>
      <c r="KPQ25" s="146"/>
      <c r="KPR25" s="146"/>
      <c r="KPS25" s="146"/>
      <c r="KPT25" s="146"/>
      <c r="KPU25" s="146"/>
      <c r="KPV25" s="146"/>
      <c r="KPW25" s="146"/>
      <c r="KPX25" s="146"/>
      <c r="KPY25" s="146"/>
      <c r="KPZ25" s="146"/>
      <c r="KQA25" s="146"/>
      <c r="KQB25" s="146"/>
      <c r="KQC25" s="146"/>
      <c r="KQD25" s="146"/>
      <c r="KQE25" s="146"/>
      <c r="KQF25" s="146"/>
      <c r="KQG25" s="146"/>
      <c r="KQH25" s="146"/>
      <c r="KQI25" s="146"/>
      <c r="KQJ25" s="146"/>
      <c r="KQK25" s="146"/>
      <c r="KQL25" s="146"/>
      <c r="KQM25" s="146"/>
      <c r="KQN25" s="146"/>
      <c r="KQO25" s="146"/>
      <c r="KQP25" s="146"/>
      <c r="KQQ25" s="146"/>
      <c r="KQR25" s="146"/>
      <c r="KQS25" s="146"/>
      <c r="KQT25" s="146"/>
      <c r="KQU25" s="146"/>
      <c r="KQV25" s="146"/>
      <c r="KQW25" s="146"/>
      <c r="KQX25" s="146"/>
      <c r="KQY25" s="146"/>
      <c r="KQZ25" s="146"/>
      <c r="KRA25" s="146"/>
      <c r="KRB25" s="146"/>
      <c r="KRC25" s="146"/>
      <c r="KRD25" s="146"/>
      <c r="KRE25" s="146"/>
      <c r="KRF25" s="146"/>
      <c r="KRG25" s="146"/>
      <c r="KRH25" s="146"/>
      <c r="KRI25" s="146"/>
      <c r="KRJ25" s="146"/>
      <c r="KRK25" s="146"/>
      <c r="KRL25" s="146"/>
      <c r="KRM25" s="146"/>
      <c r="KRN25" s="146"/>
      <c r="KRO25" s="146"/>
      <c r="KRP25" s="146"/>
      <c r="KRQ25" s="146"/>
      <c r="KRR25" s="146"/>
      <c r="KRS25" s="146"/>
      <c r="KRT25" s="146"/>
      <c r="KRU25" s="146"/>
      <c r="KRV25" s="146"/>
      <c r="KRW25" s="146"/>
      <c r="KRX25" s="146"/>
      <c r="KRY25" s="146"/>
      <c r="KRZ25" s="146"/>
      <c r="KSA25" s="146"/>
      <c r="KSB25" s="146"/>
      <c r="KSC25" s="146"/>
      <c r="KSD25" s="146"/>
      <c r="KSE25" s="146"/>
      <c r="KSF25" s="146"/>
      <c r="KSG25" s="146"/>
      <c r="KSH25" s="146"/>
      <c r="KSI25" s="146"/>
      <c r="KSJ25" s="146"/>
      <c r="KSK25" s="146"/>
      <c r="KSL25" s="146"/>
      <c r="KSM25" s="146"/>
      <c r="KSN25" s="146"/>
      <c r="KSO25" s="146"/>
      <c r="KSP25" s="146"/>
      <c r="KSQ25" s="146"/>
      <c r="KSR25" s="146"/>
      <c r="KSS25" s="146"/>
      <c r="KST25" s="146"/>
      <c r="KSU25" s="146"/>
      <c r="KSV25" s="146"/>
      <c r="KSW25" s="146"/>
      <c r="KSX25" s="146"/>
      <c r="KSY25" s="146"/>
      <c r="KSZ25" s="146"/>
      <c r="KTA25" s="146"/>
      <c r="KTB25" s="146"/>
      <c r="KTC25" s="146"/>
      <c r="KTD25" s="146"/>
      <c r="KTE25" s="146"/>
      <c r="KTF25" s="146"/>
      <c r="KTG25" s="146"/>
      <c r="KTH25" s="146"/>
      <c r="KTI25" s="146"/>
      <c r="KTJ25" s="146"/>
      <c r="KTK25" s="146"/>
      <c r="KTL25" s="146"/>
      <c r="KTM25" s="146"/>
      <c r="KTN25" s="146"/>
      <c r="KTO25" s="146"/>
      <c r="KTP25" s="146"/>
      <c r="KTQ25" s="146"/>
      <c r="KTR25" s="146"/>
      <c r="KTS25" s="146"/>
      <c r="KTT25" s="146"/>
      <c r="KTU25" s="146"/>
      <c r="KTV25" s="146"/>
      <c r="KTW25" s="146"/>
      <c r="KTX25" s="146"/>
      <c r="KTY25" s="146"/>
      <c r="KTZ25" s="146"/>
      <c r="KUA25" s="146"/>
      <c r="KUB25" s="146"/>
      <c r="KUC25" s="146"/>
      <c r="KUD25" s="146"/>
      <c r="KUE25" s="146"/>
      <c r="KUF25" s="146"/>
      <c r="KUG25" s="146"/>
      <c r="KUH25" s="146"/>
      <c r="KUI25" s="146"/>
      <c r="KUJ25" s="146"/>
      <c r="KUK25" s="146"/>
      <c r="KUL25" s="146"/>
      <c r="KUM25" s="146"/>
      <c r="KUN25" s="146"/>
      <c r="KUO25" s="146"/>
      <c r="KUP25" s="146"/>
      <c r="KUQ25" s="146"/>
      <c r="KUR25" s="146"/>
      <c r="KUS25" s="146"/>
      <c r="KUT25" s="146"/>
      <c r="KUU25" s="146"/>
      <c r="KUV25" s="146"/>
      <c r="KUW25" s="146"/>
      <c r="KUX25" s="146"/>
      <c r="KUY25" s="146"/>
      <c r="KUZ25" s="146"/>
      <c r="KVA25" s="146"/>
      <c r="KVB25" s="146"/>
      <c r="KVC25" s="146"/>
      <c r="KVD25" s="146"/>
      <c r="KVE25" s="146"/>
      <c r="KVF25" s="146"/>
      <c r="KVG25" s="146"/>
      <c r="KVH25" s="146"/>
      <c r="KVI25" s="146"/>
      <c r="KVJ25" s="146"/>
      <c r="KVK25" s="146"/>
      <c r="KVL25" s="146"/>
      <c r="KVM25" s="146"/>
      <c r="KVN25" s="146"/>
      <c r="KVO25" s="146"/>
      <c r="KVP25" s="146"/>
      <c r="KVQ25" s="146"/>
      <c r="KVR25" s="146"/>
      <c r="KVS25" s="146"/>
      <c r="KVT25" s="146"/>
      <c r="KVU25" s="146"/>
      <c r="KVV25" s="146"/>
      <c r="KVW25" s="146"/>
      <c r="KVX25" s="146"/>
      <c r="KVY25" s="146"/>
      <c r="KVZ25" s="146"/>
      <c r="KWA25" s="146"/>
      <c r="KWB25" s="146"/>
      <c r="KWC25" s="146"/>
      <c r="KWD25" s="146"/>
      <c r="KWE25" s="146"/>
      <c r="KWF25" s="146"/>
      <c r="KWG25" s="146"/>
      <c r="KWH25" s="146"/>
      <c r="KWI25" s="146"/>
      <c r="KWJ25" s="146"/>
      <c r="KWK25" s="146"/>
      <c r="KWL25" s="146"/>
      <c r="KWM25" s="146"/>
      <c r="KWN25" s="146"/>
      <c r="KWO25" s="146"/>
      <c r="KWP25" s="146"/>
      <c r="KWQ25" s="146"/>
      <c r="KWR25" s="146"/>
      <c r="KWS25" s="146"/>
      <c r="KWT25" s="146"/>
      <c r="KWU25" s="146"/>
      <c r="KWV25" s="146"/>
      <c r="KWW25" s="146"/>
      <c r="KWX25" s="146"/>
      <c r="KWY25" s="146"/>
      <c r="KWZ25" s="146"/>
      <c r="KXA25" s="146"/>
      <c r="KXB25" s="146"/>
      <c r="KXC25" s="146"/>
      <c r="KXD25" s="146"/>
      <c r="KXE25" s="146"/>
      <c r="KXF25" s="146"/>
      <c r="KXG25" s="146"/>
      <c r="KXH25" s="146"/>
      <c r="KXI25" s="146"/>
      <c r="KXJ25" s="146"/>
      <c r="KXK25" s="146"/>
      <c r="KXL25" s="146"/>
      <c r="KXM25" s="146"/>
      <c r="KXN25" s="146"/>
      <c r="KXO25" s="146"/>
      <c r="KXP25" s="146"/>
      <c r="KXQ25" s="146"/>
      <c r="KXR25" s="146"/>
      <c r="KXS25" s="146"/>
      <c r="KXT25" s="146"/>
      <c r="KXU25" s="146"/>
      <c r="KXV25" s="146"/>
      <c r="KXW25" s="146"/>
      <c r="KXX25" s="146"/>
      <c r="KXY25" s="146"/>
      <c r="KXZ25" s="146"/>
      <c r="KYA25" s="146"/>
      <c r="KYB25" s="146"/>
      <c r="KYC25" s="146"/>
      <c r="KYD25" s="146"/>
      <c r="KYE25" s="146"/>
      <c r="KYF25" s="146"/>
      <c r="KYG25" s="146"/>
      <c r="KYH25" s="146"/>
      <c r="KYI25" s="146"/>
      <c r="KYJ25" s="146"/>
      <c r="KYK25" s="146"/>
      <c r="KYL25" s="146"/>
      <c r="KYM25" s="146"/>
      <c r="KYN25" s="146"/>
      <c r="KYO25" s="146"/>
      <c r="KYP25" s="146"/>
      <c r="KYQ25" s="146"/>
      <c r="KYR25" s="146"/>
      <c r="KYS25" s="146"/>
      <c r="KYT25" s="146"/>
      <c r="KYU25" s="146"/>
      <c r="KYV25" s="146"/>
      <c r="KYW25" s="146"/>
      <c r="KYX25" s="146"/>
      <c r="KYY25" s="146"/>
      <c r="KYZ25" s="146"/>
      <c r="KZA25" s="146"/>
      <c r="KZB25" s="146"/>
      <c r="KZC25" s="146"/>
      <c r="KZD25" s="146"/>
      <c r="KZE25" s="146"/>
      <c r="KZF25" s="146"/>
      <c r="KZG25" s="146"/>
      <c r="KZH25" s="146"/>
      <c r="KZI25" s="146"/>
      <c r="KZJ25" s="146"/>
      <c r="KZK25" s="146"/>
      <c r="KZL25" s="146"/>
      <c r="KZM25" s="146"/>
      <c r="KZN25" s="146"/>
      <c r="KZO25" s="146"/>
      <c r="KZP25" s="146"/>
      <c r="KZQ25" s="146"/>
      <c r="KZR25" s="146"/>
      <c r="KZS25" s="146"/>
      <c r="KZT25" s="146"/>
      <c r="KZU25" s="146"/>
      <c r="KZV25" s="146"/>
      <c r="KZW25" s="146"/>
      <c r="KZX25" s="146"/>
      <c r="KZY25" s="146"/>
      <c r="KZZ25" s="146"/>
      <c r="LAA25" s="146"/>
      <c r="LAB25" s="146"/>
      <c r="LAC25" s="146"/>
      <c r="LAD25" s="146"/>
      <c r="LAE25" s="146"/>
      <c r="LAF25" s="146"/>
      <c r="LAG25" s="146"/>
      <c r="LAH25" s="146"/>
      <c r="LAI25" s="146"/>
      <c r="LAJ25" s="146"/>
      <c r="LAK25" s="146"/>
      <c r="LAL25" s="146"/>
      <c r="LAM25" s="146"/>
      <c r="LAN25" s="146"/>
      <c r="LAO25" s="146"/>
      <c r="LAP25" s="146"/>
      <c r="LAQ25" s="146"/>
      <c r="LAR25" s="146"/>
      <c r="LAS25" s="146"/>
      <c r="LAT25" s="146"/>
      <c r="LAU25" s="146"/>
      <c r="LAV25" s="146"/>
      <c r="LAW25" s="146"/>
      <c r="LAX25" s="146"/>
      <c r="LAY25" s="146"/>
      <c r="LAZ25" s="146"/>
      <c r="LBA25" s="146"/>
      <c r="LBB25" s="146"/>
      <c r="LBC25" s="146"/>
      <c r="LBD25" s="146"/>
      <c r="LBE25" s="146"/>
      <c r="LBF25" s="146"/>
      <c r="LBG25" s="146"/>
      <c r="LBH25" s="146"/>
      <c r="LBI25" s="146"/>
      <c r="LBJ25" s="146"/>
      <c r="LBK25" s="146"/>
      <c r="LBL25" s="146"/>
      <c r="LBM25" s="146"/>
      <c r="LBN25" s="146"/>
      <c r="LBO25" s="146"/>
      <c r="LBP25" s="146"/>
      <c r="LBQ25" s="146"/>
      <c r="LBR25" s="146"/>
      <c r="LBS25" s="146"/>
      <c r="LBT25" s="146"/>
      <c r="LBU25" s="146"/>
      <c r="LBV25" s="146"/>
      <c r="LBW25" s="146"/>
      <c r="LBX25" s="146"/>
      <c r="LBY25" s="146"/>
      <c r="LBZ25" s="146"/>
      <c r="LCA25" s="146"/>
      <c r="LCB25" s="146"/>
      <c r="LCC25" s="146"/>
      <c r="LCD25" s="146"/>
      <c r="LCE25" s="146"/>
      <c r="LCF25" s="146"/>
      <c r="LCG25" s="146"/>
      <c r="LCH25" s="146"/>
      <c r="LCI25" s="146"/>
      <c r="LCJ25" s="146"/>
      <c r="LCK25" s="146"/>
      <c r="LCL25" s="146"/>
      <c r="LCM25" s="146"/>
      <c r="LCN25" s="146"/>
      <c r="LCO25" s="146"/>
      <c r="LCP25" s="146"/>
      <c r="LCQ25" s="146"/>
      <c r="LCR25" s="146"/>
      <c r="LCS25" s="146"/>
      <c r="LCT25" s="146"/>
      <c r="LCU25" s="146"/>
      <c r="LCV25" s="146"/>
      <c r="LCW25" s="146"/>
      <c r="LCX25" s="146"/>
      <c r="LCY25" s="146"/>
      <c r="LCZ25" s="146"/>
      <c r="LDA25" s="146"/>
      <c r="LDB25" s="146"/>
      <c r="LDC25" s="146"/>
      <c r="LDD25" s="146"/>
      <c r="LDE25" s="146"/>
      <c r="LDF25" s="146"/>
      <c r="LDG25" s="146"/>
      <c r="LDH25" s="146"/>
      <c r="LDI25" s="146"/>
      <c r="LDJ25" s="146"/>
      <c r="LDK25" s="146"/>
      <c r="LDL25" s="146"/>
      <c r="LDM25" s="146"/>
      <c r="LDN25" s="146"/>
      <c r="LDO25" s="146"/>
      <c r="LDP25" s="146"/>
      <c r="LDQ25" s="146"/>
      <c r="LDR25" s="146"/>
      <c r="LDS25" s="146"/>
      <c r="LDT25" s="146"/>
      <c r="LDU25" s="146"/>
      <c r="LDV25" s="146"/>
      <c r="LDW25" s="146"/>
      <c r="LDX25" s="146"/>
      <c r="LDY25" s="146"/>
      <c r="LDZ25" s="146"/>
      <c r="LEA25" s="146"/>
      <c r="LEB25" s="146"/>
      <c r="LEC25" s="146"/>
      <c r="LED25" s="146"/>
      <c r="LEE25" s="146"/>
      <c r="LEF25" s="146"/>
      <c r="LEG25" s="146"/>
      <c r="LEH25" s="146"/>
      <c r="LEI25" s="146"/>
      <c r="LEJ25" s="146"/>
      <c r="LEK25" s="146"/>
      <c r="LEL25" s="146"/>
      <c r="LEM25" s="146"/>
      <c r="LEN25" s="146"/>
      <c r="LEO25" s="146"/>
      <c r="LEP25" s="146"/>
      <c r="LEQ25" s="146"/>
      <c r="LER25" s="146"/>
      <c r="LES25" s="146"/>
      <c r="LET25" s="146"/>
      <c r="LEU25" s="146"/>
      <c r="LEV25" s="146"/>
      <c r="LEW25" s="146"/>
      <c r="LEX25" s="146"/>
      <c r="LEY25" s="146"/>
      <c r="LEZ25" s="146"/>
      <c r="LFA25" s="146"/>
      <c r="LFB25" s="146"/>
      <c r="LFC25" s="146"/>
      <c r="LFD25" s="146"/>
      <c r="LFE25" s="146"/>
      <c r="LFF25" s="146"/>
      <c r="LFG25" s="146"/>
      <c r="LFH25" s="146"/>
      <c r="LFI25" s="146"/>
      <c r="LFJ25" s="146"/>
      <c r="LFK25" s="146"/>
      <c r="LFL25" s="146"/>
      <c r="LFM25" s="146"/>
      <c r="LFN25" s="146"/>
      <c r="LFO25" s="146"/>
      <c r="LFP25" s="146"/>
      <c r="LFQ25" s="146"/>
      <c r="LFR25" s="146"/>
      <c r="LFS25" s="146"/>
      <c r="LFT25" s="146"/>
      <c r="LFU25" s="146"/>
      <c r="LFV25" s="146"/>
      <c r="LFW25" s="146"/>
      <c r="LFX25" s="146"/>
      <c r="LFY25" s="146"/>
      <c r="LFZ25" s="146"/>
      <c r="LGA25" s="146"/>
      <c r="LGB25" s="146"/>
      <c r="LGC25" s="146"/>
      <c r="LGD25" s="146"/>
      <c r="LGE25" s="146"/>
      <c r="LGF25" s="146"/>
      <c r="LGG25" s="146"/>
      <c r="LGH25" s="146"/>
      <c r="LGI25" s="146"/>
      <c r="LGJ25" s="146"/>
      <c r="LGK25" s="146"/>
      <c r="LGL25" s="146"/>
      <c r="LGM25" s="146"/>
      <c r="LGN25" s="146"/>
      <c r="LGO25" s="146"/>
      <c r="LGP25" s="146"/>
      <c r="LGQ25" s="146"/>
      <c r="LGR25" s="146"/>
      <c r="LGS25" s="146"/>
      <c r="LGT25" s="146"/>
      <c r="LGU25" s="146"/>
      <c r="LGV25" s="146"/>
      <c r="LGW25" s="146"/>
      <c r="LGX25" s="146"/>
      <c r="LGY25" s="146"/>
      <c r="LGZ25" s="146"/>
      <c r="LHA25" s="146"/>
      <c r="LHB25" s="146"/>
      <c r="LHC25" s="146"/>
      <c r="LHD25" s="146"/>
      <c r="LHE25" s="146"/>
      <c r="LHF25" s="146"/>
      <c r="LHG25" s="146"/>
      <c r="LHH25" s="146"/>
      <c r="LHI25" s="146"/>
      <c r="LHJ25" s="146"/>
      <c r="LHK25" s="146"/>
      <c r="LHL25" s="146"/>
      <c r="LHM25" s="146"/>
      <c r="LHN25" s="146"/>
      <c r="LHO25" s="146"/>
      <c r="LHP25" s="146"/>
      <c r="LHQ25" s="146"/>
      <c r="LHR25" s="146"/>
      <c r="LHS25" s="146"/>
      <c r="LHT25" s="146"/>
      <c r="LHU25" s="146"/>
      <c r="LHV25" s="146"/>
      <c r="LHW25" s="146"/>
      <c r="LHX25" s="146"/>
      <c r="LHY25" s="146"/>
      <c r="LHZ25" s="146"/>
      <c r="LIA25" s="146"/>
      <c r="LIB25" s="146"/>
      <c r="LIC25" s="146"/>
      <c r="LID25" s="146"/>
      <c r="LIE25" s="146"/>
      <c r="LIF25" s="146"/>
      <c r="LIG25" s="146"/>
      <c r="LIH25" s="146"/>
      <c r="LII25" s="146"/>
      <c r="LIJ25" s="146"/>
      <c r="LIK25" s="146"/>
      <c r="LIL25" s="146"/>
      <c r="LIM25" s="146"/>
      <c r="LIN25" s="146"/>
      <c r="LIO25" s="146"/>
      <c r="LIP25" s="146"/>
      <c r="LIQ25" s="146"/>
      <c r="LIR25" s="146"/>
      <c r="LIS25" s="146"/>
      <c r="LIT25" s="146"/>
      <c r="LIU25" s="146"/>
      <c r="LIV25" s="146"/>
      <c r="LIW25" s="146"/>
      <c r="LIX25" s="146"/>
      <c r="LIY25" s="146"/>
      <c r="LIZ25" s="146"/>
      <c r="LJA25" s="146"/>
      <c r="LJB25" s="146"/>
      <c r="LJC25" s="146"/>
      <c r="LJD25" s="146"/>
      <c r="LJE25" s="146"/>
      <c r="LJF25" s="146"/>
      <c r="LJG25" s="146"/>
      <c r="LJH25" s="146"/>
      <c r="LJI25" s="146"/>
      <c r="LJJ25" s="146"/>
      <c r="LJK25" s="146"/>
      <c r="LJL25" s="146"/>
      <c r="LJM25" s="146"/>
      <c r="LJN25" s="146"/>
      <c r="LJO25" s="146"/>
      <c r="LJP25" s="146"/>
      <c r="LJQ25" s="146"/>
      <c r="LJR25" s="146"/>
      <c r="LJS25" s="146"/>
      <c r="LJT25" s="146"/>
      <c r="LJU25" s="146"/>
      <c r="LJV25" s="146"/>
      <c r="LJW25" s="146"/>
      <c r="LJX25" s="146"/>
      <c r="LJY25" s="146"/>
      <c r="LJZ25" s="146"/>
      <c r="LKA25" s="146"/>
      <c r="LKB25" s="146"/>
      <c r="LKC25" s="146"/>
      <c r="LKD25" s="146"/>
      <c r="LKE25" s="146"/>
      <c r="LKF25" s="146"/>
      <c r="LKG25" s="146"/>
      <c r="LKH25" s="146"/>
      <c r="LKI25" s="146"/>
      <c r="LKJ25" s="146"/>
      <c r="LKK25" s="146"/>
      <c r="LKL25" s="146"/>
      <c r="LKM25" s="146"/>
      <c r="LKN25" s="146"/>
      <c r="LKO25" s="146"/>
      <c r="LKP25" s="146"/>
      <c r="LKQ25" s="146"/>
      <c r="LKR25" s="146"/>
      <c r="LKS25" s="146"/>
      <c r="LKT25" s="146"/>
      <c r="LKU25" s="146"/>
      <c r="LKV25" s="146"/>
      <c r="LKW25" s="146"/>
      <c r="LKX25" s="146"/>
      <c r="LKY25" s="146"/>
      <c r="LKZ25" s="146"/>
      <c r="LLA25" s="146"/>
      <c r="LLB25" s="146"/>
      <c r="LLC25" s="146"/>
      <c r="LLD25" s="146"/>
      <c r="LLE25" s="146"/>
      <c r="LLF25" s="146"/>
      <c r="LLG25" s="146"/>
      <c r="LLH25" s="146"/>
      <c r="LLI25" s="146"/>
      <c r="LLJ25" s="146"/>
      <c r="LLK25" s="146"/>
      <c r="LLL25" s="146"/>
      <c r="LLM25" s="146"/>
      <c r="LLN25" s="146"/>
      <c r="LLO25" s="146"/>
      <c r="LLP25" s="146"/>
      <c r="LLQ25" s="146"/>
      <c r="LLR25" s="146"/>
      <c r="LLS25" s="146"/>
      <c r="LLT25" s="146"/>
      <c r="LLU25" s="146"/>
      <c r="LLV25" s="146"/>
      <c r="LLW25" s="146"/>
      <c r="LLX25" s="146"/>
      <c r="LLY25" s="146"/>
      <c r="LLZ25" s="146"/>
      <c r="LMA25" s="146"/>
      <c r="LMB25" s="146"/>
      <c r="LMC25" s="146"/>
      <c r="LMD25" s="146"/>
      <c r="LME25" s="146"/>
      <c r="LMF25" s="146"/>
      <c r="LMG25" s="146"/>
      <c r="LMH25" s="146"/>
      <c r="LMI25" s="146"/>
      <c r="LMJ25" s="146"/>
      <c r="LMK25" s="146"/>
      <c r="LML25" s="146"/>
      <c r="LMM25" s="146"/>
      <c r="LMN25" s="146"/>
      <c r="LMO25" s="146"/>
      <c r="LMP25" s="146"/>
      <c r="LMQ25" s="146"/>
      <c r="LMR25" s="146"/>
      <c r="LMS25" s="146"/>
      <c r="LMT25" s="146"/>
      <c r="LMU25" s="146"/>
      <c r="LMV25" s="146"/>
      <c r="LMW25" s="146"/>
      <c r="LMX25" s="146"/>
      <c r="LMY25" s="146"/>
      <c r="LMZ25" s="146"/>
      <c r="LNA25" s="146"/>
      <c r="LNB25" s="146"/>
      <c r="LNC25" s="146"/>
      <c r="LND25" s="146"/>
      <c r="LNE25" s="146"/>
      <c r="LNF25" s="146"/>
      <c r="LNG25" s="146"/>
      <c r="LNH25" s="146"/>
      <c r="LNI25" s="146"/>
      <c r="LNJ25" s="146"/>
      <c r="LNK25" s="146"/>
      <c r="LNL25" s="146"/>
      <c r="LNM25" s="146"/>
      <c r="LNN25" s="146"/>
      <c r="LNO25" s="146"/>
      <c r="LNP25" s="146"/>
      <c r="LNQ25" s="146"/>
      <c r="LNR25" s="146"/>
      <c r="LNS25" s="146"/>
      <c r="LNT25" s="146"/>
      <c r="LNU25" s="146"/>
      <c r="LNV25" s="146"/>
      <c r="LNW25" s="146"/>
      <c r="LNX25" s="146"/>
      <c r="LNY25" s="146"/>
      <c r="LNZ25" s="146"/>
      <c r="LOA25" s="146"/>
      <c r="LOB25" s="146"/>
      <c r="LOC25" s="146"/>
      <c r="LOD25" s="146"/>
      <c r="LOE25" s="146"/>
      <c r="LOF25" s="146"/>
      <c r="LOG25" s="146"/>
      <c r="LOH25" s="146"/>
      <c r="LOI25" s="146"/>
      <c r="LOJ25" s="146"/>
      <c r="LOK25" s="146"/>
      <c r="LOL25" s="146"/>
      <c r="LOM25" s="146"/>
      <c r="LON25" s="146"/>
      <c r="LOO25" s="146"/>
      <c r="LOP25" s="146"/>
      <c r="LOQ25" s="146"/>
      <c r="LOR25" s="146"/>
      <c r="LOS25" s="146"/>
      <c r="LOT25" s="146"/>
      <c r="LOU25" s="146"/>
      <c r="LOV25" s="146"/>
      <c r="LOW25" s="146"/>
      <c r="LOX25" s="146"/>
      <c r="LOY25" s="146"/>
      <c r="LOZ25" s="146"/>
      <c r="LPA25" s="146"/>
      <c r="LPB25" s="146"/>
      <c r="LPC25" s="146"/>
      <c r="LPD25" s="146"/>
      <c r="LPE25" s="146"/>
      <c r="LPF25" s="146"/>
      <c r="LPG25" s="146"/>
      <c r="LPH25" s="146"/>
      <c r="LPI25" s="146"/>
      <c r="LPJ25" s="146"/>
      <c r="LPK25" s="146"/>
      <c r="LPL25" s="146"/>
      <c r="LPM25" s="146"/>
      <c r="LPN25" s="146"/>
      <c r="LPO25" s="146"/>
      <c r="LPP25" s="146"/>
      <c r="LPQ25" s="146"/>
      <c r="LPR25" s="146"/>
      <c r="LPS25" s="146"/>
      <c r="LPT25" s="146"/>
      <c r="LPU25" s="146"/>
      <c r="LPV25" s="146"/>
      <c r="LPW25" s="146"/>
      <c r="LPX25" s="146"/>
      <c r="LPY25" s="146"/>
      <c r="LPZ25" s="146"/>
      <c r="LQA25" s="146"/>
      <c r="LQB25" s="146"/>
      <c r="LQC25" s="146"/>
      <c r="LQD25" s="146"/>
      <c r="LQE25" s="146"/>
      <c r="LQF25" s="146"/>
      <c r="LQG25" s="146"/>
      <c r="LQH25" s="146"/>
      <c r="LQI25" s="146"/>
      <c r="LQJ25" s="146"/>
      <c r="LQK25" s="146"/>
      <c r="LQL25" s="146"/>
      <c r="LQM25" s="146"/>
      <c r="LQN25" s="146"/>
      <c r="LQO25" s="146"/>
      <c r="LQP25" s="146"/>
      <c r="LQQ25" s="146"/>
      <c r="LQR25" s="146"/>
      <c r="LQS25" s="146"/>
      <c r="LQT25" s="146"/>
      <c r="LQU25" s="146"/>
      <c r="LQV25" s="146"/>
      <c r="LQW25" s="146"/>
      <c r="LQX25" s="146"/>
      <c r="LQY25" s="146"/>
      <c r="LQZ25" s="146"/>
      <c r="LRA25" s="146"/>
      <c r="LRB25" s="146"/>
      <c r="LRC25" s="146"/>
      <c r="LRD25" s="146"/>
      <c r="LRE25" s="146"/>
      <c r="LRF25" s="146"/>
      <c r="LRG25" s="146"/>
      <c r="LRH25" s="146"/>
      <c r="LRI25" s="146"/>
      <c r="LRJ25" s="146"/>
      <c r="LRK25" s="146"/>
      <c r="LRL25" s="146"/>
      <c r="LRM25" s="146"/>
      <c r="LRN25" s="146"/>
      <c r="LRO25" s="146"/>
      <c r="LRP25" s="146"/>
      <c r="LRQ25" s="146"/>
      <c r="LRR25" s="146"/>
      <c r="LRS25" s="146"/>
      <c r="LRT25" s="146"/>
      <c r="LRU25" s="146"/>
      <c r="LRV25" s="146"/>
      <c r="LRW25" s="146"/>
      <c r="LRX25" s="146"/>
      <c r="LRY25" s="146"/>
      <c r="LRZ25" s="146"/>
      <c r="LSA25" s="146"/>
      <c r="LSB25" s="146"/>
      <c r="LSC25" s="146"/>
      <c r="LSD25" s="146"/>
      <c r="LSE25" s="146"/>
      <c r="LSF25" s="146"/>
      <c r="LSG25" s="146"/>
      <c r="LSH25" s="146"/>
      <c r="LSI25" s="146"/>
      <c r="LSJ25" s="146"/>
      <c r="LSK25" s="146"/>
      <c r="LSL25" s="146"/>
      <c r="LSM25" s="146"/>
      <c r="LSN25" s="146"/>
      <c r="LSO25" s="146"/>
      <c r="LSP25" s="146"/>
      <c r="LSQ25" s="146"/>
      <c r="LSR25" s="146"/>
      <c r="LSS25" s="146"/>
      <c r="LST25" s="146"/>
      <c r="LSU25" s="146"/>
      <c r="LSV25" s="146"/>
      <c r="LSW25" s="146"/>
      <c r="LSX25" s="146"/>
      <c r="LSY25" s="146"/>
      <c r="LSZ25" s="146"/>
      <c r="LTA25" s="146"/>
      <c r="LTB25" s="146"/>
      <c r="LTC25" s="146"/>
      <c r="LTD25" s="146"/>
      <c r="LTE25" s="146"/>
      <c r="LTF25" s="146"/>
      <c r="LTG25" s="146"/>
      <c r="LTH25" s="146"/>
      <c r="LTI25" s="146"/>
      <c r="LTJ25" s="146"/>
      <c r="LTK25" s="146"/>
      <c r="LTL25" s="146"/>
      <c r="LTM25" s="146"/>
      <c r="LTN25" s="146"/>
      <c r="LTO25" s="146"/>
      <c r="LTP25" s="146"/>
      <c r="LTQ25" s="146"/>
      <c r="LTR25" s="146"/>
      <c r="LTS25" s="146"/>
      <c r="LTT25" s="146"/>
      <c r="LTU25" s="146"/>
      <c r="LTV25" s="146"/>
      <c r="LTW25" s="146"/>
      <c r="LTX25" s="146"/>
      <c r="LTY25" s="146"/>
      <c r="LTZ25" s="146"/>
      <c r="LUA25" s="146"/>
      <c r="LUB25" s="146"/>
      <c r="LUC25" s="146"/>
      <c r="LUD25" s="146"/>
      <c r="LUE25" s="146"/>
      <c r="LUF25" s="146"/>
      <c r="LUG25" s="146"/>
      <c r="LUH25" s="146"/>
      <c r="LUI25" s="146"/>
      <c r="LUJ25" s="146"/>
      <c r="LUK25" s="146"/>
      <c r="LUL25" s="146"/>
      <c r="LUM25" s="146"/>
      <c r="LUN25" s="146"/>
      <c r="LUO25" s="146"/>
      <c r="LUP25" s="146"/>
      <c r="LUQ25" s="146"/>
      <c r="LUR25" s="146"/>
      <c r="LUS25" s="146"/>
      <c r="LUT25" s="146"/>
      <c r="LUU25" s="146"/>
      <c r="LUV25" s="146"/>
      <c r="LUW25" s="146"/>
      <c r="LUX25" s="146"/>
      <c r="LUY25" s="146"/>
      <c r="LUZ25" s="146"/>
      <c r="LVA25" s="146"/>
      <c r="LVB25" s="146"/>
      <c r="LVC25" s="146"/>
      <c r="LVD25" s="146"/>
      <c r="LVE25" s="146"/>
      <c r="LVF25" s="146"/>
      <c r="LVG25" s="146"/>
      <c r="LVH25" s="146"/>
      <c r="LVI25" s="146"/>
      <c r="LVJ25" s="146"/>
      <c r="LVK25" s="146"/>
      <c r="LVL25" s="146"/>
      <c r="LVM25" s="146"/>
      <c r="LVN25" s="146"/>
      <c r="LVO25" s="146"/>
      <c r="LVP25" s="146"/>
      <c r="LVQ25" s="146"/>
      <c r="LVR25" s="146"/>
      <c r="LVS25" s="146"/>
      <c r="LVT25" s="146"/>
      <c r="LVU25" s="146"/>
      <c r="LVV25" s="146"/>
      <c r="LVW25" s="146"/>
      <c r="LVX25" s="146"/>
      <c r="LVY25" s="146"/>
      <c r="LVZ25" s="146"/>
      <c r="LWA25" s="146"/>
      <c r="LWB25" s="146"/>
      <c r="LWC25" s="146"/>
      <c r="LWD25" s="146"/>
      <c r="LWE25" s="146"/>
      <c r="LWF25" s="146"/>
      <c r="LWG25" s="146"/>
      <c r="LWH25" s="146"/>
      <c r="LWI25" s="146"/>
      <c r="LWJ25" s="146"/>
      <c r="LWK25" s="146"/>
      <c r="LWL25" s="146"/>
      <c r="LWM25" s="146"/>
      <c r="LWN25" s="146"/>
      <c r="LWO25" s="146"/>
      <c r="LWP25" s="146"/>
      <c r="LWQ25" s="146"/>
      <c r="LWR25" s="146"/>
      <c r="LWS25" s="146"/>
      <c r="LWT25" s="146"/>
      <c r="LWU25" s="146"/>
      <c r="LWV25" s="146"/>
      <c r="LWW25" s="146"/>
      <c r="LWX25" s="146"/>
      <c r="LWY25" s="146"/>
      <c r="LWZ25" s="146"/>
      <c r="LXA25" s="146"/>
      <c r="LXB25" s="146"/>
      <c r="LXC25" s="146"/>
      <c r="LXD25" s="146"/>
      <c r="LXE25" s="146"/>
      <c r="LXF25" s="146"/>
      <c r="LXG25" s="146"/>
      <c r="LXH25" s="146"/>
      <c r="LXI25" s="146"/>
      <c r="LXJ25" s="146"/>
      <c r="LXK25" s="146"/>
      <c r="LXL25" s="146"/>
      <c r="LXM25" s="146"/>
      <c r="LXN25" s="146"/>
      <c r="LXO25" s="146"/>
      <c r="LXP25" s="146"/>
      <c r="LXQ25" s="146"/>
      <c r="LXR25" s="146"/>
      <c r="LXS25" s="146"/>
      <c r="LXT25" s="146"/>
      <c r="LXU25" s="146"/>
      <c r="LXV25" s="146"/>
      <c r="LXW25" s="146"/>
      <c r="LXX25" s="146"/>
      <c r="LXY25" s="146"/>
      <c r="LXZ25" s="146"/>
      <c r="LYA25" s="146"/>
      <c r="LYB25" s="146"/>
      <c r="LYC25" s="146"/>
      <c r="LYD25" s="146"/>
      <c r="LYE25" s="146"/>
      <c r="LYF25" s="146"/>
      <c r="LYG25" s="146"/>
      <c r="LYH25" s="146"/>
      <c r="LYI25" s="146"/>
      <c r="LYJ25" s="146"/>
      <c r="LYK25" s="146"/>
      <c r="LYL25" s="146"/>
      <c r="LYM25" s="146"/>
      <c r="LYN25" s="146"/>
      <c r="LYO25" s="146"/>
      <c r="LYP25" s="146"/>
      <c r="LYQ25" s="146"/>
      <c r="LYR25" s="146"/>
      <c r="LYS25" s="146"/>
      <c r="LYT25" s="146"/>
      <c r="LYU25" s="146"/>
      <c r="LYV25" s="146"/>
      <c r="LYW25" s="146"/>
      <c r="LYX25" s="146"/>
      <c r="LYY25" s="146"/>
      <c r="LYZ25" s="146"/>
      <c r="LZA25" s="146"/>
      <c r="LZB25" s="146"/>
      <c r="LZC25" s="146"/>
      <c r="LZD25" s="146"/>
      <c r="LZE25" s="146"/>
      <c r="LZF25" s="146"/>
      <c r="LZG25" s="146"/>
      <c r="LZH25" s="146"/>
      <c r="LZI25" s="146"/>
      <c r="LZJ25" s="146"/>
      <c r="LZK25" s="146"/>
      <c r="LZL25" s="146"/>
      <c r="LZM25" s="146"/>
      <c r="LZN25" s="146"/>
      <c r="LZO25" s="146"/>
      <c r="LZP25" s="146"/>
      <c r="LZQ25" s="146"/>
      <c r="LZR25" s="146"/>
      <c r="LZS25" s="146"/>
      <c r="LZT25" s="146"/>
      <c r="LZU25" s="146"/>
      <c r="LZV25" s="146"/>
      <c r="LZW25" s="146"/>
      <c r="LZX25" s="146"/>
      <c r="LZY25" s="146"/>
      <c r="LZZ25" s="146"/>
      <c r="MAA25" s="146"/>
      <c r="MAB25" s="146"/>
      <c r="MAC25" s="146"/>
      <c r="MAD25" s="146"/>
      <c r="MAE25" s="146"/>
      <c r="MAF25" s="146"/>
      <c r="MAG25" s="146"/>
      <c r="MAH25" s="146"/>
      <c r="MAI25" s="146"/>
      <c r="MAJ25" s="146"/>
      <c r="MAK25" s="146"/>
      <c r="MAL25" s="146"/>
      <c r="MAM25" s="146"/>
      <c r="MAN25" s="146"/>
      <c r="MAO25" s="146"/>
      <c r="MAP25" s="146"/>
      <c r="MAQ25" s="146"/>
      <c r="MAR25" s="146"/>
      <c r="MAS25" s="146"/>
      <c r="MAT25" s="146"/>
      <c r="MAU25" s="146"/>
      <c r="MAV25" s="146"/>
      <c r="MAW25" s="146"/>
      <c r="MAX25" s="146"/>
      <c r="MAY25" s="146"/>
      <c r="MAZ25" s="146"/>
      <c r="MBA25" s="146"/>
      <c r="MBB25" s="146"/>
      <c r="MBC25" s="146"/>
      <c r="MBD25" s="146"/>
      <c r="MBE25" s="146"/>
      <c r="MBF25" s="146"/>
      <c r="MBG25" s="146"/>
      <c r="MBH25" s="146"/>
      <c r="MBI25" s="146"/>
      <c r="MBJ25" s="146"/>
      <c r="MBK25" s="146"/>
      <c r="MBL25" s="146"/>
      <c r="MBM25" s="146"/>
      <c r="MBN25" s="146"/>
      <c r="MBO25" s="146"/>
      <c r="MBP25" s="146"/>
      <c r="MBQ25" s="146"/>
      <c r="MBR25" s="146"/>
      <c r="MBS25" s="146"/>
      <c r="MBT25" s="146"/>
      <c r="MBU25" s="146"/>
      <c r="MBV25" s="146"/>
      <c r="MBW25" s="146"/>
      <c r="MBX25" s="146"/>
      <c r="MBY25" s="146"/>
      <c r="MBZ25" s="146"/>
      <c r="MCA25" s="146"/>
      <c r="MCB25" s="146"/>
      <c r="MCC25" s="146"/>
      <c r="MCD25" s="146"/>
      <c r="MCE25" s="146"/>
      <c r="MCF25" s="146"/>
      <c r="MCG25" s="146"/>
      <c r="MCH25" s="146"/>
      <c r="MCI25" s="146"/>
      <c r="MCJ25" s="146"/>
      <c r="MCK25" s="146"/>
      <c r="MCL25" s="146"/>
      <c r="MCM25" s="146"/>
      <c r="MCN25" s="146"/>
      <c r="MCO25" s="146"/>
      <c r="MCP25" s="146"/>
      <c r="MCQ25" s="146"/>
      <c r="MCR25" s="146"/>
      <c r="MCS25" s="146"/>
      <c r="MCT25" s="146"/>
      <c r="MCU25" s="146"/>
      <c r="MCV25" s="146"/>
      <c r="MCW25" s="146"/>
      <c r="MCX25" s="146"/>
      <c r="MCY25" s="146"/>
      <c r="MCZ25" s="146"/>
      <c r="MDA25" s="146"/>
      <c r="MDB25" s="146"/>
      <c r="MDC25" s="146"/>
      <c r="MDD25" s="146"/>
      <c r="MDE25" s="146"/>
      <c r="MDF25" s="146"/>
      <c r="MDG25" s="146"/>
      <c r="MDH25" s="146"/>
      <c r="MDI25" s="146"/>
      <c r="MDJ25" s="146"/>
      <c r="MDK25" s="146"/>
      <c r="MDL25" s="146"/>
      <c r="MDM25" s="146"/>
      <c r="MDN25" s="146"/>
      <c r="MDO25" s="146"/>
      <c r="MDP25" s="146"/>
      <c r="MDQ25" s="146"/>
      <c r="MDR25" s="146"/>
      <c r="MDS25" s="146"/>
      <c r="MDT25" s="146"/>
      <c r="MDU25" s="146"/>
      <c r="MDV25" s="146"/>
      <c r="MDW25" s="146"/>
      <c r="MDX25" s="146"/>
      <c r="MDY25" s="146"/>
      <c r="MDZ25" s="146"/>
      <c r="MEA25" s="146"/>
      <c r="MEB25" s="146"/>
      <c r="MEC25" s="146"/>
      <c r="MED25" s="146"/>
      <c r="MEE25" s="146"/>
      <c r="MEF25" s="146"/>
      <c r="MEG25" s="146"/>
      <c r="MEH25" s="146"/>
      <c r="MEI25" s="146"/>
      <c r="MEJ25" s="146"/>
      <c r="MEK25" s="146"/>
      <c r="MEL25" s="146"/>
      <c r="MEM25" s="146"/>
      <c r="MEN25" s="146"/>
      <c r="MEO25" s="146"/>
      <c r="MEP25" s="146"/>
      <c r="MEQ25" s="146"/>
      <c r="MER25" s="146"/>
      <c r="MES25" s="146"/>
      <c r="MET25" s="146"/>
      <c r="MEU25" s="146"/>
      <c r="MEV25" s="146"/>
      <c r="MEW25" s="146"/>
      <c r="MEX25" s="146"/>
      <c r="MEY25" s="146"/>
      <c r="MEZ25" s="146"/>
      <c r="MFA25" s="146"/>
      <c r="MFB25" s="146"/>
      <c r="MFC25" s="146"/>
      <c r="MFD25" s="146"/>
      <c r="MFE25" s="146"/>
      <c r="MFF25" s="146"/>
      <c r="MFG25" s="146"/>
      <c r="MFH25" s="146"/>
      <c r="MFI25" s="146"/>
      <c r="MFJ25" s="146"/>
      <c r="MFK25" s="146"/>
      <c r="MFL25" s="146"/>
      <c r="MFM25" s="146"/>
      <c r="MFN25" s="146"/>
      <c r="MFO25" s="146"/>
      <c r="MFP25" s="146"/>
      <c r="MFQ25" s="146"/>
      <c r="MFR25" s="146"/>
      <c r="MFS25" s="146"/>
      <c r="MFT25" s="146"/>
      <c r="MFU25" s="146"/>
      <c r="MFV25" s="146"/>
      <c r="MFW25" s="146"/>
      <c r="MFX25" s="146"/>
      <c r="MFY25" s="146"/>
      <c r="MFZ25" s="146"/>
      <c r="MGA25" s="146"/>
      <c r="MGB25" s="146"/>
      <c r="MGC25" s="146"/>
      <c r="MGD25" s="146"/>
      <c r="MGE25" s="146"/>
      <c r="MGF25" s="146"/>
      <c r="MGG25" s="146"/>
      <c r="MGH25" s="146"/>
      <c r="MGI25" s="146"/>
      <c r="MGJ25" s="146"/>
      <c r="MGK25" s="146"/>
      <c r="MGL25" s="146"/>
      <c r="MGM25" s="146"/>
      <c r="MGN25" s="146"/>
      <c r="MGO25" s="146"/>
      <c r="MGP25" s="146"/>
      <c r="MGQ25" s="146"/>
      <c r="MGR25" s="146"/>
      <c r="MGS25" s="146"/>
      <c r="MGT25" s="146"/>
      <c r="MGU25" s="146"/>
      <c r="MGV25" s="146"/>
      <c r="MGW25" s="146"/>
      <c r="MGX25" s="146"/>
      <c r="MGY25" s="146"/>
      <c r="MGZ25" s="146"/>
      <c r="MHA25" s="146"/>
      <c r="MHB25" s="146"/>
      <c r="MHC25" s="146"/>
      <c r="MHD25" s="146"/>
      <c r="MHE25" s="146"/>
      <c r="MHF25" s="146"/>
      <c r="MHG25" s="146"/>
      <c r="MHH25" s="146"/>
      <c r="MHI25" s="146"/>
      <c r="MHJ25" s="146"/>
      <c r="MHK25" s="146"/>
      <c r="MHL25" s="146"/>
      <c r="MHM25" s="146"/>
      <c r="MHN25" s="146"/>
      <c r="MHO25" s="146"/>
      <c r="MHP25" s="146"/>
      <c r="MHQ25" s="146"/>
      <c r="MHR25" s="146"/>
      <c r="MHS25" s="146"/>
      <c r="MHT25" s="146"/>
      <c r="MHU25" s="146"/>
      <c r="MHV25" s="146"/>
      <c r="MHW25" s="146"/>
      <c r="MHX25" s="146"/>
      <c r="MHY25" s="146"/>
      <c r="MHZ25" s="146"/>
      <c r="MIA25" s="146"/>
      <c r="MIB25" s="146"/>
      <c r="MIC25" s="146"/>
      <c r="MID25" s="146"/>
      <c r="MIE25" s="146"/>
      <c r="MIF25" s="146"/>
      <c r="MIG25" s="146"/>
      <c r="MIH25" s="146"/>
      <c r="MII25" s="146"/>
      <c r="MIJ25" s="146"/>
      <c r="MIK25" s="146"/>
      <c r="MIL25" s="146"/>
      <c r="MIM25" s="146"/>
      <c r="MIN25" s="146"/>
      <c r="MIO25" s="146"/>
      <c r="MIP25" s="146"/>
      <c r="MIQ25" s="146"/>
      <c r="MIR25" s="146"/>
      <c r="MIS25" s="146"/>
      <c r="MIT25" s="146"/>
      <c r="MIU25" s="146"/>
      <c r="MIV25" s="146"/>
      <c r="MIW25" s="146"/>
      <c r="MIX25" s="146"/>
      <c r="MIY25" s="146"/>
      <c r="MIZ25" s="146"/>
      <c r="MJA25" s="146"/>
      <c r="MJB25" s="146"/>
      <c r="MJC25" s="146"/>
      <c r="MJD25" s="146"/>
      <c r="MJE25" s="146"/>
      <c r="MJF25" s="146"/>
      <c r="MJG25" s="146"/>
      <c r="MJH25" s="146"/>
      <c r="MJI25" s="146"/>
      <c r="MJJ25" s="146"/>
      <c r="MJK25" s="146"/>
      <c r="MJL25" s="146"/>
      <c r="MJM25" s="146"/>
      <c r="MJN25" s="146"/>
      <c r="MJO25" s="146"/>
      <c r="MJP25" s="146"/>
      <c r="MJQ25" s="146"/>
      <c r="MJR25" s="146"/>
      <c r="MJS25" s="146"/>
      <c r="MJT25" s="146"/>
      <c r="MJU25" s="146"/>
      <c r="MJV25" s="146"/>
      <c r="MJW25" s="146"/>
      <c r="MJX25" s="146"/>
      <c r="MJY25" s="146"/>
      <c r="MJZ25" s="146"/>
      <c r="MKA25" s="146"/>
      <c r="MKB25" s="146"/>
      <c r="MKC25" s="146"/>
      <c r="MKD25" s="146"/>
      <c r="MKE25" s="146"/>
      <c r="MKF25" s="146"/>
      <c r="MKG25" s="146"/>
      <c r="MKH25" s="146"/>
      <c r="MKI25" s="146"/>
      <c r="MKJ25" s="146"/>
      <c r="MKK25" s="146"/>
      <c r="MKL25" s="146"/>
      <c r="MKM25" s="146"/>
      <c r="MKN25" s="146"/>
      <c r="MKO25" s="146"/>
      <c r="MKP25" s="146"/>
      <c r="MKQ25" s="146"/>
      <c r="MKR25" s="146"/>
      <c r="MKS25" s="146"/>
      <c r="MKT25" s="146"/>
      <c r="MKU25" s="146"/>
      <c r="MKV25" s="146"/>
      <c r="MKW25" s="146"/>
      <c r="MKX25" s="146"/>
      <c r="MKY25" s="146"/>
      <c r="MKZ25" s="146"/>
      <c r="MLA25" s="146"/>
      <c r="MLB25" s="146"/>
      <c r="MLC25" s="146"/>
      <c r="MLD25" s="146"/>
      <c r="MLE25" s="146"/>
      <c r="MLF25" s="146"/>
      <c r="MLG25" s="146"/>
      <c r="MLH25" s="146"/>
      <c r="MLI25" s="146"/>
      <c r="MLJ25" s="146"/>
      <c r="MLK25" s="146"/>
      <c r="MLL25" s="146"/>
      <c r="MLM25" s="146"/>
      <c r="MLN25" s="146"/>
      <c r="MLO25" s="146"/>
      <c r="MLP25" s="146"/>
      <c r="MLQ25" s="146"/>
      <c r="MLR25" s="146"/>
      <c r="MLS25" s="146"/>
      <c r="MLT25" s="146"/>
      <c r="MLU25" s="146"/>
      <c r="MLV25" s="146"/>
      <c r="MLW25" s="146"/>
      <c r="MLX25" s="146"/>
      <c r="MLY25" s="146"/>
      <c r="MLZ25" s="146"/>
      <c r="MMA25" s="146"/>
      <c r="MMB25" s="146"/>
      <c r="MMC25" s="146"/>
      <c r="MMD25" s="146"/>
      <c r="MME25" s="146"/>
      <c r="MMF25" s="146"/>
      <c r="MMG25" s="146"/>
      <c r="MMH25" s="146"/>
      <c r="MMI25" s="146"/>
      <c r="MMJ25" s="146"/>
      <c r="MMK25" s="146"/>
      <c r="MML25" s="146"/>
      <c r="MMM25" s="146"/>
      <c r="MMN25" s="146"/>
      <c r="MMO25" s="146"/>
      <c r="MMP25" s="146"/>
      <c r="MMQ25" s="146"/>
      <c r="MMR25" s="146"/>
      <c r="MMS25" s="146"/>
      <c r="MMT25" s="146"/>
      <c r="MMU25" s="146"/>
      <c r="MMV25" s="146"/>
      <c r="MMW25" s="146"/>
      <c r="MMX25" s="146"/>
      <c r="MMY25" s="146"/>
      <c r="MMZ25" s="146"/>
      <c r="MNA25" s="146"/>
      <c r="MNB25" s="146"/>
      <c r="MNC25" s="146"/>
      <c r="MND25" s="146"/>
      <c r="MNE25" s="146"/>
      <c r="MNF25" s="146"/>
      <c r="MNG25" s="146"/>
      <c r="MNH25" s="146"/>
      <c r="MNI25" s="146"/>
      <c r="MNJ25" s="146"/>
      <c r="MNK25" s="146"/>
      <c r="MNL25" s="146"/>
      <c r="MNM25" s="146"/>
      <c r="MNN25" s="146"/>
      <c r="MNO25" s="146"/>
      <c r="MNP25" s="146"/>
      <c r="MNQ25" s="146"/>
      <c r="MNR25" s="146"/>
      <c r="MNS25" s="146"/>
      <c r="MNT25" s="146"/>
      <c r="MNU25" s="146"/>
      <c r="MNV25" s="146"/>
      <c r="MNW25" s="146"/>
      <c r="MNX25" s="146"/>
      <c r="MNY25" s="146"/>
      <c r="MNZ25" s="146"/>
      <c r="MOA25" s="146"/>
      <c r="MOB25" s="146"/>
      <c r="MOC25" s="146"/>
      <c r="MOD25" s="146"/>
      <c r="MOE25" s="146"/>
      <c r="MOF25" s="146"/>
      <c r="MOG25" s="146"/>
      <c r="MOH25" s="146"/>
      <c r="MOI25" s="146"/>
      <c r="MOJ25" s="146"/>
      <c r="MOK25" s="146"/>
      <c r="MOL25" s="146"/>
      <c r="MOM25" s="146"/>
      <c r="MON25" s="146"/>
      <c r="MOO25" s="146"/>
      <c r="MOP25" s="146"/>
      <c r="MOQ25" s="146"/>
      <c r="MOR25" s="146"/>
      <c r="MOS25" s="146"/>
      <c r="MOT25" s="146"/>
      <c r="MOU25" s="146"/>
      <c r="MOV25" s="146"/>
      <c r="MOW25" s="146"/>
      <c r="MOX25" s="146"/>
      <c r="MOY25" s="146"/>
      <c r="MOZ25" s="146"/>
      <c r="MPA25" s="146"/>
      <c r="MPB25" s="146"/>
      <c r="MPC25" s="146"/>
      <c r="MPD25" s="146"/>
      <c r="MPE25" s="146"/>
      <c r="MPF25" s="146"/>
      <c r="MPG25" s="146"/>
      <c r="MPH25" s="146"/>
      <c r="MPI25" s="146"/>
      <c r="MPJ25" s="146"/>
      <c r="MPK25" s="146"/>
      <c r="MPL25" s="146"/>
      <c r="MPM25" s="146"/>
      <c r="MPN25" s="146"/>
      <c r="MPO25" s="146"/>
      <c r="MPP25" s="146"/>
      <c r="MPQ25" s="146"/>
      <c r="MPR25" s="146"/>
      <c r="MPS25" s="146"/>
      <c r="MPT25" s="146"/>
      <c r="MPU25" s="146"/>
      <c r="MPV25" s="146"/>
      <c r="MPW25" s="146"/>
      <c r="MPX25" s="146"/>
      <c r="MPY25" s="146"/>
      <c r="MPZ25" s="146"/>
      <c r="MQA25" s="146"/>
      <c r="MQB25" s="146"/>
      <c r="MQC25" s="146"/>
      <c r="MQD25" s="146"/>
      <c r="MQE25" s="146"/>
      <c r="MQF25" s="146"/>
      <c r="MQG25" s="146"/>
      <c r="MQH25" s="146"/>
      <c r="MQI25" s="146"/>
      <c r="MQJ25" s="146"/>
      <c r="MQK25" s="146"/>
      <c r="MQL25" s="146"/>
      <c r="MQM25" s="146"/>
      <c r="MQN25" s="146"/>
      <c r="MQO25" s="146"/>
      <c r="MQP25" s="146"/>
      <c r="MQQ25" s="146"/>
      <c r="MQR25" s="146"/>
      <c r="MQS25" s="146"/>
      <c r="MQT25" s="146"/>
      <c r="MQU25" s="146"/>
      <c r="MQV25" s="146"/>
      <c r="MQW25" s="146"/>
      <c r="MQX25" s="146"/>
      <c r="MQY25" s="146"/>
      <c r="MQZ25" s="146"/>
      <c r="MRA25" s="146"/>
      <c r="MRB25" s="146"/>
      <c r="MRC25" s="146"/>
      <c r="MRD25" s="146"/>
      <c r="MRE25" s="146"/>
      <c r="MRF25" s="146"/>
      <c r="MRG25" s="146"/>
      <c r="MRH25" s="146"/>
      <c r="MRI25" s="146"/>
      <c r="MRJ25" s="146"/>
      <c r="MRK25" s="146"/>
      <c r="MRL25" s="146"/>
      <c r="MRM25" s="146"/>
      <c r="MRN25" s="146"/>
      <c r="MRO25" s="146"/>
      <c r="MRP25" s="146"/>
      <c r="MRQ25" s="146"/>
      <c r="MRR25" s="146"/>
      <c r="MRS25" s="146"/>
      <c r="MRT25" s="146"/>
      <c r="MRU25" s="146"/>
      <c r="MRV25" s="146"/>
      <c r="MRW25" s="146"/>
      <c r="MRX25" s="146"/>
      <c r="MRY25" s="146"/>
      <c r="MRZ25" s="146"/>
      <c r="MSA25" s="146"/>
      <c r="MSB25" s="146"/>
      <c r="MSC25" s="146"/>
      <c r="MSD25" s="146"/>
      <c r="MSE25" s="146"/>
      <c r="MSF25" s="146"/>
      <c r="MSG25" s="146"/>
      <c r="MSH25" s="146"/>
      <c r="MSI25" s="146"/>
      <c r="MSJ25" s="146"/>
      <c r="MSK25" s="146"/>
      <c r="MSL25" s="146"/>
      <c r="MSM25" s="146"/>
      <c r="MSN25" s="146"/>
      <c r="MSO25" s="146"/>
      <c r="MSP25" s="146"/>
      <c r="MSQ25" s="146"/>
      <c r="MSR25" s="146"/>
      <c r="MSS25" s="146"/>
      <c r="MST25" s="146"/>
      <c r="MSU25" s="146"/>
      <c r="MSV25" s="146"/>
      <c r="MSW25" s="146"/>
      <c r="MSX25" s="146"/>
      <c r="MSY25" s="146"/>
      <c r="MSZ25" s="146"/>
      <c r="MTA25" s="146"/>
      <c r="MTB25" s="146"/>
      <c r="MTC25" s="146"/>
      <c r="MTD25" s="146"/>
      <c r="MTE25" s="146"/>
      <c r="MTF25" s="146"/>
      <c r="MTG25" s="146"/>
      <c r="MTH25" s="146"/>
      <c r="MTI25" s="146"/>
      <c r="MTJ25" s="146"/>
      <c r="MTK25" s="146"/>
      <c r="MTL25" s="146"/>
      <c r="MTM25" s="146"/>
      <c r="MTN25" s="146"/>
      <c r="MTO25" s="146"/>
      <c r="MTP25" s="146"/>
      <c r="MTQ25" s="146"/>
      <c r="MTR25" s="146"/>
      <c r="MTS25" s="146"/>
      <c r="MTT25" s="146"/>
      <c r="MTU25" s="146"/>
      <c r="MTV25" s="146"/>
      <c r="MTW25" s="146"/>
      <c r="MTX25" s="146"/>
      <c r="MTY25" s="146"/>
      <c r="MTZ25" s="146"/>
      <c r="MUA25" s="146"/>
      <c r="MUB25" s="146"/>
      <c r="MUC25" s="146"/>
      <c r="MUD25" s="146"/>
      <c r="MUE25" s="146"/>
      <c r="MUF25" s="146"/>
      <c r="MUG25" s="146"/>
      <c r="MUH25" s="146"/>
      <c r="MUI25" s="146"/>
      <c r="MUJ25" s="146"/>
      <c r="MUK25" s="146"/>
      <c r="MUL25" s="146"/>
      <c r="MUM25" s="146"/>
      <c r="MUN25" s="146"/>
      <c r="MUO25" s="146"/>
      <c r="MUP25" s="146"/>
      <c r="MUQ25" s="146"/>
      <c r="MUR25" s="146"/>
      <c r="MUS25" s="146"/>
      <c r="MUT25" s="146"/>
      <c r="MUU25" s="146"/>
      <c r="MUV25" s="146"/>
      <c r="MUW25" s="146"/>
      <c r="MUX25" s="146"/>
      <c r="MUY25" s="146"/>
      <c r="MUZ25" s="146"/>
      <c r="MVA25" s="146"/>
      <c r="MVB25" s="146"/>
      <c r="MVC25" s="146"/>
      <c r="MVD25" s="146"/>
      <c r="MVE25" s="146"/>
      <c r="MVF25" s="146"/>
      <c r="MVG25" s="146"/>
      <c r="MVH25" s="146"/>
      <c r="MVI25" s="146"/>
      <c r="MVJ25" s="146"/>
      <c r="MVK25" s="146"/>
      <c r="MVL25" s="146"/>
      <c r="MVM25" s="146"/>
      <c r="MVN25" s="146"/>
      <c r="MVO25" s="146"/>
      <c r="MVP25" s="146"/>
      <c r="MVQ25" s="146"/>
      <c r="MVR25" s="146"/>
      <c r="MVS25" s="146"/>
      <c r="MVT25" s="146"/>
      <c r="MVU25" s="146"/>
      <c r="MVV25" s="146"/>
      <c r="MVW25" s="146"/>
      <c r="MVX25" s="146"/>
      <c r="MVY25" s="146"/>
      <c r="MVZ25" s="146"/>
      <c r="MWA25" s="146"/>
      <c r="MWB25" s="146"/>
      <c r="MWC25" s="146"/>
      <c r="MWD25" s="146"/>
      <c r="MWE25" s="146"/>
      <c r="MWF25" s="146"/>
      <c r="MWG25" s="146"/>
      <c r="MWH25" s="146"/>
      <c r="MWI25" s="146"/>
      <c r="MWJ25" s="146"/>
      <c r="MWK25" s="146"/>
      <c r="MWL25" s="146"/>
      <c r="MWM25" s="146"/>
      <c r="MWN25" s="146"/>
      <c r="MWO25" s="146"/>
      <c r="MWP25" s="146"/>
      <c r="MWQ25" s="146"/>
      <c r="MWR25" s="146"/>
      <c r="MWS25" s="146"/>
      <c r="MWT25" s="146"/>
      <c r="MWU25" s="146"/>
      <c r="MWV25" s="146"/>
      <c r="MWW25" s="146"/>
      <c r="MWX25" s="146"/>
      <c r="MWY25" s="146"/>
      <c r="MWZ25" s="146"/>
      <c r="MXA25" s="146"/>
      <c r="MXB25" s="146"/>
      <c r="MXC25" s="146"/>
      <c r="MXD25" s="146"/>
      <c r="MXE25" s="146"/>
      <c r="MXF25" s="146"/>
      <c r="MXG25" s="146"/>
      <c r="MXH25" s="146"/>
      <c r="MXI25" s="146"/>
      <c r="MXJ25" s="146"/>
      <c r="MXK25" s="146"/>
      <c r="MXL25" s="146"/>
      <c r="MXM25" s="146"/>
      <c r="MXN25" s="146"/>
      <c r="MXO25" s="146"/>
      <c r="MXP25" s="146"/>
      <c r="MXQ25" s="146"/>
      <c r="MXR25" s="146"/>
      <c r="MXS25" s="146"/>
      <c r="MXT25" s="146"/>
      <c r="MXU25" s="146"/>
      <c r="MXV25" s="146"/>
      <c r="MXW25" s="146"/>
      <c r="MXX25" s="146"/>
      <c r="MXY25" s="146"/>
      <c r="MXZ25" s="146"/>
      <c r="MYA25" s="146"/>
      <c r="MYB25" s="146"/>
      <c r="MYC25" s="146"/>
      <c r="MYD25" s="146"/>
      <c r="MYE25" s="146"/>
      <c r="MYF25" s="146"/>
      <c r="MYG25" s="146"/>
      <c r="MYH25" s="146"/>
      <c r="MYI25" s="146"/>
      <c r="MYJ25" s="146"/>
      <c r="MYK25" s="146"/>
      <c r="MYL25" s="146"/>
      <c r="MYM25" s="146"/>
      <c r="MYN25" s="146"/>
      <c r="MYO25" s="146"/>
      <c r="MYP25" s="146"/>
      <c r="MYQ25" s="146"/>
      <c r="MYR25" s="146"/>
      <c r="MYS25" s="146"/>
      <c r="MYT25" s="146"/>
      <c r="MYU25" s="146"/>
      <c r="MYV25" s="146"/>
      <c r="MYW25" s="146"/>
      <c r="MYX25" s="146"/>
      <c r="MYY25" s="146"/>
      <c r="MYZ25" s="146"/>
      <c r="MZA25" s="146"/>
      <c r="MZB25" s="146"/>
      <c r="MZC25" s="146"/>
      <c r="MZD25" s="146"/>
      <c r="MZE25" s="146"/>
      <c r="MZF25" s="146"/>
      <c r="MZG25" s="146"/>
      <c r="MZH25" s="146"/>
      <c r="MZI25" s="146"/>
      <c r="MZJ25" s="146"/>
      <c r="MZK25" s="146"/>
      <c r="MZL25" s="146"/>
      <c r="MZM25" s="146"/>
      <c r="MZN25" s="146"/>
      <c r="MZO25" s="146"/>
      <c r="MZP25" s="146"/>
      <c r="MZQ25" s="146"/>
      <c r="MZR25" s="146"/>
      <c r="MZS25" s="146"/>
      <c r="MZT25" s="146"/>
      <c r="MZU25" s="146"/>
      <c r="MZV25" s="146"/>
      <c r="MZW25" s="146"/>
      <c r="MZX25" s="146"/>
      <c r="MZY25" s="146"/>
      <c r="MZZ25" s="146"/>
      <c r="NAA25" s="146"/>
      <c r="NAB25" s="146"/>
      <c r="NAC25" s="146"/>
      <c r="NAD25" s="146"/>
      <c r="NAE25" s="146"/>
      <c r="NAF25" s="146"/>
      <c r="NAG25" s="146"/>
      <c r="NAH25" s="146"/>
      <c r="NAI25" s="146"/>
      <c r="NAJ25" s="146"/>
      <c r="NAK25" s="146"/>
      <c r="NAL25" s="146"/>
      <c r="NAM25" s="146"/>
      <c r="NAN25" s="146"/>
      <c r="NAO25" s="146"/>
      <c r="NAP25" s="146"/>
      <c r="NAQ25" s="146"/>
      <c r="NAR25" s="146"/>
      <c r="NAS25" s="146"/>
      <c r="NAT25" s="146"/>
      <c r="NAU25" s="146"/>
      <c r="NAV25" s="146"/>
      <c r="NAW25" s="146"/>
      <c r="NAX25" s="146"/>
      <c r="NAY25" s="146"/>
      <c r="NAZ25" s="146"/>
      <c r="NBA25" s="146"/>
      <c r="NBB25" s="146"/>
      <c r="NBC25" s="146"/>
      <c r="NBD25" s="146"/>
      <c r="NBE25" s="146"/>
      <c r="NBF25" s="146"/>
      <c r="NBG25" s="146"/>
      <c r="NBH25" s="146"/>
      <c r="NBI25" s="146"/>
      <c r="NBJ25" s="146"/>
      <c r="NBK25" s="146"/>
      <c r="NBL25" s="146"/>
      <c r="NBM25" s="146"/>
      <c r="NBN25" s="146"/>
      <c r="NBO25" s="146"/>
      <c r="NBP25" s="146"/>
      <c r="NBQ25" s="146"/>
      <c r="NBR25" s="146"/>
      <c r="NBS25" s="146"/>
      <c r="NBT25" s="146"/>
      <c r="NBU25" s="146"/>
      <c r="NBV25" s="146"/>
      <c r="NBW25" s="146"/>
      <c r="NBX25" s="146"/>
      <c r="NBY25" s="146"/>
      <c r="NBZ25" s="146"/>
      <c r="NCA25" s="146"/>
      <c r="NCB25" s="146"/>
      <c r="NCC25" s="146"/>
      <c r="NCD25" s="146"/>
      <c r="NCE25" s="146"/>
      <c r="NCF25" s="146"/>
      <c r="NCG25" s="146"/>
      <c r="NCH25" s="146"/>
      <c r="NCI25" s="146"/>
      <c r="NCJ25" s="146"/>
      <c r="NCK25" s="146"/>
      <c r="NCL25" s="146"/>
      <c r="NCM25" s="146"/>
      <c r="NCN25" s="146"/>
      <c r="NCO25" s="146"/>
      <c r="NCP25" s="146"/>
      <c r="NCQ25" s="146"/>
      <c r="NCR25" s="146"/>
      <c r="NCS25" s="146"/>
      <c r="NCT25" s="146"/>
      <c r="NCU25" s="146"/>
      <c r="NCV25" s="146"/>
      <c r="NCW25" s="146"/>
      <c r="NCX25" s="146"/>
      <c r="NCY25" s="146"/>
      <c r="NCZ25" s="146"/>
      <c r="NDA25" s="146"/>
      <c r="NDB25" s="146"/>
      <c r="NDC25" s="146"/>
      <c r="NDD25" s="146"/>
      <c r="NDE25" s="146"/>
      <c r="NDF25" s="146"/>
      <c r="NDG25" s="146"/>
      <c r="NDH25" s="146"/>
      <c r="NDI25" s="146"/>
      <c r="NDJ25" s="146"/>
      <c r="NDK25" s="146"/>
      <c r="NDL25" s="146"/>
      <c r="NDM25" s="146"/>
      <c r="NDN25" s="146"/>
      <c r="NDO25" s="146"/>
      <c r="NDP25" s="146"/>
      <c r="NDQ25" s="146"/>
      <c r="NDR25" s="146"/>
      <c r="NDS25" s="146"/>
      <c r="NDT25" s="146"/>
      <c r="NDU25" s="146"/>
      <c r="NDV25" s="146"/>
      <c r="NDW25" s="146"/>
      <c r="NDX25" s="146"/>
      <c r="NDY25" s="146"/>
      <c r="NDZ25" s="146"/>
      <c r="NEA25" s="146"/>
      <c r="NEB25" s="146"/>
      <c r="NEC25" s="146"/>
      <c r="NED25" s="146"/>
      <c r="NEE25" s="146"/>
      <c r="NEF25" s="146"/>
      <c r="NEG25" s="146"/>
      <c r="NEH25" s="146"/>
      <c r="NEI25" s="146"/>
      <c r="NEJ25" s="146"/>
      <c r="NEK25" s="146"/>
      <c r="NEL25" s="146"/>
      <c r="NEM25" s="146"/>
      <c r="NEN25" s="146"/>
      <c r="NEO25" s="146"/>
      <c r="NEP25" s="146"/>
      <c r="NEQ25" s="146"/>
      <c r="NER25" s="146"/>
      <c r="NES25" s="146"/>
      <c r="NET25" s="146"/>
      <c r="NEU25" s="146"/>
      <c r="NEV25" s="146"/>
      <c r="NEW25" s="146"/>
      <c r="NEX25" s="146"/>
      <c r="NEY25" s="146"/>
      <c r="NEZ25" s="146"/>
      <c r="NFA25" s="146"/>
      <c r="NFB25" s="146"/>
      <c r="NFC25" s="146"/>
      <c r="NFD25" s="146"/>
      <c r="NFE25" s="146"/>
      <c r="NFF25" s="146"/>
      <c r="NFG25" s="146"/>
      <c r="NFH25" s="146"/>
      <c r="NFI25" s="146"/>
      <c r="NFJ25" s="146"/>
      <c r="NFK25" s="146"/>
      <c r="NFL25" s="146"/>
      <c r="NFM25" s="146"/>
      <c r="NFN25" s="146"/>
      <c r="NFO25" s="146"/>
      <c r="NFP25" s="146"/>
      <c r="NFQ25" s="146"/>
      <c r="NFR25" s="146"/>
      <c r="NFS25" s="146"/>
      <c r="NFT25" s="146"/>
      <c r="NFU25" s="146"/>
      <c r="NFV25" s="146"/>
      <c r="NFW25" s="146"/>
      <c r="NFX25" s="146"/>
      <c r="NFY25" s="146"/>
      <c r="NFZ25" s="146"/>
      <c r="NGA25" s="146"/>
      <c r="NGB25" s="146"/>
      <c r="NGC25" s="146"/>
      <c r="NGD25" s="146"/>
      <c r="NGE25" s="146"/>
      <c r="NGF25" s="146"/>
      <c r="NGG25" s="146"/>
      <c r="NGH25" s="146"/>
      <c r="NGI25" s="146"/>
      <c r="NGJ25" s="146"/>
      <c r="NGK25" s="146"/>
      <c r="NGL25" s="146"/>
      <c r="NGM25" s="146"/>
      <c r="NGN25" s="146"/>
      <c r="NGO25" s="146"/>
      <c r="NGP25" s="146"/>
      <c r="NGQ25" s="146"/>
      <c r="NGR25" s="146"/>
      <c r="NGS25" s="146"/>
      <c r="NGT25" s="146"/>
      <c r="NGU25" s="146"/>
      <c r="NGV25" s="146"/>
      <c r="NGW25" s="146"/>
      <c r="NGX25" s="146"/>
      <c r="NGY25" s="146"/>
      <c r="NGZ25" s="146"/>
      <c r="NHA25" s="146"/>
      <c r="NHB25" s="146"/>
      <c r="NHC25" s="146"/>
      <c r="NHD25" s="146"/>
      <c r="NHE25" s="146"/>
      <c r="NHF25" s="146"/>
      <c r="NHG25" s="146"/>
      <c r="NHH25" s="146"/>
      <c r="NHI25" s="146"/>
      <c r="NHJ25" s="146"/>
      <c r="NHK25" s="146"/>
      <c r="NHL25" s="146"/>
      <c r="NHM25" s="146"/>
      <c r="NHN25" s="146"/>
      <c r="NHO25" s="146"/>
      <c r="NHP25" s="146"/>
      <c r="NHQ25" s="146"/>
      <c r="NHR25" s="146"/>
      <c r="NHS25" s="146"/>
      <c r="NHT25" s="146"/>
      <c r="NHU25" s="146"/>
      <c r="NHV25" s="146"/>
      <c r="NHW25" s="146"/>
      <c r="NHX25" s="146"/>
      <c r="NHY25" s="146"/>
      <c r="NHZ25" s="146"/>
      <c r="NIA25" s="146"/>
      <c r="NIB25" s="146"/>
      <c r="NIC25" s="146"/>
      <c r="NID25" s="146"/>
      <c r="NIE25" s="146"/>
      <c r="NIF25" s="146"/>
      <c r="NIG25" s="146"/>
      <c r="NIH25" s="146"/>
      <c r="NII25" s="146"/>
      <c r="NIJ25" s="146"/>
      <c r="NIK25" s="146"/>
      <c r="NIL25" s="146"/>
      <c r="NIM25" s="146"/>
      <c r="NIN25" s="146"/>
      <c r="NIO25" s="146"/>
      <c r="NIP25" s="146"/>
      <c r="NIQ25" s="146"/>
      <c r="NIR25" s="146"/>
      <c r="NIS25" s="146"/>
      <c r="NIT25" s="146"/>
      <c r="NIU25" s="146"/>
      <c r="NIV25" s="146"/>
      <c r="NIW25" s="146"/>
      <c r="NIX25" s="146"/>
      <c r="NIY25" s="146"/>
      <c r="NIZ25" s="146"/>
      <c r="NJA25" s="146"/>
      <c r="NJB25" s="146"/>
      <c r="NJC25" s="146"/>
      <c r="NJD25" s="146"/>
      <c r="NJE25" s="146"/>
      <c r="NJF25" s="146"/>
      <c r="NJG25" s="146"/>
      <c r="NJH25" s="146"/>
      <c r="NJI25" s="146"/>
      <c r="NJJ25" s="146"/>
      <c r="NJK25" s="146"/>
      <c r="NJL25" s="146"/>
      <c r="NJM25" s="146"/>
      <c r="NJN25" s="146"/>
      <c r="NJO25" s="146"/>
      <c r="NJP25" s="146"/>
      <c r="NJQ25" s="146"/>
      <c r="NJR25" s="146"/>
      <c r="NJS25" s="146"/>
      <c r="NJT25" s="146"/>
      <c r="NJU25" s="146"/>
      <c r="NJV25" s="146"/>
      <c r="NJW25" s="146"/>
      <c r="NJX25" s="146"/>
      <c r="NJY25" s="146"/>
      <c r="NJZ25" s="146"/>
      <c r="NKA25" s="146"/>
      <c r="NKB25" s="146"/>
      <c r="NKC25" s="146"/>
      <c r="NKD25" s="146"/>
      <c r="NKE25" s="146"/>
      <c r="NKF25" s="146"/>
      <c r="NKG25" s="146"/>
      <c r="NKH25" s="146"/>
      <c r="NKI25" s="146"/>
      <c r="NKJ25" s="146"/>
      <c r="NKK25" s="146"/>
      <c r="NKL25" s="146"/>
      <c r="NKM25" s="146"/>
      <c r="NKN25" s="146"/>
      <c r="NKO25" s="146"/>
      <c r="NKP25" s="146"/>
      <c r="NKQ25" s="146"/>
      <c r="NKR25" s="146"/>
      <c r="NKS25" s="146"/>
      <c r="NKT25" s="146"/>
      <c r="NKU25" s="146"/>
      <c r="NKV25" s="146"/>
      <c r="NKW25" s="146"/>
      <c r="NKX25" s="146"/>
      <c r="NKY25" s="146"/>
      <c r="NKZ25" s="146"/>
      <c r="NLA25" s="146"/>
      <c r="NLB25" s="146"/>
      <c r="NLC25" s="146"/>
      <c r="NLD25" s="146"/>
      <c r="NLE25" s="146"/>
      <c r="NLF25" s="146"/>
      <c r="NLG25" s="146"/>
      <c r="NLH25" s="146"/>
      <c r="NLI25" s="146"/>
      <c r="NLJ25" s="146"/>
      <c r="NLK25" s="146"/>
      <c r="NLL25" s="146"/>
      <c r="NLM25" s="146"/>
      <c r="NLN25" s="146"/>
      <c r="NLO25" s="146"/>
      <c r="NLP25" s="146"/>
      <c r="NLQ25" s="146"/>
      <c r="NLR25" s="146"/>
      <c r="NLS25" s="146"/>
      <c r="NLT25" s="146"/>
      <c r="NLU25" s="146"/>
      <c r="NLV25" s="146"/>
      <c r="NLW25" s="146"/>
      <c r="NLX25" s="146"/>
      <c r="NLY25" s="146"/>
      <c r="NLZ25" s="146"/>
      <c r="NMA25" s="146"/>
      <c r="NMB25" s="146"/>
      <c r="NMC25" s="146"/>
      <c r="NMD25" s="146"/>
      <c r="NME25" s="146"/>
      <c r="NMF25" s="146"/>
      <c r="NMG25" s="146"/>
      <c r="NMH25" s="146"/>
      <c r="NMI25" s="146"/>
      <c r="NMJ25" s="146"/>
      <c r="NMK25" s="146"/>
      <c r="NML25" s="146"/>
      <c r="NMM25" s="146"/>
      <c r="NMN25" s="146"/>
      <c r="NMO25" s="146"/>
      <c r="NMP25" s="146"/>
      <c r="NMQ25" s="146"/>
      <c r="NMR25" s="146"/>
      <c r="NMS25" s="146"/>
      <c r="NMT25" s="146"/>
      <c r="NMU25" s="146"/>
      <c r="NMV25" s="146"/>
      <c r="NMW25" s="146"/>
      <c r="NMX25" s="146"/>
      <c r="NMY25" s="146"/>
      <c r="NMZ25" s="146"/>
      <c r="NNA25" s="146"/>
      <c r="NNB25" s="146"/>
      <c r="NNC25" s="146"/>
      <c r="NND25" s="146"/>
      <c r="NNE25" s="146"/>
      <c r="NNF25" s="146"/>
      <c r="NNG25" s="146"/>
      <c r="NNH25" s="146"/>
      <c r="NNI25" s="146"/>
      <c r="NNJ25" s="146"/>
      <c r="NNK25" s="146"/>
      <c r="NNL25" s="146"/>
      <c r="NNM25" s="146"/>
      <c r="NNN25" s="146"/>
      <c r="NNO25" s="146"/>
      <c r="NNP25" s="146"/>
      <c r="NNQ25" s="146"/>
      <c r="NNR25" s="146"/>
      <c r="NNS25" s="146"/>
      <c r="NNT25" s="146"/>
      <c r="NNU25" s="146"/>
      <c r="NNV25" s="146"/>
      <c r="NNW25" s="146"/>
      <c r="NNX25" s="146"/>
      <c r="NNY25" s="146"/>
      <c r="NNZ25" s="146"/>
      <c r="NOA25" s="146"/>
      <c r="NOB25" s="146"/>
      <c r="NOC25" s="146"/>
      <c r="NOD25" s="146"/>
      <c r="NOE25" s="146"/>
      <c r="NOF25" s="146"/>
      <c r="NOG25" s="146"/>
      <c r="NOH25" s="146"/>
      <c r="NOI25" s="146"/>
      <c r="NOJ25" s="146"/>
      <c r="NOK25" s="146"/>
      <c r="NOL25" s="146"/>
      <c r="NOM25" s="146"/>
      <c r="NON25" s="146"/>
      <c r="NOO25" s="146"/>
      <c r="NOP25" s="146"/>
      <c r="NOQ25" s="146"/>
      <c r="NOR25" s="146"/>
      <c r="NOS25" s="146"/>
      <c r="NOT25" s="146"/>
      <c r="NOU25" s="146"/>
      <c r="NOV25" s="146"/>
      <c r="NOW25" s="146"/>
      <c r="NOX25" s="146"/>
      <c r="NOY25" s="146"/>
      <c r="NOZ25" s="146"/>
      <c r="NPA25" s="146"/>
      <c r="NPB25" s="146"/>
      <c r="NPC25" s="146"/>
      <c r="NPD25" s="146"/>
      <c r="NPE25" s="146"/>
      <c r="NPF25" s="146"/>
      <c r="NPG25" s="146"/>
      <c r="NPH25" s="146"/>
      <c r="NPI25" s="146"/>
      <c r="NPJ25" s="146"/>
      <c r="NPK25" s="146"/>
      <c r="NPL25" s="146"/>
      <c r="NPM25" s="146"/>
      <c r="NPN25" s="146"/>
      <c r="NPO25" s="146"/>
      <c r="NPP25" s="146"/>
      <c r="NPQ25" s="146"/>
      <c r="NPR25" s="146"/>
      <c r="NPS25" s="146"/>
      <c r="NPT25" s="146"/>
      <c r="NPU25" s="146"/>
      <c r="NPV25" s="146"/>
      <c r="NPW25" s="146"/>
      <c r="NPX25" s="146"/>
      <c r="NPY25" s="146"/>
      <c r="NPZ25" s="146"/>
      <c r="NQA25" s="146"/>
      <c r="NQB25" s="146"/>
      <c r="NQC25" s="146"/>
      <c r="NQD25" s="146"/>
      <c r="NQE25" s="146"/>
      <c r="NQF25" s="146"/>
      <c r="NQG25" s="146"/>
      <c r="NQH25" s="146"/>
      <c r="NQI25" s="146"/>
      <c r="NQJ25" s="146"/>
      <c r="NQK25" s="146"/>
      <c r="NQL25" s="146"/>
      <c r="NQM25" s="146"/>
      <c r="NQN25" s="146"/>
      <c r="NQO25" s="146"/>
      <c r="NQP25" s="146"/>
      <c r="NQQ25" s="146"/>
      <c r="NQR25" s="146"/>
      <c r="NQS25" s="146"/>
      <c r="NQT25" s="146"/>
      <c r="NQU25" s="146"/>
      <c r="NQV25" s="146"/>
      <c r="NQW25" s="146"/>
      <c r="NQX25" s="146"/>
      <c r="NQY25" s="146"/>
      <c r="NQZ25" s="146"/>
      <c r="NRA25" s="146"/>
      <c r="NRB25" s="146"/>
      <c r="NRC25" s="146"/>
      <c r="NRD25" s="146"/>
      <c r="NRE25" s="146"/>
      <c r="NRF25" s="146"/>
      <c r="NRG25" s="146"/>
      <c r="NRH25" s="146"/>
      <c r="NRI25" s="146"/>
      <c r="NRJ25" s="146"/>
      <c r="NRK25" s="146"/>
      <c r="NRL25" s="146"/>
      <c r="NRM25" s="146"/>
      <c r="NRN25" s="146"/>
      <c r="NRO25" s="146"/>
      <c r="NRP25" s="146"/>
      <c r="NRQ25" s="146"/>
      <c r="NRR25" s="146"/>
      <c r="NRS25" s="146"/>
      <c r="NRT25" s="146"/>
      <c r="NRU25" s="146"/>
      <c r="NRV25" s="146"/>
      <c r="NRW25" s="146"/>
      <c r="NRX25" s="146"/>
      <c r="NRY25" s="146"/>
      <c r="NRZ25" s="146"/>
      <c r="NSA25" s="146"/>
      <c r="NSB25" s="146"/>
      <c r="NSC25" s="146"/>
      <c r="NSD25" s="146"/>
      <c r="NSE25" s="146"/>
      <c r="NSF25" s="146"/>
      <c r="NSG25" s="146"/>
      <c r="NSH25" s="146"/>
      <c r="NSI25" s="146"/>
      <c r="NSJ25" s="146"/>
      <c r="NSK25" s="146"/>
      <c r="NSL25" s="146"/>
      <c r="NSM25" s="146"/>
      <c r="NSN25" s="146"/>
      <c r="NSO25" s="146"/>
      <c r="NSP25" s="146"/>
      <c r="NSQ25" s="146"/>
      <c r="NSR25" s="146"/>
      <c r="NSS25" s="146"/>
      <c r="NST25" s="146"/>
      <c r="NSU25" s="146"/>
      <c r="NSV25" s="146"/>
      <c r="NSW25" s="146"/>
      <c r="NSX25" s="146"/>
      <c r="NSY25" s="146"/>
      <c r="NSZ25" s="146"/>
      <c r="NTA25" s="146"/>
      <c r="NTB25" s="146"/>
      <c r="NTC25" s="146"/>
      <c r="NTD25" s="146"/>
      <c r="NTE25" s="146"/>
      <c r="NTF25" s="146"/>
      <c r="NTG25" s="146"/>
      <c r="NTH25" s="146"/>
      <c r="NTI25" s="146"/>
      <c r="NTJ25" s="146"/>
      <c r="NTK25" s="146"/>
      <c r="NTL25" s="146"/>
      <c r="NTM25" s="146"/>
      <c r="NTN25" s="146"/>
      <c r="NTO25" s="146"/>
      <c r="NTP25" s="146"/>
      <c r="NTQ25" s="146"/>
      <c r="NTR25" s="146"/>
      <c r="NTS25" s="146"/>
      <c r="NTT25" s="146"/>
      <c r="NTU25" s="146"/>
      <c r="NTV25" s="146"/>
      <c r="NTW25" s="146"/>
      <c r="NTX25" s="146"/>
      <c r="NTY25" s="146"/>
      <c r="NTZ25" s="146"/>
      <c r="NUA25" s="146"/>
      <c r="NUB25" s="146"/>
      <c r="NUC25" s="146"/>
      <c r="NUD25" s="146"/>
      <c r="NUE25" s="146"/>
      <c r="NUF25" s="146"/>
      <c r="NUG25" s="146"/>
      <c r="NUH25" s="146"/>
      <c r="NUI25" s="146"/>
      <c r="NUJ25" s="146"/>
      <c r="NUK25" s="146"/>
      <c r="NUL25" s="146"/>
      <c r="NUM25" s="146"/>
      <c r="NUN25" s="146"/>
      <c r="NUO25" s="146"/>
      <c r="NUP25" s="146"/>
      <c r="NUQ25" s="146"/>
      <c r="NUR25" s="146"/>
      <c r="NUS25" s="146"/>
      <c r="NUT25" s="146"/>
      <c r="NUU25" s="146"/>
      <c r="NUV25" s="146"/>
      <c r="NUW25" s="146"/>
      <c r="NUX25" s="146"/>
      <c r="NUY25" s="146"/>
      <c r="NUZ25" s="146"/>
      <c r="NVA25" s="146"/>
      <c r="NVB25" s="146"/>
      <c r="NVC25" s="146"/>
      <c r="NVD25" s="146"/>
      <c r="NVE25" s="146"/>
      <c r="NVF25" s="146"/>
      <c r="NVG25" s="146"/>
      <c r="NVH25" s="146"/>
      <c r="NVI25" s="146"/>
      <c r="NVJ25" s="146"/>
      <c r="NVK25" s="146"/>
      <c r="NVL25" s="146"/>
      <c r="NVM25" s="146"/>
      <c r="NVN25" s="146"/>
      <c r="NVO25" s="146"/>
      <c r="NVP25" s="146"/>
      <c r="NVQ25" s="146"/>
      <c r="NVR25" s="146"/>
      <c r="NVS25" s="146"/>
      <c r="NVT25" s="146"/>
      <c r="NVU25" s="146"/>
      <c r="NVV25" s="146"/>
      <c r="NVW25" s="146"/>
      <c r="NVX25" s="146"/>
      <c r="NVY25" s="146"/>
      <c r="NVZ25" s="146"/>
      <c r="NWA25" s="146"/>
      <c r="NWB25" s="146"/>
      <c r="NWC25" s="146"/>
      <c r="NWD25" s="146"/>
      <c r="NWE25" s="146"/>
      <c r="NWF25" s="146"/>
      <c r="NWG25" s="146"/>
      <c r="NWH25" s="146"/>
      <c r="NWI25" s="146"/>
      <c r="NWJ25" s="146"/>
      <c r="NWK25" s="146"/>
      <c r="NWL25" s="146"/>
      <c r="NWM25" s="146"/>
      <c r="NWN25" s="146"/>
      <c r="NWO25" s="146"/>
      <c r="NWP25" s="146"/>
      <c r="NWQ25" s="146"/>
      <c r="NWR25" s="146"/>
      <c r="NWS25" s="146"/>
      <c r="NWT25" s="146"/>
      <c r="NWU25" s="146"/>
      <c r="NWV25" s="146"/>
      <c r="NWW25" s="146"/>
      <c r="NWX25" s="146"/>
      <c r="NWY25" s="146"/>
      <c r="NWZ25" s="146"/>
      <c r="NXA25" s="146"/>
      <c r="NXB25" s="146"/>
      <c r="NXC25" s="146"/>
      <c r="NXD25" s="146"/>
      <c r="NXE25" s="146"/>
      <c r="NXF25" s="146"/>
      <c r="NXG25" s="146"/>
      <c r="NXH25" s="146"/>
      <c r="NXI25" s="146"/>
      <c r="NXJ25" s="146"/>
      <c r="NXK25" s="146"/>
      <c r="NXL25" s="146"/>
      <c r="NXM25" s="146"/>
      <c r="NXN25" s="146"/>
      <c r="NXO25" s="146"/>
      <c r="NXP25" s="146"/>
      <c r="NXQ25" s="146"/>
      <c r="NXR25" s="146"/>
      <c r="NXS25" s="146"/>
      <c r="NXT25" s="146"/>
      <c r="NXU25" s="146"/>
      <c r="NXV25" s="146"/>
      <c r="NXW25" s="146"/>
      <c r="NXX25" s="146"/>
      <c r="NXY25" s="146"/>
      <c r="NXZ25" s="146"/>
      <c r="NYA25" s="146"/>
      <c r="NYB25" s="146"/>
      <c r="NYC25" s="146"/>
      <c r="NYD25" s="146"/>
      <c r="NYE25" s="146"/>
      <c r="NYF25" s="146"/>
      <c r="NYG25" s="146"/>
      <c r="NYH25" s="146"/>
      <c r="NYI25" s="146"/>
      <c r="NYJ25" s="146"/>
      <c r="NYK25" s="146"/>
      <c r="NYL25" s="146"/>
      <c r="NYM25" s="146"/>
      <c r="NYN25" s="146"/>
      <c r="NYO25" s="146"/>
      <c r="NYP25" s="146"/>
      <c r="NYQ25" s="146"/>
      <c r="NYR25" s="146"/>
      <c r="NYS25" s="146"/>
      <c r="NYT25" s="146"/>
      <c r="NYU25" s="146"/>
      <c r="NYV25" s="146"/>
      <c r="NYW25" s="146"/>
      <c r="NYX25" s="146"/>
      <c r="NYY25" s="146"/>
      <c r="NYZ25" s="146"/>
      <c r="NZA25" s="146"/>
      <c r="NZB25" s="146"/>
      <c r="NZC25" s="146"/>
      <c r="NZD25" s="146"/>
      <c r="NZE25" s="146"/>
      <c r="NZF25" s="146"/>
      <c r="NZG25" s="146"/>
      <c r="NZH25" s="146"/>
      <c r="NZI25" s="146"/>
      <c r="NZJ25" s="146"/>
      <c r="NZK25" s="146"/>
      <c r="NZL25" s="146"/>
      <c r="NZM25" s="146"/>
      <c r="NZN25" s="146"/>
      <c r="NZO25" s="146"/>
      <c r="NZP25" s="146"/>
      <c r="NZQ25" s="146"/>
      <c r="NZR25" s="146"/>
      <c r="NZS25" s="146"/>
      <c r="NZT25" s="146"/>
      <c r="NZU25" s="146"/>
      <c r="NZV25" s="146"/>
      <c r="NZW25" s="146"/>
      <c r="NZX25" s="146"/>
      <c r="NZY25" s="146"/>
      <c r="NZZ25" s="146"/>
      <c r="OAA25" s="146"/>
      <c r="OAB25" s="146"/>
      <c r="OAC25" s="146"/>
      <c r="OAD25" s="146"/>
      <c r="OAE25" s="146"/>
      <c r="OAF25" s="146"/>
      <c r="OAG25" s="146"/>
      <c r="OAH25" s="146"/>
      <c r="OAI25" s="146"/>
      <c r="OAJ25" s="146"/>
      <c r="OAK25" s="146"/>
      <c r="OAL25" s="146"/>
      <c r="OAM25" s="146"/>
      <c r="OAN25" s="146"/>
      <c r="OAO25" s="146"/>
      <c r="OAP25" s="146"/>
      <c r="OAQ25" s="146"/>
      <c r="OAR25" s="146"/>
      <c r="OAS25" s="146"/>
      <c r="OAT25" s="146"/>
      <c r="OAU25" s="146"/>
      <c r="OAV25" s="146"/>
      <c r="OAW25" s="146"/>
      <c r="OAX25" s="146"/>
      <c r="OAY25" s="146"/>
      <c r="OAZ25" s="146"/>
      <c r="OBA25" s="146"/>
      <c r="OBB25" s="146"/>
      <c r="OBC25" s="146"/>
      <c r="OBD25" s="146"/>
      <c r="OBE25" s="146"/>
      <c r="OBF25" s="146"/>
      <c r="OBG25" s="146"/>
      <c r="OBH25" s="146"/>
      <c r="OBI25" s="146"/>
      <c r="OBJ25" s="146"/>
      <c r="OBK25" s="146"/>
      <c r="OBL25" s="146"/>
      <c r="OBM25" s="146"/>
      <c r="OBN25" s="146"/>
      <c r="OBO25" s="146"/>
      <c r="OBP25" s="146"/>
      <c r="OBQ25" s="146"/>
      <c r="OBR25" s="146"/>
      <c r="OBS25" s="146"/>
      <c r="OBT25" s="146"/>
      <c r="OBU25" s="146"/>
      <c r="OBV25" s="146"/>
      <c r="OBW25" s="146"/>
      <c r="OBX25" s="146"/>
      <c r="OBY25" s="146"/>
      <c r="OBZ25" s="146"/>
      <c r="OCA25" s="146"/>
      <c r="OCB25" s="146"/>
      <c r="OCC25" s="146"/>
      <c r="OCD25" s="146"/>
      <c r="OCE25" s="146"/>
      <c r="OCF25" s="146"/>
      <c r="OCG25" s="146"/>
      <c r="OCH25" s="146"/>
      <c r="OCI25" s="146"/>
      <c r="OCJ25" s="146"/>
      <c r="OCK25" s="146"/>
      <c r="OCL25" s="146"/>
      <c r="OCM25" s="146"/>
      <c r="OCN25" s="146"/>
      <c r="OCO25" s="146"/>
      <c r="OCP25" s="146"/>
      <c r="OCQ25" s="146"/>
      <c r="OCR25" s="146"/>
      <c r="OCS25" s="146"/>
      <c r="OCT25" s="146"/>
      <c r="OCU25" s="146"/>
      <c r="OCV25" s="146"/>
      <c r="OCW25" s="146"/>
      <c r="OCX25" s="146"/>
      <c r="OCY25" s="146"/>
      <c r="OCZ25" s="146"/>
      <c r="ODA25" s="146"/>
      <c r="ODB25" s="146"/>
      <c r="ODC25" s="146"/>
      <c r="ODD25" s="146"/>
      <c r="ODE25" s="146"/>
      <c r="ODF25" s="146"/>
      <c r="ODG25" s="146"/>
      <c r="ODH25" s="146"/>
      <c r="ODI25" s="146"/>
      <c r="ODJ25" s="146"/>
      <c r="ODK25" s="146"/>
      <c r="ODL25" s="146"/>
      <c r="ODM25" s="146"/>
      <c r="ODN25" s="146"/>
      <c r="ODO25" s="146"/>
      <c r="ODP25" s="146"/>
      <c r="ODQ25" s="146"/>
      <c r="ODR25" s="146"/>
      <c r="ODS25" s="146"/>
      <c r="ODT25" s="146"/>
      <c r="ODU25" s="146"/>
      <c r="ODV25" s="146"/>
      <c r="ODW25" s="146"/>
      <c r="ODX25" s="146"/>
      <c r="ODY25" s="146"/>
      <c r="ODZ25" s="146"/>
      <c r="OEA25" s="146"/>
      <c r="OEB25" s="146"/>
      <c r="OEC25" s="146"/>
      <c r="OED25" s="146"/>
      <c r="OEE25" s="146"/>
      <c r="OEF25" s="146"/>
      <c r="OEG25" s="146"/>
      <c r="OEH25" s="146"/>
      <c r="OEI25" s="146"/>
      <c r="OEJ25" s="146"/>
      <c r="OEK25" s="146"/>
      <c r="OEL25" s="146"/>
      <c r="OEM25" s="146"/>
      <c r="OEN25" s="146"/>
      <c r="OEO25" s="146"/>
      <c r="OEP25" s="146"/>
      <c r="OEQ25" s="146"/>
      <c r="OER25" s="146"/>
      <c r="OES25" s="146"/>
      <c r="OET25" s="146"/>
      <c r="OEU25" s="146"/>
      <c r="OEV25" s="146"/>
      <c r="OEW25" s="146"/>
      <c r="OEX25" s="146"/>
      <c r="OEY25" s="146"/>
      <c r="OEZ25" s="146"/>
      <c r="OFA25" s="146"/>
      <c r="OFB25" s="146"/>
      <c r="OFC25" s="146"/>
      <c r="OFD25" s="146"/>
      <c r="OFE25" s="146"/>
      <c r="OFF25" s="146"/>
      <c r="OFG25" s="146"/>
      <c r="OFH25" s="146"/>
      <c r="OFI25" s="146"/>
      <c r="OFJ25" s="146"/>
      <c r="OFK25" s="146"/>
      <c r="OFL25" s="146"/>
      <c r="OFM25" s="146"/>
      <c r="OFN25" s="146"/>
      <c r="OFO25" s="146"/>
      <c r="OFP25" s="146"/>
      <c r="OFQ25" s="146"/>
      <c r="OFR25" s="146"/>
      <c r="OFS25" s="146"/>
      <c r="OFT25" s="146"/>
      <c r="OFU25" s="146"/>
      <c r="OFV25" s="146"/>
      <c r="OFW25" s="146"/>
      <c r="OFX25" s="146"/>
      <c r="OFY25" s="146"/>
      <c r="OFZ25" s="146"/>
      <c r="OGA25" s="146"/>
      <c r="OGB25" s="146"/>
      <c r="OGC25" s="146"/>
      <c r="OGD25" s="146"/>
      <c r="OGE25" s="146"/>
      <c r="OGF25" s="146"/>
      <c r="OGG25" s="146"/>
      <c r="OGH25" s="146"/>
      <c r="OGI25" s="146"/>
      <c r="OGJ25" s="146"/>
      <c r="OGK25" s="146"/>
      <c r="OGL25" s="146"/>
      <c r="OGM25" s="146"/>
      <c r="OGN25" s="146"/>
      <c r="OGO25" s="146"/>
      <c r="OGP25" s="146"/>
      <c r="OGQ25" s="146"/>
      <c r="OGR25" s="146"/>
      <c r="OGS25" s="146"/>
      <c r="OGT25" s="146"/>
      <c r="OGU25" s="146"/>
      <c r="OGV25" s="146"/>
      <c r="OGW25" s="146"/>
      <c r="OGX25" s="146"/>
      <c r="OGY25" s="146"/>
      <c r="OGZ25" s="146"/>
      <c r="OHA25" s="146"/>
      <c r="OHB25" s="146"/>
      <c r="OHC25" s="146"/>
      <c r="OHD25" s="146"/>
      <c r="OHE25" s="146"/>
      <c r="OHF25" s="146"/>
      <c r="OHG25" s="146"/>
      <c r="OHH25" s="146"/>
      <c r="OHI25" s="146"/>
      <c r="OHJ25" s="146"/>
      <c r="OHK25" s="146"/>
      <c r="OHL25" s="146"/>
      <c r="OHM25" s="146"/>
      <c r="OHN25" s="146"/>
      <c r="OHO25" s="146"/>
      <c r="OHP25" s="146"/>
      <c r="OHQ25" s="146"/>
      <c r="OHR25" s="146"/>
      <c r="OHS25" s="146"/>
      <c r="OHT25" s="146"/>
      <c r="OHU25" s="146"/>
      <c r="OHV25" s="146"/>
      <c r="OHW25" s="146"/>
      <c r="OHX25" s="146"/>
      <c r="OHY25" s="146"/>
      <c r="OHZ25" s="146"/>
      <c r="OIA25" s="146"/>
      <c r="OIB25" s="146"/>
      <c r="OIC25" s="146"/>
      <c r="OID25" s="146"/>
      <c r="OIE25" s="146"/>
      <c r="OIF25" s="146"/>
      <c r="OIG25" s="146"/>
      <c r="OIH25" s="146"/>
      <c r="OII25" s="146"/>
      <c r="OIJ25" s="146"/>
      <c r="OIK25" s="146"/>
      <c r="OIL25" s="146"/>
      <c r="OIM25" s="146"/>
      <c r="OIN25" s="146"/>
      <c r="OIO25" s="146"/>
      <c r="OIP25" s="146"/>
      <c r="OIQ25" s="146"/>
      <c r="OIR25" s="146"/>
      <c r="OIS25" s="146"/>
      <c r="OIT25" s="146"/>
      <c r="OIU25" s="146"/>
      <c r="OIV25" s="146"/>
      <c r="OIW25" s="146"/>
      <c r="OIX25" s="146"/>
      <c r="OIY25" s="146"/>
      <c r="OIZ25" s="146"/>
      <c r="OJA25" s="146"/>
      <c r="OJB25" s="146"/>
      <c r="OJC25" s="146"/>
      <c r="OJD25" s="146"/>
      <c r="OJE25" s="146"/>
      <c r="OJF25" s="146"/>
      <c r="OJG25" s="146"/>
      <c r="OJH25" s="146"/>
      <c r="OJI25" s="146"/>
      <c r="OJJ25" s="146"/>
      <c r="OJK25" s="146"/>
      <c r="OJL25" s="146"/>
      <c r="OJM25" s="146"/>
      <c r="OJN25" s="146"/>
      <c r="OJO25" s="146"/>
      <c r="OJP25" s="146"/>
      <c r="OJQ25" s="146"/>
      <c r="OJR25" s="146"/>
      <c r="OJS25" s="146"/>
      <c r="OJT25" s="146"/>
      <c r="OJU25" s="146"/>
      <c r="OJV25" s="146"/>
      <c r="OJW25" s="146"/>
      <c r="OJX25" s="146"/>
      <c r="OJY25" s="146"/>
      <c r="OJZ25" s="146"/>
      <c r="OKA25" s="146"/>
      <c r="OKB25" s="146"/>
      <c r="OKC25" s="146"/>
      <c r="OKD25" s="146"/>
      <c r="OKE25" s="146"/>
      <c r="OKF25" s="146"/>
      <c r="OKG25" s="146"/>
      <c r="OKH25" s="146"/>
      <c r="OKI25" s="146"/>
      <c r="OKJ25" s="146"/>
      <c r="OKK25" s="146"/>
      <c r="OKL25" s="146"/>
      <c r="OKM25" s="146"/>
      <c r="OKN25" s="146"/>
      <c r="OKO25" s="146"/>
      <c r="OKP25" s="146"/>
      <c r="OKQ25" s="146"/>
      <c r="OKR25" s="146"/>
      <c r="OKS25" s="146"/>
      <c r="OKT25" s="146"/>
      <c r="OKU25" s="146"/>
      <c r="OKV25" s="146"/>
      <c r="OKW25" s="146"/>
      <c r="OKX25" s="146"/>
      <c r="OKY25" s="146"/>
      <c r="OKZ25" s="146"/>
      <c r="OLA25" s="146"/>
      <c r="OLB25" s="146"/>
      <c r="OLC25" s="146"/>
      <c r="OLD25" s="146"/>
      <c r="OLE25" s="146"/>
      <c r="OLF25" s="146"/>
      <c r="OLG25" s="146"/>
      <c r="OLH25" s="146"/>
      <c r="OLI25" s="146"/>
      <c r="OLJ25" s="146"/>
      <c r="OLK25" s="146"/>
      <c r="OLL25" s="146"/>
      <c r="OLM25" s="146"/>
      <c r="OLN25" s="146"/>
      <c r="OLO25" s="146"/>
      <c r="OLP25" s="146"/>
      <c r="OLQ25" s="146"/>
      <c r="OLR25" s="146"/>
      <c r="OLS25" s="146"/>
      <c r="OLT25" s="146"/>
      <c r="OLU25" s="146"/>
      <c r="OLV25" s="146"/>
      <c r="OLW25" s="146"/>
      <c r="OLX25" s="146"/>
      <c r="OLY25" s="146"/>
      <c r="OLZ25" s="146"/>
      <c r="OMA25" s="146"/>
      <c r="OMB25" s="146"/>
      <c r="OMC25" s="146"/>
      <c r="OMD25" s="146"/>
      <c r="OME25" s="146"/>
      <c r="OMF25" s="146"/>
      <c r="OMG25" s="146"/>
      <c r="OMH25" s="146"/>
      <c r="OMI25" s="146"/>
      <c r="OMJ25" s="146"/>
      <c r="OMK25" s="146"/>
      <c r="OML25" s="146"/>
      <c r="OMM25" s="146"/>
      <c r="OMN25" s="146"/>
      <c r="OMO25" s="146"/>
      <c r="OMP25" s="146"/>
      <c r="OMQ25" s="146"/>
      <c r="OMR25" s="146"/>
      <c r="OMS25" s="146"/>
      <c r="OMT25" s="146"/>
      <c r="OMU25" s="146"/>
      <c r="OMV25" s="146"/>
      <c r="OMW25" s="146"/>
      <c r="OMX25" s="146"/>
      <c r="OMY25" s="146"/>
      <c r="OMZ25" s="146"/>
      <c r="ONA25" s="146"/>
      <c r="ONB25" s="146"/>
      <c r="ONC25" s="146"/>
      <c r="OND25" s="146"/>
      <c r="ONE25" s="146"/>
      <c r="ONF25" s="146"/>
      <c r="ONG25" s="146"/>
      <c r="ONH25" s="146"/>
      <c r="ONI25" s="146"/>
      <c r="ONJ25" s="146"/>
      <c r="ONK25" s="146"/>
      <c r="ONL25" s="146"/>
      <c r="ONM25" s="146"/>
      <c r="ONN25" s="146"/>
      <c r="ONO25" s="146"/>
      <c r="ONP25" s="146"/>
      <c r="ONQ25" s="146"/>
      <c r="ONR25" s="146"/>
      <c r="ONS25" s="146"/>
      <c r="ONT25" s="146"/>
      <c r="ONU25" s="146"/>
      <c r="ONV25" s="146"/>
      <c r="ONW25" s="146"/>
      <c r="ONX25" s="146"/>
      <c r="ONY25" s="146"/>
      <c r="ONZ25" s="146"/>
      <c r="OOA25" s="146"/>
      <c r="OOB25" s="146"/>
      <c r="OOC25" s="146"/>
      <c r="OOD25" s="146"/>
      <c r="OOE25" s="146"/>
      <c r="OOF25" s="146"/>
      <c r="OOG25" s="146"/>
      <c r="OOH25" s="146"/>
      <c r="OOI25" s="146"/>
      <c r="OOJ25" s="146"/>
      <c r="OOK25" s="146"/>
      <c r="OOL25" s="146"/>
      <c r="OOM25" s="146"/>
      <c r="OON25" s="146"/>
      <c r="OOO25" s="146"/>
      <c r="OOP25" s="146"/>
      <c r="OOQ25" s="146"/>
      <c r="OOR25" s="146"/>
      <c r="OOS25" s="146"/>
      <c r="OOT25" s="146"/>
      <c r="OOU25" s="146"/>
      <c r="OOV25" s="146"/>
      <c r="OOW25" s="146"/>
      <c r="OOX25" s="146"/>
      <c r="OOY25" s="146"/>
      <c r="OOZ25" s="146"/>
      <c r="OPA25" s="146"/>
      <c r="OPB25" s="146"/>
      <c r="OPC25" s="146"/>
      <c r="OPD25" s="146"/>
      <c r="OPE25" s="146"/>
      <c r="OPF25" s="146"/>
      <c r="OPG25" s="146"/>
      <c r="OPH25" s="146"/>
      <c r="OPI25" s="146"/>
      <c r="OPJ25" s="146"/>
      <c r="OPK25" s="146"/>
      <c r="OPL25" s="146"/>
      <c r="OPM25" s="146"/>
      <c r="OPN25" s="146"/>
      <c r="OPO25" s="146"/>
      <c r="OPP25" s="146"/>
      <c r="OPQ25" s="146"/>
      <c r="OPR25" s="146"/>
      <c r="OPS25" s="146"/>
      <c r="OPT25" s="146"/>
      <c r="OPU25" s="146"/>
      <c r="OPV25" s="146"/>
      <c r="OPW25" s="146"/>
      <c r="OPX25" s="146"/>
      <c r="OPY25" s="146"/>
      <c r="OPZ25" s="146"/>
      <c r="OQA25" s="146"/>
      <c r="OQB25" s="146"/>
      <c r="OQC25" s="146"/>
      <c r="OQD25" s="146"/>
      <c r="OQE25" s="146"/>
      <c r="OQF25" s="146"/>
      <c r="OQG25" s="146"/>
      <c r="OQH25" s="146"/>
      <c r="OQI25" s="146"/>
      <c r="OQJ25" s="146"/>
      <c r="OQK25" s="146"/>
      <c r="OQL25" s="146"/>
      <c r="OQM25" s="146"/>
      <c r="OQN25" s="146"/>
      <c r="OQO25" s="146"/>
      <c r="OQP25" s="146"/>
      <c r="OQQ25" s="146"/>
      <c r="OQR25" s="146"/>
      <c r="OQS25" s="146"/>
      <c r="OQT25" s="146"/>
      <c r="OQU25" s="146"/>
      <c r="OQV25" s="146"/>
      <c r="OQW25" s="146"/>
      <c r="OQX25" s="146"/>
      <c r="OQY25" s="146"/>
      <c r="OQZ25" s="146"/>
      <c r="ORA25" s="146"/>
      <c r="ORB25" s="146"/>
      <c r="ORC25" s="146"/>
      <c r="ORD25" s="146"/>
      <c r="ORE25" s="146"/>
      <c r="ORF25" s="146"/>
      <c r="ORG25" s="146"/>
      <c r="ORH25" s="146"/>
      <c r="ORI25" s="146"/>
      <c r="ORJ25" s="146"/>
      <c r="ORK25" s="146"/>
      <c r="ORL25" s="146"/>
      <c r="ORM25" s="146"/>
      <c r="ORN25" s="146"/>
      <c r="ORO25" s="146"/>
      <c r="ORP25" s="146"/>
      <c r="ORQ25" s="146"/>
      <c r="ORR25" s="146"/>
      <c r="ORS25" s="146"/>
      <c r="ORT25" s="146"/>
      <c r="ORU25" s="146"/>
      <c r="ORV25" s="146"/>
      <c r="ORW25" s="146"/>
      <c r="ORX25" s="146"/>
      <c r="ORY25" s="146"/>
      <c r="ORZ25" s="146"/>
      <c r="OSA25" s="146"/>
      <c r="OSB25" s="146"/>
      <c r="OSC25" s="146"/>
      <c r="OSD25" s="146"/>
      <c r="OSE25" s="146"/>
      <c r="OSF25" s="146"/>
      <c r="OSG25" s="146"/>
      <c r="OSH25" s="146"/>
      <c r="OSI25" s="146"/>
      <c r="OSJ25" s="146"/>
      <c r="OSK25" s="146"/>
      <c r="OSL25" s="146"/>
      <c r="OSM25" s="146"/>
      <c r="OSN25" s="146"/>
      <c r="OSO25" s="146"/>
      <c r="OSP25" s="146"/>
      <c r="OSQ25" s="146"/>
      <c r="OSR25" s="146"/>
      <c r="OSS25" s="146"/>
      <c r="OST25" s="146"/>
      <c r="OSU25" s="146"/>
      <c r="OSV25" s="146"/>
      <c r="OSW25" s="146"/>
      <c r="OSX25" s="146"/>
      <c r="OSY25" s="146"/>
      <c r="OSZ25" s="146"/>
      <c r="OTA25" s="146"/>
      <c r="OTB25" s="146"/>
      <c r="OTC25" s="146"/>
      <c r="OTD25" s="146"/>
      <c r="OTE25" s="146"/>
      <c r="OTF25" s="146"/>
      <c r="OTG25" s="146"/>
      <c r="OTH25" s="146"/>
      <c r="OTI25" s="146"/>
      <c r="OTJ25" s="146"/>
      <c r="OTK25" s="146"/>
      <c r="OTL25" s="146"/>
      <c r="OTM25" s="146"/>
      <c r="OTN25" s="146"/>
      <c r="OTO25" s="146"/>
      <c r="OTP25" s="146"/>
      <c r="OTQ25" s="146"/>
      <c r="OTR25" s="146"/>
      <c r="OTS25" s="146"/>
      <c r="OTT25" s="146"/>
      <c r="OTU25" s="146"/>
      <c r="OTV25" s="146"/>
      <c r="OTW25" s="146"/>
      <c r="OTX25" s="146"/>
      <c r="OTY25" s="146"/>
      <c r="OTZ25" s="146"/>
      <c r="OUA25" s="146"/>
      <c r="OUB25" s="146"/>
      <c r="OUC25" s="146"/>
      <c r="OUD25" s="146"/>
      <c r="OUE25" s="146"/>
      <c r="OUF25" s="146"/>
      <c r="OUG25" s="146"/>
      <c r="OUH25" s="146"/>
      <c r="OUI25" s="146"/>
      <c r="OUJ25" s="146"/>
      <c r="OUK25" s="146"/>
      <c r="OUL25" s="146"/>
      <c r="OUM25" s="146"/>
      <c r="OUN25" s="146"/>
      <c r="OUO25" s="146"/>
      <c r="OUP25" s="146"/>
      <c r="OUQ25" s="146"/>
      <c r="OUR25" s="146"/>
      <c r="OUS25" s="146"/>
      <c r="OUT25" s="146"/>
      <c r="OUU25" s="146"/>
      <c r="OUV25" s="146"/>
      <c r="OUW25" s="146"/>
      <c r="OUX25" s="146"/>
      <c r="OUY25" s="146"/>
      <c r="OUZ25" s="146"/>
      <c r="OVA25" s="146"/>
      <c r="OVB25" s="146"/>
      <c r="OVC25" s="146"/>
      <c r="OVD25" s="146"/>
      <c r="OVE25" s="146"/>
      <c r="OVF25" s="146"/>
      <c r="OVG25" s="146"/>
      <c r="OVH25" s="146"/>
      <c r="OVI25" s="146"/>
      <c r="OVJ25" s="146"/>
      <c r="OVK25" s="146"/>
      <c r="OVL25" s="146"/>
      <c r="OVM25" s="146"/>
      <c r="OVN25" s="146"/>
      <c r="OVO25" s="146"/>
      <c r="OVP25" s="146"/>
      <c r="OVQ25" s="146"/>
      <c r="OVR25" s="146"/>
      <c r="OVS25" s="146"/>
      <c r="OVT25" s="146"/>
      <c r="OVU25" s="146"/>
      <c r="OVV25" s="146"/>
      <c r="OVW25" s="146"/>
      <c r="OVX25" s="146"/>
      <c r="OVY25" s="146"/>
      <c r="OVZ25" s="146"/>
      <c r="OWA25" s="146"/>
      <c r="OWB25" s="146"/>
      <c r="OWC25" s="146"/>
      <c r="OWD25" s="146"/>
      <c r="OWE25" s="146"/>
      <c r="OWF25" s="146"/>
      <c r="OWG25" s="146"/>
      <c r="OWH25" s="146"/>
      <c r="OWI25" s="146"/>
      <c r="OWJ25" s="146"/>
      <c r="OWK25" s="146"/>
      <c r="OWL25" s="146"/>
      <c r="OWM25" s="146"/>
      <c r="OWN25" s="146"/>
      <c r="OWO25" s="146"/>
      <c r="OWP25" s="146"/>
      <c r="OWQ25" s="146"/>
      <c r="OWR25" s="146"/>
      <c r="OWS25" s="146"/>
      <c r="OWT25" s="146"/>
      <c r="OWU25" s="146"/>
      <c r="OWV25" s="146"/>
      <c r="OWW25" s="146"/>
      <c r="OWX25" s="146"/>
      <c r="OWY25" s="146"/>
      <c r="OWZ25" s="146"/>
      <c r="OXA25" s="146"/>
      <c r="OXB25" s="146"/>
      <c r="OXC25" s="146"/>
      <c r="OXD25" s="146"/>
      <c r="OXE25" s="146"/>
      <c r="OXF25" s="146"/>
      <c r="OXG25" s="146"/>
      <c r="OXH25" s="146"/>
      <c r="OXI25" s="146"/>
      <c r="OXJ25" s="146"/>
      <c r="OXK25" s="146"/>
      <c r="OXL25" s="146"/>
      <c r="OXM25" s="146"/>
      <c r="OXN25" s="146"/>
      <c r="OXO25" s="146"/>
      <c r="OXP25" s="146"/>
      <c r="OXQ25" s="146"/>
      <c r="OXR25" s="146"/>
      <c r="OXS25" s="146"/>
      <c r="OXT25" s="146"/>
      <c r="OXU25" s="146"/>
      <c r="OXV25" s="146"/>
      <c r="OXW25" s="146"/>
      <c r="OXX25" s="146"/>
      <c r="OXY25" s="146"/>
      <c r="OXZ25" s="146"/>
      <c r="OYA25" s="146"/>
      <c r="OYB25" s="146"/>
      <c r="OYC25" s="146"/>
      <c r="OYD25" s="146"/>
      <c r="OYE25" s="146"/>
      <c r="OYF25" s="146"/>
      <c r="OYG25" s="146"/>
      <c r="OYH25" s="146"/>
      <c r="OYI25" s="146"/>
      <c r="OYJ25" s="146"/>
      <c r="OYK25" s="146"/>
      <c r="OYL25" s="146"/>
      <c r="OYM25" s="146"/>
      <c r="OYN25" s="146"/>
      <c r="OYO25" s="146"/>
      <c r="OYP25" s="146"/>
      <c r="OYQ25" s="146"/>
      <c r="OYR25" s="146"/>
      <c r="OYS25" s="146"/>
      <c r="OYT25" s="146"/>
      <c r="OYU25" s="146"/>
      <c r="OYV25" s="146"/>
      <c r="OYW25" s="146"/>
      <c r="OYX25" s="146"/>
      <c r="OYY25" s="146"/>
      <c r="OYZ25" s="146"/>
      <c r="OZA25" s="146"/>
      <c r="OZB25" s="146"/>
      <c r="OZC25" s="146"/>
      <c r="OZD25" s="146"/>
      <c r="OZE25" s="146"/>
      <c r="OZF25" s="146"/>
      <c r="OZG25" s="146"/>
      <c r="OZH25" s="146"/>
      <c r="OZI25" s="146"/>
      <c r="OZJ25" s="146"/>
      <c r="OZK25" s="146"/>
      <c r="OZL25" s="146"/>
      <c r="OZM25" s="146"/>
      <c r="OZN25" s="146"/>
      <c r="OZO25" s="146"/>
      <c r="OZP25" s="146"/>
      <c r="OZQ25" s="146"/>
      <c r="OZR25" s="146"/>
      <c r="OZS25" s="146"/>
      <c r="OZT25" s="146"/>
      <c r="OZU25" s="146"/>
      <c r="OZV25" s="146"/>
      <c r="OZW25" s="146"/>
      <c r="OZX25" s="146"/>
      <c r="OZY25" s="146"/>
      <c r="OZZ25" s="146"/>
      <c r="PAA25" s="146"/>
      <c r="PAB25" s="146"/>
      <c r="PAC25" s="146"/>
      <c r="PAD25" s="146"/>
      <c r="PAE25" s="146"/>
      <c r="PAF25" s="146"/>
      <c r="PAG25" s="146"/>
      <c r="PAH25" s="146"/>
      <c r="PAI25" s="146"/>
      <c r="PAJ25" s="146"/>
      <c r="PAK25" s="146"/>
      <c r="PAL25" s="146"/>
      <c r="PAM25" s="146"/>
      <c r="PAN25" s="146"/>
      <c r="PAO25" s="146"/>
      <c r="PAP25" s="146"/>
      <c r="PAQ25" s="146"/>
      <c r="PAR25" s="146"/>
      <c r="PAS25" s="146"/>
      <c r="PAT25" s="146"/>
      <c r="PAU25" s="146"/>
      <c r="PAV25" s="146"/>
      <c r="PAW25" s="146"/>
      <c r="PAX25" s="146"/>
      <c r="PAY25" s="146"/>
      <c r="PAZ25" s="146"/>
      <c r="PBA25" s="146"/>
      <c r="PBB25" s="146"/>
      <c r="PBC25" s="146"/>
      <c r="PBD25" s="146"/>
      <c r="PBE25" s="146"/>
      <c r="PBF25" s="146"/>
      <c r="PBG25" s="146"/>
      <c r="PBH25" s="146"/>
      <c r="PBI25" s="146"/>
      <c r="PBJ25" s="146"/>
      <c r="PBK25" s="146"/>
      <c r="PBL25" s="146"/>
      <c r="PBM25" s="146"/>
      <c r="PBN25" s="146"/>
      <c r="PBO25" s="146"/>
      <c r="PBP25" s="146"/>
      <c r="PBQ25" s="146"/>
      <c r="PBR25" s="146"/>
      <c r="PBS25" s="146"/>
      <c r="PBT25" s="146"/>
      <c r="PBU25" s="146"/>
      <c r="PBV25" s="146"/>
      <c r="PBW25" s="146"/>
      <c r="PBX25" s="146"/>
      <c r="PBY25" s="146"/>
      <c r="PBZ25" s="146"/>
      <c r="PCA25" s="146"/>
      <c r="PCB25" s="146"/>
      <c r="PCC25" s="146"/>
      <c r="PCD25" s="146"/>
      <c r="PCE25" s="146"/>
      <c r="PCF25" s="146"/>
      <c r="PCG25" s="146"/>
      <c r="PCH25" s="146"/>
      <c r="PCI25" s="146"/>
      <c r="PCJ25" s="146"/>
      <c r="PCK25" s="146"/>
      <c r="PCL25" s="146"/>
      <c r="PCM25" s="146"/>
      <c r="PCN25" s="146"/>
      <c r="PCO25" s="146"/>
      <c r="PCP25" s="146"/>
      <c r="PCQ25" s="146"/>
      <c r="PCR25" s="146"/>
      <c r="PCS25" s="146"/>
      <c r="PCT25" s="146"/>
      <c r="PCU25" s="146"/>
      <c r="PCV25" s="146"/>
      <c r="PCW25" s="146"/>
      <c r="PCX25" s="146"/>
      <c r="PCY25" s="146"/>
      <c r="PCZ25" s="146"/>
      <c r="PDA25" s="146"/>
      <c r="PDB25" s="146"/>
      <c r="PDC25" s="146"/>
      <c r="PDD25" s="146"/>
      <c r="PDE25" s="146"/>
      <c r="PDF25" s="146"/>
      <c r="PDG25" s="146"/>
      <c r="PDH25" s="146"/>
      <c r="PDI25" s="146"/>
      <c r="PDJ25" s="146"/>
      <c r="PDK25" s="146"/>
      <c r="PDL25" s="146"/>
      <c r="PDM25" s="146"/>
      <c r="PDN25" s="146"/>
      <c r="PDO25" s="146"/>
      <c r="PDP25" s="146"/>
      <c r="PDQ25" s="146"/>
      <c r="PDR25" s="146"/>
      <c r="PDS25" s="146"/>
      <c r="PDT25" s="146"/>
      <c r="PDU25" s="146"/>
      <c r="PDV25" s="146"/>
      <c r="PDW25" s="146"/>
      <c r="PDX25" s="146"/>
      <c r="PDY25" s="146"/>
      <c r="PDZ25" s="146"/>
      <c r="PEA25" s="146"/>
      <c r="PEB25" s="146"/>
      <c r="PEC25" s="146"/>
      <c r="PED25" s="146"/>
      <c r="PEE25" s="146"/>
      <c r="PEF25" s="146"/>
      <c r="PEG25" s="146"/>
      <c r="PEH25" s="146"/>
      <c r="PEI25" s="146"/>
      <c r="PEJ25" s="146"/>
      <c r="PEK25" s="146"/>
      <c r="PEL25" s="146"/>
      <c r="PEM25" s="146"/>
      <c r="PEN25" s="146"/>
      <c r="PEO25" s="146"/>
      <c r="PEP25" s="146"/>
      <c r="PEQ25" s="146"/>
      <c r="PER25" s="146"/>
      <c r="PES25" s="146"/>
      <c r="PET25" s="146"/>
      <c r="PEU25" s="146"/>
      <c r="PEV25" s="146"/>
      <c r="PEW25" s="146"/>
      <c r="PEX25" s="146"/>
      <c r="PEY25" s="146"/>
      <c r="PEZ25" s="146"/>
      <c r="PFA25" s="146"/>
      <c r="PFB25" s="146"/>
      <c r="PFC25" s="146"/>
      <c r="PFD25" s="146"/>
      <c r="PFE25" s="146"/>
      <c r="PFF25" s="146"/>
      <c r="PFG25" s="146"/>
      <c r="PFH25" s="146"/>
      <c r="PFI25" s="146"/>
      <c r="PFJ25" s="146"/>
      <c r="PFK25" s="146"/>
      <c r="PFL25" s="146"/>
      <c r="PFM25" s="146"/>
      <c r="PFN25" s="146"/>
      <c r="PFO25" s="146"/>
      <c r="PFP25" s="146"/>
      <c r="PFQ25" s="146"/>
      <c r="PFR25" s="146"/>
      <c r="PFS25" s="146"/>
      <c r="PFT25" s="146"/>
      <c r="PFU25" s="146"/>
      <c r="PFV25" s="146"/>
      <c r="PFW25" s="146"/>
      <c r="PFX25" s="146"/>
      <c r="PFY25" s="146"/>
      <c r="PFZ25" s="146"/>
      <c r="PGA25" s="146"/>
      <c r="PGB25" s="146"/>
      <c r="PGC25" s="146"/>
      <c r="PGD25" s="146"/>
      <c r="PGE25" s="146"/>
      <c r="PGF25" s="146"/>
      <c r="PGG25" s="146"/>
      <c r="PGH25" s="146"/>
      <c r="PGI25" s="146"/>
      <c r="PGJ25" s="146"/>
      <c r="PGK25" s="146"/>
      <c r="PGL25" s="146"/>
      <c r="PGM25" s="146"/>
      <c r="PGN25" s="146"/>
      <c r="PGO25" s="146"/>
      <c r="PGP25" s="146"/>
      <c r="PGQ25" s="146"/>
      <c r="PGR25" s="146"/>
      <c r="PGS25" s="146"/>
      <c r="PGT25" s="146"/>
      <c r="PGU25" s="146"/>
      <c r="PGV25" s="146"/>
      <c r="PGW25" s="146"/>
      <c r="PGX25" s="146"/>
      <c r="PGY25" s="146"/>
      <c r="PGZ25" s="146"/>
      <c r="PHA25" s="146"/>
      <c r="PHB25" s="146"/>
      <c r="PHC25" s="146"/>
      <c r="PHD25" s="146"/>
      <c r="PHE25" s="146"/>
      <c r="PHF25" s="146"/>
      <c r="PHG25" s="146"/>
      <c r="PHH25" s="146"/>
      <c r="PHI25" s="146"/>
      <c r="PHJ25" s="146"/>
      <c r="PHK25" s="146"/>
      <c r="PHL25" s="146"/>
      <c r="PHM25" s="146"/>
      <c r="PHN25" s="146"/>
      <c r="PHO25" s="146"/>
      <c r="PHP25" s="146"/>
      <c r="PHQ25" s="146"/>
      <c r="PHR25" s="146"/>
      <c r="PHS25" s="146"/>
      <c r="PHT25" s="146"/>
      <c r="PHU25" s="146"/>
      <c r="PHV25" s="146"/>
      <c r="PHW25" s="146"/>
      <c r="PHX25" s="146"/>
      <c r="PHY25" s="146"/>
      <c r="PHZ25" s="146"/>
      <c r="PIA25" s="146"/>
      <c r="PIB25" s="146"/>
      <c r="PIC25" s="146"/>
      <c r="PID25" s="146"/>
      <c r="PIE25" s="146"/>
      <c r="PIF25" s="146"/>
      <c r="PIG25" s="146"/>
      <c r="PIH25" s="146"/>
      <c r="PII25" s="146"/>
      <c r="PIJ25" s="146"/>
      <c r="PIK25" s="146"/>
      <c r="PIL25" s="146"/>
      <c r="PIM25" s="146"/>
      <c r="PIN25" s="146"/>
      <c r="PIO25" s="146"/>
      <c r="PIP25" s="146"/>
      <c r="PIQ25" s="146"/>
      <c r="PIR25" s="146"/>
      <c r="PIS25" s="146"/>
      <c r="PIT25" s="146"/>
      <c r="PIU25" s="146"/>
      <c r="PIV25" s="146"/>
      <c r="PIW25" s="146"/>
      <c r="PIX25" s="146"/>
      <c r="PIY25" s="146"/>
      <c r="PIZ25" s="146"/>
      <c r="PJA25" s="146"/>
      <c r="PJB25" s="146"/>
      <c r="PJC25" s="146"/>
      <c r="PJD25" s="146"/>
      <c r="PJE25" s="146"/>
      <c r="PJF25" s="146"/>
      <c r="PJG25" s="146"/>
      <c r="PJH25" s="146"/>
      <c r="PJI25" s="146"/>
      <c r="PJJ25" s="146"/>
      <c r="PJK25" s="146"/>
      <c r="PJL25" s="146"/>
      <c r="PJM25" s="146"/>
      <c r="PJN25" s="146"/>
      <c r="PJO25" s="146"/>
      <c r="PJP25" s="146"/>
      <c r="PJQ25" s="146"/>
      <c r="PJR25" s="146"/>
      <c r="PJS25" s="146"/>
      <c r="PJT25" s="146"/>
      <c r="PJU25" s="146"/>
      <c r="PJV25" s="146"/>
      <c r="PJW25" s="146"/>
      <c r="PJX25" s="146"/>
      <c r="PJY25" s="146"/>
      <c r="PJZ25" s="146"/>
      <c r="PKA25" s="146"/>
      <c r="PKB25" s="146"/>
      <c r="PKC25" s="146"/>
      <c r="PKD25" s="146"/>
      <c r="PKE25" s="146"/>
      <c r="PKF25" s="146"/>
      <c r="PKG25" s="146"/>
      <c r="PKH25" s="146"/>
      <c r="PKI25" s="146"/>
      <c r="PKJ25" s="146"/>
      <c r="PKK25" s="146"/>
      <c r="PKL25" s="146"/>
      <c r="PKM25" s="146"/>
      <c r="PKN25" s="146"/>
      <c r="PKO25" s="146"/>
      <c r="PKP25" s="146"/>
      <c r="PKQ25" s="146"/>
      <c r="PKR25" s="146"/>
      <c r="PKS25" s="146"/>
      <c r="PKT25" s="146"/>
      <c r="PKU25" s="146"/>
      <c r="PKV25" s="146"/>
      <c r="PKW25" s="146"/>
      <c r="PKX25" s="146"/>
      <c r="PKY25" s="146"/>
      <c r="PKZ25" s="146"/>
      <c r="PLA25" s="146"/>
      <c r="PLB25" s="146"/>
      <c r="PLC25" s="146"/>
      <c r="PLD25" s="146"/>
      <c r="PLE25" s="146"/>
      <c r="PLF25" s="146"/>
      <c r="PLG25" s="146"/>
      <c r="PLH25" s="146"/>
      <c r="PLI25" s="146"/>
      <c r="PLJ25" s="146"/>
      <c r="PLK25" s="146"/>
      <c r="PLL25" s="146"/>
      <c r="PLM25" s="146"/>
      <c r="PLN25" s="146"/>
      <c r="PLO25" s="146"/>
      <c r="PLP25" s="146"/>
      <c r="PLQ25" s="146"/>
      <c r="PLR25" s="146"/>
      <c r="PLS25" s="146"/>
      <c r="PLT25" s="146"/>
      <c r="PLU25" s="146"/>
      <c r="PLV25" s="146"/>
      <c r="PLW25" s="146"/>
      <c r="PLX25" s="146"/>
      <c r="PLY25" s="146"/>
      <c r="PLZ25" s="146"/>
      <c r="PMA25" s="146"/>
      <c r="PMB25" s="146"/>
      <c r="PMC25" s="146"/>
      <c r="PMD25" s="146"/>
      <c r="PME25" s="146"/>
      <c r="PMF25" s="146"/>
      <c r="PMG25" s="146"/>
      <c r="PMH25" s="146"/>
      <c r="PMI25" s="146"/>
      <c r="PMJ25" s="146"/>
      <c r="PMK25" s="146"/>
      <c r="PML25" s="146"/>
      <c r="PMM25" s="146"/>
      <c r="PMN25" s="146"/>
      <c r="PMO25" s="146"/>
      <c r="PMP25" s="146"/>
      <c r="PMQ25" s="146"/>
      <c r="PMR25" s="146"/>
      <c r="PMS25" s="146"/>
      <c r="PMT25" s="146"/>
      <c r="PMU25" s="146"/>
      <c r="PMV25" s="146"/>
      <c r="PMW25" s="146"/>
      <c r="PMX25" s="146"/>
      <c r="PMY25" s="146"/>
      <c r="PMZ25" s="146"/>
      <c r="PNA25" s="146"/>
      <c r="PNB25" s="146"/>
      <c r="PNC25" s="146"/>
      <c r="PND25" s="146"/>
      <c r="PNE25" s="146"/>
      <c r="PNF25" s="146"/>
      <c r="PNG25" s="146"/>
      <c r="PNH25" s="146"/>
      <c r="PNI25" s="146"/>
      <c r="PNJ25" s="146"/>
      <c r="PNK25" s="146"/>
      <c r="PNL25" s="146"/>
      <c r="PNM25" s="146"/>
      <c r="PNN25" s="146"/>
      <c r="PNO25" s="146"/>
      <c r="PNP25" s="146"/>
      <c r="PNQ25" s="146"/>
      <c r="PNR25" s="146"/>
      <c r="PNS25" s="146"/>
      <c r="PNT25" s="146"/>
      <c r="PNU25" s="146"/>
      <c r="PNV25" s="146"/>
      <c r="PNW25" s="146"/>
      <c r="PNX25" s="146"/>
      <c r="PNY25" s="146"/>
      <c r="PNZ25" s="146"/>
      <c r="POA25" s="146"/>
      <c r="POB25" s="146"/>
      <c r="POC25" s="146"/>
      <c r="POD25" s="146"/>
      <c r="POE25" s="146"/>
      <c r="POF25" s="146"/>
      <c r="POG25" s="146"/>
      <c r="POH25" s="146"/>
      <c r="POI25" s="146"/>
      <c r="POJ25" s="146"/>
      <c r="POK25" s="146"/>
      <c r="POL25" s="146"/>
      <c r="POM25" s="146"/>
      <c r="PON25" s="146"/>
      <c r="POO25" s="146"/>
      <c r="POP25" s="146"/>
      <c r="POQ25" s="146"/>
      <c r="POR25" s="146"/>
      <c r="POS25" s="146"/>
      <c r="POT25" s="146"/>
      <c r="POU25" s="146"/>
      <c r="POV25" s="146"/>
      <c r="POW25" s="146"/>
      <c r="POX25" s="146"/>
      <c r="POY25" s="146"/>
      <c r="POZ25" s="146"/>
      <c r="PPA25" s="146"/>
      <c r="PPB25" s="146"/>
      <c r="PPC25" s="146"/>
      <c r="PPD25" s="146"/>
      <c r="PPE25" s="146"/>
      <c r="PPF25" s="146"/>
      <c r="PPG25" s="146"/>
      <c r="PPH25" s="146"/>
      <c r="PPI25" s="146"/>
      <c r="PPJ25" s="146"/>
      <c r="PPK25" s="146"/>
      <c r="PPL25" s="146"/>
      <c r="PPM25" s="146"/>
      <c r="PPN25" s="146"/>
      <c r="PPO25" s="146"/>
      <c r="PPP25" s="146"/>
      <c r="PPQ25" s="146"/>
      <c r="PPR25" s="146"/>
      <c r="PPS25" s="146"/>
      <c r="PPT25" s="146"/>
      <c r="PPU25" s="146"/>
      <c r="PPV25" s="146"/>
      <c r="PPW25" s="146"/>
      <c r="PPX25" s="146"/>
      <c r="PPY25" s="146"/>
      <c r="PPZ25" s="146"/>
      <c r="PQA25" s="146"/>
      <c r="PQB25" s="146"/>
      <c r="PQC25" s="146"/>
      <c r="PQD25" s="146"/>
      <c r="PQE25" s="146"/>
      <c r="PQF25" s="146"/>
      <c r="PQG25" s="146"/>
      <c r="PQH25" s="146"/>
      <c r="PQI25" s="146"/>
      <c r="PQJ25" s="146"/>
      <c r="PQK25" s="146"/>
      <c r="PQL25" s="146"/>
      <c r="PQM25" s="146"/>
      <c r="PQN25" s="146"/>
      <c r="PQO25" s="146"/>
      <c r="PQP25" s="146"/>
      <c r="PQQ25" s="146"/>
      <c r="PQR25" s="146"/>
      <c r="PQS25" s="146"/>
      <c r="PQT25" s="146"/>
      <c r="PQU25" s="146"/>
      <c r="PQV25" s="146"/>
      <c r="PQW25" s="146"/>
      <c r="PQX25" s="146"/>
      <c r="PQY25" s="146"/>
      <c r="PQZ25" s="146"/>
      <c r="PRA25" s="146"/>
      <c r="PRB25" s="146"/>
      <c r="PRC25" s="146"/>
      <c r="PRD25" s="146"/>
      <c r="PRE25" s="146"/>
      <c r="PRF25" s="146"/>
      <c r="PRG25" s="146"/>
      <c r="PRH25" s="146"/>
      <c r="PRI25" s="146"/>
      <c r="PRJ25" s="146"/>
      <c r="PRK25" s="146"/>
      <c r="PRL25" s="146"/>
      <c r="PRM25" s="146"/>
      <c r="PRN25" s="146"/>
      <c r="PRO25" s="146"/>
      <c r="PRP25" s="146"/>
      <c r="PRQ25" s="146"/>
      <c r="PRR25" s="146"/>
      <c r="PRS25" s="146"/>
      <c r="PRT25" s="146"/>
      <c r="PRU25" s="146"/>
      <c r="PRV25" s="146"/>
      <c r="PRW25" s="146"/>
      <c r="PRX25" s="146"/>
      <c r="PRY25" s="146"/>
      <c r="PRZ25" s="146"/>
      <c r="PSA25" s="146"/>
      <c r="PSB25" s="146"/>
      <c r="PSC25" s="146"/>
      <c r="PSD25" s="146"/>
      <c r="PSE25" s="146"/>
      <c r="PSF25" s="146"/>
      <c r="PSG25" s="146"/>
      <c r="PSH25" s="146"/>
      <c r="PSI25" s="146"/>
      <c r="PSJ25" s="146"/>
      <c r="PSK25" s="146"/>
      <c r="PSL25" s="146"/>
      <c r="PSM25" s="146"/>
      <c r="PSN25" s="146"/>
      <c r="PSO25" s="146"/>
      <c r="PSP25" s="146"/>
      <c r="PSQ25" s="146"/>
      <c r="PSR25" s="146"/>
      <c r="PSS25" s="146"/>
      <c r="PST25" s="146"/>
      <c r="PSU25" s="146"/>
      <c r="PSV25" s="146"/>
      <c r="PSW25" s="146"/>
      <c r="PSX25" s="146"/>
      <c r="PSY25" s="146"/>
      <c r="PSZ25" s="146"/>
      <c r="PTA25" s="146"/>
      <c r="PTB25" s="146"/>
      <c r="PTC25" s="146"/>
      <c r="PTD25" s="146"/>
      <c r="PTE25" s="146"/>
      <c r="PTF25" s="146"/>
      <c r="PTG25" s="146"/>
      <c r="PTH25" s="146"/>
      <c r="PTI25" s="146"/>
      <c r="PTJ25" s="146"/>
      <c r="PTK25" s="146"/>
      <c r="PTL25" s="146"/>
      <c r="PTM25" s="146"/>
      <c r="PTN25" s="146"/>
      <c r="PTO25" s="146"/>
      <c r="PTP25" s="146"/>
      <c r="PTQ25" s="146"/>
      <c r="PTR25" s="146"/>
      <c r="PTS25" s="146"/>
      <c r="PTT25" s="146"/>
      <c r="PTU25" s="146"/>
      <c r="PTV25" s="146"/>
      <c r="PTW25" s="146"/>
      <c r="PTX25" s="146"/>
      <c r="PTY25" s="146"/>
      <c r="PTZ25" s="146"/>
      <c r="PUA25" s="146"/>
      <c r="PUB25" s="146"/>
      <c r="PUC25" s="146"/>
      <c r="PUD25" s="146"/>
      <c r="PUE25" s="146"/>
      <c r="PUF25" s="146"/>
      <c r="PUG25" s="146"/>
      <c r="PUH25" s="146"/>
      <c r="PUI25" s="146"/>
      <c r="PUJ25" s="146"/>
      <c r="PUK25" s="146"/>
      <c r="PUL25" s="146"/>
      <c r="PUM25" s="146"/>
      <c r="PUN25" s="146"/>
      <c r="PUO25" s="146"/>
      <c r="PUP25" s="146"/>
      <c r="PUQ25" s="146"/>
      <c r="PUR25" s="146"/>
      <c r="PUS25" s="146"/>
      <c r="PUT25" s="146"/>
      <c r="PUU25" s="146"/>
      <c r="PUV25" s="146"/>
      <c r="PUW25" s="146"/>
      <c r="PUX25" s="146"/>
      <c r="PUY25" s="146"/>
      <c r="PUZ25" s="146"/>
      <c r="PVA25" s="146"/>
      <c r="PVB25" s="146"/>
      <c r="PVC25" s="146"/>
      <c r="PVD25" s="146"/>
      <c r="PVE25" s="146"/>
      <c r="PVF25" s="146"/>
      <c r="PVG25" s="146"/>
      <c r="PVH25" s="146"/>
      <c r="PVI25" s="146"/>
      <c r="PVJ25" s="146"/>
      <c r="PVK25" s="146"/>
      <c r="PVL25" s="146"/>
      <c r="PVM25" s="146"/>
      <c r="PVN25" s="146"/>
      <c r="PVO25" s="146"/>
      <c r="PVP25" s="146"/>
      <c r="PVQ25" s="146"/>
      <c r="PVR25" s="146"/>
      <c r="PVS25" s="146"/>
      <c r="PVT25" s="146"/>
      <c r="PVU25" s="146"/>
      <c r="PVV25" s="146"/>
      <c r="PVW25" s="146"/>
      <c r="PVX25" s="146"/>
      <c r="PVY25" s="146"/>
      <c r="PVZ25" s="146"/>
      <c r="PWA25" s="146"/>
      <c r="PWB25" s="146"/>
      <c r="PWC25" s="146"/>
      <c r="PWD25" s="146"/>
      <c r="PWE25" s="146"/>
      <c r="PWF25" s="146"/>
      <c r="PWG25" s="146"/>
      <c r="PWH25" s="146"/>
      <c r="PWI25" s="146"/>
      <c r="PWJ25" s="146"/>
      <c r="PWK25" s="146"/>
      <c r="PWL25" s="146"/>
      <c r="PWM25" s="146"/>
      <c r="PWN25" s="146"/>
      <c r="PWO25" s="146"/>
      <c r="PWP25" s="146"/>
      <c r="PWQ25" s="146"/>
      <c r="PWR25" s="146"/>
      <c r="PWS25" s="146"/>
      <c r="PWT25" s="146"/>
      <c r="PWU25" s="146"/>
      <c r="PWV25" s="146"/>
      <c r="PWW25" s="146"/>
      <c r="PWX25" s="146"/>
      <c r="PWY25" s="146"/>
      <c r="PWZ25" s="146"/>
      <c r="PXA25" s="146"/>
      <c r="PXB25" s="146"/>
      <c r="PXC25" s="146"/>
      <c r="PXD25" s="146"/>
      <c r="PXE25" s="146"/>
      <c r="PXF25" s="146"/>
      <c r="PXG25" s="146"/>
      <c r="PXH25" s="146"/>
      <c r="PXI25" s="146"/>
      <c r="PXJ25" s="146"/>
      <c r="PXK25" s="146"/>
      <c r="PXL25" s="146"/>
      <c r="PXM25" s="146"/>
      <c r="PXN25" s="146"/>
      <c r="PXO25" s="146"/>
      <c r="PXP25" s="146"/>
      <c r="PXQ25" s="146"/>
      <c r="PXR25" s="146"/>
      <c r="PXS25" s="146"/>
      <c r="PXT25" s="146"/>
      <c r="PXU25" s="146"/>
      <c r="PXV25" s="146"/>
      <c r="PXW25" s="146"/>
      <c r="PXX25" s="146"/>
      <c r="PXY25" s="146"/>
      <c r="PXZ25" s="146"/>
      <c r="PYA25" s="146"/>
      <c r="PYB25" s="146"/>
      <c r="PYC25" s="146"/>
      <c r="PYD25" s="146"/>
      <c r="PYE25" s="146"/>
      <c r="PYF25" s="146"/>
      <c r="PYG25" s="146"/>
      <c r="PYH25" s="146"/>
      <c r="PYI25" s="146"/>
      <c r="PYJ25" s="146"/>
      <c r="PYK25" s="146"/>
      <c r="PYL25" s="146"/>
      <c r="PYM25" s="146"/>
      <c r="PYN25" s="146"/>
      <c r="PYO25" s="146"/>
      <c r="PYP25" s="146"/>
      <c r="PYQ25" s="146"/>
      <c r="PYR25" s="146"/>
      <c r="PYS25" s="146"/>
      <c r="PYT25" s="146"/>
      <c r="PYU25" s="146"/>
      <c r="PYV25" s="146"/>
      <c r="PYW25" s="146"/>
      <c r="PYX25" s="146"/>
      <c r="PYY25" s="146"/>
      <c r="PYZ25" s="146"/>
      <c r="PZA25" s="146"/>
      <c r="PZB25" s="146"/>
      <c r="PZC25" s="146"/>
      <c r="PZD25" s="146"/>
      <c r="PZE25" s="146"/>
      <c r="PZF25" s="146"/>
      <c r="PZG25" s="146"/>
      <c r="PZH25" s="146"/>
      <c r="PZI25" s="146"/>
      <c r="PZJ25" s="146"/>
      <c r="PZK25" s="146"/>
      <c r="PZL25" s="146"/>
      <c r="PZM25" s="146"/>
      <c r="PZN25" s="146"/>
      <c r="PZO25" s="146"/>
      <c r="PZP25" s="146"/>
      <c r="PZQ25" s="146"/>
      <c r="PZR25" s="146"/>
      <c r="PZS25" s="146"/>
      <c r="PZT25" s="146"/>
      <c r="PZU25" s="146"/>
      <c r="PZV25" s="146"/>
      <c r="PZW25" s="146"/>
      <c r="PZX25" s="146"/>
      <c r="PZY25" s="146"/>
      <c r="PZZ25" s="146"/>
      <c r="QAA25" s="146"/>
      <c r="QAB25" s="146"/>
      <c r="QAC25" s="146"/>
      <c r="QAD25" s="146"/>
      <c r="QAE25" s="146"/>
      <c r="QAF25" s="146"/>
      <c r="QAG25" s="146"/>
      <c r="QAH25" s="146"/>
      <c r="QAI25" s="146"/>
      <c r="QAJ25" s="146"/>
      <c r="QAK25" s="146"/>
      <c r="QAL25" s="146"/>
      <c r="QAM25" s="146"/>
      <c r="QAN25" s="146"/>
      <c r="QAO25" s="146"/>
      <c r="QAP25" s="146"/>
      <c r="QAQ25" s="146"/>
      <c r="QAR25" s="146"/>
      <c r="QAS25" s="146"/>
      <c r="QAT25" s="146"/>
      <c r="QAU25" s="146"/>
      <c r="QAV25" s="146"/>
      <c r="QAW25" s="146"/>
      <c r="QAX25" s="146"/>
      <c r="QAY25" s="146"/>
      <c r="QAZ25" s="146"/>
      <c r="QBA25" s="146"/>
      <c r="QBB25" s="146"/>
      <c r="QBC25" s="146"/>
      <c r="QBD25" s="146"/>
      <c r="QBE25" s="146"/>
      <c r="QBF25" s="146"/>
      <c r="QBG25" s="146"/>
      <c r="QBH25" s="146"/>
      <c r="QBI25" s="146"/>
      <c r="QBJ25" s="146"/>
      <c r="QBK25" s="146"/>
      <c r="QBL25" s="146"/>
      <c r="QBM25" s="146"/>
      <c r="QBN25" s="146"/>
      <c r="QBO25" s="146"/>
      <c r="QBP25" s="146"/>
      <c r="QBQ25" s="146"/>
      <c r="QBR25" s="146"/>
      <c r="QBS25" s="146"/>
      <c r="QBT25" s="146"/>
      <c r="QBU25" s="146"/>
      <c r="QBV25" s="146"/>
      <c r="QBW25" s="146"/>
      <c r="QBX25" s="146"/>
      <c r="QBY25" s="146"/>
      <c r="QBZ25" s="146"/>
      <c r="QCA25" s="146"/>
      <c r="QCB25" s="146"/>
      <c r="QCC25" s="146"/>
      <c r="QCD25" s="146"/>
      <c r="QCE25" s="146"/>
      <c r="QCF25" s="146"/>
      <c r="QCG25" s="146"/>
      <c r="QCH25" s="146"/>
      <c r="QCI25" s="146"/>
      <c r="QCJ25" s="146"/>
      <c r="QCK25" s="146"/>
      <c r="QCL25" s="146"/>
      <c r="QCM25" s="146"/>
      <c r="QCN25" s="146"/>
      <c r="QCO25" s="146"/>
      <c r="QCP25" s="146"/>
      <c r="QCQ25" s="146"/>
      <c r="QCR25" s="146"/>
      <c r="QCS25" s="146"/>
      <c r="QCT25" s="146"/>
      <c r="QCU25" s="146"/>
      <c r="QCV25" s="146"/>
      <c r="QCW25" s="146"/>
      <c r="QCX25" s="146"/>
      <c r="QCY25" s="146"/>
      <c r="QCZ25" s="146"/>
      <c r="QDA25" s="146"/>
      <c r="QDB25" s="146"/>
      <c r="QDC25" s="146"/>
      <c r="QDD25" s="146"/>
      <c r="QDE25" s="146"/>
      <c r="QDF25" s="146"/>
      <c r="QDG25" s="146"/>
      <c r="QDH25" s="146"/>
      <c r="QDI25" s="146"/>
      <c r="QDJ25" s="146"/>
      <c r="QDK25" s="146"/>
      <c r="QDL25" s="146"/>
      <c r="QDM25" s="146"/>
      <c r="QDN25" s="146"/>
      <c r="QDO25" s="146"/>
      <c r="QDP25" s="146"/>
      <c r="QDQ25" s="146"/>
      <c r="QDR25" s="146"/>
      <c r="QDS25" s="146"/>
      <c r="QDT25" s="146"/>
      <c r="QDU25" s="146"/>
      <c r="QDV25" s="146"/>
      <c r="QDW25" s="146"/>
      <c r="QDX25" s="146"/>
      <c r="QDY25" s="146"/>
      <c r="QDZ25" s="146"/>
      <c r="QEA25" s="146"/>
      <c r="QEB25" s="146"/>
      <c r="QEC25" s="146"/>
      <c r="QED25" s="146"/>
      <c r="QEE25" s="146"/>
      <c r="QEF25" s="146"/>
      <c r="QEG25" s="146"/>
      <c r="QEH25" s="146"/>
      <c r="QEI25" s="146"/>
      <c r="QEJ25" s="146"/>
      <c r="QEK25" s="146"/>
      <c r="QEL25" s="146"/>
      <c r="QEM25" s="146"/>
      <c r="QEN25" s="146"/>
      <c r="QEO25" s="146"/>
      <c r="QEP25" s="146"/>
      <c r="QEQ25" s="146"/>
      <c r="QER25" s="146"/>
      <c r="QES25" s="146"/>
      <c r="QET25" s="146"/>
      <c r="QEU25" s="146"/>
      <c r="QEV25" s="146"/>
      <c r="QEW25" s="146"/>
      <c r="QEX25" s="146"/>
      <c r="QEY25" s="146"/>
      <c r="QEZ25" s="146"/>
      <c r="QFA25" s="146"/>
      <c r="QFB25" s="146"/>
      <c r="QFC25" s="146"/>
      <c r="QFD25" s="146"/>
      <c r="QFE25" s="146"/>
      <c r="QFF25" s="146"/>
      <c r="QFG25" s="146"/>
      <c r="QFH25" s="146"/>
      <c r="QFI25" s="146"/>
      <c r="QFJ25" s="146"/>
      <c r="QFK25" s="146"/>
      <c r="QFL25" s="146"/>
      <c r="QFM25" s="146"/>
      <c r="QFN25" s="146"/>
      <c r="QFO25" s="146"/>
      <c r="QFP25" s="146"/>
      <c r="QFQ25" s="146"/>
      <c r="QFR25" s="146"/>
      <c r="QFS25" s="146"/>
      <c r="QFT25" s="146"/>
      <c r="QFU25" s="146"/>
      <c r="QFV25" s="146"/>
      <c r="QFW25" s="146"/>
      <c r="QFX25" s="146"/>
      <c r="QFY25" s="146"/>
      <c r="QFZ25" s="146"/>
      <c r="QGA25" s="146"/>
      <c r="QGB25" s="146"/>
      <c r="QGC25" s="146"/>
      <c r="QGD25" s="146"/>
      <c r="QGE25" s="146"/>
      <c r="QGF25" s="146"/>
      <c r="QGG25" s="146"/>
      <c r="QGH25" s="146"/>
      <c r="QGI25" s="146"/>
      <c r="QGJ25" s="146"/>
      <c r="QGK25" s="146"/>
      <c r="QGL25" s="146"/>
      <c r="QGM25" s="146"/>
      <c r="QGN25" s="146"/>
      <c r="QGO25" s="146"/>
      <c r="QGP25" s="146"/>
      <c r="QGQ25" s="146"/>
      <c r="QGR25" s="146"/>
      <c r="QGS25" s="146"/>
      <c r="QGT25" s="146"/>
      <c r="QGU25" s="146"/>
      <c r="QGV25" s="146"/>
      <c r="QGW25" s="146"/>
      <c r="QGX25" s="146"/>
      <c r="QGY25" s="146"/>
      <c r="QGZ25" s="146"/>
      <c r="QHA25" s="146"/>
      <c r="QHB25" s="146"/>
      <c r="QHC25" s="146"/>
      <c r="QHD25" s="146"/>
      <c r="QHE25" s="146"/>
      <c r="QHF25" s="146"/>
      <c r="QHG25" s="146"/>
      <c r="QHH25" s="146"/>
      <c r="QHI25" s="146"/>
      <c r="QHJ25" s="146"/>
      <c r="QHK25" s="146"/>
      <c r="QHL25" s="146"/>
      <c r="QHM25" s="146"/>
      <c r="QHN25" s="146"/>
      <c r="QHO25" s="146"/>
      <c r="QHP25" s="146"/>
      <c r="QHQ25" s="146"/>
      <c r="QHR25" s="146"/>
      <c r="QHS25" s="146"/>
      <c r="QHT25" s="146"/>
      <c r="QHU25" s="146"/>
      <c r="QHV25" s="146"/>
      <c r="QHW25" s="146"/>
      <c r="QHX25" s="146"/>
      <c r="QHY25" s="146"/>
      <c r="QHZ25" s="146"/>
      <c r="QIA25" s="146"/>
      <c r="QIB25" s="146"/>
      <c r="QIC25" s="146"/>
      <c r="QID25" s="146"/>
      <c r="QIE25" s="146"/>
      <c r="QIF25" s="146"/>
      <c r="QIG25" s="146"/>
      <c r="QIH25" s="146"/>
      <c r="QII25" s="146"/>
      <c r="QIJ25" s="146"/>
      <c r="QIK25" s="146"/>
      <c r="QIL25" s="146"/>
      <c r="QIM25" s="146"/>
      <c r="QIN25" s="146"/>
      <c r="QIO25" s="146"/>
      <c r="QIP25" s="146"/>
      <c r="QIQ25" s="146"/>
      <c r="QIR25" s="146"/>
      <c r="QIS25" s="146"/>
      <c r="QIT25" s="146"/>
      <c r="QIU25" s="146"/>
      <c r="QIV25" s="146"/>
      <c r="QIW25" s="146"/>
      <c r="QIX25" s="146"/>
      <c r="QIY25" s="146"/>
      <c r="QIZ25" s="146"/>
      <c r="QJA25" s="146"/>
      <c r="QJB25" s="146"/>
      <c r="QJC25" s="146"/>
      <c r="QJD25" s="146"/>
      <c r="QJE25" s="146"/>
      <c r="QJF25" s="146"/>
      <c r="QJG25" s="146"/>
      <c r="QJH25" s="146"/>
      <c r="QJI25" s="146"/>
      <c r="QJJ25" s="146"/>
      <c r="QJK25" s="146"/>
      <c r="QJL25" s="146"/>
      <c r="QJM25" s="146"/>
      <c r="QJN25" s="146"/>
      <c r="QJO25" s="146"/>
      <c r="QJP25" s="146"/>
      <c r="QJQ25" s="146"/>
      <c r="QJR25" s="146"/>
      <c r="QJS25" s="146"/>
      <c r="QJT25" s="146"/>
      <c r="QJU25" s="146"/>
      <c r="QJV25" s="146"/>
      <c r="QJW25" s="146"/>
      <c r="QJX25" s="146"/>
      <c r="QJY25" s="146"/>
      <c r="QJZ25" s="146"/>
      <c r="QKA25" s="146"/>
      <c r="QKB25" s="146"/>
      <c r="QKC25" s="146"/>
      <c r="QKD25" s="146"/>
      <c r="QKE25" s="146"/>
      <c r="QKF25" s="146"/>
      <c r="QKG25" s="146"/>
      <c r="QKH25" s="146"/>
      <c r="QKI25" s="146"/>
      <c r="QKJ25" s="146"/>
      <c r="QKK25" s="146"/>
      <c r="QKL25" s="146"/>
      <c r="QKM25" s="146"/>
      <c r="QKN25" s="146"/>
      <c r="QKO25" s="146"/>
      <c r="QKP25" s="146"/>
      <c r="QKQ25" s="146"/>
      <c r="QKR25" s="146"/>
      <c r="QKS25" s="146"/>
      <c r="QKT25" s="146"/>
      <c r="QKU25" s="146"/>
      <c r="QKV25" s="146"/>
      <c r="QKW25" s="146"/>
      <c r="QKX25" s="146"/>
      <c r="QKY25" s="146"/>
      <c r="QKZ25" s="146"/>
      <c r="QLA25" s="146"/>
      <c r="QLB25" s="146"/>
      <c r="QLC25" s="146"/>
      <c r="QLD25" s="146"/>
      <c r="QLE25" s="146"/>
      <c r="QLF25" s="146"/>
      <c r="QLG25" s="146"/>
      <c r="QLH25" s="146"/>
      <c r="QLI25" s="146"/>
      <c r="QLJ25" s="146"/>
      <c r="QLK25" s="146"/>
      <c r="QLL25" s="146"/>
      <c r="QLM25" s="146"/>
      <c r="QLN25" s="146"/>
      <c r="QLO25" s="146"/>
      <c r="QLP25" s="146"/>
      <c r="QLQ25" s="146"/>
      <c r="QLR25" s="146"/>
      <c r="QLS25" s="146"/>
      <c r="QLT25" s="146"/>
      <c r="QLU25" s="146"/>
      <c r="QLV25" s="146"/>
      <c r="QLW25" s="146"/>
      <c r="QLX25" s="146"/>
      <c r="QLY25" s="146"/>
      <c r="QLZ25" s="146"/>
      <c r="QMA25" s="146"/>
      <c r="QMB25" s="146"/>
      <c r="QMC25" s="146"/>
      <c r="QMD25" s="146"/>
      <c r="QME25" s="146"/>
      <c r="QMF25" s="146"/>
      <c r="QMG25" s="146"/>
      <c r="QMH25" s="146"/>
      <c r="QMI25" s="146"/>
      <c r="QMJ25" s="146"/>
      <c r="QMK25" s="146"/>
      <c r="QML25" s="146"/>
      <c r="QMM25" s="146"/>
      <c r="QMN25" s="146"/>
      <c r="QMO25" s="146"/>
      <c r="QMP25" s="146"/>
      <c r="QMQ25" s="146"/>
      <c r="QMR25" s="146"/>
      <c r="QMS25" s="146"/>
      <c r="QMT25" s="146"/>
      <c r="QMU25" s="146"/>
      <c r="QMV25" s="146"/>
      <c r="QMW25" s="146"/>
      <c r="QMX25" s="146"/>
      <c r="QMY25" s="146"/>
      <c r="QMZ25" s="146"/>
      <c r="QNA25" s="146"/>
      <c r="QNB25" s="146"/>
      <c r="QNC25" s="146"/>
      <c r="QND25" s="146"/>
      <c r="QNE25" s="146"/>
      <c r="QNF25" s="146"/>
      <c r="QNG25" s="146"/>
      <c r="QNH25" s="146"/>
      <c r="QNI25" s="146"/>
      <c r="QNJ25" s="146"/>
      <c r="QNK25" s="146"/>
      <c r="QNL25" s="146"/>
      <c r="QNM25" s="146"/>
      <c r="QNN25" s="146"/>
      <c r="QNO25" s="146"/>
      <c r="QNP25" s="146"/>
      <c r="QNQ25" s="146"/>
      <c r="QNR25" s="146"/>
      <c r="QNS25" s="146"/>
      <c r="QNT25" s="146"/>
      <c r="QNU25" s="146"/>
      <c r="QNV25" s="146"/>
      <c r="QNW25" s="146"/>
      <c r="QNX25" s="146"/>
      <c r="QNY25" s="146"/>
      <c r="QNZ25" s="146"/>
      <c r="QOA25" s="146"/>
      <c r="QOB25" s="146"/>
      <c r="QOC25" s="146"/>
      <c r="QOD25" s="146"/>
      <c r="QOE25" s="146"/>
      <c r="QOF25" s="146"/>
      <c r="QOG25" s="146"/>
      <c r="QOH25" s="146"/>
      <c r="QOI25" s="146"/>
      <c r="QOJ25" s="146"/>
      <c r="QOK25" s="146"/>
      <c r="QOL25" s="146"/>
      <c r="QOM25" s="146"/>
      <c r="QON25" s="146"/>
      <c r="QOO25" s="146"/>
      <c r="QOP25" s="146"/>
      <c r="QOQ25" s="146"/>
      <c r="QOR25" s="146"/>
      <c r="QOS25" s="146"/>
      <c r="QOT25" s="146"/>
      <c r="QOU25" s="146"/>
      <c r="QOV25" s="146"/>
      <c r="QOW25" s="146"/>
      <c r="QOX25" s="146"/>
      <c r="QOY25" s="146"/>
      <c r="QOZ25" s="146"/>
      <c r="QPA25" s="146"/>
      <c r="QPB25" s="146"/>
      <c r="QPC25" s="146"/>
      <c r="QPD25" s="146"/>
      <c r="QPE25" s="146"/>
      <c r="QPF25" s="146"/>
      <c r="QPG25" s="146"/>
      <c r="QPH25" s="146"/>
      <c r="QPI25" s="146"/>
      <c r="QPJ25" s="146"/>
      <c r="QPK25" s="146"/>
      <c r="QPL25" s="146"/>
      <c r="QPM25" s="146"/>
      <c r="QPN25" s="146"/>
      <c r="QPO25" s="146"/>
      <c r="QPP25" s="146"/>
      <c r="QPQ25" s="146"/>
      <c r="QPR25" s="146"/>
      <c r="QPS25" s="146"/>
      <c r="QPT25" s="146"/>
      <c r="QPU25" s="146"/>
      <c r="QPV25" s="146"/>
      <c r="QPW25" s="146"/>
      <c r="QPX25" s="146"/>
      <c r="QPY25" s="146"/>
      <c r="QPZ25" s="146"/>
      <c r="QQA25" s="146"/>
      <c r="QQB25" s="146"/>
      <c r="QQC25" s="146"/>
      <c r="QQD25" s="146"/>
      <c r="QQE25" s="146"/>
      <c r="QQF25" s="146"/>
      <c r="QQG25" s="146"/>
      <c r="QQH25" s="146"/>
      <c r="QQI25" s="146"/>
      <c r="QQJ25" s="146"/>
      <c r="QQK25" s="146"/>
      <c r="QQL25" s="146"/>
      <c r="QQM25" s="146"/>
      <c r="QQN25" s="146"/>
      <c r="QQO25" s="146"/>
      <c r="QQP25" s="146"/>
      <c r="QQQ25" s="146"/>
      <c r="QQR25" s="146"/>
      <c r="QQS25" s="146"/>
      <c r="QQT25" s="146"/>
      <c r="QQU25" s="146"/>
      <c r="QQV25" s="146"/>
      <c r="QQW25" s="146"/>
      <c r="QQX25" s="146"/>
      <c r="QQY25" s="146"/>
      <c r="QQZ25" s="146"/>
      <c r="QRA25" s="146"/>
      <c r="QRB25" s="146"/>
      <c r="QRC25" s="146"/>
      <c r="QRD25" s="146"/>
      <c r="QRE25" s="146"/>
      <c r="QRF25" s="146"/>
      <c r="QRG25" s="146"/>
      <c r="QRH25" s="146"/>
      <c r="QRI25" s="146"/>
      <c r="QRJ25" s="146"/>
      <c r="QRK25" s="146"/>
      <c r="QRL25" s="146"/>
      <c r="QRM25" s="146"/>
      <c r="QRN25" s="146"/>
      <c r="QRO25" s="146"/>
      <c r="QRP25" s="146"/>
      <c r="QRQ25" s="146"/>
      <c r="QRR25" s="146"/>
      <c r="QRS25" s="146"/>
      <c r="QRT25" s="146"/>
      <c r="QRU25" s="146"/>
      <c r="QRV25" s="146"/>
      <c r="QRW25" s="146"/>
      <c r="QRX25" s="146"/>
      <c r="QRY25" s="146"/>
      <c r="QRZ25" s="146"/>
      <c r="QSA25" s="146"/>
      <c r="QSB25" s="146"/>
      <c r="QSC25" s="146"/>
      <c r="QSD25" s="146"/>
      <c r="QSE25" s="146"/>
      <c r="QSF25" s="146"/>
      <c r="QSG25" s="146"/>
      <c r="QSH25" s="146"/>
      <c r="QSI25" s="146"/>
      <c r="QSJ25" s="146"/>
      <c r="QSK25" s="146"/>
      <c r="QSL25" s="146"/>
      <c r="QSM25" s="146"/>
      <c r="QSN25" s="146"/>
      <c r="QSO25" s="146"/>
      <c r="QSP25" s="146"/>
      <c r="QSQ25" s="146"/>
      <c r="QSR25" s="146"/>
      <c r="QSS25" s="146"/>
      <c r="QST25" s="146"/>
      <c r="QSU25" s="146"/>
      <c r="QSV25" s="146"/>
      <c r="QSW25" s="146"/>
      <c r="QSX25" s="146"/>
      <c r="QSY25" s="146"/>
      <c r="QSZ25" s="146"/>
      <c r="QTA25" s="146"/>
      <c r="QTB25" s="146"/>
      <c r="QTC25" s="146"/>
      <c r="QTD25" s="146"/>
      <c r="QTE25" s="146"/>
      <c r="QTF25" s="146"/>
      <c r="QTG25" s="146"/>
      <c r="QTH25" s="146"/>
      <c r="QTI25" s="146"/>
      <c r="QTJ25" s="146"/>
      <c r="QTK25" s="146"/>
      <c r="QTL25" s="146"/>
      <c r="QTM25" s="146"/>
      <c r="QTN25" s="146"/>
      <c r="QTO25" s="146"/>
      <c r="QTP25" s="146"/>
      <c r="QTQ25" s="146"/>
      <c r="QTR25" s="146"/>
      <c r="QTS25" s="146"/>
      <c r="QTT25" s="146"/>
      <c r="QTU25" s="146"/>
      <c r="QTV25" s="146"/>
      <c r="QTW25" s="146"/>
      <c r="QTX25" s="146"/>
      <c r="QTY25" s="146"/>
      <c r="QTZ25" s="146"/>
      <c r="QUA25" s="146"/>
      <c r="QUB25" s="146"/>
      <c r="QUC25" s="146"/>
      <c r="QUD25" s="146"/>
      <c r="QUE25" s="146"/>
      <c r="QUF25" s="146"/>
      <c r="QUG25" s="146"/>
      <c r="QUH25" s="146"/>
      <c r="QUI25" s="146"/>
      <c r="QUJ25" s="146"/>
      <c r="QUK25" s="146"/>
      <c r="QUL25" s="146"/>
      <c r="QUM25" s="146"/>
      <c r="QUN25" s="146"/>
      <c r="QUO25" s="146"/>
      <c r="QUP25" s="146"/>
      <c r="QUQ25" s="146"/>
      <c r="QUR25" s="146"/>
      <c r="QUS25" s="146"/>
      <c r="QUT25" s="146"/>
      <c r="QUU25" s="146"/>
      <c r="QUV25" s="146"/>
      <c r="QUW25" s="146"/>
      <c r="QUX25" s="146"/>
      <c r="QUY25" s="146"/>
      <c r="QUZ25" s="146"/>
      <c r="QVA25" s="146"/>
      <c r="QVB25" s="146"/>
      <c r="QVC25" s="146"/>
      <c r="QVD25" s="146"/>
      <c r="QVE25" s="146"/>
      <c r="QVF25" s="146"/>
      <c r="QVG25" s="146"/>
      <c r="QVH25" s="146"/>
      <c r="QVI25" s="146"/>
      <c r="QVJ25" s="146"/>
      <c r="QVK25" s="146"/>
      <c r="QVL25" s="146"/>
      <c r="QVM25" s="146"/>
      <c r="QVN25" s="146"/>
      <c r="QVO25" s="146"/>
      <c r="QVP25" s="146"/>
      <c r="QVQ25" s="146"/>
      <c r="QVR25" s="146"/>
      <c r="QVS25" s="146"/>
      <c r="QVT25" s="146"/>
      <c r="QVU25" s="146"/>
      <c r="QVV25" s="146"/>
      <c r="QVW25" s="146"/>
      <c r="QVX25" s="146"/>
      <c r="QVY25" s="146"/>
      <c r="QVZ25" s="146"/>
      <c r="QWA25" s="146"/>
      <c r="QWB25" s="146"/>
      <c r="QWC25" s="146"/>
      <c r="QWD25" s="146"/>
      <c r="QWE25" s="146"/>
      <c r="QWF25" s="146"/>
      <c r="QWG25" s="146"/>
      <c r="QWH25" s="146"/>
      <c r="QWI25" s="146"/>
      <c r="QWJ25" s="146"/>
      <c r="QWK25" s="146"/>
      <c r="QWL25" s="146"/>
      <c r="QWM25" s="146"/>
      <c r="QWN25" s="146"/>
      <c r="QWO25" s="146"/>
      <c r="QWP25" s="146"/>
      <c r="QWQ25" s="146"/>
      <c r="QWR25" s="146"/>
      <c r="QWS25" s="146"/>
      <c r="QWT25" s="146"/>
      <c r="QWU25" s="146"/>
      <c r="QWV25" s="146"/>
      <c r="QWW25" s="146"/>
      <c r="QWX25" s="146"/>
      <c r="QWY25" s="146"/>
      <c r="QWZ25" s="146"/>
      <c r="QXA25" s="146"/>
      <c r="QXB25" s="146"/>
      <c r="QXC25" s="146"/>
      <c r="QXD25" s="146"/>
      <c r="QXE25" s="146"/>
      <c r="QXF25" s="146"/>
      <c r="QXG25" s="146"/>
      <c r="QXH25" s="146"/>
      <c r="QXI25" s="146"/>
      <c r="QXJ25" s="146"/>
      <c r="QXK25" s="146"/>
      <c r="QXL25" s="146"/>
      <c r="QXM25" s="146"/>
      <c r="QXN25" s="146"/>
      <c r="QXO25" s="146"/>
      <c r="QXP25" s="146"/>
      <c r="QXQ25" s="146"/>
      <c r="QXR25" s="146"/>
      <c r="QXS25" s="146"/>
      <c r="QXT25" s="146"/>
      <c r="QXU25" s="146"/>
      <c r="QXV25" s="146"/>
      <c r="QXW25" s="146"/>
      <c r="QXX25" s="146"/>
      <c r="QXY25" s="146"/>
      <c r="QXZ25" s="146"/>
      <c r="QYA25" s="146"/>
      <c r="QYB25" s="146"/>
      <c r="QYC25" s="146"/>
      <c r="QYD25" s="146"/>
      <c r="QYE25" s="146"/>
      <c r="QYF25" s="146"/>
      <c r="QYG25" s="146"/>
      <c r="QYH25" s="146"/>
      <c r="QYI25" s="146"/>
      <c r="QYJ25" s="146"/>
      <c r="QYK25" s="146"/>
      <c r="QYL25" s="146"/>
      <c r="QYM25" s="146"/>
      <c r="QYN25" s="146"/>
      <c r="QYO25" s="146"/>
      <c r="QYP25" s="146"/>
      <c r="QYQ25" s="146"/>
      <c r="QYR25" s="146"/>
      <c r="QYS25" s="146"/>
      <c r="QYT25" s="146"/>
      <c r="QYU25" s="146"/>
      <c r="QYV25" s="146"/>
      <c r="QYW25" s="146"/>
      <c r="QYX25" s="146"/>
      <c r="QYY25" s="146"/>
      <c r="QYZ25" s="146"/>
      <c r="QZA25" s="146"/>
      <c r="QZB25" s="146"/>
      <c r="QZC25" s="146"/>
      <c r="QZD25" s="146"/>
      <c r="QZE25" s="146"/>
      <c r="QZF25" s="146"/>
      <c r="QZG25" s="146"/>
      <c r="QZH25" s="146"/>
      <c r="QZI25" s="146"/>
      <c r="QZJ25" s="146"/>
      <c r="QZK25" s="146"/>
      <c r="QZL25" s="146"/>
      <c r="QZM25" s="146"/>
      <c r="QZN25" s="146"/>
      <c r="QZO25" s="146"/>
      <c r="QZP25" s="146"/>
      <c r="QZQ25" s="146"/>
      <c r="QZR25" s="146"/>
      <c r="QZS25" s="146"/>
      <c r="QZT25" s="146"/>
      <c r="QZU25" s="146"/>
      <c r="QZV25" s="146"/>
      <c r="QZW25" s="146"/>
      <c r="QZX25" s="146"/>
      <c r="QZY25" s="146"/>
      <c r="QZZ25" s="146"/>
      <c r="RAA25" s="146"/>
      <c r="RAB25" s="146"/>
      <c r="RAC25" s="146"/>
      <c r="RAD25" s="146"/>
      <c r="RAE25" s="146"/>
      <c r="RAF25" s="146"/>
      <c r="RAG25" s="146"/>
      <c r="RAH25" s="146"/>
      <c r="RAI25" s="146"/>
      <c r="RAJ25" s="146"/>
      <c r="RAK25" s="146"/>
      <c r="RAL25" s="146"/>
      <c r="RAM25" s="146"/>
      <c r="RAN25" s="146"/>
      <c r="RAO25" s="146"/>
      <c r="RAP25" s="146"/>
      <c r="RAQ25" s="146"/>
      <c r="RAR25" s="146"/>
      <c r="RAS25" s="146"/>
      <c r="RAT25" s="146"/>
      <c r="RAU25" s="146"/>
      <c r="RAV25" s="146"/>
      <c r="RAW25" s="146"/>
      <c r="RAX25" s="146"/>
      <c r="RAY25" s="146"/>
      <c r="RAZ25" s="146"/>
      <c r="RBA25" s="146"/>
      <c r="RBB25" s="146"/>
      <c r="RBC25" s="146"/>
      <c r="RBD25" s="146"/>
      <c r="RBE25" s="146"/>
      <c r="RBF25" s="146"/>
      <c r="RBG25" s="146"/>
      <c r="RBH25" s="146"/>
      <c r="RBI25" s="146"/>
      <c r="RBJ25" s="146"/>
      <c r="RBK25" s="146"/>
      <c r="RBL25" s="146"/>
      <c r="RBM25" s="146"/>
      <c r="RBN25" s="146"/>
      <c r="RBO25" s="146"/>
      <c r="RBP25" s="146"/>
      <c r="RBQ25" s="146"/>
      <c r="RBR25" s="146"/>
      <c r="RBS25" s="146"/>
      <c r="RBT25" s="146"/>
      <c r="RBU25" s="146"/>
      <c r="RBV25" s="146"/>
      <c r="RBW25" s="146"/>
      <c r="RBX25" s="146"/>
      <c r="RBY25" s="146"/>
      <c r="RBZ25" s="146"/>
      <c r="RCA25" s="146"/>
      <c r="RCB25" s="146"/>
      <c r="RCC25" s="146"/>
      <c r="RCD25" s="146"/>
      <c r="RCE25" s="146"/>
      <c r="RCF25" s="146"/>
      <c r="RCG25" s="146"/>
      <c r="RCH25" s="146"/>
      <c r="RCI25" s="146"/>
      <c r="RCJ25" s="146"/>
      <c r="RCK25" s="146"/>
      <c r="RCL25" s="146"/>
      <c r="RCM25" s="146"/>
      <c r="RCN25" s="146"/>
      <c r="RCO25" s="146"/>
      <c r="RCP25" s="146"/>
      <c r="RCQ25" s="146"/>
      <c r="RCR25" s="146"/>
      <c r="RCS25" s="146"/>
      <c r="RCT25" s="146"/>
      <c r="RCU25" s="146"/>
      <c r="RCV25" s="146"/>
      <c r="RCW25" s="146"/>
      <c r="RCX25" s="146"/>
      <c r="RCY25" s="146"/>
      <c r="RCZ25" s="146"/>
      <c r="RDA25" s="146"/>
      <c r="RDB25" s="146"/>
      <c r="RDC25" s="146"/>
      <c r="RDD25" s="146"/>
      <c r="RDE25" s="146"/>
      <c r="RDF25" s="146"/>
      <c r="RDG25" s="146"/>
      <c r="RDH25" s="146"/>
      <c r="RDI25" s="146"/>
      <c r="RDJ25" s="146"/>
      <c r="RDK25" s="146"/>
      <c r="RDL25" s="146"/>
      <c r="RDM25" s="146"/>
      <c r="RDN25" s="146"/>
      <c r="RDO25" s="146"/>
      <c r="RDP25" s="146"/>
      <c r="RDQ25" s="146"/>
      <c r="RDR25" s="146"/>
      <c r="RDS25" s="146"/>
      <c r="RDT25" s="146"/>
      <c r="RDU25" s="146"/>
      <c r="RDV25" s="146"/>
      <c r="RDW25" s="146"/>
      <c r="RDX25" s="146"/>
      <c r="RDY25" s="146"/>
      <c r="RDZ25" s="146"/>
      <c r="REA25" s="146"/>
      <c r="REB25" s="146"/>
      <c r="REC25" s="146"/>
      <c r="RED25" s="146"/>
      <c r="REE25" s="146"/>
      <c r="REF25" s="146"/>
      <c r="REG25" s="146"/>
      <c r="REH25" s="146"/>
      <c r="REI25" s="146"/>
      <c r="REJ25" s="146"/>
      <c r="REK25" s="146"/>
      <c r="REL25" s="146"/>
      <c r="REM25" s="146"/>
      <c r="REN25" s="146"/>
      <c r="REO25" s="146"/>
      <c r="REP25" s="146"/>
      <c r="REQ25" s="146"/>
      <c r="RER25" s="146"/>
      <c r="RES25" s="146"/>
      <c r="RET25" s="146"/>
      <c r="REU25" s="146"/>
      <c r="REV25" s="146"/>
      <c r="REW25" s="146"/>
      <c r="REX25" s="146"/>
      <c r="REY25" s="146"/>
      <c r="REZ25" s="146"/>
      <c r="RFA25" s="146"/>
      <c r="RFB25" s="146"/>
      <c r="RFC25" s="146"/>
      <c r="RFD25" s="146"/>
      <c r="RFE25" s="146"/>
      <c r="RFF25" s="146"/>
      <c r="RFG25" s="146"/>
      <c r="RFH25" s="146"/>
      <c r="RFI25" s="146"/>
      <c r="RFJ25" s="146"/>
      <c r="RFK25" s="146"/>
      <c r="RFL25" s="146"/>
      <c r="RFM25" s="146"/>
      <c r="RFN25" s="146"/>
      <c r="RFO25" s="146"/>
      <c r="RFP25" s="146"/>
      <c r="RFQ25" s="146"/>
      <c r="RFR25" s="146"/>
      <c r="RFS25" s="146"/>
      <c r="RFT25" s="146"/>
      <c r="RFU25" s="146"/>
      <c r="RFV25" s="146"/>
      <c r="RFW25" s="146"/>
      <c r="RFX25" s="146"/>
      <c r="RFY25" s="146"/>
      <c r="RFZ25" s="146"/>
      <c r="RGA25" s="146"/>
      <c r="RGB25" s="146"/>
      <c r="RGC25" s="146"/>
      <c r="RGD25" s="146"/>
      <c r="RGE25" s="146"/>
      <c r="RGF25" s="146"/>
      <c r="RGG25" s="146"/>
      <c r="RGH25" s="146"/>
      <c r="RGI25" s="146"/>
      <c r="RGJ25" s="146"/>
      <c r="RGK25" s="146"/>
      <c r="RGL25" s="146"/>
      <c r="RGM25" s="146"/>
      <c r="RGN25" s="146"/>
      <c r="RGO25" s="146"/>
      <c r="RGP25" s="146"/>
      <c r="RGQ25" s="146"/>
      <c r="RGR25" s="146"/>
      <c r="RGS25" s="146"/>
      <c r="RGT25" s="146"/>
      <c r="RGU25" s="146"/>
      <c r="RGV25" s="146"/>
      <c r="RGW25" s="146"/>
      <c r="RGX25" s="146"/>
      <c r="RGY25" s="146"/>
      <c r="RGZ25" s="146"/>
      <c r="RHA25" s="146"/>
      <c r="RHB25" s="146"/>
      <c r="RHC25" s="146"/>
      <c r="RHD25" s="146"/>
      <c r="RHE25" s="146"/>
      <c r="RHF25" s="146"/>
      <c r="RHG25" s="146"/>
      <c r="RHH25" s="146"/>
      <c r="RHI25" s="146"/>
      <c r="RHJ25" s="146"/>
      <c r="RHK25" s="146"/>
      <c r="RHL25" s="146"/>
      <c r="RHM25" s="146"/>
      <c r="RHN25" s="146"/>
      <c r="RHO25" s="146"/>
      <c r="RHP25" s="146"/>
      <c r="RHQ25" s="146"/>
      <c r="RHR25" s="146"/>
      <c r="RHS25" s="146"/>
      <c r="RHT25" s="146"/>
      <c r="RHU25" s="146"/>
      <c r="RHV25" s="146"/>
      <c r="RHW25" s="146"/>
      <c r="RHX25" s="146"/>
      <c r="RHY25" s="146"/>
      <c r="RHZ25" s="146"/>
      <c r="RIA25" s="146"/>
      <c r="RIB25" s="146"/>
      <c r="RIC25" s="146"/>
      <c r="RID25" s="146"/>
      <c r="RIE25" s="146"/>
      <c r="RIF25" s="146"/>
      <c r="RIG25" s="146"/>
      <c r="RIH25" s="146"/>
      <c r="RII25" s="146"/>
      <c r="RIJ25" s="146"/>
      <c r="RIK25" s="146"/>
      <c r="RIL25" s="146"/>
      <c r="RIM25" s="146"/>
      <c r="RIN25" s="146"/>
      <c r="RIO25" s="146"/>
      <c r="RIP25" s="146"/>
      <c r="RIQ25" s="146"/>
      <c r="RIR25" s="146"/>
      <c r="RIS25" s="146"/>
      <c r="RIT25" s="146"/>
      <c r="RIU25" s="146"/>
      <c r="RIV25" s="146"/>
      <c r="RIW25" s="146"/>
      <c r="RIX25" s="146"/>
      <c r="RIY25" s="146"/>
      <c r="RIZ25" s="146"/>
      <c r="RJA25" s="146"/>
      <c r="RJB25" s="146"/>
      <c r="RJC25" s="146"/>
      <c r="RJD25" s="146"/>
      <c r="RJE25" s="146"/>
      <c r="RJF25" s="146"/>
      <c r="RJG25" s="146"/>
      <c r="RJH25" s="146"/>
      <c r="RJI25" s="146"/>
      <c r="RJJ25" s="146"/>
      <c r="RJK25" s="146"/>
      <c r="RJL25" s="146"/>
      <c r="RJM25" s="146"/>
      <c r="RJN25" s="146"/>
      <c r="RJO25" s="146"/>
      <c r="RJP25" s="146"/>
      <c r="RJQ25" s="146"/>
      <c r="RJR25" s="146"/>
      <c r="RJS25" s="146"/>
      <c r="RJT25" s="146"/>
      <c r="RJU25" s="146"/>
      <c r="RJV25" s="146"/>
      <c r="RJW25" s="146"/>
      <c r="RJX25" s="146"/>
      <c r="RJY25" s="146"/>
      <c r="RJZ25" s="146"/>
      <c r="RKA25" s="146"/>
      <c r="RKB25" s="146"/>
      <c r="RKC25" s="146"/>
      <c r="RKD25" s="146"/>
      <c r="RKE25" s="146"/>
      <c r="RKF25" s="146"/>
      <c r="RKG25" s="146"/>
      <c r="RKH25" s="146"/>
      <c r="RKI25" s="146"/>
      <c r="RKJ25" s="146"/>
      <c r="RKK25" s="146"/>
      <c r="RKL25" s="146"/>
      <c r="RKM25" s="146"/>
      <c r="RKN25" s="146"/>
      <c r="RKO25" s="146"/>
      <c r="RKP25" s="146"/>
      <c r="RKQ25" s="146"/>
      <c r="RKR25" s="146"/>
      <c r="RKS25" s="146"/>
      <c r="RKT25" s="146"/>
      <c r="RKU25" s="146"/>
      <c r="RKV25" s="146"/>
      <c r="RKW25" s="146"/>
      <c r="RKX25" s="146"/>
      <c r="RKY25" s="146"/>
      <c r="RKZ25" s="146"/>
      <c r="RLA25" s="146"/>
      <c r="RLB25" s="146"/>
      <c r="RLC25" s="146"/>
      <c r="RLD25" s="146"/>
      <c r="RLE25" s="146"/>
      <c r="RLF25" s="146"/>
      <c r="RLG25" s="146"/>
      <c r="RLH25" s="146"/>
      <c r="RLI25" s="146"/>
      <c r="RLJ25" s="146"/>
      <c r="RLK25" s="146"/>
      <c r="RLL25" s="146"/>
      <c r="RLM25" s="146"/>
      <c r="RLN25" s="146"/>
      <c r="RLO25" s="146"/>
      <c r="RLP25" s="146"/>
      <c r="RLQ25" s="146"/>
      <c r="RLR25" s="146"/>
      <c r="RLS25" s="146"/>
      <c r="RLT25" s="146"/>
      <c r="RLU25" s="146"/>
      <c r="RLV25" s="146"/>
      <c r="RLW25" s="146"/>
      <c r="RLX25" s="146"/>
      <c r="RLY25" s="146"/>
      <c r="RLZ25" s="146"/>
      <c r="RMA25" s="146"/>
      <c r="RMB25" s="146"/>
      <c r="RMC25" s="146"/>
      <c r="RMD25" s="146"/>
      <c r="RME25" s="146"/>
      <c r="RMF25" s="146"/>
      <c r="RMG25" s="146"/>
      <c r="RMH25" s="146"/>
      <c r="RMI25" s="146"/>
      <c r="RMJ25" s="146"/>
      <c r="RMK25" s="146"/>
      <c r="RML25" s="146"/>
      <c r="RMM25" s="146"/>
      <c r="RMN25" s="146"/>
      <c r="RMO25" s="146"/>
      <c r="RMP25" s="146"/>
      <c r="RMQ25" s="146"/>
      <c r="RMR25" s="146"/>
      <c r="RMS25" s="146"/>
      <c r="RMT25" s="146"/>
      <c r="RMU25" s="146"/>
      <c r="RMV25" s="146"/>
      <c r="RMW25" s="146"/>
      <c r="RMX25" s="146"/>
      <c r="RMY25" s="146"/>
      <c r="RMZ25" s="146"/>
      <c r="RNA25" s="146"/>
      <c r="RNB25" s="146"/>
      <c r="RNC25" s="146"/>
      <c r="RND25" s="146"/>
      <c r="RNE25" s="146"/>
      <c r="RNF25" s="146"/>
      <c r="RNG25" s="146"/>
      <c r="RNH25" s="146"/>
      <c r="RNI25" s="146"/>
      <c r="RNJ25" s="146"/>
      <c r="RNK25" s="146"/>
      <c r="RNL25" s="146"/>
      <c r="RNM25" s="146"/>
      <c r="RNN25" s="146"/>
      <c r="RNO25" s="146"/>
      <c r="RNP25" s="146"/>
      <c r="RNQ25" s="146"/>
      <c r="RNR25" s="146"/>
      <c r="RNS25" s="146"/>
      <c r="RNT25" s="146"/>
      <c r="RNU25" s="146"/>
      <c r="RNV25" s="146"/>
      <c r="RNW25" s="146"/>
      <c r="RNX25" s="146"/>
      <c r="RNY25" s="146"/>
      <c r="RNZ25" s="146"/>
      <c r="ROA25" s="146"/>
      <c r="ROB25" s="146"/>
      <c r="ROC25" s="146"/>
      <c r="ROD25" s="146"/>
      <c r="ROE25" s="146"/>
      <c r="ROF25" s="146"/>
      <c r="ROG25" s="146"/>
      <c r="ROH25" s="146"/>
      <c r="ROI25" s="146"/>
      <c r="ROJ25" s="146"/>
      <c r="ROK25" s="146"/>
      <c r="ROL25" s="146"/>
      <c r="ROM25" s="146"/>
      <c r="RON25" s="146"/>
      <c r="ROO25" s="146"/>
      <c r="ROP25" s="146"/>
      <c r="ROQ25" s="146"/>
      <c r="ROR25" s="146"/>
      <c r="ROS25" s="146"/>
      <c r="ROT25" s="146"/>
      <c r="ROU25" s="146"/>
      <c r="ROV25" s="146"/>
      <c r="ROW25" s="146"/>
      <c r="ROX25" s="146"/>
      <c r="ROY25" s="146"/>
      <c r="ROZ25" s="146"/>
      <c r="RPA25" s="146"/>
      <c r="RPB25" s="146"/>
      <c r="RPC25" s="146"/>
      <c r="RPD25" s="146"/>
      <c r="RPE25" s="146"/>
      <c r="RPF25" s="146"/>
      <c r="RPG25" s="146"/>
      <c r="RPH25" s="146"/>
      <c r="RPI25" s="146"/>
      <c r="RPJ25" s="146"/>
      <c r="RPK25" s="146"/>
      <c r="RPL25" s="146"/>
      <c r="RPM25" s="146"/>
      <c r="RPN25" s="146"/>
      <c r="RPO25" s="146"/>
      <c r="RPP25" s="146"/>
      <c r="RPQ25" s="146"/>
      <c r="RPR25" s="146"/>
      <c r="RPS25" s="146"/>
      <c r="RPT25" s="146"/>
      <c r="RPU25" s="146"/>
      <c r="RPV25" s="146"/>
      <c r="RPW25" s="146"/>
      <c r="RPX25" s="146"/>
      <c r="RPY25" s="146"/>
      <c r="RPZ25" s="146"/>
      <c r="RQA25" s="146"/>
      <c r="RQB25" s="146"/>
      <c r="RQC25" s="146"/>
      <c r="RQD25" s="146"/>
      <c r="RQE25" s="146"/>
      <c r="RQF25" s="146"/>
      <c r="RQG25" s="146"/>
      <c r="RQH25" s="146"/>
      <c r="RQI25" s="146"/>
      <c r="RQJ25" s="146"/>
      <c r="RQK25" s="146"/>
      <c r="RQL25" s="146"/>
      <c r="RQM25" s="146"/>
      <c r="RQN25" s="146"/>
      <c r="RQO25" s="146"/>
      <c r="RQP25" s="146"/>
      <c r="RQQ25" s="146"/>
      <c r="RQR25" s="146"/>
      <c r="RQS25" s="146"/>
      <c r="RQT25" s="146"/>
      <c r="RQU25" s="146"/>
      <c r="RQV25" s="146"/>
      <c r="RQW25" s="146"/>
      <c r="RQX25" s="146"/>
      <c r="RQY25" s="146"/>
      <c r="RQZ25" s="146"/>
      <c r="RRA25" s="146"/>
      <c r="RRB25" s="146"/>
      <c r="RRC25" s="146"/>
      <c r="RRD25" s="146"/>
      <c r="RRE25" s="146"/>
      <c r="RRF25" s="146"/>
      <c r="RRG25" s="146"/>
      <c r="RRH25" s="146"/>
      <c r="RRI25" s="146"/>
      <c r="RRJ25" s="146"/>
      <c r="RRK25" s="146"/>
      <c r="RRL25" s="146"/>
      <c r="RRM25" s="146"/>
      <c r="RRN25" s="146"/>
      <c r="RRO25" s="146"/>
      <c r="RRP25" s="146"/>
      <c r="RRQ25" s="146"/>
      <c r="RRR25" s="146"/>
      <c r="RRS25" s="146"/>
      <c r="RRT25" s="146"/>
      <c r="RRU25" s="146"/>
      <c r="RRV25" s="146"/>
      <c r="RRW25" s="146"/>
      <c r="RRX25" s="146"/>
      <c r="RRY25" s="146"/>
      <c r="RRZ25" s="146"/>
      <c r="RSA25" s="146"/>
      <c r="RSB25" s="146"/>
      <c r="RSC25" s="146"/>
      <c r="RSD25" s="146"/>
      <c r="RSE25" s="146"/>
      <c r="RSF25" s="146"/>
      <c r="RSG25" s="146"/>
      <c r="RSH25" s="146"/>
      <c r="RSI25" s="146"/>
      <c r="RSJ25" s="146"/>
      <c r="RSK25" s="146"/>
      <c r="RSL25" s="146"/>
      <c r="RSM25" s="146"/>
      <c r="RSN25" s="146"/>
      <c r="RSO25" s="146"/>
      <c r="RSP25" s="146"/>
      <c r="RSQ25" s="146"/>
      <c r="RSR25" s="146"/>
      <c r="RSS25" s="146"/>
      <c r="RST25" s="146"/>
      <c r="RSU25" s="146"/>
      <c r="RSV25" s="146"/>
      <c r="RSW25" s="146"/>
      <c r="RSX25" s="146"/>
      <c r="RSY25" s="146"/>
      <c r="RSZ25" s="146"/>
      <c r="RTA25" s="146"/>
      <c r="RTB25" s="146"/>
      <c r="RTC25" s="146"/>
      <c r="RTD25" s="146"/>
      <c r="RTE25" s="146"/>
      <c r="RTF25" s="146"/>
      <c r="RTG25" s="146"/>
      <c r="RTH25" s="146"/>
      <c r="RTI25" s="146"/>
      <c r="RTJ25" s="146"/>
      <c r="RTK25" s="146"/>
      <c r="RTL25" s="146"/>
      <c r="RTM25" s="146"/>
      <c r="RTN25" s="146"/>
      <c r="RTO25" s="146"/>
      <c r="RTP25" s="146"/>
      <c r="RTQ25" s="146"/>
      <c r="RTR25" s="146"/>
      <c r="RTS25" s="146"/>
      <c r="RTT25" s="146"/>
      <c r="RTU25" s="146"/>
      <c r="RTV25" s="146"/>
      <c r="RTW25" s="146"/>
      <c r="RTX25" s="146"/>
      <c r="RTY25" s="146"/>
      <c r="RTZ25" s="146"/>
      <c r="RUA25" s="146"/>
      <c r="RUB25" s="146"/>
      <c r="RUC25" s="146"/>
      <c r="RUD25" s="146"/>
      <c r="RUE25" s="146"/>
      <c r="RUF25" s="146"/>
      <c r="RUG25" s="146"/>
      <c r="RUH25" s="146"/>
      <c r="RUI25" s="146"/>
      <c r="RUJ25" s="146"/>
      <c r="RUK25" s="146"/>
      <c r="RUL25" s="146"/>
      <c r="RUM25" s="146"/>
      <c r="RUN25" s="146"/>
      <c r="RUO25" s="146"/>
      <c r="RUP25" s="146"/>
      <c r="RUQ25" s="146"/>
      <c r="RUR25" s="146"/>
      <c r="RUS25" s="146"/>
      <c r="RUT25" s="146"/>
      <c r="RUU25" s="146"/>
      <c r="RUV25" s="146"/>
      <c r="RUW25" s="146"/>
      <c r="RUX25" s="146"/>
      <c r="RUY25" s="146"/>
      <c r="RUZ25" s="146"/>
      <c r="RVA25" s="146"/>
      <c r="RVB25" s="146"/>
      <c r="RVC25" s="146"/>
      <c r="RVD25" s="146"/>
      <c r="RVE25" s="146"/>
      <c r="RVF25" s="146"/>
      <c r="RVG25" s="146"/>
      <c r="RVH25" s="146"/>
      <c r="RVI25" s="146"/>
      <c r="RVJ25" s="146"/>
      <c r="RVK25" s="146"/>
      <c r="RVL25" s="146"/>
      <c r="RVM25" s="146"/>
      <c r="RVN25" s="146"/>
      <c r="RVO25" s="146"/>
      <c r="RVP25" s="146"/>
      <c r="RVQ25" s="146"/>
      <c r="RVR25" s="146"/>
      <c r="RVS25" s="146"/>
      <c r="RVT25" s="146"/>
      <c r="RVU25" s="146"/>
      <c r="RVV25" s="146"/>
      <c r="RVW25" s="146"/>
      <c r="RVX25" s="146"/>
      <c r="RVY25" s="146"/>
      <c r="RVZ25" s="146"/>
      <c r="RWA25" s="146"/>
      <c r="RWB25" s="146"/>
      <c r="RWC25" s="146"/>
      <c r="RWD25" s="146"/>
      <c r="RWE25" s="146"/>
      <c r="RWF25" s="146"/>
      <c r="RWG25" s="146"/>
      <c r="RWH25" s="146"/>
      <c r="RWI25" s="146"/>
      <c r="RWJ25" s="146"/>
      <c r="RWK25" s="146"/>
      <c r="RWL25" s="146"/>
      <c r="RWM25" s="146"/>
      <c r="RWN25" s="146"/>
      <c r="RWO25" s="146"/>
      <c r="RWP25" s="146"/>
      <c r="RWQ25" s="146"/>
      <c r="RWR25" s="146"/>
      <c r="RWS25" s="146"/>
      <c r="RWT25" s="146"/>
      <c r="RWU25" s="146"/>
      <c r="RWV25" s="146"/>
      <c r="RWW25" s="146"/>
      <c r="RWX25" s="146"/>
      <c r="RWY25" s="146"/>
      <c r="RWZ25" s="146"/>
      <c r="RXA25" s="146"/>
      <c r="RXB25" s="146"/>
      <c r="RXC25" s="146"/>
      <c r="RXD25" s="146"/>
      <c r="RXE25" s="146"/>
      <c r="RXF25" s="146"/>
      <c r="RXG25" s="146"/>
      <c r="RXH25" s="146"/>
      <c r="RXI25" s="146"/>
      <c r="RXJ25" s="146"/>
      <c r="RXK25" s="146"/>
      <c r="RXL25" s="146"/>
      <c r="RXM25" s="146"/>
      <c r="RXN25" s="146"/>
      <c r="RXO25" s="146"/>
      <c r="RXP25" s="146"/>
      <c r="RXQ25" s="146"/>
      <c r="RXR25" s="146"/>
      <c r="RXS25" s="146"/>
      <c r="RXT25" s="146"/>
      <c r="RXU25" s="146"/>
      <c r="RXV25" s="146"/>
      <c r="RXW25" s="146"/>
      <c r="RXX25" s="146"/>
      <c r="RXY25" s="146"/>
      <c r="RXZ25" s="146"/>
      <c r="RYA25" s="146"/>
      <c r="RYB25" s="146"/>
      <c r="RYC25" s="146"/>
      <c r="RYD25" s="146"/>
      <c r="RYE25" s="146"/>
      <c r="RYF25" s="146"/>
      <c r="RYG25" s="146"/>
      <c r="RYH25" s="146"/>
      <c r="RYI25" s="146"/>
      <c r="RYJ25" s="146"/>
      <c r="RYK25" s="146"/>
      <c r="RYL25" s="146"/>
      <c r="RYM25" s="146"/>
      <c r="RYN25" s="146"/>
      <c r="RYO25" s="146"/>
      <c r="RYP25" s="146"/>
      <c r="RYQ25" s="146"/>
      <c r="RYR25" s="146"/>
      <c r="RYS25" s="146"/>
      <c r="RYT25" s="146"/>
      <c r="RYU25" s="146"/>
      <c r="RYV25" s="146"/>
      <c r="RYW25" s="146"/>
      <c r="RYX25" s="146"/>
      <c r="RYY25" s="146"/>
      <c r="RYZ25" s="146"/>
      <c r="RZA25" s="146"/>
      <c r="RZB25" s="146"/>
      <c r="RZC25" s="146"/>
      <c r="RZD25" s="146"/>
      <c r="RZE25" s="146"/>
      <c r="RZF25" s="146"/>
      <c r="RZG25" s="146"/>
      <c r="RZH25" s="146"/>
      <c r="RZI25" s="146"/>
      <c r="RZJ25" s="146"/>
      <c r="RZK25" s="146"/>
      <c r="RZL25" s="146"/>
      <c r="RZM25" s="146"/>
      <c r="RZN25" s="146"/>
      <c r="RZO25" s="146"/>
      <c r="RZP25" s="146"/>
      <c r="RZQ25" s="146"/>
      <c r="RZR25" s="146"/>
      <c r="RZS25" s="146"/>
      <c r="RZT25" s="146"/>
      <c r="RZU25" s="146"/>
      <c r="RZV25" s="146"/>
      <c r="RZW25" s="146"/>
      <c r="RZX25" s="146"/>
      <c r="RZY25" s="146"/>
      <c r="RZZ25" s="146"/>
      <c r="SAA25" s="146"/>
      <c r="SAB25" s="146"/>
      <c r="SAC25" s="146"/>
      <c r="SAD25" s="146"/>
      <c r="SAE25" s="146"/>
      <c r="SAF25" s="146"/>
      <c r="SAG25" s="146"/>
      <c r="SAH25" s="146"/>
      <c r="SAI25" s="146"/>
      <c r="SAJ25" s="146"/>
      <c r="SAK25" s="146"/>
      <c r="SAL25" s="146"/>
      <c r="SAM25" s="146"/>
      <c r="SAN25" s="146"/>
      <c r="SAO25" s="146"/>
      <c r="SAP25" s="146"/>
      <c r="SAQ25" s="146"/>
      <c r="SAR25" s="146"/>
      <c r="SAS25" s="146"/>
      <c r="SAT25" s="146"/>
      <c r="SAU25" s="146"/>
      <c r="SAV25" s="146"/>
      <c r="SAW25" s="146"/>
      <c r="SAX25" s="146"/>
      <c r="SAY25" s="146"/>
      <c r="SAZ25" s="146"/>
      <c r="SBA25" s="146"/>
      <c r="SBB25" s="146"/>
      <c r="SBC25" s="146"/>
      <c r="SBD25" s="146"/>
      <c r="SBE25" s="146"/>
      <c r="SBF25" s="146"/>
      <c r="SBG25" s="146"/>
      <c r="SBH25" s="146"/>
      <c r="SBI25" s="146"/>
      <c r="SBJ25" s="146"/>
      <c r="SBK25" s="146"/>
      <c r="SBL25" s="146"/>
      <c r="SBM25" s="146"/>
      <c r="SBN25" s="146"/>
      <c r="SBO25" s="146"/>
      <c r="SBP25" s="146"/>
      <c r="SBQ25" s="146"/>
      <c r="SBR25" s="146"/>
      <c r="SBS25" s="146"/>
      <c r="SBT25" s="146"/>
      <c r="SBU25" s="146"/>
      <c r="SBV25" s="146"/>
      <c r="SBW25" s="146"/>
      <c r="SBX25" s="146"/>
      <c r="SBY25" s="146"/>
      <c r="SBZ25" s="146"/>
      <c r="SCA25" s="146"/>
      <c r="SCB25" s="146"/>
      <c r="SCC25" s="146"/>
      <c r="SCD25" s="146"/>
      <c r="SCE25" s="146"/>
      <c r="SCF25" s="146"/>
      <c r="SCG25" s="146"/>
      <c r="SCH25" s="146"/>
      <c r="SCI25" s="146"/>
      <c r="SCJ25" s="146"/>
      <c r="SCK25" s="146"/>
      <c r="SCL25" s="146"/>
      <c r="SCM25" s="146"/>
      <c r="SCN25" s="146"/>
      <c r="SCO25" s="146"/>
      <c r="SCP25" s="146"/>
      <c r="SCQ25" s="146"/>
      <c r="SCR25" s="146"/>
      <c r="SCS25" s="146"/>
      <c r="SCT25" s="146"/>
      <c r="SCU25" s="146"/>
      <c r="SCV25" s="146"/>
      <c r="SCW25" s="146"/>
      <c r="SCX25" s="146"/>
      <c r="SCY25" s="146"/>
      <c r="SCZ25" s="146"/>
      <c r="SDA25" s="146"/>
      <c r="SDB25" s="146"/>
      <c r="SDC25" s="146"/>
      <c r="SDD25" s="146"/>
      <c r="SDE25" s="146"/>
      <c r="SDF25" s="146"/>
      <c r="SDG25" s="146"/>
      <c r="SDH25" s="146"/>
      <c r="SDI25" s="146"/>
      <c r="SDJ25" s="146"/>
      <c r="SDK25" s="146"/>
      <c r="SDL25" s="146"/>
      <c r="SDM25" s="146"/>
      <c r="SDN25" s="146"/>
      <c r="SDO25" s="146"/>
      <c r="SDP25" s="146"/>
      <c r="SDQ25" s="146"/>
      <c r="SDR25" s="146"/>
      <c r="SDS25" s="146"/>
      <c r="SDT25" s="146"/>
      <c r="SDU25" s="146"/>
      <c r="SDV25" s="146"/>
      <c r="SDW25" s="146"/>
      <c r="SDX25" s="146"/>
      <c r="SDY25" s="146"/>
      <c r="SDZ25" s="146"/>
      <c r="SEA25" s="146"/>
      <c r="SEB25" s="146"/>
      <c r="SEC25" s="146"/>
      <c r="SED25" s="146"/>
      <c r="SEE25" s="146"/>
      <c r="SEF25" s="146"/>
      <c r="SEG25" s="146"/>
      <c r="SEH25" s="146"/>
      <c r="SEI25" s="146"/>
      <c r="SEJ25" s="146"/>
      <c r="SEK25" s="146"/>
      <c r="SEL25" s="146"/>
      <c r="SEM25" s="146"/>
      <c r="SEN25" s="146"/>
      <c r="SEO25" s="146"/>
      <c r="SEP25" s="146"/>
      <c r="SEQ25" s="146"/>
      <c r="SER25" s="146"/>
      <c r="SES25" s="146"/>
      <c r="SET25" s="146"/>
      <c r="SEU25" s="146"/>
      <c r="SEV25" s="146"/>
      <c r="SEW25" s="146"/>
      <c r="SEX25" s="146"/>
      <c r="SEY25" s="146"/>
      <c r="SEZ25" s="146"/>
      <c r="SFA25" s="146"/>
      <c r="SFB25" s="146"/>
      <c r="SFC25" s="146"/>
      <c r="SFD25" s="146"/>
      <c r="SFE25" s="146"/>
      <c r="SFF25" s="146"/>
      <c r="SFG25" s="146"/>
      <c r="SFH25" s="146"/>
      <c r="SFI25" s="146"/>
      <c r="SFJ25" s="146"/>
      <c r="SFK25" s="146"/>
      <c r="SFL25" s="146"/>
      <c r="SFM25" s="146"/>
      <c r="SFN25" s="146"/>
      <c r="SFO25" s="146"/>
      <c r="SFP25" s="146"/>
      <c r="SFQ25" s="146"/>
      <c r="SFR25" s="146"/>
      <c r="SFS25" s="146"/>
      <c r="SFT25" s="146"/>
      <c r="SFU25" s="146"/>
      <c r="SFV25" s="146"/>
      <c r="SFW25" s="146"/>
      <c r="SFX25" s="146"/>
      <c r="SFY25" s="146"/>
      <c r="SFZ25" s="146"/>
      <c r="SGA25" s="146"/>
      <c r="SGB25" s="146"/>
      <c r="SGC25" s="146"/>
      <c r="SGD25" s="146"/>
      <c r="SGE25" s="146"/>
      <c r="SGF25" s="146"/>
      <c r="SGG25" s="146"/>
      <c r="SGH25" s="146"/>
      <c r="SGI25" s="146"/>
      <c r="SGJ25" s="146"/>
      <c r="SGK25" s="146"/>
      <c r="SGL25" s="146"/>
      <c r="SGM25" s="146"/>
      <c r="SGN25" s="146"/>
      <c r="SGO25" s="146"/>
      <c r="SGP25" s="146"/>
      <c r="SGQ25" s="146"/>
      <c r="SGR25" s="146"/>
      <c r="SGS25" s="146"/>
      <c r="SGT25" s="146"/>
      <c r="SGU25" s="146"/>
      <c r="SGV25" s="146"/>
      <c r="SGW25" s="146"/>
      <c r="SGX25" s="146"/>
      <c r="SGY25" s="146"/>
      <c r="SGZ25" s="146"/>
      <c r="SHA25" s="146"/>
      <c r="SHB25" s="146"/>
      <c r="SHC25" s="146"/>
      <c r="SHD25" s="146"/>
      <c r="SHE25" s="146"/>
      <c r="SHF25" s="146"/>
      <c r="SHG25" s="146"/>
      <c r="SHH25" s="146"/>
      <c r="SHI25" s="146"/>
      <c r="SHJ25" s="146"/>
      <c r="SHK25" s="146"/>
      <c r="SHL25" s="146"/>
      <c r="SHM25" s="146"/>
      <c r="SHN25" s="146"/>
      <c r="SHO25" s="146"/>
      <c r="SHP25" s="146"/>
      <c r="SHQ25" s="146"/>
      <c r="SHR25" s="146"/>
      <c r="SHS25" s="146"/>
      <c r="SHT25" s="146"/>
      <c r="SHU25" s="146"/>
      <c r="SHV25" s="146"/>
      <c r="SHW25" s="146"/>
      <c r="SHX25" s="146"/>
      <c r="SHY25" s="146"/>
      <c r="SHZ25" s="146"/>
      <c r="SIA25" s="146"/>
      <c r="SIB25" s="146"/>
      <c r="SIC25" s="146"/>
      <c r="SID25" s="146"/>
      <c r="SIE25" s="146"/>
      <c r="SIF25" s="146"/>
      <c r="SIG25" s="146"/>
      <c r="SIH25" s="146"/>
      <c r="SII25" s="146"/>
      <c r="SIJ25" s="146"/>
      <c r="SIK25" s="146"/>
      <c r="SIL25" s="146"/>
      <c r="SIM25" s="146"/>
      <c r="SIN25" s="146"/>
      <c r="SIO25" s="146"/>
      <c r="SIP25" s="146"/>
      <c r="SIQ25" s="146"/>
      <c r="SIR25" s="146"/>
      <c r="SIS25" s="146"/>
      <c r="SIT25" s="146"/>
      <c r="SIU25" s="146"/>
      <c r="SIV25" s="146"/>
      <c r="SIW25" s="146"/>
      <c r="SIX25" s="146"/>
      <c r="SIY25" s="146"/>
      <c r="SIZ25" s="146"/>
      <c r="SJA25" s="146"/>
      <c r="SJB25" s="146"/>
      <c r="SJC25" s="146"/>
      <c r="SJD25" s="146"/>
      <c r="SJE25" s="146"/>
      <c r="SJF25" s="146"/>
      <c r="SJG25" s="146"/>
      <c r="SJH25" s="146"/>
      <c r="SJI25" s="146"/>
      <c r="SJJ25" s="146"/>
      <c r="SJK25" s="146"/>
      <c r="SJL25" s="146"/>
      <c r="SJM25" s="146"/>
      <c r="SJN25" s="146"/>
      <c r="SJO25" s="146"/>
      <c r="SJP25" s="146"/>
      <c r="SJQ25" s="146"/>
      <c r="SJR25" s="146"/>
      <c r="SJS25" s="146"/>
      <c r="SJT25" s="146"/>
      <c r="SJU25" s="146"/>
      <c r="SJV25" s="146"/>
      <c r="SJW25" s="146"/>
      <c r="SJX25" s="146"/>
      <c r="SJY25" s="146"/>
      <c r="SJZ25" s="146"/>
      <c r="SKA25" s="146"/>
      <c r="SKB25" s="146"/>
      <c r="SKC25" s="146"/>
      <c r="SKD25" s="146"/>
      <c r="SKE25" s="146"/>
      <c r="SKF25" s="146"/>
      <c r="SKG25" s="146"/>
      <c r="SKH25" s="146"/>
      <c r="SKI25" s="146"/>
      <c r="SKJ25" s="146"/>
      <c r="SKK25" s="146"/>
      <c r="SKL25" s="146"/>
      <c r="SKM25" s="146"/>
      <c r="SKN25" s="146"/>
      <c r="SKO25" s="146"/>
      <c r="SKP25" s="146"/>
      <c r="SKQ25" s="146"/>
      <c r="SKR25" s="146"/>
      <c r="SKS25" s="146"/>
      <c r="SKT25" s="146"/>
      <c r="SKU25" s="146"/>
      <c r="SKV25" s="146"/>
      <c r="SKW25" s="146"/>
      <c r="SKX25" s="146"/>
      <c r="SKY25" s="146"/>
      <c r="SKZ25" s="146"/>
      <c r="SLA25" s="146"/>
      <c r="SLB25" s="146"/>
      <c r="SLC25" s="146"/>
      <c r="SLD25" s="146"/>
      <c r="SLE25" s="146"/>
      <c r="SLF25" s="146"/>
      <c r="SLG25" s="146"/>
      <c r="SLH25" s="146"/>
      <c r="SLI25" s="146"/>
      <c r="SLJ25" s="146"/>
      <c r="SLK25" s="146"/>
      <c r="SLL25" s="146"/>
      <c r="SLM25" s="146"/>
      <c r="SLN25" s="146"/>
      <c r="SLO25" s="146"/>
      <c r="SLP25" s="146"/>
      <c r="SLQ25" s="146"/>
      <c r="SLR25" s="146"/>
      <c r="SLS25" s="146"/>
      <c r="SLT25" s="146"/>
      <c r="SLU25" s="146"/>
      <c r="SLV25" s="146"/>
      <c r="SLW25" s="146"/>
      <c r="SLX25" s="146"/>
      <c r="SLY25" s="146"/>
      <c r="SLZ25" s="146"/>
      <c r="SMA25" s="146"/>
      <c r="SMB25" s="146"/>
      <c r="SMC25" s="146"/>
      <c r="SMD25" s="146"/>
      <c r="SME25" s="146"/>
      <c r="SMF25" s="146"/>
      <c r="SMG25" s="146"/>
      <c r="SMH25" s="146"/>
      <c r="SMI25" s="146"/>
      <c r="SMJ25" s="146"/>
      <c r="SMK25" s="146"/>
      <c r="SML25" s="146"/>
      <c r="SMM25" s="146"/>
      <c r="SMN25" s="146"/>
      <c r="SMO25" s="146"/>
      <c r="SMP25" s="146"/>
      <c r="SMQ25" s="146"/>
      <c r="SMR25" s="146"/>
      <c r="SMS25" s="146"/>
      <c r="SMT25" s="146"/>
      <c r="SMU25" s="146"/>
      <c r="SMV25" s="146"/>
      <c r="SMW25" s="146"/>
      <c r="SMX25" s="146"/>
      <c r="SMY25" s="146"/>
      <c r="SMZ25" s="146"/>
      <c r="SNA25" s="146"/>
      <c r="SNB25" s="146"/>
      <c r="SNC25" s="146"/>
      <c r="SND25" s="146"/>
      <c r="SNE25" s="146"/>
      <c r="SNF25" s="146"/>
      <c r="SNG25" s="146"/>
      <c r="SNH25" s="146"/>
      <c r="SNI25" s="146"/>
      <c r="SNJ25" s="146"/>
      <c r="SNK25" s="146"/>
      <c r="SNL25" s="146"/>
      <c r="SNM25" s="146"/>
      <c r="SNN25" s="146"/>
      <c r="SNO25" s="146"/>
      <c r="SNP25" s="146"/>
      <c r="SNQ25" s="146"/>
      <c r="SNR25" s="146"/>
      <c r="SNS25" s="146"/>
      <c r="SNT25" s="146"/>
      <c r="SNU25" s="146"/>
      <c r="SNV25" s="146"/>
      <c r="SNW25" s="146"/>
      <c r="SNX25" s="146"/>
      <c r="SNY25" s="146"/>
      <c r="SNZ25" s="146"/>
      <c r="SOA25" s="146"/>
      <c r="SOB25" s="146"/>
      <c r="SOC25" s="146"/>
      <c r="SOD25" s="146"/>
      <c r="SOE25" s="146"/>
      <c r="SOF25" s="146"/>
      <c r="SOG25" s="146"/>
      <c r="SOH25" s="146"/>
      <c r="SOI25" s="146"/>
      <c r="SOJ25" s="146"/>
      <c r="SOK25" s="146"/>
      <c r="SOL25" s="146"/>
      <c r="SOM25" s="146"/>
      <c r="SON25" s="146"/>
      <c r="SOO25" s="146"/>
      <c r="SOP25" s="146"/>
      <c r="SOQ25" s="146"/>
      <c r="SOR25" s="146"/>
      <c r="SOS25" s="146"/>
      <c r="SOT25" s="146"/>
      <c r="SOU25" s="146"/>
      <c r="SOV25" s="146"/>
      <c r="SOW25" s="146"/>
      <c r="SOX25" s="146"/>
      <c r="SOY25" s="146"/>
      <c r="SOZ25" s="146"/>
      <c r="SPA25" s="146"/>
      <c r="SPB25" s="146"/>
      <c r="SPC25" s="146"/>
      <c r="SPD25" s="146"/>
      <c r="SPE25" s="146"/>
      <c r="SPF25" s="146"/>
      <c r="SPG25" s="146"/>
      <c r="SPH25" s="146"/>
      <c r="SPI25" s="146"/>
      <c r="SPJ25" s="146"/>
      <c r="SPK25" s="146"/>
      <c r="SPL25" s="146"/>
      <c r="SPM25" s="146"/>
      <c r="SPN25" s="146"/>
      <c r="SPO25" s="146"/>
      <c r="SPP25" s="146"/>
      <c r="SPQ25" s="146"/>
      <c r="SPR25" s="146"/>
      <c r="SPS25" s="146"/>
      <c r="SPT25" s="146"/>
      <c r="SPU25" s="146"/>
      <c r="SPV25" s="146"/>
      <c r="SPW25" s="146"/>
      <c r="SPX25" s="146"/>
      <c r="SPY25" s="146"/>
      <c r="SPZ25" s="146"/>
      <c r="SQA25" s="146"/>
      <c r="SQB25" s="146"/>
      <c r="SQC25" s="146"/>
      <c r="SQD25" s="146"/>
      <c r="SQE25" s="146"/>
      <c r="SQF25" s="146"/>
      <c r="SQG25" s="146"/>
      <c r="SQH25" s="146"/>
      <c r="SQI25" s="146"/>
      <c r="SQJ25" s="146"/>
      <c r="SQK25" s="146"/>
      <c r="SQL25" s="146"/>
      <c r="SQM25" s="146"/>
      <c r="SQN25" s="146"/>
      <c r="SQO25" s="146"/>
      <c r="SQP25" s="146"/>
      <c r="SQQ25" s="146"/>
      <c r="SQR25" s="146"/>
      <c r="SQS25" s="146"/>
      <c r="SQT25" s="146"/>
      <c r="SQU25" s="146"/>
      <c r="SQV25" s="146"/>
      <c r="SQW25" s="146"/>
      <c r="SQX25" s="146"/>
      <c r="SQY25" s="146"/>
      <c r="SQZ25" s="146"/>
      <c r="SRA25" s="146"/>
      <c r="SRB25" s="146"/>
      <c r="SRC25" s="146"/>
      <c r="SRD25" s="146"/>
      <c r="SRE25" s="146"/>
      <c r="SRF25" s="146"/>
      <c r="SRG25" s="146"/>
      <c r="SRH25" s="146"/>
      <c r="SRI25" s="146"/>
      <c r="SRJ25" s="146"/>
      <c r="SRK25" s="146"/>
      <c r="SRL25" s="146"/>
      <c r="SRM25" s="146"/>
      <c r="SRN25" s="146"/>
      <c r="SRO25" s="146"/>
      <c r="SRP25" s="146"/>
      <c r="SRQ25" s="146"/>
      <c r="SRR25" s="146"/>
      <c r="SRS25" s="146"/>
      <c r="SRT25" s="146"/>
      <c r="SRU25" s="146"/>
      <c r="SRV25" s="146"/>
      <c r="SRW25" s="146"/>
      <c r="SRX25" s="146"/>
      <c r="SRY25" s="146"/>
      <c r="SRZ25" s="146"/>
      <c r="SSA25" s="146"/>
      <c r="SSB25" s="146"/>
      <c r="SSC25" s="146"/>
      <c r="SSD25" s="146"/>
      <c r="SSE25" s="146"/>
      <c r="SSF25" s="146"/>
      <c r="SSG25" s="146"/>
      <c r="SSH25" s="146"/>
      <c r="SSI25" s="146"/>
      <c r="SSJ25" s="146"/>
      <c r="SSK25" s="146"/>
      <c r="SSL25" s="146"/>
      <c r="SSM25" s="146"/>
      <c r="SSN25" s="146"/>
      <c r="SSO25" s="146"/>
      <c r="SSP25" s="146"/>
      <c r="SSQ25" s="146"/>
      <c r="SSR25" s="146"/>
      <c r="SSS25" s="146"/>
      <c r="SST25" s="146"/>
      <c r="SSU25" s="146"/>
      <c r="SSV25" s="146"/>
      <c r="SSW25" s="146"/>
      <c r="SSX25" s="146"/>
      <c r="SSY25" s="146"/>
      <c r="SSZ25" s="146"/>
      <c r="STA25" s="146"/>
      <c r="STB25" s="146"/>
      <c r="STC25" s="146"/>
      <c r="STD25" s="146"/>
      <c r="STE25" s="146"/>
      <c r="STF25" s="146"/>
      <c r="STG25" s="146"/>
      <c r="STH25" s="146"/>
      <c r="STI25" s="146"/>
      <c r="STJ25" s="146"/>
      <c r="STK25" s="146"/>
      <c r="STL25" s="146"/>
      <c r="STM25" s="146"/>
      <c r="STN25" s="146"/>
      <c r="STO25" s="146"/>
      <c r="STP25" s="146"/>
      <c r="STQ25" s="146"/>
      <c r="STR25" s="146"/>
      <c r="STS25" s="146"/>
      <c r="STT25" s="146"/>
      <c r="STU25" s="146"/>
      <c r="STV25" s="146"/>
      <c r="STW25" s="146"/>
      <c r="STX25" s="146"/>
      <c r="STY25" s="146"/>
      <c r="STZ25" s="146"/>
      <c r="SUA25" s="146"/>
      <c r="SUB25" s="146"/>
      <c r="SUC25" s="146"/>
      <c r="SUD25" s="146"/>
      <c r="SUE25" s="146"/>
      <c r="SUF25" s="146"/>
      <c r="SUG25" s="146"/>
      <c r="SUH25" s="146"/>
      <c r="SUI25" s="146"/>
      <c r="SUJ25" s="146"/>
      <c r="SUK25" s="146"/>
      <c r="SUL25" s="146"/>
      <c r="SUM25" s="146"/>
      <c r="SUN25" s="146"/>
      <c r="SUO25" s="146"/>
      <c r="SUP25" s="146"/>
      <c r="SUQ25" s="146"/>
      <c r="SUR25" s="146"/>
      <c r="SUS25" s="146"/>
      <c r="SUT25" s="146"/>
      <c r="SUU25" s="146"/>
      <c r="SUV25" s="146"/>
      <c r="SUW25" s="146"/>
      <c r="SUX25" s="146"/>
      <c r="SUY25" s="146"/>
      <c r="SUZ25" s="146"/>
      <c r="SVA25" s="146"/>
      <c r="SVB25" s="146"/>
      <c r="SVC25" s="146"/>
      <c r="SVD25" s="146"/>
      <c r="SVE25" s="146"/>
      <c r="SVF25" s="146"/>
      <c r="SVG25" s="146"/>
      <c r="SVH25" s="146"/>
      <c r="SVI25" s="146"/>
      <c r="SVJ25" s="146"/>
      <c r="SVK25" s="146"/>
      <c r="SVL25" s="146"/>
      <c r="SVM25" s="146"/>
      <c r="SVN25" s="146"/>
      <c r="SVO25" s="146"/>
      <c r="SVP25" s="146"/>
      <c r="SVQ25" s="146"/>
      <c r="SVR25" s="146"/>
      <c r="SVS25" s="146"/>
      <c r="SVT25" s="146"/>
      <c r="SVU25" s="146"/>
      <c r="SVV25" s="146"/>
      <c r="SVW25" s="146"/>
      <c r="SVX25" s="146"/>
      <c r="SVY25" s="146"/>
      <c r="SVZ25" s="146"/>
      <c r="SWA25" s="146"/>
      <c r="SWB25" s="146"/>
      <c r="SWC25" s="146"/>
      <c r="SWD25" s="146"/>
      <c r="SWE25" s="146"/>
      <c r="SWF25" s="146"/>
      <c r="SWG25" s="146"/>
      <c r="SWH25" s="146"/>
      <c r="SWI25" s="146"/>
      <c r="SWJ25" s="146"/>
      <c r="SWK25" s="146"/>
      <c r="SWL25" s="146"/>
      <c r="SWM25" s="146"/>
      <c r="SWN25" s="146"/>
      <c r="SWO25" s="146"/>
      <c r="SWP25" s="146"/>
      <c r="SWQ25" s="146"/>
      <c r="SWR25" s="146"/>
      <c r="SWS25" s="146"/>
      <c r="SWT25" s="146"/>
      <c r="SWU25" s="146"/>
      <c r="SWV25" s="146"/>
      <c r="SWW25" s="146"/>
      <c r="SWX25" s="146"/>
      <c r="SWY25" s="146"/>
      <c r="SWZ25" s="146"/>
      <c r="SXA25" s="146"/>
      <c r="SXB25" s="146"/>
      <c r="SXC25" s="146"/>
      <c r="SXD25" s="146"/>
      <c r="SXE25" s="146"/>
      <c r="SXF25" s="146"/>
      <c r="SXG25" s="146"/>
      <c r="SXH25" s="146"/>
      <c r="SXI25" s="146"/>
      <c r="SXJ25" s="146"/>
      <c r="SXK25" s="146"/>
      <c r="SXL25" s="146"/>
      <c r="SXM25" s="146"/>
      <c r="SXN25" s="146"/>
      <c r="SXO25" s="146"/>
      <c r="SXP25" s="146"/>
      <c r="SXQ25" s="146"/>
      <c r="SXR25" s="146"/>
      <c r="SXS25" s="146"/>
      <c r="SXT25" s="146"/>
      <c r="SXU25" s="146"/>
      <c r="SXV25" s="146"/>
      <c r="SXW25" s="146"/>
      <c r="SXX25" s="146"/>
      <c r="SXY25" s="146"/>
      <c r="SXZ25" s="146"/>
      <c r="SYA25" s="146"/>
      <c r="SYB25" s="146"/>
      <c r="SYC25" s="146"/>
      <c r="SYD25" s="146"/>
      <c r="SYE25" s="146"/>
      <c r="SYF25" s="146"/>
      <c r="SYG25" s="146"/>
      <c r="SYH25" s="146"/>
      <c r="SYI25" s="146"/>
      <c r="SYJ25" s="146"/>
      <c r="SYK25" s="146"/>
      <c r="SYL25" s="146"/>
      <c r="SYM25" s="146"/>
      <c r="SYN25" s="146"/>
      <c r="SYO25" s="146"/>
      <c r="SYP25" s="146"/>
      <c r="SYQ25" s="146"/>
      <c r="SYR25" s="146"/>
      <c r="SYS25" s="146"/>
      <c r="SYT25" s="146"/>
      <c r="SYU25" s="146"/>
      <c r="SYV25" s="146"/>
      <c r="SYW25" s="146"/>
      <c r="SYX25" s="146"/>
      <c r="SYY25" s="146"/>
      <c r="SYZ25" s="146"/>
      <c r="SZA25" s="146"/>
      <c r="SZB25" s="146"/>
      <c r="SZC25" s="146"/>
      <c r="SZD25" s="146"/>
      <c r="SZE25" s="146"/>
      <c r="SZF25" s="146"/>
      <c r="SZG25" s="146"/>
      <c r="SZH25" s="146"/>
      <c r="SZI25" s="146"/>
      <c r="SZJ25" s="146"/>
      <c r="SZK25" s="146"/>
      <c r="SZL25" s="146"/>
      <c r="SZM25" s="146"/>
      <c r="SZN25" s="146"/>
      <c r="SZO25" s="146"/>
      <c r="SZP25" s="146"/>
      <c r="SZQ25" s="146"/>
      <c r="SZR25" s="146"/>
      <c r="SZS25" s="146"/>
      <c r="SZT25" s="146"/>
      <c r="SZU25" s="146"/>
      <c r="SZV25" s="146"/>
      <c r="SZW25" s="146"/>
      <c r="SZX25" s="146"/>
      <c r="SZY25" s="146"/>
      <c r="SZZ25" s="146"/>
      <c r="TAA25" s="146"/>
      <c r="TAB25" s="146"/>
      <c r="TAC25" s="146"/>
      <c r="TAD25" s="146"/>
      <c r="TAE25" s="146"/>
      <c r="TAF25" s="146"/>
      <c r="TAG25" s="146"/>
      <c r="TAH25" s="146"/>
      <c r="TAI25" s="146"/>
      <c r="TAJ25" s="146"/>
      <c r="TAK25" s="146"/>
      <c r="TAL25" s="146"/>
      <c r="TAM25" s="146"/>
      <c r="TAN25" s="146"/>
      <c r="TAO25" s="146"/>
      <c r="TAP25" s="146"/>
      <c r="TAQ25" s="146"/>
      <c r="TAR25" s="146"/>
      <c r="TAS25" s="146"/>
      <c r="TAT25" s="146"/>
      <c r="TAU25" s="146"/>
      <c r="TAV25" s="146"/>
      <c r="TAW25" s="146"/>
      <c r="TAX25" s="146"/>
      <c r="TAY25" s="146"/>
      <c r="TAZ25" s="146"/>
      <c r="TBA25" s="146"/>
      <c r="TBB25" s="146"/>
      <c r="TBC25" s="146"/>
      <c r="TBD25" s="146"/>
      <c r="TBE25" s="146"/>
      <c r="TBF25" s="146"/>
      <c r="TBG25" s="146"/>
      <c r="TBH25" s="146"/>
      <c r="TBI25" s="146"/>
      <c r="TBJ25" s="146"/>
      <c r="TBK25" s="146"/>
      <c r="TBL25" s="146"/>
      <c r="TBM25" s="146"/>
      <c r="TBN25" s="146"/>
      <c r="TBO25" s="146"/>
      <c r="TBP25" s="146"/>
      <c r="TBQ25" s="146"/>
      <c r="TBR25" s="146"/>
      <c r="TBS25" s="146"/>
      <c r="TBT25" s="146"/>
      <c r="TBU25" s="146"/>
      <c r="TBV25" s="146"/>
      <c r="TBW25" s="146"/>
      <c r="TBX25" s="146"/>
      <c r="TBY25" s="146"/>
      <c r="TBZ25" s="146"/>
      <c r="TCA25" s="146"/>
      <c r="TCB25" s="146"/>
      <c r="TCC25" s="146"/>
      <c r="TCD25" s="146"/>
      <c r="TCE25" s="146"/>
      <c r="TCF25" s="146"/>
      <c r="TCG25" s="146"/>
      <c r="TCH25" s="146"/>
      <c r="TCI25" s="146"/>
      <c r="TCJ25" s="146"/>
      <c r="TCK25" s="146"/>
      <c r="TCL25" s="146"/>
      <c r="TCM25" s="146"/>
      <c r="TCN25" s="146"/>
      <c r="TCO25" s="146"/>
      <c r="TCP25" s="146"/>
      <c r="TCQ25" s="146"/>
      <c r="TCR25" s="146"/>
      <c r="TCS25" s="146"/>
      <c r="TCT25" s="146"/>
      <c r="TCU25" s="146"/>
      <c r="TCV25" s="146"/>
      <c r="TCW25" s="146"/>
      <c r="TCX25" s="146"/>
      <c r="TCY25" s="146"/>
      <c r="TCZ25" s="146"/>
      <c r="TDA25" s="146"/>
      <c r="TDB25" s="146"/>
      <c r="TDC25" s="146"/>
      <c r="TDD25" s="146"/>
      <c r="TDE25" s="146"/>
      <c r="TDF25" s="146"/>
      <c r="TDG25" s="146"/>
      <c r="TDH25" s="146"/>
      <c r="TDI25" s="146"/>
      <c r="TDJ25" s="146"/>
      <c r="TDK25" s="146"/>
      <c r="TDL25" s="146"/>
      <c r="TDM25" s="146"/>
      <c r="TDN25" s="146"/>
      <c r="TDO25" s="146"/>
      <c r="TDP25" s="146"/>
      <c r="TDQ25" s="146"/>
      <c r="TDR25" s="146"/>
      <c r="TDS25" s="146"/>
      <c r="TDT25" s="146"/>
      <c r="TDU25" s="146"/>
      <c r="TDV25" s="146"/>
      <c r="TDW25" s="146"/>
      <c r="TDX25" s="146"/>
      <c r="TDY25" s="146"/>
      <c r="TDZ25" s="146"/>
      <c r="TEA25" s="146"/>
      <c r="TEB25" s="146"/>
      <c r="TEC25" s="146"/>
      <c r="TED25" s="146"/>
      <c r="TEE25" s="146"/>
      <c r="TEF25" s="146"/>
      <c r="TEG25" s="146"/>
      <c r="TEH25" s="146"/>
      <c r="TEI25" s="146"/>
      <c r="TEJ25" s="146"/>
      <c r="TEK25" s="146"/>
      <c r="TEL25" s="146"/>
      <c r="TEM25" s="146"/>
      <c r="TEN25" s="146"/>
      <c r="TEO25" s="146"/>
      <c r="TEP25" s="146"/>
      <c r="TEQ25" s="146"/>
      <c r="TER25" s="146"/>
      <c r="TES25" s="146"/>
      <c r="TET25" s="146"/>
      <c r="TEU25" s="146"/>
      <c r="TEV25" s="146"/>
      <c r="TEW25" s="146"/>
      <c r="TEX25" s="146"/>
      <c r="TEY25" s="146"/>
      <c r="TEZ25" s="146"/>
      <c r="TFA25" s="146"/>
      <c r="TFB25" s="146"/>
      <c r="TFC25" s="146"/>
      <c r="TFD25" s="146"/>
      <c r="TFE25" s="146"/>
      <c r="TFF25" s="146"/>
      <c r="TFG25" s="146"/>
      <c r="TFH25" s="146"/>
      <c r="TFI25" s="146"/>
      <c r="TFJ25" s="146"/>
      <c r="TFK25" s="146"/>
      <c r="TFL25" s="146"/>
      <c r="TFM25" s="146"/>
      <c r="TFN25" s="146"/>
      <c r="TFO25" s="146"/>
      <c r="TFP25" s="146"/>
      <c r="TFQ25" s="146"/>
      <c r="TFR25" s="146"/>
      <c r="TFS25" s="146"/>
      <c r="TFT25" s="146"/>
      <c r="TFU25" s="146"/>
      <c r="TFV25" s="146"/>
      <c r="TFW25" s="146"/>
      <c r="TFX25" s="146"/>
      <c r="TFY25" s="146"/>
      <c r="TFZ25" s="146"/>
      <c r="TGA25" s="146"/>
      <c r="TGB25" s="146"/>
      <c r="TGC25" s="146"/>
      <c r="TGD25" s="146"/>
      <c r="TGE25" s="146"/>
      <c r="TGF25" s="146"/>
      <c r="TGG25" s="146"/>
      <c r="TGH25" s="146"/>
      <c r="TGI25" s="146"/>
      <c r="TGJ25" s="146"/>
      <c r="TGK25" s="146"/>
      <c r="TGL25" s="146"/>
      <c r="TGM25" s="146"/>
      <c r="TGN25" s="146"/>
      <c r="TGO25" s="146"/>
      <c r="TGP25" s="146"/>
      <c r="TGQ25" s="146"/>
      <c r="TGR25" s="146"/>
      <c r="TGS25" s="146"/>
      <c r="TGT25" s="146"/>
      <c r="TGU25" s="146"/>
      <c r="TGV25" s="146"/>
      <c r="TGW25" s="146"/>
      <c r="TGX25" s="146"/>
      <c r="TGY25" s="146"/>
      <c r="TGZ25" s="146"/>
      <c r="THA25" s="146"/>
      <c r="THB25" s="146"/>
      <c r="THC25" s="146"/>
      <c r="THD25" s="146"/>
      <c r="THE25" s="146"/>
      <c r="THF25" s="146"/>
      <c r="THG25" s="146"/>
      <c r="THH25" s="146"/>
      <c r="THI25" s="146"/>
      <c r="THJ25" s="146"/>
      <c r="THK25" s="146"/>
      <c r="THL25" s="146"/>
      <c r="THM25" s="146"/>
      <c r="THN25" s="146"/>
      <c r="THO25" s="146"/>
      <c r="THP25" s="146"/>
      <c r="THQ25" s="146"/>
      <c r="THR25" s="146"/>
      <c r="THS25" s="146"/>
      <c r="THT25" s="146"/>
      <c r="THU25" s="146"/>
      <c r="THV25" s="146"/>
      <c r="THW25" s="146"/>
      <c r="THX25" s="146"/>
      <c r="THY25" s="146"/>
      <c r="THZ25" s="146"/>
      <c r="TIA25" s="146"/>
      <c r="TIB25" s="146"/>
      <c r="TIC25" s="146"/>
      <c r="TID25" s="146"/>
      <c r="TIE25" s="146"/>
      <c r="TIF25" s="146"/>
      <c r="TIG25" s="146"/>
      <c r="TIH25" s="146"/>
      <c r="TII25" s="146"/>
      <c r="TIJ25" s="146"/>
      <c r="TIK25" s="146"/>
      <c r="TIL25" s="146"/>
      <c r="TIM25" s="146"/>
      <c r="TIN25" s="146"/>
      <c r="TIO25" s="146"/>
      <c r="TIP25" s="146"/>
      <c r="TIQ25" s="146"/>
      <c r="TIR25" s="146"/>
      <c r="TIS25" s="146"/>
      <c r="TIT25" s="146"/>
      <c r="TIU25" s="146"/>
      <c r="TIV25" s="146"/>
      <c r="TIW25" s="146"/>
      <c r="TIX25" s="146"/>
      <c r="TIY25" s="146"/>
      <c r="TIZ25" s="146"/>
      <c r="TJA25" s="146"/>
      <c r="TJB25" s="146"/>
      <c r="TJC25" s="146"/>
      <c r="TJD25" s="146"/>
      <c r="TJE25" s="146"/>
      <c r="TJF25" s="146"/>
      <c r="TJG25" s="146"/>
      <c r="TJH25" s="146"/>
      <c r="TJI25" s="146"/>
      <c r="TJJ25" s="146"/>
      <c r="TJK25" s="146"/>
      <c r="TJL25" s="146"/>
      <c r="TJM25" s="146"/>
      <c r="TJN25" s="146"/>
      <c r="TJO25" s="146"/>
      <c r="TJP25" s="146"/>
      <c r="TJQ25" s="146"/>
      <c r="TJR25" s="146"/>
      <c r="TJS25" s="146"/>
      <c r="TJT25" s="146"/>
      <c r="TJU25" s="146"/>
      <c r="TJV25" s="146"/>
      <c r="TJW25" s="146"/>
      <c r="TJX25" s="146"/>
      <c r="TJY25" s="146"/>
      <c r="TJZ25" s="146"/>
      <c r="TKA25" s="146"/>
      <c r="TKB25" s="146"/>
      <c r="TKC25" s="146"/>
      <c r="TKD25" s="146"/>
      <c r="TKE25" s="146"/>
      <c r="TKF25" s="146"/>
      <c r="TKG25" s="146"/>
      <c r="TKH25" s="146"/>
      <c r="TKI25" s="146"/>
      <c r="TKJ25" s="146"/>
      <c r="TKK25" s="146"/>
      <c r="TKL25" s="146"/>
      <c r="TKM25" s="146"/>
      <c r="TKN25" s="146"/>
      <c r="TKO25" s="146"/>
      <c r="TKP25" s="146"/>
      <c r="TKQ25" s="146"/>
      <c r="TKR25" s="146"/>
      <c r="TKS25" s="146"/>
      <c r="TKT25" s="146"/>
      <c r="TKU25" s="146"/>
      <c r="TKV25" s="146"/>
      <c r="TKW25" s="146"/>
      <c r="TKX25" s="146"/>
      <c r="TKY25" s="146"/>
      <c r="TKZ25" s="146"/>
      <c r="TLA25" s="146"/>
      <c r="TLB25" s="146"/>
      <c r="TLC25" s="146"/>
      <c r="TLD25" s="146"/>
      <c r="TLE25" s="146"/>
      <c r="TLF25" s="146"/>
      <c r="TLG25" s="146"/>
      <c r="TLH25" s="146"/>
      <c r="TLI25" s="146"/>
      <c r="TLJ25" s="146"/>
      <c r="TLK25" s="146"/>
      <c r="TLL25" s="146"/>
      <c r="TLM25" s="146"/>
      <c r="TLN25" s="146"/>
      <c r="TLO25" s="146"/>
      <c r="TLP25" s="146"/>
      <c r="TLQ25" s="146"/>
      <c r="TLR25" s="146"/>
      <c r="TLS25" s="146"/>
      <c r="TLT25" s="146"/>
      <c r="TLU25" s="146"/>
      <c r="TLV25" s="146"/>
      <c r="TLW25" s="146"/>
      <c r="TLX25" s="146"/>
      <c r="TLY25" s="146"/>
      <c r="TLZ25" s="146"/>
      <c r="TMA25" s="146"/>
      <c r="TMB25" s="146"/>
      <c r="TMC25" s="146"/>
      <c r="TMD25" s="146"/>
      <c r="TME25" s="146"/>
      <c r="TMF25" s="146"/>
      <c r="TMG25" s="146"/>
      <c r="TMH25" s="146"/>
      <c r="TMI25" s="146"/>
      <c r="TMJ25" s="146"/>
      <c r="TMK25" s="146"/>
      <c r="TML25" s="146"/>
      <c r="TMM25" s="146"/>
      <c r="TMN25" s="146"/>
      <c r="TMO25" s="146"/>
      <c r="TMP25" s="146"/>
      <c r="TMQ25" s="146"/>
      <c r="TMR25" s="146"/>
      <c r="TMS25" s="146"/>
      <c r="TMT25" s="146"/>
      <c r="TMU25" s="146"/>
      <c r="TMV25" s="146"/>
      <c r="TMW25" s="146"/>
      <c r="TMX25" s="146"/>
      <c r="TMY25" s="146"/>
      <c r="TMZ25" s="146"/>
      <c r="TNA25" s="146"/>
      <c r="TNB25" s="146"/>
      <c r="TNC25" s="146"/>
      <c r="TND25" s="146"/>
      <c r="TNE25" s="146"/>
      <c r="TNF25" s="146"/>
      <c r="TNG25" s="146"/>
      <c r="TNH25" s="146"/>
      <c r="TNI25" s="146"/>
      <c r="TNJ25" s="146"/>
      <c r="TNK25" s="146"/>
      <c r="TNL25" s="146"/>
      <c r="TNM25" s="146"/>
      <c r="TNN25" s="146"/>
      <c r="TNO25" s="146"/>
      <c r="TNP25" s="146"/>
      <c r="TNQ25" s="146"/>
      <c r="TNR25" s="146"/>
      <c r="TNS25" s="146"/>
      <c r="TNT25" s="146"/>
      <c r="TNU25" s="146"/>
      <c r="TNV25" s="146"/>
      <c r="TNW25" s="146"/>
      <c r="TNX25" s="146"/>
      <c r="TNY25" s="146"/>
      <c r="TNZ25" s="146"/>
      <c r="TOA25" s="146"/>
      <c r="TOB25" s="146"/>
      <c r="TOC25" s="146"/>
      <c r="TOD25" s="146"/>
      <c r="TOE25" s="146"/>
      <c r="TOF25" s="146"/>
      <c r="TOG25" s="146"/>
      <c r="TOH25" s="146"/>
      <c r="TOI25" s="146"/>
      <c r="TOJ25" s="146"/>
      <c r="TOK25" s="146"/>
      <c r="TOL25" s="146"/>
      <c r="TOM25" s="146"/>
      <c r="TON25" s="146"/>
      <c r="TOO25" s="146"/>
      <c r="TOP25" s="146"/>
      <c r="TOQ25" s="146"/>
      <c r="TOR25" s="146"/>
      <c r="TOS25" s="146"/>
      <c r="TOT25" s="146"/>
      <c r="TOU25" s="146"/>
      <c r="TOV25" s="146"/>
      <c r="TOW25" s="146"/>
      <c r="TOX25" s="146"/>
      <c r="TOY25" s="146"/>
      <c r="TOZ25" s="146"/>
      <c r="TPA25" s="146"/>
      <c r="TPB25" s="146"/>
      <c r="TPC25" s="146"/>
      <c r="TPD25" s="146"/>
      <c r="TPE25" s="146"/>
      <c r="TPF25" s="146"/>
      <c r="TPG25" s="146"/>
      <c r="TPH25" s="146"/>
      <c r="TPI25" s="146"/>
      <c r="TPJ25" s="146"/>
      <c r="TPK25" s="146"/>
      <c r="TPL25" s="146"/>
      <c r="TPM25" s="146"/>
      <c r="TPN25" s="146"/>
      <c r="TPO25" s="146"/>
      <c r="TPP25" s="146"/>
      <c r="TPQ25" s="146"/>
      <c r="TPR25" s="146"/>
      <c r="TPS25" s="146"/>
      <c r="TPT25" s="146"/>
      <c r="TPU25" s="146"/>
      <c r="TPV25" s="146"/>
      <c r="TPW25" s="146"/>
      <c r="TPX25" s="146"/>
      <c r="TPY25" s="146"/>
      <c r="TPZ25" s="146"/>
      <c r="TQA25" s="146"/>
      <c r="TQB25" s="146"/>
      <c r="TQC25" s="146"/>
      <c r="TQD25" s="146"/>
      <c r="TQE25" s="146"/>
      <c r="TQF25" s="146"/>
      <c r="TQG25" s="146"/>
      <c r="TQH25" s="146"/>
      <c r="TQI25" s="146"/>
      <c r="TQJ25" s="146"/>
      <c r="TQK25" s="146"/>
      <c r="TQL25" s="146"/>
      <c r="TQM25" s="146"/>
      <c r="TQN25" s="146"/>
      <c r="TQO25" s="146"/>
      <c r="TQP25" s="146"/>
      <c r="TQQ25" s="146"/>
      <c r="TQR25" s="146"/>
      <c r="TQS25" s="146"/>
      <c r="TQT25" s="146"/>
      <c r="TQU25" s="146"/>
      <c r="TQV25" s="146"/>
      <c r="TQW25" s="146"/>
      <c r="TQX25" s="146"/>
      <c r="TQY25" s="146"/>
      <c r="TQZ25" s="146"/>
      <c r="TRA25" s="146"/>
      <c r="TRB25" s="146"/>
      <c r="TRC25" s="146"/>
      <c r="TRD25" s="146"/>
      <c r="TRE25" s="146"/>
      <c r="TRF25" s="146"/>
      <c r="TRG25" s="146"/>
      <c r="TRH25" s="146"/>
      <c r="TRI25" s="146"/>
      <c r="TRJ25" s="146"/>
      <c r="TRK25" s="146"/>
      <c r="TRL25" s="146"/>
      <c r="TRM25" s="146"/>
      <c r="TRN25" s="146"/>
      <c r="TRO25" s="146"/>
      <c r="TRP25" s="146"/>
      <c r="TRQ25" s="146"/>
      <c r="TRR25" s="146"/>
      <c r="TRS25" s="146"/>
      <c r="TRT25" s="146"/>
      <c r="TRU25" s="146"/>
      <c r="TRV25" s="146"/>
      <c r="TRW25" s="146"/>
      <c r="TRX25" s="146"/>
      <c r="TRY25" s="146"/>
      <c r="TRZ25" s="146"/>
      <c r="TSA25" s="146"/>
      <c r="TSB25" s="146"/>
      <c r="TSC25" s="146"/>
      <c r="TSD25" s="146"/>
      <c r="TSE25" s="146"/>
      <c r="TSF25" s="146"/>
      <c r="TSG25" s="146"/>
      <c r="TSH25" s="146"/>
      <c r="TSI25" s="146"/>
      <c r="TSJ25" s="146"/>
      <c r="TSK25" s="146"/>
      <c r="TSL25" s="146"/>
      <c r="TSM25" s="146"/>
      <c r="TSN25" s="146"/>
      <c r="TSO25" s="146"/>
      <c r="TSP25" s="146"/>
      <c r="TSQ25" s="146"/>
      <c r="TSR25" s="146"/>
      <c r="TSS25" s="146"/>
      <c r="TST25" s="146"/>
      <c r="TSU25" s="146"/>
      <c r="TSV25" s="146"/>
      <c r="TSW25" s="146"/>
      <c r="TSX25" s="146"/>
      <c r="TSY25" s="146"/>
      <c r="TSZ25" s="146"/>
      <c r="TTA25" s="146"/>
      <c r="TTB25" s="146"/>
      <c r="TTC25" s="146"/>
      <c r="TTD25" s="146"/>
      <c r="TTE25" s="146"/>
      <c r="TTF25" s="146"/>
      <c r="TTG25" s="146"/>
      <c r="TTH25" s="146"/>
      <c r="TTI25" s="146"/>
      <c r="TTJ25" s="146"/>
      <c r="TTK25" s="146"/>
      <c r="TTL25" s="146"/>
      <c r="TTM25" s="146"/>
      <c r="TTN25" s="146"/>
      <c r="TTO25" s="146"/>
      <c r="TTP25" s="146"/>
      <c r="TTQ25" s="146"/>
      <c r="TTR25" s="146"/>
      <c r="TTS25" s="146"/>
      <c r="TTT25" s="146"/>
      <c r="TTU25" s="146"/>
      <c r="TTV25" s="146"/>
      <c r="TTW25" s="146"/>
      <c r="TTX25" s="146"/>
      <c r="TTY25" s="146"/>
      <c r="TTZ25" s="146"/>
      <c r="TUA25" s="146"/>
      <c r="TUB25" s="146"/>
      <c r="TUC25" s="146"/>
      <c r="TUD25" s="146"/>
      <c r="TUE25" s="146"/>
      <c r="TUF25" s="146"/>
      <c r="TUG25" s="146"/>
      <c r="TUH25" s="146"/>
      <c r="TUI25" s="146"/>
      <c r="TUJ25" s="146"/>
      <c r="TUK25" s="146"/>
      <c r="TUL25" s="146"/>
      <c r="TUM25" s="146"/>
      <c r="TUN25" s="146"/>
      <c r="TUO25" s="146"/>
      <c r="TUP25" s="146"/>
      <c r="TUQ25" s="146"/>
      <c r="TUR25" s="146"/>
      <c r="TUS25" s="146"/>
      <c r="TUT25" s="146"/>
      <c r="TUU25" s="146"/>
      <c r="TUV25" s="146"/>
      <c r="TUW25" s="146"/>
      <c r="TUX25" s="146"/>
      <c r="TUY25" s="146"/>
      <c r="TUZ25" s="146"/>
      <c r="TVA25" s="146"/>
      <c r="TVB25" s="146"/>
      <c r="TVC25" s="146"/>
      <c r="TVD25" s="146"/>
      <c r="TVE25" s="146"/>
      <c r="TVF25" s="146"/>
      <c r="TVG25" s="146"/>
      <c r="TVH25" s="146"/>
      <c r="TVI25" s="146"/>
      <c r="TVJ25" s="146"/>
      <c r="TVK25" s="146"/>
      <c r="TVL25" s="146"/>
      <c r="TVM25" s="146"/>
      <c r="TVN25" s="146"/>
      <c r="TVO25" s="146"/>
      <c r="TVP25" s="146"/>
      <c r="TVQ25" s="146"/>
      <c r="TVR25" s="146"/>
      <c r="TVS25" s="146"/>
      <c r="TVT25" s="146"/>
      <c r="TVU25" s="146"/>
      <c r="TVV25" s="146"/>
      <c r="TVW25" s="146"/>
      <c r="TVX25" s="146"/>
      <c r="TVY25" s="146"/>
      <c r="TVZ25" s="146"/>
      <c r="TWA25" s="146"/>
      <c r="TWB25" s="146"/>
      <c r="TWC25" s="146"/>
      <c r="TWD25" s="146"/>
      <c r="TWE25" s="146"/>
      <c r="TWF25" s="146"/>
      <c r="TWG25" s="146"/>
      <c r="TWH25" s="146"/>
      <c r="TWI25" s="146"/>
      <c r="TWJ25" s="146"/>
      <c r="TWK25" s="146"/>
      <c r="TWL25" s="146"/>
      <c r="TWM25" s="146"/>
      <c r="TWN25" s="146"/>
      <c r="TWO25" s="146"/>
      <c r="TWP25" s="146"/>
      <c r="TWQ25" s="146"/>
      <c r="TWR25" s="146"/>
      <c r="TWS25" s="146"/>
      <c r="TWT25" s="146"/>
      <c r="TWU25" s="146"/>
      <c r="TWV25" s="146"/>
      <c r="TWW25" s="146"/>
      <c r="TWX25" s="146"/>
      <c r="TWY25" s="146"/>
      <c r="TWZ25" s="146"/>
      <c r="TXA25" s="146"/>
      <c r="TXB25" s="146"/>
      <c r="TXC25" s="146"/>
      <c r="TXD25" s="146"/>
      <c r="TXE25" s="146"/>
      <c r="TXF25" s="146"/>
      <c r="TXG25" s="146"/>
      <c r="TXH25" s="146"/>
      <c r="TXI25" s="146"/>
      <c r="TXJ25" s="146"/>
      <c r="TXK25" s="146"/>
      <c r="TXL25" s="146"/>
      <c r="TXM25" s="146"/>
      <c r="TXN25" s="146"/>
      <c r="TXO25" s="146"/>
      <c r="TXP25" s="146"/>
      <c r="TXQ25" s="146"/>
      <c r="TXR25" s="146"/>
      <c r="TXS25" s="146"/>
      <c r="TXT25" s="146"/>
      <c r="TXU25" s="146"/>
      <c r="TXV25" s="146"/>
      <c r="TXW25" s="146"/>
      <c r="TXX25" s="146"/>
      <c r="TXY25" s="146"/>
      <c r="TXZ25" s="146"/>
      <c r="TYA25" s="146"/>
      <c r="TYB25" s="146"/>
      <c r="TYC25" s="146"/>
      <c r="TYD25" s="146"/>
      <c r="TYE25" s="146"/>
      <c r="TYF25" s="146"/>
      <c r="TYG25" s="146"/>
      <c r="TYH25" s="146"/>
      <c r="TYI25" s="146"/>
      <c r="TYJ25" s="146"/>
      <c r="TYK25" s="146"/>
      <c r="TYL25" s="146"/>
      <c r="TYM25" s="146"/>
      <c r="TYN25" s="146"/>
      <c r="TYO25" s="146"/>
      <c r="TYP25" s="146"/>
      <c r="TYQ25" s="146"/>
      <c r="TYR25" s="146"/>
      <c r="TYS25" s="146"/>
      <c r="TYT25" s="146"/>
      <c r="TYU25" s="146"/>
      <c r="TYV25" s="146"/>
      <c r="TYW25" s="146"/>
      <c r="TYX25" s="146"/>
      <c r="TYY25" s="146"/>
      <c r="TYZ25" s="146"/>
      <c r="TZA25" s="146"/>
      <c r="TZB25" s="146"/>
      <c r="TZC25" s="146"/>
      <c r="TZD25" s="146"/>
      <c r="TZE25" s="146"/>
      <c r="TZF25" s="146"/>
      <c r="TZG25" s="146"/>
      <c r="TZH25" s="146"/>
      <c r="TZI25" s="146"/>
      <c r="TZJ25" s="146"/>
      <c r="TZK25" s="146"/>
      <c r="TZL25" s="146"/>
      <c r="TZM25" s="146"/>
      <c r="TZN25" s="146"/>
      <c r="TZO25" s="146"/>
      <c r="TZP25" s="146"/>
      <c r="TZQ25" s="146"/>
      <c r="TZR25" s="146"/>
      <c r="TZS25" s="146"/>
      <c r="TZT25" s="146"/>
      <c r="TZU25" s="146"/>
      <c r="TZV25" s="146"/>
      <c r="TZW25" s="146"/>
      <c r="TZX25" s="146"/>
      <c r="TZY25" s="146"/>
      <c r="TZZ25" s="146"/>
      <c r="UAA25" s="146"/>
      <c r="UAB25" s="146"/>
      <c r="UAC25" s="146"/>
      <c r="UAD25" s="146"/>
      <c r="UAE25" s="146"/>
      <c r="UAF25" s="146"/>
      <c r="UAG25" s="146"/>
      <c r="UAH25" s="146"/>
      <c r="UAI25" s="146"/>
      <c r="UAJ25" s="146"/>
      <c r="UAK25" s="146"/>
      <c r="UAL25" s="146"/>
      <c r="UAM25" s="146"/>
      <c r="UAN25" s="146"/>
      <c r="UAO25" s="146"/>
      <c r="UAP25" s="146"/>
      <c r="UAQ25" s="146"/>
      <c r="UAR25" s="146"/>
      <c r="UAS25" s="146"/>
      <c r="UAT25" s="146"/>
      <c r="UAU25" s="146"/>
      <c r="UAV25" s="146"/>
      <c r="UAW25" s="146"/>
      <c r="UAX25" s="146"/>
      <c r="UAY25" s="146"/>
      <c r="UAZ25" s="146"/>
      <c r="UBA25" s="146"/>
      <c r="UBB25" s="146"/>
      <c r="UBC25" s="146"/>
      <c r="UBD25" s="146"/>
      <c r="UBE25" s="146"/>
      <c r="UBF25" s="146"/>
      <c r="UBG25" s="146"/>
      <c r="UBH25" s="146"/>
      <c r="UBI25" s="146"/>
      <c r="UBJ25" s="146"/>
      <c r="UBK25" s="146"/>
      <c r="UBL25" s="146"/>
      <c r="UBM25" s="146"/>
      <c r="UBN25" s="146"/>
      <c r="UBO25" s="146"/>
      <c r="UBP25" s="146"/>
      <c r="UBQ25" s="146"/>
      <c r="UBR25" s="146"/>
      <c r="UBS25" s="146"/>
      <c r="UBT25" s="146"/>
      <c r="UBU25" s="146"/>
      <c r="UBV25" s="146"/>
      <c r="UBW25" s="146"/>
      <c r="UBX25" s="146"/>
      <c r="UBY25" s="146"/>
      <c r="UBZ25" s="146"/>
      <c r="UCA25" s="146"/>
      <c r="UCB25" s="146"/>
      <c r="UCC25" s="146"/>
      <c r="UCD25" s="146"/>
      <c r="UCE25" s="146"/>
      <c r="UCF25" s="146"/>
      <c r="UCG25" s="146"/>
      <c r="UCH25" s="146"/>
      <c r="UCI25" s="146"/>
      <c r="UCJ25" s="146"/>
      <c r="UCK25" s="146"/>
      <c r="UCL25" s="146"/>
      <c r="UCM25" s="146"/>
      <c r="UCN25" s="146"/>
      <c r="UCO25" s="146"/>
      <c r="UCP25" s="146"/>
      <c r="UCQ25" s="146"/>
      <c r="UCR25" s="146"/>
      <c r="UCS25" s="146"/>
      <c r="UCT25" s="146"/>
      <c r="UCU25" s="146"/>
      <c r="UCV25" s="146"/>
      <c r="UCW25" s="146"/>
      <c r="UCX25" s="146"/>
      <c r="UCY25" s="146"/>
      <c r="UCZ25" s="146"/>
      <c r="UDA25" s="146"/>
      <c r="UDB25" s="146"/>
      <c r="UDC25" s="146"/>
      <c r="UDD25" s="146"/>
      <c r="UDE25" s="146"/>
      <c r="UDF25" s="146"/>
      <c r="UDG25" s="146"/>
      <c r="UDH25" s="146"/>
      <c r="UDI25" s="146"/>
      <c r="UDJ25" s="146"/>
      <c r="UDK25" s="146"/>
      <c r="UDL25" s="146"/>
      <c r="UDM25" s="146"/>
      <c r="UDN25" s="146"/>
      <c r="UDO25" s="146"/>
      <c r="UDP25" s="146"/>
      <c r="UDQ25" s="146"/>
      <c r="UDR25" s="146"/>
      <c r="UDS25" s="146"/>
      <c r="UDT25" s="146"/>
      <c r="UDU25" s="146"/>
      <c r="UDV25" s="146"/>
      <c r="UDW25" s="146"/>
      <c r="UDX25" s="146"/>
      <c r="UDY25" s="146"/>
      <c r="UDZ25" s="146"/>
      <c r="UEA25" s="146"/>
      <c r="UEB25" s="146"/>
      <c r="UEC25" s="146"/>
      <c r="UED25" s="146"/>
      <c r="UEE25" s="146"/>
      <c r="UEF25" s="146"/>
      <c r="UEG25" s="146"/>
      <c r="UEH25" s="146"/>
      <c r="UEI25" s="146"/>
      <c r="UEJ25" s="146"/>
      <c r="UEK25" s="146"/>
      <c r="UEL25" s="146"/>
      <c r="UEM25" s="146"/>
      <c r="UEN25" s="146"/>
      <c r="UEO25" s="146"/>
      <c r="UEP25" s="146"/>
      <c r="UEQ25" s="146"/>
      <c r="UER25" s="146"/>
      <c r="UES25" s="146"/>
      <c r="UET25" s="146"/>
      <c r="UEU25" s="146"/>
      <c r="UEV25" s="146"/>
      <c r="UEW25" s="146"/>
      <c r="UEX25" s="146"/>
      <c r="UEY25" s="146"/>
      <c r="UEZ25" s="146"/>
      <c r="UFA25" s="146"/>
      <c r="UFB25" s="146"/>
      <c r="UFC25" s="146"/>
      <c r="UFD25" s="146"/>
      <c r="UFE25" s="146"/>
      <c r="UFF25" s="146"/>
      <c r="UFG25" s="146"/>
      <c r="UFH25" s="146"/>
      <c r="UFI25" s="146"/>
      <c r="UFJ25" s="146"/>
      <c r="UFK25" s="146"/>
      <c r="UFL25" s="146"/>
      <c r="UFM25" s="146"/>
      <c r="UFN25" s="146"/>
      <c r="UFO25" s="146"/>
      <c r="UFP25" s="146"/>
      <c r="UFQ25" s="146"/>
      <c r="UFR25" s="146"/>
      <c r="UFS25" s="146"/>
      <c r="UFT25" s="146"/>
      <c r="UFU25" s="146"/>
      <c r="UFV25" s="146"/>
      <c r="UFW25" s="146"/>
      <c r="UFX25" s="146"/>
      <c r="UFY25" s="146"/>
      <c r="UFZ25" s="146"/>
      <c r="UGA25" s="146"/>
      <c r="UGB25" s="146"/>
      <c r="UGC25" s="146"/>
      <c r="UGD25" s="146"/>
      <c r="UGE25" s="146"/>
      <c r="UGF25" s="146"/>
      <c r="UGG25" s="146"/>
      <c r="UGH25" s="146"/>
      <c r="UGI25" s="146"/>
      <c r="UGJ25" s="146"/>
      <c r="UGK25" s="146"/>
      <c r="UGL25" s="146"/>
      <c r="UGM25" s="146"/>
      <c r="UGN25" s="146"/>
      <c r="UGO25" s="146"/>
      <c r="UGP25" s="146"/>
      <c r="UGQ25" s="146"/>
      <c r="UGR25" s="146"/>
      <c r="UGS25" s="146"/>
      <c r="UGT25" s="146"/>
      <c r="UGU25" s="146"/>
      <c r="UGV25" s="146"/>
      <c r="UGW25" s="146"/>
      <c r="UGX25" s="146"/>
      <c r="UGY25" s="146"/>
      <c r="UGZ25" s="146"/>
      <c r="UHA25" s="146"/>
      <c r="UHB25" s="146"/>
      <c r="UHC25" s="146"/>
      <c r="UHD25" s="146"/>
      <c r="UHE25" s="146"/>
      <c r="UHF25" s="146"/>
      <c r="UHG25" s="146"/>
      <c r="UHH25" s="146"/>
      <c r="UHI25" s="146"/>
      <c r="UHJ25" s="146"/>
      <c r="UHK25" s="146"/>
      <c r="UHL25" s="146"/>
      <c r="UHM25" s="146"/>
      <c r="UHN25" s="146"/>
      <c r="UHO25" s="146"/>
      <c r="UHP25" s="146"/>
      <c r="UHQ25" s="146"/>
      <c r="UHR25" s="146"/>
      <c r="UHS25" s="146"/>
      <c r="UHT25" s="146"/>
      <c r="UHU25" s="146"/>
      <c r="UHV25" s="146"/>
      <c r="UHW25" s="146"/>
      <c r="UHX25" s="146"/>
      <c r="UHY25" s="146"/>
      <c r="UHZ25" s="146"/>
      <c r="UIA25" s="146"/>
      <c r="UIB25" s="146"/>
      <c r="UIC25" s="146"/>
      <c r="UID25" s="146"/>
      <c r="UIE25" s="146"/>
      <c r="UIF25" s="146"/>
      <c r="UIG25" s="146"/>
      <c r="UIH25" s="146"/>
      <c r="UII25" s="146"/>
      <c r="UIJ25" s="146"/>
      <c r="UIK25" s="146"/>
      <c r="UIL25" s="146"/>
      <c r="UIM25" s="146"/>
      <c r="UIN25" s="146"/>
      <c r="UIO25" s="146"/>
      <c r="UIP25" s="146"/>
      <c r="UIQ25" s="146"/>
      <c r="UIR25" s="146"/>
      <c r="UIS25" s="146"/>
      <c r="UIT25" s="146"/>
      <c r="UIU25" s="146"/>
      <c r="UIV25" s="146"/>
      <c r="UIW25" s="146"/>
      <c r="UIX25" s="146"/>
      <c r="UIY25" s="146"/>
      <c r="UIZ25" s="146"/>
      <c r="UJA25" s="146"/>
      <c r="UJB25" s="146"/>
      <c r="UJC25" s="146"/>
      <c r="UJD25" s="146"/>
      <c r="UJE25" s="146"/>
      <c r="UJF25" s="146"/>
      <c r="UJG25" s="146"/>
      <c r="UJH25" s="146"/>
      <c r="UJI25" s="146"/>
      <c r="UJJ25" s="146"/>
      <c r="UJK25" s="146"/>
      <c r="UJL25" s="146"/>
      <c r="UJM25" s="146"/>
      <c r="UJN25" s="146"/>
      <c r="UJO25" s="146"/>
      <c r="UJP25" s="146"/>
      <c r="UJQ25" s="146"/>
      <c r="UJR25" s="146"/>
      <c r="UJS25" s="146"/>
      <c r="UJT25" s="146"/>
      <c r="UJU25" s="146"/>
      <c r="UJV25" s="146"/>
      <c r="UJW25" s="146"/>
      <c r="UJX25" s="146"/>
      <c r="UJY25" s="146"/>
      <c r="UJZ25" s="146"/>
      <c r="UKA25" s="146"/>
      <c r="UKB25" s="146"/>
      <c r="UKC25" s="146"/>
      <c r="UKD25" s="146"/>
      <c r="UKE25" s="146"/>
      <c r="UKF25" s="146"/>
      <c r="UKG25" s="146"/>
      <c r="UKH25" s="146"/>
      <c r="UKI25" s="146"/>
      <c r="UKJ25" s="146"/>
      <c r="UKK25" s="146"/>
      <c r="UKL25" s="146"/>
      <c r="UKM25" s="146"/>
      <c r="UKN25" s="146"/>
      <c r="UKO25" s="146"/>
      <c r="UKP25" s="146"/>
      <c r="UKQ25" s="146"/>
      <c r="UKR25" s="146"/>
      <c r="UKS25" s="146"/>
      <c r="UKT25" s="146"/>
      <c r="UKU25" s="146"/>
      <c r="UKV25" s="146"/>
      <c r="UKW25" s="146"/>
      <c r="UKX25" s="146"/>
      <c r="UKY25" s="146"/>
      <c r="UKZ25" s="146"/>
      <c r="ULA25" s="146"/>
      <c r="ULB25" s="146"/>
      <c r="ULC25" s="146"/>
      <c r="ULD25" s="146"/>
      <c r="ULE25" s="146"/>
      <c r="ULF25" s="146"/>
      <c r="ULG25" s="146"/>
      <c r="ULH25" s="146"/>
      <c r="ULI25" s="146"/>
      <c r="ULJ25" s="146"/>
      <c r="ULK25" s="146"/>
      <c r="ULL25" s="146"/>
      <c r="ULM25" s="146"/>
      <c r="ULN25" s="146"/>
      <c r="ULO25" s="146"/>
      <c r="ULP25" s="146"/>
      <c r="ULQ25" s="146"/>
      <c r="ULR25" s="146"/>
      <c r="ULS25" s="146"/>
      <c r="ULT25" s="146"/>
      <c r="ULU25" s="146"/>
      <c r="ULV25" s="146"/>
      <c r="ULW25" s="146"/>
      <c r="ULX25" s="146"/>
      <c r="ULY25" s="146"/>
      <c r="ULZ25" s="146"/>
      <c r="UMA25" s="146"/>
      <c r="UMB25" s="146"/>
      <c r="UMC25" s="146"/>
      <c r="UMD25" s="146"/>
      <c r="UME25" s="146"/>
      <c r="UMF25" s="146"/>
      <c r="UMG25" s="146"/>
      <c r="UMH25" s="146"/>
      <c r="UMI25" s="146"/>
      <c r="UMJ25" s="146"/>
      <c r="UMK25" s="146"/>
      <c r="UML25" s="146"/>
      <c r="UMM25" s="146"/>
      <c r="UMN25" s="146"/>
      <c r="UMO25" s="146"/>
      <c r="UMP25" s="146"/>
      <c r="UMQ25" s="146"/>
      <c r="UMR25" s="146"/>
      <c r="UMS25" s="146"/>
      <c r="UMT25" s="146"/>
      <c r="UMU25" s="146"/>
      <c r="UMV25" s="146"/>
      <c r="UMW25" s="146"/>
      <c r="UMX25" s="146"/>
      <c r="UMY25" s="146"/>
      <c r="UMZ25" s="146"/>
      <c r="UNA25" s="146"/>
      <c r="UNB25" s="146"/>
      <c r="UNC25" s="146"/>
      <c r="UND25" s="146"/>
      <c r="UNE25" s="146"/>
      <c r="UNF25" s="146"/>
      <c r="UNG25" s="146"/>
      <c r="UNH25" s="146"/>
      <c r="UNI25" s="146"/>
      <c r="UNJ25" s="146"/>
      <c r="UNK25" s="146"/>
      <c r="UNL25" s="146"/>
      <c r="UNM25" s="146"/>
      <c r="UNN25" s="146"/>
      <c r="UNO25" s="146"/>
      <c r="UNP25" s="146"/>
      <c r="UNQ25" s="146"/>
      <c r="UNR25" s="146"/>
      <c r="UNS25" s="146"/>
      <c r="UNT25" s="146"/>
      <c r="UNU25" s="146"/>
      <c r="UNV25" s="146"/>
      <c r="UNW25" s="146"/>
      <c r="UNX25" s="146"/>
      <c r="UNY25" s="146"/>
      <c r="UNZ25" s="146"/>
      <c r="UOA25" s="146"/>
      <c r="UOB25" s="146"/>
      <c r="UOC25" s="146"/>
      <c r="UOD25" s="146"/>
      <c r="UOE25" s="146"/>
      <c r="UOF25" s="146"/>
      <c r="UOG25" s="146"/>
      <c r="UOH25" s="146"/>
      <c r="UOI25" s="146"/>
      <c r="UOJ25" s="146"/>
      <c r="UOK25" s="146"/>
      <c r="UOL25" s="146"/>
      <c r="UOM25" s="146"/>
      <c r="UON25" s="146"/>
      <c r="UOO25" s="146"/>
      <c r="UOP25" s="146"/>
      <c r="UOQ25" s="146"/>
      <c r="UOR25" s="146"/>
      <c r="UOS25" s="146"/>
      <c r="UOT25" s="146"/>
      <c r="UOU25" s="146"/>
      <c r="UOV25" s="146"/>
      <c r="UOW25" s="146"/>
      <c r="UOX25" s="146"/>
      <c r="UOY25" s="146"/>
      <c r="UOZ25" s="146"/>
      <c r="UPA25" s="146"/>
      <c r="UPB25" s="146"/>
      <c r="UPC25" s="146"/>
      <c r="UPD25" s="146"/>
      <c r="UPE25" s="146"/>
      <c r="UPF25" s="146"/>
      <c r="UPG25" s="146"/>
      <c r="UPH25" s="146"/>
      <c r="UPI25" s="146"/>
      <c r="UPJ25" s="146"/>
      <c r="UPK25" s="146"/>
      <c r="UPL25" s="146"/>
      <c r="UPM25" s="146"/>
      <c r="UPN25" s="146"/>
      <c r="UPO25" s="146"/>
      <c r="UPP25" s="146"/>
      <c r="UPQ25" s="146"/>
      <c r="UPR25" s="146"/>
      <c r="UPS25" s="146"/>
      <c r="UPT25" s="146"/>
      <c r="UPU25" s="146"/>
      <c r="UPV25" s="146"/>
      <c r="UPW25" s="146"/>
      <c r="UPX25" s="146"/>
      <c r="UPY25" s="146"/>
      <c r="UPZ25" s="146"/>
      <c r="UQA25" s="146"/>
      <c r="UQB25" s="146"/>
      <c r="UQC25" s="146"/>
      <c r="UQD25" s="146"/>
      <c r="UQE25" s="146"/>
      <c r="UQF25" s="146"/>
      <c r="UQG25" s="146"/>
      <c r="UQH25" s="146"/>
      <c r="UQI25" s="146"/>
      <c r="UQJ25" s="146"/>
      <c r="UQK25" s="146"/>
      <c r="UQL25" s="146"/>
      <c r="UQM25" s="146"/>
      <c r="UQN25" s="146"/>
      <c r="UQO25" s="146"/>
      <c r="UQP25" s="146"/>
      <c r="UQQ25" s="146"/>
      <c r="UQR25" s="146"/>
      <c r="UQS25" s="146"/>
      <c r="UQT25" s="146"/>
      <c r="UQU25" s="146"/>
      <c r="UQV25" s="146"/>
      <c r="UQW25" s="146"/>
      <c r="UQX25" s="146"/>
      <c r="UQY25" s="146"/>
      <c r="UQZ25" s="146"/>
      <c r="URA25" s="146"/>
      <c r="URB25" s="146"/>
      <c r="URC25" s="146"/>
      <c r="URD25" s="146"/>
      <c r="URE25" s="146"/>
      <c r="URF25" s="146"/>
      <c r="URG25" s="146"/>
      <c r="URH25" s="146"/>
      <c r="URI25" s="146"/>
      <c r="URJ25" s="146"/>
      <c r="URK25" s="146"/>
      <c r="URL25" s="146"/>
      <c r="URM25" s="146"/>
      <c r="URN25" s="146"/>
      <c r="URO25" s="146"/>
      <c r="URP25" s="146"/>
      <c r="URQ25" s="146"/>
      <c r="URR25" s="146"/>
      <c r="URS25" s="146"/>
      <c r="URT25" s="146"/>
      <c r="URU25" s="146"/>
      <c r="URV25" s="146"/>
      <c r="URW25" s="146"/>
      <c r="URX25" s="146"/>
      <c r="URY25" s="146"/>
      <c r="URZ25" s="146"/>
      <c r="USA25" s="146"/>
      <c r="USB25" s="146"/>
      <c r="USC25" s="146"/>
      <c r="USD25" s="146"/>
      <c r="USE25" s="146"/>
      <c r="USF25" s="146"/>
      <c r="USG25" s="146"/>
      <c r="USH25" s="146"/>
      <c r="USI25" s="146"/>
      <c r="USJ25" s="146"/>
      <c r="USK25" s="146"/>
      <c r="USL25" s="146"/>
      <c r="USM25" s="146"/>
      <c r="USN25" s="146"/>
      <c r="USO25" s="146"/>
      <c r="USP25" s="146"/>
      <c r="USQ25" s="146"/>
      <c r="USR25" s="146"/>
      <c r="USS25" s="146"/>
      <c r="UST25" s="146"/>
      <c r="USU25" s="146"/>
      <c r="USV25" s="146"/>
      <c r="USW25" s="146"/>
      <c r="USX25" s="146"/>
      <c r="USY25" s="146"/>
      <c r="USZ25" s="146"/>
      <c r="UTA25" s="146"/>
      <c r="UTB25" s="146"/>
      <c r="UTC25" s="146"/>
      <c r="UTD25" s="146"/>
      <c r="UTE25" s="146"/>
      <c r="UTF25" s="146"/>
      <c r="UTG25" s="146"/>
      <c r="UTH25" s="146"/>
      <c r="UTI25" s="146"/>
      <c r="UTJ25" s="146"/>
      <c r="UTK25" s="146"/>
      <c r="UTL25" s="146"/>
      <c r="UTM25" s="146"/>
      <c r="UTN25" s="146"/>
      <c r="UTO25" s="146"/>
      <c r="UTP25" s="146"/>
      <c r="UTQ25" s="146"/>
      <c r="UTR25" s="146"/>
      <c r="UTS25" s="146"/>
      <c r="UTT25" s="146"/>
      <c r="UTU25" s="146"/>
      <c r="UTV25" s="146"/>
      <c r="UTW25" s="146"/>
      <c r="UTX25" s="146"/>
      <c r="UTY25" s="146"/>
      <c r="UTZ25" s="146"/>
      <c r="UUA25" s="146"/>
      <c r="UUB25" s="146"/>
      <c r="UUC25" s="146"/>
      <c r="UUD25" s="146"/>
      <c r="UUE25" s="146"/>
      <c r="UUF25" s="146"/>
      <c r="UUG25" s="146"/>
      <c r="UUH25" s="146"/>
      <c r="UUI25" s="146"/>
      <c r="UUJ25" s="146"/>
      <c r="UUK25" s="146"/>
      <c r="UUL25" s="146"/>
      <c r="UUM25" s="146"/>
      <c r="UUN25" s="146"/>
      <c r="UUO25" s="146"/>
      <c r="UUP25" s="146"/>
      <c r="UUQ25" s="146"/>
      <c r="UUR25" s="146"/>
      <c r="UUS25" s="146"/>
      <c r="UUT25" s="146"/>
      <c r="UUU25" s="146"/>
      <c r="UUV25" s="146"/>
      <c r="UUW25" s="146"/>
      <c r="UUX25" s="146"/>
      <c r="UUY25" s="146"/>
      <c r="UUZ25" s="146"/>
      <c r="UVA25" s="146"/>
      <c r="UVB25" s="146"/>
      <c r="UVC25" s="146"/>
      <c r="UVD25" s="146"/>
      <c r="UVE25" s="146"/>
      <c r="UVF25" s="146"/>
      <c r="UVG25" s="146"/>
      <c r="UVH25" s="146"/>
      <c r="UVI25" s="146"/>
      <c r="UVJ25" s="146"/>
      <c r="UVK25" s="146"/>
      <c r="UVL25" s="146"/>
      <c r="UVM25" s="146"/>
      <c r="UVN25" s="146"/>
      <c r="UVO25" s="146"/>
      <c r="UVP25" s="146"/>
      <c r="UVQ25" s="146"/>
      <c r="UVR25" s="146"/>
      <c r="UVS25" s="146"/>
      <c r="UVT25" s="146"/>
      <c r="UVU25" s="146"/>
      <c r="UVV25" s="146"/>
      <c r="UVW25" s="146"/>
      <c r="UVX25" s="146"/>
      <c r="UVY25" s="146"/>
      <c r="UVZ25" s="146"/>
      <c r="UWA25" s="146"/>
      <c r="UWB25" s="146"/>
      <c r="UWC25" s="146"/>
      <c r="UWD25" s="146"/>
      <c r="UWE25" s="146"/>
      <c r="UWF25" s="146"/>
      <c r="UWG25" s="146"/>
      <c r="UWH25" s="146"/>
      <c r="UWI25" s="146"/>
      <c r="UWJ25" s="146"/>
      <c r="UWK25" s="146"/>
      <c r="UWL25" s="146"/>
      <c r="UWM25" s="146"/>
      <c r="UWN25" s="146"/>
      <c r="UWO25" s="146"/>
      <c r="UWP25" s="146"/>
      <c r="UWQ25" s="146"/>
      <c r="UWR25" s="146"/>
      <c r="UWS25" s="146"/>
      <c r="UWT25" s="146"/>
      <c r="UWU25" s="146"/>
      <c r="UWV25" s="146"/>
      <c r="UWW25" s="146"/>
      <c r="UWX25" s="146"/>
      <c r="UWY25" s="146"/>
      <c r="UWZ25" s="146"/>
      <c r="UXA25" s="146"/>
      <c r="UXB25" s="146"/>
      <c r="UXC25" s="146"/>
      <c r="UXD25" s="146"/>
      <c r="UXE25" s="146"/>
      <c r="UXF25" s="146"/>
      <c r="UXG25" s="146"/>
      <c r="UXH25" s="146"/>
      <c r="UXI25" s="146"/>
      <c r="UXJ25" s="146"/>
      <c r="UXK25" s="146"/>
      <c r="UXL25" s="146"/>
      <c r="UXM25" s="146"/>
      <c r="UXN25" s="146"/>
      <c r="UXO25" s="146"/>
      <c r="UXP25" s="146"/>
      <c r="UXQ25" s="146"/>
      <c r="UXR25" s="146"/>
      <c r="UXS25" s="146"/>
      <c r="UXT25" s="146"/>
      <c r="UXU25" s="146"/>
      <c r="UXV25" s="146"/>
      <c r="UXW25" s="146"/>
      <c r="UXX25" s="146"/>
      <c r="UXY25" s="146"/>
      <c r="UXZ25" s="146"/>
      <c r="UYA25" s="146"/>
      <c r="UYB25" s="146"/>
      <c r="UYC25" s="146"/>
      <c r="UYD25" s="146"/>
      <c r="UYE25" s="146"/>
      <c r="UYF25" s="146"/>
      <c r="UYG25" s="146"/>
      <c r="UYH25" s="146"/>
      <c r="UYI25" s="146"/>
      <c r="UYJ25" s="146"/>
      <c r="UYK25" s="146"/>
      <c r="UYL25" s="146"/>
      <c r="UYM25" s="146"/>
      <c r="UYN25" s="146"/>
      <c r="UYO25" s="146"/>
      <c r="UYP25" s="146"/>
      <c r="UYQ25" s="146"/>
      <c r="UYR25" s="146"/>
      <c r="UYS25" s="146"/>
      <c r="UYT25" s="146"/>
      <c r="UYU25" s="146"/>
      <c r="UYV25" s="146"/>
      <c r="UYW25" s="146"/>
      <c r="UYX25" s="146"/>
      <c r="UYY25" s="146"/>
      <c r="UYZ25" s="146"/>
      <c r="UZA25" s="146"/>
      <c r="UZB25" s="146"/>
      <c r="UZC25" s="146"/>
      <c r="UZD25" s="146"/>
      <c r="UZE25" s="146"/>
      <c r="UZF25" s="146"/>
      <c r="UZG25" s="146"/>
      <c r="UZH25" s="146"/>
      <c r="UZI25" s="146"/>
      <c r="UZJ25" s="146"/>
      <c r="UZK25" s="146"/>
      <c r="UZL25" s="146"/>
      <c r="UZM25" s="146"/>
      <c r="UZN25" s="146"/>
      <c r="UZO25" s="146"/>
      <c r="UZP25" s="146"/>
      <c r="UZQ25" s="146"/>
      <c r="UZR25" s="146"/>
      <c r="UZS25" s="146"/>
      <c r="UZT25" s="146"/>
      <c r="UZU25" s="146"/>
      <c r="UZV25" s="146"/>
      <c r="UZW25" s="146"/>
      <c r="UZX25" s="146"/>
      <c r="UZY25" s="146"/>
      <c r="UZZ25" s="146"/>
      <c r="VAA25" s="146"/>
      <c r="VAB25" s="146"/>
      <c r="VAC25" s="146"/>
      <c r="VAD25" s="146"/>
      <c r="VAE25" s="146"/>
      <c r="VAF25" s="146"/>
      <c r="VAG25" s="146"/>
      <c r="VAH25" s="146"/>
      <c r="VAI25" s="146"/>
      <c r="VAJ25" s="146"/>
      <c r="VAK25" s="146"/>
      <c r="VAL25" s="146"/>
      <c r="VAM25" s="146"/>
      <c r="VAN25" s="146"/>
      <c r="VAO25" s="146"/>
      <c r="VAP25" s="146"/>
      <c r="VAQ25" s="146"/>
      <c r="VAR25" s="146"/>
      <c r="VAS25" s="146"/>
      <c r="VAT25" s="146"/>
      <c r="VAU25" s="146"/>
      <c r="VAV25" s="146"/>
      <c r="VAW25" s="146"/>
      <c r="VAX25" s="146"/>
      <c r="VAY25" s="146"/>
      <c r="VAZ25" s="146"/>
      <c r="VBA25" s="146"/>
      <c r="VBB25" s="146"/>
      <c r="VBC25" s="146"/>
      <c r="VBD25" s="146"/>
      <c r="VBE25" s="146"/>
      <c r="VBF25" s="146"/>
      <c r="VBG25" s="146"/>
      <c r="VBH25" s="146"/>
      <c r="VBI25" s="146"/>
      <c r="VBJ25" s="146"/>
      <c r="VBK25" s="146"/>
      <c r="VBL25" s="146"/>
      <c r="VBM25" s="146"/>
      <c r="VBN25" s="146"/>
      <c r="VBO25" s="146"/>
      <c r="VBP25" s="146"/>
      <c r="VBQ25" s="146"/>
      <c r="VBR25" s="146"/>
      <c r="VBS25" s="146"/>
      <c r="VBT25" s="146"/>
      <c r="VBU25" s="146"/>
      <c r="VBV25" s="146"/>
      <c r="VBW25" s="146"/>
      <c r="VBX25" s="146"/>
      <c r="VBY25" s="146"/>
      <c r="VBZ25" s="146"/>
      <c r="VCA25" s="146"/>
      <c r="VCB25" s="146"/>
      <c r="VCC25" s="146"/>
      <c r="VCD25" s="146"/>
      <c r="VCE25" s="146"/>
      <c r="VCF25" s="146"/>
      <c r="VCG25" s="146"/>
      <c r="VCH25" s="146"/>
      <c r="VCI25" s="146"/>
      <c r="VCJ25" s="146"/>
      <c r="VCK25" s="146"/>
      <c r="VCL25" s="146"/>
      <c r="VCM25" s="146"/>
      <c r="VCN25" s="146"/>
      <c r="VCO25" s="146"/>
      <c r="VCP25" s="146"/>
      <c r="VCQ25" s="146"/>
      <c r="VCR25" s="146"/>
      <c r="VCS25" s="146"/>
      <c r="VCT25" s="146"/>
      <c r="VCU25" s="146"/>
      <c r="VCV25" s="146"/>
      <c r="VCW25" s="146"/>
      <c r="VCX25" s="146"/>
      <c r="VCY25" s="146"/>
      <c r="VCZ25" s="146"/>
      <c r="VDA25" s="146"/>
      <c r="VDB25" s="146"/>
      <c r="VDC25" s="146"/>
      <c r="VDD25" s="146"/>
      <c r="VDE25" s="146"/>
      <c r="VDF25" s="146"/>
      <c r="VDG25" s="146"/>
      <c r="VDH25" s="146"/>
      <c r="VDI25" s="146"/>
      <c r="VDJ25" s="146"/>
      <c r="VDK25" s="146"/>
      <c r="VDL25" s="146"/>
      <c r="VDM25" s="146"/>
      <c r="VDN25" s="146"/>
      <c r="VDO25" s="146"/>
      <c r="VDP25" s="146"/>
      <c r="VDQ25" s="146"/>
      <c r="VDR25" s="146"/>
      <c r="VDS25" s="146"/>
      <c r="VDT25" s="146"/>
      <c r="VDU25" s="146"/>
      <c r="VDV25" s="146"/>
      <c r="VDW25" s="146"/>
      <c r="VDX25" s="146"/>
      <c r="VDY25" s="146"/>
      <c r="VDZ25" s="146"/>
      <c r="VEA25" s="146"/>
      <c r="VEB25" s="146"/>
      <c r="VEC25" s="146"/>
      <c r="VED25" s="146"/>
      <c r="VEE25" s="146"/>
      <c r="VEF25" s="146"/>
      <c r="VEG25" s="146"/>
      <c r="VEH25" s="146"/>
      <c r="VEI25" s="146"/>
      <c r="VEJ25" s="146"/>
      <c r="VEK25" s="146"/>
      <c r="VEL25" s="146"/>
      <c r="VEM25" s="146"/>
      <c r="VEN25" s="146"/>
      <c r="VEO25" s="146"/>
      <c r="VEP25" s="146"/>
      <c r="VEQ25" s="146"/>
      <c r="VER25" s="146"/>
      <c r="VES25" s="146"/>
      <c r="VET25" s="146"/>
      <c r="VEU25" s="146"/>
      <c r="VEV25" s="146"/>
      <c r="VEW25" s="146"/>
      <c r="VEX25" s="146"/>
      <c r="VEY25" s="146"/>
      <c r="VEZ25" s="146"/>
      <c r="VFA25" s="146"/>
      <c r="VFB25" s="146"/>
      <c r="VFC25" s="146"/>
      <c r="VFD25" s="146"/>
      <c r="VFE25" s="146"/>
      <c r="VFF25" s="146"/>
      <c r="VFG25" s="146"/>
      <c r="VFH25" s="146"/>
      <c r="VFI25" s="146"/>
      <c r="VFJ25" s="146"/>
      <c r="VFK25" s="146"/>
      <c r="VFL25" s="146"/>
      <c r="VFM25" s="146"/>
      <c r="VFN25" s="146"/>
      <c r="VFO25" s="146"/>
      <c r="VFP25" s="146"/>
      <c r="VFQ25" s="146"/>
      <c r="VFR25" s="146"/>
      <c r="VFS25" s="146"/>
      <c r="VFT25" s="146"/>
      <c r="VFU25" s="146"/>
      <c r="VFV25" s="146"/>
      <c r="VFW25" s="146"/>
      <c r="VFX25" s="146"/>
      <c r="VFY25" s="146"/>
      <c r="VFZ25" s="146"/>
      <c r="VGA25" s="146"/>
      <c r="VGB25" s="146"/>
      <c r="VGC25" s="146"/>
      <c r="VGD25" s="146"/>
      <c r="VGE25" s="146"/>
      <c r="VGF25" s="146"/>
      <c r="VGG25" s="146"/>
      <c r="VGH25" s="146"/>
      <c r="VGI25" s="146"/>
      <c r="VGJ25" s="146"/>
      <c r="VGK25" s="146"/>
      <c r="VGL25" s="146"/>
      <c r="VGM25" s="146"/>
      <c r="VGN25" s="146"/>
      <c r="VGO25" s="146"/>
      <c r="VGP25" s="146"/>
      <c r="VGQ25" s="146"/>
      <c r="VGR25" s="146"/>
      <c r="VGS25" s="146"/>
      <c r="VGT25" s="146"/>
      <c r="VGU25" s="146"/>
      <c r="VGV25" s="146"/>
      <c r="VGW25" s="146"/>
      <c r="VGX25" s="146"/>
      <c r="VGY25" s="146"/>
      <c r="VGZ25" s="146"/>
      <c r="VHA25" s="146"/>
      <c r="VHB25" s="146"/>
      <c r="VHC25" s="146"/>
      <c r="VHD25" s="146"/>
      <c r="VHE25" s="146"/>
      <c r="VHF25" s="146"/>
      <c r="VHG25" s="146"/>
      <c r="VHH25" s="146"/>
      <c r="VHI25" s="146"/>
      <c r="VHJ25" s="146"/>
      <c r="VHK25" s="146"/>
      <c r="VHL25" s="146"/>
      <c r="VHM25" s="146"/>
      <c r="VHN25" s="146"/>
      <c r="VHO25" s="146"/>
      <c r="VHP25" s="146"/>
      <c r="VHQ25" s="146"/>
      <c r="VHR25" s="146"/>
      <c r="VHS25" s="146"/>
      <c r="VHT25" s="146"/>
      <c r="VHU25" s="146"/>
      <c r="VHV25" s="146"/>
      <c r="VHW25" s="146"/>
      <c r="VHX25" s="146"/>
      <c r="VHY25" s="146"/>
      <c r="VHZ25" s="146"/>
      <c r="VIA25" s="146"/>
      <c r="VIB25" s="146"/>
      <c r="VIC25" s="146"/>
      <c r="VID25" s="146"/>
      <c r="VIE25" s="146"/>
      <c r="VIF25" s="146"/>
      <c r="VIG25" s="146"/>
      <c r="VIH25" s="146"/>
      <c r="VII25" s="146"/>
      <c r="VIJ25" s="146"/>
      <c r="VIK25" s="146"/>
      <c r="VIL25" s="146"/>
      <c r="VIM25" s="146"/>
      <c r="VIN25" s="146"/>
      <c r="VIO25" s="146"/>
      <c r="VIP25" s="146"/>
      <c r="VIQ25" s="146"/>
      <c r="VIR25" s="146"/>
      <c r="VIS25" s="146"/>
      <c r="VIT25" s="146"/>
      <c r="VIU25" s="146"/>
      <c r="VIV25" s="146"/>
      <c r="VIW25" s="146"/>
      <c r="VIX25" s="146"/>
      <c r="VIY25" s="146"/>
      <c r="VIZ25" s="146"/>
      <c r="VJA25" s="146"/>
      <c r="VJB25" s="146"/>
      <c r="VJC25" s="146"/>
      <c r="VJD25" s="146"/>
      <c r="VJE25" s="146"/>
      <c r="VJF25" s="146"/>
      <c r="VJG25" s="146"/>
      <c r="VJH25" s="146"/>
      <c r="VJI25" s="146"/>
      <c r="VJJ25" s="146"/>
      <c r="VJK25" s="146"/>
      <c r="VJL25" s="146"/>
      <c r="VJM25" s="146"/>
      <c r="VJN25" s="146"/>
      <c r="VJO25" s="146"/>
      <c r="VJP25" s="146"/>
      <c r="VJQ25" s="146"/>
      <c r="VJR25" s="146"/>
      <c r="VJS25" s="146"/>
      <c r="VJT25" s="146"/>
      <c r="VJU25" s="146"/>
      <c r="VJV25" s="146"/>
      <c r="VJW25" s="146"/>
      <c r="VJX25" s="146"/>
      <c r="VJY25" s="146"/>
      <c r="VJZ25" s="146"/>
      <c r="VKA25" s="146"/>
      <c r="VKB25" s="146"/>
      <c r="VKC25" s="146"/>
      <c r="VKD25" s="146"/>
      <c r="VKE25" s="146"/>
      <c r="VKF25" s="146"/>
      <c r="VKG25" s="146"/>
      <c r="VKH25" s="146"/>
      <c r="VKI25" s="146"/>
      <c r="VKJ25" s="146"/>
      <c r="VKK25" s="146"/>
      <c r="VKL25" s="146"/>
      <c r="VKM25" s="146"/>
      <c r="VKN25" s="146"/>
      <c r="VKO25" s="146"/>
      <c r="VKP25" s="146"/>
      <c r="VKQ25" s="146"/>
      <c r="VKR25" s="146"/>
      <c r="VKS25" s="146"/>
      <c r="VKT25" s="146"/>
      <c r="VKU25" s="146"/>
      <c r="VKV25" s="146"/>
      <c r="VKW25" s="146"/>
      <c r="VKX25" s="146"/>
      <c r="VKY25" s="146"/>
      <c r="VKZ25" s="146"/>
      <c r="VLA25" s="146"/>
      <c r="VLB25" s="146"/>
      <c r="VLC25" s="146"/>
      <c r="VLD25" s="146"/>
      <c r="VLE25" s="146"/>
      <c r="VLF25" s="146"/>
      <c r="VLG25" s="146"/>
      <c r="VLH25" s="146"/>
      <c r="VLI25" s="146"/>
      <c r="VLJ25" s="146"/>
      <c r="VLK25" s="146"/>
      <c r="VLL25" s="146"/>
      <c r="VLM25" s="146"/>
      <c r="VLN25" s="146"/>
      <c r="VLO25" s="146"/>
      <c r="VLP25" s="146"/>
      <c r="VLQ25" s="146"/>
      <c r="VLR25" s="146"/>
      <c r="VLS25" s="146"/>
      <c r="VLT25" s="146"/>
      <c r="VLU25" s="146"/>
      <c r="VLV25" s="146"/>
      <c r="VLW25" s="146"/>
      <c r="VLX25" s="146"/>
      <c r="VLY25" s="146"/>
      <c r="VLZ25" s="146"/>
      <c r="VMA25" s="146"/>
      <c r="VMB25" s="146"/>
      <c r="VMC25" s="146"/>
      <c r="VMD25" s="146"/>
      <c r="VME25" s="146"/>
      <c r="VMF25" s="146"/>
      <c r="VMG25" s="146"/>
      <c r="VMH25" s="146"/>
      <c r="VMI25" s="146"/>
      <c r="VMJ25" s="146"/>
      <c r="VMK25" s="146"/>
      <c r="VML25" s="146"/>
      <c r="VMM25" s="146"/>
      <c r="VMN25" s="146"/>
      <c r="VMO25" s="146"/>
      <c r="VMP25" s="146"/>
      <c r="VMQ25" s="146"/>
      <c r="VMR25" s="146"/>
      <c r="VMS25" s="146"/>
      <c r="VMT25" s="146"/>
      <c r="VMU25" s="146"/>
      <c r="VMV25" s="146"/>
      <c r="VMW25" s="146"/>
      <c r="VMX25" s="146"/>
      <c r="VMY25" s="146"/>
      <c r="VMZ25" s="146"/>
      <c r="VNA25" s="146"/>
      <c r="VNB25" s="146"/>
      <c r="VNC25" s="146"/>
      <c r="VND25" s="146"/>
      <c r="VNE25" s="146"/>
      <c r="VNF25" s="146"/>
      <c r="VNG25" s="146"/>
      <c r="VNH25" s="146"/>
      <c r="VNI25" s="146"/>
      <c r="VNJ25" s="146"/>
      <c r="VNK25" s="146"/>
      <c r="VNL25" s="146"/>
      <c r="VNM25" s="146"/>
      <c r="VNN25" s="146"/>
      <c r="VNO25" s="146"/>
      <c r="VNP25" s="146"/>
      <c r="VNQ25" s="146"/>
      <c r="VNR25" s="146"/>
      <c r="VNS25" s="146"/>
      <c r="VNT25" s="146"/>
      <c r="VNU25" s="146"/>
      <c r="VNV25" s="146"/>
      <c r="VNW25" s="146"/>
      <c r="VNX25" s="146"/>
      <c r="VNY25" s="146"/>
      <c r="VNZ25" s="146"/>
      <c r="VOA25" s="146"/>
      <c r="VOB25" s="146"/>
      <c r="VOC25" s="146"/>
      <c r="VOD25" s="146"/>
      <c r="VOE25" s="146"/>
      <c r="VOF25" s="146"/>
      <c r="VOG25" s="146"/>
      <c r="VOH25" s="146"/>
      <c r="VOI25" s="146"/>
      <c r="VOJ25" s="146"/>
      <c r="VOK25" s="146"/>
      <c r="VOL25" s="146"/>
      <c r="VOM25" s="146"/>
      <c r="VON25" s="146"/>
      <c r="VOO25" s="146"/>
      <c r="VOP25" s="146"/>
      <c r="VOQ25" s="146"/>
      <c r="VOR25" s="146"/>
      <c r="VOS25" s="146"/>
      <c r="VOT25" s="146"/>
      <c r="VOU25" s="146"/>
      <c r="VOV25" s="146"/>
      <c r="VOW25" s="146"/>
      <c r="VOX25" s="146"/>
      <c r="VOY25" s="146"/>
      <c r="VOZ25" s="146"/>
      <c r="VPA25" s="146"/>
      <c r="VPB25" s="146"/>
      <c r="VPC25" s="146"/>
      <c r="VPD25" s="146"/>
      <c r="VPE25" s="146"/>
      <c r="VPF25" s="146"/>
      <c r="VPG25" s="146"/>
      <c r="VPH25" s="146"/>
      <c r="VPI25" s="146"/>
      <c r="VPJ25" s="146"/>
      <c r="VPK25" s="146"/>
      <c r="VPL25" s="146"/>
      <c r="VPM25" s="146"/>
      <c r="VPN25" s="146"/>
      <c r="VPO25" s="146"/>
      <c r="VPP25" s="146"/>
      <c r="VPQ25" s="146"/>
      <c r="VPR25" s="146"/>
      <c r="VPS25" s="146"/>
      <c r="VPT25" s="146"/>
      <c r="VPU25" s="146"/>
      <c r="VPV25" s="146"/>
      <c r="VPW25" s="146"/>
      <c r="VPX25" s="146"/>
      <c r="VPY25" s="146"/>
      <c r="VPZ25" s="146"/>
      <c r="VQA25" s="146"/>
      <c r="VQB25" s="146"/>
      <c r="VQC25" s="146"/>
      <c r="VQD25" s="146"/>
      <c r="VQE25" s="146"/>
      <c r="VQF25" s="146"/>
      <c r="VQG25" s="146"/>
      <c r="VQH25" s="146"/>
      <c r="VQI25" s="146"/>
      <c r="VQJ25" s="146"/>
      <c r="VQK25" s="146"/>
      <c r="VQL25" s="146"/>
      <c r="VQM25" s="146"/>
      <c r="VQN25" s="146"/>
      <c r="VQO25" s="146"/>
      <c r="VQP25" s="146"/>
      <c r="VQQ25" s="146"/>
      <c r="VQR25" s="146"/>
      <c r="VQS25" s="146"/>
      <c r="VQT25" s="146"/>
      <c r="VQU25" s="146"/>
      <c r="VQV25" s="146"/>
      <c r="VQW25" s="146"/>
      <c r="VQX25" s="146"/>
      <c r="VQY25" s="146"/>
      <c r="VQZ25" s="146"/>
      <c r="VRA25" s="146"/>
      <c r="VRB25" s="146"/>
      <c r="VRC25" s="146"/>
      <c r="VRD25" s="146"/>
      <c r="VRE25" s="146"/>
      <c r="VRF25" s="146"/>
      <c r="VRG25" s="146"/>
      <c r="VRH25" s="146"/>
      <c r="VRI25" s="146"/>
      <c r="VRJ25" s="146"/>
      <c r="VRK25" s="146"/>
      <c r="VRL25" s="146"/>
      <c r="VRM25" s="146"/>
      <c r="VRN25" s="146"/>
      <c r="VRO25" s="146"/>
      <c r="VRP25" s="146"/>
      <c r="VRQ25" s="146"/>
      <c r="VRR25" s="146"/>
      <c r="VRS25" s="146"/>
      <c r="VRT25" s="146"/>
      <c r="VRU25" s="146"/>
      <c r="VRV25" s="146"/>
      <c r="VRW25" s="146"/>
      <c r="VRX25" s="146"/>
      <c r="VRY25" s="146"/>
      <c r="VRZ25" s="146"/>
      <c r="VSA25" s="146"/>
      <c r="VSB25" s="146"/>
      <c r="VSC25" s="146"/>
      <c r="VSD25" s="146"/>
      <c r="VSE25" s="146"/>
      <c r="VSF25" s="146"/>
      <c r="VSG25" s="146"/>
      <c r="VSH25" s="146"/>
      <c r="VSI25" s="146"/>
      <c r="VSJ25" s="146"/>
      <c r="VSK25" s="146"/>
      <c r="VSL25" s="146"/>
      <c r="VSM25" s="146"/>
      <c r="VSN25" s="146"/>
      <c r="VSO25" s="146"/>
      <c r="VSP25" s="146"/>
      <c r="VSQ25" s="146"/>
      <c r="VSR25" s="146"/>
      <c r="VSS25" s="146"/>
      <c r="VST25" s="146"/>
      <c r="VSU25" s="146"/>
      <c r="VSV25" s="146"/>
      <c r="VSW25" s="146"/>
      <c r="VSX25" s="146"/>
      <c r="VSY25" s="146"/>
      <c r="VSZ25" s="146"/>
      <c r="VTA25" s="146"/>
      <c r="VTB25" s="146"/>
      <c r="VTC25" s="146"/>
      <c r="VTD25" s="146"/>
      <c r="VTE25" s="146"/>
      <c r="VTF25" s="146"/>
      <c r="VTG25" s="146"/>
      <c r="VTH25" s="146"/>
      <c r="VTI25" s="146"/>
      <c r="VTJ25" s="146"/>
      <c r="VTK25" s="146"/>
      <c r="VTL25" s="146"/>
      <c r="VTM25" s="146"/>
      <c r="VTN25" s="146"/>
      <c r="VTO25" s="146"/>
      <c r="VTP25" s="146"/>
      <c r="VTQ25" s="146"/>
      <c r="VTR25" s="146"/>
      <c r="VTS25" s="146"/>
      <c r="VTT25" s="146"/>
      <c r="VTU25" s="146"/>
      <c r="VTV25" s="146"/>
      <c r="VTW25" s="146"/>
      <c r="VTX25" s="146"/>
      <c r="VTY25" s="146"/>
      <c r="VTZ25" s="146"/>
      <c r="VUA25" s="146"/>
      <c r="VUB25" s="146"/>
      <c r="VUC25" s="146"/>
      <c r="VUD25" s="146"/>
      <c r="VUE25" s="146"/>
      <c r="VUF25" s="146"/>
      <c r="VUG25" s="146"/>
      <c r="VUH25" s="146"/>
      <c r="VUI25" s="146"/>
      <c r="VUJ25" s="146"/>
      <c r="VUK25" s="146"/>
      <c r="VUL25" s="146"/>
      <c r="VUM25" s="146"/>
      <c r="VUN25" s="146"/>
      <c r="VUO25" s="146"/>
      <c r="VUP25" s="146"/>
      <c r="VUQ25" s="146"/>
      <c r="VUR25" s="146"/>
      <c r="VUS25" s="146"/>
      <c r="VUT25" s="146"/>
      <c r="VUU25" s="146"/>
      <c r="VUV25" s="146"/>
      <c r="VUW25" s="146"/>
      <c r="VUX25" s="146"/>
      <c r="VUY25" s="146"/>
      <c r="VUZ25" s="146"/>
      <c r="VVA25" s="146"/>
      <c r="VVB25" s="146"/>
      <c r="VVC25" s="146"/>
      <c r="VVD25" s="146"/>
      <c r="VVE25" s="146"/>
      <c r="VVF25" s="146"/>
      <c r="VVG25" s="146"/>
      <c r="VVH25" s="146"/>
      <c r="VVI25" s="146"/>
      <c r="VVJ25" s="146"/>
      <c r="VVK25" s="146"/>
      <c r="VVL25" s="146"/>
      <c r="VVM25" s="146"/>
      <c r="VVN25" s="146"/>
      <c r="VVO25" s="146"/>
      <c r="VVP25" s="146"/>
      <c r="VVQ25" s="146"/>
      <c r="VVR25" s="146"/>
      <c r="VVS25" s="146"/>
      <c r="VVT25" s="146"/>
      <c r="VVU25" s="146"/>
      <c r="VVV25" s="146"/>
      <c r="VVW25" s="146"/>
      <c r="VVX25" s="146"/>
      <c r="VVY25" s="146"/>
      <c r="VVZ25" s="146"/>
      <c r="VWA25" s="146"/>
      <c r="VWB25" s="146"/>
      <c r="VWC25" s="146"/>
      <c r="VWD25" s="146"/>
      <c r="VWE25" s="146"/>
      <c r="VWF25" s="146"/>
      <c r="VWG25" s="146"/>
      <c r="VWH25" s="146"/>
      <c r="VWI25" s="146"/>
      <c r="VWJ25" s="146"/>
      <c r="VWK25" s="146"/>
      <c r="VWL25" s="146"/>
      <c r="VWM25" s="146"/>
      <c r="VWN25" s="146"/>
      <c r="VWO25" s="146"/>
      <c r="VWP25" s="146"/>
      <c r="VWQ25" s="146"/>
      <c r="VWR25" s="146"/>
      <c r="VWS25" s="146"/>
      <c r="VWT25" s="146"/>
      <c r="VWU25" s="146"/>
      <c r="VWV25" s="146"/>
      <c r="VWW25" s="146"/>
      <c r="VWX25" s="146"/>
      <c r="VWY25" s="146"/>
      <c r="VWZ25" s="146"/>
      <c r="VXA25" s="146"/>
      <c r="VXB25" s="146"/>
      <c r="VXC25" s="146"/>
      <c r="VXD25" s="146"/>
      <c r="VXE25" s="146"/>
      <c r="VXF25" s="146"/>
      <c r="VXG25" s="146"/>
      <c r="VXH25" s="146"/>
      <c r="VXI25" s="146"/>
      <c r="VXJ25" s="146"/>
      <c r="VXK25" s="146"/>
      <c r="VXL25" s="146"/>
      <c r="VXM25" s="146"/>
      <c r="VXN25" s="146"/>
      <c r="VXO25" s="146"/>
      <c r="VXP25" s="146"/>
      <c r="VXQ25" s="146"/>
      <c r="VXR25" s="146"/>
      <c r="VXS25" s="146"/>
      <c r="VXT25" s="146"/>
      <c r="VXU25" s="146"/>
      <c r="VXV25" s="146"/>
      <c r="VXW25" s="146"/>
      <c r="VXX25" s="146"/>
      <c r="VXY25" s="146"/>
      <c r="VXZ25" s="146"/>
      <c r="VYA25" s="146"/>
      <c r="VYB25" s="146"/>
      <c r="VYC25" s="146"/>
      <c r="VYD25" s="146"/>
      <c r="VYE25" s="146"/>
      <c r="VYF25" s="146"/>
      <c r="VYG25" s="146"/>
      <c r="VYH25" s="146"/>
      <c r="VYI25" s="146"/>
      <c r="VYJ25" s="146"/>
      <c r="VYK25" s="146"/>
      <c r="VYL25" s="146"/>
      <c r="VYM25" s="146"/>
      <c r="VYN25" s="146"/>
      <c r="VYO25" s="146"/>
      <c r="VYP25" s="146"/>
      <c r="VYQ25" s="146"/>
      <c r="VYR25" s="146"/>
      <c r="VYS25" s="146"/>
      <c r="VYT25" s="146"/>
      <c r="VYU25" s="146"/>
      <c r="VYV25" s="146"/>
      <c r="VYW25" s="146"/>
      <c r="VYX25" s="146"/>
      <c r="VYY25" s="146"/>
      <c r="VYZ25" s="146"/>
      <c r="VZA25" s="146"/>
      <c r="VZB25" s="146"/>
      <c r="VZC25" s="146"/>
      <c r="VZD25" s="146"/>
      <c r="VZE25" s="146"/>
      <c r="VZF25" s="146"/>
      <c r="VZG25" s="146"/>
      <c r="VZH25" s="146"/>
      <c r="VZI25" s="146"/>
      <c r="VZJ25" s="146"/>
      <c r="VZK25" s="146"/>
      <c r="VZL25" s="146"/>
      <c r="VZM25" s="146"/>
      <c r="VZN25" s="146"/>
      <c r="VZO25" s="146"/>
      <c r="VZP25" s="146"/>
      <c r="VZQ25" s="146"/>
      <c r="VZR25" s="146"/>
      <c r="VZS25" s="146"/>
      <c r="VZT25" s="146"/>
      <c r="VZU25" s="146"/>
      <c r="VZV25" s="146"/>
      <c r="VZW25" s="146"/>
      <c r="VZX25" s="146"/>
      <c r="VZY25" s="146"/>
      <c r="VZZ25" s="146"/>
      <c r="WAA25" s="146"/>
      <c r="WAB25" s="146"/>
      <c r="WAC25" s="146"/>
      <c r="WAD25" s="146"/>
      <c r="WAE25" s="146"/>
      <c r="WAF25" s="146"/>
      <c r="WAG25" s="146"/>
      <c r="WAH25" s="146"/>
      <c r="WAI25" s="146"/>
      <c r="WAJ25" s="146"/>
      <c r="WAK25" s="146"/>
      <c r="WAL25" s="146"/>
      <c r="WAM25" s="146"/>
      <c r="WAN25" s="146"/>
      <c r="WAO25" s="146"/>
      <c r="WAP25" s="146"/>
      <c r="WAQ25" s="146"/>
      <c r="WAR25" s="146"/>
      <c r="WAS25" s="146"/>
      <c r="WAT25" s="146"/>
      <c r="WAU25" s="146"/>
      <c r="WAV25" s="146"/>
      <c r="WAW25" s="146"/>
      <c r="WAX25" s="146"/>
      <c r="WAY25" s="146"/>
      <c r="WAZ25" s="146"/>
      <c r="WBA25" s="146"/>
      <c r="WBB25" s="146"/>
      <c r="WBC25" s="146"/>
      <c r="WBD25" s="146"/>
      <c r="WBE25" s="146"/>
      <c r="WBF25" s="146"/>
      <c r="WBG25" s="146"/>
      <c r="WBH25" s="146"/>
      <c r="WBI25" s="146"/>
      <c r="WBJ25" s="146"/>
      <c r="WBK25" s="146"/>
      <c r="WBL25" s="146"/>
      <c r="WBM25" s="146"/>
      <c r="WBN25" s="146"/>
      <c r="WBO25" s="146"/>
      <c r="WBP25" s="146"/>
      <c r="WBQ25" s="146"/>
      <c r="WBR25" s="146"/>
      <c r="WBS25" s="146"/>
      <c r="WBT25" s="146"/>
      <c r="WBU25" s="146"/>
      <c r="WBV25" s="146"/>
      <c r="WBW25" s="146"/>
      <c r="WBX25" s="146"/>
      <c r="WBY25" s="146"/>
      <c r="WBZ25" s="146"/>
      <c r="WCA25" s="146"/>
      <c r="WCB25" s="146"/>
      <c r="WCC25" s="146"/>
      <c r="WCD25" s="146"/>
      <c r="WCE25" s="146"/>
      <c r="WCF25" s="146"/>
      <c r="WCG25" s="146"/>
      <c r="WCH25" s="146"/>
      <c r="WCI25" s="146"/>
      <c r="WCJ25" s="146"/>
      <c r="WCK25" s="146"/>
      <c r="WCL25" s="146"/>
      <c r="WCM25" s="146"/>
      <c r="WCN25" s="146"/>
      <c r="WCO25" s="146"/>
      <c r="WCP25" s="146"/>
      <c r="WCQ25" s="146"/>
      <c r="WCR25" s="146"/>
      <c r="WCS25" s="146"/>
      <c r="WCT25" s="146"/>
      <c r="WCU25" s="146"/>
      <c r="WCV25" s="146"/>
      <c r="WCW25" s="146"/>
      <c r="WCX25" s="146"/>
      <c r="WCY25" s="146"/>
      <c r="WCZ25" s="146"/>
      <c r="WDA25" s="146"/>
      <c r="WDB25" s="146"/>
      <c r="WDC25" s="146"/>
      <c r="WDD25" s="146"/>
      <c r="WDE25" s="146"/>
      <c r="WDF25" s="146"/>
      <c r="WDG25" s="146"/>
      <c r="WDH25" s="146"/>
      <c r="WDI25" s="146"/>
      <c r="WDJ25" s="146"/>
      <c r="WDK25" s="146"/>
      <c r="WDL25" s="146"/>
      <c r="WDM25" s="146"/>
      <c r="WDN25" s="146"/>
      <c r="WDO25" s="146"/>
      <c r="WDP25" s="146"/>
      <c r="WDQ25" s="146"/>
      <c r="WDR25" s="146"/>
      <c r="WDS25" s="146"/>
      <c r="WDT25" s="146"/>
      <c r="WDU25" s="146"/>
      <c r="WDV25" s="146"/>
      <c r="WDW25" s="146"/>
      <c r="WDX25" s="146"/>
      <c r="WDY25" s="146"/>
      <c r="WDZ25" s="146"/>
      <c r="WEA25" s="146"/>
      <c r="WEB25" s="146"/>
      <c r="WEC25" s="146"/>
      <c r="WED25" s="146"/>
      <c r="WEE25" s="146"/>
      <c r="WEF25" s="146"/>
      <c r="WEG25" s="146"/>
      <c r="WEH25" s="146"/>
      <c r="WEI25" s="146"/>
      <c r="WEJ25" s="146"/>
      <c r="WEK25" s="146"/>
      <c r="WEL25" s="146"/>
      <c r="WEM25" s="146"/>
      <c r="WEN25" s="146"/>
      <c r="WEO25" s="146"/>
      <c r="WEP25" s="146"/>
      <c r="WEQ25" s="146"/>
      <c r="WER25" s="146"/>
      <c r="WES25" s="146"/>
      <c r="WET25" s="146"/>
      <c r="WEU25" s="146"/>
      <c r="WEV25" s="146"/>
      <c r="WEW25" s="146"/>
      <c r="WEX25" s="146"/>
      <c r="WEY25" s="146"/>
      <c r="WEZ25" s="146"/>
      <c r="WFA25" s="146"/>
      <c r="WFB25" s="146"/>
      <c r="WFC25" s="146"/>
      <c r="WFD25" s="146"/>
      <c r="WFE25" s="146"/>
      <c r="WFF25" s="146"/>
      <c r="WFG25" s="146"/>
      <c r="WFH25" s="146"/>
      <c r="WFI25" s="146"/>
      <c r="WFJ25" s="146"/>
      <c r="WFK25" s="146"/>
      <c r="WFL25" s="146"/>
      <c r="WFM25" s="146"/>
      <c r="WFN25" s="146"/>
      <c r="WFO25" s="146"/>
      <c r="WFP25" s="146"/>
      <c r="WFQ25" s="146"/>
      <c r="WFR25" s="146"/>
      <c r="WFS25" s="146"/>
      <c r="WFT25" s="146"/>
      <c r="WFU25" s="146"/>
      <c r="WFV25" s="146"/>
      <c r="WFW25" s="146"/>
      <c r="WFX25" s="146"/>
      <c r="WFY25" s="146"/>
      <c r="WFZ25" s="146"/>
      <c r="WGA25" s="146"/>
      <c r="WGB25" s="146"/>
      <c r="WGC25" s="146"/>
      <c r="WGD25" s="146"/>
      <c r="WGE25" s="146"/>
      <c r="WGF25" s="146"/>
      <c r="WGG25" s="146"/>
      <c r="WGH25" s="146"/>
      <c r="WGI25" s="146"/>
      <c r="WGJ25" s="146"/>
      <c r="WGK25" s="146"/>
      <c r="WGL25" s="146"/>
      <c r="WGM25" s="146"/>
      <c r="WGN25" s="146"/>
      <c r="WGO25" s="146"/>
      <c r="WGP25" s="146"/>
      <c r="WGQ25" s="146"/>
      <c r="WGR25" s="146"/>
      <c r="WGS25" s="146"/>
      <c r="WGT25" s="146"/>
      <c r="WGU25" s="146"/>
      <c r="WGV25" s="146"/>
      <c r="WGW25" s="146"/>
      <c r="WGX25" s="146"/>
      <c r="WGY25" s="146"/>
      <c r="WGZ25" s="146"/>
      <c r="WHA25" s="146"/>
      <c r="WHB25" s="146"/>
      <c r="WHC25" s="146"/>
      <c r="WHD25" s="146"/>
      <c r="WHE25" s="146"/>
      <c r="WHF25" s="146"/>
      <c r="WHG25" s="146"/>
      <c r="WHH25" s="146"/>
      <c r="WHI25" s="146"/>
      <c r="WHJ25" s="146"/>
      <c r="WHK25" s="146"/>
      <c r="WHL25" s="146"/>
      <c r="WHM25" s="146"/>
      <c r="WHN25" s="146"/>
      <c r="WHO25" s="146"/>
      <c r="WHP25" s="146"/>
      <c r="WHQ25" s="146"/>
      <c r="WHR25" s="146"/>
      <c r="WHS25" s="146"/>
      <c r="WHT25" s="146"/>
      <c r="WHU25" s="146"/>
      <c r="WHV25" s="146"/>
      <c r="WHW25" s="146"/>
      <c r="WHX25" s="146"/>
      <c r="WHY25" s="146"/>
      <c r="WHZ25" s="146"/>
      <c r="WIA25" s="146"/>
      <c r="WIB25" s="146"/>
      <c r="WIC25" s="146"/>
      <c r="WID25" s="146"/>
      <c r="WIE25" s="146"/>
      <c r="WIF25" s="146"/>
      <c r="WIG25" s="146"/>
      <c r="WIH25" s="146"/>
      <c r="WII25" s="146"/>
      <c r="WIJ25" s="146"/>
      <c r="WIK25" s="146"/>
      <c r="WIL25" s="146"/>
      <c r="WIM25" s="146"/>
      <c r="WIN25" s="146"/>
      <c r="WIO25" s="146"/>
      <c r="WIP25" s="146"/>
      <c r="WIQ25" s="146"/>
      <c r="WIR25" s="146"/>
      <c r="WIS25" s="146"/>
      <c r="WIT25" s="146"/>
      <c r="WIU25" s="146"/>
      <c r="WIV25" s="146"/>
      <c r="WIW25" s="146"/>
      <c r="WIX25" s="146"/>
      <c r="WIY25" s="146"/>
      <c r="WIZ25" s="146"/>
      <c r="WJA25" s="146"/>
      <c r="WJB25" s="146"/>
      <c r="WJC25" s="146"/>
      <c r="WJD25" s="146"/>
      <c r="WJE25" s="146"/>
      <c r="WJF25" s="146"/>
      <c r="WJG25" s="146"/>
      <c r="WJH25" s="146"/>
      <c r="WJI25" s="146"/>
      <c r="WJJ25" s="146"/>
      <c r="WJK25" s="146"/>
      <c r="WJL25" s="146"/>
      <c r="WJM25" s="146"/>
      <c r="WJN25" s="146"/>
      <c r="WJO25" s="146"/>
      <c r="WJP25" s="146"/>
      <c r="WJQ25" s="146"/>
      <c r="WJR25" s="146"/>
      <c r="WJS25" s="146"/>
      <c r="WJT25" s="146"/>
      <c r="WJU25" s="146"/>
      <c r="WJV25" s="146"/>
      <c r="WJW25" s="146"/>
      <c r="WJX25" s="146"/>
      <c r="WJY25" s="146"/>
      <c r="WJZ25" s="146"/>
      <c r="WKA25" s="146"/>
      <c r="WKB25" s="146"/>
      <c r="WKC25" s="146"/>
      <c r="WKD25" s="146"/>
      <c r="WKE25" s="146"/>
      <c r="WKF25" s="146"/>
      <c r="WKG25" s="146"/>
      <c r="WKH25" s="146"/>
      <c r="WKI25" s="146"/>
      <c r="WKJ25" s="146"/>
      <c r="WKK25" s="146"/>
      <c r="WKL25" s="146"/>
      <c r="WKM25" s="146"/>
      <c r="WKN25" s="146"/>
      <c r="WKO25" s="146"/>
      <c r="WKP25" s="146"/>
      <c r="WKQ25" s="146"/>
      <c r="WKR25" s="146"/>
      <c r="WKS25" s="146"/>
      <c r="WKT25" s="146"/>
      <c r="WKU25" s="146"/>
      <c r="WKV25" s="146"/>
      <c r="WKW25" s="146"/>
      <c r="WKX25" s="146"/>
      <c r="WKY25" s="146"/>
      <c r="WKZ25" s="146"/>
      <c r="WLA25" s="146"/>
      <c r="WLB25" s="146"/>
      <c r="WLC25" s="146"/>
      <c r="WLD25" s="146"/>
      <c r="WLE25" s="146"/>
      <c r="WLF25" s="146"/>
      <c r="WLG25" s="146"/>
      <c r="WLH25" s="146"/>
      <c r="WLI25" s="146"/>
      <c r="WLJ25" s="146"/>
      <c r="WLK25" s="146"/>
      <c r="WLL25" s="146"/>
      <c r="WLM25" s="146"/>
      <c r="WLN25" s="146"/>
      <c r="WLO25" s="146"/>
      <c r="WLP25" s="146"/>
      <c r="WLQ25" s="146"/>
      <c r="WLR25" s="146"/>
      <c r="WLS25" s="146"/>
      <c r="WLT25" s="146"/>
      <c r="WLU25" s="146"/>
      <c r="WLV25" s="146"/>
      <c r="WLW25" s="146"/>
      <c r="WLX25" s="146"/>
      <c r="WLY25" s="146"/>
      <c r="WLZ25" s="146"/>
      <c r="WMA25" s="146"/>
      <c r="WMB25" s="146"/>
      <c r="WMC25" s="146"/>
      <c r="WMD25" s="146"/>
      <c r="WME25" s="146"/>
      <c r="WMF25" s="146"/>
      <c r="WMG25" s="146"/>
      <c r="WMH25" s="146"/>
      <c r="WMI25" s="146"/>
      <c r="WMJ25" s="146"/>
      <c r="WMK25" s="146"/>
      <c r="WML25" s="146"/>
      <c r="WMM25" s="146"/>
      <c r="WMN25" s="146"/>
      <c r="WMO25" s="146"/>
      <c r="WMP25" s="146"/>
      <c r="WMQ25" s="146"/>
      <c r="WMR25" s="146"/>
      <c r="WMS25" s="146"/>
      <c r="WMT25" s="146"/>
      <c r="WMU25" s="146"/>
      <c r="WMV25" s="146"/>
      <c r="WMW25" s="146"/>
      <c r="WMX25" s="146"/>
      <c r="WMY25" s="146"/>
      <c r="WMZ25" s="146"/>
      <c r="WNA25" s="146"/>
      <c r="WNB25" s="146"/>
      <c r="WNC25" s="146"/>
      <c r="WND25" s="146"/>
      <c r="WNE25" s="146"/>
      <c r="WNF25" s="146"/>
      <c r="WNG25" s="146"/>
      <c r="WNH25" s="146"/>
      <c r="WNI25" s="146"/>
      <c r="WNJ25" s="146"/>
      <c r="WNK25" s="146"/>
      <c r="WNL25" s="146"/>
      <c r="WNM25" s="146"/>
      <c r="WNN25" s="146"/>
      <c r="WNO25" s="146"/>
      <c r="WNP25" s="146"/>
      <c r="WNQ25" s="146"/>
      <c r="WNR25" s="146"/>
      <c r="WNS25" s="146"/>
      <c r="WNT25" s="146"/>
      <c r="WNU25" s="146"/>
      <c r="WNV25" s="146"/>
      <c r="WNW25" s="146"/>
      <c r="WNX25" s="146"/>
      <c r="WNY25" s="146"/>
      <c r="WNZ25" s="146"/>
      <c r="WOA25" s="146"/>
      <c r="WOB25" s="146"/>
      <c r="WOC25" s="146"/>
      <c r="WOD25" s="146"/>
      <c r="WOE25" s="146"/>
      <c r="WOF25" s="146"/>
      <c r="WOG25" s="146"/>
      <c r="WOH25" s="146"/>
      <c r="WOI25" s="146"/>
      <c r="WOJ25" s="146"/>
      <c r="WOK25" s="146"/>
      <c r="WOL25" s="146"/>
      <c r="WOM25" s="146"/>
      <c r="WON25" s="146"/>
      <c r="WOO25" s="146"/>
      <c r="WOP25" s="146"/>
      <c r="WOQ25" s="146"/>
      <c r="WOR25" s="146"/>
      <c r="WOS25" s="146"/>
      <c r="WOT25" s="146"/>
      <c r="WOU25" s="146"/>
      <c r="WOV25" s="146"/>
      <c r="WOW25" s="146"/>
      <c r="WOX25" s="146"/>
      <c r="WOY25" s="146"/>
      <c r="WOZ25" s="146"/>
      <c r="WPA25" s="146"/>
      <c r="WPB25" s="146"/>
      <c r="WPC25" s="146"/>
      <c r="WPD25" s="146"/>
      <c r="WPE25" s="146"/>
      <c r="WPF25" s="146"/>
      <c r="WPG25" s="146"/>
      <c r="WPH25" s="146"/>
      <c r="WPI25" s="146"/>
      <c r="WPJ25" s="146"/>
      <c r="WPK25" s="146"/>
      <c r="WPL25" s="146"/>
      <c r="WPM25" s="146"/>
      <c r="WPN25" s="146"/>
      <c r="WPO25" s="146"/>
      <c r="WPP25" s="146"/>
      <c r="WPQ25" s="146"/>
      <c r="WPR25" s="146"/>
      <c r="WPS25" s="146"/>
      <c r="WPT25" s="146"/>
      <c r="WPU25" s="146"/>
      <c r="WPV25" s="146"/>
      <c r="WPW25" s="146"/>
      <c r="WPX25" s="146"/>
      <c r="WPY25" s="146"/>
      <c r="WPZ25" s="146"/>
      <c r="WQA25" s="146"/>
      <c r="WQB25" s="146"/>
      <c r="WQC25" s="146"/>
      <c r="WQD25" s="146"/>
      <c r="WQE25" s="146"/>
      <c r="WQF25" s="146"/>
      <c r="WQG25" s="146"/>
      <c r="WQH25" s="146"/>
      <c r="WQI25" s="146"/>
      <c r="WQJ25" s="146"/>
      <c r="WQK25" s="146"/>
      <c r="WQL25" s="146"/>
      <c r="WQM25" s="146"/>
      <c r="WQN25" s="146"/>
      <c r="WQO25" s="146"/>
      <c r="WQP25" s="146"/>
      <c r="WQQ25" s="146"/>
      <c r="WQR25" s="146"/>
      <c r="WQS25" s="146"/>
      <c r="WQT25" s="146"/>
      <c r="WQU25" s="146"/>
      <c r="WQV25" s="146"/>
      <c r="WQW25" s="146"/>
      <c r="WQX25" s="146"/>
      <c r="WQY25" s="146"/>
      <c r="WQZ25" s="146"/>
      <c r="WRA25" s="146"/>
      <c r="WRB25" s="146"/>
      <c r="WRC25" s="146"/>
      <c r="WRD25" s="146"/>
      <c r="WRE25" s="146"/>
      <c r="WRF25" s="146"/>
      <c r="WRG25" s="146"/>
      <c r="WRH25" s="146"/>
      <c r="WRI25" s="146"/>
      <c r="WRJ25" s="146"/>
      <c r="WRK25" s="146"/>
      <c r="WRL25" s="146"/>
      <c r="WRM25" s="146"/>
      <c r="WRN25" s="146"/>
      <c r="WRO25" s="146"/>
      <c r="WRP25" s="146"/>
      <c r="WRQ25" s="146"/>
      <c r="WRR25" s="146"/>
      <c r="WRS25" s="146"/>
      <c r="WRT25" s="146"/>
      <c r="WRU25" s="146"/>
      <c r="WRV25" s="146"/>
      <c r="WRW25" s="146"/>
      <c r="WRX25" s="146"/>
      <c r="WRY25" s="146"/>
      <c r="WRZ25" s="146"/>
      <c r="WSA25" s="146"/>
      <c r="WSB25" s="146"/>
      <c r="WSC25" s="146"/>
      <c r="WSD25" s="146"/>
      <c r="WSE25" s="146"/>
      <c r="WSF25" s="146"/>
      <c r="WSG25" s="146"/>
      <c r="WSH25" s="146"/>
      <c r="WSI25" s="146"/>
      <c r="WSJ25" s="146"/>
      <c r="WSK25" s="146"/>
      <c r="WSL25" s="146"/>
      <c r="WSM25" s="146"/>
      <c r="WSN25" s="146"/>
      <c r="WSO25" s="146"/>
      <c r="WSP25" s="146"/>
      <c r="WSQ25" s="146"/>
      <c r="WSR25" s="146"/>
      <c r="WSS25" s="146"/>
      <c r="WST25" s="146"/>
      <c r="WSU25" s="146"/>
      <c r="WSV25" s="146"/>
      <c r="WSW25" s="146"/>
      <c r="WSX25" s="146"/>
      <c r="WSY25" s="146"/>
      <c r="WSZ25" s="146"/>
      <c r="WTA25" s="146"/>
      <c r="WTB25" s="146"/>
      <c r="WTC25" s="146"/>
      <c r="WTD25" s="146"/>
      <c r="WTE25" s="146"/>
      <c r="WTF25" s="146"/>
      <c r="WTG25" s="146"/>
      <c r="WTH25" s="146"/>
      <c r="WTI25" s="146"/>
      <c r="WTJ25" s="146"/>
      <c r="WTK25" s="146"/>
      <c r="WTL25" s="146"/>
      <c r="WTM25" s="146"/>
      <c r="WTN25" s="146"/>
      <c r="WTO25" s="146"/>
      <c r="WTP25" s="146"/>
      <c r="WTQ25" s="146"/>
      <c r="WTR25" s="146"/>
      <c r="WTS25" s="146"/>
      <c r="WTT25" s="146"/>
      <c r="WTU25" s="146"/>
      <c r="WTV25" s="146"/>
      <c r="WTW25" s="146"/>
      <c r="WTX25" s="146"/>
      <c r="WTY25" s="146"/>
      <c r="WTZ25" s="146"/>
      <c r="WUA25" s="146"/>
      <c r="WUB25" s="146"/>
      <c r="WUC25" s="146"/>
      <c r="WUD25" s="146"/>
      <c r="WUE25" s="146"/>
      <c r="WUF25" s="146"/>
      <c r="WUG25" s="146"/>
      <c r="WUH25" s="146"/>
      <c r="WUI25" s="146"/>
      <c r="WUJ25" s="146"/>
      <c r="WUK25" s="146"/>
      <c r="WUL25" s="146"/>
      <c r="WUM25" s="146"/>
      <c r="WUN25" s="146"/>
      <c r="WUO25" s="146"/>
      <c r="WUP25" s="146"/>
      <c r="WUQ25" s="146"/>
      <c r="WUR25" s="146"/>
      <c r="WUS25" s="146"/>
      <c r="WUT25" s="146"/>
      <c r="WUU25" s="146"/>
      <c r="WUV25" s="146"/>
      <c r="WUW25" s="146"/>
      <c r="WUX25" s="146"/>
      <c r="WUY25" s="146"/>
      <c r="WUZ25" s="146"/>
      <c r="WVA25" s="146"/>
      <c r="WVB25" s="146"/>
      <c r="WVC25" s="146"/>
      <c r="WVD25" s="146"/>
      <c r="WVE25" s="146"/>
      <c r="WVF25" s="146"/>
      <c r="WVG25" s="146"/>
      <c r="WVH25" s="146"/>
      <c r="WVI25" s="146"/>
      <c r="WVJ25" s="146"/>
      <c r="WVK25" s="146"/>
      <c r="WVL25" s="146"/>
      <c r="WVM25" s="146"/>
      <c r="WVN25" s="146"/>
      <c r="WVO25" s="146"/>
      <c r="WVP25" s="146"/>
      <c r="WVQ25" s="146"/>
      <c r="WVR25" s="146"/>
      <c r="WVS25" s="146"/>
      <c r="WVT25" s="146"/>
      <c r="WVU25" s="146"/>
      <c r="WVV25" s="146"/>
      <c r="WVW25" s="146"/>
      <c r="WVX25" s="146"/>
      <c r="WVY25" s="146"/>
      <c r="WVZ25" s="146"/>
      <c r="WWA25" s="146"/>
      <c r="WWB25" s="146"/>
      <c r="WWC25" s="146"/>
      <c r="WWD25" s="146"/>
      <c r="WWE25" s="146"/>
      <c r="WWF25" s="146"/>
      <c r="WWG25" s="146"/>
      <c r="WWH25" s="146"/>
      <c r="WWI25" s="146"/>
      <c r="WWJ25" s="146"/>
      <c r="WWK25" s="146"/>
      <c r="WWL25" s="146"/>
      <c r="WWM25" s="146"/>
      <c r="WWN25" s="146"/>
      <c r="WWO25" s="146"/>
      <c r="WWP25" s="146"/>
      <c r="WWQ25" s="146"/>
      <c r="WWR25" s="146"/>
      <c r="WWS25" s="146"/>
      <c r="WWT25" s="146"/>
      <c r="WWU25" s="146"/>
      <c r="WWV25" s="146"/>
      <c r="WWW25" s="146"/>
      <c r="WWX25" s="146"/>
      <c r="WWY25" s="146"/>
      <c r="WWZ25" s="146"/>
      <c r="WXA25" s="146"/>
      <c r="WXB25" s="146"/>
      <c r="WXC25" s="146"/>
      <c r="WXD25" s="146"/>
      <c r="WXE25" s="146"/>
      <c r="WXF25" s="146"/>
      <c r="WXG25" s="146"/>
      <c r="WXH25" s="146"/>
      <c r="WXI25" s="146"/>
      <c r="WXJ25" s="146"/>
      <c r="WXK25" s="146"/>
      <c r="WXL25" s="146"/>
      <c r="WXM25" s="146"/>
      <c r="WXN25" s="146"/>
      <c r="WXO25" s="146"/>
      <c r="WXP25" s="146"/>
      <c r="WXQ25" s="146"/>
      <c r="WXR25" s="146"/>
      <c r="WXS25" s="146"/>
      <c r="WXT25" s="146"/>
      <c r="WXU25" s="146"/>
      <c r="WXV25" s="146"/>
      <c r="WXW25" s="146"/>
      <c r="WXX25" s="146"/>
      <c r="WXY25" s="146"/>
      <c r="WXZ25" s="146"/>
      <c r="WYA25" s="146"/>
      <c r="WYB25" s="146"/>
      <c r="WYC25" s="146"/>
      <c r="WYD25" s="146"/>
      <c r="WYE25" s="146"/>
      <c r="WYF25" s="146"/>
      <c r="WYG25" s="146"/>
      <c r="WYH25" s="146"/>
      <c r="WYI25" s="146"/>
      <c r="WYJ25" s="146"/>
      <c r="WYK25" s="146"/>
      <c r="WYL25" s="146"/>
      <c r="WYM25" s="146"/>
      <c r="WYN25" s="146"/>
      <c r="WYO25" s="146"/>
      <c r="WYP25" s="146"/>
      <c r="WYQ25" s="146"/>
      <c r="WYR25" s="146"/>
      <c r="WYS25" s="146"/>
      <c r="WYT25" s="146"/>
      <c r="WYU25" s="146"/>
      <c r="WYV25" s="146"/>
      <c r="WYW25" s="146"/>
      <c r="WYX25" s="146"/>
      <c r="WYY25" s="146"/>
      <c r="WYZ25" s="146"/>
      <c r="WZA25" s="146"/>
      <c r="WZB25" s="146"/>
      <c r="WZC25" s="146"/>
      <c r="WZD25" s="146"/>
      <c r="WZE25" s="146"/>
      <c r="WZF25" s="146"/>
      <c r="WZG25" s="146"/>
      <c r="WZH25" s="146"/>
      <c r="WZI25" s="146"/>
      <c r="WZJ25" s="146"/>
      <c r="WZK25" s="146"/>
      <c r="WZL25" s="146"/>
      <c r="WZM25" s="146"/>
      <c r="WZN25" s="146"/>
      <c r="WZO25" s="146"/>
      <c r="WZP25" s="146"/>
      <c r="WZQ25" s="146"/>
      <c r="WZR25" s="146"/>
      <c r="WZS25" s="146"/>
      <c r="WZT25" s="146"/>
      <c r="WZU25" s="146"/>
      <c r="WZV25" s="146"/>
      <c r="WZW25" s="146"/>
      <c r="WZX25" s="146"/>
      <c r="WZY25" s="146"/>
      <c r="WZZ25" s="146"/>
      <c r="XAA25" s="146"/>
      <c r="XAB25" s="146"/>
      <c r="XAC25" s="146"/>
      <c r="XAD25" s="146"/>
      <c r="XAE25" s="146"/>
      <c r="XAF25" s="146"/>
      <c r="XAG25" s="146"/>
      <c r="XAH25" s="146"/>
      <c r="XAI25" s="146"/>
      <c r="XAJ25" s="146"/>
      <c r="XAK25" s="146"/>
      <c r="XAL25" s="146"/>
      <c r="XAM25" s="146"/>
      <c r="XAN25" s="146"/>
      <c r="XAO25" s="146"/>
      <c r="XAP25" s="146"/>
      <c r="XAQ25" s="146"/>
      <c r="XAR25" s="146"/>
      <c r="XAS25" s="146"/>
      <c r="XAT25" s="146"/>
      <c r="XAU25" s="146"/>
      <c r="XAV25" s="146"/>
      <c r="XAW25" s="146"/>
      <c r="XAX25" s="146"/>
      <c r="XAY25" s="146"/>
      <c r="XAZ25" s="146"/>
      <c r="XBA25" s="146"/>
      <c r="XBB25" s="146"/>
      <c r="XBC25" s="146"/>
      <c r="XBD25" s="146"/>
      <c r="XBE25" s="146"/>
      <c r="XBF25" s="146"/>
      <c r="XBG25" s="146"/>
      <c r="XBH25" s="146"/>
      <c r="XBI25" s="146"/>
      <c r="XBJ25" s="146"/>
      <c r="XBK25" s="146"/>
      <c r="XBL25" s="146"/>
      <c r="XBM25" s="146"/>
      <c r="XBN25" s="146"/>
      <c r="XBO25" s="146"/>
      <c r="XBP25" s="146"/>
      <c r="XBQ25" s="146"/>
      <c r="XBR25" s="146"/>
      <c r="XBS25" s="146"/>
      <c r="XBT25" s="146"/>
      <c r="XBU25" s="146"/>
      <c r="XBV25" s="146"/>
      <c r="XBW25" s="146"/>
      <c r="XBX25" s="146"/>
      <c r="XBY25" s="146"/>
      <c r="XBZ25" s="146"/>
      <c r="XCA25" s="146"/>
      <c r="XCB25" s="146"/>
      <c r="XCC25" s="146"/>
      <c r="XCD25" s="146"/>
      <c r="XCE25" s="146"/>
      <c r="XCF25" s="146"/>
      <c r="XCG25" s="146"/>
      <c r="XCH25" s="146"/>
      <c r="XCI25" s="146"/>
      <c r="XCJ25" s="146"/>
      <c r="XCK25" s="146"/>
      <c r="XCL25" s="146"/>
      <c r="XCM25" s="146"/>
      <c r="XCN25" s="146"/>
      <c r="XCO25" s="146"/>
      <c r="XCP25" s="146"/>
      <c r="XCQ25" s="146"/>
      <c r="XCR25" s="146"/>
      <c r="XCS25" s="146"/>
      <c r="XCT25" s="146"/>
      <c r="XCU25" s="146"/>
      <c r="XCV25" s="146"/>
      <c r="XCW25" s="146"/>
      <c r="XCX25" s="146"/>
      <c r="XCY25" s="146"/>
      <c r="XCZ25" s="146"/>
      <c r="XDA25" s="146"/>
      <c r="XDB25" s="146"/>
      <c r="XDC25" s="146"/>
      <c r="XDD25" s="146"/>
      <c r="XDE25" s="146"/>
      <c r="XDF25" s="146"/>
      <c r="XDG25" s="146"/>
      <c r="XDH25" s="146"/>
      <c r="XDI25" s="146"/>
      <c r="XDJ25" s="146"/>
      <c r="XDK25" s="146"/>
      <c r="XDL25" s="146"/>
      <c r="XDM25" s="146"/>
      <c r="XDN25" s="146"/>
      <c r="XDO25" s="146"/>
      <c r="XDP25" s="146"/>
      <c r="XDQ25" s="146"/>
      <c r="XDR25" s="146"/>
      <c r="XDS25" s="146"/>
      <c r="XDT25" s="146"/>
      <c r="XDU25" s="146"/>
      <c r="XDV25" s="146"/>
      <c r="XDW25" s="146"/>
      <c r="XDX25" s="146"/>
      <c r="XDY25" s="146"/>
      <c r="XDZ25" s="146"/>
      <c r="XEA25" s="146"/>
      <c r="XEB25" s="146"/>
      <c r="XEC25" s="146"/>
      <c r="XED25" s="146"/>
      <c r="XEE25" s="146"/>
      <c r="XEF25" s="146"/>
      <c r="XEG25" s="146"/>
      <c r="XEH25" s="146"/>
      <c r="XEI25" s="146"/>
      <c r="XEJ25" s="146"/>
      <c r="XEK25" s="146"/>
      <c r="XEL25" s="146"/>
      <c r="XEM25" s="146"/>
      <c r="XEN25" s="146"/>
      <c r="XEO25" s="146"/>
      <c r="XEP25" s="146"/>
      <c r="XEQ25" s="146"/>
      <c r="XER25" s="146"/>
      <c r="XES25" s="146"/>
      <c r="XET25" s="146"/>
      <c r="XEU25" s="146"/>
      <c r="XEV25" s="146"/>
      <c r="XEW25" s="146"/>
      <c r="XEX25" s="146"/>
      <c r="XEY25" s="146"/>
      <c r="XEZ25" s="146"/>
      <c r="XFA25" s="146"/>
      <c r="XFB25" s="146"/>
    </row>
    <row r="26" spans="1:16382" s="153" customFormat="1" x14ac:dyDescent="0.25">
      <c r="A26" s="150" t="s">
        <v>887</v>
      </c>
      <c r="B26" s="150" t="s">
        <v>881</v>
      </c>
      <c r="C26" s="150" t="s">
        <v>1892</v>
      </c>
      <c r="D26" s="151" t="str">
        <f>IF(MouserListTable[[#This Row],[Vendor]]=FilterSpecs!$A$8,MouserListTable[[#This Row],[Mouser SKU]], MouserListTable[[#This Row],[Supplier SKU]])</f>
        <v>474-WRL-11927</v>
      </c>
      <c r="E26" s="152">
        <f>MouserListTable[[#This Row],[Tot '#]]-MouserListTable[[#This Row],['# Initial]]</f>
        <v>0</v>
      </c>
      <c r="F26" s="152">
        <f>IF(AND(MouserListTable[[#This Row],[Tag]]&lt;&gt;FilterSpecs!$F$12, MouserListTable[[#This Row],[Tag]]&lt;&gt;FilterSpecs!$F$9), MouserListTable[[#This Row],['#/Unit]]*FilterSpecs!$B$3+MouserListTable[[#This Row],[Extra Initial]],0)</f>
        <v>0</v>
      </c>
      <c r="G26" s="147" t="s">
        <v>1482</v>
      </c>
      <c r="H26" s="150" t="s">
        <v>1483</v>
      </c>
      <c r="I26" s="97" t="s">
        <v>1484</v>
      </c>
      <c r="J26" s="97">
        <v>44.95</v>
      </c>
      <c r="K26" s="97">
        <v>44.95</v>
      </c>
      <c r="L26" s="97" t="s">
        <v>1896</v>
      </c>
      <c r="M26" s="97"/>
      <c r="N26" s="154">
        <f>MouserListTable[[#This Row],['# Initial]]*MouserListTable[[#This Row],[Price (USD)]]</f>
        <v>0</v>
      </c>
      <c r="O26" s="97" t="s">
        <v>1481</v>
      </c>
      <c r="P26" s="150">
        <f t="shared" si="0"/>
        <v>13</v>
      </c>
      <c r="Q26" s="150" t="s">
        <v>5</v>
      </c>
      <c r="R2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474-WRL-11927</v>
      </c>
      <c r="S26" s="157" t="str">
        <f>HYPERLINK("https://www.mouser.com/ProductDetail/" &amp;MouserListTable[[#This Row],[Mouser SKU]])</f>
        <v>https://www.mouser.com/ProductDetail/474-WRL-11927</v>
      </c>
      <c r="T26" s="152">
        <v>0</v>
      </c>
      <c r="U26" s="152">
        <v>0</v>
      </c>
      <c r="V26" s="152">
        <v>0</v>
      </c>
      <c r="W26" s="152">
        <f>MouserListTable[[#This Row],['#/Unit]]*FilterSpecs!$C$3+MouserListTable[[#This Row],[Extra]]</f>
        <v>0</v>
      </c>
      <c r="X26" s="152">
        <f>IF(MouserListTable[[#This Row],[Tag]]=FilterSpecs!$F$7,MouserListTable[[#This Row],['#/Unit]]*MouserListTable[[#This Row],[Price (USD)]],0)</f>
        <v>0</v>
      </c>
      <c r="Y26" s="152">
        <f>MouserListTable[[#This Row],[Tot '#]]*MouserListTable[[#This Row],[Price (USD)]]</f>
        <v>0</v>
      </c>
      <c r="Z26" s="146"/>
      <c r="AA26" s="146"/>
      <c r="AB26" s="146"/>
      <c r="AC26" s="146"/>
      <c r="AD26" s="146"/>
      <c r="AE26" s="146"/>
      <c r="AF26" s="146"/>
      <c r="AG26" s="146"/>
      <c r="AH26" s="146"/>
      <c r="AI26" s="146"/>
      <c r="AJ26" s="146"/>
      <c r="AK26" s="146"/>
      <c r="AL26" s="146"/>
      <c r="AM26" s="146"/>
      <c r="AN26" s="146"/>
      <c r="AO26" s="146"/>
      <c r="AP26" s="146"/>
      <c r="AQ26" s="146"/>
      <c r="AR26" s="146"/>
      <c r="AS26" s="146"/>
      <c r="AT26" s="146"/>
      <c r="AU26" s="146"/>
      <c r="AV26" s="146"/>
      <c r="AW26" s="146"/>
      <c r="AX26" s="146"/>
      <c r="AY26" s="146"/>
      <c r="AZ26" s="146"/>
      <c r="BA26" s="146"/>
      <c r="BB26" s="146"/>
      <c r="BC26" s="146"/>
      <c r="BD26" s="146"/>
      <c r="BE26" s="146"/>
      <c r="BF26" s="146"/>
      <c r="BG26" s="146"/>
      <c r="BH26" s="146"/>
      <c r="BI26" s="146"/>
      <c r="BJ26" s="146"/>
      <c r="BK26" s="146"/>
      <c r="BL26" s="146"/>
      <c r="BM26" s="146"/>
      <c r="BN26" s="146"/>
      <c r="BO26" s="146"/>
      <c r="BP26" s="146"/>
      <c r="BQ26" s="146"/>
      <c r="BR26" s="146"/>
      <c r="BS26" s="146"/>
      <c r="BT26" s="146"/>
      <c r="BU26" s="146"/>
      <c r="BV26" s="146"/>
      <c r="BW26" s="146"/>
      <c r="BX26" s="146"/>
      <c r="BY26" s="146"/>
      <c r="BZ26" s="146"/>
      <c r="CA26" s="146"/>
      <c r="CB26" s="146"/>
      <c r="CC26" s="146"/>
      <c r="CD26" s="146"/>
      <c r="CE26" s="146"/>
      <c r="CF26" s="146"/>
      <c r="CG26" s="146"/>
      <c r="CH26" s="146"/>
      <c r="CI26" s="146"/>
      <c r="CJ26" s="146"/>
      <c r="CK26" s="146"/>
      <c r="CL26" s="146"/>
      <c r="CM26" s="146"/>
      <c r="CN26" s="146"/>
      <c r="CO26" s="146"/>
      <c r="CP26" s="146"/>
      <c r="CQ26" s="146"/>
      <c r="CR26" s="146"/>
      <c r="CS26" s="146"/>
      <c r="CT26" s="146"/>
      <c r="CU26" s="146"/>
      <c r="CV26" s="146"/>
      <c r="CW26" s="146"/>
      <c r="CX26" s="146"/>
      <c r="CY26" s="146"/>
      <c r="CZ26" s="146"/>
      <c r="DA26" s="146"/>
      <c r="DB26" s="146"/>
      <c r="DC26" s="146"/>
      <c r="DD26" s="146"/>
      <c r="DE26" s="146"/>
      <c r="DF26" s="146"/>
      <c r="DG26" s="146"/>
      <c r="DH26" s="146"/>
      <c r="DI26" s="146"/>
      <c r="DJ26" s="146"/>
      <c r="DK26" s="146"/>
      <c r="DL26" s="146"/>
      <c r="DM26" s="146"/>
      <c r="DN26" s="146"/>
      <c r="DO26" s="146"/>
      <c r="DP26" s="146"/>
      <c r="DQ26" s="146"/>
      <c r="DR26" s="146"/>
      <c r="DS26" s="146"/>
      <c r="DT26" s="146"/>
      <c r="DU26" s="146"/>
      <c r="DV26" s="146"/>
      <c r="DW26" s="146"/>
      <c r="DX26" s="146"/>
      <c r="DY26" s="146"/>
      <c r="DZ26" s="146"/>
      <c r="EA26" s="146"/>
      <c r="EB26" s="146"/>
      <c r="EC26" s="146"/>
      <c r="ED26" s="146"/>
      <c r="EE26" s="146"/>
      <c r="EF26" s="146"/>
      <c r="EG26" s="146"/>
      <c r="EH26" s="146"/>
      <c r="EI26" s="146"/>
      <c r="EJ26" s="146"/>
      <c r="EK26" s="146"/>
      <c r="EL26" s="146"/>
      <c r="EM26" s="146"/>
      <c r="EN26" s="146"/>
      <c r="EO26" s="146"/>
      <c r="EP26" s="146"/>
      <c r="EQ26" s="146"/>
      <c r="ER26" s="146"/>
      <c r="ES26" s="146"/>
      <c r="ET26" s="146"/>
      <c r="EU26" s="146"/>
      <c r="EV26" s="146"/>
      <c r="EW26" s="146"/>
      <c r="EX26" s="146"/>
      <c r="EY26" s="146"/>
      <c r="EZ26" s="146"/>
      <c r="FA26" s="146"/>
      <c r="FB26" s="146"/>
      <c r="FC26" s="146"/>
      <c r="FD26" s="146"/>
      <c r="FE26" s="146"/>
      <c r="FF26" s="146"/>
      <c r="FG26" s="146"/>
      <c r="FH26" s="146"/>
      <c r="FI26" s="146"/>
      <c r="FJ26" s="146"/>
      <c r="FK26" s="146"/>
      <c r="FL26" s="146"/>
      <c r="FM26" s="146"/>
      <c r="FN26" s="146"/>
      <c r="FO26" s="146"/>
      <c r="FP26" s="146"/>
      <c r="FQ26" s="146"/>
      <c r="FR26" s="146"/>
      <c r="FS26" s="146"/>
      <c r="FT26" s="146"/>
      <c r="FU26" s="146"/>
      <c r="FV26" s="146"/>
      <c r="FW26" s="146"/>
      <c r="FX26" s="146"/>
      <c r="FY26" s="146"/>
      <c r="FZ26" s="146"/>
      <c r="GA26" s="146"/>
      <c r="GB26" s="146"/>
      <c r="GC26" s="146"/>
      <c r="GD26" s="146"/>
      <c r="GE26" s="146"/>
      <c r="GF26" s="146"/>
      <c r="GG26" s="146"/>
      <c r="GH26" s="146"/>
      <c r="GI26" s="146"/>
      <c r="GJ26" s="146"/>
      <c r="GK26" s="146"/>
      <c r="GL26" s="146"/>
      <c r="GM26" s="146"/>
      <c r="GN26" s="146"/>
      <c r="GO26" s="146"/>
      <c r="GP26" s="146"/>
      <c r="GQ26" s="146"/>
      <c r="GR26" s="146"/>
      <c r="GS26" s="146"/>
      <c r="GT26" s="146"/>
      <c r="GU26" s="146"/>
      <c r="GV26" s="146"/>
      <c r="GW26" s="146"/>
      <c r="GX26" s="146"/>
      <c r="GY26" s="146"/>
      <c r="GZ26" s="146"/>
      <c r="HA26" s="146"/>
      <c r="HB26" s="146"/>
      <c r="HC26" s="146"/>
      <c r="HD26" s="146"/>
      <c r="HE26" s="146"/>
      <c r="HF26" s="146"/>
      <c r="HG26" s="146"/>
      <c r="HH26" s="146"/>
      <c r="HI26" s="146"/>
      <c r="HJ26" s="146"/>
      <c r="HK26" s="146"/>
      <c r="HL26" s="146"/>
      <c r="HM26" s="146"/>
      <c r="HN26" s="146"/>
      <c r="HO26" s="146"/>
      <c r="HP26" s="146"/>
      <c r="HQ26" s="146"/>
      <c r="HR26" s="146"/>
      <c r="HS26" s="146"/>
      <c r="HT26" s="146"/>
      <c r="HU26" s="146"/>
      <c r="HV26" s="146"/>
      <c r="HW26" s="146"/>
      <c r="HX26" s="146"/>
      <c r="HY26" s="146"/>
      <c r="HZ26" s="146"/>
      <c r="IA26" s="146"/>
      <c r="IB26" s="146"/>
      <c r="IC26" s="146"/>
      <c r="ID26" s="146"/>
      <c r="IE26" s="146"/>
      <c r="IF26" s="146"/>
      <c r="IG26" s="146"/>
      <c r="IH26" s="146"/>
      <c r="II26" s="146"/>
      <c r="IJ26" s="146"/>
      <c r="IK26" s="146"/>
      <c r="IL26" s="146"/>
      <c r="IM26" s="146"/>
      <c r="IN26" s="146"/>
      <c r="IO26" s="146"/>
      <c r="IP26" s="146"/>
      <c r="IQ26" s="146"/>
      <c r="IR26" s="146"/>
      <c r="IS26" s="146"/>
      <c r="IT26" s="146"/>
      <c r="IU26" s="146"/>
      <c r="IV26" s="146"/>
      <c r="IW26" s="146"/>
      <c r="IX26" s="146"/>
      <c r="IY26" s="146"/>
      <c r="IZ26" s="146"/>
      <c r="JA26" s="146"/>
      <c r="JB26" s="146"/>
      <c r="JC26" s="146"/>
      <c r="JD26" s="146"/>
      <c r="JE26" s="146"/>
      <c r="JF26" s="146"/>
      <c r="JG26" s="146"/>
      <c r="JH26" s="146"/>
      <c r="JI26" s="146"/>
      <c r="JJ26" s="146"/>
      <c r="JK26" s="146"/>
      <c r="JL26" s="146"/>
      <c r="JM26" s="146"/>
      <c r="JN26" s="146"/>
      <c r="JO26" s="146"/>
      <c r="JP26" s="146"/>
      <c r="JQ26" s="146"/>
      <c r="JR26" s="146"/>
      <c r="JS26" s="146"/>
      <c r="JT26" s="146"/>
      <c r="JU26" s="146"/>
      <c r="JV26" s="146"/>
      <c r="JW26" s="146"/>
      <c r="JX26" s="146"/>
      <c r="JY26" s="146"/>
      <c r="JZ26" s="146"/>
      <c r="KA26" s="146"/>
      <c r="KB26" s="146"/>
      <c r="KC26" s="146"/>
      <c r="KD26" s="146"/>
      <c r="KE26" s="146"/>
      <c r="KF26" s="146"/>
      <c r="KG26" s="146"/>
      <c r="KH26" s="146"/>
      <c r="KI26" s="146"/>
      <c r="KJ26" s="146"/>
      <c r="KK26" s="146"/>
      <c r="KL26" s="146"/>
      <c r="KM26" s="146"/>
      <c r="KN26" s="146"/>
      <c r="KO26" s="146"/>
      <c r="KP26" s="146"/>
      <c r="KQ26" s="146"/>
      <c r="KR26" s="146"/>
      <c r="KS26" s="146"/>
      <c r="KT26" s="146"/>
      <c r="KU26" s="146"/>
      <c r="KV26" s="146"/>
      <c r="KW26" s="146"/>
      <c r="KX26" s="146"/>
      <c r="KY26" s="146"/>
      <c r="KZ26" s="146"/>
      <c r="LA26" s="146"/>
      <c r="LB26" s="146"/>
      <c r="LC26" s="146"/>
      <c r="LD26" s="146"/>
      <c r="LE26" s="146"/>
      <c r="LF26" s="146"/>
      <c r="LG26" s="146"/>
      <c r="LH26" s="146"/>
      <c r="LI26" s="146"/>
      <c r="LJ26" s="146"/>
      <c r="LK26" s="146"/>
      <c r="LL26" s="146"/>
      <c r="LM26" s="146"/>
      <c r="LN26" s="146"/>
      <c r="LO26" s="146"/>
      <c r="LP26" s="146"/>
      <c r="LQ26" s="146"/>
      <c r="LR26" s="146"/>
      <c r="LS26" s="146"/>
      <c r="LT26" s="146"/>
      <c r="LU26" s="146"/>
      <c r="LV26" s="146"/>
      <c r="LW26" s="146"/>
      <c r="LX26" s="146"/>
      <c r="LY26" s="146"/>
      <c r="LZ26" s="146"/>
      <c r="MA26" s="146"/>
      <c r="MB26" s="146"/>
      <c r="MC26" s="146"/>
      <c r="MD26" s="146"/>
      <c r="ME26" s="146"/>
      <c r="MF26" s="146"/>
      <c r="MG26" s="146"/>
      <c r="MH26" s="146"/>
      <c r="MI26" s="146"/>
      <c r="MJ26" s="146"/>
      <c r="MK26" s="146"/>
      <c r="ML26" s="146"/>
      <c r="MM26" s="146"/>
      <c r="MN26" s="146"/>
      <c r="MO26" s="146"/>
      <c r="MP26" s="146"/>
      <c r="MQ26" s="146"/>
      <c r="MR26" s="146"/>
      <c r="MS26" s="146"/>
      <c r="MT26" s="146"/>
      <c r="MU26" s="146"/>
      <c r="MV26" s="146"/>
      <c r="MW26" s="146"/>
      <c r="MX26" s="146"/>
      <c r="MY26" s="146"/>
      <c r="MZ26" s="146"/>
      <c r="NA26" s="146"/>
      <c r="NB26" s="146"/>
      <c r="NC26" s="146"/>
      <c r="ND26" s="146"/>
      <c r="NE26" s="146"/>
      <c r="NF26" s="146"/>
      <c r="NG26" s="146"/>
      <c r="NH26" s="146"/>
      <c r="NI26" s="146"/>
      <c r="NJ26" s="146"/>
      <c r="NK26" s="146"/>
      <c r="NL26" s="146"/>
      <c r="NM26" s="146"/>
      <c r="NN26" s="146"/>
      <c r="NO26" s="146"/>
      <c r="NP26" s="146"/>
      <c r="NQ26" s="146"/>
      <c r="NR26" s="146"/>
      <c r="NS26" s="146"/>
      <c r="NT26" s="146"/>
      <c r="NU26" s="146"/>
      <c r="NV26" s="146"/>
      <c r="NW26" s="146"/>
      <c r="NX26" s="146"/>
      <c r="NY26" s="146"/>
      <c r="NZ26" s="146"/>
      <c r="OA26" s="146"/>
      <c r="OB26" s="146"/>
      <c r="OC26" s="146"/>
      <c r="OD26" s="146"/>
      <c r="OE26" s="146"/>
      <c r="OF26" s="146"/>
      <c r="OG26" s="146"/>
      <c r="OH26" s="146"/>
      <c r="OI26" s="146"/>
      <c r="OJ26" s="146"/>
      <c r="OK26" s="146"/>
      <c r="OL26" s="146"/>
      <c r="OM26" s="146"/>
      <c r="ON26" s="146"/>
      <c r="OO26" s="146"/>
      <c r="OP26" s="146"/>
      <c r="OQ26" s="146"/>
      <c r="OR26" s="146"/>
      <c r="OS26" s="146"/>
      <c r="OT26" s="146"/>
      <c r="OU26" s="146"/>
      <c r="OV26" s="146"/>
      <c r="OW26" s="146"/>
      <c r="OX26" s="146"/>
      <c r="OY26" s="146"/>
      <c r="OZ26" s="146"/>
      <c r="PA26" s="146"/>
      <c r="PB26" s="146"/>
      <c r="PC26" s="146"/>
      <c r="PD26" s="146"/>
      <c r="PE26" s="146"/>
      <c r="PF26" s="146"/>
      <c r="PG26" s="146"/>
      <c r="PH26" s="146"/>
      <c r="PI26" s="146"/>
      <c r="PJ26" s="146"/>
      <c r="PK26" s="146"/>
      <c r="PL26" s="146"/>
      <c r="PM26" s="146"/>
      <c r="PN26" s="146"/>
      <c r="PO26" s="146"/>
      <c r="PP26" s="146"/>
      <c r="PQ26" s="146"/>
      <c r="PR26" s="146"/>
      <c r="PS26" s="146"/>
      <c r="PT26" s="146"/>
      <c r="PU26" s="146"/>
      <c r="PV26" s="146"/>
      <c r="PW26" s="146"/>
      <c r="PX26" s="146"/>
      <c r="PY26" s="146"/>
      <c r="PZ26" s="146"/>
      <c r="QA26" s="146"/>
      <c r="QB26" s="146"/>
      <c r="QC26" s="146"/>
      <c r="QD26" s="146"/>
      <c r="QE26" s="146"/>
      <c r="QF26" s="146"/>
      <c r="QG26" s="146"/>
      <c r="QH26" s="146"/>
      <c r="QI26" s="146"/>
      <c r="QJ26" s="146"/>
      <c r="QK26" s="146"/>
      <c r="QL26" s="146"/>
      <c r="QM26" s="146"/>
      <c r="QN26" s="146"/>
      <c r="QO26" s="146"/>
      <c r="QP26" s="146"/>
      <c r="QQ26" s="146"/>
      <c r="QR26" s="146"/>
      <c r="QS26" s="146"/>
      <c r="QT26" s="146"/>
      <c r="QU26" s="146"/>
      <c r="QV26" s="146"/>
      <c r="QW26" s="146"/>
      <c r="QX26" s="146"/>
      <c r="QY26" s="146"/>
      <c r="QZ26" s="146"/>
      <c r="RA26" s="146"/>
      <c r="RB26" s="146"/>
      <c r="RC26" s="146"/>
      <c r="RD26" s="146"/>
      <c r="RE26" s="146"/>
      <c r="RF26" s="146"/>
      <c r="RG26" s="146"/>
      <c r="RH26" s="146"/>
      <c r="RI26" s="146"/>
      <c r="RJ26" s="146"/>
      <c r="RK26" s="146"/>
      <c r="RL26" s="146"/>
      <c r="RM26" s="146"/>
      <c r="RN26" s="146"/>
      <c r="RO26" s="146"/>
      <c r="RP26" s="146"/>
      <c r="RQ26" s="146"/>
      <c r="RR26" s="146"/>
      <c r="RS26" s="146"/>
      <c r="RT26" s="146"/>
      <c r="RU26" s="146"/>
      <c r="RV26" s="146"/>
      <c r="RW26" s="146"/>
      <c r="RX26" s="146"/>
      <c r="RY26" s="146"/>
      <c r="RZ26" s="146"/>
      <c r="SA26" s="146"/>
      <c r="SB26" s="146"/>
      <c r="SC26" s="146"/>
      <c r="SD26" s="146"/>
      <c r="SE26" s="146"/>
      <c r="SF26" s="146"/>
      <c r="SG26" s="146"/>
      <c r="SH26" s="146"/>
      <c r="SI26" s="146"/>
      <c r="SJ26" s="146"/>
      <c r="SK26" s="146"/>
      <c r="SL26" s="146"/>
      <c r="SM26" s="146"/>
      <c r="SN26" s="146"/>
      <c r="SO26" s="146"/>
      <c r="SP26" s="146"/>
      <c r="SQ26" s="146"/>
      <c r="SR26" s="146"/>
      <c r="SS26" s="146"/>
      <c r="ST26" s="146"/>
      <c r="SU26" s="146"/>
      <c r="SV26" s="146"/>
      <c r="SW26" s="146"/>
      <c r="SX26" s="146"/>
      <c r="SY26" s="146"/>
      <c r="SZ26" s="146"/>
      <c r="TA26" s="146"/>
      <c r="TB26" s="146"/>
      <c r="TC26" s="146"/>
      <c r="TD26" s="146"/>
      <c r="TE26" s="146"/>
      <c r="TF26" s="146"/>
      <c r="TG26" s="146"/>
      <c r="TH26" s="146"/>
      <c r="TI26" s="146"/>
      <c r="TJ26" s="146"/>
      <c r="TK26" s="146"/>
      <c r="TL26" s="146"/>
      <c r="TM26" s="146"/>
      <c r="TN26" s="146"/>
      <c r="TO26" s="146"/>
      <c r="TP26" s="146"/>
      <c r="TQ26" s="146"/>
      <c r="TR26" s="146"/>
      <c r="TS26" s="146"/>
      <c r="TT26" s="146"/>
      <c r="TU26" s="146"/>
      <c r="TV26" s="146"/>
      <c r="TW26" s="146"/>
      <c r="TX26" s="146"/>
      <c r="TY26" s="146"/>
      <c r="TZ26" s="146"/>
      <c r="UA26" s="146"/>
      <c r="UB26" s="146"/>
      <c r="UC26" s="146"/>
      <c r="UD26" s="146"/>
      <c r="UE26" s="146"/>
      <c r="UF26" s="146"/>
      <c r="UG26" s="146"/>
      <c r="UH26" s="146"/>
      <c r="UI26" s="146"/>
      <c r="UJ26" s="146"/>
      <c r="UK26" s="146"/>
      <c r="UL26" s="146"/>
      <c r="UM26" s="146"/>
      <c r="UN26" s="146"/>
      <c r="UO26" s="146"/>
      <c r="UP26" s="146"/>
      <c r="UQ26" s="146"/>
      <c r="UR26" s="146"/>
      <c r="US26" s="146"/>
      <c r="UT26" s="146"/>
      <c r="UU26" s="146"/>
      <c r="UV26" s="146"/>
      <c r="UW26" s="146"/>
      <c r="UX26" s="146"/>
      <c r="UY26" s="146"/>
      <c r="UZ26" s="146"/>
      <c r="VA26" s="146"/>
      <c r="VB26" s="146"/>
      <c r="VC26" s="146"/>
      <c r="VD26" s="146"/>
      <c r="VE26" s="146"/>
      <c r="VF26" s="146"/>
      <c r="VG26" s="146"/>
      <c r="VH26" s="146"/>
      <c r="VI26" s="146"/>
      <c r="VJ26" s="146"/>
      <c r="VK26" s="146"/>
      <c r="VL26" s="146"/>
      <c r="VM26" s="146"/>
      <c r="VN26" s="146"/>
      <c r="VO26" s="146"/>
      <c r="VP26" s="146"/>
      <c r="VQ26" s="146"/>
      <c r="VR26" s="146"/>
      <c r="VS26" s="146"/>
      <c r="VT26" s="146"/>
      <c r="VU26" s="146"/>
      <c r="VV26" s="146"/>
      <c r="VW26" s="146"/>
      <c r="VX26" s="146"/>
      <c r="VY26" s="146"/>
      <c r="VZ26" s="146"/>
      <c r="WA26" s="146"/>
      <c r="WB26" s="146"/>
      <c r="WC26" s="146"/>
      <c r="WD26" s="146"/>
      <c r="WE26" s="146"/>
      <c r="WF26" s="146"/>
      <c r="WG26" s="146"/>
      <c r="WH26" s="146"/>
      <c r="WI26" s="146"/>
      <c r="WJ26" s="146"/>
      <c r="WK26" s="146"/>
      <c r="WL26" s="146"/>
      <c r="WM26" s="146"/>
      <c r="WN26" s="146"/>
      <c r="WO26" s="146"/>
      <c r="WP26" s="146"/>
      <c r="WQ26" s="146"/>
      <c r="WR26" s="146"/>
      <c r="WS26" s="146"/>
      <c r="WT26" s="146"/>
      <c r="WU26" s="146"/>
      <c r="WV26" s="146"/>
      <c r="WW26" s="146"/>
      <c r="WX26" s="146"/>
      <c r="WY26" s="146"/>
      <c r="WZ26" s="146"/>
      <c r="XA26" s="146"/>
      <c r="XB26" s="146"/>
      <c r="XC26" s="146"/>
      <c r="XD26" s="146"/>
      <c r="XE26" s="146"/>
      <c r="XF26" s="146"/>
      <c r="XG26" s="146"/>
      <c r="XH26" s="146"/>
      <c r="XI26" s="146"/>
      <c r="XJ26" s="146"/>
      <c r="XK26" s="146"/>
      <c r="XL26" s="146"/>
      <c r="XM26" s="146"/>
      <c r="XN26" s="146"/>
      <c r="XO26" s="146"/>
      <c r="XP26" s="146"/>
      <c r="XQ26" s="146"/>
      <c r="XR26" s="146"/>
      <c r="XS26" s="146"/>
      <c r="XT26" s="146"/>
      <c r="XU26" s="146"/>
      <c r="XV26" s="146"/>
      <c r="XW26" s="146"/>
      <c r="XX26" s="146"/>
      <c r="XY26" s="146"/>
      <c r="XZ26" s="146"/>
      <c r="YA26" s="146"/>
      <c r="YB26" s="146"/>
      <c r="YC26" s="146"/>
      <c r="YD26" s="146"/>
      <c r="YE26" s="146"/>
      <c r="YF26" s="146"/>
      <c r="YG26" s="146"/>
      <c r="YH26" s="146"/>
      <c r="YI26" s="146"/>
      <c r="YJ26" s="146"/>
      <c r="YK26" s="146"/>
      <c r="YL26" s="146"/>
      <c r="YM26" s="146"/>
      <c r="YN26" s="146"/>
      <c r="YO26" s="146"/>
      <c r="YP26" s="146"/>
      <c r="YQ26" s="146"/>
      <c r="YR26" s="146"/>
      <c r="YS26" s="146"/>
      <c r="YT26" s="146"/>
      <c r="YU26" s="146"/>
      <c r="YV26" s="146"/>
      <c r="YW26" s="146"/>
      <c r="YX26" s="146"/>
      <c r="YY26" s="146"/>
      <c r="YZ26" s="146"/>
      <c r="ZA26" s="146"/>
      <c r="ZB26" s="146"/>
      <c r="ZC26" s="146"/>
      <c r="ZD26" s="146"/>
      <c r="ZE26" s="146"/>
      <c r="ZF26" s="146"/>
      <c r="ZG26" s="146"/>
      <c r="ZH26" s="146"/>
      <c r="ZI26" s="146"/>
      <c r="ZJ26" s="146"/>
      <c r="ZK26" s="146"/>
      <c r="ZL26" s="146"/>
      <c r="ZM26" s="146"/>
      <c r="ZN26" s="146"/>
      <c r="ZO26" s="146"/>
      <c r="ZP26" s="146"/>
      <c r="ZQ26" s="146"/>
      <c r="ZR26" s="146"/>
      <c r="ZS26" s="146"/>
      <c r="ZT26" s="146"/>
      <c r="ZU26" s="146"/>
      <c r="ZV26" s="146"/>
      <c r="ZW26" s="146"/>
      <c r="ZX26" s="146"/>
      <c r="ZY26" s="146"/>
      <c r="ZZ26" s="146"/>
      <c r="AAA26" s="146"/>
      <c r="AAB26" s="146"/>
      <c r="AAC26" s="146"/>
      <c r="AAD26" s="146"/>
      <c r="AAE26" s="146"/>
      <c r="AAF26" s="146"/>
      <c r="AAG26" s="146"/>
      <c r="AAH26" s="146"/>
      <c r="AAI26" s="146"/>
      <c r="AAJ26" s="146"/>
      <c r="AAK26" s="146"/>
      <c r="AAL26" s="146"/>
      <c r="AAM26" s="146"/>
      <c r="AAN26" s="146"/>
      <c r="AAO26" s="146"/>
      <c r="AAP26" s="146"/>
      <c r="AAQ26" s="146"/>
      <c r="AAR26" s="146"/>
      <c r="AAS26" s="146"/>
      <c r="AAT26" s="146"/>
      <c r="AAU26" s="146"/>
      <c r="AAV26" s="146"/>
      <c r="AAW26" s="146"/>
      <c r="AAX26" s="146"/>
      <c r="AAY26" s="146"/>
      <c r="AAZ26" s="146"/>
      <c r="ABA26" s="146"/>
      <c r="ABB26" s="146"/>
      <c r="ABC26" s="146"/>
      <c r="ABD26" s="146"/>
      <c r="ABE26" s="146"/>
      <c r="ABF26" s="146"/>
      <c r="ABG26" s="146"/>
      <c r="ABH26" s="146"/>
      <c r="ABI26" s="146"/>
      <c r="ABJ26" s="146"/>
      <c r="ABK26" s="146"/>
      <c r="ABL26" s="146"/>
      <c r="ABM26" s="146"/>
      <c r="ABN26" s="146"/>
      <c r="ABO26" s="146"/>
      <c r="ABP26" s="146"/>
      <c r="ABQ26" s="146"/>
      <c r="ABR26" s="146"/>
      <c r="ABS26" s="146"/>
      <c r="ABT26" s="146"/>
      <c r="ABU26" s="146"/>
      <c r="ABV26" s="146"/>
      <c r="ABW26" s="146"/>
      <c r="ABX26" s="146"/>
      <c r="ABY26" s="146"/>
      <c r="ABZ26" s="146"/>
      <c r="ACA26" s="146"/>
      <c r="ACB26" s="146"/>
      <c r="ACC26" s="146"/>
      <c r="ACD26" s="146"/>
      <c r="ACE26" s="146"/>
      <c r="ACF26" s="146"/>
      <c r="ACG26" s="146"/>
      <c r="ACH26" s="146"/>
      <c r="ACI26" s="146"/>
      <c r="ACJ26" s="146"/>
      <c r="ACK26" s="146"/>
      <c r="ACL26" s="146"/>
      <c r="ACM26" s="146"/>
      <c r="ACN26" s="146"/>
      <c r="ACO26" s="146"/>
      <c r="ACP26" s="146"/>
      <c r="ACQ26" s="146"/>
      <c r="ACR26" s="146"/>
      <c r="ACS26" s="146"/>
      <c r="ACT26" s="146"/>
      <c r="ACU26" s="146"/>
      <c r="ACV26" s="146"/>
      <c r="ACW26" s="146"/>
      <c r="ACX26" s="146"/>
      <c r="ACY26" s="146"/>
      <c r="ACZ26" s="146"/>
      <c r="ADA26" s="146"/>
      <c r="ADB26" s="146"/>
      <c r="ADC26" s="146"/>
      <c r="ADD26" s="146"/>
      <c r="ADE26" s="146"/>
      <c r="ADF26" s="146"/>
      <c r="ADG26" s="146"/>
      <c r="ADH26" s="146"/>
      <c r="ADI26" s="146"/>
      <c r="ADJ26" s="146"/>
      <c r="ADK26" s="146"/>
      <c r="ADL26" s="146"/>
      <c r="ADM26" s="146"/>
      <c r="ADN26" s="146"/>
      <c r="ADO26" s="146"/>
      <c r="ADP26" s="146"/>
      <c r="ADQ26" s="146"/>
      <c r="ADR26" s="146"/>
      <c r="ADS26" s="146"/>
      <c r="ADT26" s="146"/>
      <c r="ADU26" s="146"/>
      <c r="ADV26" s="146"/>
      <c r="ADW26" s="146"/>
      <c r="ADX26" s="146"/>
      <c r="ADY26" s="146"/>
      <c r="ADZ26" s="146"/>
      <c r="AEA26" s="146"/>
      <c r="AEB26" s="146"/>
      <c r="AEC26" s="146"/>
      <c r="AED26" s="146"/>
      <c r="AEE26" s="146"/>
      <c r="AEF26" s="146"/>
      <c r="AEG26" s="146"/>
      <c r="AEH26" s="146"/>
      <c r="AEI26" s="146"/>
      <c r="AEJ26" s="146"/>
      <c r="AEK26" s="146"/>
      <c r="AEL26" s="146"/>
      <c r="AEM26" s="146"/>
      <c r="AEN26" s="146"/>
      <c r="AEO26" s="146"/>
      <c r="AEP26" s="146"/>
      <c r="AEQ26" s="146"/>
      <c r="AER26" s="146"/>
      <c r="AES26" s="146"/>
      <c r="AET26" s="146"/>
      <c r="AEU26" s="146"/>
      <c r="AEV26" s="146"/>
      <c r="AEW26" s="146"/>
      <c r="AEX26" s="146"/>
      <c r="AEY26" s="146"/>
      <c r="AEZ26" s="146"/>
      <c r="AFA26" s="146"/>
      <c r="AFB26" s="146"/>
      <c r="AFC26" s="146"/>
      <c r="AFD26" s="146"/>
      <c r="AFE26" s="146"/>
      <c r="AFF26" s="146"/>
      <c r="AFG26" s="146"/>
      <c r="AFH26" s="146"/>
      <c r="AFI26" s="146"/>
      <c r="AFJ26" s="146"/>
      <c r="AFK26" s="146"/>
      <c r="AFL26" s="146"/>
      <c r="AFM26" s="146"/>
      <c r="AFN26" s="146"/>
      <c r="AFO26" s="146"/>
      <c r="AFP26" s="146"/>
      <c r="AFQ26" s="146"/>
      <c r="AFR26" s="146"/>
      <c r="AFS26" s="146"/>
      <c r="AFT26" s="146"/>
      <c r="AFU26" s="146"/>
      <c r="AFV26" s="146"/>
      <c r="AFW26" s="146"/>
      <c r="AFX26" s="146"/>
      <c r="AFY26" s="146"/>
      <c r="AFZ26" s="146"/>
      <c r="AGA26" s="146"/>
      <c r="AGB26" s="146"/>
      <c r="AGC26" s="146"/>
      <c r="AGD26" s="146"/>
      <c r="AGE26" s="146"/>
      <c r="AGF26" s="146"/>
      <c r="AGG26" s="146"/>
      <c r="AGH26" s="146"/>
      <c r="AGI26" s="146"/>
      <c r="AGJ26" s="146"/>
      <c r="AGK26" s="146"/>
      <c r="AGL26" s="146"/>
      <c r="AGM26" s="146"/>
      <c r="AGN26" s="146"/>
      <c r="AGO26" s="146"/>
      <c r="AGP26" s="146"/>
      <c r="AGQ26" s="146"/>
      <c r="AGR26" s="146"/>
      <c r="AGS26" s="146"/>
      <c r="AGT26" s="146"/>
      <c r="AGU26" s="146"/>
      <c r="AGV26" s="146"/>
      <c r="AGW26" s="146"/>
      <c r="AGX26" s="146"/>
      <c r="AGY26" s="146"/>
      <c r="AGZ26" s="146"/>
      <c r="AHA26" s="146"/>
      <c r="AHB26" s="146"/>
      <c r="AHC26" s="146"/>
      <c r="AHD26" s="146"/>
      <c r="AHE26" s="146"/>
      <c r="AHF26" s="146"/>
      <c r="AHG26" s="146"/>
      <c r="AHH26" s="146"/>
      <c r="AHI26" s="146"/>
      <c r="AHJ26" s="146"/>
      <c r="AHK26" s="146"/>
      <c r="AHL26" s="146"/>
      <c r="AHM26" s="146"/>
      <c r="AHN26" s="146"/>
      <c r="AHO26" s="146"/>
      <c r="AHP26" s="146"/>
      <c r="AHQ26" s="146"/>
      <c r="AHR26" s="146"/>
      <c r="AHS26" s="146"/>
      <c r="AHT26" s="146"/>
      <c r="AHU26" s="146"/>
      <c r="AHV26" s="146"/>
      <c r="AHW26" s="146"/>
      <c r="AHX26" s="146"/>
      <c r="AHY26" s="146"/>
      <c r="AHZ26" s="146"/>
      <c r="AIA26" s="146"/>
      <c r="AIB26" s="146"/>
      <c r="AIC26" s="146"/>
      <c r="AID26" s="146"/>
      <c r="AIE26" s="146"/>
      <c r="AIF26" s="146"/>
      <c r="AIG26" s="146"/>
      <c r="AIH26" s="146"/>
      <c r="AII26" s="146"/>
      <c r="AIJ26" s="146"/>
      <c r="AIK26" s="146"/>
      <c r="AIL26" s="146"/>
      <c r="AIM26" s="146"/>
      <c r="AIN26" s="146"/>
      <c r="AIO26" s="146"/>
      <c r="AIP26" s="146"/>
      <c r="AIQ26" s="146"/>
      <c r="AIR26" s="146"/>
      <c r="AIS26" s="146"/>
      <c r="AIT26" s="146"/>
      <c r="AIU26" s="146"/>
      <c r="AIV26" s="146"/>
      <c r="AIW26" s="146"/>
      <c r="AIX26" s="146"/>
      <c r="AIY26" s="146"/>
      <c r="AIZ26" s="146"/>
      <c r="AJA26" s="146"/>
      <c r="AJB26" s="146"/>
      <c r="AJC26" s="146"/>
      <c r="AJD26" s="146"/>
      <c r="AJE26" s="146"/>
      <c r="AJF26" s="146"/>
      <c r="AJG26" s="146"/>
      <c r="AJH26" s="146"/>
      <c r="AJI26" s="146"/>
      <c r="AJJ26" s="146"/>
      <c r="AJK26" s="146"/>
      <c r="AJL26" s="146"/>
      <c r="AJM26" s="146"/>
      <c r="AJN26" s="146"/>
      <c r="AJO26" s="146"/>
      <c r="AJP26" s="146"/>
      <c r="AJQ26" s="146"/>
      <c r="AJR26" s="146"/>
      <c r="AJS26" s="146"/>
      <c r="AJT26" s="146"/>
      <c r="AJU26" s="146"/>
      <c r="AJV26" s="146"/>
      <c r="AJW26" s="146"/>
      <c r="AJX26" s="146"/>
      <c r="AJY26" s="146"/>
      <c r="AJZ26" s="146"/>
      <c r="AKA26" s="146"/>
      <c r="AKB26" s="146"/>
      <c r="AKC26" s="146"/>
      <c r="AKD26" s="146"/>
      <c r="AKE26" s="146"/>
      <c r="AKF26" s="146"/>
      <c r="AKG26" s="146"/>
      <c r="AKH26" s="146"/>
      <c r="AKI26" s="146"/>
      <c r="AKJ26" s="146"/>
      <c r="AKK26" s="146"/>
      <c r="AKL26" s="146"/>
      <c r="AKM26" s="146"/>
      <c r="AKN26" s="146"/>
      <c r="AKO26" s="146"/>
      <c r="AKP26" s="146"/>
      <c r="AKQ26" s="146"/>
      <c r="AKR26" s="146"/>
      <c r="AKS26" s="146"/>
      <c r="AKT26" s="146"/>
      <c r="AKU26" s="146"/>
      <c r="AKV26" s="146"/>
      <c r="AKW26" s="146"/>
      <c r="AKX26" s="146"/>
      <c r="AKY26" s="146"/>
      <c r="AKZ26" s="146"/>
      <c r="ALA26" s="146"/>
      <c r="ALB26" s="146"/>
      <c r="ALC26" s="146"/>
      <c r="ALD26" s="146"/>
      <c r="ALE26" s="146"/>
      <c r="ALF26" s="146"/>
      <c r="ALG26" s="146"/>
      <c r="ALH26" s="146"/>
      <c r="ALI26" s="146"/>
      <c r="ALJ26" s="146"/>
      <c r="ALK26" s="146"/>
      <c r="ALL26" s="146"/>
      <c r="ALM26" s="146"/>
      <c r="ALN26" s="146"/>
      <c r="ALO26" s="146"/>
      <c r="ALP26" s="146"/>
      <c r="ALQ26" s="146"/>
      <c r="ALR26" s="146"/>
      <c r="ALS26" s="146"/>
      <c r="ALT26" s="146"/>
      <c r="ALU26" s="146"/>
      <c r="ALV26" s="146"/>
      <c r="ALW26" s="146"/>
      <c r="ALX26" s="146"/>
      <c r="ALY26" s="146"/>
      <c r="ALZ26" s="146"/>
      <c r="AMA26" s="146"/>
      <c r="AMB26" s="146"/>
      <c r="AMC26" s="146"/>
      <c r="AMD26" s="146"/>
      <c r="AME26" s="146"/>
      <c r="AMF26" s="146"/>
      <c r="AMG26" s="146"/>
      <c r="AMH26" s="146"/>
      <c r="AMI26" s="146"/>
      <c r="AMJ26" s="146"/>
      <c r="AMK26" s="146"/>
      <c r="AML26" s="146"/>
      <c r="AMM26" s="146"/>
      <c r="AMN26" s="146"/>
      <c r="AMO26" s="146"/>
      <c r="AMP26" s="146"/>
      <c r="AMQ26" s="146"/>
      <c r="AMR26" s="146"/>
      <c r="AMS26" s="146"/>
      <c r="AMT26" s="146"/>
      <c r="AMU26" s="146"/>
      <c r="AMV26" s="146"/>
      <c r="AMW26" s="146"/>
      <c r="AMX26" s="146"/>
      <c r="AMY26" s="146"/>
      <c r="AMZ26" s="146"/>
      <c r="ANA26" s="146"/>
      <c r="ANB26" s="146"/>
      <c r="ANC26" s="146"/>
      <c r="AND26" s="146"/>
      <c r="ANE26" s="146"/>
      <c r="ANF26" s="146"/>
      <c r="ANG26" s="146"/>
      <c r="ANH26" s="146"/>
      <c r="ANI26" s="146"/>
      <c r="ANJ26" s="146"/>
      <c r="ANK26" s="146"/>
      <c r="ANL26" s="146"/>
      <c r="ANM26" s="146"/>
      <c r="ANN26" s="146"/>
      <c r="ANO26" s="146"/>
      <c r="ANP26" s="146"/>
      <c r="ANQ26" s="146"/>
      <c r="ANR26" s="146"/>
      <c r="ANS26" s="146"/>
      <c r="ANT26" s="146"/>
      <c r="ANU26" s="146"/>
      <c r="ANV26" s="146"/>
      <c r="ANW26" s="146"/>
      <c r="ANX26" s="146"/>
      <c r="ANY26" s="146"/>
      <c r="ANZ26" s="146"/>
      <c r="AOA26" s="146"/>
      <c r="AOB26" s="146"/>
      <c r="AOC26" s="146"/>
      <c r="AOD26" s="146"/>
      <c r="AOE26" s="146"/>
      <c r="AOF26" s="146"/>
      <c r="AOG26" s="146"/>
      <c r="AOH26" s="146"/>
      <c r="AOI26" s="146"/>
      <c r="AOJ26" s="146"/>
      <c r="AOK26" s="146"/>
      <c r="AOL26" s="146"/>
      <c r="AOM26" s="146"/>
      <c r="AON26" s="146"/>
      <c r="AOO26" s="146"/>
      <c r="AOP26" s="146"/>
      <c r="AOQ26" s="146"/>
      <c r="AOR26" s="146"/>
      <c r="AOS26" s="146"/>
      <c r="AOT26" s="146"/>
      <c r="AOU26" s="146"/>
      <c r="AOV26" s="146"/>
      <c r="AOW26" s="146"/>
      <c r="AOX26" s="146"/>
      <c r="AOY26" s="146"/>
      <c r="AOZ26" s="146"/>
      <c r="APA26" s="146"/>
      <c r="APB26" s="146"/>
      <c r="APC26" s="146"/>
      <c r="APD26" s="146"/>
      <c r="APE26" s="146"/>
      <c r="APF26" s="146"/>
      <c r="APG26" s="146"/>
      <c r="APH26" s="146"/>
      <c r="API26" s="146"/>
      <c r="APJ26" s="146"/>
      <c r="APK26" s="146"/>
      <c r="APL26" s="146"/>
      <c r="APM26" s="146"/>
      <c r="APN26" s="146"/>
      <c r="APO26" s="146"/>
      <c r="APP26" s="146"/>
      <c r="APQ26" s="146"/>
      <c r="APR26" s="146"/>
      <c r="APS26" s="146"/>
      <c r="APT26" s="146"/>
      <c r="APU26" s="146"/>
      <c r="APV26" s="146"/>
      <c r="APW26" s="146"/>
      <c r="APX26" s="146"/>
      <c r="APY26" s="146"/>
      <c r="APZ26" s="146"/>
      <c r="AQA26" s="146"/>
      <c r="AQB26" s="146"/>
      <c r="AQC26" s="146"/>
      <c r="AQD26" s="146"/>
      <c r="AQE26" s="146"/>
      <c r="AQF26" s="146"/>
      <c r="AQG26" s="146"/>
      <c r="AQH26" s="146"/>
      <c r="AQI26" s="146"/>
      <c r="AQJ26" s="146"/>
      <c r="AQK26" s="146"/>
      <c r="AQL26" s="146"/>
      <c r="AQM26" s="146"/>
      <c r="AQN26" s="146"/>
      <c r="AQO26" s="146"/>
      <c r="AQP26" s="146"/>
      <c r="AQQ26" s="146"/>
      <c r="AQR26" s="146"/>
      <c r="AQS26" s="146"/>
      <c r="AQT26" s="146"/>
      <c r="AQU26" s="146"/>
      <c r="AQV26" s="146"/>
      <c r="AQW26" s="146"/>
      <c r="AQX26" s="146"/>
      <c r="AQY26" s="146"/>
      <c r="AQZ26" s="146"/>
      <c r="ARA26" s="146"/>
      <c r="ARB26" s="146"/>
      <c r="ARC26" s="146"/>
      <c r="ARD26" s="146"/>
      <c r="ARE26" s="146"/>
      <c r="ARF26" s="146"/>
      <c r="ARG26" s="146"/>
      <c r="ARH26" s="146"/>
      <c r="ARI26" s="146"/>
      <c r="ARJ26" s="146"/>
      <c r="ARK26" s="146"/>
      <c r="ARL26" s="146"/>
      <c r="ARM26" s="146"/>
      <c r="ARN26" s="146"/>
      <c r="ARO26" s="146"/>
      <c r="ARP26" s="146"/>
      <c r="ARQ26" s="146"/>
      <c r="ARR26" s="146"/>
      <c r="ARS26" s="146"/>
      <c r="ART26" s="146"/>
      <c r="ARU26" s="146"/>
      <c r="ARV26" s="146"/>
      <c r="ARW26" s="146"/>
      <c r="ARX26" s="146"/>
      <c r="ARY26" s="146"/>
      <c r="ARZ26" s="146"/>
      <c r="ASA26" s="146"/>
      <c r="ASB26" s="146"/>
      <c r="ASC26" s="146"/>
      <c r="ASD26" s="146"/>
      <c r="ASE26" s="146"/>
      <c r="ASF26" s="146"/>
      <c r="ASG26" s="146"/>
      <c r="ASH26" s="146"/>
      <c r="ASI26" s="146"/>
      <c r="ASJ26" s="146"/>
      <c r="ASK26" s="146"/>
      <c r="ASL26" s="146"/>
      <c r="ASM26" s="146"/>
      <c r="ASN26" s="146"/>
      <c r="ASO26" s="146"/>
      <c r="ASP26" s="146"/>
      <c r="ASQ26" s="146"/>
      <c r="ASR26" s="146"/>
      <c r="ASS26" s="146"/>
      <c r="AST26" s="146"/>
      <c r="ASU26" s="146"/>
      <c r="ASV26" s="146"/>
      <c r="ASW26" s="146"/>
      <c r="ASX26" s="146"/>
      <c r="ASY26" s="146"/>
      <c r="ASZ26" s="146"/>
      <c r="ATA26" s="146"/>
      <c r="ATB26" s="146"/>
      <c r="ATC26" s="146"/>
      <c r="ATD26" s="146"/>
      <c r="ATE26" s="146"/>
      <c r="ATF26" s="146"/>
      <c r="ATG26" s="146"/>
      <c r="ATH26" s="146"/>
      <c r="ATI26" s="146"/>
      <c r="ATJ26" s="146"/>
      <c r="ATK26" s="146"/>
      <c r="ATL26" s="146"/>
      <c r="ATM26" s="146"/>
      <c r="ATN26" s="146"/>
      <c r="ATO26" s="146"/>
      <c r="ATP26" s="146"/>
      <c r="ATQ26" s="146"/>
      <c r="ATR26" s="146"/>
      <c r="ATS26" s="146"/>
      <c r="ATT26" s="146"/>
      <c r="ATU26" s="146"/>
      <c r="ATV26" s="146"/>
      <c r="ATW26" s="146"/>
      <c r="ATX26" s="146"/>
      <c r="ATY26" s="146"/>
      <c r="ATZ26" s="146"/>
      <c r="AUA26" s="146"/>
      <c r="AUB26" s="146"/>
      <c r="AUC26" s="146"/>
      <c r="AUD26" s="146"/>
      <c r="AUE26" s="146"/>
      <c r="AUF26" s="146"/>
      <c r="AUG26" s="146"/>
      <c r="AUH26" s="146"/>
      <c r="AUI26" s="146"/>
      <c r="AUJ26" s="146"/>
      <c r="AUK26" s="146"/>
      <c r="AUL26" s="146"/>
      <c r="AUM26" s="146"/>
      <c r="AUN26" s="146"/>
      <c r="AUO26" s="146"/>
      <c r="AUP26" s="146"/>
      <c r="AUQ26" s="146"/>
      <c r="AUR26" s="146"/>
      <c r="AUS26" s="146"/>
      <c r="AUT26" s="146"/>
      <c r="AUU26" s="146"/>
      <c r="AUV26" s="146"/>
      <c r="AUW26" s="146"/>
      <c r="AUX26" s="146"/>
      <c r="AUY26" s="146"/>
      <c r="AUZ26" s="146"/>
      <c r="AVA26" s="146"/>
      <c r="AVB26" s="146"/>
      <c r="AVC26" s="146"/>
      <c r="AVD26" s="146"/>
      <c r="AVE26" s="146"/>
      <c r="AVF26" s="146"/>
      <c r="AVG26" s="146"/>
      <c r="AVH26" s="146"/>
      <c r="AVI26" s="146"/>
      <c r="AVJ26" s="146"/>
      <c r="AVK26" s="146"/>
      <c r="AVL26" s="146"/>
      <c r="AVM26" s="146"/>
      <c r="AVN26" s="146"/>
      <c r="AVO26" s="146"/>
      <c r="AVP26" s="146"/>
      <c r="AVQ26" s="146"/>
      <c r="AVR26" s="146"/>
      <c r="AVS26" s="146"/>
      <c r="AVT26" s="146"/>
      <c r="AVU26" s="146"/>
      <c r="AVV26" s="146"/>
      <c r="AVW26" s="146"/>
      <c r="AVX26" s="146"/>
      <c r="AVY26" s="146"/>
      <c r="AVZ26" s="146"/>
      <c r="AWA26" s="146"/>
      <c r="AWB26" s="146"/>
      <c r="AWC26" s="146"/>
      <c r="AWD26" s="146"/>
      <c r="AWE26" s="146"/>
      <c r="AWF26" s="146"/>
      <c r="AWG26" s="146"/>
      <c r="AWH26" s="146"/>
      <c r="AWI26" s="146"/>
      <c r="AWJ26" s="146"/>
      <c r="AWK26" s="146"/>
      <c r="AWL26" s="146"/>
      <c r="AWM26" s="146"/>
      <c r="AWN26" s="146"/>
      <c r="AWO26" s="146"/>
      <c r="AWP26" s="146"/>
      <c r="AWQ26" s="146"/>
      <c r="AWR26" s="146"/>
      <c r="AWS26" s="146"/>
      <c r="AWT26" s="146"/>
      <c r="AWU26" s="146"/>
      <c r="AWV26" s="146"/>
      <c r="AWW26" s="146"/>
      <c r="AWX26" s="146"/>
      <c r="AWY26" s="146"/>
      <c r="AWZ26" s="146"/>
      <c r="AXA26" s="146"/>
      <c r="AXB26" s="146"/>
      <c r="AXC26" s="146"/>
      <c r="AXD26" s="146"/>
      <c r="AXE26" s="146"/>
      <c r="AXF26" s="146"/>
      <c r="AXG26" s="146"/>
      <c r="AXH26" s="146"/>
      <c r="AXI26" s="146"/>
      <c r="AXJ26" s="146"/>
      <c r="AXK26" s="146"/>
      <c r="AXL26" s="146"/>
      <c r="AXM26" s="146"/>
      <c r="AXN26" s="146"/>
      <c r="AXO26" s="146"/>
      <c r="AXP26" s="146"/>
      <c r="AXQ26" s="146"/>
      <c r="AXR26" s="146"/>
      <c r="AXS26" s="146"/>
      <c r="AXT26" s="146"/>
      <c r="AXU26" s="146"/>
      <c r="AXV26" s="146"/>
      <c r="AXW26" s="146"/>
      <c r="AXX26" s="146"/>
      <c r="AXY26" s="146"/>
      <c r="AXZ26" s="146"/>
      <c r="AYA26" s="146"/>
      <c r="AYB26" s="146"/>
      <c r="AYC26" s="146"/>
      <c r="AYD26" s="146"/>
      <c r="AYE26" s="146"/>
      <c r="AYF26" s="146"/>
      <c r="AYG26" s="146"/>
      <c r="AYH26" s="146"/>
      <c r="AYI26" s="146"/>
      <c r="AYJ26" s="146"/>
      <c r="AYK26" s="146"/>
      <c r="AYL26" s="146"/>
      <c r="AYM26" s="146"/>
      <c r="AYN26" s="146"/>
      <c r="AYO26" s="146"/>
      <c r="AYP26" s="146"/>
      <c r="AYQ26" s="146"/>
      <c r="AYR26" s="146"/>
      <c r="AYS26" s="146"/>
      <c r="AYT26" s="146"/>
      <c r="AYU26" s="146"/>
      <c r="AYV26" s="146"/>
      <c r="AYW26" s="146"/>
      <c r="AYX26" s="146"/>
      <c r="AYY26" s="146"/>
      <c r="AYZ26" s="146"/>
      <c r="AZA26" s="146"/>
      <c r="AZB26" s="146"/>
      <c r="AZC26" s="146"/>
      <c r="AZD26" s="146"/>
      <c r="AZE26" s="146"/>
      <c r="AZF26" s="146"/>
      <c r="AZG26" s="146"/>
      <c r="AZH26" s="146"/>
      <c r="AZI26" s="146"/>
      <c r="AZJ26" s="146"/>
      <c r="AZK26" s="146"/>
      <c r="AZL26" s="146"/>
      <c r="AZM26" s="146"/>
      <c r="AZN26" s="146"/>
      <c r="AZO26" s="146"/>
      <c r="AZP26" s="146"/>
      <c r="AZQ26" s="146"/>
      <c r="AZR26" s="146"/>
      <c r="AZS26" s="146"/>
      <c r="AZT26" s="146"/>
      <c r="AZU26" s="146"/>
      <c r="AZV26" s="146"/>
      <c r="AZW26" s="146"/>
      <c r="AZX26" s="146"/>
      <c r="AZY26" s="146"/>
      <c r="AZZ26" s="146"/>
      <c r="BAA26" s="146"/>
      <c r="BAB26" s="146"/>
      <c r="BAC26" s="146"/>
      <c r="BAD26" s="146"/>
      <c r="BAE26" s="146"/>
      <c r="BAF26" s="146"/>
      <c r="BAG26" s="146"/>
      <c r="BAH26" s="146"/>
      <c r="BAI26" s="146"/>
      <c r="BAJ26" s="146"/>
      <c r="BAK26" s="146"/>
      <c r="BAL26" s="146"/>
      <c r="BAM26" s="146"/>
      <c r="BAN26" s="146"/>
      <c r="BAO26" s="146"/>
      <c r="BAP26" s="146"/>
      <c r="BAQ26" s="146"/>
      <c r="BAR26" s="146"/>
      <c r="BAS26" s="146"/>
      <c r="BAT26" s="146"/>
      <c r="BAU26" s="146"/>
      <c r="BAV26" s="146"/>
      <c r="BAW26" s="146"/>
      <c r="BAX26" s="146"/>
      <c r="BAY26" s="146"/>
      <c r="BAZ26" s="146"/>
      <c r="BBA26" s="146"/>
      <c r="BBB26" s="146"/>
      <c r="BBC26" s="146"/>
      <c r="BBD26" s="146"/>
      <c r="BBE26" s="146"/>
      <c r="BBF26" s="146"/>
      <c r="BBG26" s="146"/>
      <c r="BBH26" s="146"/>
      <c r="BBI26" s="146"/>
      <c r="BBJ26" s="146"/>
      <c r="BBK26" s="146"/>
      <c r="BBL26" s="146"/>
      <c r="BBM26" s="146"/>
      <c r="BBN26" s="146"/>
      <c r="BBO26" s="146"/>
      <c r="BBP26" s="146"/>
      <c r="BBQ26" s="146"/>
      <c r="BBR26" s="146"/>
      <c r="BBS26" s="146"/>
      <c r="BBT26" s="146"/>
      <c r="BBU26" s="146"/>
      <c r="BBV26" s="146"/>
      <c r="BBW26" s="146"/>
      <c r="BBX26" s="146"/>
      <c r="BBY26" s="146"/>
      <c r="BBZ26" s="146"/>
      <c r="BCA26" s="146"/>
      <c r="BCB26" s="146"/>
      <c r="BCC26" s="146"/>
      <c r="BCD26" s="146"/>
      <c r="BCE26" s="146"/>
      <c r="BCF26" s="146"/>
      <c r="BCG26" s="146"/>
      <c r="BCH26" s="146"/>
      <c r="BCI26" s="146"/>
      <c r="BCJ26" s="146"/>
      <c r="BCK26" s="146"/>
      <c r="BCL26" s="146"/>
      <c r="BCM26" s="146"/>
      <c r="BCN26" s="146"/>
      <c r="BCO26" s="146"/>
      <c r="BCP26" s="146"/>
      <c r="BCQ26" s="146"/>
      <c r="BCR26" s="146"/>
      <c r="BCS26" s="146"/>
      <c r="BCT26" s="146"/>
      <c r="BCU26" s="146"/>
      <c r="BCV26" s="146"/>
      <c r="BCW26" s="146"/>
      <c r="BCX26" s="146"/>
      <c r="BCY26" s="146"/>
      <c r="BCZ26" s="146"/>
      <c r="BDA26" s="146"/>
      <c r="BDB26" s="146"/>
      <c r="BDC26" s="146"/>
      <c r="BDD26" s="146"/>
      <c r="BDE26" s="146"/>
      <c r="BDF26" s="146"/>
      <c r="BDG26" s="146"/>
      <c r="BDH26" s="146"/>
      <c r="BDI26" s="146"/>
      <c r="BDJ26" s="146"/>
      <c r="BDK26" s="146"/>
      <c r="BDL26" s="146"/>
      <c r="BDM26" s="146"/>
      <c r="BDN26" s="146"/>
      <c r="BDO26" s="146"/>
      <c r="BDP26" s="146"/>
      <c r="BDQ26" s="146"/>
      <c r="BDR26" s="146"/>
      <c r="BDS26" s="146"/>
      <c r="BDT26" s="146"/>
      <c r="BDU26" s="146"/>
      <c r="BDV26" s="146"/>
      <c r="BDW26" s="146"/>
      <c r="BDX26" s="146"/>
      <c r="BDY26" s="146"/>
      <c r="BDZ26" s="146"/>
      <c r="BEA26" s="146"/>
      <c r="BEB26" s="146"/>
      <c r="BEC26" s="146"/>
      <c r="BED26" s="146"/>
      <c r="BEE26" s="146"/>
      <c r="BEF26" s="146"/>
      <c r="BEG26" s="146"/>
      <c r="BEH26" s="146"/>
      <c r="BEI26" s="146"/>
      <c r="BEJ26" s="146"/>
      <c r="BEK26" s="146"/>
      <c r="BEL26" s="146"/>
      <c r="BEM26" s="146"/>
      <c r="BEN26" s="146"/>
      <c r="BEO26" s="146"/>
      <c r="BEP26" s="146"/>
      <c r="BEQ26" s="146"/>
      <c r="BER26" s="146"/>
      <c r="BES26" s="146"/>
      <c r="BET26" s="146"/>
      <c r="BEU26" s="146"/>
      <c r="BEV26" s="146"/>
      <c r="BEW26" s="146"/>
      <c r="BEX26" s="146"/>
      <c r="BEY26" s="146"/>
      <c r="BEZ26" s="146"/>
      <c r="BFA26" s="146"/>
      <c r="BFB26" s="146"/>
      <c r="BFC26" s="146"/>
      <c r="BFD26" s="146"/>
      <c r="BFE26" s="146"/>
      <c r="BFF26" s="146"/>
      <c r="BFG26" s="146"/>
      <c r="BFH26" s="146"/>
      <c r="BFI26" s="146"/>
      <c r="BFJ26" s="146"/>
      <c r="BFK26" s="146"/>
      <c r="BFL26" s="146"/>
      <c r="BFM26" s="146"/>
      <c r="BFN26" s="146"/>
      <c r="BFO26" s="146"/>
      <c r="BFP26" s="146"/>
      <c r="BFQ26" s="146"/>
      <c r="BFR26" s="146"/>
      <c r="BFS26" s="146"/>
      <c r="BFT26" s="146"/>
      <c r="BFU26" s="146"/>
      <c r="BFV26" s="146"/>
      <c r="BFW26" s="146"/>
      <c r="BFX26" s="146"/>
      <c r="BFY26" s="146"/>
      <c r="BFZ26" s="146"/>
      <c r="BGA26" s="146"/>
      <c r="BGB26" s="146"/>
      <c r="BGC26" s="146"/>
      <c r="BGD26" s="146"/>
      <c r="BGE26" s="146"/>
      <c r="BGF26" s="146"/>
      <c r="BGG26" s="146"/>
      <c r="BGH26" s="146"/>
      <c r="BGI26" s="146"/>
      <c r="BGJ26" s="146"/>
      <c r="BGK26" s="146"/>
      <c r="BGL26" s="146"/>
      <c r="BGM26" s="146"/>
      <c r="BGN26" s="146"/>
      <c r="BGO26" s="146"/>
      <c r="BGP26" s="146"/>
      <c r="BGQ26" s="146"/>
      <c r="BGR26" s="146"/>
      <c r="BGS26" s="146"/>
      <c r="BGT26" s="146"/>
      <c r="BGU26" s="146"/>
      <c r="BGV26" s="146"/>
      <c r="BGW26" s="146"/>
      <c r="BGX26" s="146"/>
      <c r="BGY26" s="146"/>
      <c r="BGZ26" s="146"/>
      <c r="BHA26" s="146"/>
      <c r="BHB26" s="146"/>
      <c r="BHC26" s="146"/>
      <c r="BHD26" s="146"/>
      <c r="BHE26" s="146"/>
      <c r="BHF26" s="146"/>
      <c r="BHG26" s="146"/>
      <c r="BHH26" s="146"/>
      <c r="BHI26" s="146"/>
      <c r="BHJ26" s="146"/>
      <c r="BHK26" s="146"/>
      <c r="BHL26" s="146"/>
      <c r="BHM26" s="146"/>
      <c r="BHN26" s="146"/>
      <c r="BHO26" s="146"/>
      <c r="BHP26" s="146"/>
      <c r="BHQ26" s="146"/>
      <c r="BHR26" s="146"/>
      <c r="BHS26" s="146"/>
      <c r="BHT26" s="146"/>
      <c r="BHU26" s="146"/>
      <c r="BHV26" s="146"/>
      <c r="BHW26" s="146"/>
      <c r="BHX26" s="146"/>
      <c r="BHY26" s="146"/>
      <c r="BHZ26" s="146"/>
      <c r="BIA26" s="146"/>
      <c r="BIB26" s="146"/>
      <c r="BIC26" s="146"/>
      <c r="BID26" s="146"/>
      <c r="BIE26" s="146"/>
      <c r="BIF26" s="146"/>
      <c r="BIG26" s="146"/>
      <c r="BIH26" s="146"/>
      <c r="BII26" s="146"/>
      <c r="BIJ26" s="146"/>
      <c r="BIK26" s="146"/>
      <c r="BIL26" s="146"/>
      <c r="BIM26" s="146"/>
      <c r="BIN26" s="146"/>
      <c r="BIO26" s="146"/>
      <c r="BIP26" s="146"/>
      <c r="BIQ26" s="146"/>
      <c r="BIR26" s="146"/>
      <c r="BIS26" s="146"/>
      <c r="BIT26" s="146"/>
      <c r="BIU26" s="146"/>
      <c r="BIV26" s="146"/>
      <c r="BIW26" s="146"/>
      <c r="BIX26" s="146"/>
      <c r="BIY26" s="146"/>
      <c r="BIZ26" s="146"/>
      <c r="BJA26" s="146"/>
      <c r="BJB26" s="146"/>
      <c r="BJC26" s="146"/>
      <c r="BJD26" s="146"/>
      <c r="BJE26" s="146"/>
      <c r="BJF26" s="146"/>
      <c r="BJG26" s="146"/>
      <c r="BJH26" s="146"/>
      <c r="BJI26" s="146"/>
      <c r="BJJ26" s="146"/>
      <c r="BJK26" s="146"/>
      <c r="BJL26" s="146"/>
      <c r="BJM26" s="146"/>
      <c r="BJN26" s="146"/>
      <c r="BJO26" s="146"/>
      <c r="BJP26" s="146"/>
      <c r="BJQ26" s="146"/>
      <c r="BJR26" s="146"/>
      <c r="BJS26" s="146"/>
      <c r="BJT26" s="146"/>
      <c r="BJU26" s="146"/>
      <c r="BJV26" s="146"/>
      <c r="BJW26" s="146"/>
      <c r="BJX26" s="146"/>
      <c r="BJY26" s="146"/>
      <c r="BJZ26" s="146"/>
      <c r="BKA26" s="146"/>
      <c r="BKB26" s="146"/>
      <c r="BKC26" s="146"/>
      <c r="BKD26" s="146"/>
      <c r="BKE26" s="146"/>
      <c r="BKF26" s="146"/>
      <c r="BKG26" s="146"/>
      <c r="BKH26" s="146"/>
      <c r="BKI26" s="146"/>
      <c r="BKJ26" s="146"/>
      <c r="BKK26" s="146"/>
      <c r="BKL26" s="146"/>
      <c r="BKM26" s="146"/>
      <c r="BKN26" s="146"/>
      <c r="BKO26" s="146"/>
      <c r="BKP26" s="146"/>
      <c r="BKQ26" s="146"/>
      <c r="BKR26" s="146"/>
      <c r="BKS26" s="146"/>
      <c r="BKT26" s="146"/>
      <c r="BKU26" s="146"/>
      <c r="BKV26" s="146"/>
      <c r="BKW26" s="146"/>
      <c r="BKX26" s="146"/>
      <c r="BKY26" s="146"/>
      <c r="BKZ26" s="146"/>
      <c r="BLA26" s="146"/>
      <c r="BLB26" s="146"/>
      <c r="BLC26" s="146"/>
      <c r="BLD26" s="146"/>
      <c r="BLE26" s="146"/>
      <c r="BLF26" s="146"/>
      <c r="BLG26" s="146"/>
      <c r="BLH26" s="146"/>
      <c r="BLI26" s="146"/>
      <c r="BLJ26" s="146"/>
      <c r="BLK26" s="146"/>
      <c r="BLL26" s="146"/>
      <c r="BLM26" s="146"/>
      <c r="BLN26" s="146"/>
      <c r="BLO26" s="146"/>
      <c r="BLP26" s="146"/>
      <c r="BLQ26" s="146"/>
      <c r="BLR26" s="146"/>
      <c r="BLS26" s="146"/>
      <c r="BLT26" s="146"/>
      <c r="BLU26" s="146"/>
      <c r="BLV26" s="146"/>
      <c r="BLW26" s="146"/>
      <c r="BLX26" s="146"/>
      <c r="BLY26" s="146"/>
      <c r="BLZ26" s="146"/>
      <c r="BMA26" s="146"/>
      <c r="BMB26" s="146"/>
      <c r="BMC26" s="146"/>
      <c r="BMD26" s="146"/>
      <c r="BME26" s="146"/>
      <c r="BMF26" s="146"/>
      <c r="BMG26" s="146"/>
      <c r="BMH26" s="146"/>
      <c r="BMI26" s="146"/>
      <c r="BMJ26" s="146"/>
      <c r="BMK26" s="146"/>
      <c r="BML26" s="146"/>
      <c r="BMM26" s="146"/>
      <c r="BMN26" s="146"/>
      <c r="BMO26" s="146"/>
      <c r="BMP26" s="146"/>
      <c r="BMQ26" s="146"/>
      <c r="BMR26" s="146"/>
      <c r="BMS26" s="146"/>
      <c r="BMT26" s="146"/>
      <c r="BMU26" s="146"/>
      <c r="BMV26" s="146"/>
      <c r="BMW26" s="146"/>
      <c r="BMX26" s="146"/>
      <c r="BMY26" s="146"/>
      <c r="BMZ26" s="146"/>
      <c r="BNA26" s="146"/>
      <c r="BNB26" s="146"/>
      <c r="BNC26" s="146"/>
      <c r="BND26" s="146"/>
      <c r="BNE26" s="146"/>
      <c r="BNF26" s="146"/>
      <c r="BNG26" s="146"/>
      <c r="BNH26" s="146"/>
      <c r="BNI26" s="146"/>
      <c r="BNJ26" s="146"/>
      <c r="BNK26" s="146"/>
      <c r="BNL26" s="146"/>
      <c r="BNM26" s="146"/>
      <c r="BNN26" s="146"/>
      <c r="BNO26" s="146"/>
      <c r="BNP26" s="146"/>
      <c r="BNQ26" s="146"/>
      <c r="BNR26" s="146"/>
      <c r="BNS26" s="146"/>
      <c r="BNT26" s="146"/>
      <c r="BNU26" s="146"/>
      <c r="BNV26" s="146"/>
      <c r="BNW26" s="146"/>
      <c r="BNX26" s="146"/>
      <c r="BNY26" s="146"/>
      <c r="BNZ26" s="146"/>
      <c r="BOA26" s="146"/>
      <c r="BOB26" s="146"/>
      <c r="BOC26" s="146"/>
      <c r="BOD26" s="146"/>
      <c r="BOE26" s="146"/>
      <c r="BOF26" s="146"/>
      <c r="BOG26" s="146"/>
      <c r="BOH26" s="146"/>
      <c r="BOI26" s="146"/>
      <c r="BOJ26" s="146"/>
      <c r="BOK26" s="146"/>
      <c r="BOL26" s="146"/>
      <c r="BOM26" s="146"/>
      <c r="BON26" s="146"/>
      <c r="BOO26" s="146"/>
      <c r="BOP26" s="146"/>
      <c r="BOQ26" s="146"/>
      <c r="BOR26" s="146"/>
      <c r="BOS26" s="146"/>
      <c r="BOT26" s="146"/>
      <c r="BOU26" s="146"/>
      <c r="BOV26" s="146"/>
      <c r="BOW26" s="146"/>
      <c r="BOX26" s="146"/>
      <c r="BOY26" s="146"/>
      <c r="BOZ26" s="146"/>
      <c r="BPA26" s="146"/>
      <c r="BPB26" s="146"/>
      <c r="BPC26" s="146"/>
      <c r="BPD26" s="146"/>
      <c r="BPE26" s="146"/>
      <c r="BPF26" s="146"/>
      <c r="BPG26" s="146"/>
      <c r="BPH26" s="146"/>
      <c r="BPI26" s="146"/>
      <c r="BPJ26" s="146"/>
      <c r="BPK26" s="146"/>
      <c r="BPL26" s="146"/>
      <c r="BPM26" s="146"/>
      <c r="BPN26" s="146"/>
      <c r="BPO26" s="146"/>
      <c r="BPP26" s="146"/>
      <c r="BPQ26" s="146"/>
      <c r="BPR26" s="146"/>
      <c r="BPS26" s="146"/>
      <c r="BPT26" s="146"/>
      <c r="BPU26" s="146"/>
      <c r="BPV26" s="146"/>
      <c r="BPW26" s="146"/>
      <c r="BPX26" s="146"/>
      <c r="BPY26" s="146"/>
      <c r="BPZ26" s="146"/>
      <c r="BQA26" s="146"/>
      <c r="BQB26" s="146"/>
      <c r="BQC26" s="146"/>
      <c r="BQD26" s="146"/>
      <c r="BQE26" s="146"/>
      <c r="BQF26" s="146"/>
      <c r="BQG26" s="146"/>
      <c r="BQH26" s="146"/>
      <c r="BQI26" s="146"/>
      <c r="BQJ26" s="146"/>
      <c r="BQK26" s="146"/>
      <c r="BQL26" s="146"/>
      <c r="BQM26" s="146"/>
      <c r="BQN26" s="146"/>
      <c r="BQO26" s="146"/>
      <c r="BQP26" s="146"/>
      <c r="BQQ26" s="146"/>
      <c r="BQR26" s="146"/>
      <c r="BQS26" s="146"/>
      <c r="BQT26" s="146"/>
      <c r="BQU26" s="146"/>
      <c r="BQV26" s="146"/>
      <c r="BQW26" s="146"/>
      <c r="BQX26" s="146"/>
      <c r="BQY26" s="146"/>
      <c r="BQZ26" s="146"/>
      <c r="BRA26" s="146"/>
      <c r="BRB26" s="146"/>
      <c r="BRC26" s="146"/>
      <c r="BRD26" s="146"/>
      <c r="BRE26" s="146"/>
      <c r="BRF26" s="146"/>
      <c r="BRG26" s="146"/>
      <c r="BRH26" s="146"/>
      <c r="BRI26" s="146"/>
      <c r="BRJ26" s="146"/>
      <c r="BRK26" s="146"/>
      <c r="BRL26" s="146"/>
      <c r="BRM26" s="146"/>
      <c r="BRN26" s="146"/>
      <c r="BRO26" s="146"/>
      <c r="BRP26" s="146"/>
      <c r="BRQ26" s="146"/>
      <c r="BRR26" s="146"/>
      <c r="BRS26" s="146"/>
      <c r="BRT26" s="146"/>
      <c r="BRU26" s="146"/>
      <c r="BRV26" s="146"/>
      <c r="BRW26" s="146"/>
      <c r="BRX26" s="146"/>
      <c r="BRY26" s="146"/>
      <c r="BRZ26" s="146"/>
      <c r="BSA26" s="146"/>
      <c r="BSB26" s="146"/>
      <c r="BSC26" s="146"/>
      <c r="BSD26" s="146"/>
      <c r="BSE26" s="146"/>
      <c r="BSF26" s="146"/>
      <c r="BSG26" s="146"/>
      <c r="BSH26" s="146"/>
      <c r="BSI26" s="146"/>
      <c r="BSJ26" s="146"/>
      <c r="BSK26" s="146"/>
      <c r="BSL26" s="146"/>
      <c r="BSM26" s="146"/>
      <c r="BSN26" s="146"/>
      <c r="BSO26" s="146"/>
      <c r="BSP26" s="146"/>
      <c r="BSQ26" s="146"/>
      <c r="BSR26" s="146"/>
      <c r="BSS26" s="146"/>
      <c r="BST26" s="146"/>
      <c r="BSU26" s="146"/>
      <c r="BSV26" s="146"/>
      <c r="BSW26" s="146"/>
      <c r="BSX26" s="146"/>
      <c r="BSY26" s="146"/>
      <c r="BSZ26" s="146"/>
      <c r="BTA26" s="146"/>
      <c r="BTB26" s="146"/>
      <c r="BTC26" s="146"/>
      <c r="BTD26" s="146"/>
      <c r="BTE26" s="146"/>
      <c r="BTF26" s="146"/>
      <c r="BTG26" s="146"/>
      <c r="BTH26" s="146"/>
      <c r="BTI26" s="146"/>
      <c r="BTJ26" s="146"/>
      <c r="BTK26" s="146"/>
      <c r="BTL26" s="146"/>
      <c r="BTM26" s="146"/>
      <c r="BTN26" s="146"/>
      <c r="BTO26" s="146"/>
      <c r="BTP26" s="146"/>
      <c r="BTQ26" s="146"/>
      <c r="BTR26" s="146"/>
      <c r="BTS26" s="146"/>
      <c r="BTT26" s="146"/>
      <c r="BTU26" s="146"/>
      <c r="BTV26" s="146"/>
      <c r="BTW26" s="146"/>
      <c r="BTX26" s="146"/>
      <c r="BTY26" s="146"/>
      <c r="BTZ26" s="146"/>
      <c r="BUA26" s="146"/>
      <c r="BUB26" s="146"/>
      <c r="BUC26" s="146"/>
      <c r="BUD26" s="146"/>
      <c r="BUE26" s="146"/>
      <c r="BUF26" s="146"/>
      <c r="BUG26" s="146"/>
      <c r="BUH26" s="146"/>
      <c r="BUI26" s="146"/>
      <c r="BUJ26" s="146"/>
      <c r="BUK26" s="146"/>
      <c r="BUL26" s="146"/>
      <c r="BUM26" s="146"/>
      <c r="BUN26" s="146"/>
      <c r="BUO26" s="146"/>
      <c r="BUP26" s="146"/>
      <c r="BUQ26" s="146"/>
      <c r="BUR26" s="146"/>
      <c r="BUS26" s="146"/>
      <c r="BUT26" s="146"/>
      <c r="BUU26" s="146"/>
      <c r="BUV26" s="146"/>
      <c r="BUW26" s="146"/>
      <c r="BUX26" s="146"/>
      <c r="BUY26" s="146"/>
      <c r="BUZ26" s="146"/>
      <c r="BVA26" s="146"/>
      <c r="BVB26" s="146"/>
      <c r="BVC26" s="146"/>
      <c r="BVD26" s="146"/>
      <c r="BVE26" s="146"/>
      <c r="BVF26" s="146"/>
      <c r="BVG26" s="146"/>
      <c r="BVH26" s="146"/>
      <c r="BVI26" s="146"/>
      <c r="BVJ26" s="146"/>
      <c r="BVK26" s="146"/>
      <c r="BVL26" s="146"/>
      <c r="BVM26" s="146"/>
      <c r="BVN26" s="146"/>
      <c r="BVO26" s="146"/>
      <c r="BVP26" s="146"/>
      <c r="BVQ26" s="146"/>
      <c r="BVR26" s="146"/>
      <c r="BVS26" s="146"/>
      <c r="BVT26" s="146"/>
      <c r="BVU26" s="146"/>
      <c r="BVV26" s="146"/>
      <c r="BVW26" s="146"/>
      <c r="BVX26" s="146"/>
      <c r="BVY26" s="146"/>
      <c r="BVZ26" s="146"/>
      <c r="BWA26" s="146"/>
      <c r="BWB26" s="146"/>
      <c r="BWC26" s="146"/>
      <c r="BWD26" s="146"/>
      <c r="BWE26" s="146"/>
      <c r="BWF26" s="146"/>
      <c r="BWG26" s="146"/>
      <c r="BWH26" s="146"/>
      <c r="BWI26" s="146"/>
      <c r="BWJ26" s="146"/>
      <c r="BWK26" s="146"/>
      <c r="BWL26" s="146"/>
      <c r="BWM26" s="146"/>
      <c r="BWN26" s="146"/>
      <c r="BWO26" s="146"/>
      <c r="BWP26" s="146"/>
      <c r="BWQ26" s="146"/>
      <c r="BWR26" s="146"/>
      <c r="BWS26" s="146"/>
      <c r="BWT26" s="146"/>
      <c r="BWU26" s="146"/>
      <c r="BWV26" s="146"/>
      <c r="BWW26" s="146"/>
      <c r="BWX26" s="146"/>
      <c r="BWY26" s="146"/>
      <c r="BWZ26" s="146"/>
      <c r="BXA26" s="146"/>
      <c r="BXB26" s="146"/>
      <c r="BXC26" s="146"/>
      <c r="BXD26" s="146"/>
      <c r="BXE26" s="146"/>
      <c r="BXF26" s="146"/>
      <c r="BXG26" s="146"/>
      <c r="BXH26" s="146"/>
      <c r="BXI26" s="146"/>
      <c r="BXJ26" s="146"/>
      <c r="BXK26" s="146"/>
      <c r="BXL26" s="146"/>
      <c r="BXM26" s="146"/>
      <c r="BXN26" s="146"/>
      <c r="BXO26" s="146"/>
      <c r="BXP26" s="146"/>
      <c r="BXQ26" s="146"/>
      <c r="BXR26" s="146"/>
      <c r="BXS26" s="146"/>
      <c r="BXT26" s="146"/>
      <c r="BXU26" s="146"/>
      <c r="BXV26" s="146"/>
      <c r="BXW26" s="146"/>
      <c r="BXX26" s="146"/>
      <c r="BXY26" s="146"/>
      <c r="BXZ26" s="146"/>
      <c r="BYA26" s="146"/>
      <c r="BYB26" s="146"/>
      <c r="BYC26" s="146"/>
      <c r="BYD26" s="146"/>
      <c r="BYE26" s="146"/>
      <c r="BYF26" s="146"/>
      <c r="BYG26" s="146"/>
      <c r="BYH26" s="146"/>
      <c r="BYI26" s="146"/>
      <c r="BYJ26" s="146"/>
      <c r="BYK26" s="146"/>
      <c r="BYL26" s="146"/>
      <c r="BYM26" s="146"/>
      <c r="BYN26" s="146"/>
      <c r="BYO26" s="146"/>
      <c r="BYP26" s="146"/>
      <c r="BYQ26" s="146"/>
      <c r="BYR26" s="146"/>
      <c r="BYS26" s="146"/>
      <c r="BYT26" s="146"/>
      <c r="BYU26" s="146"/>
      <c r="BYV26" s="146"/>
      <c r="BYW26" s="146"/>
      <c r="BYX26" s="146"/>
      <c r="BYY26" s="146"/>
      <c r="BYZ26" s="146"/>
      <c r="BZA26" s="146"/>
      <c r="BZB26" s="146"/>
      <c r="BZC26" s="146"/>
      <c r="BZD26" s="146"/>
      <c r="BZE26" s="146"/>
      <c r="BZF26" s="146"/>
      <c r="BZG26" s="146"/>
      <c r="BZH26" s="146"/>
      <c r="BZI26" s="146"/>
      <c r="BZJ26" s="146"/>
      <c r="BZK26" s="146"/>
      <c r="BZL26" s="146"/>
      <c r="BZM26" s="146"/>
      <c r="BZN26" s="146"/>
      <c r="BZO26" s="146"/>
      <c r="BZP26" s="146"/>
      <c r="BZQ26" s="146"/>
      <c r="BZR26" s="146"/>
      <c r="BZS26" s="146"/>
      <c r="BZT26" s="146"/>
      <c r="BZU26" s="146"/>
      <c r="BZV26" s="146"/>
      <c r="BZW26" s="146"/>
      <c r="BZX26" s="146"/>
      <c r="BZY26" s="146"/>
      <c r="BZZ26" s="146"/>
      <c r="CAA26" s="146"/>
      <c r="CAB26" s="146"/>
      <c r="CAC26" s="146"/>
      <c r="CAD26" s="146"/>
      <c r="CAE26" s="146"/>
      <c r="CAF26" s="146"/>
      <c r="CAG26" s="146"/>
      <c r="CAH26" s="146"/>
      <c r="CAI26" s="146"/>
      <c r="CAJ26" s="146"/>
      <c r="CAK26" s="146"/>
      <c r="CAL26" s="146"/>
      <c r="CAM26" s="146"/>
      <c r="CAN26" s="146"/>
      <c r="CAO26" s="146"/>
      <c r="CAP26" s="146"/>
      <c r="CAQ26" s="146"/>
      <c r="CAR26" s="146"/>
      <c r="CAS26" s="146"/>
      <c r="CAT26" s="146"/>
      <c r="CAU26" s="146"/>
      <c r="CAV26" s="146"/>
      <c r="CAW26" s="146"/>
      <c r="CAX26" s="146"/>
      <c r="CAY26" s="146"/>
      <c r="CAZ26" s="146"/>
      <c r="CBA26" s="146"/>
      <c r="CBB26" s="146"/>
      <c r="CBC26" s="146"/>
      <c r="CBD26" s="146"/>
      <c r="CBE26" s="146"/>
      <c r="CBF26" s="146"/>
      <c r="CBG26" s="146"/>
      <c r="CBH26" s="146"/>
      <c r="CBI26" s="146"/>
      <c r="CBJ26" s="146"/>
      <c r="CBK26" s="146"/>
      <c r="CBL26" s="146"/>
      <c r="CBM26" s="146"/>
      <c r="CBN26" s="146"/>
      <c r="CBO26" s="146"/>
      <c r="CBP26" s="146"/>
      <c r="CBQ26" s="146"/>
      <c r="CBR26" s="146"/>
      <c r="CBS26" s="146"/>
      <c r="CBT26" s="146"/>
      <c r="CBU26" s="146"/>
      <c r="CBV26" s="146"/>
      <c r="CBW26" s="146"/>
      <c r="CBX26" s="146"/>
      <c r="CBY26" s="146"/>
      <c r="CBZ26" s="146"/>
      <c r="CCA26" s="146"/>
      <c r="CCB26" s="146"/>
      <c r="CCC26" s="146"/>
      <c r="CCD26" s="146"/>
      <c r="CCE26" s="146"/>
      <c r="CCF26" s="146"/>
      <c r="CCG26" s="146"/>
      <c r="CCH26" s="146"/>
      <c r="CCI26" s="146"/>
      <c r="CCJ26" s="146"/>
      <c r="CCK26" s="146"/>
      <c r="CCL26" s="146"/>
      <c r="CCM26" s="146"/>
      <c r="CCN26" s="146"/>
      <c r="CCO26" s="146"/>
      <c r="CCP26" s="146"/>
      <c r="CCQ26" s="146"/>
      <c r="CCR26" s="146"/>
      <c r="CCS26" s="146"/>
      <c r="CCT26" s="146"/>
      <c r="CCU26" s="146"/>
      <c r="CCV26" s="146"/>
      <c r="CCW26" s="146"/>
      <c r="CCX26" s="146"/>
      <c r="CCY26" s="146"/>
      <c r="CCZ26" s="146"/>
      <c r="CDA26" s="146"/>
      <c r="CDB26" s="146"/>
      <c r="CDC26" s="146"/>
      <c r="CDD26" s="146"/>
      <c r="CDE26" s="146"/>
      <c r="CDF26" s="146"/>
      <c r="CDG26" s="146"/>
      <c r="CDH26" s="146"/>
      <c r="CDI26" s="146"/>
      <c r="CDJ26" s="146"/>
      <c r="CDK26" s="146"/>
      <c r="CDL26" s="146"/>
      <c r="CDM26" s="146"/>
      <c r="CDN26" s="146"/>
      <c r="CDO26" s="146"/>
      <c r="CDP26" s="146"/>
      <c r="CDQ26" s="146"/>
      <c r="CDR26" s="146"/>
      <c r="CDS26" s="146"/>
      <c r="CDT26" s="146"/>
      <c r="CDU26" s="146"/>
      <c r="CDV26" s="146"/>
      <c r="CDW26" s="146"/>
      <c r="CDX26" s="146"/>
      <c r="CDY26" s="146"/>
      <c r="CDZ26" s="146"/>
      <c r="CEA26" s="146"/>
      <c r="CEB26" s="146"/>
      <c r="CEC26" s="146"/>
      <c r="CED26" s="146"/>
      <c r="CEE26" s="146"/>
      <c r="CEF26" s="146"/>
      <c r="CEG26" s="146"/>
      <c r="CEH26" s="146"/>
      <c r="CEI26" s="146"/>
      <c r="CEJ26" s="146"/>
      <c r="CEK26" s="146"/>
      <c r="CEL26" s="146"/>
      <c r="CEM26" s="146"/>
      <c r="CEN26" s="146"/>
      <c r="CEO26" s="146"/>
      <c r="CEP26" s="146"/>
      <c r="CEQ26" s="146"/>
      <c r="CER26" s="146"/>
      <c r="CES26" s="146"/>
      <c r="CET26" s="146"/>
      <c r="CEU26" s="146"/>
      <c r="CEV26" s="146"/>
      <c r="CEW26" s="146"/>
      <c r="CEX26" s="146"/>
      <c r="CEY26" s="146"/>
      <c r="CEZ26" s="146"/>
      <c r="CFA26" s="146"/>
      <c r="CFB26" s="146"/>
      <c r="CFC26" s="146"/>
      <c r="CFD26" s="146"/>
      <c r="CFE26" s="146"/>
      <c r="CFF26" s="146"/>
      <c r="CFG26" s="146"/>
      <c r="CFH26" s="146"/>
      <c r="CFI26" s="146"/>
      <c r="CFJ26" s="146"/>
      <c r="CFK26" s="146"/>
      <c r="CFL26" s="146"/>
      <c r="CFM26" s="146"/>
      <c r="CFN26" s="146"/>
      <c r="CFO26" s="146"/>
      <c r="CFP26" s="146"/>
      <c r="CFQ26" s="146"/>
      <c r="CFR26" s="146"/>
      <c r="CFS26" s="146"/>
      <c r="CFT26" s="146"/>
      <c r="CFU26" s="146"/>
      <c r="CFV26" s="146"/>
      <c r="CFW26" s="146"/>
      <c r="CFX26" s="146"/>
      <c r="CFY26" s="146"/>
      <c r="CFZ26" s="146"/>
      <c r="CGA26" s="146"/>
      <c r="CGB26" s="146"/>
      <c r="CGC26" s="146"/>
      <c r="CGD26" s="146"/>
      <c r="CGE26" s="146"/>
      <c r="CGF26" s="146"/>
      <c r="CGG26" s="146"/>
      <c r="CGH26" s="146"/>
      <c r="CGI26" s="146"/>
      <c r="CGJ26" s="146"/>
      <c r="CGK26" s="146"/>
      <c r="CGL26" s="146"/>
      <c r="CGM26" s="146"/>
      <c r="CGN26" s="146"/>
      <c r="CGO26" s="146"/>
      <c r="CGP26" s="146"/>
      <c r="CGQ26" s="146"/>
      <c r="CGR26" s="146"/>
      <c r="CGS26" s="146"/>
      <c r="CGT26" s="146"/>
      <c r="CGU26" s="146"/>
      <c r="CGV26" s="146"/>
      <c r="CGW26" s="146"/>
      <c r="CGX26" s="146"/>
      <c r="CGY26" s="146"/>
      <c r="CGZ26" s="146"/>
      <c r="CHA26" s="146"/>
      <c r="CHB26" s="146"/>
      <c r="CHC26" s="146"/>
      <c r="CHD26" s="146"/>
      <c r="CHE26" s="146"/>
      <c r="CHF26" s="146"/>
      <c r="CHG26" s="146"/>
      <c r="CHH26" s="146"/>
      <c r="CHI26" s="146"/>
      <c r="CHJ26" s="146"/>
      <c r="CHK26" s="146"/>
      <c r="CHL26" s="146"/>
      <c r="CHM26" s="146"/>
      <c r="CHN26" s="146"/>
      <c r="CHO26" s="146"/>
      <c r="CHP26" s="146"/>
      <c r="CHQ26" s="146"/>
      <c r="CHR26" s="146"/>
      <c r="CHS26" s="146"/>
      <c r="CHT26" s="146"/>
      <c r="CHU26" s="146"/>
      <c r="CHV26" s="146"/>
      <c r="CHW26" s="146"/>
      <c r="CHX26" s="146"/>
      <c r="CHY26" s="146"/>
      <c r="CHZ26" s="146"/>
      <c r="CIA26" s="146"/>
      <c r="CIB26" s="146"/>
      <c r="CIC26" s="146"/>
      <c r="CID26" s="146"/>
      <c r="CIE26" s="146"/>
      <c r="CIF26" s="146"/>
      <c r="CIG26" s="146"/>
      <c r="CIH26" s="146"/>
      <c r="CII26" s="146"/>
      <c r="CIJ26" s="146"/>
      <c r="CIK26" s="146"/>
      <c r="CIL26" s="146"/>
      <c r="CIM26" s="146"/>
      <c r="CIN26" s="146"/>
      <c r="CIO26" s="146"/>
      <c r="CIP26" s="146"/>
      <c r="CIQ26" s="146"/>
      <c r="CIR26" s="146"/>
      <c r="CIS26" s="146"/>
      <c r="CIT26" s="146"/>
      <c r="CIU26" s="146"/>
      <c r="CIV26" s="146"/>
      <c r="CIW26" s="146"/>
      <c r="CIX26" s="146"/>
      <c r="CIY26" s="146"/>
      <c r="CIZ26" s="146"/>
      <c r="CJA26" s="146"/>
      <c r="CJB26" s="146"/>
      <c r="CJC26" s="146"/>
      <c r="CJD26" s="146"/>
      <c r="CJE26" s="146"/>
      <c r="CJF26" s="146"/>
      <c r="CJG26" s="146"/>
      <c r="CJH26" s="146"/>
      <c r="CJI26" s="146"/>
      <c r="CJJ26" s="146"/>
      <c r="CJK26" s="146"/>
      <c r="CJL26" s="146"/>
      <c r="CJM26" s="146"/>
      <c r="CJN26" s="146"/>
      <c r="CJO26" s="146"/>
      <c r="CJP26" s="146"/>
      <c r="CJQ26" s="146"/>
      <c r="CJR26" s="146"/>
      <c r="CJS26" s="146"/>
      <c r="CJT26" s="146"/>
      <c r="CJU26" s="146"/>
      <c r="CJV26" s="146"/>
      <c r="CJW26" s="146"/>
      <c r="CJX26" s="146"/>
      <c r="CJY26" s="146"/>
      <c r="CJZ26" s="146"/>
      <c r="CKA26" s="146"/>
      <c r="CKB26" s="146"/>
      <c r="CKC26" s="146"/>
      <c r="CKD26" s="146"/>
      <c r="CKE26" s="146"/>
      <c r="CKF26" s="146"/>
      <c r="CKG26" s="146"/>
      <c r="CKH26" s="146"/>
      <c r="CKI26" s="146"/>
      <c r="CKJ26" s="146"/>
      <c r="CKK26" s="146"/>
      <c r="CKL26" s="146"/>
      <c r="CKM26" s="146"/>
      <c r="CKN26" s="146"/>
      <c r="CKO26" s="146"/>
      <c r="CKP26" s="146"/>
      <c r="CKQ26" s="146"/>
      <c r="CKR26" s="146"/>
      <c r="CKS26" s="146"/>
      <c r="CKT26" s="146"/>
      <c r="CKU26" s="146"/>
      <c r="CKV26" s="146"/>
      <c r="CKW26" s="146"/>
      <c r="CKX26" s="146"/>
      <c r="CKY26" s="146"/>
      <c r="CKZ26" s="146"/>
      <c r="CLA26" s="146"/>
      <c r="CLB26" s="146"/>
      <c r="CLC26" s="146"/>
      <c r="CLD26" s="146"/>
      <c r="CLE26" s="146"/>
      <c r="CLF26" s="146"/>
      <c r="CLG26" s="146"/>
      <c r="CLH26" s="146"/>
      <c r="CLI26" s="146"/>
      <c r="CLJ26" s="146"/>
      <c r="CLK26" s="146"/>
      <c r="CLL26" s="146"/>
      <c r="CLM26" s="146"/>
      <c r="CLN26" s="146"/>
      <c r="CLO26" s="146"/>
      <c r="CLP26" s="146"/>
      <c r="CLQ26" s="146"/>
      <c r="CLR26" s="146"/>
      <c r="CLS26" s="146"/>
      <c r="CLT26" s="146"/>
      <c r="CLU26" s="146"/>
      <c r="CLV26" s="146"/>
      <c r="CLW26" s="146"/>
      <c r="CLX26" s="146"/>
      <c r="CLY26" s="146"/>
      <c r="CLZ26" s="146"/>
      <c r="CMA26" s="146"/>
      <c r="CMB26" s="146"/>
      <c r="CMC26" s="146"/>
      <c r="CMD26" s="146"/>
      <c r="CME26" s="146"/>
      <c r="CMF26" s="146"/>
      <c r="CMG26" s="146"/>
      <c r="CMH26" s="146"/>
      <c r="CMI26" s="146"/>
      <c r="CMJ26" s="146"/>
      <c r="CMK26" s="146"/>
      <c r="CML26" s="146"/>
      <c r="CMM26" s="146"/>
      <c r="CMN26" s="146"/>
      <c r="CMO26" s="146"/>
      <c r="CMP26" s="146"/>
      <c r="CMQ26" s="146"/>
      <c r="CMR26" s="146"/>
      <c r="CMS26" s="146"/>
      <c r="CMT26" s="146"/>
      <c r="CMU26" s="146"/>
      <c r="CMV26" s="146"/>
      <c r="CMW26" s="146"/>
      <c r="CMX26" s="146"/>
      <c r="CMY26" s="146"/>
      <c r="CMZ26" s="146"/>
      <c r="CNA26" s="146"/>
      <c r="CNB26" s="146"/>
      <c r="CNC26" s="146"/>
      <c r="CND26" s="146"/>
      <c r="CNE26" s="146"/>
      <c r="CNF26" s="146"/>
      <c r="CNG26" s="146"/>
      <c r="CNH26" s="146"/>
      <c r="CNI26" s="146"/>
      <c r="CNJ26" s="146"/>
      <c r="CNK26" s="146"/>
      <c r="CNL26" s="146"/>
      <c r="CNM26" s="146"/>
      <c r="CNN26" s="146"/>
      <c r="CNO26" s="146"/>
      <c r="CNP26" s="146"/>
      <c r="CNQ26" s="146"/>
      <c r="CNR26" s="146"/>
      <c r="CNS26" s="146"/>
      <c r="CNT26" s="146"/>
      <c r="CNU26" s="146"/>
      <c r="CNV26" s="146"/>
      <c r="CNW26" s="146"/>
      <c r="CNX26" s="146"/>
      <c r="CNY26" s="146"/>
      <c r="CNZ26" s="146"/>
      <c r="COA26" s="146"/>
      <c r="COB26" s="146"/>
      <c r="COC26" s="146"/>
      <c r="COD26" s="146"/>
      <c r="COE26" s="146"/>
      <c r="COF26" s="146"/>
      <c r="COG26" s="146"/>
      <c r="COH26" s="146"/>
      <c r="COI26" s="146"/>
      <c r="COJ26" s="146"/>
      <c r="COK26" s="146"/>
      <c r="COL26" s="146"/>
      <c r="COM26" s="146"/>
      <c r="CON26" s="146"/>
      <c r="COO26" s="146"/>
      <c r="COP26" s="146"/>
      <c r="COQ26" s="146"/>
      <c r="COR26" s="146"/>
      <c r="COS26" s="146"/>
      <c r="COT26" s="146"/>
      <c r="COU26" s="146"/>
      <c r="COV26" s="146"/>
      <c r="COW26" s="146"/>
      <c r="COX26" s="146"/>
      <c r="COY26" s="146"/>
      <c r="COZ26" s="146"/>
      <c r="CPA26" s="146"/>
      <c r="CPB26" s="146"/>
      <c r="CPC26" s="146"/>
      <c r="CPD26" s="146"/>
      <c r="CPE26" s="146"/>
      <c r="CPF26" s="146"/>
      <c r="CPG26" s="146"/>
      <c r="CPH26" s="146"/>
      <c r="CPI26" s="146"/>
      <c r="CPJ26" s="146"/>
      <c r="CPK26" s="146"/>
      <c r="CPL26" s="146"/>
      <c r="CPM26" s="146"/>
      <c r="CPN26" s="146"/>
      <c r="CPO26" s="146"/>
      <c r="CPP26" s="146"/>
      <c r="CPQ26" s="146"/>
      <c r="CPR26" s="146"/>
      <c r="CPS26" s="146"/>
      <c r="CPT26" s="146"/>
      <c r="CPU26" s="146"/>
      <c r="CPV26" s="146"/>
      <c r="CPW26" s="146"/>
      <c r="CPX26" s="146"/>
      <c r="CPY26" s="146"/>
      <c r="CPZ26" s="146"/>
      <c r="CQA26" s="146"/>
      <c r="CQB26" s="146"/>
      <c r="CQC26" s="146"/>
      <c r="CQD26" s="146"/>
      <c r="CQE26" s="146"/>
      <c r="CQF26" s="146"/>
      <c r="CQG26" s="146"/>
      <c r="CQH26" s="146"/>
      <c r="CQI26" s="146"/>
      <c r="CQJ26" s="146"/>
      <c r="CQK26" s="146"/>
      <c r="CQL26" s="146"/>
      <c r="CQM26" s="146"/>
      <c r="CQN26" s="146"/>
      <c r="CQO26" s="146"/>
      <c r="CQP26" s="146"/>
      <c r="CQQ26" s="146"/>
      <c r="CQR26" s="146"/>
      <c r="CQS26" s="146"/>
      <c r="CQT26" s="146"/>
      <c r="CQU26" s="146"/>
      <c r="CQV26" s="146"/>
      <c r="CQW26" s="146"/>
      <c r="CQX26" s="146"/>
      <c r="CQY26" s="146"/>
      <c r="CQZ26" s="146"/>
      <c r="CRA26" s="146"/>
      <c r="CRB26" s="146"/>
      <c r="CRC26" s="146"/>
      <c r="CRD26" s="146"/>
      <c r="CRE26" s="146"/>
      <c r="CRF26" s="146"/>
      <c r="CRG26" s="146"/>
      <c r="CRH26" s="146"/>
      <c r="CRI26" s="146"/>
      <c r="CRJ26" s="146"/>
      <c r="CRK26" s="146"/>
      <c r="CRL26" s="146"/>
      <c r="CRM26" s="146"/>
      <c r="CRN26" s="146"/>
      <c r="CRO26" s="146"/>
      <c r="CRP26" s="146"/>
      <c r="CRQ26" s="146"/>
      <c r="CRR26" s="146"/>
      <c r="CRS26" s="146"/>
      <c r="CRT26" s="146"/>
      <c r="CRU26" s="146"/>
      <c r="CRV26" s="146"/>
      <c r="CRW26" s="146"/>
      <c r="CRX26" s="146"/>
      <c r="CRY26" s="146"/>
      <c r="CRZ26" s="146"/>
      <c r="CSA26" s="146"/>
      <c r="CSB26" s="146"/>
      <c r="CSC26" s="146"/>
      <c r="CSD26" s="146"/>
      <c r="CSE26" s="146"/>
      <c r="CSF26" s="146"/>
      <c r="CSG26" s="146"/>
      <c r="CSH26" s="146"/>
      <c r="CSI26" s="146"/>
      <c r="CSJ26" s="146"/>
      <c r="CSK26" s="146"/>
      <c r="CSL26" s="146"/>
      <c r="CSM26" s="146"/>
      <c r="CSN26" s="146"/>
      <c r="CSO26" s="146"/>
      <c r="CSP26" s="146"/>
      <c r="CSQ26" s="146"/>
      <c r="CSR26" s="146"/>
      <c r="CSS26" s="146"/>
      <c r="CST26" s="146"/>
      <c r="CSU26" s="146"/>
      <c r="CSV26" s="146"/>
      <c r="CSW26" s="146"/>
      <c r="CSX26" s="146"/>
      <c r="CSY26" s="146"/>
      <c r="CSZ26" s="146"/>
      <c r="CTA26" s="146"/>
      <c r="CTB26" s="146"/>
      <c r="CTC26" s="146"/>
      <c r="CTD26" s="146"/>
      <c r="CTE26" s="146"/>
      <c r="CTF26" s="146"/>
      <c r="CTG26" s="146"/>
      <c r="CTH26" s="146"/>
      <c r="CTI26" s="146"/>
      <c r="CTJ26" s="146"/>
      <c r="CTK26" s="146"/>
      <c r="CTL26" s="146"/>
      <c r="CTM26" s="146"/>
      <c r="CTN26" s="146"/>
      <c r="CTO26" s="146"/>
      <c r="CTP26" s="146"/>
      <c r="CTQ26" s="146"/>
      <c r="CTR26" s="146"/>
      <c r="CTS26" s="146"/>
      <c r="CTT26" s="146"/>
      <c r="CTU26" s="146"/>
      <c r="CTV26" s="146"/>
      <c r="CTW26" s="146"/>
      <c r="CTX26" s="146"/>
      <c r="CTY26" s="146"/>
      <c r="CTZ26" s="146"/>
      <c r="CUA26" s="146"/>
      <c r="CUB26" s="146"/>
      <c r="CUC26" s="146"/>
      <c r="CUD26" s="146"/>
      <c r="CUE26" s="146"/>
      <c r="CUF26" s="146"/>
      <c r="CUG26" s="146"/>
      <c r="CUH26" s="146"/>
      <c r="CUI26" s="146"/>
      <c r="CUJ26" s="146"/>
      <c r="CUK26" s="146"/>
      <c r="CUL26" s="146"/>
      <c r="CUM26" s="146"/>
      <c r="CUN26" s="146"/>
      <c r="CUO26" s="146"/>
      <c r="CUP26" s="146"/>
      <c r="CUQ26" s="146"/>
      <c r="CUR26" s="146"/>
      <c r="CUS26" s="146"/>
      <c r="CUT26" s="146"/>
      <c r="CUU26" s="146"/>
      <c r="CUV26" s="146"/>
      <c r="CUW26" s="146"/>
      <c r="CUX26" s="146"/>
      <c r="CUY26" s="146"/>
      <c r="CUZ26" s="146"/>
      <c r="CVA26" s="146"/>
      <c r="CVB26" s="146"/>
      <c r="CVC26" s="146"/>
      <c r="CVD26" s="146"/>
      <c r="CVE26" s="146"/>
      <c r="CVF26" s="146"/>
      <c r="CVG26" s="146"/>
      <c r="CVH26" s="146"/>
      <c r="CVI26" s="146"/>
      <c r="CVJ26" s="146"/>
      <c r="CVK26" s="146"/>
      <c r="CVL26" s="146"/>
      <c r="CVM26" s="146"/>
      <c r="CVN26" s="146"/>
      <c r="CVO26" s="146"/>
      <c r="CVP26" s="146"/>
      <c r="CVQ26" s="146"/>
      <c r="CVR26" s="146"/>
      <c r="CVS26" s="146"/>
      <c r="CVT26" s="146"/>
      <c r="CVU26" s="146"/>
      <c r="CVV26" s="146"/>
      <c r="CVW26" s="146"/>
      <c r="CVX26" s="146"/>
      <c r="CVY26" s="146"/>
      <c r="CVZ26" s="146"/>
      <c r="CWA26" s="146"/>
      <c r="CWB26" s="146"/>
      <c r="CWC26" s="146"/>
      <c r="CWD26" s="146"/>
      <c r="CWE26" s="146"/>
      <c r="CWF26" s="146"/>
      <c r="CWG26" s="146"/>
      <c r="CWH26" s="146"/>
      <c r="CWI26" s="146"/>
      <c r="CWJ26" s="146"/>
      <c r="CWK26" s="146"/>
      <c r="CWL26" s="146"/>
      <c r="CWM26" s="146"/>
      <c r="CWN26" s="146"/>
      <c r="CWO26" s="146"/>
      <c r="CWP26" s="146"/>
      <c r="CWQ26" s="146"/>
      <c r="CWR26" s="146"/>
      <c r="CWS26" s="146"/>
      <c r="CWT26" s="146"/>
      <c r="CWU26" s="146"/>
      <c r="CWV26" s="146"/>
      <c r="CWW26" s="146"/>
      <c r="CWX26" s="146"/>
      <c r="CWY26" s="146"/>
      <c r="CWZ26" s="146"/>
      <c r="CXA26" s="146"/>
      <c r="CXB26" s="146"/>
      <c r="CXC26" s="146"/>
      <c r="CXD26" s="146"/>
      <c r="CXE26" s="146"/>
      <c r="CXF26" s="146"/>
      <c r="CXG26" s="146"/>
      <c r="CXH26" s="146"/>
      <c r="CXI26" s="146"/>
      <c r="CXJ26" s="146"/>
      <c r="CXK26" s="146"/>
      <c r="CXL26" s="146"/>
      <c r="CXM26" s="146"/>
      <c r="CXN26" s="146"/>
      <c r="CXO26" s="146"/>
      <c r="CXP26" s="146"/>
      <c r="CXQ26" s="146"/>
      <c r="CXR26" s="146"/>
      <c r="CXS26" s="146"/>
      <c r="CXT26" s="146"/>
      <c r="CXU26" s="146"/>
      <c r="CXV26" s="146"/>
      <c r="CXW26" s="146"/>
      <c r="CXX26" s="146"/>
      <c r="CXY26" s="146"/>
      <c r="CXZ26" s="146"/>
      <c r="CYA26" s="146"/>
      <c r="CYB26" s="146"/>
      <c r="CYC26" s="146"/>
      <c r="CYD26" s="146"/>
      <c r="CYE26" s="146"/>
      <c r="CYF26" s="146"/>
      <c r="CYG26" s="146"/>
      <c r="CYH26" s="146"/>
      <c r="CYI26" s="146"/>
      <c r="CYJ26" s="146"/>
      <c r="CYK26" s="146"/>
      <c r="CYL26" s="146"/>
      <c r="CYM26" s="146"/>
      <c r="CYN26" s="146"/>
      <c r="CYO26" s="146"/>
      <c r="CYP26" s="146"/>
      <c r="CYQ26" s="146"/>
      <c r="CYR26" s="146"/>
      <c r="CYS26" s="146"/>
      <c r="CYT26" s="146"/>
      <c r="CYU26" s="146"/>
      <c r="CYV26" s="146"/>
      <c r="CYW26" s="146"/>
      <c r="CYX26" s="146"/>
      <c r="CYY26" s="146"/>
      <c r="CYZ26" s="146"/>
      <c r="CZA26" s="146"/>
      <c r="CZB26" s="146"/>
      <c r="CZC26" s="146"/>
      <c r="CZD26" s="146"/>
      <c r="CZE26" s="146"/>
      <c r="CZF26" s="146"/>
      <c r="CZG26" s="146"/>
      <c r="CZH26" s="146"/>
      <c r="CZI26" s="146"/>
      <c r="CZJ26" s="146"/>
      <c r="CZK26" s="146"/>
      <c r="CZL26" s="146"/>
      <c r="CZM26" s="146"/>
      <c r="CZN26" s="146"/>
      <c r="CZO26" s="146"/>
      <c r="CZP26" s="146"/>
      <c r="CZQ26" s="146"/>
      <c r="CZR26" s="146"/>
      <c r="CZS26" s="146"/>
      <c r="CZT26" s="146"/>
      <c r="CZU26" s="146"/>
      <c r="CZV26" s="146"/>
      <c r="CZW26" s="146"/>
      <c r="CZX26" s="146"/>
      <c r="CZY26" s="146"/>
      <c r="CZZ26" s="146"/>
      <c r="DAA26" s="146"/>
      <c r="DAB26" s="146"/>
      <c r="DAC26" s="146"/>
      <c r="DAD26" s="146"/>
      <c r="DAE26" s="146"/>
      <c r="DAF26" s="146"/>
      <c r="DAG26" s="146"/>
      <c r="DAH26" s="146"/>
      <c r="DAI26" s="146"/>
      <c r="DAJ26" s="146"/>
      <c r="DAK26" s="146"/>
      <c r="DAL26" s="146"/>
      <c r="DAM26" s="146"/>
      <c r="DAN26" s="146"/>
      <c r="DAO26" s="146"/>
      <c r="DAP26" s="146"/>
      <c r="DAQ26" s="146"/>
      <c r="DAR26" s="146"/>
      <c r="DAS26" s="146"/>
      <c r="DAT26" s="146"/>
      <c r="DAU26" s="146"/>
      <c r="DAV26" s="146"/>
      <c r="DAW26" s="146"/>
      <c r="DAX26" s="146"/>
      <c r="DAY26" s="146"/>
      <c r="DAZ26" s="146"/>
      <c r="DBA26" s="146"/>
      <c r="DBB26" s="146"/>
      <c r="DBC26" s="146"/>
      <c r="DBD26" s="146"/>
      <c r="DBE26" s="146"/>
      <c r="DBF26" s="146"/>
      <c r="DBG26" s="146"/>
      <c r="DBH26" s="146"/>
      <c r="DBI26" s="146"/>
      <c r="DBJ26" s="146"/>
      <c r="DBK26" s="146"/>
      <c r="DBL26" s="146"/>
      <c r="DBM26" s="146"/>
      <c r="DBN26" s="146"/>
      <c r="DBO26" s="146"/>
      <c r="DBP26" s="146"/>
      <c r="DBQ26" s="146"/>
      <c r="DBR26" s="146"/>
      <c r="DBS26" s="146"/>
      <c r="DBT26" s="146"/>
      <c r="DBU26" s="146"/>
      <c r="DBV26" s="146"/>
      <c r="DBW26" s="146"/>
      <c r="DBX26" s="146"/>
      <c r="DBY26" s="146"/>
      <c r="DBZ26" s="146"/>
      <c r="DCA26" s="146"/>
      <c r="DCB26" s="146"/>
      <c r="DCC26" s="146"/>
      <c r="DCD26" s="146"/>
      <c r="DCE26" s="146"/>
      <c r="DCF26" s="146"/>
      <c r="DCG26" s="146"/>
      <c r="DCH26" s="146"/>
      <c r="DCI26" s="146"/>
      <c r="DCJ26" s="146"/>
      <c r="DCK26" s="146"/>
      <c r="DCL26" s="146"/>
      <c r="DCM26" s="146"/>
      <c r="DCN26" s="146"/>
      <c r="DCO26" s="146"/>
      <c r="DCP26" s="146"/>
      <c r="DCQ26" s="146"/>
      <c r="DCR26" s="146"/>
      <c r="DCS26" s="146"/>
      <c r="DCT26" s="146"/>
      <c r="DCU26" s="146"/>
      <c r="DCV26" s="146"/>
      <c r="DCW26" s="146"/>
      <c r="DCX26" s="146"/>
      <c r="DCY26" s="146"/>
      <c r="DCZ26" s="146"/>
      <c r="DDA26" s="146"/>
      <c r="DDB26" s="146"/>
      <c r="DDC26" s="146"/>
      <c r="DDD26" s="146"/>
      <c r="DDE26" s="146"/>
      <c r="DDF26" s="146"/>
      <c r="DDG26" s="146"/>
      <c r="DDH26" s="146"/>
      <c r="DDI26" s="146"/>
      <c r="DDJ26" s="146"/>
      <c r="DDK26" s="146"/>
      <c r="DDL26" s="146"/>
      <c r="DDM26" s="146"/>
      <c r="DDN26" s="146"/>
      <c r="DDO26" s="146"/>
      <c r="DDP26" s="146"/>
      <c r="DDQ26" s="146"/>
      <c r="DDR26" s="146"/>
      <c r="DDS26" s="146"/>
      <c r="DDT26" s="146"/>
      <c r="DDU26" s="146"/>
      <c r="DDV26" s="146"/>
      <c r="DDW26" s="146"/>
      <c r="DDX26" s="146"/>
      <c r="DDY26" s="146"/>
      <c r="DDZ26" s="146"/>
      <c r="DEA26" s="146"/>
      <c r="DEB26" s="146"/>
      <c r="DEC26" s="146"/>
      <c r="DED26" s="146"/>
      <c r="DEE26" s="146"/>
      <c r="DEF26" s="146"/>
      <c r="DEG26" s="146"/>
      <c r="DEH26" s="146"/>
      <c r="DEI26" s="146"/>
      <c r="DEJ26" s="146"/>
      <c r="DEK26" s="146"/>
      <c r="DEL26" s="146"/>
      <c r="DEM26" s="146"/>
      <c r="DEN26" s="146"/>
      <c r="DEO26" s="146"/>
      <c r="DEP26" s="146"/>
      <c r="DEQ26" s="146"/>
      <c r="DER26" s="146"/>
      <c r="DES26" s="146"/>
      <c r="DET26" s="146"/>
      <c r="DEU26" s="146"/>
      <c r="DEV26" s="146"/>
      <c r="DEW26" s="146"/>
      <c r="DEX26" s="146"/>
      <c r="DEY26" s="146"/>
      <c r="DEZ26" s="146"/>
      <c r="DFA26" s="146"/>
      <c r="DFB26" s="146"/>
      <c r="DFC26" s="146"/>
      <c r="DFD26" s="146"/>
      <c r="DFE26" s="146"/>
      <c r="DFF26" s="146"/>
      <c r="DFG26" s="146"/>
      <c r="DFH26" s="146"/>
      <c r="DFI26" s="146"/>
      <c r="DFJ26" s="146"/>
      <c r="DFK26" s="146"/>
      <c r="DFL26" s="146"/>
      <c r="DFM26" s="146"/>
      <c r="DFN26" s="146"/>
      <c r="DFO26" s="146"/>
      <c r="DFP26" s="146"/>
      <c r="DFQ26" s="146"/>
      <c r="DFR26" s="146"/>
      <c r="DFS26" s="146"/>
      <c r="DFT26" s="146"/>
      <c r="DFU26" s="146"/>
      <c r="DFV26" s="146"/>
      <c r="DFW26" s="146"/>
      <c r="DFX26" s="146"/>
      <c r="DFY26" s="146"/>
      <c r="DFZ26" s="146"/>
      <c r="DGA26" s="146"/>
      <c r="DGB26" s="146"/>
      <c r="DGC26" s="146"/>
      <c r="DGD26" s="146"/>
      <c r="DGE26" s="146"/>
      <c r="DGF26" s="146"/>
      <c r="DGG26" s="146"/>
      <c r="DGH26" s="146"/>
      <c r="DGI26" s="146"/>
      <c r="DGJ26" s="146"/>
      <c r="DGK26" s="146"/>
      <c r="DGL26" s="146"/>
      <c r="DGM26" s="146"/>
      <c r="DGN26" s="146"/>
      <c r="DGO26" s="146"/>
      <c r="DGP26" s="146"/>
      <c r="DGQ26" s="146"/>
      <c r="DGR26" s="146"/>
      <c r="DGS26" s="146"/>
      <c r="DGT26" s="146"/>
      <c r="DGU26" s="146"/>
      <c r="DGV26" s="146"/>
      <c r="DGW26" s="146"/>
      <c r="DGX26" s="146"/>
      <c r="DGY26" s="146"/>
      <c r="DGZ26" s="146"/>
      <c r="DHA26" s="146"/>
      <c r="DHB26" s="146"/>
      <c r="DHC26" s="146"/>
      <c r="DHD26" s="146"/>
      <c r="DHE26" s="146"/>
      <c r="DHF26" s="146"/>
      <c r="DHG26" s="146"/>
      <c r="DHH26" s="146"/>
      <c r="DHI26" s="146"/>
      <c r="DHJ26" s="146"/>
      <c r="DHK26" s="146"/>
      <c r="DHL26" s="146"/>
      <c r="DHM26" s="146"/>
      <c r="DHN26" s="146"/>
      <c r="DHO26" s="146"/>
      <c r="DHP26" s="146"/>
      <c r="DHQ26" s="146"/>
      <c r="DHR26" s="146"/>
      <c r="DHS26" s="146"/>
      <c r="DHT26" s="146"/>
      <c r="DHU26" s="146"/>
      <c r="DHV26" s="146"/>
      <c r="DHW26" s="146"/>
      <c r="DHX26" s="146"/>
      <c r="DHY26" s="146"/>
      <c r="DHZ26" s="146"/>
      <c r="DIA26" s="146"/>
      <c r="DIB26" s="146"/>
      <c r="DIC26" s="146"/>
      <c r="DID26" s="146"/>
      <c r="DIE26" s="146"/>
      <c r="DIF26" s="146"/>
      <c r="DIG26" s="146"/>
      <c r="DIH26" s="146"/>
      <c r="DII26" s="146"/>
      <c r="DIJ26" s="146"/>
      <c r="DIK26" s="146"/>
      <c r="DIL26" s="146"/>
      <c r="DIM26" s="146"/>
      <c r="DIN26" s="146"/>
      <c r="DIO26" s="146"/>
      <c r="DIP26" s="146"/>
      <c r="DIQ26" s="146"/>
      <c r="DIR26" s="146"/>
      <c r="DIS26" s="146"/>
      <c r="DIT26" s="146"/>
      <c r="DIU26" s="146"/>
      <c r="DIV26" s="146"/>
      <c r="DIW26" s="146"/>
      <c r="DIX26" s="146"/>
      <c r="DIY26" s="146"/>
      <c r="DIZ26" s="146"/>
      <c r="DJA26" s="146"/>
      <c r="DJB26" s="146"/>
      <c r="DJC26" s="146"/>
      <c r="DJD26" s="146"/>
      <c r="DJE26" s="146"/>
      <c r="DJF26" s="146"/>
      <c r="DJG26" s="146"/>
      <c r="DJH26" s="146"/>
      <c r="DJI26" s="146"/>
      <c r="DJJ26" s="146"/>
      <c r="DJK26" s="146"/>
      <c r="DJL26" s="146"/>
      <c r="DJM26" s="146"/>
      <c r="DJN26" s="146"/>
      <c r="DJO26" s="146"/>
      <c r="DJP26" s="146"/>
      <c r="DJQ26" s="146"/>
      <c r="DJR26" s="146"/>
      <c r="DJS26" s="146"/>
      <c r="DJT26" s="146"/>
      <c r="DJU26" s="146"/>
      <c r="DJV26" s="146"/>
      <c r="DJW26" s="146"/>
      <c r="DJX26" s="146"/>
      <c r="DJY26" s="146"/>
      <c r="DJZ26" s="146"/>
      <c r="DKA26" s="146"/>
      <c r="DKB26" s="146"/>
      <c r="DKC26" s="146"/>
      <c r="DKD26" s="146"/>
      <c r="DKE26" s="146"/>
      <c r="DKF26" s="146"/>
      <c r="DKG26" s="146"/>
      <c r="DKH26" s="146"/>
      <c r="DKI26" s="146"/>
      <c r="DKJ26" s="146"/>
      <c r="DKK26" s="146"/>
      <c r="DKL26" s="146"/>
      <c r="DKM26" s="146"/>
      <c r="DKN26" s="146"/>
      <c r="DKO26" s="146"/>
      <c r="DKP26" s="146"/>
      <c r="DKQ26" s="146"/>
      <c r="DKR26" s="146"/>
      <c r="DKS26" s="146"/>
      <c r="DKT26" s="146"/>
      <c r="DKU26" s="146"/>
      <c r="DKV26" s="146"/>
      <c r="DKW26" s="146"/>
      <c r="DKX26" s="146"/>
      <c r="DKY26" s="146"/>
      <c r="DKZ26" s="146"/>
      <c r="DLA26" s="146"/>
      <c r="DLB26" s="146"/>
      <c r="DLC26" s="146"/>
      <c r="DLD26" s="146"/>
      <c r="DLE26" s="146"/>
      <c r="DLF26" s="146"/>
      <c r="DLG26" s="146"/>
      <c r="DLH26" s="146"/>
      <c r="DLI26" s="146"/>
      <c r="DLJ26" s="146"/>
      <c r="DLK26" s="146"/>
      <c r="DLL26" s="146"/>
      <c r="DLM26" s="146"/>
      <c r="DLN26" s="146"/>
      <c r="DLO26" s="146"/>
      <c r="DLP26" s="146"/>
      <c r="DLQ26" s="146"/>
      <c r="DLR26" s="146"/>
      <c r="DLS26" s="146"/>
      <c r="DLT26" s="146"/>
      <c r="DLU26" s="146"/>
      <c r="DLV26" s="146"/>
      <c r="DLW26" s="146"/>
      <c r="DLX26" s="146"/>
      <c r="DLY26" s="146"/>
      <c r="DLZ26" s="146"/>
      <c r="DMA26" s="146"/>
      <c r="DMB26" s="146"/>
      <c r="DMC26" s="146"/>
      <c r="DMD26" s="146"/>
      <c r="DME26" s="146"/>
      <c r="DMF26" s="146"/>
      <c r="DMG26" s="146"/>
      <c r="DMH26" s="146"/>
      <c r="DMI26" s="146"/>
      <c r="DMJ26" s="146"/>
      <c r="DMK26" s="146"/>
      <c r="DML26" s="146"/>
      <c r="DMM26" s="146"/>
      <c r="DMN26" s="146"/>
      <c r="DMO26" s="146"/>
      <c r="DMP26" s="146"/>
      <c r="DMQ26" s="146"/>
      <c r="DMR26" s="146"/>
      <c r="DMS26" s="146"/>
      <c r="DMT26" s="146"/>
      <c r="DMU26" s="146"/>
      <c r="DMV26" s="146"/>
      <c r="DMW26" s="146"/>
      <c r="DMX26" s="146"/>
      <c r="DMY26" s="146"/>
      <c r="DMZ26" s="146"/>
      <c r="DNA26" s="146"/>
      <c r="DNB26" s="146"/>
      <c r="DNC26" s="146"/>
      <c r="DND26" s="146"/>
      <c r="DNE26" s="146"/>
      <c r="DNF26" s="146"/>
      <c r="DNG26" s="146"/>
      <c r="DNH26" s="146"/>
      <c r="DNI26" s="146"/>
      <c r="DNJ26" s="146"/>
      <c r="DNK26" s="146"/>
      <c r="DNL26" s="146"/>
      <c r="DNM26" s="146"/>
      <c r="DNN26" s="146"/>
      <c r="DNO26" s="146"/>
      <c r="DNP26" s="146"/>
      <c r="DNQ26" s="146"/>
      <c r="DNR26" s="146"/>
      <c r="DNS26" s="146"/>
      <c r="DNT26" s="146"/>
      <c r="DNU26" s="146"/>
      <c r="DNV26" s="146"/>
      <c r="DNW26" s="146"/>
      <c r="DNX26" s="146"/>
      <c r="DNY26" s="146"/>
      <c r="DNZ26" s="146"/>
      <c r="DOA26" s="146"/>
      <c r="DOB26" s="146"/>
      <c r="DOC26" s="146"/>
      <c r="DOD26" s="146"/>
      <c r="DOE26" s="146"/>
      <c r="DOF26" s="146"/>
      <c r="DOG26" s="146"/>
      <c r="DOH26" s="146"/>
      <c r="DOI26" s="146"/>
      <c r="DOJ26" s="146"/>
      <c r="DOK26" s="146"/>
      <c r="DOL26" s="146"/>
      <c r="DOM26" s="146"/>
      <c r="DON26" s="146"/>
      <c r="DOO26" s="146"/>
      <c r="DOP26" s="146"/>
      <c r="DOQ26" s="146"/>
      <c r="DOR26" s="146"/>
      <c r="DOS26" s="146"/>
      <c r="DOT26" s="146"/>
      <c r="DOU26" s="146"/>
      <c r="DOV26" s="146"/>
      <c r="DOW26" s="146"/>
      <c r="DOX26" s="146"/>
      <c r="DOY26" s="146"/>
      <c r="DOZ26" s="146"/>
      <c r="DPA26" s="146"/>
      <c r="DPB26" s="146"/>
      <c r="DPC26" s="146"/>
      <c r="DPD26" s="146"/>
      <c r="DPE26" s="146"/>
      <c r="DPF26" s="146"/>
      <c r="DPG26" s="146"/>
      <c r="DPH26" s="146"/>
      <c r="DPI26" s="146"/>
      <c r="DPJ26" s="146"/>
      <c r="DPK26" s="146"/>
      <c r="DPL26" s="146"/>
      <c r="DPM26" s="146"/>
      <c r="DPN26" s="146"/>
      <c r="DPO26" s="146"/>
      <c r="DPP26" s="146"/>
      <c r="DPQ26" s="146"/>
      <c r="DPR26" s="146"/>
      <c r="DPS26" s="146"/>
      <c r="DPT26" s="146"/>
      <c r="DPU26" s="146"/>
      <c r="DPV26" s="146"/>
      <c r="DPW26" s="146"/>
      <c r="DPX26" s="146"/>
      <c r="DPY26" s="146"/>
      <c r="DPZ26" s="146"/>
      <c r="DQA26" s="146"/>
      <c r="DQB26" s="146"/>
      <c r="DQC26" s="146"/>
      <c r="DQD26" s="146"/>
      <c r="DQE26" s="146"/>
      <c r="DQF26" s="146"/>
      <c r="DQG26" s="146"/>
      <c r="DQH26" s="146"/>
      <c r="DQI26" s="146"/>
      <c r="DQJ26" s="146"/>
      <c r="DQK26" s="146"/>
      <c r="DQL26" s="146"/>
      <c r="DQM26" s="146"/>
      <c r="DQN26" s="146"/>
      <c r="DQO26" s="146"/>
      <c r="DQP26" s="146"/>
      <c r="DQQ26" s="146"/>
      <c r="DQR26" s="146"/>
      <c r="DQS26" s="146"/>
      <c r="DQT26" s="146"/>
      <c r="DQU26" s="146"/>
      <c r="DQV26" s="146"/>
      <c r="DQW26" s="146"/>
      <c r="DQX26" s="146"/>
      <c r="DQY26" s="146"/>
      <c r="DQZ26" s="146"/>
      <c r="DRA26" s="146"/>
      <c r="DRB26" s="146"/>
      <c r="DRC26" s="146"/>
      <c r="DRD26" s="146"/>
      <c r="DRE26" s="146"/>
      <c r="DRF26" s="146"/>
      <c r="DRG26" s="146"/>
      <c r="DRH26" s="146"/>
      <c r="DRI26" s="146"/>
      <c r="DRJ26" s="146"/>
      <c r="DRK26" s="146"/>
      <c r="DRL26" s="146"/>
      <c r="DRM26" s="146"/>
      <c r="DRN26" s="146"/>
      <c r="DRO26" s="146"/>
      <c r="DRP26" s="146"/>
      <c r="DRQ26" s="146"/>
      <c r="DRR26" s="146"/>
      <c r="DRS26" s="146"/>
      <c r="DRT26" s="146"/>
      <c r="DRU26" s="146"/>
      <c r="DRV26" s="146"/>
      <c r="DRW26" s="146"/>
      <c r="DRX26" s="146"/>
      <c r="DRY26" s="146"/>
      <c r="DRZ26" s="146"/>
      <c r="DSA26" s="146"/>
      <c r="DSB26" s="146"/>
      <c r="DSC26" s="146"/>
      <c r="DSD26" s="146"/>
      <c r="DSE26" s="146"/>
      <c r="DSF26" s="146"/>
      <c r="DSG26" s="146"/>
      <c r="DSH26" s="146"/>
      <c r="DSI26" s="146"/>
      <c r="DSJ26" s="146"/>
      <c r="DSK26" s="146"/>
      <c r="DSL26" s="146"/>
      <c r="DSM26" s="146"/>
      <c r="DSN26" s="146"/>
      <c r="DSO26" s="146"/>
      <c r="DSP26" s="146"/>
      <c r="DSQ26" s="146"/>
      <c r="DSR26" s="146"/>
      <c r="DSS26" s="146"/>
      <c r="DST26" s="146"/>
      <c r="DSU26" s="146"/>
      <c r="DSV26" s="146"/>
      <c r="DSW26" s="146"/>
      <c r="DSX26" s="146"/>
      <c r="DSY26" s="146"/>
      <c r="DSZ26" s="146"/>
      <c r="DTA26" s="146"/>
      <c r="DTB26" s="146"/>
      <c r="DTC26" s="146"/>
      <c r="DTD26" s="146"/>
      <c r="DTE26" s="146"/>
      <c r="DTF26" s="146"/>
      <c r="DTG26" s="146"/>
      <c r="DTH26" s="146"/>
      <c r="DTI26" s="146"/>
      <c r="DTJ26" s="146"/>
      <c r="DTK26" s="146"/>
      <c r="DTL26" s="146"/>
      <c r="DTM26" s="146"/>
      <c r="DTN26" s="146"/>
      <c r="DTO26" s="146"/>
      <c r="DTP26" s="146"/>
      <c r="DTQ26" s="146"/>
      <c r="DTR26" s="146"/>
      <c r="DTS26" s="146"/>
      <c r="DTT26" s="146"/>
      <c r="DTU26" s="146"/>
      <c r="DTV26" s="146"/>
      <c r="DTW26" s="146"/>
      <c r="DTX26" s="146"/>
      <c r="DTY26" s="146"/>
      <c r="DTZ26" s="146"/>
      <c r="DUA26" s="146"/>
      <c r="DUB26" s="146"/>
      <c r="DUC26" s="146"/>
      <c r="DUD26" s="146"/>
      <c r="DUE26" s="146"/>
      <c r="DUF26" s="146"/>
      <c r="DUG26" s="146"/>
      <c r="DUH26" s="146"/>
      <c r="DUI26" s="146"/>
      <c r="DUJ26" s="146"/>
      <c r="DUK26" s="146"/>
      <c r="DUL26" s="146"/>
      <c r="DUM26" s="146"/>
      <c r="DUN26" s="146"/>
      <c r="DUO26" s="146"/>
      <c r="DUP26" s="146"/>
      <c r="DUQ26" s="146"/>
      <c r="DUR26" s="146"/>
      <c r="DUS26" s="146"/>
      <c r="DUT26" s="146"/>
      <c r="DUU26" s="146"/>
      <c r="DUV26" s="146"/>
      <c r="DUW26" s="146"/>
      <c r="DUX26" s="146"/>
      <c r="DUY26" s="146"/>
      <c r="DUZ26" s="146"/>
      <c r="DVA26" s="146"/>
      <c r="DVB26" s="146"/>
      <c r="DVC26" s="146"/>
      <c r="DVD26" s="146"/>
      <c r="DVE26" s="146"/>
      <c r="DVF26" s="146"/>
      <c r="DVG26" s="146"/>
      <c r="DVH26" s="146"/>
      <c r="DVI26" s="146"/>
      <c r="DVJ26" s="146"/>
      <c r="DVK26" s="146"/>
      <c r="DVL26" s="146"/>
      <c r="DVM26" s="146"/>
      <c r="DVN26" s="146"/>
      <c r="DVO26" s="146"/>
      <c r="DVP26" s="146"/>
      <c r="DVQ26" s="146"/>
      <c r="DVR26" s="146"/>
      <c r="DVS26" s="146"/>
      <c r="DVT26" s="146"/>
      <c r="DVU26" s="146"/>
      <c r="DVV26" s="146"/>
      <c r="DVW26" s="146"/>
      <c r="DVX26" s="146"/>
      <c r="DVY26" s="146"/>
      <c r="DVZ26" s="146"/>
      <c r="DWA26" s="146"/>
      <c r="DWB26" s="146"/>
      <c r="DWC26" s="146"/>
      <c r="DWD26" s="146"/>
      <c r="DWE26" s="146"/>
      <c r="DWF26" s="146"/>
      <c r="DWG26" s="146"/>
      <c r="DWH26" s="146"/>
      <c r="DWI26" s="146"/>
      <c r="DWJ26" s="146"/>
      <c r="DWK26" s="146"/>
      <c r="DWL26" s="146"/>
      <c r="DWM26" s="146"/>
      <c r="DWN26" s="146"/>
      <c r="DWO26" s="146"/>
      <c r="DWP26" s="146"/>
      <c r="DWQ26" s="146"/>
      <c r="DWR26" s="146"/>
      <c r="DWS26" s="146"/>
      <c r="DWT26" s="146"/>
      <c r="DWU26" s="146"/>
      <c r="DWV26" s="146"/>
      <c r="DWW26" s="146"/>
      <c r="DWX26" s="146"/>
      <c r="DWY26" s="146"/>
      <c r="DWZ26" s="146"/>
      <c r="DXA26" s="146"/>
      <c r="DXB26" s="146"/>
      <c r="DXC26" s="146"/>
      <c r="DXD26" s="146"/>
      <c r="DXE26" s="146"/>
      <c r="DXF26" s="146"/>
      <c r="DXG26" s="146"/>
      <c r="DXH26" s="146"/>
      <c r="DXI26" s="146"/>
      <c r="DXJ26" s="146"/>
      <c r="DXK26" s="146"/>
      <c r="DXL26" s="146"/>
      <c r="DXM26" s="146"/>
      <c r="DXN26" s="146"/>
      <c r="DXO26" s="146"/>
      <c r="DXP26" s="146"/>
      <c r="DXQ26" s="146"/>
      <c r="DXR26" s="146"/>
      <c r="DXS26" s="146"/>
      <c r="DXT26" s="146"/>
      <c r="DXU26" s="146"/>
      <c r="DXV26" s="146"/>
      <c r="DXW26" s="146"/>
      <c r="DXX26" s="146"/>
      <c r="DXY26" s="146"/>
      <c r="DXZ26" s="146"/>
      <c r="DYA26" s="146"/>
      <c r="DYB26" s="146"/>
      <c r="DYC26" s="146"/>
      <c r="DYD26" s="146"/>
      <c r="DYE26" s="146"/>
      <c r="DYF26" s="146"/>
      <c r="DYG26" s="146"/>
      <c r="DYH26" s="146"/>
      <c r="DYI26" s="146"/>
      <c r="DYJ26" s="146"/>
      <c r="DYK26" s="146"/>
      <c r="DYL26" s="146"/>
      <c r="DYM26" s="146"/>
      <c r="DYN26" s="146"/>
      <c r="DYO26" s="146"/>
      <c r="DYP26" s="146"/>
      <c r="DYQ26" s="146"/>
      <c r="DYR26" s="146"/>
      <c r="DYS26" s="146"/>
      <c r="DYT26" s="146"/>
      <c r="DYU26" s="146"/>
      <c r="DYV26" s="146"/>
      <c r="DYW26" s="146"/>
      <c r="DYX26" s="146"/>
      <c r="DYY26" s="146"/>
      <c r="DYZ26" s="146"/>
      <c r="DZA26" s="146"/>
      <c r="DZB26" s="146"/>
      <c r="DZC26" s="146"/>
      <c r="DZD26" s="146"/>
      <c r="DZE26" s="146"/>
      <c r="DZF26" s="146"/>
      <c r="DZG26" s="146"/>
      <c r="DZH26" s="146"/>
      <c r="DZI26" s="146"/>
      <c r="DZJ26" s="146"/>
      <c r="DZK26" s="146"/>
      <c r="DZL26" s="146"/>
      <c r="DZM26" s="146"/>
      <c r="DZN26" s="146"/>
      <c r="DZO26" s="146"/>
      <c r="DZP26" s="146"/>
      <c r="DZQ26" s="146"/>
      <c r="DZR26" s="146"/>
      <c r="DZS26" s="146"/>
      <c r="DZT26" s="146"/>
      <c r="DZU26" s="146"/>
      <c r="DZV26" s="146"/>
      <c r="DZW26" s="146"/>
      <c r="DZX26" s="146"/>
      <c r="DZY26" s="146"/>
      <c r="DZZ26" s="146"/>
      <c r="EAA26" s="146"/>
      <c r="EAB26" s="146"/>
      <c r="EAC26" s="146"/>
      <c r="EAD26" s="146"/>
      <c r="EAE26" s="146"/>
      <c r="EAF26" s="146"/>
      <c r="EAG26" s="146"/>
      <c r="EAH26" s="146"/>
      <c r="EAI26" s="146"/>
      <c r="EAJ26" s="146"/>
      <c r="EAK26" s="146"/>
      <c r="EAL26" s="146"/>
      <c r="EAM26" s="146"/>
      <c r="EAN26" s="146"/>
      <c r="EAO26" s="146"/>
      <c r="EAP26" s="146"/>
      <c r="EAQ26" s="146"/>
      <c r="EAR26" s="146"/>
      <c r="EAS26" s="146"/>
      <c r="EAT26" s="146"/>
      <c r="EAU26" s="146"/>
      <c r="EAV26" s="146"/>
      <c r="EAW26" s="146"/>
      <c r="EAX26" s="146"/>
      <c r="EAY26" s="146"/>
      <c r="EAZ26" s="146"/>
      <c r="EBA26" s="146"/>
      <c r="EBB26" s="146"/>
      <c r="EBC26" s="146"/>
      <c r="EBD26" s="146"/>
      <c r="EBE26" s="146"/>
      <c r="EBF26" s="146"/>
      <c r="EBG26" s="146"/>
      <c r="EBH26" s="146"/>
      <c r="EBI26" s="146"/>
      <c r="EBJ26" s="146"/>
      <c r="EBK26" s="146"/>
      <c r="EBL26" s="146"/>
      <c r="EBM26" s="146"/>
      <c r="EBN26" s="146"/>
      <c r="EBO26" s="146"/>
      <c r="EBP26" s="146"/>
      <c r="EBQ26" s="146"/>
      <c r="EBR26" s="146"/>
      <c r="EBS26" s="146"/>
      <c r="EBT26" s="146"/>
      <c r="EBU26" s="146"/>
      <c r="EBV26" s="146"/>
      <c r="EBW26" s="146"/>
      <c r="EBX26" s="146"/>
      <c r="EBY26" s="146"/>
      <c r="EBZ26" s="146"/>
      <c r="ECA26" s="146"/>
      <c r="ECB26" s="146"/>
      <c r="ECC26" s="146"/>
      <c r="ECD26" s="146"/>
      <c r="ECE26" s="146"/>
      <c r="ECF26" s="146"/>
      <c r="ECG26" s="146"/>
      <c r="ECH26" s="146"/>
      <c r="ECI26" s="146"/>
      <c r="ECJ26" s="146"/>
      <c r="ECK26" s="146"/>
      <c r="ECL26" s="146"/>
      <c r="ECM26" s="146"/>
      <c r="ECN26" s="146"/>
      <c r="ECO26" s="146"/>
      <c r="ECP26" s="146"/>
      <c r="ECQ26" s="146"/>
      <c r="ECR26" s="146"/>
      <c r="ECS26" s="146"/>
      <c r="ECT26" s="146"/>
      <c r="ECU26" s="146"/>
      <c r="ECV26" s="146"/>
      <c r="ECW26" s="146"/>
      <c r="ECX26" s="146"/>
      <c r="ECY26" s="146"/>
      <c r="ECZ26" s="146"/>
      <c r="EDA26" s="146"/>
      <c r="EDB26" s="146"/>
      <c r="EDC26" s="146"/>
      <c r="EDD26" s="146"/>
      <c r="EDE26" s="146"/>
      <c r="EDF26" s="146"/>
      <c r="EDG26" s="146"/>
      <c r="EDH26" s="146"/>
      <c r="EDI26" s="146"/>
      <c r="EDJ26" s="146"/>
      <c r="EDK26" s="146"/>
      <c r="EDL26" s="146"/>
      <c r="EDM26" s="146"/>
      <c r="EDN26" s="146"/>
      <c r="EDO26" s="146"/>
      <c r="EDP26" s="146"/>
      <c r="EDQ26" s="146"/>
      <c r="EDR26" s="146"/>
      <c r="EDS26" s="146"/>
      <c r="EDT26" s="146"/>
      <c r="EDU26" s="146"/>
      <c r="EDV26" s="146"/>
      <c r="EDW26" s="146"/>
      <c r="EDX26" s="146"/>
      <c r="EDY26" s="146"/>
      <c r="EDZ26" s="146"/>
      <c r="EEA26" s="146"/>
      <c r="EEB26" s="146"/>
      <c r="EEC26" s="146"/>
      <c r="EED26" s="146"/>
      <c r="EEE26" s="146"/>
      <c r="EEF26" s="146"/>
      <c r="EEG26" s="146"/>
      <c r="EEH26" s="146"/>
      <c r="EEI26" s="146"/>
      <c r="EEJ26" s="146"/>
      <c r="EEK26" s="146"/>
      <c r="EEL26" s="146"/>
      <c r="EEM26" s="146"/>
      <c r="EEN26" s="146"/>
      <c r="EEO26" s="146"/>
      <c r="EEP26" s="146"/>
      <c r="EEQ26" s="146"/>
      <c r="EER26" s="146"/>
      <c r="EES26" s="146"/>
      <c r="EET26" s="146"/>
      <c r="EEU26" s="146"/>
      <c r="EEV26" s="146"/>
      <c r="EEW26" s="146"/>
      <c r="EEX26" s="146"/>
      <c r="EEY26" s="146"/>
      <c r="EEZ26" s="146"/>
      <c r="EFA26" s="146"/>
      <c r="EFB26" s="146"/>
      <c r="EFC26" s="146"/>
      <c r="EFD26" s="146"/>
      <c r="EFE26" s="146"/>
      <c r="EFF26" s="146"/>
      <c r="EFG26" s="146"/>
      <c r="EFH26" s="146"/>
      <c r="EFI26" s="146"/>
      <c r="EFJ26" s="146"/>
      <c r="EFK26" s="146"/>
      <c r="EFL26" s="146"/>
      <c r="EFM26" s="146"/>
      <c r="EFN26" s="146"/>
      <c r="EFO26" s="146"/>
      <c r="EFP26" s="146"/>
      <c r="EFQ26" s="146"/>
      <c r="EFR26" s="146"/>
      <c r="EFS26" s="146"/>
      <c r="EFT26" s="146"/>
      <c r="EFU26" s="146"/>
      <c r="EFV26" s="146"/>
      <c r="EFW26" s="146"/>
      <c r="EFX26" s="146"/>
      <c r="EFY26" s="146"/>
      <c r="EFZ26" s="146"/>
      <c r="EGA26" s="146"/>
      <c r="EGB26" s="146"/>
      <c r="EGC26" s="146"/>
      <c r="EGD26" s="146"/>
      <c r="EGE26" s="146"/>
      <c r="EGF26" s="146"/>
      <c r="EGG26" s="146"/>
      <c r="EGH26" s="146"/>
      <c r="EGI26" s="146"/>
      <c r="EGJ26" s="146"/>
      <c r="EGK26" s="146"/>
      <c r="EGL26" s="146"/>
      <c r="EGM26" s="146"/>
      <c r="EGN26" s="146"/>
      <c r="EGO26" s="146"/>
      <c r="EGP26" s="146"/>
      <c r="EGQ26" s="146"/>
      <c r="EGR26" s="146"/>
      <c r="EGS26" s="146"/>
      <c r="EGT26" s="146"/>
      <c r="EGU26" s="146"/>
      <c r="EGV26" s="146"/>
      <c r="EGW26" s="146"/>
      <c r="EGX26" s="146"/>
      <c r="EGY26" s="146"/>
      <c r="EGZ26" s="146"/>
      <c r="EHA26" s="146"/>
      <c r="EHB26" s="146"/>
      <c r="EHC26" s="146"/>
      <c r="EHD26" s="146"/>
      <c r="EHE26" s="146"/>
      <c r="EHF26" s="146"/>
      <c r="EHG26" s="146"/>
      <c r="EHH26" s="146"/>
      <c r="EHI26" s="146"/>
      <c r="EHJ26" s="146"/>
      <c r="EHK26" s="146"/>
      <c r="EHL26" s="146"/>
      <c r="EHM26" s="146"/>
      <c r="EHN26" s="146"/>
      <c r="EHO26" s="146"/>
      <c r="EHP26" s="146"/>
      <c r="EHQ26" s="146"/>
      <c r="EHR26" s="146"/>
      <c r="EHS26" s="146"/>
      <c r="EHT26" s="146"/>
      <c r="EHU26" s="146"/>
      <c r="EHV26" s="146"/>
      <c r="EHW26" s="146"/>
      <c r="EHX26" s="146"/>
      <c r="EHY26" s="146"/>
      <c r="EHZ26" s="146"/>
      <c r="EIA26" s="146"/>
      <c r="EIB26" s="146"/>
      <c r="EIC26" s="146"/>
      <c r="EID26" s="146"/>
      <c r="EIE26" s="146"/>
      <c r="EIF26" s="146"/>
      <c r="EIG26" s="146"/>
      <c r="EIH26" s="146"/>
      <c r="EII26" s="146"/>
      <c r="EIJ26" s="146"/>
      <c r="EIK26" s="146"/>
      <c r="EIL26" s="146"/>
      <c r="EIM26" s="146"/>
      <c r="EIN26" s="146"/>
      <c r="EIO26" s="146"/>
      <c r="EIP26" s="146"/>
      <c r="EIQ26" s="146"/>
      <c r="EIR26" s="146"/>
      <c r="EIS26" s="146"/>
      <c r="EIT26" s="146"/>
      <c r="EIU26" s="146"/>
      <c r="EIV26" s="146"/>
      <c r="EIW26" s="146"/>
      <c r="EIX26" s="146"/>
      <c r="EIY26" s="146"/>
      <c r="EIZ26" s="146"/>
      <c r="EJA26" s="146"/>
      <c r="EJB26" s="146"/>
      <c r="EJC26" s="146"/>
      <c r="EJD26" s="146"/>
      <c r="EJE26" s="146"/>
      <c r="EJF26" s="146"/>
      <c r="EJG26" s="146"/>
      <c r="EJH26" s="146"/>
      <c r="EJI26" s="146"/>
      <c r="EJJ26" s="146"/>
      <c r="EJK26" s="146"/>
      <c r="EJL26" s="146"/>
      <c r="EJM26" s="146"/>
      <c r="EJN26" s="146"/>
      <c r="EJO26" s="146"/>
      <c r="EJP26" s="146"/>
      <c r="EJQ26" s="146"/>
      <c r="EJR26" s="146"/>
      <c r="EJS26" s="146"/>
      <c r="EJT26" s="146"/>
      <c r="EJU26" s="146"/>
      <c r="EJV26" s="146"/>
      <c r="EJW26" s="146"/>
      <c r="EJX26" s="146"/>
      <c r="EJY26" s="146"/>
      <c r="EJZ26" s="146"/>
      <c r="EKA26" s="146"/>
      <c r="EKB26" s="146"/>
      <c r="EKC26" s="146"/>
      <c r="EKD26" s="146"/>
      <c r="EKE26" s="146"/>
      <c r="EKF26" s="146"/>
      <c r="EKG26" s="146"/>
      <c r="EKH26" s="146"/>
      <c r="EKI26" s="146"/>
      <c r="EKJ26" s="146"/>
      <c r="EKK26" s="146"/>
      <c r="EKL26" s="146"/>
      <c r="EKM26" s="146"/>
      <c r="EKN26" s="146"/>
      <c r="EKO26" s="146"/>
      <c r="EKP26" s="146"/>
      <c r="EKQ26" s="146"/>
      <c r="EKR26" s="146"/>
      <c r="EKS26" s="146"/>
      <c r="EKT26" s="146"/>
      <c r="EKU26" s="146"/>
      <c r="EKV26" s="146"/>
      <c r="EKW26" s="146"/>
      <c r="EKX26" s="146"/>
      <c r="EKY26" s="146"/>
      <c r="EKZ26" s="146"/>
      <c r="ELA26" s="146"/>
      <c r="ELB26" s="146"/>
      <c r="ELC26" s="146"/>
      <c r="ELD26" s="146"/>
      <c r="ELE26" s="146"/>
      <c r="ELF26" s="146"/>
      <c r="ELG26" s="146"/>
      <c r="ELH26" s="146"/>
      <c r="ELI26" s="146"/>
      <c r="ELJ26" s="146"/>
      <c r="ELK26" s="146"/>
      <c r="ELL26" s="146"/>
      <c r="ELM26" s="146"/>
      <c r="ELN26" s="146"/>
      <c r="ELO26" s="146"/>
      <c r="ELP26" s="146"/>
      <c r="ELQ26" s="146"/>
      <c r="ELR26" s="146"/>
      <c r="ELS26" s="146"/>
      <c r="ELT26" s="146"/>
      <c r="ELU26" s="146"/>
      <c r="ELV26" s="146"/>
      <c r="ELW26" s="146"/>
      <c r="ELX26" s="146"/>
      <c r="ELY26" s="146"/>
      <c r="ELZ26" s="146"/>
      <c r="EMA26" s="146"/>
      <c r="EMB26" s="146"/>
      <c r="EMC26" s="146"/>
      <c r="EMD26" s="146"/>
      <c r="EME26" s="146"/>
      <c r="EMF26" s="146"/>
      <c r="EMG26" s="146"/>
      <c r="EMH26" s="146"/>
      <c r="EMI26" s="146"/>
      <c r="EMJ26" s="146"/>
      <c r="EMK26" s="146"/>
      <c r="EML26" s="146"/>
      <c r="EMM26" s="146"/>
      <c r="EMN26" s="146"/>
      <c r="EMO26" s="146"/>
      <c r="EMP26" s="146"/>
      <c r="EMQ26" s="146"/>
      <c r="EMR26" s="146"/>
      <c r="EMS26" s="146"/>
      <c r="EMT26" s="146"/>
      <c r="EMU26" s="146"/>
      <c r="EMV26" s="146"/>
      <c r="EMW26" s="146"/>
      <c r="EMX26" s="146"/>
      <c r="EMY26" s="146"/>
      <c r="EMZ26" s="146"/>
      <c r="ENA26" s="146"/>
      <c r="ENB26" s="146"/>
      <c r="ENC26" s="146"/>
      <c r="END26" s="146"/>
      <c r="ENE26" s="146"/>
      <c r="ENF26" s="146"/>
      <c r="ENG26" s="146"/>
      <c r="ENH26" s="146"/>
      <c r="ENI26" s="146"/>
      <c r="ENJ26" s="146"/>
      <c r="ENK26" s="146"/>
      <c r="ENL26" s="146"/>
      <c r="ENM26" s="146"/>
      <c r="ENN26" s="146"/>
      <c r="ENO26" s="146"/>
      <c r="ENP26" s="146"/>
      <c r="ENQ26" s="146"/>
      <c r="ENR26" s="146"/>
      <c r="ENS26" s="146"/>
      <c r="ENT26" s="146"/>
      <c r="ENU26" s="146"/>
      <c r="ENV26" s="146"/>
      <c r="ENW26" s="146"/>
      <c r="ENX26" s="146"/>
      <c r="ENY26" s="146"/>
      <c r="ENZ26" s="146"/>
      <c r="EOA26" s="146"/>
      <c r="EOB26" s="146"/>
      <c r="EOC26" s="146"/>
      <c r="EOD26" s="146"/>
      <c r="EOE26" s="146"/>
      <c r="EOF26" s="146"/>
      <c r="EOG26" s="146"/>
      <c r="EOH26" s="146"/>
      <c r="EOI26" s="146"/>
      <c r="EOJ26" s="146"/>
      <c r="EOK26" s="146"/>
      <c r="EOL26" s="146"/>
      <c r="EOM26" s="146"/>
      <c r="EON26" s="146"/>
      <c r="EOO26" s="146"/>
      <c r="EOP26" s="146"/>
      <c r="EOQ26" s="146"/>
      <c r="EOR26" s="146"/>
      <c r="EOS26" s="146"/>
      <c r="EOT26" s="146"/>
      <c r="EOU26" s="146"/>
      <c r="EOV26" s="146"/>
      <c r="EOW26" s="146"/>
      <c r="EOX26" s="146"/>
      <c r="EOY26" s="146"/>
      <c r="EOZ26" s="146"/>
      <c r="EPA26" s="146"/>
      <c r="EPB26" s="146"/>
      <c r="EPC26" s="146"/>
      <c r="EPD26" s="146"/>
      <c r="EPE26" s="146"/>
      <c r="EPF26" s="146"/>
      <c r="EPG26" s="146"/>
      <c r="EPH26" s="146"/>
      <c r="EPI26" s="146"/>
      <c r="EPJ26" s="146"/>
      <c r="EPK26" s="146"/>
      <c r="EPL26" s="146"/>
      <c r="EPM26" s="146"/>
      <c r="EPN26" s="146"/>
      <c r="EPO26" s="146"/>
      <c r="EPP26" s="146"/>
      <c r="EPQ26" s="146"/>
      <c r="EPR26" s="146"/>
      <c r="EPS26" s="146"/>
      <c r="EPT26" s="146"/>
      <c r="EPU26" s="146"/>
      <c r="EPV26" s="146"/>
      <c r="EPW26" s="146"/>
      <c r="EPX26" s="146"/>
      <c r="EPY26" s="146"/>
      <c r="EPZ26" s="146"/>
      <c r="EQA26" s="146"/>
      <c r="EQB26" s="146"/>
      <c r="EQC26" s="146"/>
      <c r="EQD26" s="146"/>
      <c r="EQE26" s="146"/>
      <c r="EQF26" s="146"/>
      <c r="EQG26" s="146"/>
      <c r="EQH26" s="146"/>
      <c r="EQI26" s="146"/>
      <c r="EQJ26" s="146"/>
      <c r="EQK26" s="146"/>
      <c r="EQL26" s="146"/>
      <c r="EQM26" s="146"/>
      <c r="EQN26" s="146"/>
      <c r="EQO26" s="146"/>
      <c r="EQP26" s="146"/>
      <c r="EQQ26" s="146"/>
      <c r="EQR26" s="146"/>
      <c r="EQS26" s="146"/>
      <c r="EQT26" s="146"/>
      <c r="EQU26" s="146"/>
      <c r="EQV26" s="146"/>
      <c r="EQW26" s="146"/>
      <c r="EQX26" s="146"/>
      <c r="EQY26" s="146"/>
      <c r="EQZ26" s="146"/>
      <c r="ERA26" s="146"/>
      <c r="ERB26" s="146"/>
      <c r="ERC26" s="146"/>
      <c r="ERD26" s="146"/>
      <c r="ERE26" s="146"/>
      <c r="ERF26" s="146"/>
      <c r="ERG26" s="146"/>
      <c r="ERH26" s="146"/>
      <c r="ERI26" s="146"/>
      <c r="ERJ26" s="146"/>
      <c r="ERK26" s="146"/>
      <c r="ERL26" s="146"/>
      <c r="ERM26" s="146"/>
      <c r="ERN26" s="146"/>
      <c r="ERO26" s="146"/>
      <c r="ERP26" s="146"/>
      <c r="ERQ26" s="146"/>
      <c r="ERR26" s="146"/>
      <c r="ERS26" s="146"/>
      <c r="ERT26" s="146"/>
      <c r="ERU26" s="146"/>
      <c r="ERV26" s="146"/>
      <c r="ERW26" s="146"/>
      <c r="ERX26" s="146"/>
      <c r="ERY26" s="146"/>
      <c r="ERZ26" s="146"/>
      <c r="ESA26" s="146"/>
      <c r="ESB26" s="146"/>
      <c r="ESC26" s="146"/>
      <c r="ESD26" s="146"/>
      <c r="ESE26" s="146"/>
      <c r="ESF26" s="146"/>
      <c r="ESG26" s="146"/>
      <c r="ESH26" s="146"/>
      <c r="ESI26" s="146"/>
      <c r="ESJ26" s="146"/>
      <c r="ESK26" s="146"/>
      <c r="ESL26" s="146"/>
      <c r="ESM26" s="146"/>
      <c r="ESN26" s="146"/>
      <c r="ESO26" s="146"/>
      <c r="ESP26" s="146"/>
      <c r="ESQ26" s="146"/>
      <c r="ESR26" s="146"/>
      <c r="ESS26" s="146"/>
      <c r="EST26" s="146"/>
      <c r="ESU26" s="146"/>
      <c r="ESV26" s="146"/>
      <c r="ESW26" s="146"/>
      <c r="ESX26" s="146"/>
      <c r="ESY26" s="146"/>
      <c r="ESZ26" s="146"/>
      <c r="ETA26" s="146"/>
      <c r="ETB26" s="146"/>
      <c r="ETC26" s="146"/>
      <c r="ETD26" s="146"/>
      <c r="ETE26" s="146"/>
      <c r="ETF26" s="146"/>
      <c r="ETG26" s="146"/>
      <c r="ETH26" s="146"/>
      <c r="ETI26" s="146"/>
      <c r="ETJ26" s="146"/>
      <c r="ETK26" s="146"/>
      <c r="ETL26" s="146"/>
      <c r="ETM26" s="146"/>
      <c r="ETN26" s="146"/>
      <c r="ETO26" s="146"/>
      <c r="ETP26" s="146"/>
      <c r="ETQ26" s="146"/>
      <c r="ETR26" s="146"/>
      <c r="ETS26" s="146"/>
      <c r="ETT26" s="146"/>
      <c r="ETU26" s="146"/>
      <c r="ETV26" s="146"/>
      <c r="ETW26" s="146"/>
      <c r="ETX26" s="146"/>
      <c r="ETY26" s="146"/>
      <c r="ETZ26" s="146"/>
      <c r="EUA26" s="146"/>
      <c r="EUB26" s="146"/>
      <c r="EUC26" s="146"/>
      <c r="EUD26" s="146"/>
      <c r="EUE26" s="146"/>
      <c r="EUF26" s="146"/>
      <c r="EUG26" s="146"/>
      <c r="EUH26" s="146"/>
      <c r="EUI26" s="146"/>
      <c r="EUJ26" s="146"/>
      <c r="EUK26" s="146"/>
      <c r="EUL26" s="146"/>
      <c r="EUM26" s="146"/>
      <c r="EUN26" s="146"/>
      <c r="EUO26" s="146"/>
      <c r="EUP26" s="146"/>
      <c r="EUQ26" s="146"/>
      <c r="EUR26" s="146"/>
      <c r="EUS26" s="146"/>
      <c r="EUT26" s="146"/>
      <c r="EUU26" s="146"/>
      <c r="EUV26" s="146"/>
      <c r="EUW26" s="146"/>
      <c r="EUX26" s="146"/>
      <c r="EUY26" s="146"/>
      <c r="EUZ26" s="146"/>
      <c r="EVA26" s="146"/>
      <c r="EVB26" s="146"/>
      <c r="EVC26" s="146"/>
      <c r="EVD26" s="146"/>
      <c r="EVE26" s="146"/>
      <c r="EVF26" s="146"/>
      <c r="EVG26" s="146"/>
      <c r="EVH26" s="146"/>
      <c r="EVI26" s="146"/>
      <c r="EVJ26" s="146"/>
      <c r="EVK26" s="146"/>
      <c r="EVL26" s="146"/>
      <c r="EVM26" s="146"/>
      <c r="EVN26" s="146"/>
      <c r="EVO26" s="146"/>
      <c r="EVP26" s="146"/>
      <c r="EVQ26" s="146"/>
      <c r="EVR26" s="146"/>
      <c r="EVS26" s="146"/>
      <c r="EVT26" s="146"/>
      <c r="EVU26" s="146"/>
      <c r="EVV26" s="146"/>
      <c r="EVW26" s="146"/>
      <c r="EVX26" s="146"/>
      <c r="EVY26" s="146"/>
      <c r="EVZ26" s="146"/>
      <c r="EWA26" s="146"/>
      <c r="EWB26" s="146"/>
      <c r="EWC26" s="146"/>
      <c r="EWD26" s="146"/>
      <c r="EWE26" s="146"/>
      <c r="EWF26" s="146"/>
      <c r="EWG26" s="146"/>
      <c r="EWH26" s="146"/>
      <c r="EWI26" s="146"/>
      <c r="EWJ26" s="146"/>
      <c r="EWK26" s="146"/>
      <c r="EWL26" s="146"/>
      <c r="EWM26" s="146"/>
      <c r="EWN26" s="146"/>
      <c r="EWO26" s="146"/>
      <c r="EWP26" s="146"/>
      <c r="EWQ26" s="146"/>
      <c r="EWR26" s="146"/>
      <c r="EWS26" s="146"/>
      <c r="EWT26" s="146"/>
      <c r="EWU26" s="146"/>
      <c r="EWV26" s="146"/>
      <c r="EWW26" s="146"/>
      <c r="EWX26" s="146"/>
      <c r="EWY26" s="146"/>
      <c r="EWZ26" s="146"/>
      <c r="EXA26" s="146"/>
      <c r="EXB26" s="146"/>
      <c r="EXC26" s="146"/>
      <c r="EXD26" s="146"/>
      <c r="EXE26" s="146"/>
      <c r="EXF26" s="146"/>
      <c r="EXG26" s="146"/>
      <c r="EXH26" s="146"/>
      <c r="EXI26" s="146"/>
      <c r="EXJ26" s="146"/>
      <c r="EXK26" s="146"/>
      <c r="EXL26" s="146"/>
      <c r="EXM26" s="146"/>
      <c r="EXN26" s="146"/>
      <c r="EXO26" s="146"/>
      <c r="EXP26" s="146"/>
      <c r="EXQ26" s="146"/>
      <c r="EXR26" s="146"/>
      <c r="EXS26" s="146"/>
      <c r="EXT26" s="146"/>
      <c r="EXU26" s="146"/>
      <c r="EXV26" s="146"/>
      <c r="EXW26" s="146"/>
      <c r="EXX26" s="146"/>
      <c r="EXY26" s="146"/>
      <c r="EXZ26" s="146"/>
      <c r="EYA26" s="146"/>
      <c r="EYB26" s="146"/>
      <c r="EYC26" s="146"/>
      <c r="EYD26" s="146"/>
      <c r="EYE26" s="146"/>
      <c r="EYF26" s="146"/>
      <c r="EYG26" s="146"/>
      <c r="EYH26" s="146"/>
      <c r="EYI26" s="146"/>
      <c r="EYJ26" s="146"/>
      <c r="EYK26" s="146"/>
      <c r="EYL26" s="146"/>
      <c r="EYM26" s="146"/>
      <c r="EYN26" s="146"/>
      <c r="EYO26" s="146"/>
      <c r="EYP26" s="146"/>
      <c r="EYQ26" s="146"/>
      <c r="EYR26" s="146"/>
      <c r="EYS26" s="146"/>
      <c r="EYT26" s="146"/>
      <c r="EYU26" s="146"/>
      <c r="EYV26" s="146"/>
      <c r="EYW26" s="146"/>
      <c r="EYX26" s="146"/>
      <c r="EYY26" s="146"/>
      <c r="EYZ26" s="146"/>
      <c r="EZA26" s="146"/>
      <c r="EZB26" s="146"/>
      <c r="EZC26" s="146"/>
      <c r="EZD26" s="146"/>
      <c r="EZE26" s="146"/>
      <c r="EZF26" s="146"/>
      <c r="EZG26" s="146"/>
      <c r="EZH26" s="146"/>
      <c r="EZI26" s="146"/>
      <c r="EZJ26" s="146"/>
      <c r="EZK26" s="146"/>
      <c r="EZL26" s="146"/>
      <c r="EZM26" s="146"/>
      <c r="EZN26" s="146"/>
      <c r="EZO26" s="146"/>
      <c r="EZP26" s="146"/>
      <c r="EZQ26" s="146"/>
      <c r="EZR26" s="146"/>
      <c r="EZS26" s="146"/>
      <c r="EZT26" s="146"/>
      <c r="EZU26" s="146"/>
      <c r="EZV26" s="146"/>
      <c r="EZW26" s="146"/>
      <c r="EZX26" s="146"/>
      <c r="EZY26" s="146"/>
      <c r="EZZ26" s="146"/>
      <c r="FAA26" s="146"/>
      <c r="FAB26" s="146"/>
      <c r="FAC26" s="146"/>
      <c r="FAD26" s="146"/>
      <c r="FAE26" s="146"/>
      <c r="FAF26" s="146"/>
      <c r="FAG26" s="146"/>
      <c r="FAH26" s="146"/>
      <c r="FAI26" s="146"/>
      <c r="FAJ26" s="146"/>
      <c r="FAK26" s="146"/>
      <c r="FAL26" s="146"/>
      <c r="FAM26" s="146"/>
      <c r="FAN26" s="146"/>
      <c r="FAO26" s="146"/>
      <c r="FAP26" s="146"/>
      <c r="FAQ26" s="146"/>
      <c r="FAR26" s="146"/>
      <c r="FAS26" s="146"/>
      <c r="FAT26" s="146"/>
      <c r="FAU26" s="146"/>
      <c r="FAV26" s="146"/>
      <c r="FAW26" s="146"/>
      <c r="FAX26" s="146"/>
      <c r="FAY26" s="146"/>
      <c r="FAZ26" s="146"/>
      <c r="FBA26" s="146"/>
      <c r="FBB26" s="146"/>
      <c r="FBC26" s="146"/>
      <c r="FBD26" s="146"/>
      <c r="FBE26" s="146"/>
      <c r="FBF26" s="146"/>
      <c r="FBG26" s="146"/>
      <c r="FBH26" s="146"/>
      <c r="FBI26" s="146"/>
      <c r="FBJ26" s="146"/>
      <c r="FBK26" s="146"/>
      <c r="FBL26" s="146"/>
      <c r="FBM26" s="146"/>
      <c r="FBN26" s="146"/>
      <c r="FBO26" s="146"/>
      <c r="FBP26" s="146"/>
      <c r="FBQ26" s="146"/>
      <c r="FBR26" s="146"/>
      <c r="FBS26" s="146"/>
      <c r="FBT26" s="146"/>
      <c r="FBU26" s="146"/>
      <c r="FBV26" s="146"/>
      <c r="FBW26" s="146"/>
      <c r="FBX26" s="146"/>
      <c r="FBY26" s="146"/>
      <c r="FBZ26" s="146"/>
      <c r="FCA26" s="146"/>
      <c r="FCB26" s="146"/>
      <c r="FCC26" s="146"/>
      <c r="FCD26" s="146"/>
      <c r="FCE26" s="146"/>
      <c r="FCF26" s="146"/>
      <c r="FCG26" s="146"/>
      <c r="FCH26" s="146"/>
      <c r="FCI26" s="146"/>
      <c r="FCJ26" s="146"/>
      <c r="FCK26" s="146"/>
      <c r="FCL26" s="146"/>
      <c r="FCM26" s="146"/>
      <c r="FCN26" s="146"/>
      <c r="FCO26" s="146"/>
      <c r="FCP26" s="146"/>
      <c r="FCQ26" s="146"/>
      <c r="FCR26" s="146"/>
      <c r="FCS26" s="146"/>
      <c r="FCT26" s="146"/>
      <c r="FCU26" s="146"/>
      <c r="FCV26" s="146"/>
      <c r="FCW26" s="146"/>
      <c r="FCX26" s="146"/>
      <c r="FCY26" s="146"/>
      <c r="FCZ26" s="146"/>
      <c r="FDA26" s="146"/>
      <c r="FDB26" s="146"/>
      <c r="FDC26" s="146"/>
      <c r="FDD26" s="146"/>
      <c r="FDE26" s="146"/>
      <c r="FDF26" s="146"/>
      <c r="FDG26" s="146"/>
      <c r="FDH26" s="146"/>
      <c r="FDI26" s="146"/>
      <c r="FDJ26" s="146"/>
      <c r="FDK26" s="146"/>
      <c r="FDL26" s="146"/>
      <c r="FDM26" s="146"/>
      <c r="FDN26" s="146"/>
      <c r="FDO26" s="146"/>
      <c r="FDP26" s="146"/>
      <c r="FDQ26" s="146"/>
      <c r="FDR26" s="146"/>
      <c r="FDS26" s="146"/>
      <c r="FDT26" s="146"/>
      <c r="FDU26" s="146"/>
      <c r="FDV26" s="146"/>
      <c r="FDW26" s="146"/>
      <c r="FDX26" s="146"/>
      <c r="FDY26" s="146"/>
      <c r="FDZ26" s="146"/>
      <c r="FEA26" s="146"/>
      <c r="FEB26" s="146"/>
      <c r="FEC26" s="146"/>
      <c r="FED26" s="146"/>
      <c r="FEE26" s="146"/>
      <c r="FEF26" s="146"/>
      <c r="FEG26" s="146"/>
      <c r="FEH26" s="146"/>
      <c r="FEI26" s="146"/>
      <c r="FEJ26" s="146"/>
      <c r="FEK26" s="146"/>
      <c r="FEL26" s="146"/>
      <c r="FEM26" s="146"/>
      <c r="FEN26" s="146"/>
      <c r="FEO26" s="146"/>
      <c r="FEP26" s="146"/>
      <c r="FEQ26" s="146"/>
      <c r="FER26" s="146"/>
      <c r="FES26" s="146"/>
      <c r="FET26" s="146"/>
      <c r="FEU26" s="146"/>
      <c r="FEV26" s="146"/>
      <c r="FEW26" s="146"/>
      <c r="FEX26" s="146"/>
      <c r="FEY26" s="146"/>
      <c r="FEZ26" s="146"/>
      <c r="FFA26" s="146"/>
      <c r="FFB26" s="146"/>
      <c r="FFC26" s="146"/>
      <c r="FFD26" s="146"/>
      <c r="FFE26" s="146"/>
      <c r="FFF26" s="146"/>
      <c r="FFG26" s="146"/>
      <c r="FFH26" s="146"/>
      <c r="FFI26" s="146"/>
      <c r="FFJ26" s="146"/>
      <c r="FFK26" s="146"/>
      <c r="FFL26" s="146"/>
      <c r="FFM26" s="146"/>
      <c r="FFN26" s="146"/>
      <c r="FFO26" s="146"/>
      <c r="FFP26" s="146"/>
      <c r="FFQ26" s="146"/>
      <c r="FFR26" s="146"/>
      <c r="FFS26" s="146"/>
      <c r="FFT26" s="146"/>
      <c r="FFU26" s="146"/>
      <c r="FFV26" s="146"/>
      <c r="FFW26" s="146"/>
      <c r="FFX26" s="146"/>
      <c r="FFY26" s="146"/>
      <c r="FFZ26" s="146"/>
      <c r="FGA26" s="146"/>
      <c r="FGB26" s="146"/>
      <c r="FGC26" s="146"/>
      <c r="FGD26" s="146"/>
      <c r="FGE26" s="146"/>
      <c r="FGF26" s="146"/>
      <c r="FGG26" s="146"/>
      <c r="FGH26" s="146"/>
      <c r="FGI26" s="146"/>
      <c r="FGJ26" s="146"/>
      <c r="FGK26" s="146"/>
      <c r="FGL26" s="146"/>
      <c r="FGM26" s="146"/>
      <c r="FGN26" s="146"/>
      <c r="FGO26" s="146"/>
      <c r="FGP26" s="146"/>
      <c r="FGQ26" s="146"/>
      <c r="FGR26" s="146"/>
      <c r="FGS26" s="146"/>
      <c r="FGT26" s="146"/>
      <c r="FGU26" s="146"/>
      <c r="FGV26" s="146"/>
      <c r="FGW26" s="146"/>
      <c r="FGX26" s="146"/>
      <c r="FGY26" s="146"/>
      <c r="FGZ26" s="146"/>
      <c r="FHA26" s="146"/>
      <c r="FHB26" s="146"/>
      <c r="FHC26" s="146"/>
      <c r="FHD26" s="146"/>
      <c r="FHE26" s="146"/>
      <c r="FHF26" s="146"/>
      <c r="FHG26" s="146"/>
      <c r="FHH26" s="146"/>
      <c r="FHI26" s="146"/>
      <c r="FHJ26" s="146"/>
      <c r="FHK26" s="146"/>
      <c r="FHL26" s="146"/>
      <c r="FHM26" s="146"/>
      <c r="FHN26" s="146"/>
      <c r="FHO26" s="146"/>
      <c r="FHP26" s="146"/>
      <c r="FHQ26" s="146"/>
      <c r="FHR26" s="146"/>
      <c r="FHS26" s="146"/>
      <c r="FHT26" s="146"/>
      <c r="FHU26" s="146"/>
      <c r="FHV26" s="146"/>
      <c r="FHW26" s="146"/>
      <c r="FHX26" s="146"/>
      <c r="FHY26" s="146"/>
      <c r="FHZ26" s="146"/>
      <c r="FIA26" s="146"/>
      <c r="FIB26" s="146"/>
      <c r="FIC26" s="146"/>
      <c r="FID26" s="146"/>
      <c r="FIE26" s="146"/>
      <c r="FIF26" s="146"/>
      <c r="FIG26" s="146"/>
      <c r="FIH26" s="146"/>
      <c r="FII26" s="146"/>
      <c r="FIJ26" s="146"/>
      <c r="FIK26" s="146"/>
      <c r="FIL26" s="146"/>
      <c r="FIM26" s="146"/>
      <c r="FIN26" s="146"/>
      <c r="FIO26" s="146"/>
      <c r="FIP26" s="146"/>
      <c r="FIQ26" s="146"/>
      <c r="FIR26" s="146"/>
      <c r="FIS26" s="146"/>
      <c r="FIT26" s="146"/>
      <c r="FIU26" s="146"/>
      <c r="FIV26" s="146"/>
      <c r="FIW26" s="146"/>
      <c r="FIX26" s="146"/>
      <c r="FIY26" s="146"/>
      <c r="FIZ26" s="146"/>
      <c r="FJA26" s="146"/>
      <c r="FJB26" s="146"/>
      <c r="FJC26" s="146"/>
      <c r="FJD26" s="146"/>
      <c r="FJE26" s="146"/>
      <c r="FJF26" s="146"/>
      <c r="FJG26" s="146"/>
      <c r="FJH26" s="146"/>
      <c r="FJI26" s="146"/>
      <c r="FJJ26" s="146"/>
      <c r="FJK26" s="146"/>
      <c r="FJL26" s="146"/>
      <c r="FJM26" s="146"/>
      <c r="FJN26" s="146"/>
      <c r="FJO26" s="146"/>
      <c r="FJP26" s="146"/>
      <c r="FJQ26" s="146"/>
      <c r="FJR26" s="146"/>
      <c r="FJS26" s="146"/>
      <c r="FJT26" s="146"/>
      <c r="FJU26" s="146"/>
      <c r="FJV26" s="146"/>
      <c r="FJW26" s="146"/>
      <c r="FJX26" s="146"/>
      <c r="FJY26" s="146"/>
      <c r="FJZ26" s="146"/>
      <c r="FKA26" s="146"/>
      <c r="FKB26" s="146"/>
      <c r="FKC26" s="146"/>
      <c r="FKD26" s="146"/>
      <c r="FKE26" s="146"/>
      <c r="FKF26" s="146"/>
      <c r="FKG26" s="146"/>
      <c r="FKH26" s="146"/>
      <c r="FKI26" s="146"/>
      <c r="FKJ26" s="146"/>
      <c r="FKK26" s="146"/>
      <c r="FKL26" s="146"/>
      <c r="FKM26" s="146"/>
      <c r="FKN26" s="146"/>
      <c r="FKO26" s="146"/>
      <c r="FKP26" s="146"/>
      <c r="FKQ26" s="146"/>
      <c r="FKR26" s="146"/>
      <c r="FKS26" s="146"/>
      <c r="FKT26" s="146"/>
      <c r="FKU26" s="146"/>
      <c r="FKV26" s="146"/>
      <c r="FKW26" s="146"/>
      <c r="FKX26" s="146"/>
      <c r="FKY26" s="146"/>
      <c r="FKZ26" s="146"/>
      <c r="FLA26" s="146"/>
      <c r="FLB26" s="146"/>
      <c r="FLC26" s="146"/>
      <c r="FLD26" s="146"/>
      <c r="FLE26" s="146"/>
      <c r="FLF26" s="146"/>
      <c r="FLG26" s="146"/>
      <c r="FLH26" s="146"/>
      <c r="FLI26" s="146"/>
      <c r="FLJ26" s="146"/>
      <c r="FLK26" s="146"/>
      <c r="FLL26" s="146"/>
      <c r="FLM26" s="146"/>
      <c r="FLN26" s="146"/>
      <c r="FLO26" s="146"/>
      <c r="FLP26" s="146"/>
      <c r="FLQ26" s="146"/>
      <c r="FLR26" s="146"/>
      <c r="FLS26" s="146"/>
      <c r="FLT26" s="146"/>
      <c r="FLU26" s="146"/>
      <c r="FLV26" s="146"/>
      <c r="FLW26" s="146"/>
      <c r="FLX26" s="146"/>
      <c r="FLY26" s="146"/>
      <c r="FLZ26" s="146"/>
      <c r="FMA26" s="146"/>
      <c r="FMB26" s="146"/>
      <c r="FMC26" s="146"/>
      <c r="FMD26" s="146"/>
      <c r="FME26" s="146"/>
      <c r="FMF26" s="146"/>
      <c r="FMG26" s="146"/>
      <c r="FMH26" s="146"/>
      <c r="FMI26" s="146"/>
      <c r="FMJ26" s="146"/>
      <c r="FMK26" s="146"/>
      <c r="FML26" s="146"/>
      <c r="FMM26" s="146"/>
      <c r="FMN26" s="146"/>
      <c r="FMO26" s="146"/>
      <c r="FMP26" s="146"/>
      <c r="FMQ26" s="146"/>
      <c r="FMR26" s="146"/>
      <c r="FMS26" s="146"/>
      <c r="FMT26" s="146"/>
      <c r="FMU26" s="146"/>
      <c r="FMV26" s="146"/>
      <c r="FMW26" s="146"/>
      <c r="FMX26" s="146"/>
      <c r="FMY26" s="146"/>
      <c r="FMZ26" s="146"/>
      <c r="FNA26" s="146"/>
      <c r="FNB26" s="146"/>
      <c r="FNC26" s="146"/>
      <c r="FND26" s="146"/>
      <c r="FNE26" s="146"/>
      <c r="FNF26" s="146"/>
      <c r="FNG26" s="146"/>
      <c r="FNH26" s="146"/>
      <c r="FNI26" s="146"/>
      <c r="FNJ26" s="146"/>
      <c r="FNK26" s="146"/>
      <c r="FNL26" s="146"/>
      <c r="FNM26" s="146"/>
      <c r="FNN26" s="146"/>
      <c r="FNO26" s="146"/>
      <c r="FNP26" s="146"/>
      <c r="FNQ26" s="146"/>
      <c r="FNR26" s="146"/>
      <c r="FNS26" s="146"/>
      <c r="FNT26" s="146"/>
      <c r="FNU26" s="146"/>
      <c r="FNV26" s="146"/>
      <c r="FNW26" s="146"/>
      <c r="FNX26" s="146"/>
      <c r="FNY26" s="146"/>
      <c r="FNZ26" s="146"/>
      <c r="FOA26" s="146"/>
      <c r="FOB26" s="146"/>
      <c r="FOC26" s="146"/>
      <c r="FOD26" s="146"/>
      <c r="FOE26" s="146"/>
      <c r="FOF26" s="146"/>
      <c r="FOG26" s="146"/>
      <c r="FOH26" s="146"/>
      <c r="FOI26" s="146"/>
      <c r="FOJ26" s="146"/>
      <c r="FOK26" s="146"/>
      <c r="FOL26" s="146"/>
      <c r="FOM26" s="146"/>
      <c r="FON26" s="146"/>
      <c r="FOO26" s="146"/>
      <c r="FOP26" s="146"/>
      <c r="FOQ26" s="146"/>
      <c r="FOR26" s="146"/>
      <c r="FOS26" s="146"/>
      <c r="FOT26" s="146"/>
      <c r="FOU26" s="146"/>
      <c r="FOV26" s="146"/>
      <c r="FOW26" s="146"/>
      <c r="FOX26" s="146"/>
      <c r="FOY26" s="146"/>
      <c r="FOZ26" s="146"/>
      <c r="FPA26" s="146"/>
      <c r="FPB26" s="146"/>
      <c r="FPC26" s="146"/>
      <c r="FPD26" s="146"/>
      <c r="FPE26" s="146"/>
      <c r="FPF26" s="146"/>
      <c r="FPG26" s="146"/>
      <c r="FPH26" s="146"/>
      <c r="FPI26" s="146"/>
      <c r="FPJ26" s="146"/>
      <c r="FPK26" s="146"/>
      <c r="FPL26" s="146"/>
      <c r="FPM26" s="146"/>
      <c r="FPN26" s="146"/>
      <c r="FPO26" s="146"/>
      <c r="FPP26" s="146"/>
      <c r="FPQ26" s="146"/>
      <c r="FPR26" s="146"/>
      <c r="FPS26" s="146"/>
      <c r="FPT26" s="146"/>
      <c r="FPU26" s="146"/>
      <c r="FPV26" s="146"/>
      <c r="FPW26" s="146"/>
      <c r="FPX26" s="146"/>
      <c r="FPY26" s="146"/>
      <c r="FPZ26" s="146"/>
      <c r="FQA26" s="146"/>
      <c r="FQB26" s="146"/>
      <c r="FQC26" s="146"/>
      <c r="FQD26" s="146"/>
      <c r="FQE26" s="146"/>
      <c r="FQF26" s="146"/>
      <c r="FQG26" s="146"/>
      <c r="FQH26" s="146"/>
      <c r="FQI26" s="146"/>
      <c r="FQJ26" s="146"/>
      <c r="FQK26" s="146"/>
      <c r="FQL26" s="146"/>
      <c r="FQM26" s="146"/>
      <c r="FQN26" s="146"/>
      <c r="FQO26" s="146"/>
      <c r="FQP26" s="146"/>
      <c r="FQQ26" s="146"/>
      <c r="FQR26" s="146"/>
      <c r="FQS26" s="146"/>
      <c r="FQT26" s="146"/>
      <c r="FQU26" s="146"/>
      <c r="FQV26" s="146"/>
      <c r="FQW26" s="146"/>
      <c r="FQX26" s="146"/>
      <c r="FQY26" s="146"/>
      <c r="FQZ26" s="146"/>
      <c r="FRA26" s="146"/>
      <c r="FRB26" s="146"/>
      <c r="FRC26" s="146"/>
      <c r="FRD26" s="146"/>
      <c r="FRE26" s="146"/>
      <c r="FRF26" s="146"/>
      <c r="FRG26" s="146"/>
      <c r="FRH26" s="146"/>
      <c r="FRI26" s="146"/>
      <c r="FRJ26" s="146"/>
      <c r="FRK26" s="146"/>
      <c r="FRL26" s="146"/>
      <c r="FRM26" s="146"/>
      <c r="FRN26" s="146"/>
      <c r="FRO26" s="146"/>
      <c r="FRP26" s="146"/>
      <c r="FRQ26" s="146"/>
      <c r="FRR26" s="146"/>
      <c r="FRS26" s="146"/>
      <c r="FRT26" s="146"/>
      <c r="FRU26" s="146"/>
      <c r="FRV26" s="146"/>
      <c r="FRW26" s="146"/>
      <c r="FRX26" s="146"/>
      <c r="FRY26" s="146"/>
      <c r="FRZ26" s="146"/>
      <c r="FSA26" s="146"/>
      <c r="FSB26" s="146"/>
      <c r="FSC26" s="146"/>
      <c r="FSD26" s="146"/>
      <c r="FSE26" s="146"/>
      <c r="FSF26" s="146"/>
      <c r="FSG26" s="146"/>
      <c r="FSH26" s="146"/>
      <c r="FSI26" s="146"/>
      <c r="FSJ26" s="146"/>
      <c r="FSK26" s="146"/>
      <c r="FSL26" s="146"/>
      <c r="FSM26" s="146"/>
      <c r="FSN26" s="146"/>
      <c r="FSO26" s="146"/>
      <c r="FSP26" s="146"/>
      <c r="FSQ26" s="146"/>
      <c r="FSR26" s="146"/>
      <c r="FSS26" s="146"/>
      <c r="FST26" s="146"/>
      <c r="FSU26" s="146"/>
      <c r="FSV26" s="146"/>
      <c r="FSW26" s="146"/>
      <c r="FSX26" s="146"/>
      <c r="FSY26" s="146"/>
      <c r="FSZ26" s="146"/>
      <c r="FTA26" s="146"/>
      <c r="FTB26" s="146"/>
      <c r="FTC26" s="146"/>
      <c r="FTD26" s="146"/>
      <c r="FTE26" s="146"/>
      <c r="FTF26" s="146"/>
      <c r="FTG26" s="146"/>
      <c r="FTH26" s="146"/>
      <c r="FTI26" s="146"/>
      <c r="FTJ26" s="146"/>
      <c r="FTK26" s="146"/>
      <c r="FTL26" s="146"/>
      <c r="FTM26" s="146"/>
      <c r="FTN26" s="146"/>
      <c r="FTO26" s="146"/>
      <c r="FTP26" s="146"/>
      <c r="FTQ26" s="146"/>
      <c r="FTR26" s="146"/>
      <c r="FTS26" s="146"/>
      <c r="FTT26" s="146"/>
      <c r="FTU26" s="146"/>
      <c r="FTV26" s="146"/>
      <c r="FTW26" s="146"/>
      <c r="FTX26" s="146"/>
      <c r="FTY26" s="146"/>
      <c r="FTZ26" s="146"/>
      <c r="FUA26" s="146"/>
      <c r="FUB26" s="146"/>
      <c r="FUC26" s="146"/>
      <c r="FUD26" s="146"/>
      <c r="FUE26" s="146"/>
      <c r="FUF26" s="146"/>
      <c r="FUG26" s="146"/>
      <c r="FUH26" s="146"/>
      <c r="FUI26" s="146"/>
      <c r="FUJ26" s="146"/>
      <c r="FUK26" s="146"/>
      <c r="FUL26" s="146"/>
      <c r="FUM26" s="146"/>
      <c r="FUN26" s="146"/>
      <c r="FUO26" s="146"/>
      <c r="FUP26" s="146"/>
      <c r="FUQ26" s="146"/>
      <c r="FUR26" s="146"/>
      <c r="FUS26" s="146"/>
      <c r="FUT26" s="146"/>
      <c r="FUU26" s="146"/>
      <c r="FUV26" s="146"/>
      <c r="FUW26" s="146"/>
      <c r="FUX26" s="146"/>
      <c r="FUY26" s="146"/>
      <c r="FUZ26" s="146"/>
      <c r="FVA26" s="146"/>
      <c r="FVB26" s="146"/>
      <c r="FVC26" s="146"/>
      <c r="FVD26" s="146"/>
      <c r="FVE26" s="146"/>
      <c r="FVF26" s="146"/>
      <c r="FVG26" s="146"/>
      <c r="FVH26" s="146"/>
      <c r="FVI26" s="146"/>
      <c r="FVJ26" s="146"/>
      <c r="FVK26" s="146"/>
      <c r="FVL26" s="146"/>
      <c r="FVM26" s="146"/>
      <c r="FVN26" s="146"/>
      <c r="FVO26" s="146"/>
      <c r="FVP26" s="146"/>
      <c r="FVQ26" s="146"/>
      <c r="FVR26" s="146"/>
      <c r="FVS26" s="146"/>
      <c r="FVT26" s="146"/>
      <c r="FVU26" s="146"/>
      <c r="FVV26" s="146"/>
      <c r="FVW26" s="146"/>
      <c r="FVX26" s="146"/>
      <c r="FVY26" s="146"/>
      <c r="FVZ26" s="146"/>
      <c r="FWA26" s="146"/>
      <c r="FWB26" s="146"/>
      <c r="FWC26" s="146"/>
      <c r="FWD26" s="146"/>
      <c r="FWE26" s="146"/>
      <c r="FWF26" s="146"/>
      <c r="FWG26" s="146"/>
      <c r="FWH26" s="146"/>
      <c r="FWI26" s="146"/>
      <c r="FWJ26" s="146"/>
      <c r="FWK26" s="146"/>
      <c r="FWL26" s="146"/>
      <c r="FWM26" s="146"/>
      <c r="FWN26" s="146"/>
      <c r="FWO26" s="146"/>
      <c r="FWP26" s="146"/>
      <c r="FWQ26" s="146"/>
      <c r="FWR26" s="146"/>
      <c r="FWS26" s="146"/>
      <c r="FWT26" s="146"/>
      <c r="FWU26" s="146"/>
      <c r="FWV26" s="146"/>
      <c r="FWW26" s="146"/>
      <c r="FWX26" s="146"/>
      <c r="FWY26" s="146"/>
      <c r="FWZ26" s="146"/>
      <c r="FXA26" s="146"/>
      <c r="FXB26" s="146"/>
      <c r="FXC26" s="146"/>
      <c r="FXD26" s="146"/>
      <c r="FXE26" s="146"/>
      <c r="FXF26" s="146"/>
      <c r="FXG26" s="146"/>
      <c r="FXH26" s="146"/>
      <c r="FXI26" s="146"/>
      <c r="FXJ26" s="146"/>
      <c r="FXK26" s="146"/>
      <c r="FXL26" s="146"/>
      <c r="FXM26" s="146"/>
      <c r="FXN26" s="146"/>
      <c r="FXO26" s="146"/>
      <c r="FXP26" s="146"/>
      <c r="FXQ26" s="146"/>
      <c r="FXR26" s="146"/>
      <c r="FXS26" s="146"/>
      <c r="FXT26" s="146"/>
      <c r="FXU26" s="146"/>
      <c r="FXV26" s="146"/>
      <c r="FXW26" s="146"/>
      <c r="FXX26" s="146"/>
      <c r="FXY26" s="146"/>
      <c r="FXZ26" s="146"/>
      <c r="FYA26" s="146"/>
      <c r="FYB26" s="146"/>
      <c r="FYC26" s="146"/>
      <c r="FYD26" s="146"/>
      <c r="FYE26" s="146"/>
      <c r="FYF26" s="146"/>
      <c r="FYG26" s="146"/>
      <c r="FYH26" s="146"/>
      <c r="FYI26" s="146"/>
      <c r="FYJ26" s="146"/>
      <c r="FYK26" s="146"/>
      <c r="FYL26" s="146"/>
      <c r="FYM26" s="146"/>
      <c r="FYN26" s="146"/>
      <c r="FYO26" s="146"/>
      <c r="FYP26" s="146"/>
      <c r="FYQ26" s="146"/>
      <c r="FYR26" s="146"/>
      <c r="FYS26" s="146"/>
      <c r="FYT26" s="146"/>
      <c r="FYU26" s="146"/>
      <c r="FYV26" s="146"/>
      <c r="FYW26" s="146"/>
      <c r="FYX26" s="146"/>
      <c r="FYY26" s="146"/>
      <c r="FYZ26" s="146"/>
      <c r="FZA26" s="146"/>
      <c r="FZB26" s="146"/>
      <c r="FZC26" s="146"/>
      <c r="FZD26" s="146"/>
      <c r="FZE26" s="146"/>
      <c r="FZF26" s="146"/>
      <c r="FZG26" s="146"/>
      <c r="FZH26" s="146"/>
      <c r="FZI26" s="146"/>
      <c r="FZJ26" s="146"/>
      <c r="FZK26" s="146"/>
      <c r="FZL26" s="146"/>
      <c r="FZM26" s="146"/>
      <c r="FZN26" s="146"/>
      <c r="FZO26" s="146"/>
      <c r="FZP26" s="146"/>
      <c r="FZQ26" s="146"/>
      <c r="FZR26" s="146"/>
      <c r="FZS26" s="146"/>
      <c r="FZT26" s="146"/>
      <c r="FZU26" s="146"/>
      <c r="FZV26" s="146"/>
      <c r="FZW26" s="146"/>
      <c r="FZX26" s="146"/>
      <c r="FZY26" s="146"/>
      <c r="FZZ26" s="146"/>
      <c r="GAA26" s="146"/>
      <c r="GAB26" s="146"/>
      <c r="GAC26" s="146"/>
      <c r="GAD26" s="146"/>
      <c r="GAE26" s="146"/>
      <c r="GAF26" s="146"/>
      <c r="GAG26" s="146"/>
      <c r="GAH26" s="146"/>
      <c r="GAI26" s="146"/>
      <c r="GAJ26" s="146"/>
      <c r="GAK26" s="146"/>
      <c r="GAL26" s="146"/>
      <c r="GAM26" s="146"/>
      <c r="GAN26" s="146"/>
      <c r="GAO26" s="146"/>
      <c r="GAP26" s="146"/>
      <c r="GAQ26" s="146"/>
      <c r="GAR26" s="146"/>
      <c r="GAS26" s="146"/>
      <c r="GAT26" s="146"/>
      <c r="GAU26" s="146"/>
      <c r="GAV26" s="146"/>
      <c r="GAW26" s="146"/>
      <c r="GAX26" s="146"/>
      <c r="GAY26" s="146"/>
      <c r="GAZ26" s="146"/>
      <c r="GBA26" s="146"/>
      <c r="GBB26" s="146"/>
      <c r="GBC26" s="146"/>
      <c r="GBD26" s="146"/>
      <c r="GBE26" s="146"/>
      <c r="GBF26" s="146"/>
      <c r="GBG26" s="146"/>
      <c r="GBH26" s="146"/>
      <c r="GBI26" s="146"/>
      <c r="GBJ26" s="146"/>
      <c r="GBK26" s="146"/>
      <c r="GBL26" s="146"/>
      <c r="GBM26" s="146"/>
      <c r="GBN26" s="146"/>
      <c r="GBO26" s="146"/>
      <c r="GBP26" s="146"/>
      <c r="GBQ26" s="146"/>
      <c r="GBR26" s="146"/>
      <c r="GBS26" s="146"/>
      <c r="GBT26" s="146"/>
      <c r="GBU26" s="146"/>
      <c r="GBV26" s="146"/>
      <c r="GBW26" s="146"/>
      <c r="GBX26" s="146"/>
      <c r="GBY26" s="146"/>
      <c r="GBZ26" s="146"/>
      <c r="GCA26" s="146"/>
      <c r="GCB26" s="146"/>
      <c r="GCC26" s="146"/>
      <c r="GCD26" s="146"/>
      <c r="GCE26" s="146"/>
      <c r="GCF26" s="146"/>
      <c r="GCG26" s="146"/>
      <c r="GCH26" s="146"/>
      <c r="GCI26" s="146"/>
      <c r="GCJ26" s="146"/>
      <c r="GCK26" s="146"/>
      <c r="GCL26" s="146"/>
      <c r="GCM26" s="146"/>
      <c r="GCN26" s="146"/>
      <c r="GCO26" s="146"/>
      <c r="GCP26" s="146"/>
      <c r="GCQ26" s="146"/>
      <c r="GCR26" s="146"/>
      <c r="GCS26" s="146"/>
      <c r="GCT26" s="146"/>
      <c r="GCU26" s="146"/>
      <c r="GCV26" s="146"/>
      <c r="GCW26" s="146"/>
      <c r="GCX26" s="146"/>
      <c r="GCY26" s="146"/>
      <c r="GCZ26" s="146"/>
      <c r="GDA26" s="146"/>
      <c r="GDB26" s="146"/>
      <c r="GDC26" s="146"/>
      <c r="GDD26" s="146"/>
      <c r="GDE26" s="146"/>
      <c r="GDF26" s="146"/>
      <c r="GDG26" s="146"/>
      <c r="GDH26" s="146"/>
      <c r="GDI26" s="146"/>
      <c r="GDJ26" s="146"/>
      <c r="GDK26" s="146"/>
      <c r="GDL26" s="146"/>
      <c r="GDM26" s="146"/>
      <c r="GDN26" s="146"/>
      <c r="GDO26" s="146"/>
      <c r="GDP26" s="146"/>
      <c r="GDQ26" s="146"/>
      <c r="GDR26" s="146"/>
      <c r="GDS26" s="146"/>
      <c r="GDT26" s="146"/>
      <c r="GDU26" s="146"/>
      <c r="GDV26" s="146"/>
      <c r="GDW26" s="146"/>
      <c r="GDX26" s="146"/>
      <c r="GDY26" s="146"/>
      <c r="GDZ26" s="146"/>
      <c r="GEA26" s="146"/>
      <c r="GEB26" s="146"/>
      <c r="GEC26" s="146"/>
      <c r="GED26" s="146"/>
      <c r="GEE26" s="146"/>
      <c r="GEF26" s="146"/>
      <c r="GEG26" s="146"/>
      <c r="GEH26" s="146"/>
      <c r="GEI26" s="146"/>
      <c r="GEJ26" s="146"/>
      <c r="GEK26" s="146"/>
      <c r="GEL26" s="146"/>
      <c r="GEM26" s="146"/>
      <c r="GEN26" s="146"/>
      <c r="GEO26" s="146"/>
      <c r="GEP26" s="146"/>
      <c r="GEQ26" s="146"/>
      <c r="GER26" s="146"/>
      <c r="GES26" s="146"/>
      <c r="GET26" s="146"/>
      <c r="GEU26" s="146"/>
      <c r="GEV26" s="146"/>
      <c r="GEW26" s="146"/>
      <c r="GEX26" s="146"/>
      <c r="GEY26" s="146"/>
      <c r="GEZ26" s="146"/>
      <c r="GFA26" s="146"/>
      <c r="GFB26" s="146"/>
      <c r="GFC26" s="146"/>
      <c r="GFD26" s="146"/>
      <c r="GFE26" s="146"/>
      <c r="GFF26" s="146"/>
      <c r="GFG26" s="146"/>
      <c r="GFH26" s="146"/>
      <c r="GFI26" s="146"/>
      <c r="GFJ26" s="146"/>
      <c r="GFK26" s="146"/>
      <c r="GFL26" s="146"/>
      <c r="GFM26" s="146"/>
      <c r="GFN26" s="146"/>
      <c r="GFO26" s="146"/>
      <c r="GFP26" s="146"/>
      <c r="GFQ26" s="146"/>
      <c r="GFR26" s="146"/>
      <c r="GFS26" s="146"/>
      <c r="GFT26" s="146"/>
      <c r="GFU26" s="146"/>
      <c r="GFV26" s="146"/>
      <c r="GFW26" s="146"/>
      <c r="GFX26" s="146"/>
      <c r="GFY26" s="146"/>
      <c r="GFZ26" s="146"/>
      <c r="GGA26" s="146"/>
      <c r="GGB26" s="146"/>
      <c r="GGC26" s="146"/>
      <c r="GGD26" s="146"/>
      <c r="GGE26" s="146"/>
      <c r="GGF26" s="146"/>
      <c r="GGG26" s="146"/>
      <c r="GGH26" s="146"/>
      <c r="GGI26" s="146"/>
      <c r="GGJ26" s="146"/>
      <c r="GGK26" s="146"/>
      <c r="GGL26" s="146"/>
      <c r="GGM26" s="146"/>
      <c r="GGN26" s="146"/>
      <c r="GGO26" s="146"/>
      <c r="GGP26" s="146"/>
      <c r="GGQ26" s="146"/>
      <c r="GGR26" s="146"/>
      <c r="GGS26" s="146"/>
      <c r="GGT26" s="146"/>
      <c r="GGU26" s="146"/>
      <c r="GGV26" s="146"/>
      <c r="GGW26" s="146"/>
      <c r="GGX26" s="146"/>
      <c r="GGY26" s="146"/>
      <c r="GGZ26" s="146"/>
      <c r="GHA26" s="146"/>
      <c r="GHB26" s="146"/>
      <c r="GHC26" s="146"/>
      <c r="GHD26" s="146"/>
      <c r="GHE26" s="146"/>
      <c r="GHF26" s="146"/>
      <c r="GHG26" s="146"/>
      <c r="GHH26" s="146"/>
      <c r="GHI26" s="146"/>
      <c r="GHJ26" s="146"/>
      <c r="GHK26" s="146"/>
      <c r="GHL26" s="146"/>
      <c r="GHM26" s="146"/>
      <c r="GHN26" s="146"/>
      <c r="GHO26" s="146"/>
      <c r="GHP26" s="146"/>
      <c r="GHQ26" s="146"/>
      <c r="GHR26" s="146"/>
      <c r="GHS26" s="146"/>
      <c r="GHT26" s="146"/>
      <c r="GHU26" s="146"/>
      <c r="GHV26" s="146"/>
      <c r="GHW26" s="146"/>
      <c r="GHX26" s="146"/>
      <c r="GHY26" s="146"/>
      <c r="GHZ26" s="146"/>
      <c r="GIA26" s="146"/>
      <c r="GIB26" s="146"/>
      <c r="GIC26" s="146"/>
      <c r="GID26" s="146"/>
      <c r="GIE26" s="146"/>
      <c r="GIF26" s="146"/>
      <c r="GIG26" s="146"/>
      <c r="GIH26" s="146"/>
      <c r="GII26" s="146"/>
      <c r="GIJ26" s="146"/>
      <c r="GIK26" s="146"/>
      <c r="GIL26" s="146"/>
      <c r="GIM26" s="146"/>
      <c r="GIN26" s="146"/>
      <c r="GIO26" s="146"/>
      <c r="GIP26" s="146"/>
      <c r="GIQ26" s="146"/>
      <c r="GIR26" s="146"/>
      <c r="GIS26" s="146"/>
      <c r="GIT26" s="146"/>
      <c r="GIU26" s="146"/>
      <c r="GIV26" s="146"/>
      <c r="GIW26" s="146"/>
      <c r="GIX26" s="146"/>
      <c r="GIY26" s="146"/>
      <c r="GIZ26" s="146"/>
      <c r="GJA26" s="146"/>
      <c r="GJB26" s="146"/>
      <c r="GJC26" s="146"/>
      <c r="GJD26" s="146"/>
      <c r="GJE26" s="146"/>
      <c r="GJF26" s="146"/>
      <c r="GJG26" s="146"/>
      <c r="GJH26" s="146"/>
      <c r="GJI26" s="146"/>
      <c r="GJJ26" s="146"/>
      <c r="GJK26" s="146"/>
      <c r="GJL26" s="146"/>
      <c r="GJM26" s="146"/>
      <c r="GJN26" s="146"/>
      <c r="GJO26" s="146"/>
      <c r="GJP26" s="146"/>
      <c r="GJQ26" s="146"/>
      <c r="GJR26" s="146"/>
      <c r="GJS26" s="146"/>
      <c r="GJT26" s="146"/>
      <c r="GJU26" s="146"/>
      <c r="GJV26" s="146"/>
      <c r="GJW26" s="146"/>
      <c r="GJX26" s="146"/>
      <c r="GJY26" s="146"/>
      <c r="GJZ26" s="146"/>
      <c r="GKA26" s="146"/>
      <c r="GKB26" s="146"/>
      <c r="GKC26" s="146"/>
      <c r="GKD26" s="146"/>
      <c r="GKE26" s="146"/>
      <c r="GKF26" s="146"/>
      <c r="GKG26" s="146"/>
      <c r="GKH26" s="146"/>
      <c r="GKI26" s="146"/>
      <c r="GKJ26" s="146"/>
      <c r="GKK26" s="146"/>
      <c r="GKL26" s="146"/>
      <c r="GKM26" s="146"/>
      <c r="GKN26" s="146"/>
      <c r="GKO26" s="146"/>
      <c r="GKP26" s="146"/>
      <c r="GKQ26" s="146"/>
      <c r="GKR26" s="146"/>
      <c r="GKS26" s="146"/>
      <c r="GKT26" s="146"/>
      <c r="GKU26" s="146"/>
      <c r="GKV26" s="146"/>
      <c r="GKW26" s="146"/>
      <c r="GKX26" s="146"/>
      <c r="GKY26" s="146"/>
      <c r="GKZ26" s="146"/>
      <c r="GLA26" s="146"/>
      <c r="GLB26" s="146"/>
      <c r="GLC26" s="146"/>
      <c r="GLD26" s="146"/>
      <c r="GLE26" s="146"/>
      <c r="GLF26" s="146"/>
      <c r="GLG26" s="146"/>
      <c r="GLH26" s="146"/>
      <c r="GLI26" s="146"/>
      <c r="GLJ26" s="146"/>
      <c r="GLK26" s="146"/>
      <c r="GLL26" s="146"/>
      <c r="GLM26" s="146"/>
      <c r="GLN26" s="146"/>
      <c r="GLO26" s="146"/>
      <c r="GLP26" s="146"/>
      <c r="GLQ26" s="146"/>
      <c r="GLR26" s="146"/>
      <c r="GLS26" s="146"/>
      <c r="GLT26" s="146"/>
      <c r="GLU26" s="146"/>
      <c r="GLV26" s="146"/>
      <c r="GLW26" s="146"/>
      <c r="GLX26" s="146"/>
      <c r="GLY26" s="146"/>
      <c r="GLZ26" s="146"/>
      <c r="GMA26" s="146"/>
      <c r="GMB26" s="146"/>
      <c r="GMC26" s="146"/>
      <c r="GMD26" s="146"/>
      <c r="GME26" s="146"/>
      <c r="GMF26" s="146"/>
      <c r="GMG26" s="146"/>
      <c r="GMH26" s="146"/>
      <c r="GMI26" s="146"/>
      <c r="GMJ26" s="146"/>
      <c r="GMK26" s="146"/>
      <c r="GML26" s="146"/>
      <c r="GMM26" s="146"/>
      <c r="GMN26" s="146"/>
      <c r="GMO26" s="146"/>
      <c r="GMP26" s="146"/>
      <c r="GMQ26" s="146"/>
      <c r="GMR26" s="146"/>
      <c r="GMS26" s="146"/>
      <c r="GMT26" s="146"/>
      <c r="GMU26" s="146"/>
      <c r="GMV26" s="146"/>
      <c r="GMW26" s="146"/>
      <c r="GMX26" s="146"/>
      <c r="GMY26" s="146"/>
      <c r="GMZ26" s="146"/>
      <c r="GNA26" s="146"/>
      <c r="GNB26" s="146"/>
      <c r="GNC26" s="146"/>
      <c r="GND26" s="146"/>
      <c r="GNE26" s="146"/>
      <c r="GNF26" s="146"/>
      <c r="GNG26" s="146"/>
      <c r="GNH26" s="146"/>
      <c r="GNI26" s="146"/>
      <c r="GNJ26" s="146"/>
      <c r="GNK26" s="146"/>
      <c r="GNL26" s="146"/>
      <c r="GNM26" s="146"/>
      <c r="GNN26" s="146"/>
      <c r="GNO26" s="146"/>
      <c r="GNP26" s="146"/>
      <c r="GNQ26" s="146"/>
      <c r="GNR26" s="146"/>
      <c r="GNS26" s="146"/>
      <c r="GNT26" s="146"/>
      <c r="GNU26" s="146"/>
      <c r="GNV26" s="146"/>
      <c r="GNW26" s="146"/>
      <c r="GNX26" s="146"/>
      <c r="GNY26" s="146"/>
      <c r="GNZ26" s="146"/>
      <c r="GOA26" s="146"/>
      <c r="GOB26" s="146"/>
      <c r="GOC26" s="146"/>
      <c r="GOD26" s="146"/>
      <c r="GOE26" s="146"/>
      <c r="GOF26" s="146"/>
      <c r="GOG26" s="146"/>
      <c r="GOH26" s="146"/>
      <c r="GOI26" s="146"/>
      <c r="GOJ26" s="146"/>
      <c r="GOK26" s="146"/>
      <c r="GOL26" s="146"/>
      <c r="GOM26" s="146"/>
      <c r="GON26" s="146"/>
      <c r="GOO26" s="146"/>
      <c r="GOP26" s="146"/>
      <c r="GOQ26" s="146"/>
      <c r="GOR26" s="146"/>
      <c r="GOS26" s="146"/>
      <c r="GOT26" s="146"/>
      <c r="GOU26" s="146"/>
      <c r="GOV26" s="146"/>
      <c r="GOW26" s="146"/>
      <c r="GOX26" s="146"/>
      <c r="GOY26" s="146"/>
      <c r="GOZ26" s="146"/>
      <c r="GPA26" s="146"/>
      <c r="GPB26" s="146"/>
      <c r="GPC26" s="146"/>
      <c r="GPD26" s="146"/>
      <c r="GPE26" s="146"/>
      <c r="GPF26" s="146"/>
      <c r="GPG26" s="146"/>
      <c r="GPH26" s="146"/>
      <c r="GPI26" s="146"/>
      <c r="GPJ26" s="146"/>
      <c r="GPK26" s="146"/>
      <c r="GPL26" s="146"/>
      <c r="GPM26" s="146"/>
      <c r="GPN26" s="146"/>
      <c r="GPO26" s="146"/>
      <c r="GPP26" s="146"/>
      <c r="GPQ26" s="146"/>
      <c r="GPR26" s="146"/>
      <c r="GPS26" s="146"/>
      <c r="GPT26" s="146"/>
      <c r="GPU26" s="146"/>
      <c r="GPV26" s="146"/>
      <c r="GPW26" s="146"/>
      <c r="GPX26" s="146"/>
      <c r="GPY26" s="146"/>
      <c r="GPZ26" s="146"/>
      <c r="GQA26" s="146"/>
      <c r="GQB26" s="146"/>
      <c r="GQC26" s="146"/>
      <c r="GQD26" s="146"/>
      <c r="GQE26" s="146"/>
      <c r="GQF26" s="146"/>
      <c r="GQG26" s="146"/>
      <c r="GQH26" s="146"/>
      <c r="GQI26" s="146"/>
      <c r="GQJ26" s="146"/>
      <c r="GQK26" s="146"/>
      <c r="GQL26" s="146"/>
      <c r="GQM26" s="146"/>
      <c r="GQN26" s="146"/>
      <c r="GQO26" s="146"/>
      <c r="GQP26" s="146"/>
      <c r="GQQ26" s="146"/>
      <c r="GQR26" s="146"/>
      <c r="GQS26" s="146"/>
      <c r="GQT26" s="146"/>
      <c r="GQU26" s="146"/>
      <c r="GQV26" s="146"/>
      <c r="GQW26" s="146"/>
      <c r="GQX26" s="146"/>
      <c r="GQY26" s="146"/>
      <c r="GQZ26" s="146"/>
      <c r="GRA26" s="146"/>
      <c r="GRB26" s="146"/>
      <c r="GRC26" s="146"/>
      <c r="GRD26" s="146"/>
      <c r="GRE26" s="146"/>
      <c r="GRF26" s="146"/>
      <c r="GRG26" s="146"/>
      <c r="GRH26" s="146"/>
      <c r="GRI26" s="146"/>
      <c r="GRJ26" s="146"/>
      <c r="GRK26" s="146"/>
      <c r="GRL26" s="146"/>
      <c r="GRM26" s="146"/>
      <c r="GRN26" s="146"/>
      <c r="GRO26" s="146"/>
      <c r="GRP26" s="146"/>
      <c r="GRQ26" s="146"/>
      <c r="GRR26" s="146"/>
      <c r="GRS26" s="146"/>
      <c r="GRT26" s="146"/>
      <c r="GRU26" s="146"/>
      <c r="GRV26" s="146"/>
      <c r="GRW26" s="146"/>
      <c r="GRX26" s="146"/>
      <c r="GRY26" s="146"/>
      <c r="GRZ26" s="146"/>
      <c r="GSA26" s="146"/>
      <c r="GSB26" s="146"/>
      <c r="GSC26" s="146"/>
      <c r="GSD26" s="146"/>
      <c r="GSE26" s="146"/>
      <c r="GSF26" s="146"/>
      <c r="GSG26" s="146"/>
      <c r="GSH26" s="146"/>
      <c r="GSI26" s="146"/>
      <c r="GSJ26" s="146"/>
      <c r="GSK26" s="146"/>
      <c r="GSL26" s="146"/>
      <c r="GSM26" s="146"/>
      <c r="GSN26" s="146"/>
      <c r="GSO26" s="146"/>
      <c r="GSP26" s="146"/>
      <c r="GSQ26" s="146"/>
      <c r="GSR26" s="146"/>
      <c r="GSS26" s="146"/>
      <c r="GST26" s="146"/>
      <c r="GSU26" s="146"/>
      <c r="GSV26" s="146"/>
      <c r="GSW26" s="146"/>
      <c r="GSX26" s="146"/>
      <c r="GSY26" s="146"/>
      <c r="GSZ26" s="146"/>
      <c r="GTA26" s="146"/>
      <c r="GTB26" s="146"/>
      <c r="GTC26" s="146"/>
      <c r="GTD26" s="146"/>
      <c r="GTE26" s="146"/>
      <c r="GTF26" s="146"/>
      <c r="GTG26" s="146"/>
      <c r="GTH26" s="146"/>
      <c r="GTI26" s="146"/>
      <c r="GTJ26" s="146"/>
      <c r="GTK26" s="146"/>
      <c r="GTL26" s="146"/>
      <c r="GTM26" s="146"/>
      <c r="GTN26" s="146"/>
      <c r="GTO26" s="146"/>
      <c r="GTP26" s="146"/>
      <c r="GTQ26" s="146"/>
      <c r="GTR26" s="146"/>
      <c r="GTS26" s="146"/>
      <c r="GTT26" s="146"/>
      <c r="GTU26" s="146"/>
      <c r="GTV26" s="146"/>
      <c r="GTW26" s="146"/>
      <c r="GTX26" s="146"/>
      <c r="GTY26" s="146"/>
      <c r="GTZ26" s="146"/>
      <c r="GUA26" s="146"/>
      <c r="GUB26" s="146"/>
      <c r="GUC26" s="146"/>
      <c r="GUD26" s="146"/>
      <c r="GUE26" s="146"/>
      <c r="GUF26" s="146"/>
      <c r="GUG26" s="146"/>
      <c r="GUH26" s="146"/>
      <c r="GUI26" s="146"/>
      <c r="GUJ26" s="146"/>
      <c r="GUK26" s="146"/>
      <c r="GUL26" s="146"/>
      <c r="GUM26" s="146"/>
      <c r="GUN26" s="146"/>
      <c r="GUO26" s="146"/>
      <c r="GUP26" s="146"/>
      <c r="GUQ26" s="146"/>
      <c r="GUR26" s="146"/>
      <c r="GUS26" s="146"/>
      <c r="GUT26" s="146"/>
      <c r="GUU26" s="146"/>
      <c r="GUV26" s="146"/>
      <c r="GUW26" s="146"/>
      <c r="GUX26" s="146"/>
      <c r="GUY26" s="146"/>
      <c r="GUZ26" s="146"/>
      <c r="GVA26" s="146"/>
      <c r="GVB26" s="146"/>
      <c r="GVC26" s="146"/>
      <c r="GVD26" s="146"/>
      <c r="GVE26" s="146"/>
      <c r="GVF26" s="146"/>
      <c r="GVG26" s="146"/>
      <c r="GVH26" s="146"/>
      <c r="GVI26" s="146"/>
      <c r="GVJ26" s="146"/>
      <c r="GVK26" s="146"/>
      <c r="GVL26" s="146"/>
      <c r="GVM26" s="146"/>
      <c r="GVN26" s="146"/>
      <c r="GVO26" s="146"/>
      <c r="GVP26" s="146"/>
      <c r="GVQ26" s="146"/>
      <c r="GVR26" s="146"/>
      <c r="GVS26" s="146"/>
      <c r="GVT26" s="146"/>
      <c r="GVU26" s="146"/>
      <c r="GVV26" s="146"/>
      <c r="GVW26" s="146"/>
      <c r="GVX26" s="146"/>
      <c r="GVY26" s="146"/>
      <c r="GVZ26" s="146"/>
      <c r="GWA26" s="146"/>
      <c r="GWB26" s="146"/>
      <c r="GWC26" s="146"/>
      <c r="GWD26" s="146"/>
      <c r="GWE26" s="146"/>
      <c r="GWF26" s="146"/>
      <c r="GWG26" s="146"/>
      <c r="GWH26" s="146"/>
      <c r="GWI26" s="146"/>
      <c r="GWJ26" s="146"/>
      <c r="GWK26" s="146"/>
      <c r="GWL26" s="146"/>
      <c r="GWM26" s="146"/>
      <c r="GWN26" s="146"/>
      <c r="GWO26" s="146"/>
      <c r="GWP26" s="146"/>
      <c r="GWQ26" s="146"/>
      <c r="GWR26" s="146"/>
      <c r="GWS26" s="146"/>
      <c r="GWT26" s="146"/>
      <c r="GWU26" s="146"/>
      <c r="GWV26" s="146"/>
      <c r="GWW26" s="146"/>
      <c r="GWX26" s="146"/>
      <c r="GWY26" s="146"/>
      <c r="GWZ26" s="146"/>
      <c r="GXA26" s="146"/>
      <c r="GXB26" s="146"/>
      <c r="GXC26" s="146"/>
      <c r="GXD26" s="146"/>
      <c r="GXE26" s="146"/>
      <c r="GXF26" s="146"/>
      <c r="GXG26" s="146"/>
      <c r="GXH26" s="146"/>
      <c r="GXI26" s="146"/>
      <c r="GXJ26" s="146"/>
      <c r="GXK26" s="146"/>
      <c r="GXL26" s="146"/>
      <c r="GXM26" s="146"/>
      <c r="GXN26" s="146"/>
      <c r="GXO26" s="146"/>
      <c r="GXP26" s="146"/>
      <c r="GXQ26" s="146"/>
      <c r="GXR26" s="146"/>
      <c r="GXS26" s="146"/>
      <c r="GXT26" s="146"/>
      <c r="GXU26" s="146"/>
      <c r="GXV26" s="146"/>
      <c r="GXW26" s="146"/>
      <c r="GXX26" s="146"/>
      <c r="GXY26" s="146"/>
      <c r="GXZ26" s="146"/>
      <c r="GYA26" s="146"/>
      <c r="GYB26" s="146"/>
      <c r="GYC26" s="146"/>
      <c r="GYD26" s="146"/>
      <c r="GYE26" s="146"/>
      <c r="GYF26" s="146"/>
      <c r="GYG26" s="146"/>
      <c r="GYH26" s="146"/>
      <c r="GYI26" s="146"/>
      <c r="GYJ26" s="146"/>
      <c r="GYK26" s="146"/>
      <c r="GYL26" s="146"/>
      <c r="GYM26" s="146"/>
      <c r="GYN26" s="146"/>
      <c r="GYO26" s="146"/>
      <c r="GYP26" s="146"/>
      <c r="GYQ26" s="146"/>
      <c r="GYR26" s="146"/>
      <c r="GYS26" s="146"/>
      <c r="GYT26" s="146"/>
      <c r="GYU26" s="146"/>
      <c r="GYV26" s="146"/>
      <c r="GYW26" s="146"/>
      <c r="GYX26" s="146"/>
      <c r="GYY26" s="146"/>
      <c r="GYZ26" s="146"/>
      <c r="GZA26" s="146"/>
      <c r="GZB26" s="146"/>
      <c r="GZC26" s="146"/>
      <c r="GZD26" s="146"/>
      <c r="GZE26" s="146"/>
      <c r="GZF26" s="146"/>
      <c r="GZG26" s="146"/>
      <c r="GZH26" s="146"/>
      <c r="GZI26" s="146"/>
      <c r="GZJ26" s="146"/>
      <c r="GZK26" s="146"/>
      <c r="GZL26" s="146"/>
      <c r="GZM26" s="146"/>
      <c r="GZN26" s="146"/>
      <c r="GZO26" s="146"/>
      <c r="GZP26" s="146"/>
      <c r="GZQ26" s="146"/>
      <c r="GZR26" s="146"/>
      <c r="GZS26" s="146"/>
      <c r="GZT26" s="146"/>
      <c r="GZU26" s="146"/>
      <c r="GZV26" s="146"/>
      <c r="GZW26" s="146"/>
      <c r="GZX26" s="146"/>
      <c r="GZY26" s="146"/>
      <c r="GZZ26" s="146"/>
      <c r="HAA26" s="146"/>
      <c r="HAB26" s="146"/>
      <c r="HAC26" s="146"/>
      <c r="HAD26" s="146"/>
      <c r="HAE26" s="146"/>
      <c r="HAF26" s="146"/>
      <c r="HAG26" s="146"/>
      <c r="HAH26" s="146"/>
      <c r="HAI26" s="146"/>
      <c r="HAJ26" s="146"/>
      <c r="HAK26" s="146"/>
      <c r="HAL26" s="146"/>
      <c r="HAM26" s="146"/>
      <c r="HAN26" s="146"/>
      <c r="HAO26" s="146"/>
      <c r="HAP26" s="146"/>
      <c r="HAQ26" s="146"/>
      <c r="HAR26" s="146"/>
      <c r="HAS26" s="146"/>
      <c r="HAT26" s="146"/>
      <c r="HAU26" s="146"/>
      <c r="HAV26" s="146"/>
      <c r="HAW26" s="146"/>
      <c r="HAX26" s="146"/>
      <c r="HAY26" s="146"/>
      <c r="HAZ26" s="146"/>
      <c r="HBA26" s="146"/>
      <c r="HBB26" s="146"/>
      <c r="HBC26" s="146"/>
      <c r="HBD26" s="146"/>
      <c r="HBE26" s="146"/>
      <c r="HBF26" s="146"/>
      <c r="HBG26" s="146"/>
      <c r="HBH26" s="146"/>
      <c r="HBI26" s="146"/>
      <c r="HBJ26" s="146"/>
      <c r="HBK26" s="146"/>
      <c r="HBL26" s="146"/>
      <c r="HBM26" s="146"/>
      <c r="HBN26" s="146"/>
      <c r="HBO26" s="146"/>
      <c r="HBP26" s="146"/>
      <c r="HBQ26" s="146"/>
      <c r="HBR26" s="146"/>
      <c r="HBS26" s="146"/>
      <c r="HBT26" s="146"/>
      <c r="HBU26" s="146"/>
      <c r="HBV26" s="146"/>
      <c r="HBW26" s="146"/>
      <c r="HBX26" s="146"/>
      <c r="HBY26" s="146"/>
      <c r="HBZ26" s="146"/>
      <c r="HCA26" s="146"/>
      <c r="HCB26" s="146"/>
      <c r="HCC26" s="146"/>
      <c r="HCD26" s="146"/>
      <c r="HCE26" s="146"/>
      <c r="HCF26" s="146"/>
      <c r="HCG26" s="146"/>
      <c r="HCH26" s="146"/>
      <c r="HCI26" s="146"/>
      <c r="HCJ26" s="146"/>
      <c r="HCK26" s="146"/>
      <c r="HCL26" s="146"/>
      <c r="HCM26" s="146"/>
      <c r="HCN26" s="146"/>
      <c r="HCO26" s="146"/>
      <c r="HCP26" s="146"/>
      <c r="HCQ26" s="146"/>
      <c r="HCR26" s="146"/>
      <c r="HCS26" s="146"/>
      <c r="HCT26" s="146"/>
      <c r="HCU26" s="146"/>
      <c r="HCV26" s="146"/>
      <c r="HCW26" s="146"/>
      <c r="HCX26" s="146"/>
      <c r="HCY26" s="146"/>
      <c r="HCZ26" s="146"/>
      <c r="HDA26" s="146"/>
      <c r="HDB26" s="146"/>
      <c r="HDC26" s="146"/>
      <c r="HDD26" s="146"/>
      <c r="HDE26" s="146"/>
      <c r="HDF26" s="146"/>
      <c r="HDG26" s="146"/>
      <c r="HDH26" s="146"/>
      <c r="HDI26" s="146"/>
      <c r="HDJ26" s="146"/>
      <c r="HDK26" s="146"/>
      <c r="HDL26" s="146"/>
      <c r="HDM26" s="146"/>
      <c r="HDN26" s="146"/>
      <c r="HDO26" s="146"/>
      <c r="HDP26" s="146"/>
      <c r="HDQ26" s="146"/>
      <c r="HDR26" s="146"/>
      <c r="HDS26" s="146"/>
      <c r="HDT26" s="146"/>
      <c r="HDU26" s="146"/>
      <c r="HDV26" s="146"/>
      <c r="HDW26" s="146"/>
      <c r="HDX26" s="146"/>
      <c r="HDY26" s="146"/>
      <c r="HDZ26" s="146"/>
      <c r="HEA26" s="146"/>
      <c r="HEB26" s="146"/>
      <c r="HEC26" s="146"/>
      <c r="HED26" s="146"/>
      <c r="HEE26" s="146"/>
      <c r="HEF26" s="146"/>
      <c r="HEG26" s="146"/>
      <c r="HEH26" s="146"/>
      <c r="HEI26" s="146"/>
      <c r="HEJ26" s="146"/>
      <c r="HEK26" s="146"/>
      <c r="HEL26" s="146"/>
      <c r="HEM26" s="146"/>
      <c r="HEN26" s="146"/>
      <c r="HEO26" s="146"/>
      <c r="HEP26" s="146"/>
      <c r="HEQ26" s="146"/>
      <c r="HER26" s="146"/>
      <c r="HES26" s="146"/>
      <c r="HET26" s="146"/>
      <c r="HEU26" s="146"/>
      <c r="HEV26" s="146"/>
      <c r="HEW26" s="146"/>
      <c r="HEX26" s="146"/>
      <c r="HEY26" s="146"/>
      <c r="HEZ26" s="146"/>
      <c r="HFA26" s="146"/>
      <c r="HFB26" s="146"/>
      <c r="HFC26" s="146"/>
      <c r="HFD26" s="146"/>
      <c r="HFE26" s="146"/>
      <c r="HFF26" s="146"/>
      <c r="HFG26" s="146"/>
      <c r="HFH26" s="146"/>
      <c r="HFI26" s="146"/>
      <c r="HFJ26" s="146"/>
      <c r="HFK26" s="146"/>
      <c r="HFL26" s="146"/>
      <c r="HFM26" s="146"/>
      <c r="HFN26" s="146"/>
      <c r="HFO26" s="146"/>
      <c r="HFP26" s="146"/>
      <c r="HFQ26" s="146"/>
      <c r="HFR26" s="146"/>
      <c r="HFS26" s="146"/>
      <c r="HFT26" s="146"/>
      <c r="HFU26" s="146"/>
      <c r="HFV26" s="146"/>
      <c r="HFW26" s="146"/>
      <c r="HFX26" s="146"/>
      <c r="HFY26" s="146"/>
      <c r="HFZ26" s="146"/>
      <c r="HGA26" s="146"/>
      <c r="HGB26" s="146"/>
      <c r="HGC26" s="146"/>
      <c r="HGD26" s="146"/>
      <c r="HGE26" s="146"/>
      <c r="HGF26" s="146"/>
      <c r="HGG26" s="146"/>
      <c r="HGH26" s="146"/>
      <c r="HGI26" s="146"/>
      <c r="HGJ26" s="146"/>
      <c r="HGK26" s="146"/>
      <c r="HGL26" s="146"/>
      <c r="HGM26" s="146"/>
      <c r="HGN26" s="146"/>
      <c r="HGO26" s="146"/>
      <c r="HGP26" s="146"/>
      <c r="HGQ26" s="146"/>
      <c r="HGR26" s="146"/>
      <c r="HGS26" s="146"/>
      <c r="HGT26" s="146"/>
      <c r="HGU26" s="146"/>
      <c r="HGV26" s="146"/>
      <c r="HGW26" s="146"/>
      <c r="HGX26" s="146"/>
      <c r="HGY26" s="146"/>
      <c r="HGZ26" s="146"/>
      <c r="HHA26" s="146"/>
      <c r="HHB26" s="146"/>
      <c r="HHC26" s="146"/>
      <c r="HHD26" s="146"/>
      <c r="HHE26" s="146"/>
      <c r="HHF26" s="146"/>
      <c r="HHG26" s="146"/>
      <c r="HHH26" s="146"/>
      <c r="HHI26" s="146"/>
      <c r="HHJ26" s="146"/>
      <c r="HHK26" s="146"/>
      <c r="HHL26" s="146"/>
      <c r="HHM26" s="146"/>
      <c r="HHN26" s="146"/>
      <c r="HHO26" s="146"/>
      <c r="HHP26" s="146"/>
      <c r="HHQ26" s="146"/>
      <c r="HHR26" s="146"/>
      <c r="HHS26" s="146"/>
      <c r="HHT26" s="146"/>
      <c r="HHU26" s="146"/>
      <c r="HHV26" s="146"/>
      <c r="HHW26" s="146"/>
      <c r="HHX26" s="146"/>
      <c r="HHY26" s="146"/>
      <c r="HHZ26" s="146"/>
      <c r="HIA26" s="146"/>
      <c r="HIB26" s="146"/>
      <c r="HIC26" s="146"/>
      <c r="HID26" s="146"/>
      <c r="HIE26" s="146"/>
      <c r="HIF26" s="146"/>
      <c r="HIG26" s="146"/>
      <c r="HIH26" s="146"/>
      <c r="HII26" s="146"/>
      <c r="HIJ26" s="146"/>
      <c r="HIK26" s="146"/>
      <c r="HIL26" s="146"/>
      <c r="HIM26" s="146"/>
      <c r="HIN26" s="146"/>
      <c r="HIO26" s="146"/>
      <c r="HIP26" s="146"/>
      <c r="HIQ26" s="146"/>
      <c r="HIR26" s="146"/>
      <c r="HIS26" s="146"/>
      <c r="HIT26" s="146"/>
      <c r="HIU26" s="146"/>
      <c r="HIV26" s="146"/>
      <c r="HIW26" s="146"/>
      <c r="HIX26" s="146"/>
      <c r="HIY26" s="146"/>
      <c r="HIZ26" s="146"/>
      <c r="HJA26" s="146"/>
      <c r="HJB26" s="146"/>
      <c r="HJC26" s="146"/>
      <c r="HJD26" s="146"/>
      <c r="HJE26" s="146"/>
      <c r="HJF26" s="146"/>
      <c r="HJG26" s="146"/>
      <c r="HJH26" s="146"/>
      <c r="HJI26" s="146"/>
      <c r="HJJ26" s="146"/>
      <c r="HJK26" s="146"/>
      <c r="HJL26" s="146"/>
      <c r="HJM26" s="146"/>
      <c r="HJN26" s="146"/>
      <c r="HJO26" s="146"/>
      <c r="HJP26" s="146"/>
      <c r="HJQ26" s="146"/>
      <c r="HJR26" s="146"/>
      <c r="HJS26" s="146"/>
      <c r="HJT26" s="146"/>
      <c r="HJU26" s="146"/>
      <c r="HJV26" s="146"/>
      <c r="HJW26" s="146"/>
      <c r="HJX26" s="146"/>
      <c r="HJY26" s="146"/>
      <c r="HJZ26" s="146"/>
      <c r="HKA26" s="146"/>
      <c r="HKB26" s="146"/>
      <c r="HKC26" s="146"/>
      <c r="HKD26" s="146"/>
      <c r="HKE26" s="146"/>
      <c r="HKF26" s="146"/>
      <c r="HKG26" s="146"/>
      <c r="HKH26" s="146"/>
      <c r="HKI26" s="146"/>
      <c r="HKJ26" s="146"/>
      <c r="HKK26" s="146"/>
      <c r="HKL26" s="146"/>
      <c r="HKM26" s="146"/>
      <c r="HKN26" s="146"/>
      <c r="HKO26" s="146"/>
      <c r="HKP26" s="146"/>
      <c r="HKQ26" s="146"/>
      <c r="HKR26" s="146"/>
      <c r="HKS26" s="146"/>
      <c r="HKT26" s="146"/>
      <c r="HKU26" s="146"/>
      <c r="HKV26" s="146"/>
      <c r="HKW26" s="146"/>
      <c r="HKX26" s="146"/>
      <c r="HKY26" s="146"/>
      <c r="HKZ26" s="146"/>
      <c r="HLA26" s="146"/>
      <c r="HLB26" s="146"/>
      <c r="HLC26" s="146"/>
      <c r="HLD26" s="146"/>
      <c r="HLE26" s="146"/>
      <c r="HLF26" s="146"/>
      <c r="HLG26" s="146"/>
      <c r="HLH26" s="146"/>
      <c r="HLI26" s="146"/>
      <c r="HLJ26" s="146"/>
      <c r="HLK26" s="146"/>
      <c r="HLL26" s="146"/>
      <c r="HLM26" s="146"/>
      <c r="HLN26" s="146"/>
      <c r="HLO26" s="146"/>
      <c r="HLP26" s="146"/>
      <c r="HLQ26" s="146"/>
      <c r="HLR26" s="146"/>
      <c r="HLS26" s="146"/>
      <c r="HLT26" s="146"/>
      <c r="HLU26" s="146"/>
      <c r="HLV26" s="146"/>
      <c r="HLW26" s="146"/>
      <c r="HLX26" s="146"/>
      <c r="HLY26" s="146"/>
      <c r="HLZ26" s="146"/>
      <c r="HMA26" s="146"/>
      <c r="HMB26" s="146"/>
      <c r="HMC26" s="146"/>
      <c r="HMD26" s="146"/>
      <c r="HME26" s="146"/>
      <c r="HMF26" s="146"/>
      <c r="HMG26" s="146"/>
      <c r="HMH26" s="146"/>
      <c r="HMI26" s="146"/>
      <c r="HMJ26" s="146"/>
      <c r="HMK26" s="146"/>
      <c r="HML26" s="146"/>
      <c r="HMM26" s="146"/>
      <c r="HMN26" s="146"/>
      <c r="HMO26" s="146"/>
      <c r="HMP26" s="146"/>
      <c r="HMQ26" s="146"/>
      <c r="HMR26" s="146"/>
      <c r="HMS26" s="146"/>
      <c r="HMT26" s="146"/>
      <c r="HMU26" s="146"/>
      <c r="HMV26" s="146"/>
      <c r="HMW26" s="146"/>
      <c r="HMX26" s="146"/>
      <c r="HMY26" s="146"/>
      <c r="HMZ26" s="146"/>
      <c r="HNA26" s="146"/>
      <c r="HNB26" s="146"/>
      <c r="HNC26" s="146"/>
      <c r="HND26" s="146"/>
      <c r="HNE26" s="146"/>
      <c r="HNF26" s="146"/>
      <c r="HNG26" s="146"/>
      <c r="HNH26" s="146"/>
      <c r="HNI26" s="146"/>
      <c r="HNJ26" s="146"/>
      <c r="HNK26" s="146"/>
      <c r="HNL26" s="146"/>
      <c r="HNM26" s="146"/>
      <c r="HNN26" s="146"/>
      <c r="HNO26" s="146"/>
      <c r="HNP26" s="146"/>
      <c r="HNQ26" s="146"/>
      <c r="HNR26" s="146"/>
      <c r="HNS26" s="146"/>
      <c r="HNT26" s="146"/>
      <c r="HNU26" s="146"/>
      <c r="HNV26" s="146"/>
      <c r="HNW26" s="146"/>
      <c r="HNX26" s="146"/>
      <c r="HNY26" s="146"/>
      <c r="HNZ26" s="146"/>
      <c r="HOA26" s="146"/>
      <c r="HOB26" s="146"/>
      <c r="HOC26" s="146"/>
      <c r="HOD26" s="146"/>
      <c r="HOE26" s="146"/>
      <c r="HOF26" s="146"/>
      <c r="HOG26" s="146"/>
      <c r="HOH26" s="146"/>
      <c r="HOI26" s="146"/>
      <c r="HOJ26" s="146"/>
      <c r="HOK26" s="146"/>
      <c r="HOL26" s="146"/>
      <c r="HOM26" s="146"/>
      <c r="HON26" s="146"/>
      <c r="HOO26" s="146"/>
      <c r="HOP26" s="146"/>
      <c r="HOQ26" s="146"/>
      <c r="HOR26" s="146"/>
      <c r="HOS26" s="146"/>
      <c r="HOT26" s="146"/>
      <c r="HOU26" s="146"/>
      <c r="HOV26" s="146"/>
      <c r="HOW26" s="146"/>
      <c r="HOX26" s="146"/>
      <c r="HOY26" s="146"/>
      <c r="HOZ26" s="146"/>
      <c r="HPA26" s="146"/>
      <c r="HPB26" s="146"/>
      <c r="HPC26" s="146"/>
      <c r="HPD26" s="146"/>
      <c r="HPE26" s="146"/>
      <c r="HPF26" s="146"/>
      <c r="HPG26" s="146"/>
      <c r="HPH26" s="146"/>
      <c r="HPI26" s="146"/>
      <c r="HPJ26" s="146"/>
      <c r="HPK26" s="146"/>
      <c r="HPL26" s="146"/>
      <c r="HPM26" s="146"/>
      <c r="HPN26" s="146"/>
      <c r="HPO26" s="146"/>
      <c r="HPP26" s="146"/>
      <c r="HPQ26" s="146"/>
      <c r="HPR26" s="146"/>
      <c r="HPS26" s="146"/>
      <c r="HPT26" s="146"/>
      <c r="HPU26" s="146"/>
      <c r="HPV26" s="146"/>
      <c r="HPW26" s="146"/>
      <c r="HPX26" s="146"/>
      <c r="HPY26" s="146"/>
      <c r="HPZ26" s="146"/>
      <c r="HQA26" s="146"/>
      <c r="HQB26" s="146"/>
      <c r="HQC26" s="146"/>
      <c r="HQD26" s="146"/>
      <c r="HQE26" s="146"/>
      <c r="HQF26" s="146"/>
      <c r="HQG26" s="146"/>
      <c r="HQH26" s="146"/>
      <c r="HQI26" s="146"/>
      <c r="HQJ26" s="146"/>
      <c r="HQK26" s="146"/>
      <c r="HQL26" s="146"/>
      <c r="HQM26" s="146"/>
      <c r="HQN26" s="146"/>
      <c r="HQO26" s="146"/>
      <c r="HQP26" s="146"/>
      <c r="HQQ26" s="146"/>
      <c r="HQR26" s="146"/>
      <c r="HQS26" s="146"/>
      <c r="HQT26" s="146"/>
      <c r="HQU26" s="146"/>
      <c r="HQV26" s="146"/>
      <c r="HQW26" s="146"/>
      <c r="HQX26" s="146"/>
      <c r="HQY26" s="146"/>
      <c r="HQZ26" s="146"/>
      <c r="HRA26" s="146"/>
      <c r="HRB26" s="146"/>
      <c r="HRC26" s="146"/>
      <c r="HRD26" s="146"/>
      <c r="HRE26" s="146"/>
      <c r="HRF26" s="146"/>
      <c r="HRG26" s="146"/>
      <c r="HRH26" s="146"/>
      <c r="HRI26" s="146"/>
      <c r="HRJ26" s="146"/>
      <c r="HRK26" s="146"/>
      <c r="HRL26" s="146"/>
      <c r="HRM26" s="146"/>
      <c r="HRN26" s="146"/>
      <c r="HRO26" s="146"/>
      <c r="HRP26" s="146"/>
      <c r="HRQ26" s="146"/>
      <c r="HRR26" s="146"/>
      <c r="HRS26" s="146"/>
      <c r="HRT26" s="146"/>
      <c r="HRU26" s="146"/>
      <c r="HRV26" s="146"/>
      <c r="HRW26" s="146"/>
      <c r="HRX26" s="146"/>
      <c r="HRY26" s="146"/>
      <c r="HRZ26" s="146"/>
      <c r="HSA26" s="146"/>
      <c r="HSB26" s="146"/>
      <c r="HSC26" s="146"/>
      <c r="HSD26" s="146"/>
      <c r="HSE26" s="146"/>
      <c r="HSF26" s="146"/>
      <c r="HSG26" s="146"/>
      <c r="HSH26" s="146"/>
      <c r="HSI26" s="146"/>
      <c r="HSJ26" s="146"/>
      <c r="HSK26" s="146"/>
      <c r="HSL26" s="146"/>
      <c r="HSM26" s="146"/>
      <c r="HSN26" s="146"/>
      <c r="HSO26" s="146"/>
      <c r="HSP26" s="146"/>
      <c r="HSQ26" s="146"/>
      <c r="HSR26" s="146"/>
      <c r="HSS26" s="146"/>
      <c r="HST26" s="146"/>
      <c r="HSU26" s="146"/>
      <c r="HSV26" s="146"/>
      <c r="HSW26" s="146"/>
      <c r="HSX26" s="146"/>
      <c r="HSY26" s="146"/>
      <c r="HSZ26" s="146"/>
      <c r="HTA26" s="146"/>
      <c r="HTB26" s="146"/>
      <c r="HTC26" s="146"/>
      <c r="HTD26" s="146"/>
      <c r="HTE26" s="146"/>
      <c r="HTF26" s="146"/>
      <c r="HTG26" s="146"/>
      <c r="HTH26" s="146"/>
      <c r="HTI26" s="146"/>
      <c r="HTJ26" s="146"/>
      <c r="HTK26" s="146"/>
      <c r="HTL26" s="146"/>
      <c r="HTM26" s="146"/>
      <c r="HTN26" s="146"/>
      <c r="HTO26" s="146"/>
      <c r="HTP26" s="146"/>
      <c r="HTQ26" s="146"/>
      <c r="HTR26" s="146"/>
      <c r="HTS26" s="146"/>
      <c r="HTT26" s="146"/>
      <c r="HTU26" s="146"/>
      <c r="HTV26" s="146"/>
      <c r="HTW26" s="146"/>
      <c r="HTX26" s="146"/>
      <c r="HTY26" s="146"/>
      <c r="HTZ26" s="146"/>
      <c r="HUA26" s="146"/>
      <c r="HUB26" s="146"/>
      <c r="HUC26" s="146"/>
      <c r="HUD26" s="146"/>
      <c r="HUE26" s="146"/>
      <c r="HUF26" s="146"/>
      <c r="HUG26" s="146"/>
      <c r="HUH26" s="146"/>
      <c r="HUI26" s="146"/>
      <c r="HUJ26" s="146"/>
      <c r="HUK26" s="146"/>
      <c r="HUL26" s="146"/>
      <c r="HUM26" s="146"/>
      <c r="HUN26" s="146"/>
      <c r="HUO26" s="146"/>
      <c r="HUP26" s="146"/>
      <c r="HUQ26" s="146"/>
      <c r="HUR26" s="146"/>
      <c r="HUS26" s="146"/>
      <c r="HUT26" s="146"/>
      <c r="HUU26" s="146"/>
      <c r="HUV26" s="146"/>
      <c r="HUW26" s="146"/>
      <c r="HUX26" s="146"/>
      <c r="HUY26" s="146"/>
      <c r="HUZ26" s="146"/>
      <c r="HVA26" s="146"/>
      <c r="HVB26" s="146"/>
      <c r="HVC26" s="146"/>
      <c r="HVD26" s="146"/>
      <c r="HVE26" s="146"/>
      <c r="HVF26" s="146"/>
      <c r="HVG26" s="146"/>
      <c r="HVH26" s="146"/>
      <c r="HVI26" s="146"/>
      <c r="HVJ26" s="146"/>
      <c r="HVK26" s="146"/>
      <c r="HVL26" s="146"/>
      <c r="HVM26" s="146"/>
      <c r="HVN26" s="146"/>
      <c r="HVO26" s="146"/>
      <c r="HVP26" s="146"/>
      <c r="HVQ26" s="146"/>
      <c r="HVR26" s="146"/>
      <c r="HVS26" s="146"/>
      <c r="HVT26" s="146"/>
      <c r="HVU26" s="146"/>
      <c r="HVV26" s="146"/>
      <c r="HVW26" s="146"/>
      <c r="HVX26" s="146"/>
      <c r="HVY26" s="146"/>
      <c r="HVZ26" s="146"/>
      <c r="HWA26" s="146"/>
      <c r="HWB26" s="146"/>
      <c r="HWC26" s="146"/>
      <c r="HWD26" s="146"/>
      <c r="HWE26" s="146"/>
      <c r="HWF26" s="146"/>
      <c r="HWG26" s="146"/>
      <c r="HWH26" s="146"/>
      <c r="HWI26" s="146"/>
      <c r="HWJ26" s="146"/>
      <c r="HWK26" s="146"/>
      <c r="HWL26" s="146"/>
      <c r="HWM26" s="146"/>
      <c r="HWN26" s="146"/>
      <c r="HWO26" s="146"/>
      <c r="HWP26" s="146"/>
      <c r="HWQ26" s="146"/>
      <c r="HWR26" s="146"/>
      <c r="HWS26" s="146"/>
      <c r="HWT26" s="146"/>
      <c r="HWU26" s="146"/>
      <c r="HWV26" s="146"/>
      <c r="HWW26" s="146"/>
      <c r="HWX26" s="146"/>
      <c r="HWY26" s="146"/>
      <c r="HWZ26" s="146"/>
      <c r="HXA26" s="146"/>
      <c r="HXB26" s="146"/>
      <c r="HXC26" s="146"/>
      <c r="HXD26" s="146"/>
      <c r="HXE26" s="146"/>
      <c r="HXF26" s="146"/>
      <c r="HXG26" s="146"/>
      <c r="HXH26" s="146"/>
      <c r="HXI26" s="146"/>
      <c r="HXJ26" s="146"/>
      <c r="HXK26" s="146"/>
      <c r="HXL26" s="146"/>
      <c r="HXM26" s="146"/>
      <c r="HXN26" s="146"/>
      <c r="HXO26" s="146"/>
      <c r="HXP26" s="146"/>
      <c r="HXQ26" s="146"/>
      <c r="HXR26" s="146"/>
      <c r="HXS26" s="146"/>
      <c r="HXT26" s="146"/>
      <c r="HXU26" s="146"/>
      <c r="HXV26" s="146"/>
      <c r="HXW26" s="146"/>
      <c r="HXX26" s="146"/>
      <c r="HXY26" s="146"/>
      <c r="HXZ26" s="146"/>
      <c r="HYA26" s="146"/>
      <c r="HYB26" s="146"/>
      <c r="HYC26" s="146"/>
      <c r="HYD26" s="146"/>
      <c r="HYE26" s="146"/>
      <c r="HYF26" s="146"/>
      <c r="HYG26" s="146"/>
      <c r="HYH26" s="146"/>
      <c r="HYI26" s="146"/>
      <c r="HYJ26" s="146"/>
      <c r="HYK26" s="146"/>
      <c r="HYL26" s="146"/>
      <c r="HYM26" s="146"/>
      <c r="HYN26" s="146"/>
      <c r="HYO26" s="146"/>
      <c r="HYP26" s="146"/>
      <c r="HYQ26" s="146"/>
      <c r="HYR26" s="146"/>
      <c r="HYS26" s="146"/>
      <c r="HYT26" s="146"/>
      <c r="HYU26" s="146"/>
      <c r="HYV26" s="146"/>
      <c r="HYW26" s="146"/>
      <c r="HYX26" s="146"/>
      <c r="HYY26" s="146"/>
      <c r="HYZ26" s="146"/>
      <c r="HZA26" s="146"/>
      <c r="HZB26" s="146"/>
      <c r="HZC26" s="146"/>
      <c r="HZD26" s="146"/>
      <c r="HZE26" s="146"/>
      <c r="HZF26" s="146"/>
      <c r="HZG26" s="146"/>
      <c r="HZH26" s="146"/>
      <c r="HZI26" s="146"/>
      <c r="HZJ26" s="146"/>
      <c r="HZK26" s="146"/>
      <c r="HZL26" s="146"/>
      <c r="HZM26" s="146"/>
      <c r="HZN26" s="146"/>
      <c r="HZO26" s="146"/>
      <c r="HZP26" s="146"/>
      <c r="HZQ26" s="146"/>
      <c r="HZR26" s="146"/>
      <c r="HZS26" s="146"/>
      <c r="HZT26" s="146"/>
      <c r="HZU26" s="146"/>
      <c r="HZV26" s="146"/>
      <c r="HZW26" s="146"/>
      <c r="HZX26" s="146"/>
      <c r="HZY26" s="146"/>
      <c r="HZZ26" s="146"/>
      <c r="IAA26" s="146"/>
      <c r="IAB26" s="146"/>
      <c r="IAC26" s="146"/>
      <c r="IAD26" s="146"/>
      <c r="IAE26" s="146"/>
      <c r="IAF26" s="146"/>
      <c r="IAG26" s="146"/>
      <c r="IAH26" s="146"/>
      <c r="IAI26" s="146"/>
      <c r="IAJ26" s="146"/>
      <c r="IAK26" s="146"/>
      <c r="IAL26" s="146"/>
      <c r="IAM26" s="146"/>
      <c r="IAN26" s="146"/>
      <c r="IAO26" s="146"/>
      <c r="IAP26" s="146"/>
      <c r="IAQ26" s="146"/>
      <c r="IAR26" s="146"/>
      <c r="IAS26" s="146"/>
      <c r="IAT26" s="146"/>
      <c r="IAU26" s="146"/>
      <c r="IAV26" s="146"/>
      <c r="IAW26" s="146"/>
      <c r="IAX26" s="146"/>
      <c r="IAY26" s="146"/>
      <c r="IAZ26" s="146"/>
      <c r="IBA26" s="146"/>
      <c r="IBB26" s="146"/>
      <c r="IBC26" s="146"/>
      <c r="IBD26" s="146"/>
      <c r="IBE26" s="146"/>
      <c r="IBF26" s="146"/>
      <c r="IBG26" s="146"/>
      <c r="IBH26" s="146"/>
      <c r="IBI26" s="146"/>
      <c r="IBJ26" s="146"/>
      <c r="IBK26" s="146"/>
      <c r="IBL26" s="146"/>
      <c r="IBM26" s="146"/>
      <c r="IBN26" s="146"/>
      <c r="IBO26" s="146"/>
      <c r="IBP26" s="146"/>
      <c r="IBQ26" s="146"/>
      <c r="IBR26" s="146"/>
      <c r="IBS26" s="146"/>
      <c r="IBT26" s="146"/>
      <c r="IBU26" s="146"/>
      <c r="IBV26" s="146"/>
      <c r="IBW26" s="146"/>
      <c r="IBX26" s="146"/>
      <c r="IBY26" s="146"/>
      <c r="IBZ26" s="146"/>
      <c r="ICA26" s="146"/>
      <c r="ICB26" s="146"/>
      <c r="ICC26" s="146"/>
      <c r="ICD26" s="146"/>
      <c r="ICE26" s="146"/>
      <c r="ICF26" s="146"/>
      <c r="ICG26" s="146"/>
      <c r="ICH26" s="146"/>
      <c r="ICI26" s="146"/>
      <c r="ICJ26" s="146"/>
      <c r="ICK26" s="146"/>
      <c r="ICL26" s="146"/>
      <c r="ICM26" s="146"/>
      <c r="ICN26" s="146"/>
      <c r="ICO26" s="146"/>
      <c r="ICP26" s="146"/>
      <c r="ICQ26" s="146"/>
      <c r="ICR26" s="146"/>
      <c r="ICS26" s="146"/>
      <c r="ICT26" s="146"/>
      <c r="ICU26" s="146"/>
      <c r="ICV26" s="146"/>
      <c r="ICW26" s="146"/>
      <c r="ICX26" s="146"/>
      <c r="ICY26" s="146"/>
      <c r="ICZ26" s="146"/>
      <c r="IDA26" s="146"/>
      <c r="IDB26" s="146"/>
      <c r="IDC26" s="146"/>
      <c r="IDD26" s="146"/>
      <c r="IDE26" s="146"/>
      <c r="IDF26" s="146"/>
      <c r="IDG26" s="146"/>
      <c r="IDH26" s="146"/>
      <c r="IDI26" s="146"/>
      <c r="IDJ26" s="146"/>
      <c r="IDK26" s="146"/>
      <c r="IDL26" s="146"/>
      <c r="IDM26" s="146"/>
      <c r="IDN26" s="146"/>
      <c r="IDO26" s="146"/>
      <c r="IDP26" s="146"/>
      <c r="IDQ26" s="146"/>
      <c r="IDR26" s="146"/>
      <c r="IDS26" s="146"/>
      <c r="IDT26" s="146"/>
      <c r="IDU26" s="146"/>
      <c r="IDV26" s="146"/>
      <c r="IDW26" s="146"/>
      <c r="IDX26" s="146"/>
      <c r="IDY26" s="146"/>
      <c r="IDZ26" s="146"/>
      <c r="IEA26" s="146"/>
      <c r="IEB26" s="146"/>
      <c r="IEC26" s="146"/>
      <c r="IED26" s="146"/>
      <c r="IEE26" s="146"/>
      <c r="IEF26" s="146"/>
      <c r="IEG26" s="146"/>
      <c r="IEH26" s="146"/>
      <c r="IEI26" s="146"/>
      <c r="IEJ26" s="146"/>
      <c r="IEK26" s="146"/>
      <c r="IEL26" s="146"/>
      <c r="IEM26" s="146"/>
      <c r="IEN26" s="146"/>
      <c r="IEO26" s="146"/>
      <c r="IEP26" s="146"/>
      <c r="IEQ26" s="146"/>
      <c r="IER26" s="146"/>
      <c r="IES26" s="146"/>
      <c r="IET26" s="146"/>
      <c r="IEU26" s="146"/>
      <c r="IEV26" s="146"/>
      <c r="IEW26" s="146"/>
      <c r="IEX26" s="146"/>
      <c r="IEY26" s="146"/>
      <c r="IEZ26" s="146"/>
      <c r="IFA26" s="146"/>
      <c r="IFB26" s="146"/>
      <c r="IFC26" s="146"/>
      <c r="IFD26" s="146"/>
      <c r="IFE26" s="146"/>
      <c r="IFF26" s="146"/>
      <c r="IFG26" s="146"/>
      <c r="IFH26" s="146"/>
      <c r="IFI26" s="146"/>
      <c r="IFJ26" s="146"/>
      <c r="IFK26" s="146"/>
      <c r="IFL26" s="146"/>
      <c r="IFM26" s="146"/>
      <c r="IFN26" s="146"/>
      <c r="IFO26" s="146"/>
      <c r="IFP26" s="146"/>
      <c r="IFQ26" s="146"/>
      <c r="IFR26" s="146"/>
      <c r="IFS26" s="146"/>
      <c r="IFT26" s="146"/>
      <c r="IFU26" s="146"/>
      <c r="IFV26" s="146"/>
      <c r="IFW26" s="146"/>
      <c r="IFX26" s="146"/>
      <c r="IFY26" s="146"/>
      <c r="IFZ26" s="146"/>
      <c r="IGA26" s="146"/>
      <c r="IGB26" s="146"/>
      <c r="IGC26" s="146"/>
      <c r="IGD26" s="146"/>
      <c r="IGE26" s="146"/>
      <c r="IGF26" s="146"/>
      <c r="IGG26" s="146"/>
      <c r="IGH26" s="146"/>
      <c r="IGI26" s="146"/>
      <c r="IGJ26" s="146"/>
      <c r="IGK26" s="146"/>
      <c r="IGL26" s="146"/>
      <c r="IGM26" s="146"/>
      <c r="IGN26" s="146"/>
      <c r="IGO26" s="146"/>
      <c r="IGP26" s="146"/>
      <c r="IGQ26" s="146"/>
      <c r="IGR26" s="146"/>
      <c r="IGS26" s="146"/>
      <c r="IGT26" s="146"/>
      <c r="IGU26" s="146"/>
      <c r="IGV26" s="146"/>
      <c r="IGW26" s="146"/>
      <c r="IGX26" s="146"/>
      <c r="IGY26" s="146"/>
      <c r="IGZ26" s="146"/>
      <c r="IHA26" s="146"/>
      <c r="IHB26" s="146"/>
      <c r="IHC26" s="146"/>
      <c r="IHD26" s="146"/>
      <c r="IHE26" s="146"/>
      <c r="IHF26" s="146"/>
      <c r="IHG26" s="146"/>
      <c r="IHH26" s="146"/>
      <c r="IHI26" s="146"/>
      <c r="IHJ26" s="146"/>
      <c r="IHK26" s="146"/>
      <c r="IHL26" s="146"/>
      <c r="IHM26" s="146"/>
      <c r="IHN26" s="146"/>
      <c r="IHO26" s="146"/>
      <c r="IHP26" s="146"/>
      <c r="IHQ26" s="146"/>
      <c r="IHR26" s="146"/>
      <c r="IHS26" s="146"/>
      <c r="IHT26" s="146"/>
      <c r="IHU26" s="146"/>
      <c r="IHV26" s="146"/>
      <c r="IHW26" s="146"/>
      <c r="IHX26" s="146"/>
      <c r="IHY26" s="146"/>
      <c r="IHZ26" s="146"/>
      <c r="IIA26" s="146"/>
      <c r="IIB26" s="146"/>
      <c r="IIC26" s="146"/>
      <c r="IID26" s="146"/>
      <c r="IIE26" s="146"/>
      <c r="IIF26" s="146"/>
      <c r="IIG26" s="146"/>
      <c r="IIH26" s="146"/>
      <c r="III26" s="146"/>
      <c r="IIJ26" s="146"/>
      <c r="IIK26" s="146"/>
      <c r="IIL26" s="146"/>
      <c r="IIM26" s="146"/>
      <c r="IIN26" s="146"/>
      <c r="IIO26" s="146"/>
      <c r="IIP26" s="146"/>
      <c r="IIQ26" s="146"/>
      <c r="IIR26" s="146"/>
      <c r="IIS26" s="146"/>
      <c r="IIT26" s="146"/>
      <c r="IIU26" s="146"/>
      <c r="IIV26" s="146"/>
      <c r="IIW26" s="146"/>
      <c r="IIX26" s="146"/>
      <c r="IIY26" s="146"/>
      <c r="IIZ26" s="146"/>
      <c r="IJA26" s="146"/>
      <c r="IJB26" s="146"/>
      <c r="IJC26" s="146"/>
      <c r="IJD26" s="146"/>
      <c r="IJE26" s="146"/>
      <c r="IJF26" s="146"/>
      <c r="IJG26" s="146"/>
      <c r="IJH26" s="146"/>
      <c r="IJI26" s="146"/>
      <c r="IJJ26" s="146"/>
      <c r="IJK26" s="146"/>
      <c r="IJL26" s="146"/>
      <c r="IJM26" s="146"/>
      <c r="IJN26" s="146"/>
      <c r="IJO26" s="146"/>
      <c r="IJP26" s="146"/>
      <c r="IJQ26" s="146"/>
      <c r="IJR26" s="146"/>
      <c r="IJS26" s="146"/>
      <c r="IJT26" s="146"/>
      <c r="IJU26" s="146"/>
      <c r="IJV26" s="146"/>
      <c r="IJW26" s="146"/>
      <c r="IJX26" s="146"/>
      <c r="IJY26" s="146"/>
      <c r="IJZ26" s="146"/>
      <c r="IKA26" s="146"/>
      <c r="IKB26" s="146"/>
      <c r="IKC26" s="146"/>
      <c r="IKD26" s="146"/>
      <c r="IKE26" s="146"/>
      <c r="IKF26" s="146"/>
      <c r="IKG26" s="146"/>
      <c r="IKH26" s="146"/>
      <c r="IKI26" s="146"/>
      <c r="IKJ26" s="146"/>
      <c r="IKK26" s="146"/>
      <c r="IKL26" s="146"/>
      <c r="IKM26" s="146"/>
      <c r="IKN26" s="146"/>
      <c r="IKO26" s="146"/>
      <c r="IKP26" s="146"/>
      <c r="IKQ26" s="146"/>
      <c r="IKR26" s="146"/>
      <c r="IKS26" s="146"/>
      <c r="IKT26" s="146"/>
      <c r="IKU26" s="146"/>
      <c r="IKV26" s="146"/>
      <c r="IKW26" s="146"/>
      <c r="IKX26" s="146"/>
      <c r="IKY26" s="146"/>
      <c r="IKZ26" s="146"/>
      <c r="ILA26" s="146"/>
      <c r="ILB26" s="146"/>
      <c r="ILC26" s="146"/>
      <c r="ILD26" s="146"/>
      <c r="ILE26" s="146"/>
      <c r="ILF26" s="146"/>
      <c r="ILG26" s="146"/>
      <c r="ILH26" s="146"/>
      <c r="ILI26" s="146"/>
      <c r="ILJ26" s="146"/>
      <c r="ILK26" s="146"/>
      <c r="ILL26" s="146"/>
      <c r="ILM26" s="146"/>
      <c r="ILN26" s="146"/>
      <c r="ILO26" s="146"/>
      <c r="ILP26" s="146"/>
      <c r="ILQ26" s="146"/>
      <c r="ILR26" s="146"/>
      <c r="ILS26" s="146"/>
      <c r="ILT26" s="146"/>
      <c r="ILU26" s="146"/>
      <c r="ILV26" s="146"/>
      <c r="ILW26" s="146"/>
      <c r="ILX26" s="146"/>
      <c r="ILY26" s="146"/>
      <c r="ILZ26" s="146"/>
      <c r="IMA26" s="146"/>
      <c r="IMB26" s="146"/>
      <c r="IMC26" s="146"/>
      <c r="IMD26" s="146"/>
      <c r="IME26" s="146"/>
      <c r="IMF26" s="146"/>
      <c r="IMG26" s="146"/>
      <c r="IMH26" s="146"/>
      <c r="IMI26" s="146"/>
      <c r="IMJ26" s="146"/>
      <c r="IMK26" s="146"/>
      <c r="IML26" s="146"/>
      <c r="IMM26" s="146"/>
      <c r="IMN26" s="146"/>
      <c r="IMO26" s="146"/>
      <c r="IMP26" s="146"/>
      <c r="IMQ26" s="146"/>
      <c r="IMR26" s="146"/>
      <c r="IMS26" s="146"/>
      <c r="IMT26" s="146"/>
      <c r="IMU26" s="146"/>
      <c r="IMV26" s="146"/>
      <c r="IMW26" s="146"/>
      <c r="IMX26" s="146"/>
      <c r="IMY26" s="146"/>
      <c r="IMZ26" s="146"/>
      <c r="INA26" s="146"/>
      <c r="INB26" s="146"/>
      <c r="INC26" s="146"/>
      <c r="IND26" s="146"/>
      <c r="INE26" s="146"/>
      <c r="INF26" s="146"/>
      <c r="ING26" s="146"/>
      <c r="INH26" s="146"/>
      <c r="INI26" s="146"/>
      <c r="INJ26" s="146"/>
      <c r="INK26" s="146"/>
      <c r="INL26" s="146"/>
      <c r="INM26" s="146"/>
      <c r="INN26" s="146"/>
      <c r="INO26" s="146"/>
      <c r="INP26" s="146"/>
      <c r="INQ26" s="146"/>
      <c r="INR26" s="146"/>
      <c r="INS26" s="146"/>
      <c r="INT26" s="146"/>
      <c r="INU26" s="146"/>
      <c r="INV26" s="146"/>
      <c r="INW26" s="146"/>
      <c r="INX26" s="146"/>
      <c r="INY26" s="146"/>
      <c r="INZ26" s="146"/>
      <c r="IOA26" s="146"/>
      <c r="IOB26" s="146"/>
      <c r="IOC26" s="146"/>
      <c r="IOD26" s="146"/>
      <c r="IOE26" s="146"/>
      <c r="IOF26" s="146"/>
      <c r="IOG26" s="146"/>
      <c r="IOH26" s="146"/>
      <c r="IOI26" s="146"/>
      <c r="IOJ26" s="146"/>
      <c r="IOK26" s="146"/>
      <c r="IOL26" s="146"/>
      <c r="IOM26" s="146"/>
      <c r="ION26" s="146"/>
      <c r="IOO26" s="146"/>
      <c r="IOP26" s="146"/>
      <c r="IOQ26" s="146"/>
      <c r="IOR26" s="146"/>
      <c r="IOS26" s="146"/>
      <c r="IOT26" s="146"/>
      <c r="IOU26" s="146"/>
      <c r="IOV26" s="146"/>
      <c r="IOW26" s="146"/>
      <c r="IOX26" s="146"/>
      <c r="IOY26" s="146"/>
      <c r="IOZ26" s="146"/>
      <c r="IPA26" s="146"/>
      <c r="IPB26" s="146"/>
      <c r="IPC26" s="146"/>
      <c r="IPD26" s="146"/>
      <c r="IPE26" s="146"/>
      <c r="IPF26" s="146"/>
      <c r="IPG26" s="146"/>
      <c r="IPH26" s="146"/>
      <c r="IPI26" s="146"/>
      <c r="IPJ26" s="146"/>
      <c r="IPK26" s="146"/>
      <c r="IPL26" s="146"/>
      <c r="IPM26" s="146"/>
      <c r="IPN26" s="146"/>
      <c r="IPO26" s="146"/>
      <c r="IPP26" s="146"/>
      <c r="IPQ26" s="146"/>
      <c r="IPR26" s="146"/>
      <c r="IPS26" s="146"/>
      <c r="IPT26" s="146"/>
      <c r="IPU26" s="146"/>
      <c r="IPV26" s="146"/>
      <c r="IPW26" s="146"/>
      <c r="IPX26" s="146"/>
      <c r="IPY26" s="146"/>
      <c r="IPZ26" s="146"/>
      <c r="IQA26" s="146"/>
      <c r="IQB26" s="146"/>
      <c r="IQC26" s="146"/>
      <c r="IQD26" s="146"/>
      <c r="IQE26" s="146"/>
      <c r="IQF26" s="146"/>
      <c r="IQG26" s="146"/>
      <c r="IQH26" s="146"/>
      <c r="IQI26" s="146"/>
      <c r="IQJ26" s="146"/>
      <c r="IQK26" s="146"/>
      <c r="IQL26" s="146"/>
      <c r="IQM26" s="146"/>
      <c r="IQN26" s="146"/>
      <c r="IQO26" s="146"/>
      <c r="IQP26" s="146"/>
      <c r="IQQ26" s="146"/>
      <c r="IQR26" s="146"/>
      <c r="IQS26" s="146"/>
      <c r="IQT26" s="146"/>
      <c r="IQU26" s="146"/>
      <c r="IQV26" s="146"/>
      <c r="IQW26" s="146"/>
      <c r="IQX26" s="146"/>
      <c r="IQY26" s="146"/>
      <c r="IQZ26" s="146"/>
      <c r="IRA26" s="146"/>
      <c r="IRB26" s="146"/>
      <c r="IRC26" s="146"/>
      <c r="IRD26" s="146"/>
      <c r="IRE26" s="146"/>
      <c r="IRF26" s="146"/>
      <c r="IRG26" s="146"/>
      <c r="IRH26" s="146"/>
      <c r="IRI26" s="146"/>
      <c r="IRJ26" s="146"/>
      <c r="IRK26" s="146"/>
      <c r="IRL26" s="146"/>
      <c r="IRM26" s="146"/>
      <c r="IRN26" s="146"/>
      <c r="IRO26" s="146"/>
      <c r="IRP26" s="146"/>
      <c r="IRQ26" s="146"/>
      <c r="IRR26" s="146"/>
      <c r="IRS26" s="146"/>
      <c r="IRT26" s="146"/>
      <c r="IRU26" s="146"/>
      <c r="IRV26" s="146"/>
      <c r="IRW26" s="146"/>
      <c r="IRX26" s="146"/>
      <c r="IRY26" s="146"/>
      <c r="IRZ26" s="146"/>
      <c r="ISA26" s="146"/>
      <c r="ISB26" s="146"/>
      <c r="ISC26" s="146"/>
      <c r="ISD26" s="146"/>
      <c r="ISE26" s="146"/>
      <c r="ISF26" s="146"/>
      <c r="ISG26" s="146"/>
      <c r="ISH26" s="146"/>
      <c r="ISI26" s="146"/>
      <c r="ISJ26" s="146"/>
      <c r="ISK26" s="146"/>
      <c r="ISL26" s="146"/>
      <c r="ISM26" s="146"/>
      <c r="ISN26" s="146"/>
      <c r="ISO26" s="146"/>
      <c r="ISP26" s="146"/>
      <c r="ISQ26" s="146"/>
      <c r="ISR26" s="146"/>
      <c r="ISS26" s="146"/>
      <c r="IST26" s="146"/>
      <c r="ISU26" s="146"/>
      <c r="ISV26" s="146"/>
      <c r="ISW26" s="146"/>
      <c r="ISX26" s="146"/>
      <c r="ISY26" s="146"/>
      <c r="ISZ26" s="146"/>
      <c r="ITA26" s="146"/>
      <c r="ITB26" s="146"/>
      <c r="ITC26" s="146"/>
      <c r="ITD26" s="146"/>
      <c r="ITE26" s="146"/>
      <c r="ITF26" s="146"/>
      <c r="ITG26" s="146"/>
      <c r="ITH26" s="146"/>
      <c r="ITI26" s="146"/>
      <c r="ITJ26" s="146"/>
      <c r="ITK26" s="146"/>
      <c r="ITL26" s="146"/>
      <c r="ITM26" s="146"/>
      <c r="ITN26" s="146"/>
      <c r="ITO26" s="146"/>
      <c r="ITP26" s="146"/>
      <c r="ITQ26" s="146"/>
      <c r="ITR26" s="146"/>
      <c r="ITS26" s="146"/>
      <c r="ITT26" s="146"/>
      <c r="ITU26" s="146"/>
      <c r="ITV26" s="146"/>
      <c r="ITW26" s="146"/>
      <c r="ITX26" s="146"/>
      <c r="ITY26" s="146"/>
      <c r="ITZ26" s="146"/>
      <c r="IUA26" s="146"/>
      <c r="IUB26" s="146"/>
      <c r="IUC26" s="146"/>
      <c r="IUD26" s="146"/>
      <c r="IUE26" s="146"/>
      <c r="IUF26" s="146"/>
      <c r="IUG26" s="146"/>
      <c r="IUH26" s="146"/>
      <c r="IUI26" s="146"/>
      <c r="IUJ26" s="146"/>
      <c r="IUK26" s="146"/>
      <c r="IUL26" s="146"/>
      <c r="IUM26" s="146"/>
      <c r="IUN26" s="146"/>
      <c r="IUO26" s="146"/>
      <c r="IUP26" s="146"/>
      <c r="IUQ26" s="146"/>
      <c r="IUR26" s="146"/>
      <c r="IUS26" s="146"/>
      <c r="IUT26" s="146"/>
      <c r="IUU26" s="146"/>
      <c r="IUV26" s="146"/>
      <c r="IUW26" s="146"/>
      <c r="IUX26" s="146"/>
      <c r="IUY26" s="146"/>
      <c r="IUZ26" s="146"/>
      <c r="IVA26" s="146"/>
      <c r="IVB26" s="146"/>
      <c r="IVC26" s="146"/>
      <c r="IVD26" s="146"/>
      <c r="IVE26" s="146"/>
      <c r="IVF26" s="146"/>
      <c r="IVG26" s="146"/>
      <c r="IVH26" s="146"/>
      <c r="IVI26" s="146"/>
      <c r="IVJ26" s="146"/>
      <c r="IVK26" s="146"/>
      <c r="IVL26" s="146"/>
      <c r="IVM26" s="146"/>
      <c r="IVN26" s="146"/>
      <c r="IVO26" s="146"/>
      <c r="IVP26" s="146"/>
      <c r="IVQ26" s="146"/>
      <c r="IVR26" s="146"/>
      <c r="IVS26" s="146"/>
      <c r="IVT26" s="146"/>
      <c r="IVU26" s="146"/>
      <c r="IVV26" s="146"/>
      <c r="IVW26" s="146"/>
      <c r="IVX26" s="146"/>
      <c r="IVY26" s="146"/>
      <c r="IVZ26" s="146"/>
      <c r="IWA26" s="146"/>
      <c r="IWB26" s="146"/>
      <c r="IWC26" s="146"/>
      <c r="IWD26" s="146"/>
      <c r="IWE26" s="146"/>
      <c r="IWF26" s="146"/>
      <c r="IWG26" s="146"/>
      <c r="IWH26" s="146"/>
      <c r="IWI26" s="146"/>
      <c r="IWJ26" s="146"/>
      <c r="IWK26" s="146"/>
      <c r="IWL26" s="146"/>
      <c r="IWM26" s="146"/>
      <c r="IWN26" s="146"/>
      <c r="IWO26" s="146"/>
      <c r="IWP26" s="146"/>
      <c r="IWQ26" s="146"/>
      <c r="IWR26" s="146"/>
      <c r="IWS26" s="146"/>
      <c r="IWT26" s="146"/>
      <c r="IWU26" s="146"/>
      <c r="IWV26" s="146"/>
      <c r="IWW26" s="146"/>
      <c r="IWX26" s="146"/>
      <c r="IWY26" s="146"/>
      <c r="IWZ26" s="146"/>
      <c r="IXA26" s="146"/>
      <c r="IXB26" s="146"/>
      <c r="IXC26" s="146"/>
      <c r="IXD26" s="146"/>
      <c r="IXE26" s="146"/>
      <c r="IXF26" s="146"/>
      <c r="IXG26" s="146"/>
      <c r="IXH26" s="146"/>
      <c r="IXI26" s="146"/>
      <c r="IXJ26" s="146"/>
      <c r="IXK26" s="146"/>
      <c r="IXL26" s="146"/>
      <c r="IXM26" s="146"/>
      <c r="IXN26" s="146"/>
      <c r="IXO26" s="146"/>
      <c r="IXP26" s="146"/>
      <c r="IXQ26" s="146"/>
      <c r="IXR26" s="146"/>
      <c r="IXS26" s="146"/>
      <c r="IXT26" s="146"/>
      <c r="IXU26" s="146"/>
      <c r="IXV26" s="146"/>
      <c r="IXW26" s="146"/>
      <c r="IXX26" s="146"/>
      <c r="IXY26" s="146"/>
      <c r="IXZ26" s="146"/>
      <c r="IYA26" s="146"/>
      <c r="IYB26" s="146"/>
      <c r="IYC26" s="146"/>
      <c r="IYD26" s="146"/>
      <c r="IYE26" s="146"/>
      <c r="IYF26" s="146"/>
      <c r="IYG26" s="146"/>
      <c r="IYH26" s="146"/>
      <c r="IYI26" s="146"/>
      <c r="IYJ26" s="146"/>
      <c r="IYK26" s="146"/>
      <c r="IYL26" s="146"/>
      <c r="IYM26" s="146"/>
      <c r="IYN26" s="146"/>
      <c r="IYO26" s="146"/>
      <c r="IYP26" s="146"/>
      <c r="IYQ26" s="146"/>
      <c r="IYR26" s="146"/>
      <c r="IYS26" s="146"/>
      <c r="IYT26" s="146"/>
      <c r="IYU26" s="146"/>
      <c r="IYV26" s="146"/>
      <c r="IYW26" s="146"/>
      <c r="IYX26" s="146"/>
      <c r="IYY26" s="146"/>
      <c r="IYZ26" s="146"/>
      <c r="IZA26" s="146"/>
      <c r="IZB26" s="146"/>
      <c r="IZC26" s="146"/>
      <c r="IZD26" s="146"/>
      <c r="IZE26" s="146"/>
      <c r="IZF26" s="146"/>
      <c r="IZG26" s="146"/>
      <c r="IZH26" s="146"/>
      <c r="IZI26" s="146"/>
      <c r="IZJ26" s="146"/>
      <c r="IZK26" s="146"/>
      <c r="IZL26" s="146"/>
      <c r="IZM26" s="146"/>
      <c r="IZN26" s="146"/>
      <c r="IZO26" s="146"/>
      <c r="IZP26" s="146"/>
      <c r="IZQ26" s="146"/>
      <c r="IZR26" s="146"/>
      <c r="IZS26" s="146"/>
      <c r="IZT26" s="146"/>
      <c r="IZU26" s="146"/>
      <c r="IZV26" s="146"/>
      <c r="IZW26" s="146"/>
      <c r="IZX26" s="146"/>
      <c r="IZY26" s="146"/>
      <c r="IZZ26" s="146"/>
      <c r="JAA26" s="146"/>
      <c r="JAB26" s="146"/>
      <c r="JAC26" s="146"/>
      <c r="JAD26" s="146"/>
      <c r="JAE26" s="146"/>
      <c r="JAF26" s="146"/>
      <c r="JAG26" s="146"/>
      <c r="JAH26" s="146"/>
      <c r="JAI26" s="146"/>
      <c r="JAJ26" s="146"/>
      <c r="JAK26" s="146"/>
      <c r="JAL26" s="146"/>
      <c r="JAM26" s="146"/>
      <c r="JAN26" s="146"/>
      <c r="JAO26" s="146"/>
      <c r="JAP26" s="146"/>
      <c r="JAQ26" s="146"/>
      <c r="JAR26" s="146"/>
      <c r="JAS26" s="146"/>
      <c r="JAT26" s="146"/>
      <c r="JAU26" s="146"/>
      <c r="JAV26" s="146"/>
      <c r="JAW26" s="146"/>
      <c r="JAX26" s="146"/>
      <c r="JAY26" s="146"/>
      <c r="JAZ26" s="146"/>
      <c r="JBA26" s="146"/>
      <c r="JBB26" s="146"/>
      <c r="JBC26" s="146"/>
      <c r="JBD26" s="146"/>
      <c r="JBE26" s="146"/>
      <c r="JBF26" s="146"/>
      <c r="JBG26" s="146"/>
      <c r="JBH26" s="146"/>
      <c r="JBI26" s="146"/>
      <c r="JBJ26" s="146"/>
      <c r="JBK26" s="146"/>
      <c r="JBL26" s="146"/>
      <c r="JBM26" s="146"/>
      <c r="JBN26" s="146"/>
      <c r="JBO26" s="146"/>
      <c r="JBP26" s="146"/>
      <c r="JBQ26" s="146"/>
      <c r="JBR26" s="146"/>
      <c r="JBS26" s="146"/>
      <c r="JBT26" s="146"/>
      <c r="JBU26" s="146"/>
      <c r="JBV26" s="146"/>
      <c r="JBW26" s="146"/>
      <c r="JBX26" s="146"/>
      <c r="JBY26" s="146"/>
      <c r="JBZ26" s="146"/>
      <c r="JCA26" s="146"/>
      <c r="JCB26" s="146"/>
      <c r="JCC26" s="146"/>
      <c r="JCD26" s="146"/>
      <c r="JCE26" s="146"/>
      <c r="JCF26" s="146"/>
      <c r="JCG26" s="146"/>
      <c r="JCH26" s="146"/>
      <c r="JCI26" s="146"/>
      <c r="JCJ26" s="146"/>
      <c r="JCK26" s="146"/>
      <c r="JCL26" s="146"/>
      <c r="JCM26" s="146"/>
      <c r="JCN26" s="146"/>
      <c r="JCO26" s="146"/>
      <c r="JCP26" s="146"/>
      <c r="JCQ26" s="146"/>
      <c r="JCR26" s="146"/>
      <c r="JCS26" s="146"/>
      <c r="JCT26" s="146"/>
      <c r="JCU26" s="146"/>
      <c r="JCV26" s="146"/>
      <c r="JCW26" s="146"/>
      <c r="JCX26" s="146"/>
      <c r="JCY26" s="146"/>
      <c r="JCZ26" s="146"/>
      <c r="JDA26" s="146"/>
      <c r="JDB26" s="146"/>
      <c r="JDC26" s="146"/>
      <c r="JDD26" s="146"/>
      <c r="JDE26" s="146"/>
      <c r="JDF26" s="146"/>
      <c r="JDG26" s="146"/>
      <c r="JDH26" s="146"/>
      <c r="JDI26" s="146"/>
      <c r="JDJ26" s="146"/>
      <c r="JDK26" s="146"/>
      <c r="JDL26" s="146"/>
      <c r="JDM26" s="146"/>
      <c r="JDN26" s="146"/>
      <c r="JDO26" s="146"/>
      <c r="JDP26" s="146"/>
      <c r="JDQ26" s="146"/>
      <c r="JDR26" s="146"/>
      <c r="JDS26" s="146"/>
      <c r="JDT26" s="146"/>
      <c r="JDU26" s="146"/>
      <c r="JDV26" s="146"/>
      <c r="JDW26" s="146"/>
      <c r="JDX26" s="146"/>
      <c r="JDY26" s="146"/>
      <c r="JDZ26" s="146"/>
      <c r="JEA26" s="146"/>
      <c r="JEB26" s="146"/>
      <c r="JEC26" s="146"/>
      <c r="JED26" s="146"/>
      <c r="JEE26" s="146"/>
      <c r="JEF26" s="146"/>
      <c r="JEG26" s="146"/>
      <c r="JEH26" s="146"/>
      <c r="JEI26" s="146"/>
      <c r="JEJ26" s="146"/>
      <c r="JEK26" s="146"/>
      <c r="JEL26" s="146"/>
      <c r="JEM26" s="146"/>
      <c r="JEN26" s="146"/>
      <c r="JEO26" s="146"/>
      <c r="JEP26" s="146"/>
      <c r="JEQ26" s="146"/>
      <c r="JER26" s="146"/>
      <c r="JES26" s="146"/>
      <c r="JET26" s="146"/>
      <c r="JEU26" s="146"/>
      <c r="JEV26" s="146"/>
      <c r="JEW26" s="146"/>
      <c r="JEX26" s="146"/>
      <c r="JEY26" s="146"/>
      <c r="JEZ26" s="146"/>
      <c r="JFA26" s="146"/>
      <c r="JFB26" s="146"/>
      <c r="JFC26" s="146"/>
      <c r="JFD26" s="146"/>
      <c r="JFE26" s="146"/>
      <c r="JFF26" s="146"/>
      <c r="JFG26" s="146"/>
      <c r="JFH26" s="146"/>
      <c r="JFI26" s="146"/>
      <c r="JFJ26" s="146"/>
      <c r="JFK26" s="146"/>
      <c r="JFL26" s="146"/>
      <c r="JFM26" s="146"/>
      <c r="JFN26" s="146"/>
      <c r="JFO26" s="146"/>
      <c r="JFP26" s="146"/>
      <c r="JFQ26" s="146"/>
      <c r="JFR26" s="146"/>
      <c r="JFS26" s="146"/>
      <c r="JFT26" s="146"/>
      <c r="JFU26" s="146"/>
      <c r="JFV26" s="146"/>
      <c r="JFW26" s="146"/>
      <c r="JFX26" s="146"/>
      <c r="JFY26" s="146"/>
      <c r="JFZ26" s="146"/>
      <c r="JGA26" s="146"/>
      <c r="JGB26" s="146"/>
      <c r="JGC26" s="146"/>
      <c r="JGD26" s="146"/>
      <c r="JGE26" s="146"/>
      <c r="JGF26" s="146"/>
      <c r="JGG26" s="146"/>
      <c r="JGH26" s="146"/>
      <c r="JGI26" s="146"/>
      <c r="JGJ26" s="146"/>
      <c r="JGK26" s="146"/>
      <c r="JGL26" s="146"/>
      <c r="JGM26" s="146"/>
      <c r="JGN26" s="146"/>
      <c r="JGO26" s="146"/>
      <c r="JGP26" s="146"/>
      <c r="JGQ26" s="146"/>
      <c r="JGR26" s="146"/>
      <c r="JGS26" s="146"/>
      <c r="JGT26" s="146"/>
      <c r="JGU26" s="146"/>
      <c r="JGV26" s="146"/>
      <c r="JGW26" s="146"/>
      <c r="JGX26" s="146"/>
      <c r="JGY26" s="146"/>
      <c r="JGZ26" s="146"/>
      <c r="JHA26" s="146"/>
      <c r="JHB26" s="146"/>
      <c r="JHC26" s="146"/>
      <c r="JHD26" s="146"/>
      <c r="JHE26" s="146"/>
      <c r="JHF26" s="146"/>
      <c r="JHG26" s="146"/>
      <c r="JHH26" s="146"/>
      <c r="JHI26" s="146"/>
      <c r="JHJ26" s="146"/>
      <c r="JHK26" s="146"/>
      <c r="JHL26" s="146"/>
      <c r="JHM26" s="146"/>
      <c r="JHN26" s="146"/>
      <c r="JHO26" s="146"/>
      <c r="JHP26" s="146"/>
      <c r="JHQ26" s="146"/>
      <c r="JHR26" s="146"/>
      <c r="JHS26" s="146"/>
      <c r="JHT26" s="146"/>
      <c r="JHU26" s="146"/>
      <c r="JHV26" s="146"/>
      <c r="JHW26" s="146"/>
      <c r="JHX26" s="146"/>
      <c r="JHY26" s="146"/>
      <c r="JHZ26" s="146"/>
      <c r="JIA26" s="146"/>
      <c r="JIB26" s="146"/>
      <c r="JIC26" s="146"/>
      <c r="JID26" s="146"/>
      <c r="JIE26" s="146"/>
      <c r="JIF26" s="146"/>
      <c r="JIG26" s="146"/>
      <c r="JIH26" s="146"/>
      <c r="JII26" s="146"/>
      <c r="JIJ26" s="146"/>
      <c r="JIK26" s="146"/>
      <c r="JIL26" s="146"/>
      <c r="JIM26" s="146"/>
      <c r="JIN26" s="146"/>
      <c r="JIO26" s="146"/>
      <c r="JIP26" s="146"/>
      <c r="JIQ26" s="146"/>
      <c r="JIR26" s="146"/>
      <c r="JIS26" s="146"/>
      <c r="JIT26" s="146"/>
      <c r="JIU26" s="146"/>
      <c r="JIV26" s="146"/>
      <c r="JIW26" s="146"/>
      <c r="JIX26" s="146"/>
      <c r="JIY26" s="146"/>
      <c r="JIZ26" s="146"/>
      <c r="JJA26" s="146"/>
      <c r="JJB26" s="146"/>
      <c r="JJC26" s="146"/>
      <c r="JJD26" s="146"/>
      <c r="JJE26" s="146"/>
      <c r="JJF26" s="146"/>
      <c r="JJG26" s="146"/>
      <c r="JJH26" s="146"/>
      <c r="JJI26" s="146"/>
      <c r="JJJ26" s="146"/>
      <c r="JJK26" s="146"/>
      <c r="JJL26" s="146"/>
      <c r="JJM26" s="146"/>
      <c r="JJN26" s="146"/>
      <c r="JJO26" s="146"/>
      <c r="JJP26" s="146"/>
      <c r="JJQ26" s="146"/>
      <c r="JJR26" s="146"/>
      <c r="JJS26" s="146"/>
      <c r="JJT26" s="146"/>
      <c r="JJU26" s="146"/>
      <c r="JJV26" s="146"/>
      <c r="JJW26" s="146"/>
      <c r="JJX26" s="146"/>
      <c r="JJY26" s="146"/>
      <c r="JJZ26" s="146"/>
      <c r="JKA26" s="146"/>
      <c r="JKB26" s="146"/>
      <c r="JKC26" s="146"/>
      <c r="JKD26" s="146"/>
      <c r="JKE26" s="146"/>
      <c r="JKF26" s="146"/>
      <c r="JKG26" s="146"/>
      <c r="JKH26" s="146"/>
      <c r="JKI26" s="146"/>
      <c r="JKJ26" s="146"/>
      <c r="JKK26" s="146"/>
      <c r="JKL26" s="146"/>
      <c r="JKM26" s="146"/>
      <c r="JKN26" s="146"/>
      <c r="JKO26" s="146"/>
      <c r="JKP26" s="146"/>
      <c r="JKQ26" s="146"/>
      <c r="JKR26" s="146"/>
      <c r="JKS26" s="146"/>
      <c r="JKT26" s="146"/>
      <c r="JKU26" s="146"/>
      <c r="JKV26" s="146"/>
      <c r="JKW26" s="146"/>
      <c r="JKX26" s="146"/>
      <c r="JKY26" s="146"/>
      <c r="JKZ26" s="146"/>
      <c r="JLA26" s="146"/>
      <c r="JLB26" s="146"/>
      <c r="JLC26" s="146"/>
      <c r="JLD26" s="146"/>
      <c r="JLE26" s="146"/>
      <c r="JLF26" s="146"/>
      <c r="JLG26" s="146"/>
      <c r="JLH26" s="146"/>
      <c r="JLI26" s="146"/>
      <c r="JLJ26" s="146"/>
      <c r="JLK26" s="146"/>
      <c r="JLL26" s="146"/>
      <c r="JLM26" s="146"/>
      <c r="JLN26" s="146"/>
      <c r="JLO26" s="146"/>
      <c r="JLP26" s="146"/>
      <c r="JLQ26" s="146"/>
      <c r="JLR26" s="146"/>
      <c r="JLS26" s="146"/>
      <c r="JLT26" s="146"/>
      <c r="JLU26" s="146"/>
      <c r="JLV26" s="146"/>
      <c r="JLW26" s="146"/>
      <c r="JLX26" s="146"/>
      <c r="JLY26" s="146"/>
      <c r="JLZ26" s="146"/>
      <c r="JMA26" s="146"/>
      <c r="JMB26" s="146"/>
      <c r="JMC26" s="146"/>
      <c r="JMD26" s="146"/>
      <c r="JME26" s="146"/>
      <c r="JMF26" s="146"/>
      <c r="JMG26" s="146"/>
      <c r="JMH26" s="146"/>
      <c r="JMI26" s="146"/>
      <c r="JMJ26" s="146"/>
      <c r="JMK26" s="146"/>
      <c r="JML26" s="146"/>
      <c r="JMM26" s="146"/>
      <c r="JMN26" s="146"/>
      <c r="JMO26" s="146"/>
      <c r="JMP26" s="146"/>
      <c r="JMQ26" s="146"/>
      <c r="JMR26" s="146"/>
      <c r="JMS26" s="146"/>
      <c r="JMT26" s="146"/>
      <c r="JMU26" s="146"/>
      <c r="JMV26" s="146"/>
      <c r="JMW26" s="146"/>
      <c r="JMX26" s="146"/>
      <c r="JMY26" s="146"/>
      <c r="JMZ26" s="146"/>
      <c r="JNA26" s="146"/>
      <c r="JNB26" s="146"/>
      <c r="JNC26" s="146"/>
      <c r="JND26" s="146"/>
      <c r="JNE26" s="146"/>
      <c r="JNF26" s="146"/>
      <c r="JNG26" s="146"/>
      <c r="JNH26" s="146"/>
      <c r="JNI26" s="146"/>
      <c r="JNJ26" s="146"/>
      <c r="JNK26" s="146"/>
      <c r="JNL26" s="146"/>
      <c r="JNM26" s="146"/>
      <c r="JNN26" s="146"/>
      <c r="JNO26" s="146"/>
      <c r="JNP26" s="146"/>
      <c r="JNQ26" s="146"/>
      <c r="JNR26" s="146"/>
      <c r="JNS26" s="146"/>
      <c r="JNT26" s="146"/>
      <c r="JNU26" s="146"/>
      <c r="JNV26" s="146"/>
      <c r="JNW26" s="146"/>
      <c r="JNX26" s="146"/>
      <c r="JNY26" s="146"/>
      <c r="JNZ26" s="146"/>
      <c r="JOA26" s="146"/>
      <c r="JOB26" s="146"/>
      <c r="JOC26" s="146"/>
      <c r="JOD26" s="146"/>
      <c r="JOE26" s="146"/>
      <c r="JOF26" s="146"/>
      <c r="JOG26" s="146"/>
      <c r="JOH26" s="146"/>
      <c r="JOI26" s="146"/>
      <c r="JOJ26" s="146"/>
      <c r="JOK26" s="146"/>
      <c r="JOL26" s="146"/>
      <c r="JOM26" s="146"/>
      <c r="JON26" s="146"/>
      <c r="JOO26" s="146"/>
      <c r="JOP26" s="146"/>
      <c r="JOQ26" s="146"/>
      <c r="JOR26" s="146"/>
      <c r="JOS26" s="146"/>
      <c r="JOT26" s="146"/>
      <c r="JOU26" s="146"/>
      <c r="JOV26" s="146"/>
      <c r="JOW26" s="146"/>
      <c r="JOX26" s="146"/>
      <c r="JOY26" s="146"/>
      <c r="JOZ26" s="146"/>
      <c r="JPA26" s="146"/>
      <c r="JPB26" s="146"/>
      <c r="JPC26" s="146"/>
      <c r="JPD26" s="146"/>
      <c r="JPE26" s="146"/>
      <c r="JPF26" s="146"/>
      <c r="JPG26" s="146"/>
      <c r="JPH26" s="146"/>
      <c r="JPI26" s="146"/>
      <c r="JPJ26" s="146"/>
      <c r="JPK26" s="146"/>
      <c r="JPL26" s="146"/>
      <c r="JPM26" s="146"/>
      <c r="JPN26" s="146"/>
      <c r="JPO26" s="146"/>
      <c r="JPP26" s="146"/>
      <c r="JPQ26" s="146"/>
      <c r="JPR26" s="146"/>
      <c r="JPS26" s="146"/>
      <c r="JPT26" s="146"/>
      <c r="JPU26" s="146"/>
      <c r="JPV26" s="146"/>
      <c r="JPW26" s="146"/>
      <c r="JPX26" s="146"/>
      <c r="JPY26" s="146"/>
      <c r="JPZ26" s="146"/>
      <c r="JQA26" s="146"/>
      <c r="JQB26" s="146"/>
      <c r="JQC26" s="146"/>
      <c r="JQD26" s="146"/>
      <c r="JQE26" s="146"/>
      <c r="JQF26" s="146"/>
      <c r="JQG26" s="146"/>
      <c r="JQH26" s="146"/>
      <c r="JQI26" s="146"/>
      <c r="JQJ26" s="146"/>
      <c r="JQK26" s="146"/>
      <c r="JQL26" s="146"/>
      <c r="JQM26" s="146"/>
      <c r="JQN26" s="146"/>
      <c r="JQO26" s="146"/>
      <c r="JQP26" s="146"/>
      <c r="JQQ26" s="146"/>
      <c r="JQR26" s="146"/>
      <c r="JQS26" s="146"/>
      <c r="JQT26" s="146"/>
      <c r="JQU26" s="146"/>
      <c r="JQV26" s="146"/>
      <c r="JQW26" s="146"/>
      <c r="JQX26" s="146"/>
      <c r="JQY26" s="146"/>
      <c r="JQZ26" s="146"/>
      <c r="JRA26" s="146"/>
      <c r="JRB26" s="146"/>
      <c r="JRC26" s="146"/>
      <c r="JRD26" s="146"/>
      <c r="JRE26" s="146"/>
      <c r="JRF26" s="146"/>
      <c r="JRG26" s="146"/>
      <c r="JRH26" s="146"/>
      <c r="JRI26" s="146"/>
      <c r="JRJ26" s="146"/>
      <c r="JRK26" s="146"/>
      <c r="JRL26" s="146"/>
      <c r="JRM26" s="146"/>
      <c r="JRN26" s="146"/>
      <c r="JRO26" s="146"/>
      <c r="JRP26" s="146"/>
      <c r="JRQ26" s="146"/>
      <c r="JRR26" s="146"/>
      <c r="JRS26" s="146"/>
      <c r="JRT26" s="146"/>
      <c r="JRU26" s="146"/>
      <c r="JRV26" s="146"/>
      <c r="JRW26" s="146"/>
      <c r="JRX26" s="146"/>
      <c r="JRY26" s="146"/>
      <c r="JRZ26" s="146"/>
      <c r="JSA26" s="146"/>
      <c r="JSB26" s="146"/>
      <c r="JSC26" s="146"/>
      <c r="JSD26" s="146"/>
      <c r="JSE26" s="146"/>
      <c r="JSF26" s="146"/>
      <c r="JSG26" s="146"/>
      <c r="JSH26" s="146"/>
      <c r="JSI26" s="146"/>
      <c r="JSJ26" s="146"/>
      <c r="JSK26" s="146"/>
      <c r="JSL26" s="146"/>
      <c r="JSM26" s="146"/>
      <c r="JSN26" s="146"/>
      <c r="JSO26" s="146"/>
      <c r="JSP26" s="146"/>
      <c r="JSQ26" s="146"/>
      <c r="JSR26" s="146"/>
      <c r="JSS26" s="146"/>
      <c r="JST26" s="146"/>
      <c r="JSU26" s="146"/>
      <c r="JSV26" s="146"/>
      <c r="JSW26" s="146"/>
      <c r="JSX26" s="146"/>
      <c r="JSY26" s="146"/>
      <c r="JSZ26" s="146"/>
      <c r="JTA26" s="146"/>
      <c r="JTB26" s="146"/>
      <c r="JTC26" s="146"/>
      <c r="JTD26" s="146"/>
      <c r="JTE26" s="146"/>
      <c r="JTF26" s="146"/>
      <c r="JTG26" s="146"/>
      <c r="JTH26" s="146"/>
      <c r="JTI26" s="146"/>
      <c r="JTJ26" s="146"/>
      <c r="JTK26" s="146"/>
      <c r="JTL26" s="146"/>
      <c r="JTM26" s="146"/>
      <c r="JTN26" s="146"/>
      <c r="JTO26" s="146"/>
      <c r="JTP26" s="146"/>
      <c r="JTQ26" s="146"/>
      <c r="JTR26" s="146"/>
      <c r="JTS26" s="146"/>
      <c r="JTT26" s="146"/>
      <c r="JTU26" s="146"/>
      <c r="JTV26" s="146"/>
      <c r="JTW26" s="146"/>
      <c r="JTX26" s="146"/>
      <c r="JTY26" s="146"/>
      <c r="JTZ26" s="146"/>
      <c r="JUA26" s="146"/>
      <c r="JUB26" s="146"/>
      <c r="JUC26" s="146"/>
      <c r="JUD26" s="146"/>
      <c r="JUE26" s="146"/>
      <c r="JUF26" s="146"/>
      <c r="JUG26" s="146"/>
      <c r="JUH26" s="146"/>
      <c r="JUI26" s="146"/>
      <c r="JUJ26" s="146"/>
      <c r="JUK26" s="146"/>
      <c r="JUL26" s="146"/>
      <c r="JUM26" s="146"/>
      <c r="JUN26" s="146"/>
      <c r="JUO26" s="146"/>
      <c r="JUP26" s="146"/>
      <c r="JUQ26" s="146"/>
      <c r="JUR26" s="146"/>
      <c r="JUS26" s="146"/>
      <c r="JUT26" s="146"/>
      <c r="JUU26" s="146"/>
      <c r="JUV26" s="146"/>
      <c r="JUW26" s="146"/>
      <c r="JUX26" s="146"/>
      <c r="JUY26" s="146"/>
      <c r="JUZ26" s="146"/>
      <c r="JVA26" s="146"/>
      <c r="JVB26" s="146"/>
      <c r="JVC26" s="146"/>
      <c r="JVD26" s="146"/>
      <c r="JVE26" s="146"/>
      <c r="JVF26" s="146"/>
      <c r="JVG26" s="146"/>
      <c r="JVH26" s="146"/>
      <c r="JVI26" s="146"/>
      <c r="JVJ26" s="146"/>
      <c r="JVK26" s="146"/>
      <c r="JVL26" s="146"/>
      <c r="JVM26" s="146"/>
      <c r="JVN26" s="146"/>
      <c r="JVO26" s="146"/>
      <c r="JVP26" s="146"/>
      <c r="JVQ26" s="146"/>
      <c r="JVR26" s="146"/>
      <c r="JVS26" s="146"/>
      <c r="JVT26" s="146"/>
      <c r="JVU26" s="146"/>
      <c r="JVV26" s="146"/>
      <c r="JVW26" s="146"/>
      <c r="JVX26" s="146"/>
      <c r="JVY26" s="146"/>
      <c r="JVZ26" s="146"/>
      <c r="JWA26" s="146"/>
      <c r="JWB26" s="146"/>
      <c r="JWC26" s="146"/>
      <c r="JWD26" s="146"/>
      <c r="JWE26" s="146"/>
      <c r="JWF26" s="146"/>
      <c r="JWG26" s="146"/>
      <c r="JWH26" s="146"/>
      <c r="JWI26" s="146"/>
      <c r="JWJ26" s="146"/>
      <c r="JWK26" s="146"/>
      <c r="JWL26" s="146"/>
      <c r="JWM26" s="146"/>
      <c r="JWN26" s="146"/>
      <c r="JWO26" s="146"/>
      <c r="JWP26" s="146"/>
      <c r="JWQ26" s="146"/>
      <c r="JWR26" s="146"/>
      <c r="JWS26" s="146"/>
      <c r="JWT26" s="146"/>
      <c r="JWU26" s="146"/>
      <c r="JWV26" s="146"/>
      <c r="JWW26" s="146"/>
      <c r="JWX26" s="146"/>
      <c r="JWY26" s="146"/>
      <c r="JWZ26" s="146"/>
      <c r="JXA26" s="146"/>
      <c r="JXB26" s="146"/>
      <c r="JXC26" s="146"/>
      <c r="JXD26" s="146"/>
      <c r="JXE26" s="146"/>
      <c r="JXF26" s="146"/>
      <c r="JXG26" s="146"/>
      <c r="JXH26" s="146"/>
      <c r="JXI26" s="146"/>
      <c r="JXJ26" s="146"/>
      <c r="JXK26" s="146"/>
      <c r="JXL26" s="146"/>
      <c r="JXM26" s="146"/>
      <c r="JXN26" s="146"/>
      <c r="JXO26" s="146"/>
      <c r="JXP26" s="146"/>
      <c r="JXQ26" s="146"/>
      <c r="JXR26" s="146"/>
      <c r="JXS26" s="146"/>
      <c r="JXT26" s="146"/>
      <c r="JXU26" s="146"/>
      <c r="JXV26" s="146"/>
      <c r="JXW26" s="146"/>
      <c r="JXX26" s="146"/>
      <c r="JXY26" s="146"/>
      <c r="JXZ26" s="146"/>
      <c r="JYA26" s="146"/>
      <c r="JYB26" s="146"/>
      <c r="JYC26" s="146"/>
      <c r="JYD26" s="146"/>
      <c r="JYE26" s="146"/>
      <c r="JYF26" s="146"/>
      <c r="JYG26" s="146"/>
      <c r="JYH26" s="146"/>
      <c r="JYI26" s="146"/>
      <c r="JYJ26" s="146"/>
      <c r="JYK26" s="146"/>
      <c r="JYL26" s="146"/>
      <c r="JYM26" s="146"/>
      <c r="JYN26" s="146"/>
      <c r="JYO26" s="146"/>
      <c r="JYP26" s="146"/>
      <c r="JYQ26" s="146"/>
      <c r="JYR26" s="146"/>
      <c r="JYS26" s="146"/>
      <c r="JYT26" s="146"/>
      <c r="JYU26" s="146"/>
      <c r="JYV26" s="146"/>
      <c r="JYW26" s="146"/>
      <c r="JYX26" s="146"/>
      <c r="JYY26" s="146"/>
      <c r="JYZ26" s="146"/>
      <c r="JZA26" s="146"/>
      <c r="JZB26" s="146"/>
      <c r="JZC26" s="146"/>
      <c r="JZD26" s="146"/>
      <c r="JZE26" s="146"/>
      <c r="JZF26" s="146"/>
      <c r="JZG26" s="146"/>
      <c r="JZH26" s="146"/>
      <c r="JZI26" s="146"/>
      <c r="JZJ26" s="146"/>
      <c r="JZK26" s="146"/>
      <c r="JZL26" s="146"/>
      <c r="JZM26" s="146"/>
      <c r="JZN26" s="146"/>
      <c r="JZO26" s="146"/>
      <c r="JZP26" s="146"/>
      <c r="JZQ26" s="146"/>
      <c r="JZR26" s="146"/>
      <c r="JZS26" s="146"/>
      <c r="JZT26" s="146"/>
      <c r="JZU26" s="146"/>
      <c r="JZV26" s="146"/>
      <c r="JZW26" s="146"/>
      <c r="JZX26" s="146"/>
      <c r="JZY26" s="146"/>
      <c r="JZZ26" s="146"/>
      <c r="KAA26" s="146"/>
      <c r="KAB26" s="146"/>
      <c r="KAC26" s="146"/>
      <c r="KAD26" s="146"/>
      <c r="KAE26" s="146"/>
      <c r="KAF26" s="146"/>
      <c r="KAG26" s="146"/>
      <c r="KAH26" s="146"/>
      <c r="KAI26" s="146"/>
      <c r="KAJ26" s="146"/>
      <c r="KAK26" s="146"/>
      <c r="KAL26" s="146"/>
      <c r="KAM26" s="146"/>
      <c r="KAN26" s="146"/>
      <c r="KAO26" s="146"/>
      <c r="KAP26" s="146"/>
      <c r="KAQ26" s="146"/>
      <c r="KAR26" s="146"/>
      <c r="KAS26" s="146"/>
      <c r="KAT26" s="146"/>
      <c r="KAU26" s="146"/>
      <c r="KAV26" s="146"/>
      <c r="KAW26" s="146"/>
      <c r="KAX26" s="146"/>
      <c r="KAY26" s="146"/>
      <c r="KAZ26" s="146"/>
      <c r="KBA26" s="146"/>
      <c r="KBB26" s="146"/>
      <c r="KBC26" s="146"/>
      <c r="KBD26" s="146"/>
      <c r="KBE26" s="146"/>
      <c r="KBF26" s="146"/>
      <c r="KBG26" s="146"/>
      <c r="KBH26" s="146"/>
      <c r="KBI26" s="146"/>
      <c r="KBJ26" s="146"/>
      <c r="KBK26" s="146"/>
      <c r="KBL26" s="146"/>
      <c r="KBM26" s="146"/>
      <c r="KBN26" s="146"/>
      <c r="KBO26" s="146"/>
      <c r="KBP26" s="146"/>
      <c r="KBQ26" s="146"/>
      <c r="KBR26" s="146"/>
      <c r="KBS26" s="146"/>
      <c r="KBT26" s="146"/>
      <c r="KBU26" s="146"/>
      <c r="KBV26" s="146"/>
      <c r="KBW26" s="146"/>
      <c r="KBX26" s="146"/>
      <c r="KBY26" s="146"/>
      <c r="KBZ26" s="146"/>
      <c r="KCA26" s="146"/>
      <c r="KCB26" s="146"/>
      <c r="KCC26" s="146"/>
      <c r="KCD26" s="146"/>
      <c r="KCE26" s="146"/>
      <c r="KCF26" s="146"/>
      <c r="KCG26" s="146"/>
      <c r="KCH26" s="146"/>
      <c r="KCI26" s="146"/>
      <c r="KCJ26" s="146"/>
      <c r="KCK26" s="146"/>
      <c r="KCL26" s="146"/>
      <c r="KCM26" s="146"/>
      <c r="KCN26" s="146"/>
      <c r="KCO26" s="146"/>
      <c r="KCP26" s="146"/>
      <c r="KCQ26" s="146"/>
      <c r="KCR26" s="146"/>
      <c r="KCS26" s="146"/>
      <c r="KCT26" s="146"/>
      <c r="KCU26" s="146"/>
      <c r="KCV26" s="146"/>
      <c r="KCW26" s="146"/>
      <c r="KCX26" s="146"/>
      <c r="KCY26" s="146"/>
      <c r="KCZ26" s="146"/>
      <c r="KDA26" s="146"/>
      <c r="KDB26" s="146"/>
      <c r="KDC26" s="146"/>
      <c r="KDD26" s="146"/>
      <c r="KDE26" s="146"/>
      <c r="KDF26" s="146"/>
      <c r="KDG26" s="146"/>
      <c r="KDH26" s="146"/>
      <c r="KDI26" s="146"/>
      <c r="KDJ26" s="146"/>
      <c r="KDK26" s="146"/>
      <c r="KDL26" s="146"/>
      <c r="KDM26" s="146"/>
      <c r="KDN26" s="146"/>
      <c r="KDO26" s="146"/>
      <c r="KDP26" s="146"/>
      <c r="KDQ26" s="146"/>
      <c r="KDR26" s="146"/>
      <c r="KDS26" s="146"/>
      <c r="KDT26" s="146"/>
      <c r="KDU26" s="146"/>
      <c r="KDV26" s="146"/>
      <c r="KDW26" s="146"/>
      <c r="KDX26" s="146"/>
      <c r="KDY26" s="146"/>
      <c r="KDZ26" s="146"/>
      <c r="KEA26" s="146"/>
      <c r="KEB26" s="146"/>
      <c r="KEC26" s="146"/>
      <c r="KED26" s="146"/>
      <c r="KEE26" s="146"/>
      <c r="KEF26" s="146"/>
      <c r="KEG26" s="146"/>
      <c r="KEH26" s="146"/>
      <c r="KEI26" s="146"/>
      <c r="KEJ26" s="146"/>
      <c r="KEK26" s="146"/>
      <c r="KEL26" s="146"/>
      <c r="KEM26" s="146"/>
      <c r="KEN26" s="146"/>
      <c r="KEO26" s="146"/>
      <c r="KEP26" s="146"/>
      <c r="KEQ26" s="146"/>
      <c r="KER26" s="146"/>
      <c r="KES26" s="146"/>
      <c r="KET26" s="146"/>
      <c r="KEU26" s="146"/>
      <c r="KEV26" s="146"/>
      <c r="KEW26" s="146"/>
      <c r="KEX26" s="146"/>
      <c r="KEY26" s="146"/>
      <c r="KEZ26" s="146"/>
      <c r="KFA26" s="146"/>
      <c r="KFB26" s="146"/>
      <c r="KFC26" s="146"/>
      <c r="KFD26" s="146"/>
      <c r="KFE26" s="146"/>
      <c r="KFF26" s="146"/>
      <c r="KFG26" s="146"/>
      <c r="KFH26" s="146"/>
      <c r="KFI26" s="146"/>
      <c r="KFJ26" s="146"/>
      <c r="KFK26" s="146"/>
      <c r="KFL26" s="146"/>
      <c r="KFM26" s="146"/>
      <c r="KFN26" s="146"/>
      <c r="KFO26" s="146"/>
      <c r="KFP26" s="146"/>
      <c r="KFQ26" s="146"/>
      <c r="KFR26" s="146"/>
      <c r="KFS26" s="146"/>
      <c r="KFT26" s="146"/>
      <c r="KFU26" s="146"/>
      <c r="KFV26" s="146"/>
      <c r="KFW26" s="146"/>
      <c r="KFX26" s="146"/>
      <c r="KFY26" s="146"/>
      <c r="KFZ26" s="146"/>
      <c r="KGA26" s="146"/>
      <c r="KGB26" s="146"/>
      <c r="KGC26" s="146"/>
      <c r="KGD26" s="146"/>
      <c r="KGE26" s="146"/>
      <c r="KGF26" s="146"/>
      <c r="KGG26" s="146"/>
      <c r="KGH26" s="146"/>
      <c r="KGI26" s="146"/>
      <c r="KGJ26" s="146"/>
      <c r="KGK26" s="146"/>
      <c r="KGL26" s="146"/>
      <c r="KGM26" s="146"/>
      <c r="KGN26" s="146"/>
      <c r="KGO26" s="146"/>
      <c r="KGP26" s="146"/>
      <c r="KGQ26" s="146"/>
      <c r="KGR26" s="146"/>
      <c r="KGS26" s="146"/>
      <c r="KGT26" s="146"/>
      <c r="KGU26" s="146"/>
      <c r="KGV26" s="146"/>
      <c r="KGW26" s="146"/>
      <c r="KGX26" s="146"/>
      <c r="KGY26" s="146"/>
      <c r="KGZ26" s="146"/>
      <c r="KHA26" s="146"/>
      <c r="KHB26" s="146"/>
      <c r="KHC26" s="146"/>
      <c r="KHD26" s="146"/>
      <c r="KHE26" s="146"/>
      <c r="KHF26" s="146"/>
      <c r="KHG26" s="146"/>
      <c r="KHH26" s="146"/>
      <c r="KHI26" s="146"/>
      <c r="KHJ26" s="146"/>
      <c r="KHK26" s="146"/>
      <c r="KHL26" s="146"/>
      <c r="KHM26" s="146"/>
      <c r="KHN26" s="146"/>
      <c r="KHO26" s="146"/>
      <c r="KHP26" s="146"/>
      <c r="KHQ26" s="146"/>
      <c r="KHR26" s="146"/>
      <c r="KHS26" s="146"/>
      <c r="KHT26" s="146"/>
      <c r="KHU26" s="146"/>
      <c r="KHV26" s="146"/>
      <c r="KHW26" s="146"/>
      <c r="KHX26" s="146"/>
      <c r="KHY26" s="146"/>
      <c r="KHZ26" s="146"/>
      <c r="KIA26" s="146"/>
      <c r="KIB26" s="146"/>
      <c r="KIC26" s="146"/>
      <c r="KID26" s="146"/>
      <c r="KIE26" s="146"/>
      <c r="KIF26" s="146"/>
      <c r="KIG26" s="146"/>
      <c r="KIH26" s="146"/>
      <c r="KII26" s="146"/>
      <c r="KIJ26" s="146"/>
      <c r="KIK26" s="146"/>
      <c r="KIL26" s="146"/>
      <c r="KIM26" s="146"/>
      <c r="KIN26" s="146"/>
      <c r="KIO26" s="146"/>
      <c r="KIP26" s="146"/>
      <c r="KIQ26" s="146"/>
      <c r="KIR26" s="146"/>
      <c r="KIS26" s="146"/>
      <c r="KIT26" s="146"/>
      <c r="KIU26" s="146"/>
      <c r="KIV26" s="146"/>
      <c r="KIW26" s="146"/>
      <c r="KIX26" s="146"/>
      <c r="KIY26" s="146"/>
      <c r="KIZ26" s="146"/>
      <c r="KJA26" s="146"/>
      <c r="KJB26" s="146"/>
      <c r="KJC26" s="146"/>
      <c r="KJD26" s="146"/>
      <c r="KJE26" s="146"/>
      <c r="KJF26" s="146"/>
      <c r="KJG26" s="146"/>
      <c r="KJH26" s="146"/>
      <c r="KJI26" s="146"/>
      <c r="KJJ26" s="146"/>
      <c r="KJK26" s="146"/>
      <c r="KJL26" s="146"/>
      <c r="KJM26" s="146"/>
      <c r="KJN26" s="146"/>
      <c r="KJO26" s="146"/>
      <c r="KJP26" s="146"/>
      <c r="KJQ26" s="146"/>
      <c r="KJR26" s="146"/>
      <c r="KJS26" s="146"/>
      <c r="KJT26" s="146"/>
      <c r="KJU26" s="146"/>
      <c r="KJV26" s="146"/>
      <c r="KJW26" s="146"/>
      <c r="KJX26" s="146"/>
      <c r="KJY26" s="146"/>
      <c r="KJZ26" s="146"/>
      <c r="KKA26" s="146"/>
      <c r="KKB26" s="146"/>
      <c r="KKC26" s="146"/>
      <c r="KKD26" s="146"/>
      <c r="KKE26" s="146"/>
      <c r="KKF26" s="146"/>
      <c r="KKG26" s="146"/>
      <c r="KKH26" s="146"/>
      <c r="KKI26" s="146"/>
      <c r="KKJ26" s="146"/>
      <c r="KKK26" s="146"/>
      <c r="KKL26" s="146"/>
      <c r="KKM26" s="146"/>
      <c r="KKN26" s="146"/>
      <c r="KKO26" s="146"/>
      <c r="KKP26" s="146"/>
      <c r="KKQ26" s="146"/>
      <c r="KKR26" s="146"/>
      <c r="KKS26" s="146"/>
      <c r="KKT26" s="146"/>
      <c r="KKU26" s="146"/>
      <c r="KKV26" s="146"/>
      <c r="KKW26" s="146"/>
      <c r="KKX26" s="146"/>
      <c r="KKY26" s="146"/>
      <c r="KKZ26" s="146"/>
      <c r="KLA26" s="146"/>
      <c r="KLB26" s="146"/>
      <c r="KLC26" s="146"/>
      <c r="KLD26" s="146"/>
      <c r="KLE26" s="146"/>
      <c r="KLF26" s="146"/>
      <c r="KLG26" s="146"/>
      <c r="KLH26" s="146"/>
      <c r="KLI26" s="146"/>
      <c r="KLJ26" s="146"/>
      <c r="KLK26" s="146"/>
      <c r="KLL26" s="146"/>
      <c r="KLM26" s="146"/>
      <c r="KLN26" s="146"/>
      <c r="KLO26" s="146"/>
      <c r="KLP26" s="146"/>
      <c r="KLQ26" s="146"/>
      <c r="KLR26" s="146"/>
      <c r="KLS26" s="146"/>
      <c r="KLT26" s="146"/>
      <c r="KLU26" s="146"/>
      <c r="KLV26" s="146"/>
      <c r="KLW26" s="146"/>
      <c r="KLX26" s="146"/>
      <c r="KLY26" s="146"/>
      <c r="KLZ26" s="146"/>
      <c r="KMA26" s="146"/>
      <c r="KMB26" s="146"/>
      <c r="KMC26" s="146"/>
      <c r="KMD26" s="146"/>
      <c r="KME26" s="146"/>
      <c r="KMF26" s="146"/>
      <c r="KMG26" s="146"/>
      <c r="KMH26" s="146"/>
      <c r="KMI26" s="146"/>
      <c r="KMJ26" s="146"/>
      <c r="KMK26" s="146"/>
      <c r="KML26" s="146"/>
      <c r="KMM26" s="146"/>
      <c r="KMN26" s="146"/>
      <c r="KMO26" s="146"/>
      <c r="KMP26" s="146"/>
      <c r="KMQ26" s="146"/>
      <c r="KMR26" s="146"/>
      <c r="KMS26" s="146"/>
      <c r="KMT26" s="146"/>
      <c r="KMU26" s="146"/>
      <c r="KMV26" s="146"/>
      <c r="KMW26" s="146"/>
      <c r="KMX26" s="146"/>
      <c r="KMY26" s="146"/>
      <c r="KMZ26" s="146"/>
      <c r="KNA26" s="146"/>
      <c r="KNB26" s="146"/>
      <c r="KNC26" s="146"/>
      <c r="KND26" s="146"/>
      <c r="KNE26" s="146"/>
      <c r="KNF26" s="146"/>
      <c r="KNG26" s="146"/>
      <c r="KNH26" s="146"/>
      <c r="KNI26" s="146"/>
      <c r="KNJ26" s="146"/>
      <c r="KNK26" s="146"/>
      <c r="KNL26" s="146"/>
      <c r="KNM26" s="146"/>
      <c r="KNN26" s="146"/>
      <c r="KNO26" s="146"/>
      <c r="KNP26" s="146"/>
      <c r="KNQ26" s="146"/>
      <c r="KNR26" s="146"/>
      <c r="KNS26" s="146"/>
      <c r="KNT26" s="146"/>
      <c r="KNU26" s="146"/>
      <c r="KNV26" s="146"/>
      <c r="KNW26" s="146"/>
      <c r="KNX26" s="146"/>
      <c r="KNY26" s="146"/>
      <c r="KNZ26" s="146"/>
      <c r="KOA26" s="146"/>
      <c r="KOB26" s="146"/>
      <c r="KOC26" s="146"/>
      <c r="KOD26" s="146"/>
      <c r="KOE26" s="146"/>
      <c r="KOF26" s="146"/>
      <c r="KOG26" s="146"/>
      <c r="KOH26" s="146"/>
      <c r="KOI26" s="146"/>
      <c r="KOJ26" s="146"/>
      <c r="KOK26" s="146"/>
      <c r="KOL26" s="146"/>
      <c r="KOM26" s="146"/>
      <c r="KON26" s="146"/>
      <c r="KOO26" s="146"/>
      <c r="KOP26" s="146"/>
      <c r="KOQ26" s="146"/>
      <c r="KOR26" s="146"/>
      <c r="KOS26" s="146"/>
      <c r="KOT26" s="146"/>
      <c r="KOU26" s="146"/>
      <c r="KOV26" s="146"/>
      <c r="KOW26" s="146"/>
      <c r="KOX26" s="146"/>
      <c r="KOY26" s="146"/>
      <c r="KOZ26" s="146"/>
      <c r="KPA26" s="146"/>
      <c r="KPB26" s="146"/>
      <c r="KPC26" s="146"/>
      <c r="KPD26" s="146"/>
      <c r="KPE26" s="146"/>
      <c r="KPF26" s="146"/>
      <c r="KPG26" s="146"/>
      <c r="KPH26" s="146"/>
      <c r="KPI26" s="146"/>
      <c r="KPJ26" s="146"/>
      <c r="KPK26" s="146"/>
      <c r="KPL26" s="146"/>
      <c r="KPM26" s="146"/>
      <c r="KPN26" s="146"/>
      <c r="KPO26" s="146"/>
      <c r="KPP26" s="146"/>
      <c r="KPQ26" s="146"/>
      <c r="KPR26" s="146"/>
      <c r="KPS26" s="146"/>
      <c r="KPT26" s="146"/>
      <c r="KPU26" s="146"/>
      <c r="KPV26" s="146"/>
      <c r="KPW26" s="146"/>
      <c r="KPX26" s="146"/>
      <c r="KPY26" s="146"/>
      <c r="KPZ26" s="146"/>
      <c r="KQA26" s="146"/>
      <c r="KQB26" s="146"/>
      <c r="KQC26" s="146"/>
      <c r="KQD26" s="146"/>
      <c r="KQE26" s="146"/>
      <c r="KQF26" s="146"/>
      <c r="KQG26" s="146"/>
      <c r="KQH26" s="146"/>
      <c r="KQI26" s="146"/>
      <c r="KQJ26" s="146"/>
      <c r="KQK26" s="146"/>
      <c r="KQL26" s="146"/>
      <c r="KQM26" s="146"/>
      <c r="KQN26" s="146"/>
      <c r="KQO26" s="146"/>
      <c r="KQP26" s="146"/>
      <c r="KQQ26" s="146"/>
      <c r="KQR26" s="146"/>
      <c r="KQS26" s="146"/>
      <c r="KQT26" s="146"/>
      <c r="KQU26" s="146"/>
      <c r="KQV26" s="146"/>
      <c r="KQW26" s="146"/>
      <c r="KQX26" s="146"/>
      <c r="KQY26" s="146"/>
      <c r="KQZ26" s="146"/>
      <c r="KRA26" s="146"/>
      <c r="KRB26" s="146"/>
      <c r="KRC26" s="146"/>
      <c r="KRD26" s="146"/>
      <c r="KRE26" s="146"/>
      <c r="KRF26" s="146"/>
      <c r="KRG26" s="146"/>
      <c r="KRH26" s="146"/>
      <c r="KRI26" s="146"/>
      <c r="KRJ26" s="146"/>
      <c r="KRK26" s="146"/>
      <c r="KRL26" s="146"/>
      <c r="KRM26" s="146"/>
      <c r="KRN26" s="146"/>
      <c r="KRO26" s="146"/>
      <c r="KRP26" s="146"/>
      <c r="KRQ26" s="146"/>
      <c r="KRR26" s="146"/>
      <c r="KRS26" s="146"/>
      <c r="KRT26" s="146"/>
      <c r="KRU26" s="146"/>
      <c r="KRV26" s="146"/>
      <c r="KRW26" s="146"/>
      <c r="KRX26" s="146"/>
      <c r="KRY26" s="146"/>
      <c r="KRZ26" s="146"/>
      <c r="KSA26" s="146"/>
      <c r="KSB26" s="146"/>
      <c r="KSC26" s="146"/>
      <c r="KSD26" s="146"/>
      <c r="KSE26" s="146"/>
      <c r="KSF26" s="146"/>
      <c r="KSG26" s="146"/>
      <c r="KSH26" s="146"/>
      <c r="KSI26" s="146"/>
      <c r="KSJ26" s="146"/>
      <c r="KSK26" s="146"/>
      <c r="KSL26" s="146"/>
      <c r="KSM26" s="146"/>
      <c r="KSN26" s="146"/>
      <c r="KSO26" s="146"/>
      <c r="KSP26" s="146"/>
      <c r="KSQ26" s="146"/>
      <c r="KSR26" s="146"/>
      <c r="KSS26" s="146"/>
      <c r="KST26" s="146"/>
      <c r="KSU26" s="146"/>
      <c r="KSV26" s="146"/>
      <c r="KSW26" s="146"/>
      <c r="KSX26" s="146"/>
      <c r="KSY26" s="146"/>
      <c r="KSZ26" s="146"/>
      <c r="KTA26" s="146"/>
      <c r="KTB26" s="146"/>
      <c r="KTC26" s="146"/>
      <c r="KTD26" s="146"/>
      <c r="KTE26" s="146"/>
      <c r="KTF26" s="146"/>
      <c r="KTG26" s="146"/>
      <c r="KTH26" s="146"/>
      <c r="KTI26" s="146"/>
      <c r="KTJ26" s="146"/>
      <c r="KTK26" s="146"/>
      <c r="KTL26" s="146"/>
      <c r="KTM26" s="146"/>
      <c r="KTN26" s="146"/>
      <c r="KTO26" s="146"/>
      <c r="KTP26" s="146"/>
      <c r="KTQ26" s="146"/>
      <c r="KTR26" s="146"/>
      <c r="KTS26" s="146"/>
      <c r="KTT26" s="146"/>
      <c r="KTU26" s="146"/>
      <c r="KTV26" s="146"/>
      <c r="KTW26" s="146"/>
      <c r="KTX26" s="146"/>
      <c r="KTY26" s="146"/>
      <c r="KTZ26" s="146"/>
      <c r="KUA26" s="146"/>
      <c r="KUB26" s="146"/>
      <c r="KUC26" s="146"/>
      <c r="KUD26" s="146"/>
      <c r="KUE26" s="146"/>
      <c r="KUF26" s="146"/>
      <c r="KUG26" s="146"/>
      <c r="KUH26" s="146"/>
      <c r="KUI26" s="146"/>
      <c r="KUJ26" s="146"/>
      <c r="KUK26" s="146"/>
      <c r="KUL26" s="146"/>
      <c r="KUM26" s="146"/>
      <c r="KUN26" s="146"/>
      <c r="KUO26" s="146"/>
      <c r="KUP26" s="146"/>
      <c r="KUQ26" s="146"/>
      <c r="KUR26" s="146"/>
      <c r="KUS26" s="146"/>
      <c r="KUT26" s="146"/>
      <c r="KUU26" s="146"/>
      <c r="KUV26" s="146"/>
      <c r="KUW26" s="146"/>
      <c r="KUX26" s="146"/>
      <c r="KUY26" s="146"/>
      <c r="KUZ26" s="146"/>
      <c r="KVA26" s="146"/>
      <c r="KVB26" s="146"/>
      <c r="KVC26" s="146"/>
      <c r="KVD26" s="146"/>
      <c r="KVE26" s="146"/>
      <c r="KVF26" s="146"/>
      <c r="KVG26" s="146"/>
      <c r="KVH26" s="146"/>
      <c r="KVI26" s="146"/>
      <c r="KVJ26" s="146"/>
      <c r="KVK26" s="146"/>
      <c r="KVL26" s="146"/>
      <c r="KVM26" s="146"/>
      <c r="KVN26" s="146"/>
      <c r="KVO26" s="146"/>
      <c r="KVP26" s="146"/>
      <c r="KVQ26" s="146"/>
      <c r="KVR26" s="146"/>
      <c r="KVS26" s="146"/>
      <c r="KVT26" s="146"/>
      <c r="KVU26" s="146"/>
      <c r="KVV26" s="146"/>
      <c r="KVW26" s="146"/>
      <c r="KVX26" s="146"/>
      <c r="KVY26" s="146"/>
      <c r="KVZ26" s="146"/>
      <c r="KWA26" s="146"/>
      <c r="KWB26" s="146"/>
      <c r="KWC26" s="146"/>
      <c r="KWD26" s="146"/>
      <c r="KWE26" s="146"/>
      <c r="KWF26" s="146"/>
      <c r="KWG26" s="146"/>
      <c r="KWH26" s="146"/>
      <c r="KWI26" s="146"/>
      <c r="KWJ26" s="146"/>
      <c r="KWK26" s="146"/>
      <c r="KWL26" s="146"/>
      <c r="KWM26" s="146"/>
      <c r="KWN26" s="146"/>
      <c r="KWO26" s="146"/>
      <c r="KWP26" s="146"/>
      <c r="KWQ26" s="146"/>
      <c r="KWR26" s="146"/>
      <c r="KWS26" s="146"/>
      <c r="KWT26" s="146"/>
      <c r="KWU26" s="146"/>
      <c r="KWV26" s="146"/>
      <c r="KWW26" s="146"/>
      <c r="KWX26" s="146"/>
      <c r="KWY26" s="146"/>
      <c r="KWZ26" s="146"/>
      <c r="KXA26" s="146"/>
      <c r="KXB26" s="146"/>
      <c r="KXC26" s="146"/>
      <c r="KXD26" s="146"/>
      <c r="KXE26" s="146"/>
      <c r="KXF26" s="146"/>
      <c r="KXG26" s="146"/>
      <c r="KXH26" s="146"/>
      <c r="KXI26" s="146"/>
      <c r="KXJ26" s="146"/>
      <c r="KXK26" s="146"/>
      <c r="KXL26" s="146"/>
      <c r="KXM26" s="146"/>
      <c r="KXN26" s="146"/>
      <c r="KXO26" s="146"/>
      <c r="KXP26" s="146"/>
      <c r="KXQ26" s="146"/>
      <c r="KXR26" s="146"/>
      <c r="KXS26" s="146"/>
      <c r="KXT26" s="146"/>
      <c r="KXU26" s="146"/>
      <c r="KXV26" s="146"/>
      <c r="KXW26" s="146"/>
      <c r="KXX26" s="146"/>
      <c r="KXY26" s="146"/>
      <c r="KXZ26" s="146"/>
      <c r="KYA26" s="146"/>
      <c r="KYB26" s="146"/>
      <c r="KYC26" s="146"/>
      <c r="KYD26" s="146"/>
      <c r="KYE26" s="146"/>
      <c r="KYF26" s="146"/>
      <c r="KYG26" s="146"/>
      <c r="KYH26" s="146"/>
      <c r="KYI26" s="146"/>
      <c r="KYJ26" s="146"/>
      <c r="KYK26" s="146"/>
      <c r="KYL26" s="146"/>
      <c r="KYM26" s="146"/>
      <c r="KYN26" s="146"/>
      <c r="KYO26" s="146"/>
      <c r="KYP26" s="146"/>
      <c r="KYQ26" s="146"/>
      <c r="KYR26" s="146"/>
      <c r="KYS26" s="146"/>
      <c r="KYT26" s="146"/>
      <c r="KYU26" s="146"/>
      <c r="KYV26" s="146"/>
      <c r="KYW26" s="146"/>
      <c r="KYX26" s="146"/>
      <c r="KYY26" s="146"/>
      <c r="KYZ26" s="146"/>
      <c r="KZA26" s="146"/>
      <c r="KZB26" s="146"/>
      <c r="KZC26" s="146"/>
      <c r="KZD26" s="146"/>
      <c r="KZE26" s="146"/>
      <c r="KZF26" s="146"/>
      <c r="KZG26" s="146"/>
      <c r="KZH26" s="146"/>
      <c r="KZI26" s="146"/>
      <c r="KZJ26" s="146"/>
      <c r="KZK26" s="146"/>
      <c r="KZL26" s="146"/>
      <c r="KZM26" s="146"/>
      <c r="KZN26" s="146"/>
      <c r="KZO26" s="146"/>
      <c r="KZP26" s="146"/>
      <c r="KZQ26" s="146"/>
      <c r="KZR26" s="146"/>
      <c r="KZS26" s="146"/>
      <c r="KZT26" s="146"/>
      <c r="KZU26" s="146"/>
      <c r="KZV26" s="146"/>
      <c r="KZW26" s="146"/>
      <c r="KZX26" s="146"/>
      <c r="KZY26" s="146"/>
      <c r="KZZ26" s="146"/>
      <c r="LAA26" s="146"/>
      <c r="LAB26" s="146"/>
      <c r="LAC26" s="146"/>
      <c r="LAD26" s="146"/>
      <c r="LAE26" s="146"/>
      <c r="LAF26" s="146"/>
      <c r="LAG26" s="146"/>
      <c r="LAH26" s="146"/>
      <c r="LAI26" s="146"/>
      <c r="LAJ26" s="146"/>
      <c r="LAK26" s="146"/>
      <c r="LAL26" s="146"/>
      <c r="LAM26" s="146"/>
      <c r="LAN26" s="146"/>
      <c r="LAO26" s="146"/>
      <c r="LAP26" s="146"/>
      <c r="LAQ26" s="146"/>
      <c r="LAR26" s="146"/>
      <c r="LAS26" s="146"/>
      <c r="LAT26" s="146"/>
      <c r="LAU26" s="146"/>
      <c r="LAV26" s="146"/>
      <c r="LAW26" s="146"/>
      <c r="LAX26" s="146"/>
      <c r="LAY26" s="146"/>
      <c r="LAZ26" s="146"/>
      <c r="LBA26" s="146"/>
      <c r="LBB26" s="146"/>
      <c r="LBC26" s="146"/>
      <c r="LBD26" s="146"/>
      <c r="LBE26" s="146"/>
      <c r="LBF26" s="146"/>
      <c r="LBG26" s="146"/>
      <c r="LBH26" s="146"/>
      <c r="LBI26" s="146"/>
      <c r="LBJ26" s="146"/>
      <c r="LBK26" s="146"/>
      <c r="LBL26" s="146"/>
      <c r="LBM26" s="146"/>
      <c r="LBN26" s="146"/>
      <c r="LBO26" s="146"/>
      <c r="LBP26" s="146"/>
      <c r="LBQ26" s="146"/>
      <c r="LBR26" s="146"/>
      <c r="LBS26" s="146"/>
      <c r="LBT26" s="146"/>
      <c r="LBU26" s="146"/>
      <c r="LBV26" s="146"/>
      <c r="LBW26" s="146"/>
      <c r="LBX26" s="146"/>
      <c r="LBY26" s="146"/>
      <c r="LBZ26" s="146"/>
      <c r="LCA26" s="146"/>
      <c r="LCB26" s="146"/>
      <c r="LCC26" s="146"/>
      <c r="LCD26" s="146"/>
      <c r="LCE26" s="146"/>
      <c r="LCF26" s="146"/>
      <c r="LCG26" s="146"/>
      <c r="LCH26" s="146"/>
      <c r="LCI26" s="146"/>
      <c r="LCJ26" s="146"/>
      <c r="LCK26" s="146"/>
      <c r="LCL26" s="146"/>
      <c r="LCM26" s="146"/>
      <c r="LCN26" s="146"/>
      <c r="LCO26" s="146"/>
      <c r="LCP26" s="146"/>
      <c r="LCQ26" s="146"/>
      <c r="LCR26" s="146"/>
      <c r="LCS26" s="146"/>
      <c r="LCT26" s="146"/>
      <c r="LCU26" s="146"/>
      <c r="LCV26" s="146"/>
      <c r="LCW26" s="146"/>
      <c r="LCX26" s="146"/>
      <c r="LCY26" s="146"/>
      <c r="LCZ26" s="146"/>
      <c r="LDA26" s="146"/>
      <c r="LDB26" s="146"/>
      <c r="LDC26" s="146"/>
      <c r="LDD26" s="146"/>
      <c r="LDE26" s="146"/>
      <c r="LDF26" s="146"/>
      <c r="LDG26" s="146"/>
      <c r="LDH26" s="146"/>
      <c r="LDI26" s="146"/>
      <c r="LDJ26" s="146"/>
      <c r="LDK26" s="146"/>
      <c r="LDL26" s="146"/>
      <c r="LDM26" s="146"/>
      <c r="LDN26" s="146"/>
      <c r="LDO26" s="146"/>
      <c r="LDP26" s="146"/>
      <c r="LDQ26" s="146"/>
      <c r="LDR26" s="146"/>
      <c r="LDS26" s="146"/>
      <c r="LDT26" s="146"/>
      <c r="LDU26" s="146"/>
      <c r="LDV26" s="146"/>
      <c r="LDW26" s="146"/>
      <c r="LDX26" s="146"/>
      <c r="LDY26" s="146"/>
      <c r="LDZ26" s="146"/>
      <c r="LEA26" s="146"/>
      <c r="LEB26" s="146"/>
      <c r="LEC26" s="146"/>
      <c r="LED26" s="146"/>
      <c r="LEE26" s="146"/>
      <c r="LEF26" s="146"/>
      <c r="LEG26" s="146"/>
      <c r="LEH26" s="146"/>
      <c r="LEI26" s="146"/>
      <c r="LEJ26" s="146"/>
      <c r="LEK26" s="146"/>
      <c r="LEL26" s="146"/>
      <c r="LEM26" s="146"/>
      <c r="LEN26" s="146"/>
      <c r="LEO26" s="146"/>
      <c r="LEP26" s="146"/>
      <c r="LEQ26" s="146"/>
      <c r="LER26" s="146"/>
      <c r="LES26" s="146"/>
      <c r="LET26" s="146"/>
      <c r="LEU26" s="146"/>
      <c r="LEV26" s="146"/>
      <c r="LEW26" s="146"/>
      <c r="LEX26" s="146"/>
      <c r="LEY26" s="146"/>
      <c r="LEZ26" s="146"/>
      <c r="LFA26" s="146"/>
      <c r="LFB26" s="146"/>
      <c r="LFC26" s="146"/>
      <c r="LFD26" s="146"/>
      <c r="LFE26" s="146"/>
      <c r="LFF26" s="146"/>
      <c r="LFG26" s="146"/>
      <c r="LFH26" s="146"/>
      <c r="LFI26" s="146"/>
      <c r="LFJ26" s="146"/>
      <c r="LFK26" s="146"/>
      <c r="LFL26" s="146"/>
      <c r="LFM26" s="146"/>
      <c r="LFN26" s="146"/>
      <c r="LFO26" s="146"/>
      <c r="LFP26" s="146"/>
      <c r="LFQ26" s="146"/>
      <c r="LFR26" s="146"/>
      <c r="LFS26" s="146"/>
      <c r="LFT26" s="146"/>
      <c r="LFU26" s="146"/>
      <c r="LFV26" s="146"/>
      <c r="LFW26" s="146"/>
      <c r="LFX26" s="146"/>
      <c r="LFY26" s="146"/>
      <c r="LFZ26" s="146"/>
      <c r="LGA26" s="146"/>
      <c r="LGB26" s="146"/>
      <c r="LGC26" s="146"/>
      <c r="LGD26" s="146"/>
      <c r="LGE26" s="146"/>
      <c r="LGF26" s="146"/>
      <c r="LGG26" s="146"/>
      <c r="LGH26" s="146"/>
      <c r="LGI26" s="146"/>
      <c r="LGJ26" s="146"/>
      <c r="LGK26" s="146"/>
      <c r="LGL26" s="146"/>
      <c r="LGM26" s="146"/>
      <c r="LGN26" s="146"/>
      <c r="LGO26" s="146"/>
      <c r="LGP26" s="146"/>
      <c r="LGQ26" s="146"/>
      <c r="LGR26" s="146"/>
      <c r="LGS26" s="146"/>
      <c r="LGT26" s="146"/>
      <c r="LGU26" s="146"/>
      <c r="LGV26" s="146"/>
      <c r="LGW26" s="146"/>
      <c r="LGX26" s="146"/>
      <c r="LGY26" s="146"/>
      <c r="LGZ26" s="146"/>
      <c r="LHA26" s="146"/>
      <c r="LHB26" s="146"/>
      <c r="LHC26" s="146"/>
      <c r="LHD26" s="146"/>
      <c r="LHE26" s="146"/>
      <c r="LHF26" s="146"/>
      <c r="LHG26" s="146"/>
      <c r="LHH26" s="146"/>
      <c r="LHI26" s="146"/>
      <c r="LHJ26" s="146"/>
      <c r="LHK26" s="146"/>
      <c r="LHL26" s="146"/>
      <c r="LHM26" s="146"/>
      <c r="LHN26" s="146"/>
      <c r="LHO26" s="146"/>
      <c r="LHP26" s="146"/>
      <c r="LHQ26" s="146"/>
      <c r="LHR26" s="146"/>
      <c r="LHS26" s="146"/>
      <c r="LHT26" s="146"/>
      <c r="LHU26" s="146"/>
      <c r="LHV26" s="146"/>
      <c r="LHW26" s="146"/>
      <c r="LHX26" s="146"/>
      <c r="LHY26" s="146"/>
      <c r="LHZ26" s="146"/>
      <c r="LIA26" s="146"/>
      <c r="LIB26" s="146"/>
      <c r="LIC26" s="146"/>
      <c r="LID26" s="146"/>
      <c r="LIE26" s="146"/>
      <c r="LIF26" s="146"/>
      <c r="LIG26" s="146"/>
      <c r="LIH26" s="146"/>
      <c r="LII26" s="146"/>
      <c r="LIJ26" s="146"/>
      <c r="LIK26" s="146"/>
      <c r="LIL26" s="146"/>
      <c r="LIM26" s="146"/>
      <c r="LIN26" s="146"/>
      <c r="LIO26" s="146"/>
      <c r="LIP26" s="146"/>
      <c r="LIQ26" s="146"/>
      <c r="LIR26" s="146"/>
      <c r="LIS26" s="146"/>
      <c r="LIT26" s="146"/>
      <c r="LIU26" s="146"/>
      <c r="LIV26" s="146"/>
      <c r="LIW26" s="146"/>
      <c r="LIX26" s="146"/>
      <c r="LIY26" s="146"/>
      <c r="LIZ26" s="146"/>
      <c r="LJA26" s="146"/>
      <c r="LJB26" s="146"/>
      <c r="LJC26" s="146"/>
      <c r="LJD26" s="146"/>
      <c r="LJE26" s="146"/>
      <c r="LJF26" s="146"/>
      <c r="LJG26" s="146"/>
      <c r="LJH26" s="146"/>
      <c r="LJI26" s="146"/>
      <c r="LJJ26" s="146"/>
      <c r="LJK26" s="146"/>
      <c r="LJL26" s="146"/>
      <c r="LJM26" s="146"/>
      <c r="LJN26" s="146"/>
      <c r="LJO26" s="146"/>
      <c r="LJP26" s="146"/>
      <c r="LJQ26" s="146"/>
      <c r="LJR26" s="146"/>
      <c r="LJS26" s="146"/>
      <c r="LJT26" s="146"/>
      <c r="LJU26" s="146"/>
      <c r="LJV26" s="146"/>
      <c r="LJW26" s="146"/>
      <c r="LJX26" s="146"/>
      <c r="LJY26" s="146"/>
      <c r="LJZ26" s="146"/>
      <c r="LKA26" s="146"/>
      <c r="LKB26" s="146"/>
      <c r="LKC26" s="146"/>
      <c r="LKD26" s="146"/>
      <c r="LKE26" s="146"/>
      <c r="LKF26" s="146"/>
      <c r="LKG26" s="146"/>
      <c r="LKH26" s="146"/>
      <c r="LKI26" s="146"/>
      <c r="LKJ26" s="146"/>
      <c r="LKK26" s="146"/>
      <c r="LKL26" s="146"/>
      <c r="LKM26" s="146"/>
      <c r="LKN26" s="146"/>
      <c r="LKO26" s="146"/>
      <c r="LKP26" s="146"/>
      <c r="LKQ26" s="146"/>
      <c r="LKR26" s="146"/>
      <c r="LKS26" s="146"/>
      <c r="LKT26" s="146"/>
      <c r="LKU26" s="146"/>
      <c r="LKV26" s="146"/>
      <c r="LKW26" s="146"/>
      <c r="LKX26" s="146"/>
      <c r="LKY26" s="146"/>
      <c r="LKZ26" s="146"/>
      <c r="LLA26" s="146"/>
      <c r="LLB26" s="146"/>
      <c r="LLC26" s="146"/>
      <c r="LLD26" s="146"/>
      <c r="LLE26" s="146"/>
      <c r="LLF26" s="146"/>
      <c r="LLG26" s="146"/>
      <c r="LLH26" s="146"/>
      <c r="LLI26" s="146"/>
      <c r="LLJ26" s="146"/>
      <c r="LLK26" s="146"/>
      <c r="LLL26" s="146"/>
      <c r="LLM26" s="146"/>
      <c r="LLN26" s="146"/>
      <c r="LLO26" s="146"/>
      <c r="LLP26" s="146"/>
      <c r="LLQ26" s="146"/>
      <c r="LLR26" s="146"/>
      <c r="LLS26" s="146"/>
      <c r="LLT26" s="146"/>
      <c r="LLU26" s="146"/>
      <c r="LLV26" s="146"/>
      <c r="LLW26" s="146"/>
      <c r="LLX26" s="146"/>
      <c r="LLY26" s="146"/>
      <c r="LLZ26" s="146"/>
      <c r="LMA26" s="146"/>
      <c r="LMB26" s="146"/>
      <c r="LMC26" s="146"/>
      <c r="LMD26" s="146"/>
      <c r="LME26" s="146"/>
      <c r="LMF26" s="146"/>
      <c r="LMG26" s="146"/>
      <c r="LMH26" s="146"/>
      <c r="LMI26" s="146"/>
      <c r="LMJ26" s="146"/>
      <c r="LMK26" s="146"/>
      <c r="LML26" s="146"/>
      <c r="LMM26" s="146"/>
      <c r="LMN26" s="146"/>
      <c r="LMO26" s="146"/>
      <c r="LMP26" s="146"/>
      <c r="LMQ26" s="146"/>
      <c r="LMR26" s="146"/>
      <c r="LMS26" s="146"/>
      <c r="LMT26" s="146"/>
      <c r="LMU26" s="146"/>
      <c r="LMV26" s="146"/>
      <c r="LMW26" s="146"/>
      <c r="LMX26" s="146"/>
      <c r="LMY26" s="146"/>
      <c r="LMZ26" s="146"/>
      <c r="LNA26" s="146"/>
      <c r="LNB26" s="146"/>
      <c r="LNC26" s="146"/>
      <c r="LND26" s="146"/>
      <c r="LNE26" s="146"/>
      <c r="LNF26" s="146"/>
      <c r="LNG26" s="146"/>
      <c r="LNH26" s="146"/>
      <c r="LNI26" s="146"/>
      <c r="LNJ26" s="146"/>
      <c r="LNK26" s="146"/>
      <c r="LNL26" s="146"/>
      <c r="LNM26" s="146"/>
      <c r="LNN26" s="146"/>
      <c r="LNO26" s="146"/>
      <c r="LNP26" s="146"/>
      <c r="LNQ26" s="146"/>
      <c r="LNR26" s="146"/>
      <c r="LNS26" s="146"/>
      <c r="LNT26" s="146"/>
      <c r="LNU26" s="146"/>
      <c r="LNV26" s="146"/>
      <c r="LNW26" s="146"/>
      <c r="LNX26" s="146"/>
      <c r="LNY26" s="146"/>
      <c r="LNZ26" s="146"/>
      <c r="LOA26" s="146"/>
      <c r="LOB26" s="146"/>
      <c r="LOC26" s="146"/>
      <c r="LOD26" s="146"/>
      <c r="LOE26" s="146"/>
      <c r="LOF26" s="146"/>
      <c r="LOG26" s="146"/>
      <c r="LOH26" s="146"/>
      <c r="LOI26" s="146"/>
      <c r="LOJ26" s="146"/>
      <c r="LOK26" s="146"/>
      <c r="LOL26" s="146"/>
      <c r="LOM26" s="146"/>
      <c r="LON26" s="146"/>
      <c r="LOO26" s="146"/>
      <c r="LOP26" s="146"/>
      <c r="LOQ26" s="146"/>
      <c r="LOR26" s="146"/>
      <c r="LOS26" s="146"/>
      <c r="LOT26" s="146"/>
      <c r="LOU26" s="146"/>
      <c r="LOV26" s="146"/>
      <c r="LOW26" s="146"/>
      <c r="LOX26" s="146"/>
      <c r="LOY26" s="146"/>
      <c r="LOZ26" s="146"/>
      <c r="LPA26" s="146"/>
      <c r="LPB26" s="146"/>
      <c r="LPC26" s="146"/>
      <c r="LPD26" s="146"/>
      <c r="LPE26" s="146"/>
      <c r="LPF26" s="146"/>
      <c r="LPG26" s="146"/>
      <c r="LPH26" s="146"/>
      <c r="LPI26" s="146"/>
      <c r="LPJ26" s="146"/>
      <c r="LPK26" s="146"/>
      <c r="LPL26" s="146"/>
      <c r="LPM26" s="146"/>
      <c r="LPN26" s="146"/>
      <c r="LPO26" s="146"/>
      <c r="LPP26" s="146"/>
      <c r="LPQ26" s="146"/>
      <c r="LPR26" s="146"/>
      <c r="LPS26" s="146"/>
      <c r="LPT26" s="146"/>
      <c r="LPU26" s="146"/>
      <c r="LPV26" s="146"/>
      <c r="LPW26" s="146"/>
      <c r="LPX26" s="146"/>
      <c r="LPY26" s="146"/>
      <c r="LPZ26" s="146"/>
      <c r="LQA26" s="146"/>
      <c r="LQB26" s="146"/>
      <c r="LQC26" s="146"/>
      <c r="LQD26" s="146"/>
      <c r="LQE26" s="146"/>
      <c r="LQF26" s="146"/>
      <c r="LQG26" s="146"/>
      <c r="LQH26" s="146"/>
      <c r="LQI26" s="146"/>
      <c r="LQJ26" s="146"/>
      <c r="LQK26" s="146"/>
      <c r="LQL26" s="146"/>
      <c r="LQM26" s="146"/>
      <c r="LQN26" s="146"/>
      <c r="LQO26" s="146"/>
      <c r="LQP26" s="146"/>
      <c r="LQQ26" s="146"/>
      <c r="LQR26" s="146"/>
      <c r="LQS26" s="146"/>
      <c r="LQT26" s="146"/>
      <c r="LQU26" s="146"/>
      <c r="LQV26" s="146"/>
      <c r="LQW26" s="146"/>
      <c r="LQX26" s="146"/>
      <c r="LQY26" s="146"/>
      <c r="LQZ26" s="146"/>
      <c r="LRA26" s="146"/>
      <c r="LRB26" s="146"/>
      <c r="LRC26" s="146"/>
      <c r="LRD26" s="146"/>
      <c r="LRE26" s="146"/>
      <c r="LRF26" s="146"/>
      <c r="LRG26" s="146"/>
      <c r="LRH26" s="146"/>
      <c r="LRI26" s="146"/>
      <c r="LRJ26" s="146"/>
      <c r="LRK26" s="146"/>
      <c r="LRL26" s="146"/>
      <c r="LRM26" s="146"/>
      <c r="LRN26" s="146"/>
      <c r="LRO26" s="146"/>
      <c r="LRP26" s="146"/>
      <c r="LRQ26" s="146"/>
      <c r="LRR26" s="146"/>
      <c r="LRS26" s="146"/>
      <c r="LRT26" s="146"/>
      <c r="LRU26" s="146"/>
      <c r="LRV26" s="146"/>
      <c r="LRW26" s="146"/>
      <c r="LRX26" s="146"/>
      <c r="LRY26" s="146"/>
      <c r="LRZ26" s="146"/>
      <c r="LSA26" s="146"/>
      <c r="LSB26" s="146"/>
      <c r="LSC26" s="146"/>
      <c r="LSD26" s="146"/>
      <c r="LSE26" s="146"/>
      <c r="LSF26" s="146"/>
      <c r="LSG26" s="146"/>
      <c r="LSH26" s="146"/>
      <c r="LSI26" s="146"/>
      <c r="LSJ26" s="146"/>
      <c r="LSK26" s="146"/>
      <c r="LSL26" s="146"/>
      <c r="LSM26" s="146"/>
      <c r="LSN26" s="146"/>
      <c r="LSO26" s="146"/>
      <c r="LSP26" s="146"/>
      <c r="LSQ26" s="146"/>
      <c r="LSR26" s="146"/>
      <c r="LSS26" s="146"/>
      <c r="LST26" s="146"/>
      <c r="LSU26" s="146"/>
      <c r="LSV26" s="146"/>
      <c r="LSW26" s="146"/>
      <c r="LSX26" s="146"/>
      <c r="LSY26" s="146"/>
      <c r="LSZ26" s="146"/>
      <c r="LTA26" s="146"/>
      <c r="LTB26" s="146"/>
      <c r="LTC26" s="146"/>
      <c r="LTD26" s="146"/>
      <c r="LTE26" s="146"/>
      <c r="LTF26" s="146"/>
      <c r="LTG26" s="146"/>
      <c r="LTH26" s="146"/>
      <c r="LTI26" s="146"/>
      <c r="LTJ26" s="146"/>
      <c r="LTK26" s="146"/>
      <c r="LTL26" s="146"/>
      <c r="LTM26" s="146"/>
      <c r="LTN26" s="146"/>
      <c r="LTO26" s="146"/>
      <c r="LTP26" s="146"/>
      <c r="LTQ26" s="146"/>
      <c r="LTR26" s="146"/>
      <c r="LTS26" s="146"/>
      <c r="LTT26" s="146"/>
      <c r="LTU26" s="146"/>
      <c r="LTV26" s="146"/>
      <c r="LTW26" s="146"/>
      <c r="LTX26" s="146"/>
      <c r="LTY26" s="146"/>
      <c r="LTZ26" s="146"/>
      <c r="LUA26" s="146"/>
      <c r="LUB26" s="146"/>
      <c r="LUC26" s="146"/>
      <c r="LUD26" s="146"/>
      <c r="LUE26" s="146"/>
      <c r="LUF26" s="146"/>
      <c r="LUG26" s="146"/>
      <c r="LUH26" s="146"/>
      <c r="LUI26" s="146"/>
      <c r="LUJ26" s="146"/>
      <c r="LUK26" s="146"/>
      <c r="LUL26" s="146"/>
      <c r="LUM26" s="146"/>
      <c r="LUN26" s="146"/>
      <c r="LUO26" s="146"/>
      <c r="LUP26" s="146"/>
      <c r="LUQ26" s="146"/>
      <c r="LUR26" s="146"/>
      <c r="LUS26" s="146"/>
      <c r="LUT26" s="146"/>
      <c r="LUU26" s="146"/>
      <c r="LUV26" s="146"/>
      <c r="LUW26" s="146"/>
      <c r="LUX26" s="146"/>
      <c r="LUY26" s="146"/>
      <c r="LUZ26" s="146"/>
      <c r="LVA26" s="146"/>
      <c r="LVB26" s="146"/>
      <c r="LVC26" s="146"/>
      <c r="LVD26" s="146"/>
      <c r="LVE26" s="146"/>
      <c r="LVF26" s="146"/>
      <c r="LVG26" s="146"/>
      <c r="LVH26" s="146"/>
      <c r="LVI26" s="146"/>
      <c r="LVJ26" s="146"/>
      <c r="LVK26" s="146"/>
      <c r="LVL26" s="146"/>
      <c r="LVM26" s="146"/>
      <c r="LVN26" s="146"/>
      <c r="LVO26" s="146"/>
      <c r="LVP26" s="146"/>
      <c r="LVQ26" s="146"/>
      <c r="LVR26" s="146"/>
      <c r="LVS26" s="146"/>
      <c r="LVT26" s="146"/>
      <c r="LVU26" s="146"/>
      <c r="LVV26" s="146"/>
      <c r="LVW26" s="146"/>
      <c r="LVX26" s="146"/>
      <c r="LVY26" s="146"/>
      <c r="LVZ26" s="146"/>
      <c r="LWA26" s="146"/>
      <c r="LWB26" s="146"/>
      <c r="LWC26" s="146"/>
      <c r="LWD26" s="146"/>
      <c r="LWE26" s="146"/>
      <c r="LWF26" s="146"/>
      <c r="LWG26" s="146"/>
      <c r="LWH26" s="146"/>
      <c r="LWI26" s="146"/>
      <c r="LWJ26" s="146"/>
      <c r="LWK26" s="146"/>
      <c r="LWL26" s="146"/>
      <c r="LWM26" s="146"/>
      <c r="LWN26" s="146"/>
      <c r="LWO26" s="146"/>
      <c r="LWP26" s="146"/>
      <c r="LWQ26" s="146"/>
      <c r="LWR26" s="146"/>
      <c r="LWS26" s="146"/>
      <c r="LWT26" s="146"/>
      <c r="LWU26" s="146"/>
      <c r="LWV26" s="146"/>
      <c r="LWW26" s="146"/>
      <c r="LWX26" s="146"/>
      <c r="LWY26" s="146"/>
      <c r="LWZ26" s="146"/>
      <c r="LXA26" s="146"/>
      <c r="LXB26" s="146"/>
      <c r="LXC26" s="146"/>
      <c r="LXD26" s="146"/>
      <c r="LXE26" s="146"/>
      <c r="LXF26" s="146"/>
      <c r="LXG26" s="146"/>
      <c r="LXH26" s="146"/>
      <c r="LXI26" s="146"/>
      <c r="LXJ26" s="146"/>
      <c r="LXK26" s="146"/>
      <c r="LXL26" s="146"/>
      <c r="LXM26" s="146"/>
      <c r="LXN26" s="146"/>
      <c r="LXO26" s="146"/>
      <c r="LXP26" s="146"/>
      <c r="LXQ26" s="146"/>
      <c r="LXR26" s="146"/>
      <c r="LXS26" s="146"/>
      <c r="LXT26" s="146"/>
      <c r="LXU26" s="146"/>
      <c r="LXV26" s="146"/>
      <c r="LXW26" s="146"/>
      <c r="LXX26" s="146"/>
      <c r="LXY26" s="146"/>
      <c r="LXZ26" s="146"/>
      <c r="LYA26" s="146"/>
      <c r="LYB26" s="146"/>
      <c r="LYC26" s="146"/>
      <c r="LYD26" s="146"/>
      <c r="LYE26" s="146"/>
      <c r="LYF26" s="146"/>
      <c r="LYG26" s="146"/>
      <c r="LYH26" s="146"/>
      <c r="LYI26" s="146"/>
      <c r="LYJ26" s="146"/>
      <c r="LYK26" s="146"/>
      <c r="LYL26" s="146"/>
      <c r="LYM26" s="146"/>
      <c r="LYN26" s="146"/>
      <c r="LYO26" s="146"/>
      <c r="LYP26" s="146"/>
      <c r="LYQ26" s="146"/>
      <c r="LYR26" s="146"/>
      <c r="LYS26" s="146"/>
      <c r="LYT26" s="146"/>
      <c r="LYU26" s="146"/>
      <c r="LYV26" s="146"/>
      <c r="LYW26" s="146"/>
      <c r="LYX26" s="146"/>
      <c r="LYY26" s="146"/>
      <c r="LYZ26" s="146"/>
      <c r="LZA26" s="146"/>
      <c r="LZB26" s="146"/>
      <c r="LZC26" s="146"/>
      <c r="LZD26" s="146"/>
      <c r="LZE26" s="146"/>
      <c r="LZF26" s="146"/>
      <c r="LZG26" s="146"/>
      <c r="LZH26" s="146"/>
      <c r="LZI26" s="146"/>
      <c r="LZJ26" s="146"/>
      <c r="LZK26" s="146"/>
      <c r="LZL26" s="146"/>
      <c r="LZM26" s="146"/>
      <c r="LZN26" s="146"/>
      <c r="LZO26" s="146"/>
      <c r="LZP26" s="146"/>
      <c r="LZQ26" s="146"/>
      <c r="LZR26" s="146"/>
      <c r="LZS26" s="146"/>
      <c r="LZT26" s="146"/>
      <c r="LZU26" s="146"/>
      <c r="LZV26" s="146"/>
      <c r="LZW26" s="146"/>
      <c r="LZX26" s="146"/>
      <c r="LZY26" s="146"/>
      <c r="LZZ26" s="146"/>
      <c r="MAA26" s="146"/>
      <c r="MAB26" s="146"/>
      <c r="MAC26" s="146"/>
      <c r="MAD26" s="146"/>
      <c r="MAE26" s="146"/>
      <c r="MAF26" s="146"/>
      <c r="MAG26" s="146"/>
      <c r="MAH26" s="146"/>
      <c r="MAI26" s="146"/>
      <c r="MAJ26" s="146"/>
      <c r="MAK26" s="146"/>
      <c r="MAL26" s="146"/>
      <c r="MAM26" s="146"/>
      <c r="MAN26" s="146"/>
      <c r="MAO26" s="146"/>
      <c r="MAP26" s="146"/>
      <c r="MAQ26" s="146"/>
      <c r="MAR26" s="146"/>
      <c r="MAS26" s="146"/>
      <c r="MAT26" s="146"/>
      <c r="MAU26" s="146"/>
      <c r="MAV26" s="146"/>
      <c r="MAW26" s="146"/>
      <c r="MAX26" s="146"/>
      <c r="MAY26" s="146"/>
      <c r="MAZ26" s="146"/>
      <c r="MBA26" s="146"/>
      <c r="MBB26" s="146"/>
      <c r="MBC26" s="146"/>
      <c r="MBD26" s="146"/>
      <c r="MBE26" s="146"/>
      <c r="MBF26" s="146"/>
      <c r="MBG26" s="146"/>
      <c r="MBH26" s="146"/>
      <c r="MBI26" s="146"/>
      <c r="MBJ26" s="146"/>
      <c r="MBK26" s="146"/>
      <c r="MBL26" s="146"/>
      <c r="MBM26" s="146"/>
      <c r="MBN26" s="146"/>
      <c r="MBO26" s="146"/>
      <c r="MBP26" s="146"/>
      <c r="MBQ26" s="146"/>
      <c r="MBR26" s="146"/>
      <c r="MBS26" s="146"/>
      <c r="MBT26" s="146"/>
      <c r="MBU26" s="146"/>
      <c r="MBV26" s="146"/>
      <c r="MBW26" s="146"/>
      <c r="MBX26" s="146"/>
      <c r="MBY26" s="146"/>
      <c r="MBZ26" s="146"/>
      <c r="MCA26" s="146"/>
      <c r="MCB26" s="146"/>
      <c r="MCC26" s="146"/>
      <c r="MCD26" s="146"/>
      <c r="MCE26" s="146"/>
      <c r="MCF26" s="146"/>
      <c r="MCG26" s="146"/>
      <c r="MCH26" s="146"/>
      <c r="MCI26" s="146"/>
      <c r="MCJ26" s="146"/>
      <c r="MCK26" s="146"/>
      <c r="MCL26" s="146"/>
      <c r="MCM26" s="146"/>
      <c r="MCN26" s="146"/>
      <c r="MCO26" s="146"/>
      <c r="MCP26" s="146"/>
      <c r="MCQ26" s="146"/>
      <c r="MCR26" s="146"/>
      <c r="MCS26" s="146"/>
      <c r="MCT26" s="146"/>
      <c r="MCU26" s="146"/>
      <c r="MCV26" s="146"/>
      <c r="MCW26" s="146"/>
      <c r="MCX26" s="146"/>
      <c r="MCY26" s="146"/>
      <c r="MCZ26" s="146"/>
      <c r="MDA26" s="146"/>
      <c r="MDB26" s="146"/>
      <c r="MDC26" s="146"/>
      <c r="MDD26" s="146"/>
      <c r="MDE26" s="146"/>
      <c r="MDF26" s="146"/>
      <c r="MDG26" s="146"/>
      <c r="MDH26" s="146"/>
      <c r="MDI26" s="146"/>
      <c r="MDJ26" s="146"/>
      <c r="MDK26" s="146"/>
      <c r="MDL26" s="146"/>
      <c r="MDM26" s="146"/>
      <c r="MDN26" s="146"/>
      <c r="MDO26" s="146"/>
      <c r="MDP26" s="146"/>
      <c r="MDQ26" s="146"/>
      <c r="MDR26" s="146"/>
      <c r="MDS26" s="146"/>
      <c r="MDT26" s="146"/>
      <c r="MDU26" s="146"/>
      <c r="MDV26" s="146"/>
      <c r="MDW26" s="146"/>
      <c r="MDX26" s="146"/>
      <c r="MDY26" s="146"/>
      <c r="MDZ26" s="146"/>
      <c r="MEA26" s="146"/>
      <c r="MEB26" s="146"/>
      <c r="MEC26" s="146"/>
      <c r="MED26" s="146"/>
      <c r="MEE26" s="146"/>
      <c r="MEF26" s="146"/>
      <c r="MEG26" s="146"/>
      <c r="MEH26" s="146"/>
      <c r="MEI26" s="146"/>
      <c r="MEJ26" s="146"/>
      <c r="MEK26" s="146"/>
      <c r="MEL26" s="146"/>
      <c r="MEM26" s="146"/>
      <c r="MEN26" s="146"/>
      <c r="MEO26" s="146"/>
      <c r="MEP26" s="146"/>
      <c r="MEQ26" s="146"/>
      <c r="MER26" s="146"/>
      <c r="MES26" s="146"/>
      <c r="MET26" s="146"/>
      <c r="MEU26" s="146"/>
      <c r="MEV26" s="146"/>
      <c r="MEW26" s="146"/>
      <c r="MEX26" s="146"/>
      <c r="MEY26" s="146"/>
      <c r="MEZ26" s="146"/>
      <c r="MFA26" s="146"/>
      <c r="MFB26" s="146"/>
      <c r="MFC26" s="146"/>
      <c r="MFD26" s="146"/>
      <c r="MFE26" s="146"/>
      <c r="MFF26" s="146"/>
      <c r="MFG26" s="146"/>
      <c r="MFH26" s="146"/>
      <c r="MFI26" s="146"/>
      <c r="MFJ26" s="146"/>
      <c r="MFK26" s="146"/>
      <c r="MFL26" s="146"/>
      <c r="MFM26" s="146"/>
      <c r="MFN26" s="146"/>
      <c r="MFO26" s="146"/>
      <c r="MFP26" s="146"/>
      <c r="MFQ26" s="146"/>
      <c r="MFR26" s="146"/>
      <c r="MFS26" s="146"/>
      <c r="MFT26" s="146"/>
      <c r="MFU26" s="146"/>
      <c r="MFV26" s="146"/>
      <c r="MFW26" s="146"/>
      <c r="MFX26" s="146"/>
      <c r="MFY26" s="146"/>
      <c r="MFZ26" s="146"/>
      <c r="MGA26" s="146"/>
      <c r="MGB26" s="146"/>
      <c r="MGC26" s="146"/>
      <c r="MGD26" s="146"/>
      <c r="MGE26" s="146"/>
      <c r="MGF26" s="146"/>
      <c r="MGG26" s="146"/>
      <c r="MGH26" s="146"/>
      <c r="MGI26" s="146"/>
      <c r="MGJ26" s="146"/>
      <c r="MGK26" s="146"/>
      <c r="MGL26" s="146"/>
      <c r="MGM26" s="146"/>
      <c r="MGN26" s="146"/>
      <c r="MGO26" s="146"/>
      <c r="MGP26" s="146"/>
      <c r="MGQ26" s="146"/>
      <c r="MGR26" s="146"/>
      <c r="MGS26" s="146"/>
      <c r="MGT26" s="146"/>
      <c r="MGU26" s="146"/>
      <c r="MGV26" s="146"/>
      <c r="MGW26" s="146"/>
      <c r="MGX26" s="146"/>
      <c r="MGY26" s="146"/>
      <c r="MGZ26" s="146"/>
      <c r="MHA26" s="146"/>
      <c r="MHB26" s="146"/>
      <c r="MHC26" s="146"/>
      <c r="MHD26" s="146"/>
      <c r="MHE26" s="146"/>
      <c r="MHF26" s="146"/>
      <c r="MHG26" s="146"/>
      <c r="MHH26" s="146"/>
      <c r="MHI26" s="146"/>
      <c r="MHJ26" s="146"/>
      <c r="MHK26" s="146"/>
      <c r="MHL26" s="146"/>
      <c r="MHM26" s="146"/>
      <c r="MHN26" s="146"/>
      <c r="MHO26" s="146"/>
      <c r="MHP26" s="146"/>
      <c r="MHQ26" s="146"/>
      <c r="MHR26" s="146"/>
      <c r="MHS26" s="146"/>
      <c r="MHT26" s="146"/>
      <c r="MHU26" s="146"/>
      <c r="MHV26" s="146"/>
      <c r="MHW26" s="146"/>
      <c r="MHX26" s="146"/>
      <c r="MHY26" s="146"/>
      <c r="MHZ26" s="146"/>
      <c r="MIA26" s="146"/>
      <c r="MIB26" s="146"/>
      <c r="MIC26" s="146"/>
      <c r="MID26" s="146"/>
      <c r="MIE26" s="146"/>
      <c r="MIF26" s="146"/>
      <c r="MIG26" s="146"/>
      <c r="MIH26" s="146"/>
      <c r="MII26" s="146"/>
      <c r="MIJ26" s="146"/>
      <c r="MIK26" s="146"/>
      <c r="MIL26" s="146"/>
      <c r="MIM26" s="146"/>
      <c r="MIN26" s="146"/>
      <c r="MIO26" s="146"/>
      <c r="MIP26" s="146"/>
      <c r="MIQ26" s="146"/>
      <c r="MIR26" s="146"/>
      <c r="MIS26" s="146"/>
      <c r="MIT26" s="146"/>
      <c r="MIU26" s="146"/>
      <c r="MIV26" s="146"/>
      <c r="MIW26" s="146"/>
      <c r="MIX26" s="146"/>
      <c r="MIY26" s="146"/>
      <c r="MIZ26" s="146"/>
      <c r="MJA26" s="146"/>
      <c r="MJB26" s="146"/>
      <c r="MJC26" s="146"/>
      <c r="MJD26" s="146"/>
      <c r="MJE26" s="146"/>
      <c r="MJF26" s="146"/>
      <c r="MJG26" s="146"/>
      <c r="MJH26" s="146"/>
      <c r="MJI26" s="146"/>
      <c r="MJJ26" s="146"/>
      <c r="MJK26" s="146"/>
      <c r="MJL26" s="146"/>
      <c r="MJM26" s="146"/>
      <c r="MJN26" s="146"/>
      <c r="MJO26" s="146"/>
      <c r="MJP26" s="146"/>
      <c r="MJQ26" s="146"/>
      <c r="MJR26" s="146"/>
      <c r="MJS26" s="146"/>
      <c r="MJT26" s="146"/>
      <c r="MJU26" s="146"/>
      <c r="MJV26" s="146"/>
      <c r="MJW26" s="146"/>
      <c r="MJX26" s="146"/>
      <c r="MJY26" s="146"/>
      <c r="MJZ26" s="146"/>
      <c r="MKA26" s="146"/>
      <c r="MKB26" s="146"/>
      <c r="MKC26" s="146"/>
      <c r="MKD26" s="146"/>
      <c r="MKE26" s="146"/>
      <c r="MKF26" s="146"/>
      <c r="MKG26" s="146"/>
      <c r="MKH26" s="146"/>
      <c r="MKI26" s="146"/>
      <c r="MKJ26" s="146"/>
      <c r="MKK26" s="146"/>
      <c r="MKL26" s="146"/>
      <c r="MKM26" s="146"/>
      <c r="MKN26" s="146"/>
      <c r="MKO26" s="146"/>
      <c r="MKP26" s="146"/>
      <c r="MKQ26" s="146"/>
      <c r="MKR26" s="146"/>
      <c r="MKS26" s="146"/>
      <c r="MKT26" s="146"/>
      <c r="MKU26" s="146"/>
      <c r="MKV26" s="146"/>
      <c r="MKW26" s="146"/>
      <c r="MKX26" s="146"/>
      <c r="MKY26" s="146"/>
      <c r="MKZ26" s="146"/>
      <c r="MLA26" s="146"/>
      <c r="MLB26" s="146"/>
      <c r="MLC26" s="146"/>
      <c r="MLD26" s="146"/>
      <c r="MLE26" s="146"/>
      <c r="MLF26" s="146"/>
      <c r="MLG26" s="146"/>
      <c r="MLH26" s="146"/>
      <c r="MLI26" s="146"/>
      <c r="MLJ26" s="146"/>
      <c r="MLK26" s="146"/>
      <c r="MLL26" s="146"/>
      <c r="MLM26" s="146"/>
      <c r="MLN26" s="146"/>
      <c r="MLO26" s="146"/>
      <c r="MLP26" s="146"/>
      <c r="MLQ26" s="146"/>
      <c r="MLR26" s="146"/>
      <c r="MLS26" s="146"/>
      <c r="MLT26" s="146"/>
      <c r="MLU26" s="146"/>
      <c r="MLV26" s="146"/>
      <c r="MLW26" s="146"/>
      <c r="MLX26" s="146"/>
      <c r="MLY26" s="146"/>
      <c r="MLZ26" s="146"/>
      <c r="MMA26" s="146"/>
      <c r="MMB26" s="146"/>
      <c r="MMC26" s="146"/>
      <c r="MMD26" s="146"/>
      <c r="MME26" s="146"/>
      <c r="MMF26" s="146"/>
      <c r="MMG26" s="146"/>
      <c r="MMH26" s="146"/>
      <c r="MMI26" s="146"/>
      <c r="MMJ26" s="146"/>
      <c r="MMK26" s="146"/>
      <c r="MML26" s="146"/>
      <c r="MMM26" s="146"/>
      <c r="MMN26" s="146"/>
      <c r="MMO26" s="146"/>
      <c r="MMP26" s="146"/>
      <c r="MMQ26" s="146"/>
      <c r="MMR26" s="146"/>
      <c r="MMS26" s="146"/>
      <c r="MMT26" s="146"/>
      <c r="MMU26" s="146"/>
      <c r="MMV26" s="146"/>
      <c r="MMW26" s="146"/>
      <c r="MMX26" s="146"/>
      <c r="MMY26" s="146"/>
      <c r="MMZ26" s="146"/>
      <c r="MNA26" s="146"/>
      <c r="MNB26" s="146"/>
      <c r="MNC26" s="146"/>
      <c r="MND26" s="146"/>
      <c r="MNE26" s="146"/>
      <c r="MNF26" s="146"/>
      <c r="MNG26" s="146"/>
      <c r="MNH26" s="146"/>
      <c r="MNI26" s="146"/>
      <c r="MNJ26" s="146"/>
      <c r="MNK26" s="146"/>
      <c r="MNL26" s="146"/>
      <c r="MNM26" s="146"/>
      <c r="MNN26" s="146"/>
      <c r="MNO26" s="146"/>
      <c r="MNP26" s="146"/>
      <c r="MNQ26" s="146"/>
      <c r="MNR26" s="146"/>
      <c r="MNS26" s="146"/>
      <c r="MNT26" s="146"/>
      <c r="MNU26" s="146"/>
      <c r="MNV26" s="146"/>
      <c r="MNW26" s="146"/>
      <c r="MNX26" s="146"/>
      <c r="MNY26" s="146"/>
      <c r="MNZ26" s="146"/>
      <c r="MOA26" s="146"/>
      <c r="MOB26" s="146"/>
      <c r="MOC26" s="146"/>
      <c r="MOD26" s="146"/>
      <c r="MOE26" s="146"/>
      <c r="MOF26" s="146"/>
      <c r="MOG26" s="146"/>
      <c r="MOH26" s="146"/>
      <c r="MOI26" s="146"/>
      <c r="MOJ26" s="146"/>
      <c r="MOK26" s="146"/>
      <c r="MOL26" s="146"/>
      <c r="MOM26" s="146"/>
      <c r="MON26" s="146"/>
      <c r="MOO26" s="146"/>
      <c r="MOP26" s="146"/>
      <c r="MOQ26" s="146"/>
      <c r="MOR26" s="146"/>
      <c r="MOS26" s="146"/>
      <c r="MOT26" s="146"/>
      <c r="MOU26" s="146"/>
      <c r="MOV26" s="146"/>
      <c r="MOW26" s="146"/>
      <c r="MOX26" s="146"/>
      <c r="MOY26" s="146"/>
      <c r="MOZ26" s="146"/>
      <c r="MPA26" s="146"/>
      <c r="MPB26" s="146"/>
      <c r="MPC26" s="146"/>
      <c r="MPD26" s="146"/>
      <c r="MPE26" s="146"/>
      <c r="MPF26" s="146"/>
      <c r="MPG26" s="146"/>
      <c r="MPH26" s="146"/>
      <c r="MPI26" s="146"/>
      <c r="MPJ26" s="146"/>
      <c r="MPK26" s="146"/>
      <c r="MPL26" s="146"/>
      <c r="MPM26" s="146"/>
      <c r="MPN26" s="146"/>
      <c r="MPO26" s="146"/>
      <c r="MPP26" s="146"/>
      <c r="MPQ26" s="146"/>
      <c r="MPR26" s="146"/>
      <c r="MPS26" s="146"/>
      <c r="MPT26" s="146"/>
      <c r="MPU26" s="146"/>
      <c r="MPV26" s="146"/>
      <c r="MPW26" s="146"/>
      <c r="MPX26" s="146"/>
      <c r="MPY26" s="146"/>
      <c r="MPZ26" s="146"/>
      <c r="MQA26" s="146"/>
      <c r="MQB26" s="146"/>
      <c r="MQC26" s="146"/>
      <c r="MQD26" s="146"/>
      <c r="MQE26" s="146"/>
      <c r="MQF26" s="146"/>
      <c r="MQG26" s="146"/>
      <c r="MQH26" s="146"/>
      <c r="MQI26" s="146"/>
      <c r="MQJ26" s="146"/>
      <c r="MQK26" s="146"/>
      <c r="MQL26" s="146"/>
      <c r="MQM26" s="146"/>
      <c r="MQN26" s="146"/>
      <c r="MQO26" s="146"/>
      <c r="MQP26" s="146"/>
      <c r="MQQ26" s="146"/>
      <c r="MQR26" s="146"/>
      <c r="MQS26" s="146"/>
      <c r="MQT26" s="146"/>
      <c r="MQU26" s="146"/>
      <c r="MQV26" s="146"/>
      <c r="MQW26" s="146"/>
      <c r="MQX26" s="146"/>
      <c r="MQY26" s="146"/>
      <c r="MQZ26" s="146"/>
      <c r="MRA26" s="146"/>
      <c r="MRB26" s="146"/>
      <c r="MRC26" s="146"/>
      <c r="MRD26" s="146"/>
      <c r="MRE26" s="146"/>
      <c r="MRF26" s="146"/>
      <c r="MRG26" s="146"/>
      <c r="MRH26" s="146"/>
      <c r="MRI26" s="146"/>
      <c r="MRJ26" s="146"/>
      <c r="MRK26" s="146"/>
      <c r="MRL26" s="146"/>
      <c r="MRM26" s="146"/>
      <c r="MRN26" s="146"/>
      <c r="MRO26" s="146"/>
      <c r="MRP26" s="146"/>
      <c r="MRQ26" s="146"/>
      <c r="MRR26" s="146"/>
      <c r="MRS26" s="146"/>
      <c r="MRT26" s="146"/>
      <c r="MRU26" s="146"/>
      <c r="MRV26" s="146"/>
      <c r="MRW26" s="146"/>
      <c r="MRX26" s="146"/>
      <c r="MRY26" s="146"/>
      <c r="MRZ26" s="146"/>
      <c r="MSA26" s="146"/>
      <c r="MSB26" s="146"/>
      <c r="MSC26" s="146"/>
      <c r="MSD26" s="146"/>
      <c r="MSE26" s="146"/>
      <c r="MSF26" s="146"/>
      <c r="MSG26" s="146"/>
      <c r="MSH26" s="146"/>
      <c r="MSI26" s="146"/>
      <c r="MSJ26" s="146"/>
      <c r="MSK26" s="146"/>
      <c r="MSL26" s="146"/>
      <c r="MSM26" s="146"/>
      <c r="MSN26" s="146"/>
      <c r="MSO26" s="146"/>
      <c r="MSP26" s="146"/>
      <c r="MSQ26" s="146"/>
      <c r="MSR26" s="146"/>
      <c r="MSS26" s="146"/>
      <c r="MST26" s="146"/>
      <c r="MSU26" s="146"/>
      <c r="MSV26" s="146"/>
      <c r="MSW26" s="146"/>
      <c r="MSX26" s="146"/>
      <c r="MSY26" s="146"/>
      <c r="MSZ26" s="146"/>
      <c r="MTA26" s="146"/>
      <c r="MTB26" s="146"/>
      <c r="MTC26" s="146"/>
      <c r="MTD26" s="146"/>
      <c r="MTE26" s="146"/>
      <c r="MTF26" s="146"/>
      <c r="MTG26" s="146"/>
      <c r="MTH26" s="146"/>
      <c r="MTI26" s="146"/>
      <c r="MTJ26" s="146"/>
      <c r="MTK26" s="146"/>
      <c r="MTL26" s="146"/>
      <c r="MTM26" s="146"/>
      <c r="MTN26" s="146"/>
      <c r="MTO26" s="146"/>
      <c r="MTP26" s="146"/>
      <c r="MTQ26" s="146"/>
      <c r="MTR26" s="146"/>
      <c r="MTS26" s="146"/>
      <c r="MTT26" s="146"/>
      <c r="MTU26" s="146"/>
      <c r="MTV26" s="146"/>
      <c r="MTW26" s="146"/>
      <c r="MTX26" s="146"/>
      <c r="MTY26" s="146"/>
      <c r="MTZ26" s="146"/>
      <c r="MUA26" s="146"/>
      <c r="MUB26" s="146"/>
      <c r="MUC26" s="146"/>
      <c r="MUD26" s="146"/>
      <c r="MUE26" s="146"/>
      <c r="MUF26" s="146"/>
      <c r="MUG26" s="146"/>
      <c r="MUH26" s="146"/>
      <c r="MUI26" s="146"/>
      <c r="MUJ26" s="146"/>
      <c r="MUK26" s="146"/>
      <c r="MUL26" s="146"/>
      <c r="MUM26" s="146"/>
      <c r="MUN26" s="146"/>
      <c r="MUO26" s="146"/>
      <c r="MUP26" s="146"/>
      <c r="MUQ26" s="146"/>
      <c r="MUR26" s="146"/>
      <c r="MUS26" s="146"/>
      <c r="MUT26" s="146"/>
      <c r="MUU26" s="146"/>
      <c r="MUV26" s="146"/>
      <c r="MUW26" s="146"/>
      <c r="MUX26" s="146"/>
      <c r="MUY26" s="146"/>
      <c r="MUZ26" s="146"/>
      <c r="MVA26" s="146"/>
      <c r="MVB26" s="146"/>
      <c r="MVC26" s="146"/>
      <c r="MVD26" s="146"/>
      <c r="MVE26" s="146"/>
      <c r="MVF26" s="146"/>
      <c r="MVG26" s="146"/>
      <c r="MVH26" s="146"/>
      <c r="MVI26" s="146"/>
      <c r="MVJ26" s="146"/>
      <c r="MVK26" s="146"/>
      <c r="MVL26" s="146"/>
      <c r="MVM26" s="146"/>
      <c r="MVN26" s="146"/>
      <c r="MVO26" s="146"/>
      <c r="MVP26" s="146"/>
      <c r="MVQ26" s="146"/>
      <c r="MVR26" s="146"/>
      <c r="MVS26" s="146"/>
      <c r="MVT26" s="146"/>
      <c r="MVU26" s="146"/>
      <c r="MVV26" s="146"/>
      <c r="MVW26" s="146"/>
      <c r="MVX26" s="146"/>
      <c r="MVY26" s="146"/>
      <c r="MVZ26" s="146"/>
      <c r="MWA26" s="146"/>
      <c r="MWB26" s="146"/>
      <c r="MWC26" s="146"/>
      <c r="MWD26" s="146"/>
      <c r="MWE26" s="146"/>
      <c r="MWF26" s="146"/>
      <c r="MWG26" s="146"/>
      <c r="MWH26" s="146"/>
      <c r="MWI26" s="146"/>
      <c r="MWJ26" s="146"/>
      <c r="MWK26" s="146"/>
      <c r="MWL26" s="146"/>
      <c r="MWM26" s="146"/>
      <c r="MWN26" s="146"/>
      <c r="MWO26" s="146"/>
      <c r="MWP26" s="146"/>
      <c r="MWQ26" s="146"/>
      <c r="MWR26" s="146"/>
      <c r="MWS26" s="146"/>
      <c r="MWT26" s="146"/>
      <c r="MWU26" s="146"/>
      <c r="MWV26" s="146"/>
      <c r="MWW26" s="146"/>
      <c r="MWX26" s="146"/>
      <c r="MWY26" s="146"/>
      <c r="MWZ26" s="146"/>
      <c r="MXA26" s="146"/>
      <c r="MXB26" s="146"/>
      <c r="MXC26" s="146"/>
      <c r="MXD26" s="146"/>
      <c r="MXE26" s="146"/>
      <c r="MXF26" s="146"/>
      <c r="MXG26" s="146"/>
      <c r="MXH26" s="146"/>
      <c r="MXI26" s="146"/>
      <c r="MXJ26" s="146"/>
      <c r="MXK26" s="146"/>
      <c r="MXL26" s="146"/>
      <c r="MXM26" s="146"/>
      <c r="MXN26" s="146"/>
      <c r="MXO26" s="146"/>
      <c r="MXP26" s="146"/>
      <c r="MXQ26" s="146"/>
      <c r="MXR26" s="146"/>
      <c r="MXS26" s="146"/>
      <c r="MXT26" s="146"/>
      <c r="MXU26" s="146"/>
      <c r="MXV26" s="146"/>
      <c r="MXW26" s="146"/>
      <c r="MXX26" s="146"/>
      <c r="MXY26" s="146"/>
      <c r="MXZ26" s="146"/>
      <c r="MYA26" s="146"/>
      <c r="MYB26" s="146"/>
      <c r="MYC26" s="146"/>
      <c r="MYD26" s="146"/>
      <c r="MYE26" s="146"/>
      <c r="MYF26" s="146"/>
      <c r="MYG26" s="146"/>
      <c r="MYH26" s="146"/>
      <c r="MYI26" s="146"/>
      <c r="MYJ26" s="146"/>
      <c r="MYK26" s="146"/>
      <c r="MYL26" s="146"/>
      <c r="MYM26" s="146"/>
      <c r="MYN26" s="146"/>
      <c r="MYO26" s="146"/>
      <c r="MYP26" s="146"/>
      <c r="MYQ26" s="146"/>
      <c r="MYR26" s="146"/>
      <c r="MYS26" s="146"/>
      <c r="MYT26" s="146"/>
      <c r="MYU26" s="146"/>
      <c r="MYV26" s="146"/>
      <c r="MYW26" s="146"/>
      <c r="MYX26" s="146"/>
      <c r="MYY26" s="146"/>
      <c r="MYZ26" s="146"/>
      <c r="MZA26" s="146"/>
      <c r="MZB26" s="146"/>
      <c r="MZC26" s="146"/>
      <c r="MZD26" s="146"/>
      <c r="MZE26" s="146"/>
      <c r="MZF26" s="146"/>
      <c r="MZG26" s="146"/>
      <c r="MZH26" s="146"/>
      <c r="MZI26" s="146"/>
      <c r="MZJ26" s="146"/>
      <c r="MZK26" s="146"/>
      <c r="MZL26" s="146"/>
      <c r="MZM26" s="146"/>
      <c r="MZN26" s="146"/>
      <c r="MZO26" s="146"/>
      <c r="MZP26" s="146"/>
      <c r="MZQ26" s="146"/>
      <c r="MZR26" s="146"/>
      <c r="MZS26" s="146"/>
      <c r="MZT26" s="146"/>
      <c r="MZU26" s="146"/>
      <c r="MZV26" s="146"/>
      <c r="MZW26" s="146"/>
      <c r="MZX26" s="146"/>
      <c r="MZY26" s="146"/>
      <c r="MZZ26" s="146"/>
      <c r="NAA26" s="146"/>
      <c r="NAB26" s="146"/>
      <c r="NAC26" s="146"/>
      <c r="NAD26" s="146"/>
      <c r="NAE26" s="146"/>
      <c r="NAF26" s="146"/>
      <c r="NAG26" s="146"/>
      <c r="NAH26" s="146"/>
      <c r="NAI26" s="146"/>
      <c r="NAJ26" s="146"/>
      <c r="NAK26" s="146"/>
      <c r="NAL26" s="146"/>
      <c r="NAM26" s="146"/>
      <c r="NAN26" s="146"/>
      <c r="NAO26" s="146"/>
      <c r="NAP26" s="146"/>
      <c r="NAQ26" s="146"/>
      <c r="NAR26" s="146"/>
      <c r="NAS26" s="146"/>
      <c r="NAT26" s="146"/>
      <c r="NAU26" s="146"/>
      <c r="NAV26" s="146"/>
      <c r="NAW26" s="146"/>
      <c r="NAX26" s="146"/>
      <c r="NAY26" s="146"/>
      <c r="NAZ26" s="146"/>
      <c r="NBA26" s="146"/>
      <c r="NBB26" s="146"/>
      <c r="NBC26" s="146"/>
      <c r="NBD26" s="146"/>
      <c r="NBE26" s="146"/>
      <c r="NBF26" s="146"/>
      <c r="NBG26" s="146"/>
      <c r="NBH26" s="146"/>
      <c r="NBI26" s="146"/>
      <c r="NBJ26" s="146"/>
      <c r="NBK26" s="146"/>
      <c r="NBL26" s="146"/>
      <c r="NBM26" s="146"/>
      <c r="NBN26" s="146"/>
      <c r="NBO26" s="146"/>
      <c r="NBP26" s="146"/>
      <c r="NBQ26" s="146"/>
      <c r="NBR26" s="146"/>
      <c r="NBS26" s="146"/>
      <c r="NBT26" s="146"/>
      <c r="NBU26" s="146"/>
      <c r="NBV26" s="146"/>
      <c r="NBW26" s="146"/>
      <c r="NBX26" s="146"/>
      <c r="NBY26" s="146"/>
      <c r="NBZ26" s="146"/>
      <c r="NCA26" s="146"/>
      <c r="NCB26" s="146"/>
      <c r="NCC26" s="146"/>
      <c r="NCD26" s="146"/>
      <c r="NCE26" s="146"/>
      <c r="NCF26" s="146"/>
      <c r="NCG26" s="146"/>
      <c r="NCH26" s="146"/>
      <c r="NCI26" s="146"/>
      <c r="NCJ26" s="146"/>
      <c r="NCK26" s="146"/>
      <c r="NCL26" s="146"/>
      <c r="NCM26" s="146"/>
      <c r="NCN26" s="146"/>
      <c r="NCO26" s="146"/>
      <c r="NCP26" s="146"/>
      <c r="NCQ26" s="146"/>
      <c r="NCR26" s="146"/>
      <c r="NCS26" s="146"/>
      <c r="NCT26" s="146"/>
      <c r="NCU26" s="146"/>
      <c r="NCV26" s="146"/>
      <c r="NCW26" s="146"/>
      <c r="NCX26" s="146"/>
      <c r="NCY26" s="146"/>
      <c r="NCZ26" s="146"/>
      <c r="NDA26" s="146"/>
      <c r="NDB26" s="146"/>
      <c r="NDC26" s="146"/>
      <c r="NDD26" s="146"/>
      <c r="NDE26" s="146"/>
      <c r="NDF26" s="146"/>
      <c r="NDG26" s="146"/>
      <c r="NDH26" s="146"/>
      <c r="NDI26" s="146"/>
      <c r="NDJ26" s="146"/>
      <c r="NDK26" s="146"/>
      <c r="NDL26" s="146"/>
      <c r="NDM26" s="146"/>
      <c r="NDN26" s="146"/>
      <c r="NDO26" s="146"/>
      <c r="NDP26" s="146"/>
      <c r="NDQ26" s="146"/>
      <c r="NDR26" s="146"/>
      <c r="NDS26" s="146"/>
      <c r="NDT26" s="146"/>
      <c r="NDU26" s="146"/>
      <c r="NDV26" s="146"/>
      <c r="NDW26" s="146"/>
      <c r="NDX26" s="146"/>
      <c r="NDY26" s="146"/>
      <c r="NDZ26" s="146"/>
      <c r="NEA26" s="146"/>
      <c r="NEB26" s="146"/>
      <c r="NEC26" s="146"/>
      <c r="NED26" s="146"/>
      <c r="NEE26" s="146"/>
      <c r="NEF26" s="146"/>
      <c r="NEG26" s="146"/>
      <c r="NEH26" s="146"/>
      <c r="NEI26" s="146"/>
      <c r="NEJ26" s="146"/>
      <c r="NEK26" s="146"/>
      <c r="NEL26" s="146"/>
      <c r="NEM26" s="146"/>
      <c r="NEN26" s="146"/>
      <c r="NEO26" s="146"/>
      <c r="NEP26" s="146"/>
      <c r="NEQ26" s="146"/>
      <c r="NER26" s="146"/>
      <c r="NES26" s="146"/>
      <c r="NET26" s="146"/>
      <c r="NEU26" s="146"/>
      <c r="NEV26" s="146"/>
      <c r="NEW26" s="146"/>
      <c r="NEX26" s="146"/>
      <c r="NEY26" s="146"/>
      <c r="NEZ26" s="146"/>
      <c r="NFA26" s="146"/>
      <c r="NFB26" s="146"/>
      <c r="NFC26" s="146"/>
      <c r="NFD26" s="146"/>
      <c r="NFE26" s="146"/>
      <c r="NFF26" s="146"/>
      <c r="NFG26" s="146"/>
      <c r="NFH26" s="146"/>
      <c r="NFI26" s="146"/>
      <c r="NFJ26" s="146"/>
      <c r="NFK26" s="146"/>
      <c r="NFL26" s="146"/>
      <c r="NFM26" s="146"/>
      <c r="NFN26" s="146"/>
      <c r="NFO26" s="146"/>
      <c r="NFP26" s="146"/>
      <c r="NFQ26" s="146"/>
      <c r="NFR26" s="146"/>
      <c r="NFS26" s="146"/>
      <c r="NFT26" s="146"/>
      <c r="NFU26" s="146"/>
      <c r="NFV26" s="146"/>
      <c r="NFW26" s="146"/>
      <c r="NFX26" s="146"/>
      <c r="NFY26" s="146"/>
      <c r="NFZ26" s="146"/>
      <c r="NGA26" s="146"/>
      <c r="NGB26" s="146"/>
      <c r="NGC26" s="146"/>
      <c r="NGD26" s="146"/>
      <c r="NGE26" s="146"/>
      <c r="NGF26" s="146"/>
      <c r="NGG26" s="146"/>
      <c r="NGH26" s="146"/>
      <c r="NGI26" s="146"/>
      <c r="NGJ26" s="146"/>
      <c r="NGK26" s="146"/>
      <c r="NGL26" s="146"/>
      <c r="NGM26" s="146"/>
      <c r="NGN26" s="146"/>
      <c r="NGO26" s="146"/>
      <c r="NGP26" s="146"/>
      <c r="NGQ26" s="146"/>
      <c r="NGR26" s="146"/>
      <c r="NGS26" s="146"/>
      <c r="NGT26" s="146"/>
      <c r="NGU26" s="146"/>
      <c r="NGV26" s="146"/>
      <c r="NGW26" s="146"/>
      <c r="NGX26" s="146"/>
      <c r="NGY26" s="146"/>
      <c r="NGZ26" s="146"/>
      <c r="NHA26" s="146"/>
      <c r="NHB26" s="146"/>
      <c r="NHC26" s="146"/>
      <c r="NHD26" s="146"/>
      <c r="NHE26" s="146"/>
      <c r="NHF26" s="146"/>
      <c r="NHG26" s="146"/>
      <c r="NHH26" s="146"/>
      <c r="NHI26" s="146"/>
      <c r="NHJ26" s="146"/>
      <c r="NHK26" s="146"/>
      <c r="NHL26" s="146"/>
      <c r="NHM26" s="146"/>
      <c r="NHN26" s="146"/>
      <c r="NHO26" s="146"/>
      <c r="NHP26" s="146"/>
      <c r="NHQ26" s="146"/>
      <c r="NHR26" s="146"/>
      <c r="NHS26" s="146"/>
      <c r="NHT26" s="146"/>
      <c r="NHU26" s="146"/>
      <c r="NHV26" s="146"/>
      <c r="NHW26" s="146"/>
      <c r="NHX26" s="146"/>
      <c r="NHY26" s="146"/>
      <c r="NHZ26" s="146"/>
      <c r="NIA26" s="146"/>
      <c r="NIB26" s="146"/>
      <c r="NIC26" s="146"/>
      <c r="NID26" s="146"/>
      <c r="NIE26" s="146"/>
      <c r="NIF26" s="146"/>
      <c r="NIG26" s="146"/>
      <c r="NIH26" s="146"/>
      <c r="NII26" s="146"/>
      <c r="NIJ26" s="146"/>
      <c r="NIK26" s="146"/>
      <c r="NIL26" s="146"/>
      <c r="NIM26" s="146"/>
      <c r="NIN26" s="146"/>
      <c r="NIO26" s="146"/>
      <c r="NIP26" s="146"/>
      <c r="NIQ26" s="146"/>
      <c r="NIR26" s="146"/>
      <c r="NIS26" s="146"/>
      <c r="NIT26" s="146"/>
      <c r="NIU26" s="146"/>
      <c r="NIV26" s="146"/>
      <c r="NIW26" s="146"/>
      <c r="NIX26" s="146"/>
      <c r="NIY26" s="146"/>
      <c r="NIZ26" s="146"/>
      <c r="NJA26" s="146"/>
      <c r="NJB26" s="146"/>
      <c r="NJC26" s="146"/>
      <c r="NJD26" s="146"/>
      <c r="NJE26" s="146"/>
      <c r="NJF26" s="146"/>
      <c r="NJG26" s="146"/>
      <c r="NJH26" s="146"/>
      <c r="NJI26" s="146"/>
      <c r="NJJ26" s="146"/>
      <c r="NJK26" s="146"/>
      <c r="NJL26" s="146"/>
      <c r="NJM26" s="146"/>
      <c r="NJN26" s="146"/>
      <c r="NJO26" s="146"/>
      <c r="NJP26" s="146"/>
      <c r="NJQ26" s="146"/>
      <c r="NJR26" s="146"/>
      <c r="NJS26" s="146"/>
      <c r="NJT26" s="146"/>
      <c r="NJU26" s="146"/>
      <c r="NJV26" s="146"/>
      <c r="NJW26" s="146"/>
      <c r="NJX26" s="146"/>
      <c r="NJY26" s="146"/>
      <c r="NJZ26" s="146"/>
      <c r="NKA26" s="146"/>
      <c r="NKB26" s="146"/>
      <c r="NKC26" s="146"/>
      <c r="NKD26" s="146"/>
      <c r="NKE26" s="146"/>
      <c r="NKF26" s="146"/>
      <c r="NKG26" s="146"/>
      <c r="NKH26" s="146"/>
      <c r="NKI26" s="146"/>
      <c r="NKJ26" s="146"/>
      <c r="NKK26" s="146"/>
      <c r="NKL26" s="146"/>
      <c r="NKM26" s="146"/>
      <c r="NKN26" s="146"/>
      <c r="NKO26" s="146"/>
      <c r="NKP26" s="146"/>
      <c r="NKQ26" s="146"/>
      <c r="NKR26" s="146"/>
      <c r="NKS26" s="146"/>
      <c r="NKT26" s="146"/>
      <c r="NKU26" s="146"/>
      <c r="NKV26" s="146"/>
      <c r="NKW26" s="146"/>
      <c r="NKX26" s="146"/>
      <c r="NKY26" s="146"/>
      <c r="NKZ26" s="146"/>
      <c r="NLA26" s="146"/>
      <c r="NLB26" s="146"/>
      <c r="NLC26" s="146"/>
      <c r="NLD26" s="146"/>
      <c r="NLE26" s="146"/>
      <c r="NLF26" s="146"/>
      <c r="NLG26" s="146"/>
      <c r="NLH26" s="146"/>
      <c r="NLI26" s="146"/>
      <c r="NLJ26" s="146"/>
      <c r="NLK26" s="146"/>
      <c r="NLL26" s="146"/>
      <c r="NLM26" s="146"/>
      <c r="NLN26" s="146"/>
      <c r="NLO26" s="146"/>
      <c r="NLP26" s="146"/>
      <c r="NLQ26" s="146"/>
      <c r="NLR26" s="146"/>
      <c r="NLS26" s="146"/>
      <c r="NLT26" s="146"/>
      <c r="NLU26" s="146"/>
      <c r="NLV26" s="146"/>
      <c r="NLW26" s="146"/>
      <c r="NLX26" s="146"/>
      <c r="NLY26" s="146"/>
      <c r="NLZ26" s="146"/>
      <c r="NMA26" s="146"/>
      <c r="NMB26" s="146"/>
      <c r="NMC26" s="146"/>
      <c r="NMD26" s="146"/>
      <c r="NME26" s="146"/>
      <c r="NMF26" s="146"/>
      <c r="NMG26" s="146"/>
      <c r="NMH26" s="146"/>
      <c r="NMI26" s="146"/>
      <c r="NMJ26" s="146"/>
      <c r="NMK26" s="146"/>
      <c r="NML26" s="146"/>
      <c r="NMM26" s="146"/>
      <c r="NMN26" s="146"/>
      <c r="NMO26" s="146"/>
      <c r="NMP26" s="146"/>
      <c r="NMQ26" s="146"/>
      <c r="NMR26" s="146"/>
      <c r="NMS26" s="146"/>
      <c r="NMT26" s="146"/>
      <c r="NMU26" s="146"/>
      <c r="NMV26" s="146"/>
      <c r="NMW26" s="146"/>
      <c r="NMX26" s="146"/>
      <c r="NMY26" s="146"/>
      <c r="NMZ26" s="146"/>
      <c r="NNA26" s="146"/>
      <c r="NNB26" s="146"/>
      <c r="NNC26" s="146"/>
      <c r="NND26" s="146"/>
      <c r="NNE26" s="146"/>
      <c r="NNF26" s="146"/>
      <c r="NNG26" s="146"/>
      <c r="NNH26" s="146"/>
      <c r="NNI26" s="146"/>
      <c r="NNJ26" s="146"/>
      <c r="NNK26" s="146"/>
      <c r="NNL26" s="146"/>
      <c r="NNM26" s="146"/>
      <c r="NNN26" s="146"/>
      <c r="NNO26" s="146"/>
      <c r="NNP26" s="146"/>
      <c r="NNQ26" s="146"/>
      <c r="NNR26" s="146"/>
      <c r="NNS26" s="146"/>
      <c r="NNT26" s="146"/>
      <c r="NNU26" s="146"/>
      <c r="NNV26" s="146"/>
      <c r="NNW26" s="146"/>
      <c r="NNX26" s="146"/>
      <c r="NNY26" s="146"/>
      <c r="NNZ26" s="146"/>
      <c r="NOA26" s="146"/>
      <c r="NOB26" s="146"/>
      <c r="NOC26" s="146"/>
      <c r="NOD26" s="146"/>
      <c r="NOE26" s="146"/>
      <c r="NOF26" s="146"/>
      <c r="NOG26" s="146"/>
      <c r="NOH26" s="146"/>
      <c r="NOI26" s="146"/>
      <c r="NOJ26" s="146"/>
      <c r="NOK26" s="146"/>
      <c r="NOL26" s="146"/>
      <c r="NOM26" s="146"/>
      <c r="NON26" s="146"/>
      <c r="NOO26" s="146"/>
      <c r="NOP26" s="146"/>
      <c r="NOQ26" s="146"/>
      <c r="NOR26" s="146"/>
      <c r="NOS26" s="146"/>
      <c r="NOT26" s="146"/>
      <c r="NOU26" s="146"/>
      <c r="NOV26" s="146"/>
      <c r="NOW26" s="146"/>
      <c r="NOX26" s="146"/>
      <c r="NOY26" s="146"/>
      <c r="NOZ26" s="146"/>
      <c r="NPA26" s="146"/>
      <c r="NPB26" s="146"/>
      <c r="NPC26" s="146"/>
      <c r="NPD26" s="146"/>
      <c r="NPE26" s="146"/>
      <c r="NPF26" s="146"/>
      <c r="NPG26" s="146"/>
      <c r="NPH26" s="146"/>
      <c r="NPI26" s="146"/>
      <c r="NPJ26" s="146"/>
      <c r="NPK26" s="146"/>
      <c r="NPL26" s="146"/>
      <c r="NPM26" s="146"/>
      <c r="NPN26" s="146"/>
      <c r="NPO26" s="146"/>
      <c r="NPP26" s="146"/>
      <c r="NPQ26" s="146"/>
      <c r="NPR26" s="146"/>
      <c r="NPS26" s="146"/>
      <c r="NPT26" s="146"/>
      <c r="NPU26" s="146"/>
      <c r="NPV26" s="146"/>
      <c r="NPW26" s="146"/>
      <c r="NPX26" s="146"/>
      <c r="NPY26" s="146"/>
      <c r="NPZ26" s="146"/>
      <c r="NQA26" s="146"/>
      <c r="NQB26" s="146"/>
      <c r="NQC26" s="146"/>
      <c r="NQD26" s="146"/>
      <c r="NQE26" s="146"/>
      <c r="NQF26" s="146"/>
      <c r="NQG26" s="146"/>
      <c r="NQH26" s="146"/>
      <c r="NQI26" s="146"/>
      <c r="NQJ26" s="146"/>
      <c r="NQK26" s="146"/>
      <c r="NQL26" s="146"/>
      <c r="NQM26" s="146"/>
      <c r="NQN26" s="146"/>
      <c r="NQO26" s="146"/>
      <c r="NQP26" s="146"/>
      <c r="NQQ26" s="146"/>
      <c r="NQR26" s="146"/>
      <c r="NQS26" s="146"/>
      <c r="NQT26" s="146"/>
      <c r="NQU26" s="146"/>
      <c r="NQV26" s="146"/>
      <c r="NQW26" s="146"/>
      <c r="NQX26" s="146"/>
      <c r="NQY26" s="146"/>
      <c r="NQZ26" s="146"/>
      <c r="NRA26" s="146"/>
      <c r="NRB26" s="146"/>
      <c r="NRC26" s="146"/>
      <c r="NRD26" s="146"/>
      <c r="NRE26" s="146"/>
      <c r="NRF26" s="146"/>
      <c r="NRG26" s="146"/>
      <c r="NRH26" s="146"/>
      <c r="NRI26" s="146"/>
      <c r="NRJ26" s="146"/>
      <c r="NRK26" s="146"/>
      <c r="NRL26" s="146"/>
      <c r="NRM26" s="146"/>
      <c r="NRN26" s="146"/>
      <c r="NRO26" s="146"/>
      <c r="NRP26" s="146"/>
      <c r="NRQ26" s="146"/>
      <c r="NRR26" s="146"/>
      <c r="NRS26" s="146"/>
      <c r="NRT26" s="146"/>
      <c r="NRU26" s="146"/>
      <c r="NRV26" s="146"/>
      <c r="NRW26" s="146"/>
      <c r="NRX26" s="146"/>
      <c r="NRY26" s="146"/>
      <c r="NRZ26" s="146"/>
      <c r="NSA26" s="146"/>
      <c r="NSB26" s="146"/>
      <c r="NSC26" s="146"/>
      <c r="NSD26" s="146"/>
      <c r="NSE26" s="146"/>
      <c r="NSF26" s="146"/>
      <c r="NSG26" s="146"/>
      <c r="NSH26" s="146"/>
      <c r="NSI26" s="146"/>
      <c r="NSJ26" s="146"/>
      <c r="NSK26" s="146"/>
      <c r="NSL26" s="146"/>
      <c r="NSM26" s="146"/>
      <c r="NSN26" s="146"/>
      <c r="NSO26" s="146"/>
      <c r="NSP26" s="146"/>
      <c r="NSQ26" s="146"/>
      <c r="NSR26" s="146"/>
      <c r="NSS26" s="146"/>
      <c r="NST26" s="146"/>
      <c r="NSU26" s="146"/>
      <c r="NSV26" s="146"/>
      <c r="NSW26" s="146"/>
      <c r="NSX26" s="146"/>
      <c r="NSY26" s="146"/>
      <c r="NSZ26" s="146"/>
      <c r="NTA26" s="146"/>
      <c r="NTB26" s="146"/>
      <c r="NTC26" s="146"/>
      <c r="NTD26" s="146"/>
      <c r="NTE26" s="146"/>
      <c r="NTF26" s="146"/>
      <c r="NTG26" s="146"/>
      <c r="NTH26" s="146"/>
      <c r="NTI26" s="146"/>
      <c r="NTJ26" s="146"/>
      <c r="NTK26" s="146"/>
      <c r="NTL26" s="146"/>
      <c r="NTM26" s="146"/>
      <c r="NTN26" s="146"/>
      <c r="NTO26" s="146"/>
      <c r="NTP26" s="146"/>
      <c r="NTQ26" s="146"/>
      <c r="NTR26" s="146"/>
      <c r="NTS26" s="146"/>
      <c r="NTT26" s="146"/>
      <c r="NTU26" s="146"/>
      <c r="NTV26" s="146"/>
      <c r="NTW26" s="146"/>
      <c r="NTX26" s="146"/>
      <c r="NTY26" s="146"/>
      <c r="NTZ26" s="146"/>
      <c r="NUA26" s="146"/>
      <c r="NUB26" s="146"/>
      <c r="NUC26" s="146"/>
      <c r="NUD26" s="146"/>
      <c r="NUE26" s="146"/>
      <c r="NUF26" s="146"/>
      <c r="NUG26" s="146"/>
      <c r="NUH26" s="146"/>
      <c r="NUI26" s="146"/>
      <c r="NUJ26" s="146"/>
      <c r="NUK26" s="146"/>
      <c r="NUL26" s="146"/>
      <c r="NUM26" s="146"/>
      <c r="NUN26" s="146"/>
      <c r="NUO26" s="146"/>
      <c r="NUP26" s="146"/>
      <c r="NUQ26" s="146"/>
      <c r="NUR26" s="146"/>
      <c r="NUS26" s="146"/>
      <c r="NUT26" s="146"/>
      <c r="NUU26" s="146"/>
      <c r="NUV26" s="146"/>
      <c r="NUW26" s="146"/>
      <c r="NUX26" s="146"/>
      <c r="NUY26" s="146"/>
      <c r="NUZ26" s="146"/>
      <c r="NVA26" s="146"/>
      <c r="NVB26" s="146"/>
      <c r="NVC26" s="146"/>
      <c r="NVD26" s="146"/>
      <c r="NVE26" s="146"/>
      <c r="NVF26" s="146"/>
      <c r="NVG26" s="146"/>
      <c r="NVH26" s="146"/>
      <c r="NVI26" s="146"/>
      <c r="NVJ26" s="146"/>
      <c r="NVK26" s="146"/>
      <c r="NVL26" s="146"/>
      <c r="NVM26" s="146"/>
      <c r="NVN26" s="146"/>
      <c r="NVO26" s="146"/>
      <c r="NVP26" s="146"/>
      <c r="NVQ26" s="146"/>
      <c r="NVR26" s="146"/>
      <c r="NVS26" s="146"/>
      <c r="NVT26" s="146"/>
      <c r="NVU26" s="146"/>
      <c r="NVV26" s="146"/>
      <c r="NVW26" s="146"/>
      <c r="NVX26" s="146"/>
      <c r="NVY26" s="146"/>
      <c r="NVZ26" s="146"/>
      <c r="NWA26" s="146"/>
      <c r="NWB26" s="146"/>
      <c r="NWC26" s="146"/>
      <c r="NWD26" s="146"/>
      <c r="NWE26" s="146"/>
      <c r="NWF26" s="146"/>
      <c r="NWG26" s="146"/>
      <c r="NWH26" s="146"/>
      <c r="NWI26" s="146"/>
      <c r="NWJ26" s="146"/>
      <c r="NWK26" s="146"/>
      <c r="NWL26" s="146"/>
      <c r="NWM26" s="146"/>
      <c r="NWN26" s="146"/>
      <c r="NWO26" s="146"/>
      <c r="NWP26" s="146"/>
      <c r="NWQ26" s="146"/>
      <c r="NWR26" s="146"/>
      <c r="NWS26" s="146"/>
      <c r="NWT26" s="146"/>
      <c r="NWU26" s="146"/>
      <c r="NWV26" s="146"/>
      <c r="NWW26" s="146"/>
      <c r="NWX26" s="146"/>
      <c r="NWY26" s="146"/>
      <c r="NWZ26" s="146"/>
      <c r="NXA26" s="146"/>
      <c r="NXB26" s="146"/>
      <c r="NXC26" s="146"/>
      <c r="NXD26" s="146"/>
      <c r="NXE26" s="146"/>
      <c r="NXF26" s="146"/>
      <c r="NXG26" s="146"/>
      <c r="NXH26" s="146"/>
      <c r="NXI26" s="146"/>
      <c r="NXJ26" s="146"/>
      <c r="NXK26" s="146"/>
      <c r="NXL26" s="146"/>
      <c r="NXM26" s="146"/>
      <c r="NXN26" s="146"/>
      <c r="NXO26" s="146"/>
      <c r="NXP26" s="146"/>
      <c r="NXQ26" s="146"/>
      <c r="NXR26" s="146"/>
      <c r="NXS26" s="146"/>
      <c r="NXT26" s="146"/>
      <c r="NXU26" s="146"/>
      <c r="NXV26" s="146"/>
      <c r="NXW26" s="146"/>
      <c r="NXX26" s="146"/>
      <c r="NXY26" s="146"/>
      <c r="NXZ26" s="146"/>
      <c r="NYA26" s="146"/>
      <c r="NYB26" s="146"/>
      <c r="NYC26" s="146"/>
      <c r="NYD26" s="146"/>
      <c r="NYE26" s="146"/>
      <c r="NYF26" s="146"/>
      <c r="NYG26" s="146"/>
      <c r="NYH26" s="146"/>
      <c r="NYI26" s="146"/>
      <c r="NYJ26" s="146"/>
      <c r="NYK26" s="146"/>
      <c r="NYL26" s="146"/>
      <c r="NYM26" s="146"/>
      <c r="NYN26" s="146"/>
      <c r="NYO26" s="146"/>
      <c r="NYP26" s="146"/>
      <c r="NYQ26" s="146"/>
      <c r="NYR26" s="146"/>
      <c r="NYS26" s="146"/>
      <c r="NYT26" s="146"/>
      <c r="NYU26" s="146"/>
      <c r="NYV26" s="146"/>
      <c r="NYW26" s="146"/>
      <c r="NYX26" s="146"/>
      <c r="NYY26" s="146"/>
      <c r="NYZ26" s="146"/>
      <c r="NZA26" s="146"/>
      <c r="NZB26" s="146"/>
      <c r="NZC26" s="146"/>
      <c r="NZD26" s="146"/>
      <c r="NZE26" s="146"/>
      <c r="NZF26" s="146"/>
      <c r="NZG26" s="146"/>
      <c r="NZH26" s="146"/>
      <c r="NZI26" s="146"/>
      <c r="NZJ26" s="146"/>
      <c r="NZK26" s="146"/>
      <c r="NZL26" s="146"/>
      <c r="NZM26" s="146"/>
      <c r="NZN26" s="146"/>
      <c r="NZO26" s="146"/>
      <c r="NZP26" s="146"/>
      <c r="NZQ26" s="146"/>
      <c r="NZR26" s="146"/>
      <c r="NZS26" s="146"/>
      <c r="NZT26" s="146"/>
      <c r="NZU26" s="146"/>
      <c r="NZV26" s="146"/>
      <c r="NZW26" s="146"/>
      <c r="NZX26" s="146"/>
      <c r="NZY26" s="146"/>
      <c r="NZZ26" s="146"/>
      <c r="OAA26" s="146"/>
      <c r="OAB26" s="146"/>
      <c r="OAC26" s="146"/>
      <c r="OAD26" s="146"/>
      <c r="OAE26" s="146"/>
      <c r="OAF26" s="146"/>
      <c r="OAG26" s="146"/>
      <c r="OAH26" s="146"/>
      <c r="OAI26" s="146"/>
      <c r="OAJ26" s="146"/>
      <c r="OAK26" s="146"/>
      <c r="OAL26" s="146"/>
      <c r="OAM26" s="146"/>
      <c r="OAN26" s="146"/>
      <c r="OAO26" s="146"/>
      <c r="OAP26" s="146"/>
      <c r="OAQ26" s="146"/>
      <c r="OAR26" s="146"/>
      <c r="OAS26" s="146"/>
      <c r="OAT26" s="146"/>
      <c r="OAU26" s="146"/>
      <c r="OAV26" s="146"/>
      <c r="OAW26" s="146"/>
      <c r="OAX26" s="146"/>
      <c r="OAY26" s="146"/>
      <c r="OAZ26" s="146"/>
      <c r="OBA26" s="146"/>
      <c r="OBB26" s="146"/>
      <c r="OBC26" s="146"/>
      <c r="OBD26" s="146"/>
      <c r="OBE26" s="146"/>
      <c r="OBF26" s="146"/>
      <c r="OBG26" s="146"/>
      <c r="OBH26" s="146"/>
      <c r="OBI26" s="146"/>
      <c r="OBJ26" s="146"/>
      <c r="OBK26" s="146"/>
      <c r="OBL26" s="146"/>
      <c r="OBM26" s="146"/>
      <c r="OBN26" s="146"/>
      <c r="OBO26" s="146"/>
      <c r="OBP26" s="146"/>
      <c r="OBQ26" s="146"/>
      <c r="OBR26" s="146"/>
      <c r="OBS26" s="146"/>
      <c r="OBT26" s="146"/>
      <c r="OBU26" s="146"/>
      <c r="OBV26" s="146"/>
      <c r="OBW26" s="146"/>
      <c r="OBX26" s="146"/>
      <c r="OBY26" s="146"/>
      <c r="OBZ26" s="146"/>
      <c r="OCA26" s="146"/>
      <c r="OCB26" s="146"/>
      <c r="OCC26" s="146"/>
      <c r="OCD26" s="146"/>
      <c r="OCE26" s="146"/>
      <c r="OCF26" s="146"/>
      <c r="OCG26" s="146"/>
      <c r="OCH26" s="146"/>
      <c r="OCI26" s="146"/>
      <c r="OCJ26" s="146"/>
      <c r="OCK26" s="146"/>
      <c r="OCL26" s="146"/>
      <c r="OCM26" s="146"/>
      <c r="OCN26" s="146"/>
      <c r="OCO26" s="146"/>
      <c r="OCP26" s="146"/>
      <c r="OCQ26" s="146"/>
      <c r="OCR26" s="146"/>
      <c r="OCS26" s="146"/>
      <c r="OCT26" s="146"/>
      <c r="OCU26" s="146"/>
      <c r="OCV26" s="146"/>
      <c r="OCW26" s="146"/>
      <c r="OCX26" s="146"/>
      <c r="OCY26" s="146"/>
      <c r="OCZ26" s="146"/>
      <c r="ODA26" s="146"/>
      <c r="ODB26" s="146"/>
      <c r="ODC26" s="146"/>
      <c r="ODD26" s="146"/>
      <c r="ODE26" s="146"/>
      <c r="ODF26" s="146"/>
      <c r="ODG26" s="146"/>
      <c r="ODH26" s="146"/>
      <c r="ODI26" s="146"/>
      <c r="ODJ26" s="146"/>
      <c r="ODK26" s="146"/>
      <c r="ODL26" s="146"/>
      <c r="ODM26" s="146"/>
      <c r="ODN26" s="146"/>
      <c r="ODO26" s="146"/>
      <c r="ODP26" s="146"/>
      <c r="ODQ26" s="146"/>
      <c r="ODR26" s="146"/>
      <c r="ODS26" s="146"/>
      <c r="ODT26" s="146"/>
      <c r="ODU26" s="146"/>
      <c r="ODV26" s="146"/>
      <c r="ODW26" s="146"/>
      <c r="ODX26" s="146"/>
      <c r="ODY26" s="146"/>
      <c r="ODZ26" s="146"/>
      <c r="OEA26" s="146"/>
      <c r="OEB26" s="146"/>
      <c r="OEC26" s="146"/>
      <c r="OED26" s="146"/>
      <c r="OEE26" s="146"/>
      <c r="OEF26" s="146"/>
      <c r="OEG26" s="146"/>
      <c r="OEH26" s="146"/>
      <c r="OEI26" s="146"/>
      <c r="OEJ26" s="146"/>
      <c r="OEK26" s="146"/>
      <c r="OEL26" s="146"/>
      <c r="OEM26" s="146"/>
      <c r="OEN26" s="146"/>
      <c r="OEO26" s="146"/>
      <c r="OEP26" s="146"/>
      <c r="OEQ26" s="146"/>
      <c r="OER26" s="146"/>
      <c r="OES26" s="146"/>
      <c r="OET26" s="146"/>
      <c r="OEU26" s="146"/>
      <c r="OEV26" s="146"/>
      <c r="OEW26" s="146"/>
      <c r="OEX26" s="146"/>
      <c r="OEY26" s="146"/>
      <c r="OEZ26" s="146"/>
      <c r="OFA26" s="146"/>
      <c r="OFB26" s="146"/>
      <c r="OFC26" s="146"/>
      <c r="OFD26" s="146"/>
      <c r="OFE26" s="146"/>
      <c r="OFF26" s="146"/>
      <c r="OFG26" s="146"/>
      <c r="OFH26" s="146"/>
      <c r="OFI26" s="146"/>
      <c r="OFJ26" s="146"/>
      <c r="OFK26" s="146"/>
      <c r="OFL26" s="146"/>
      <c r="OFM26" s="146"/>
      <c r="OFN26" s="146"/>
      <c r="OFO26" s="146"/>
      <c r="OFP26" s="146"/>
      <c r="OFQ26" s="146"/>
      <c r="OFR26" s="146"/>
      <c r="OFS26" s="146"/>
      <c r="OFT26" s="146"/>
      <c r="OFU26" s="146"/>
      <c r="OFV26" s="146"/>
      <c r="OFW26" s="146"/>
      <c r="OFX26" s="146"/>
      <c r="OFY26" s="146"/>
      <c r="OFZ26" s="146"/>
      <c r="OGA26" s="146"/>
      <c r="OGB26" s="146"/>
      <c r="OGC26" s="146"/>
      <c r="OGD26" s="146"/>
      <c r="OGE26" s="146"/>
      <c r="OGF26" s="146"/>
      <c r="OGG26" s="146"/>
      <c r="OGH26" s="146"/>
      <c r="OGI26" s="146"/>
      <c r="OGJ26" s="146"/>
      <c r="OGK26" s="146"/>
      <c r="OGL26" s="146"/>
      <c r="OGM26" s="146"/>
      <c r="OGN26" s="146"/>
      <c r="OGO26" s="146"/>
      <c r="OGP26" s="146"/>
      <c r="OGQ26" s="146"/>
      <c r="OGR26" s="146"/>
      <c r="OGS26" s="146"/>
      <c r="OGT26" s="146"/>
      <c r="OGU26" s="146"/>
      <c r="OGV26" s="146"/>
      <c r="OGW26" s="146"/>
      <c r="OGX26" s="146"/>
      <c r="OGY26" s="146"/>
      <c r="OGZ26" s="146"/>
      <c r="OHA26" s="146"/>
      <c r="OHB26" s="146"/>
      <c r="OHC26" s="146"/>
      <c r="OHD26" s="146"/>
      <c r="OHE26" s="146"/>
      <c r="OHF26" s="146"/>
      <c r="OHG26" s="146"/>
      <c r="OHH26" s="146"/>
      <c r="OHI26" s="146"/>
      <c r="OHJ26" s="146"/>
      <c r="OHK26" s="146"/>
      <c r="OHL26" s="146"/>
      <c r="OHM26" s="146"/>
      <c r="OHN26" s="146"/>
      <c r="OHO26" s="146"/>
      <c r="OHP26" s="146"/>
      <c r="OHQ26" s="146"/>
      <c r="OHR26" s="146"/>
      <c r="OHS26" s="146"/>
      <c r="OHT26" s="146"/>
      <c r="OHU26" s="146"/>
      <c r="OHV26" s="146"/>
      <c r="OHW26" s="146"/>
      <c r="OHX26" s="146"/>
      <c r="OHY26" s="146"/>
      <c r="OHZ26" s="146"/>
      <c r="OIA26" s="146"/>
      <c r="OIB26" s="146"/>
      <c r="OIC26" s="146"/>
      <c r="OID26" s="146"/>
      <c r="OIE26" s="146"/>
      <c r="OIF26" s="146"/>
      <c r="OIG26" s="146"/>
      <c r="OIH26" s="146"/>
      <c r="OII26" s="146"/>
      <c r="OIJ26" s="146"/>
      <c r="OIK26" s="146"/>
      <c r="OIL26" s="146"/>
      <c r="OIM26" s="146"/>
      <c r="OIN26" s="146"/>
      <c r="OIO26" s="146"/>
      <c r="OIP26" s="146"/>
      <c r="OIQ26" s="146"/>
      <c r="OIR26" s="146"/>
      <c r="OIS26" s="146"/>
      <c r="OIT26" s="146"/>
      <c r="OIU26" s="146"/>
      <c r="OIV26" s="146"/>
      <c r="OIW26" s="146"/>
      <c r="OIX26" s="146"/>
      <c r="OIY26" s="146"/>
      <c r="OIZ26" s="146"/>
      <c r="OJA26" s="146"/>
      <c r="OJB26" s="146"/>
      <c r="OJC26" s="146"/>
      <c r="OJD26" s="146"/>
      <c r="OJE26" s="146"/>
      <c r="OJF26" s="146"/>
      <c r="OJG26" s="146"/>
      <c r="OJH26" s="146"/>
      <c r="OJI26" s="146"/>
      <c r="OJJ26" s="146"/>
      <c r="OJK26" s="146"/>
      <c r="OJL26" s="146"/>
      <c r="OJM26" s="146"/>
      <c r="OJN26" s="146"/>
      <c r="OJO26" s="146"/>
      <c r="OJP26" s="146"/>
      <c r="OJQ26" s="146"/>
      <c r="OJR26" s="146"/>
      <c r="OJS26" s="146"/>
      <c r="OJT26" s="146"/>
      <c r="OJU26" s="146"/>
      <c r="OJV26" s="146"/>
      <c r="OJW26" s="146"/>
      <c r="OJX26" s="146"/>
      <c r="OJY26" s="146"/>
      <c r="OJZ26" s="146"/>
      <c r="OKA26" s="146"/>
      <c r="OKB26" s="146"/>
      <c r="OKC26" s="146"/>
      <c r="OKD26" s="146"/>
      <c r="OKE26" s="146"/>
      <c r="OKF26" s="146"/>
      <c r="OKG26" s="146"/>
      <c r="OKH26" s="146"/>
      <c r="OKI26" s="146"/>
      <c r="OKJ26" s="146"/>
      <c r="OKK26" s="146"/>
      <c r="OKL26" s="146"/>
      <c r="OKM26" s="146"/>
      <c r="OKN26" s="146"/>
      <c r="OKO26" s="146"/>
      <c r="OKP26" s="146"/>
      <c r="OKQ26" s="146"/>
      <c r="OKR26" s="146"/>
      <c r="OKS26" s="146"/>
      <c r="OKT26" s="146"/>
      <c r="OKU26" s="146"/>
      <c r="OKV26" s="146"/>
      <c r="OKW26" s="146"/>
      <c r="OKX26" s="146"/>
      <c r="OKY26" s="146"/>
      <c r="OKZ26" s="146"/>
      <c r="OLA26" s="146"/>
      <c r="OLB26" s="146"/>
      <c r="OLC26" s="146"/>
      <c r="OLD26" s="146"/>
      <c r="OLE26" s="146"/>
      <c r="OLF26" s="146"/>
      <c r="OLG26" s="146"/>
      <c r="OLH26" s="146"/>
      <c r="OLI26" s="146"/>
      <c r="OLJ26" s="146"/>
      <c r="OLK26" s="146"/>
      <c r="OLL26" s="146"/>
      <c r="OLM26" s="146"/>
      <c r="OLN26" s="146"/>
      <c r="OLO26" s="146"/>
      <c r="OLP26" s="146"/>
      <c r="OLQ26" s="146"/>
      <c r="OLR26" s="146"/>
      <c r="OLS26" s="146"/>
      <c r="OLT26" s="146"/>
      <c r="OLU26" s="146"/>
      <c r="OLV26" s="146"/>
      <c r="OLW26" s="146"/>
      <c r="OLX26" s="146"/>
      <c r="OLY26" s="146"/>
      <c r="OLZ26" s="146"/>
      <c r="OMA26" s="146"/>
      <c r="OMB26" s="146"/>
      <c r="OMC26" s="146"/>
      <c r="OMD26" s="146"/>
      <c r="OME26" s="146"/>
      <c r="OMF26" s="146"/>
      <c r="OMG26" s="146"/>
      <c r="OMH26" s="146"/>
      <c r="OMI26" s="146"/>
      <c r="OMJ26" s="146"/>
      <c r="OMK26" s="146"/>
      <c r="OML26" s="146"/>
      <c r="OMM26" s="146"/>
      <c r="OMN26" s="146"/>
      <c r="OMO26" s="146"/>
      <c r="OMP26" s="146"/>
      <c r="OMQ26" s="146"/>
      <c r="OMR26" s="146"/>
      <c r="OMS26" s="146"/>
      <c r="OMT26" s="146"/>
      <c r="OMU26" s="146"/>
      <c r="OMV26" s="146"/>
      <c r="OMW26" s="146"/>
      <c r="OMX26" s="146"/>
      <c r="OMY26" s="146"/>
      <c r="OMZ26" s="146"/>
      <c r="ONA26" s="146"/>
      <c r="ONB26" s="146"/>
      <c r="ONC26" s="146"/>
      <c r="OND26" s="146"/>
      <c r="ONE26" s="146"/>
      <c r="ONF26" s="146"/>
      <c r="ONG26" s="146"/>
      <c r="ONH26" s="146"/>
      <c r="ONI26" s="146"/>
      <c r="ONJ26" s="146"/>
      <c r="ONK26" s="146"/>
      <c r="ONL26" s="146"/>
      <c r="ONM26" s="146"/>
      <c r="ONN26" s="146"/>
      <c r="ONO26" s="146"/>
      <c r="ONP26" s="146"/>
      <c r="ONQ26" s="146"/>
      <c r="ONR26" s="146"/>
      <c r="ONS26" s="146"/>
      <c r="ONT26" s="146"/>
      <c r="ONU26" s="146"/>
      <c r="ONV26" s="146"/>
      <c r="ONW26" s="146"/>
      <c r="ONX26" s="146"/>
      <c r="ONY26" s="146"/>
      <c r="ONZ26" s="146"/>
      <c r="OOA26" s="146"/>
      <c r="OOB26" s="146"/>
      <c r="OOC26" s="146"/>
      <c r="OOD26" s="146"/>
      <c r="OOE26" s="146"/>
      <c r="OOF26" s="146"/>
      <c r="OOG26" s="146"/>
      <c r="OOH26" s="146"/>
      <c r="OOI26" s="146"/>
      <c r="OOJ26" s="146"/>
      <c r="OOK26" s="146"/>
      <c r="OOL26" s="146"/>
      <c r="OOM26" s="146"/>
      <c r="OON26" s="146"/>
      <c r="OOO26" s="146"/>
      <c r="OOP26" s="146"/>
      <c r="OOQ26" s="146"/>
      <c r="OOR26" s="146"/>
      <c r="OOS26" s="146"/>
      <c r="OOT26" s="146"/>
      <c r="OOU26" s="146"/>
      <c r="OOV26" s="146"/>
      <c r="OOW26" s="146"/>
      <c r="OOX26" s="146"/>
      <c r="OOY26" s="146"/>
      <c r="OOZ26" s="146"/>
      <c r="OPA26" s="146"/>
      <c r="OPB26" s="146"/>
      <c r="OPC26" s="146"/>
      <c r="OPD26" s="146"/>
      <c r="OPE26" s="146"/>
      <c r="OPF26" s="146"/>
      <c r="OPG26" s="146"/>
      <c r="OPH26" s="146"/>
      <c r="OPI26" s="146"/>
      <c r="OPJ26" s="146"/>
      <c r="OPK26" s="146"/>
      <c r="OPL26" s="146"/>
      <c r="OPM26" s="146"/>
      <c r="OPN26" s="146"/>
      <c r="OPO26" s="146"/>
      <c r="OPP26" s="146"/>
      <c r="OPQ26" s="146"/>
      <c r="OPR26" s="146"/>
      <c r="OPS26" s="146"/>
      <c r="OPT26" s="146"/>
      <c r="OPU26" s="146"/>
      <c r="OPV26" s="146"/>
      <c r="OPW26" s="146"/>
      <c r="OPX26" s="146"/>
      <c r="OPY26" s="146"/>
      <c r="OPZ26" s="146"/>
      <c r="OQA26" s="146"/>
      <c r="OQB26" s="146"/>
      <c r="OQC26" s="146"/>
      <c r="OQD26" s="146"/>
      <c r="OQE26" s="146"/>
      <c r="OQF26" s="146"/>
      <c r="OQG26" s="146"/>
      <c r="OQH26" s="146"/>
      <c r="OQI26" s="146"/>
      <c r="OQJ26" s="146"/>
      <c r="OQK26" s="146"/>
      <c r="OQL26" s="146"/>
      <c r="OQM26" s="146"/>
      <c r="OQN26" s="146"/>
      <c r="OQO26" s="146"/>
      <c r="OQP26" s="146"/>
      <c r="OQQ26" s="146"/>
      <c r="OQR26" s="146"/>
      <c r="OQS26" s="146"/>
      <c r="OQT26" s="146"/>
      <c r="OQU26" s="146"/>
      <c r="OQV26" s="146"/>
      <c r="OQW26" s="146"/>
      <c r="OQX26" s="146"/>
      <c r="OQY26" s="146"/>
      <c r="OQZ26" s="146"/>
      <c r="ORA26" s="146"/>
      <c r="ORB26" s="146"/>
      <c r="ORC26" s="146"/>
      <c r="ORD26" s="146"/>
      <c r="ORE26" s="146"/>
      <c r="ORF26" s="146"/>
      <c r="ORG26" s="146"/>
      <c r="ORH26" s="146"/>
      <c r="ORI26" s="146"/>
      <c r="ORJ26" s="146"/>
      <c r="ORK26" s="146"/>
      <c r="ORL26" s="146"/>
      <c r="ORM26" s="146"/>
      <c r="ORN26" s="146"/>
      <c r="ORO26" s="146"/>
      <c r="ORP26" s="146"/>
      <c r="ORQ26" s="146"/>
      <c r="ORR26" s="146"/>
      <c r="ORS26" s="146"/>
      <c r="ORT26" s="146"/>
      <c r="ORU26" s="146"/>
      <c r="ORV26" s="146"/>
      <c r="ORW26" s="146"/>
      <c r="ORX26" s="146"/>
      <c r="ORY26" s="146"/>
      <c r="ORZ26" s="146"/>
      <c r="OSA26" s="146"/>
      <c r="OSB26" s="146"/>
      <c r="OSC26" s="146"/>
      <c r="OSD26" s="146"/>
      <c r="OSE26" s="146"/>
      <c r="OSF26" s="146"/>
      <c r="OSG26" s="146"/>
      <c r="OSH26" s="146"/>
      <c r="OSI26" s="146"/>
      <c r="OSJ26" s="146"/>
      <c r="OSK26" s="146"/>
      <c r="OSL26" s="146"/>
      <c r="OSM26" s="146"/>
      <c r="OSN26" s="146"/>
      <c r="OSO26" s="146"/>
      <c r="OSP26" s="146"/>
      <c r="OSQ26" s="146"/>
      <c r="OSR26" s="146"/>
      <c r="OSS26" s="146"/>
      <c r="OST26" s="146"/>
      <c r="OSU26" s="146"/>
      <c r="OSV26" s="146"/>
      <c r="OSW26" s="146"/>
      <c r="OSX26" s="146"/>
      <c r="OSY26" s="146"/>
      <c r="OSZ26" s="146"/>
      <c r="OTA26" s="146"/>
      <c r="OTB26" s="146"/>
      <c r="OTC26" s="146"/>
      <c r="OTD26" s="146"/>
      <c r="OTE26" s="146"/>
      <c r="OTF26" s="146"/>
      <c r="OTG26" s="146"/>
      <c r="OTH26" s="146"/>
      <c r="OTI26" s="146"/>
      <c r="OTJ26" s="146"/>
      <c r="OTK26" s="146"/>
      <c r="OTL26" s="146"/>
      <c r="OTM26" s="146"/>
      <c r="OTN26" s="146"/>
      <c r="OTO26" s="146"/>
      <c r="OTP26" s="146"/>
      <c r="OTQ26" s="146"/>
      <c r="OTR26" s="146"/>
      <c r="OTS26" s="146"/>
      <c r="OTT26" s="146"/>
      <c r="OTU26" s="146"/>
      <c r="OTV26" s="146"/>
      <c r="OTW26" s="146"/>
      <c r="OTX26" s="146"/>
      <c r="OTY26" s="146"/>
      <c r="OTZ26" s="146"/>
      <c r="OUA26" s="146"/>
      <c r="OUB26" s="146"/>
      <c r="OUC26" s="146"/>
      <c r="OUD26" s="146"/>
      <c r="OUE26" s="146"/>
      <c r="OUF26" s="146"/>
      <c r="OUG26" s="146"/>
      <c r="OUH26" s="146"/>
      <c r="OUI26" s="146"/>
      <c r="OUJ26" s="146"/>
      <c r="OUK26" s="146"/>
      <c r="OUL26" s="146"/>
      <c r="OUM26" s="146"/>
      <c r="OUN26" s="146"/>
      <c r="OUO26" s="146"/>
      <c r="OUP26" s="146"/>
      <c r="OUQ26" s="146"/>
      <c r="OUR26" s="146"/>
      <c r="OUS26" s="146"/>
      <c r="OUT26" s="146"/>
      <c r="OUU26" s="146"/>
      <c r="OUV26" s="146"/>
      <c r="OUW26" s="146"/>
      <c r="OUX26" s="146"/>
      <c r="OUY26" s="146"/>
      <c r="OUZ26" s="146"/>
      <c r="OVA26" s="146"/>
      <c r="OVB26" s="146"/>
      <c r="OVC26" s="146"/>
      <c r="OVD26" s="146"/>
      <c r="OVE26" s="146"/>
      <c r="OVF26" s="146"/>
      <c r="OVG26" s="146"/>
      <c r="OVH26" s="146"/>
      <c r="OVI26" s="146"/>
      <c r="OVJ26" s="146"/>
      <c r="OVK26" s="146"/>
      <c r="OVL26" s="146"/>
      <c r="OVM26" s="146"/>
      <c r="OVN26" s="146"/>
      <c r="OVO26" s="146"/>
      <c r="OVP26" s="146"/>
      <c r="OVQ26" s="146"/>
      <c r="OVR26" s="146"/>
      <c r="OVS26" s="146"/>
      <c r="OVT26" s="146"/>
      <c r="OVU26" s="146"/>
      <c r="OVV26" s="146"/>
      <c r="OVW26" s="146"/>
      <c r="OVX26" s="146"/>
      <c r="OVY26" s="146"/>
      <c r="OVZ26" s="146"/>
      <c r="OWA26" s="146"/>
      <c r="OWB26" s="146"/>
      <c r="OWC26" s="146"/>
      <c r="OWD26" s="146"/>
      <c r="OWE26" s="146"/>
      <c r="OWF26" s="146"/>
      <c r="OWG26" s="146"/>
      <c r="OWH26" s="146"/>
      <c r="OWI26" s="146"/>
      <c r="OWJ26" s="146"/>
      <c r="OWK26" s="146"/>
      <c r="OWL26" s="146"/>
      <c r="OWM26" s="146"/>
      <c r="OWN26" s="146"/>
      <c r="OWO26" s="146"/>
      <c r="OWP26" s="146"/>
      <c r="OWQ26" s="146"/>
      <c r="OWR26" s="146"/>
      <c r="OWS26" s="146"/>
      <c r="OWT26" s="146"/>
      <c r="OWU26" s="146"/>
      <c r="OWV26" s="146"/>
      <c r="OWW26" s="146"/>
      <c r="OWX26" s="146"/>
      <c r="OWY26" s="146"/>
      <c r="OWZ26" s="146"/>
      <c r="OXA26" s="146"/>
      <c r="OXB26" s="146"/>
      <c r="OXC26" s="146"/>
      <c r="OXD26" s="146"/>
      <c r="OXE26" s="146"/>
      <c r="OXF26" s="146"/>
      <c r="OXG26" s="146"/>
      <c r="OXH26" s="146"/>
      <c r="OXI26" s="146"/>
      <c r="OXJ26" s="146"/>
      <c r="OXK26" s="146"/>
      <c r="OXL26" s="146"/>
      <c r="OXM26" s="146"/>
      <c r="OXN26" s="146"/>
      <c r="OXO26" s="146"/>
      <c r="OXP26" s="146"/>
      <c r="OXQ26" s="146"/>
      <c r="OXR26" s="146"/>
      <c r="OXS26" s="146"/>
      <c r="OXT26" s="146"/>
      <c r="OXU26" s="146"/>
      <c r="OXV26" s="146"/>
      <c r="OXW26" s="146"/>
      <c r="OXX26" s="146"/>
      <c r="OXY26" s="146"/>
      <c r="OXZ26" s="146"/>
      <c r="OYA26" s="146"/>
      <c r="OYB26" s="146"/>
      <c r="OYC26" s="146"/>
      <c r="OYD26" s="146"/>
      <c r="OYE26" s="146"/>
      <c r="OYF26" s="146"/>
      <c r="OYG26" s="146"/>
      <c r="OYH26" s="146"/>
      <c r="OYI26" s="146"/>
      <c r="OYJ26" s="146"/>
      <c r="OYK26" s="146"/>
      <c r="OYL26" s="146"/>
      <c r="OYM26" s="146"/>
      <c r="OYN26" s="146"/>
      <c r="OYO26" s="146"/>
      <c r="OYP26" s="146"/>
      <c r="OYQ26" s="146"/>
      <c r="OYR26" s="146"/>
      <c r="OYS26" s="146"/>
      <c r="OYT26" s="146"/>
      <c r="OYU26" s="146"/>
      <c r="OYV26" s="146"/>
      <c r="OYW26" s="146"/>
      <c r="OYX26" s="146"/>
      <c r="OYY26" s="146"/>
      <c r="OYZ26" s="146"/>
      <c r="OZA26" s="146"/>
      <c r="OZB26" s="146"/>
      <c r="OZC26" s="146"/>
      <c r="OZD26" s="146"/>
      <c r="OZE26" s="146"/>
      <c r="OZF26" s="146"/>
      <c r="OZG26" s="146"/>
      <c r="OZH26" s="146"/>
      <c r="OZI26" s="146"/>
      <c r="OZJ26" s="146"/>
      <c r="OZK26" s="146"/>
      <c r="OZL26" s="146"/>
      <c r="OZM26" s="146"/>
      <c r="OZN26" s="146"/>
      <c r="OZO26" s="146"/>
      <c r="OZP26" s="146"/>
      <c r="OZQ26" s="146"/>
      <c r="OZR26" s="146"/>
      <c r="OZS26" s="146"/>
      <c r="OZT26" s="146"/>
      <c r="OZU26" s="146"/>
      <c r="OZV26" s="146"/>
      <c r="OZW26" s="146"/>
      <c r="OZX26" s="146"/>
      <c r="OZY26" s="146"/>
      <c r="OZZ26" s="146"/>
      <c r="PAA26" s="146"/>
      <c r="PAB26" s="146"/>
      <c r="PAC26" s="146"/>
      <c r="PAD26" s="146"/>
      <c r="PAE26" s="146"/>
      <c r="PAF26" s="146"/>
      <c r="PAG26" s="146"/>
      <c r="PAH26" s="146"/>
      <c r="PAI26" s="146"/>
      <c r="PAJ26" s="146"/>
      <c r="PAK26" s="146"/>
      <c r="PAL26" s="146"/>
      <c r="PAM26" s="146"/>
      <c r="PAN26" s="146"/>
      <c r="PAO26" s="146"/>
      <c r="PAP26" s="146"/>
      <c r="PAQ26" s="146"/>
      <c r="PAR26" s="146"/>
      <c r="PAS26" s="146"/>
      <c r="PAT26" s="146"/>
      <c r="PAU26" s="146"/>
      <c r="PAV26" s="146"/>
      <c r="PAW26" s="146"/>
      <c r="PAX26" s="146"/>
      <c r="PAY26" s="146"/>
      <c r="PAZ26" s="146"/>
      <c r="PBA26" s="146"/>
      <c r="PBB26" s="146"/>
      <c r="PBC26" s="146"/>
      <c r="PBD26" s="146"/>
      <c r="PBE26" s="146"/>
      <c r="PBF26" s="146"/>
      <c r="PBG26" s="146"/>
      <c r="PBH26" s="146"/>
      <c r="PBI26" s="146"/>
      <c r="PBJ26" s="146"/>
      <c r="PBK26" s="146"/>
      <c r="PBL26" s="146"/>
      <c r="PBM26" s="146"/>
      <c r="PBN26" s="146"/>
      <c r="PBO26" s="146"/>
      <c r="PBP26" s="146"/>
      <c r="PBQ26" s="146"/>
      <c r="PBR26" s="146"/>
      <c r="PBS26" s="146"/>
      <c r="PBT26" s="146"/>
      <c r="PBU26" s="146"/>
      <c r="PBV26" s="146"/>
      <c r="PBW26" s="146"/>
      <c r="PBX26" s="146"/>
      <c r="PBY26" s="146"/>
      <c r="PBZ26" s="146"/>
      <c r="PCA26" s="146"/>
      <c r="PCB26" s="146"/>
      <c r="PCC26" s="146"/>
      <c r="PCD26" s="146"/>
      <c r="PCE26" s="146"/>
      <c r="PCF26" s="146"/>
      <c r="PCG26" s="146"/>
      <c r="PCH26" s="146"/>
      <c r="PCI26" s="146"/>
      <c r="PCJ26" s="146"/>
      <c r="PCK26" s="146"/>
      <c r="PCL26" s="146"/>
      <c r="PCM26" s="146"/>
      <c r="PCN26" s="146"/>
      <c r="PCO26" s="146"/>
      <c r="PCP26" s="146"/>
      <c r="PCQ26" s="146"/>
      <c r="PCR26" s="146"/>
      <c r="PCS26" s="146"/>
      <c r="PCT26" s="146"/>
      <c r="PCU26" s="146"/>
      <c r="PCV26" s="146"/>
      <c r="PCW26" s="146"/>
      <c r="PCX26" s="146"/>
      <c r="PCY26" s="146"/>
      <c r="PCZ26" s="146"/>
      <c r="PDA26" s="146"/>
      <c r="PDB26" s="146"/>
      <c r="PDC26" s="146"/>
      <c r="PDD26" s="146"/>
      <c r="PDE26" s="146"/>
      <c r="PDF26" s="146"/>
      <c r="PDG26" s="146"/>
      <c r="PDH26" s="146"/>
      <c r="PDI26" s="146"/>
      <c r="PDJ26" s="146"/>
      <c r="PDK26" s="146"/>
      <c r="PDL26" s="146"/>
      <c r="PDM26" s="146"/>
      <c r="PDN26" s="146"/>
      <c r="PDO26" s="146"/>
      <c r="PDP26" s="146"/>
      <c r="PDQ26" s="146"/>
      <c r="PDR26" s="146"/>
      <c r="PDS26" s="146"/>
      <c r="PDT26" s="146"/>
      <c r="PDU26" s="146"/>
      <c r="PDV26" s="146"/>
      <c r="PDW26" s="146"/>
      <c r="PDX26" s="146"/>
      <c r="PDY26" s="146"/>
      <c r="PDZ26" s="146"/>
      <c r="PEA26" s="146"/>
      <c r="PEB26" s="146"/>
      <c r="PEC26" s="146"/>
      <c r="PED26" s="146"/>
      <c r="PEE26" s="146"/>
      <c r="PEF26" s="146"/>
      <c r="PEG26" s="146"/>
      <c r="PEH26" s="146"/>
      <c r="PEI26" s="146"/>
      <c r="PEJ26" s="146"/>
      <c r="PEK26" s="146"/>
      <c r="PEL26" s="146"/>
      <c r="PEM26" s="146"/>
      <c r="PEN26" s="146"/>
      <c r="PEO26" s="146"/>
      <c r="PEP26" s="146"/>
      <c r="PEQ26" s="146"/>
      <c r="PER26" s="146"/>
      <c r="PES26" s="146"/>
      <c r="PET26" s="146"/>
      <c r="PEU26" s="146"/>
      <c r="PEV26" s="146"/>
      <c r="PEW26" s="146"/>
      <c r="PEX26" s="146"/>
      <c r="PEY26" s="146"/>
      <c r="PEZ26" s="146"/>
      <c r="PFA26" s="146"/>
      <c r="PFB26" s="146"/>
      <c r="PFC26" s="146"/>
      <c r="PFD26" s="146"/>
      <c r="PFE26" s="146"/>
      <c r="PFF26" s="146"/>
      <c r="PFG26" s="146"/>
      <c r="PFH26" s="146"/>
      <c r="PFI26" s="146"/>
      <c r="PFJ26" s="146"/>
      <c r="PFK26" s="146"/>
      <c r="PFL26" s="146"/>
      <c r="PFM26" s="146"/>
      <c r="PFN26" s="146"/>
      <c r="PFO26" s="146"/>
      <c r="PFP26" s="146"/>
      <c r="PFQ26" s="146"/>
      <c r="PFR26" s="146"/>
      <c r="PFS26" s="146"/>
      <c r="PFT26" s="146"/>
      <c r="PFU26" s="146"/>
      <c r="PFV26" s="146"/>
      <c r="PFW26" s="146"/>
      <c r="PFX26" s="146"/>
      <c r="PFY26" s="146"/>
      <c r="PFZ26" s="146"/>
      <c r="PGA26" s="146"/>
      <c r="PGB26" s="146"/>
      <c r="PGC26" s="146"/>
      <c r="PGD26" s="146"/>
      <c r="PGE26" s="146"/>
      <c r="PGF26" s="146"/>
      <c r="PGG26" s="146"/>
      <c r="PGH26" s="146"/>
      <c r="PGI26" s="146"/>
      <c r="PGJ26" s="146"/>
      <c r="PGK26" s="146"/>
      <c r="PGL26" s="146"/>
      <c r="PGM26" s="146"/>
      <c r="PGN26" s="146"/>
      <c r="PGO26" s="146"/>
      <c r="PGP26" s="146"/>
      <c r="PGQ26" s="146"/>
      <c r="PGR26" s="146"/>
      <c r="PGS26" s="146"/>
      <c r="PGT26" s="146"/>
      <c r="PGU26" s="146"/>
      <c r="PGV26" s="146"/>
      <c r="PGW26" s="146"/>
      <c r="PGX26" s="146"/>
      <c r="PGY26" s="146"/>
      <c r="PGZ26" s="146"/>
      <c r="PHA26" s="146"/>
      <c r="PHB26" s="146"/>
      <c r="PHC26" s="146"/>
      <c r="PHD26" s="146"/>
      <c r="PHE26" s="146"/>
      <c r="PHF26" s="146"/>
      <c r="PHG26" s="146"/>
      <c r="PHH26" s="146"/>
      <c r="PHI26" s="146"/>
      <c r="PHJ26" s="146"/>
      <c r="PHK26" s="146"/>
      <c r="PHL26" s="146"/>
      <c r="PHM26" s="146"/>
      <c r="PHN26" s="146"/>
      <c r="PHO26" s="146"/>
      <c r="PHP26" s="146"/>
      <c r="PHQ26" s="146"/>
      <c r="PHR26" s="146"/>
      <c r="PHS26" s="146"/>
      <c r="PHT26" s="146"/>
      <c r="PHU26" s="146"/>
      <c r="PHV26" s="146"/>
      <c r="PHW26" s="146"/>
      <c r="PHX26" s="146"/>
      <c r="PHY26" s="146"/>
      <c r="PHZ26" s="146"/>
      <c r="PIA26" s="146"/>
      <c r="PIB26" s="146"/>
      <c r="PIC26" s="146"/>
      <c r="PID26" s="146"/>
      <c r="PIE26" s="146"/>
      <c r="PIF26" s="146"/>
      <c r="PIG26" s="146"/>
      <c r="PIH26" s="146"/>
      <c r="PII26" s="146"/>
      <c r="PIJ26" s="146"/>
      <c r="PIK26" s="146"/>
      <c r="PIL26" s="146"/>
      <c r="PIM26" s="146"/>
      <c r="PIN26" s="146"/>
      <c r="PIO26" s="146"/>
      <c r="PIP26" s="146"/>
      <c r="PIQ26" s="146"/>
      <c r="PIR26" s="146"/>
      <c r="PIS26" s="146"/>
      <c r="PIT26" s="146"/>
      <c r="PIU26" s="146"/>
      <c r="PIV26" s="146"/>
      <c r="PIW26" s="146"/>
      <c r="PIX26" s="146"/>
      <c r="PIY26" s="146"/>
      <c r="PIZ26" s="146"/>
      <c r="PJA26" s="146"/>
      <c r="PJB26" s="146"/>
      <c r="PJC26" s="146"/>
      <c r="PJD26" s="146"/>
      <c r="PJE26" s="146"/>
      <c r="PJF26" s="146"/>
      <c r="PJG26" s="146"/>
      <c r="PJH26" s="146"/>
      <c r="PJI26" s="146"/>
      <c r="PJJ26" s="146"/>
      <c r="PJK26" s="146"/>
      <c r="PJL26" s="146"/>
      <c r="PJM26" s="146"/>
      <c r="PJN26" s="146"/>
      <c r="PJO26" s="146"/>
      <c r="PJP26" s="146"/>
      <c r="PJQ26" s="146"/>
      <c r="PJR26" s="146"/>
      <c r="PJS26" s="146"/>
      <c r="PJT26" s="146"/>
      <c r="PJU26" s="146"/>
      <c r="PJV26" s="146"/>
      <c r="PJW26" s="146"/>
      <c r="PJX26" s="146"/>
      <c r="PJY26" s="146"/>
      <c r="PJZ26" s="146"/>
      <c r="PKA26" s="146"/>
      <c r="PKB26" s="146"/>
      <c r="PKC26" s="146"/>
      <c r="PKD26" s="146"/>
      <c r="PKE26" s="146"/>
      <c r="PKF26" s="146"/>
      <c r="PKG26" s="146"/>
      <c r="PKH26" s="146"/>
      <c r="PKI26" s="146"/>
      <c r="PKJ26" s="146"/>
      <c r="PKK26" s="146"/>
      <c r="PKL26" s="146"/>
      <c r="PKM26" s="146"/>
      <c r="PKN26" s="146"/>
      <c r="PKO26" s="146"/>
      <c r="PKP26" s="146"/>
      <c r="PKQ26" s="146"/>
      <c r="PKR26" s="146"/>
      <c r="PKS26" s="146"/>
      <c r="PKT26" s="146"/>
      <c r="PKU26" s="146"/>
      <c r="PKV26" s="146"/>
      <c r="PKW26" s="146"/>
      <c r="PKX26" s="146"/>
      <c r="PKY26" s="146"/>
      <c r="PKZ26" s="146"/>
      <c r="PLA26" s="146"/>
      <c r="PLB26" s="146"/>
      <c r="PLC26" s="146"/>
      <c r="PLD26" s="146"/>
      <c r="PLE26" s="146"/>
      <c r="PLF26" s="146"/>
      <c r="PLG26" s="146"/>
      <c r="PLH26" s="146"/>
      <c r="PLI26" s="146"/>
      <c r="PLJ26" s="146"/>
      <c r="PLK26" s="146"/>
      <c r="PLL26" s="146"/>
      <c r="PLM26" s="146"/>
      <c r="PLN26" s="146"/>
      <c r="PLO26" s="146"/>
      <c r="PLP26" s="146"/>
      <c r="PLQ26" s="146"/>
      <c r="PLR26" s="146"/>
      <c r="PLS26" s="146"/>
      <c r="PLT26" s="146"/>
      <c r="PLU26" s="146"/>
      <c r="PLV26" s="146"/>
      <c r="PLW26" s="146"/>
      <c r="PLX26" s="146"/>
      <c r="PLY26" s="146"/>
      <c r="PLZ26" s="146"/>
      <c r="PMA26" s="146"/>
      <c r="PMB26" s="146"/>
      <c r="PMC26" s="146"/>
      <c r="PMD26" s="146"/>
      <c r="PME26" s="146"/>
      <c r="PMF26" s="146"/>
      <c r="PMG26" s="146"/>
      <c r="PMH26" s="146"/>
      <c r="PMI26" s="146"/>
      <c r="PMJ26" s="146"/>
      <c r="PMK26" s="146"/>
      <c r="PML26" s="146"/>
      <c r="PMM26" s="146"/>
      <c r="PMN26" s="146"/>
      <c r="PMO26" s="146"/>
      <c r="PMP26" s="146"/>
      <c r="PMQ26" s="146"/>
      <c r="PMR26" s="146"/>
      <c r="PMS26" s="146"/>
      <c r="PMT26" s="146"/>
      <c r="PMU26" s="146"/>
      <c r="PMV26" s="146"/>
      <c r="PMW26" s="146"/>
      <c r="PMX26" s="146"/>
      <c r="PMY26" s="146"/>
      <c r="PMZ26" s="146"/>
      <c r="PNA26" s="146"/>
      <c r="PNB26" s="146"/>
      <c r="PNC26" s="146"/>
      <c r="PND26" s="146"/>
      <c r="PNE26" s="146"/>
      <c r="PNF26" s="146"/>
      <c r="PNG26" s="146"/>
      <c r="PNH26" s="146"/>
      <c r="PNI26" s="146"/>
      <c r="PNJ26" s="146"/>
      <c r="PNK26" s="146"/>
      <c r="PNL26" s="146"/>
      <c r="PNM26" s="146"/>
      <c r="PNN26" s="146"/>
      <c r="PNO26" s="146"/>
      <c r="PNP26" s="146"/>
      <c r="PNQ26" s="146"/>
      <c r="PNR26" s="146"/>
      <c r="PNS26" s="146"/>
      <c r="PNT26" s="146"/>
      <c r="PNU26" s="146"/>
      <c r="PNV26" s="146"/>
      <c r="PNW26" s="146"/>
      <c r="PNX26" s="146"/>
      <c r="PNY26" s="146"/>
      <c r="PNZ26" s="146"/>
      <c r="POA26" s="146"/>
      <c r="POB26" s="146"/>
      <c r="POC26" s="146"/>
      <c r="POD26" s="146"/>
      <c r="POE26" s="146"/>
      <c r="POF26" s="146"/>
      <c r="POG26" s="146"/>
      <c r="POH26" s="146"/>
      <c r="POI26" s="146"/>
      <c r="POJ26" s="146"/>
      <c r="POK26" s="146"/>
      <c r="POL26" s="146"/>
      <c r="POM26" s="146"/>
      <c r="PON26" s="146"/>
      <c r="POO26" s="146"/>
      <c r="POP26" s="146"/>
      <c r="POQ26" s="146"/>
      <c r="POR26" s="146"/>
      <c r="POS26" s="146"/>
      <c r="POT26" s="146"/>
      <c r="POU26" s="146"/>
      <c r="POV26" s="146"/>
      <c r="POW26" s="146"/>
      <c r="POX26" s="146"/>
      <c r="POY26" s="146"/>
      <c r="POZ26" s="146"/>
      <c r="PPA26" s="146"/>
      <c r="PPB26" s="146"/>
      <c r="PPC26" s="146"/>
      <c r="PPD26" s="146"/>
      <c r="PPE26" s="146"/>
      <c r="PPF26" s="146"/>
      <c r="PPG26" s="146"/>
      <c r="PPH26" s="146"/>
      <c r="PPI26" s="146"/>
      <c r="PPJ26" s="146"/>
      <c r="PPK26" s="146"/>
      <c r="PPL26" s="146"/>
      <c r="PPM26" s="146"/>
      <c r="PPN26" s="146"/>
      <c r="PPO26" s="146"/>
      <c r="PPP26" s="146"/>
      <c r="PPQ26" s="146"/>
      <c r="PPR26" s="146"/>
      <c r="PPS26" s="146"/>
      <c r="PPT26" s="146"/>
      <c r="PPU26" s="146"/>
      <c r="PPV26" s="146"/>
      <c r="PPW26" s="146"/>
      <c r="PPX26" s="146"/>
      <c r="PPY26" s="146"/>
      <c r="PPZ26" s="146"/>
      <c r="PQA26" s="146"/>
      <c r="PQB26" s="146"/>
      <c r="PQC26" s="146"/>
      <c r="PQD26" s="146"/>
      <c r="PQE26" s="146"/>
      <c r="PQF26" s="146"/>
      <c r="PQG26" s="146"/>
      <c r="PQH26" s="146"/>
      <c r="PQI26" s="146"/>
      <c r="PQJ26" s="146"/>
      <c r="PQK26" s="146"/>
      <c r="PQL26" s="146"/>
      <c r="PQM26" s="146"/>
      <c r="PQN26" s="146"/>
      <c r="PQO26" s="146"/>
      <c r="PQP26" s="146"/>
      <c r="PQQ26" s="146"/>
      <c r="PQR26" s="146"/>
      <c r="PQS26" s="146"/>
      <c r="PQT26" s="146"/>
      <c r="PQU26" s="146"/>
      <c r="PQV26" s="146"/>
      <c r="PQW26" s="146"/>
      <c r="PQX26" s="146"/>
      <c r="PQY26" s="146"/>
      <c r="PQZ26" s="146"/>
      <c r="PRA26" s="146"/>
      <c r="PRB26" s="146"/>
      <c r="PRC26" s="146"/>
      <c r="PRD26" s="146"/>
      <c r="PRE26" s="146"/>
      <c r="PRF26" s="146"/>
      <c r="PRG26" s="146"/>
      <c r="PRH26" s="146"/>
      <c r="PRI26" s="146"/>
      <c r="PRJ26" s="146"/>
      <c r="PRK26" s="146"/>
      <c r="PRL26" s="146"/>
      <c r="PRM26" s="146"/>
      <c r="PRN26" s="146"/>
      <c r="PRO26" s="146"/>
      <c r="PRP26" s="146"/>
      <c r="PRQ26" s="146"/>
      <c r="PRR26" s="146"/>
      <c r="PRS26" s="146"/>
      <c r="PRT26" s="146"/>
      <c r="PRU26" s="146"/>
      <c r="PRV26" s="146"/>
      <c r="PRW26" s="146"/>
      <c r="PRX26" s="146"/>
      <c r="PRY26" s="146"/>
      <c r="PRZ26" s="146"/>
      <c r="PSA26" s="146"/>
      <c r="PSB26" s="146"/>
      <c r="PSC26" s="146"/>
      <c r="PSD26" s="146"/>
      <c r="PSE26" s="146"/>
      <c r="PSF26" s="146"/>
      <c r="PSG26" s="146"/>
      <c r="PSH26" s="146"/>
      <c r="PSI26" s="146"/>
      <c r="PSJ26" s="146"/>
      <c r="PSK26" s="146"/>
      <c r="PSL26" s="146"/>
      <c r="PSM26" s="146"/>
      <c r="PSN26" s="146"/>
      <c r="PSO26" s="146"/>
      <c r="PSP26" s="146"/>
      <c r="PSQ26" s="146"/>
      <c r="PSR26" s="146"/>
      <c r="PSS26" s="146"/>
      <c r="PST26" s="146"/>
      <c r="PSU26" s="146"/>
      <c r="PSV26" s="146"/>
      <c r="PSW26" s="146"/>
      <c r="PSX26" s="146"/>
      <c r="PSY26" s="146"/>
      <c r="PSZ26" s="146"/>
      <c r="PTA26" s="146"/>
      <c r="PTB26" s="146"/>
      <c r="PTC26" s="146"/>
      <c r="PTD26" s="146"/>
      <c r="PTE26" s="146"/>
      <c r="PTF26" s="146"/>
      <c r="PTG26" s="146"/>
      <c r="PTH26" s="146"/>
      <c r="PTI26" s="146"/>
      <c r="PTJ26" s="146"/>
      <c r="PTK26" s="146"/>
      <c r="PTL26" s="146"/>
      <c r="PTM26" s="146"/>
      <c r="PTN26" s="146"/>
      <c r="PTO26" s="146"/>
      <c r="PTP26" s="146"/>
      <c r="PTQ26" s="146"/>
      <c r="PTR26" s="146"/>
      <c r="PTS26" s="146"/>
      <c r="PTT26" s="146"/>
      <c r="PTU26" s="146"/>
      <c r="PTV26" s="146"/>
      <c r="PTW26" s="146"/>
      <c r="PTX26" s="146"/>
      <c r="PTY26" s="146"/>
      <c r="PTZ26" s="146"/>
      <c r="PUA26" s="146"/>
      <c r="PUB26" s="146"/>
      <c r="PUC26" s="146"/>
      <c r="PUD26" s="146"/>
      <c r="PUE26" s="146"/>
      <c r="PUF26" s="146"/>
      <c r="PUG26" s="146"/>
      <c r="PUH26" s="146"/>
      <c r="PUI26" s="146"/>
      <c r="PUJ26" s="146"/>
      <c r="PUK26" s="146"/>
      <c r="PUL26" s="146"/>
      <c r="PUM26" s="146"/>
      <c r="PUN26" s="146"/>
      <c r="PUO26" s="146"/>
      <c r="PUP26" s="146"/>
      <c r="PUQ26" s="146"/>
      <c r="PUR26" s="146"/>
      <c r="PUS26" s="146"/>
      <c r="PUT26" s="146"/>
      <c r="PUU26" s="146"/>
      <c r="PUV26" s="146"/>
      <c r="PUW26" s="146"/>
      <c r="PUX26" s="146"/>
      <c r="PUY26" s="146"/>
      <c r="PUZ26" s="146"/>
      <c r="PVA26" s="146"/>
      <c r="PVB26" s="146"/>
      <c r="PVC26" s="146"/>
      <c r="PVD26" s="146"/>
      <c r="PVE26" s="146"/>
      <c r="PVF26" s="146"/>
      <c r="PVG26" s="146"/>
      <c r="PVH26" s="146"/>
      <c r="PVI26" s="146"/>
      <c r="PVJ26" s="146"/>
      <c r="PVK26" s="146"/>
      <c r="PVL26" s="146"/>
      <c r="PVM26" s="146"/>
      <c r="PVN26" s="146"/>
      <c r="PVO26" s="146"/>
      <c r="PVP26" s="146"/>
      <c r="PVQ26" s="146"/>
      <c r="PVR26" s="146"/>
      <c r="PVS26" s="146"/>
      <c r="PVT26" s="146"/>
      <c r="PVU26" s="146"/>
      <c r="PVV26" s="146"/>
      <c r="PVW26" s="146"/>
      <c r="PVX26" s="146"/>
      <c r="PVY26" s="146"/>
      <c r="PVZ26" s="146"/>
      <c r="PWA26" s="146"/>
      <c r="PWB26" s="146"/>
      <c r="PWC26" s="146"/>
      <c r="PWD26" s="146"/>
      <c r="PWE26" s="146"/>
      <c r="PWF26" s="146"/>
      <c r="PWG26" s="146"/>
      <c r="PWH26" s="146"/>
      <c r="PWI26" s="146"/>
      <c r="PWJ26" s="146"/>
      <c r="PWK26" s="146"/>
      <c r="PWL26" s="146"/>
      <c r="PWM26" s="146"/>
      <c r="PWN26" s="146"/>
      <c r="PWO26" s="146"/>
      <c r="PWP26" s="146"/>
      <c r="PWQ26" s="146"/>
      <c r="PWR26" s="146"/>
      <c r="PWS26" s="146"/>
      <c r="PWT26" s="146"/>
      <c r="PWU26" s="146"/>
      <c r="PWV26" s="146"/>
      <c r="PWW26" s="146"/>
      <c r="PWX26" s="146"/>
      <c r="PWY26" s="146"/>
      <c r="PWZ26" s="146"/>
      <c r="PXA26" s="146"/>
      <c r="PXB26" s="146"/>
      <c r="PXC26" s="146"/>
      <c r="PXD26" s="146"/>
      <c r="PXE26" s="146"/>
      <c r="PXF26" s="146"/>
      <c r="PXG26" s="146"/>
      <c r="PXH26" s="146"/>
      <c r="PXI26" s="146"/>
      <c r="PXJ26" s="146"/>
      <c r="PXK26" s="146"/>
      <c r="PXL26" s="146"/>
      <c r="PXM26" s="146"/>
      <c r="PXN26" s="146"/>
      <c r="PXO26" s="146"/>
      <c r="PXP26" s="146"/>
      <c r="PXQ26" s="146"/>
      <c r="PXR26" s="146"/>
      <c r="PXS26" s="146"/>
      <c r="PXT26" s="146"/>
      <c r="PXU26" s="146"/>
      <c r="PXV26" s="146"/>
      <c r="PXW26" s="146"/>
      <c r="PXX26" s="146"/>
      <c r="PXY26" s="146"/>
      <c r="PXZ26" s="146"/>
      <c r="PYA26" s="146"/>
      <c r="PYB26" s="146"/>
      <c r="PYC26" s="146"/>
      <c r="PYD26" s="146"/>
      <c r="PYE26" s="146"/>
      <c r="PYF26" s="146"/>
      <c r="PYG26" s="146"/>
      <c r="PYH26" s="146"/>
      <c r="PYI26" s="146"/>
      <c r="PYJ26" s="146"/>
      <c r="PYK26" s="146"/>
      <c r="PYL26" s="146"/>
      <c r="PYM26" s="146"/>
      <c r="PYN26" s="146"/>
      <c r="PYO26" s="146"/>
      <c r="PYP26" s="146"/>
      <c r="PYQ26" s="146"/>
      <c r="PYR26" s="146"/>
      <c r="PYS26" s="146"/>
      <c r="PYT26" s="146"/>
      <c r="PYU26" s="146"/>
      <c r="PYV26" s="146"/>
      <c r="PYW26" s="146"/>
      <c r="PYX26" s="146"/>
      <c r="PYY26" s="146"/>
      <c r="PYZ26" s="146"/>
      <c r="PZA26" s="146"/>
      <c r="PZB26" s="146"/>
      <c r="PZC26" s="146"/>
      <c r="PZD26" s="146"/>
      <c r="PZE26" s="146"/>
      <c r="PZF26" s="146"/>
      <c r="PZG26" s="146"/>
      <c r="PZH26" s="146"/>
      <c r="PZI26" s="146"/>
      <c r="PZJ26" s="146"/>
      <c r="PZK26" s="146"/>
      <c r="PZL26" s="146"/>
      <c r="PZM26" s="146"/>
      <c r="PZN26" s="146"/>
      <c r="PZO26" s="146"/>
      <c r="PZP26" s="146"/>
      <c r="PZQ26" s="146"/>
      <c r="PZR26" s="146"/>
      <c r="PZS26" s="146"/>
      <c r="PZT26" s="146"/>
      <c r="PZU26" s="146"/>
      <c r="PZV26" s="146"/>
      <c r="PZW26" s="146"/>
      <c r="PZX26" s="146"/>
      <c r="PZY26" s="146"/>
      <c r="PZZ26" s="146"/>
      <c r="QAA26" s="146"/>
      <c r="QAB26" s="146"/>
      <c r="QAC26" s="146"/>
      <c r="QAD26" s="146"/>
      <c r="QAE26" s="146"/>
      <c r="QAF26" s="146"/>
      <c r="QAG26" s="146"/>
      <c r="QAH26" s="146"/>
      <c r="QAI26" s="146"/>
      <c r="QAJ26" s="146"/>
      <c r="QAK26" s="146"/>
      <c r="QAL26" s="146"/>
      <c r="QAM26" s="146"/>
      <c r="QAN26" s="146"/>
      <c r="QAO26" s="146"/>
      <c r="QAP26" s="146"/>
      <c r="QAQ26" s="146"/>
      <c r="QAR26" s="146"/>
      <c r="QAS26" s="146"/>
      <c r="QAT26" s="146"/>
      <c r="QAU26" s="146"/>
      <c r="QAV26" s="146"/>
      <c r="QAW26" s="146"/>
      <c r="QAX26" s="146"/>
      <c r="QAY26" s="146"/>
      <c r="QAZ26" s="146"/>
      <c r="QBA26" s="146"/>
      <c r="QBB26" s="146"/>
      <c r="QBC26" s="146"/>
      <c r="QBD26" s="146"/>
      <c r="QBE26" s="146"/>
      <c r="QBF26" s="146"/>
      <c r="QBG26" s="146"/>
      <c r="QBH26" s="146"/>
      <c r="QBI26" s="146"/>
      <c r="QBJ26" s="146"/>
      <c r="QBK26" s="146"/>
      <c r="QBL26" s="146"/>
      <c r="QBM26" s="146"/>
      <c r="QBN26" s="146"/>
      <c r="QBO26" s="146"/>
      <c r="QBP26" s="146"/>
      <c r="QBQ26" s="146"/>
      <c r="QBR26" s="146"/>
      <c r="QBS26" s="146"/>
      <c r="QBT26" s="146"/>
      <c r="QBU26" s="146"/>
      <c r="QBV26" s="146"/>
      <c r="QBW26" s="146"/>
      <c r="QBX26" s="146"/>
      <c r="QBY26" s="146"/>
      <c r="QBZ26" s="146"/>
      <c r="QCA26" s="146"/>
      <c r="QCB26" s="146"/>
      <c r="QCC26" s="146"/>
      <c r="QCD26" s="146"/>
      <c r="QCE26" s="146"/>
      <c r="QCF26" s="146"/>
      <c r="QCG26" s="146"/>
      <c r="QCH26" s="146"/>
      <c r="QCI26" s="146"/>
      <c r="QCJ26" s="146"/>
      <c r="QCK26" s="146"/>
      <c r="QCL26" s="146"/>
      <c r="QCM26" s="146"/>
      <c r="QCN26" s="146"/>
      <c r="QCO26" s="146"/>
      <c r="QCP26" s="146"/>
      <c r="QCQ26" s="146"/>
      <c r="QCR26" s="146"/>
      <c r="QCS26" s="146"/>
      <c r="QCT26" s="146"/>
      <c r="QCU26" s="146"/>
      <c r="QCV26" s="146"/>
      <c r="QCW26" s="146"/>
      <c r="QCX26" s="146"/>
      <c r="QCY26" s="146"/>
      <c r="QCZ26" s="146"/>
      <c r="QDA26" s="146"/>
      <c r="QDB26" s="146"/>
      <c r="QDC26" s="146"/>
      <c r="QDD26" s="146"/>
      <c r="QDE26" s="146"/>
      <c r="QDF26" s="146"/>
      <c r="QDG26" s="146"/>
      <c r="QDH26" s="146"/>
      <c r="QDI26" s="146"/>
      <c r="QDJ26" s="146"/>
      <c r="QDK26" s="146"/>
      <c r="QDL26" s="146"/>
      <c r="QDM26" s="146"/>
      <c r="QDN26" s="146"/>
      <c r="QDO26" s="146"/>
      <c r="QDP26" s="146"/>
      <c r="QDQ26" s="146"/>
      <c r="QDR26" s="146"/>
      <c r="QDS26" s="146"/>
      <c r="QDT26" s="146"/>
      <c r="QDU26" s="146"/>
      <c r="QDV26" s="146"/>
      <c r="QDW26" s="146"/>
      <c r="QDX26" s="146"/>
      <c r="QDY26" s="146"/>
      <c r="QDZ26" s="146"/>
      <c r="QEA26" s="146"/>
      <c r="QEB26" s="146"/>
      <c r="QEC26" s="146"/>
      <c r="QED26" s="146"/>
      <c r="QEE26" s="146"/>
      <c r="QEF26" s="146"/>
      <c r="QEG26" s="146"/>
      <c r="QEH26" s="146"/>
      <c r="QEI26" s="146"/>
      <c r="QEJ26" s="146"/>
      <c r="QEK26" s="146"/>
      <c r="QEL26" s="146"/>
      <c r="QEM26" s="146"/>
      <c r="QEN26" s="146"/>
      <c r="QEO26" s="146"/>
      <c r="QEP26" s="146"/>
      <c r="QEQ26" s="146"/>
      <c r="QER26" s="146"/>
      <c r="QES26" s="146"/>
      <c r="QET26" s="146"/>
      <c r="QEU26" s="146"/>
      <c r="QEV26" s="146"/>
      <c r="QEW26" s="146"/>
      <c r="QEX26" s="146"/>
      <c r="QEY26" s="146"/>
      <c r="QEZ26" s="146"/>
      <c r="QFA26" s="146"/>
      <c r="QFB26" s="146"/>
      <c r="QFC26" s="146"/>
      <c r="QFD26" s="146"/>
      <c r="QFE26" s="146"/>
      <c r="QFF26" s="146"/>
      <c r="QFG26" s="146"/>
      <c r="QFH26" s="146"/>
      <c r="QFI26" s="146"/>
      <c r="QFJ26" s="146"/>
      <c r="QFK26" s="146"/>
      <c r="QFL26" s="146"/>
      <c r="QFM26" s="146"/>
      <c r="QFN26" s="146"/>
      <c r="QFO26" s="146"/>
      <c r="QFP26" s="146"/>
      <c r="QFQ26" s="146"/>
      <c r="QFR26" s="146"/>
      <c r="QFS26" s="146"/>
      <c r="QFT26" s="146"/>
      <c r="QFU26" s="146"/>
      <c r="QFV26" s="146"/>
      <c r="QFW26" s="146"/>
      <c r="QFX26" s="146"/>
      <c r="QFY26" s="146"/>
      <c r="QFZ26" s="146"/>
      <c r="QGA26" s="146"/>
      <c r="QGB26" s="146"/>
      <c r="QGC26" s="146"/>
      <c r="QGD26" s="146"/>
      <c r="QGE26" s="146"/>
      <c r="QGF26" s="146"/>
      <c r="QGG26" s="146"/>
      <c r="QGH26" s="146"/>
      <c r="QGI26" s="146"/>
      <c r="QGJ26" s="146"/>
      <c r="QGK26" s="146"/>
      <c r="QGL26" s="146"/>
      <c r="QGM26" s="146"/>
      <c r="QGN26" s="146"/>
      <c r="QGO26" s="146"/>
      <c r="QGP26" s="146"/>
      <c r="QGQ26" s="146"/>
      <c r="QGR26" s="146"/>
      <c r="QGS26" s="146"/>
      <c r="QGT26" s="146"/>
      <c r="QGU26" s="146"/>
      <c r="QGV26" s="146"/>
      <c r="QGW26" s="146"/>
      <c r="QGX26" s="146"/>
      <c r="QGY26" s="146"/>
      <c r="QGZ26" s="146"/>
      <c r="QHA26" s="146"/>
      <c r="QHB26" s="146"/>
      <c r="QHC26" s="146"/>
      <c r="QHD26" s="146"/>
      <c r="QHE26" s="146"/>
      <c r="QHF26" s="146"/>
      <c r="QHG26" s="146"/>
      <c r="QHH26" s="146"/>
      <c r="QHI26" s="146"/>
      <c r="QHJ26" s="146"/>
      <c r="QHK26" s="146"/>
      <c r="QHL26" s="146"/>
      <c r="QHM26" s="146"/>
      <c r="QHN26" s="146"/>
      <c r="QHO26" s="146"/>
      <c r="QHP26" s="146"/>
      <c r="QHQ26" s="146"/>
      <c r="QHR26" s="146"/>
      <c r="QHS26" s="146"/>
      <c r="QHT26" s="146"/>
      <c r="QHU26" s="146"/>
      <c r="QHV26" s="146"/>
      <c r="QHW26" s="146"/>
      <c r="QHX26" s="146"/>
      <c r="QHY26" s="146"/>
      <c r="QHZ26" s="146"/>
      <c r="QIA26" s="146"/>
      <c r="QIB26" s="146"/>
      <c r="QIC26" s="146"/>
      <c r="QID26" s="146"/>
      <c r="QIE26" s="146"/>
      <c r="QIF26" s="146"/>
      <c r="QIG26" s="146"/>
      <c r="QIH26" s="146"/>
      <c r="QII26" s="146"/>
      <c r="QIJ26" s="146"/>
      <c r="QIK26" s="146"/>
      <c r="QIL26" s="146"/>
      <c r="QIM26" s="146"/>
      <c r="QIN26" s="146"/>
      <c r="QIO26" s="146"/>
      <c r="QIP26" s="146"/>
      <c r="QIQ26" s="146"/>
      <c r="QIR26" s="146"/>
      <c r="QIS26" s="146"/>
      <c r="QIT26" s="146"/>
      <c r="QIU26" s="146"/>
      <c r="QIV26" s="146"/>
      <c r="QIW26" s="146"/>
      <c r="QIX26" s="146"/>
      <c r="QIY26" s="146"/>
      <c r="QIZ26" s="146"/>
      <c r="QJA26" s="146"/>
      <c r="QJB26" s="146"/>
      <c r="QJC26" s="146"/>
      <c r="QJD26" s="146"/>
      <c r="QJE26" s="146"/>
      <c r="QJF26" s="146"/>
      <c r="QJG26" s="146"/>
      <c r="QJH26" s="146"/>
      <c r="QJI26" s="146"/>
      <c r="QJJ26" s="146"/>
      <c r="QJK26" s="146"/>
      <c r="QJL26" s="146"/>
      <c r="QJM26" s="146"/>
      <c r="QJN26" s="146"/>
      <c r="QJO26" s="146"/>
      <c r="QJP26" s="146"/>
      <c r="QJQ26" s="146"/>
      <c r="QJR26" s="146"/>
      <c r="QJS26" s="146"/>
      <c r="QJT26" s="146"/>
      <c r="QJU26" s="146"/>
      <c r="QJV26" s="146"/>
      <c r="QJW26" s="146"/>
      <c r="QJX26" s="146"/>
      <c r="QJY26" s="146"/>
      <c r="QJZ26" s="146"/>
      <c r="QKA26" s="146"/>
      <c r="QKB26" s="146"/>
      <c r="QKC26" s="146"/>
      <c r="QKD26" s="146"/>
      <c r="QKE26" s="146"/>
      <c r="QKF26" s="146"/>
      <c r="QKG26" s="146"/>
      <c r="QKH26" s="146"/>
      <c r="QKI26" s="146"/>
      <c r="QKJ26" s="146"/>
      <c r="QKK26" s="146"/>
      <c r="QKL26" s="146"/>
      <c r="QKM26" s="146"/>
      <c r="QKN26" s="146"/>
      <c r="QKO26" s="146"/>
      <c r="QKP26" s="146"/>
      <c r="QKQ26" s="146"/>
      <c r="QKR26" s="146"/>
      <c r="QKS26" s="146"/>
      <c r="QKT26" s="146"/>
      <c r="QKU26" s="146"/>
      <c r="QKV26" s="146"/>
      <c r="QKW26" s="146"/>
      <c r="QKX26" s="146"/>
      <c r="QKY26" s="146"/>
      <c r="QKZ26" s="146"/>
      <c r="QLA26" s="146"/>
      <c r="QLB26" s="146"/>
      <c r="QLC26" s="146"/>
      <c r="QLD26" s="146"/>
      <c r="QLE26" s="146"/>
      <c r="QLF26" s="146"/>
      <c r="QLG26" s="146"/>
      <c r="QLH26" s="146"/>
      <c r="QLI26" s="146"/>
      <c r="QLJ26" s="146"/>
      <c r="QLK26" s="146"/>
      <c r="QLL26" s="146"/>
      <c r="QLM26" s="146"/>
      <c r="QLN26" s="146"/>
      <c r="QLO26" s="146"/>
      <c r="QLP26" s="146"/>
      <c r="QLQ26" s="146"/>
      <c r="QLR26" s="146"/>
      <c r="QLS26" s="146"/>
      <c r="QLT26" s="146"/>
      <c r="QLU26" s="146"/>
      <c r="QLV26" s="146"/>
      <c r="QLW26" s="146"/>
      <c r="QLX26" s="146"/>
      <c r="QLY26" s="146"/>
      <c r="QLZ26" s="146"/>
      <c r="QMA26" s="146"/>
      <c r="QMB26" s="146"/>
      <c r="QMC26" s="146"/>
      <c r="QMD26" s="146"/>
      <c r="QME26" s="146"/>
      <c r="QMF26" s="146"/>
      <c r="QMG26" s="146"/>
      <c r="QMH26" s="146"/>
      <c r="QMI26" s="146"/>
      <c r="QMJ26" s="146"/>
      <c r="QMK26" s="146"/>
      <c r="QML26" s="146"/>
      <c r="QMM26" s="146"/>
      <c r="QMN26" s="146"/>
      <c r="QMO26" s="146"/>
      <c r="QMP26" s="146"/>
      <c r="QMQ26" s="146"/>
      <c r="QMR26" s="146"/>
      <c r="QMS26" s="146"/>
      <c r="QMT26" s="146"/>
      <c r="QMU26" s="146"/>
      <c r="QMV26" s="146"/>
      <c r="QMW26" s="146"/>
      <c r="QMX26" s="146"/>
      <c r="QMY26" s="146"/>
      <c r="QMZ26" s="146"/>
      <c r="QNA26" s="146"/>
      <c r="QNB26" s="146"/>
      <c r="QNC26" s="146"/>
      <c r="QND26" s="146"/>
      <c r="QNE26" s="146"/>
      <c r="QNF26" s="146"/>
      <c r="QNG26" s="146"/>
      <c r="QNH26" s="146"/>
      <c r="QNI26" s="146"/>
      <c r="QNJ26" s="146"/>
      <c r="QNK26" s="146"/>
      <c r="QNL26" s="146"/>
      <c r="QNM26" s="146"/>
      <c r="QNN26" s="146"/>
      <c r="QNO26" s="146"/>
      <c r="QNP26" s="146"/>
      <c r="QNQ26" s="146"/>
      <c r="QNR26" s="146"/>
      <c r="QNS26" s="146"/>
      <c r="QNT26" s="146"/>
      <c r="QNU26" s="146"/>
      <c r="QNV26" s="146"/>
      <c r="QNW26" s="146"/>
      <c r="QNX26" s="146"/>
      <c r="QNY26" s="146"/>
      <c r="QNZ26" s="146"/>
      <c r="QOA26" s="146"/>
      <c r="QOB26" s="146"/>
      <c r="QOC26" s="146"/>
      <c r="QOD26" s="146"/>
      <c r="QOE26" s="146"/>
      <c r="QOF26" s="146"/>
      <c r="QOG26" s="146"/>
      <c r="QOH26" s="146"/>
      <c r="QOI26" s="146"/>
      <c r="QOJ26" s="146"/>
      <c r="QOK26" s="146"/>
      <c r="QOL26" s="146"/>
      <c r="QOM26" s="146"/>
      <c r="QON26" s="146"/>
      <c r="QOO26" s="146"/>
      <c r="QOP26" s="146"/>
      <c r="QOQ26" s="146"/>
      <c r="QOR26" s="146"/>
      <c r="QOS26" s="146"/>
      <c r="QOT26" s="146"/>
      <c r="QOU26" s="146"/>
      <c r="QOV26" s="146"/>
      <c r="QOW26" s="146"/>
      <c r="QOX26" s="146"/>
      <c r="QOY26" s="146"/>
      <c r="QOZ26" s="146"/>
      <c r="QPA26" s="146"/>
      <c r="QPB26" s="146"/>
      <c r="QPC26" s="146"/>
      <c r="QPD26" s="146"/>
      <c r="QPE26" s="146"/>
      <c r="QPF26" s="146"/>
      <c r="QPG26" s="146"/>
      <c r="QPH26" s="146"/>
      <c r="QPI26" s="146"/>
      <c r="QPJ26" s="146"/>
      <c r="QPK26" s="146"/>
      <c r="QPL26" s="146"/>
      <c r="QPM26" s="146"/>
      <c r="QPN26" s="146"/>
      <c r="QPO26" s="146"/>
      <c r="QPP26" s="146"/>
      <c r="QPQ26" s="146"/>
      <c r="QPR26" s="146"/>
      <c r="QPS26" s="146"/>
      <c r="QPT26" s="146"/>
      <c r="QPU26" s="146"/>
      <c r="QPV26" s="146"/>
      <c r="QPW26" s="146"/>
      <c r="QPX26" s="146"/>
      <c r="QPY26" s="146"/>
      <c r="QPZ26" s="146"/>
      <c r="QQA26" s="146"/>
      <c r="QQB26" s="146"/>
      <c r="QQC26" s="146"/>
      <c r="QQD26" s="146"/>
      <c r="QQE26" s="146"/>
      <c r="QQF26" s="146"/>
      <c r="QQG26" s="146"/>
      <c r="QQH26" s="146"/>
      <c r="QQI26" s="146"/>
      <c r="QQJ26" s="146"/>
      <c r="QQK26" s="146"/>
      <c r="QQL26" s="146"/>
      <c r="QQM26" s="146"/>
      <c r="QQN26" s="146"/>
      <c r="QQO26" s="146"/>
      <c r="QQP26" s="146"/>
      <c r="QQQ26" s="146"/>
      <c r="QQR26" s="146"/>
      <c r="QQS26" s="146"/>
      <c r="QQT26" s="146"/>
      <c r="QQU26" s="146"/>
      <c r="QQV26" s="146"/>
      <c r="QQW26" s="146"/>
      <c r="QQX26" s="146"/>
      <c r="QQY26" s="146"/>
      <c r="QQZ26" s="146"/>
      <c r="QRA26" s="146"/>
      <c r="QRB26" s="146"/>
      <c r="QRC26" s="146"/>
      <c r="QRD26" s="146"/>
      <c r="QRE26" s="146"/>
      <c r="QRF26" s="146"/>
      <c r="QRG26" s="146"/>
      <c r="QRH26" s="146"/>
      <c r="QRI26" s="146"/>
      <c r="QRJ26" s="146"/>
      <c r="QRK26" s="146"/>
      <c r="QRL26" s="146"/>
      <c r="QRM26" s="146"/>
      <c r="QRN26" s="146"/>
      <c r="QRO26" s="146"/>
      <c r="QRP26" s="146"/>
      <c r="QRQ26" s="146"/>
      <c r="QRR26" s="146"/>
      <c r="QRS26" s="146"/>
      <c r="QRT26" s="146"/>
      <c r="QRU26" s="146"/>
      <c r="QRV26" s="146"/>
      <c r="QRW26" s="146"/>
      <c r="QRX26" s="146"/>
      <c r="QRY26" s="146"/>
      <c r="QRZ26" s="146"/>
      <c r="QSA26" s="146"/>
      <c r="QSB26" s="146"/>
      <c r="QSC26" s="146"/>
      <c r="QSD26" s="146"/>
      <c r="QSE26" s="146"/>
      <c r="QSF26" s="146"/>
      <c r="QSG26" s="146"/>
      <c r="QSH26" s="146"/>
      <c r="QSI26" s="146"/>
      <c r="QSJ26" s="146"/>
      <c r="QSK26" s="146"/>
      <c r="QSL26" s="146"/>
      <c r="QSM26" s="146"/>
      <c r="QSN26" s="146"/>
      <c r="QSO26" s="146"/>
      <c r="QSP26" s="146"/>
      <c r="QSQ26" s="146"/>
      <c r="QSR26" s="146"/>
      <c r="QSS26" s="146"/>
      <c r="QST26" s="146"/>
      <c r="QSU26" s="146"/>
      <c r="QSV26" s="146"/>
      <c r="QSW26" s="146"/>
      <c r="QSX26" s="146"/>
      <c r="QSY26" s="146"/>
      <c r="QSZ26" s="146"/>
      <c r="QTA26" s="146"/>
      <c r="QTB26" s="146"/>
      <c r="QTC26" s="146"/>
      <c r="QTD26" s="146"/>
      <c r="QTE26" s="146"/>
      <c r="QTF26" s="146"/>
      <c r="QTG26" s="146"/>
      <c r="QTH26" s="146"/>
      <c r="QTI26" s="146"/>
      <c r="QTJ26" s="146"/>
      <c r="QTK26" s="146"/>
      <c r="QTL26" s="146"/>
      <c r="QTM26" s="146"/>
      <c r="QTN26" s="146"/>
      <c r="QTO26" s="146"/>
      <c r="QTP26" s="146"/>
      <c r="QTQ26" s="146"/>
      <c r="QTR26" s="146"/>
      <c r="QTS26" s="146"/>
      <c r="QTT26" s="146"/>
      <c r="QTU26" s="146"/>
      <c r="QTV26" s="146"/>
      <c r="QTW26" s="146"/>
      <c r="QTX26" s="146"/>
      <c r="QTY26" s="146"/>
      <c r="QTZ26" s="146"/>
      <c r="QUA26" s="146"/>
      <c r="QUB26" s="146"/>
      <c r="QUC26" s="146"/>
      <c r="QUD26" s="146"/>
      <c r="QUE26" s="146"/>
      <c r="QUF26" s="146"/>
      <c r="QUG26" s="146"/>
      <c r="QUH26" s="146"/>
      <c r="QUI26" s="146"/>
      <c r="QUJ26" s="146"/>
      <c r="QUK26" s="146"/>
      <c r="QUL26" s="146"/>
      <c r="QUM26" s="146"/>
      <c r="QUN26" s="146"/>
      <c r="QUO26" s="146"/>
      <c r="QUP26" s="146"/>
      <c r="QUQ26" s="146"/>
      <c r="QUR26" s="146"/>
      <c r="QUS26" s="146"/>
      <c r="QUT26" s="146"/>
      <c r="QUU26" s="146"/>
      <c r="QUV26" s="146"/>
      <c r="QUW26" s="146"/>
      <c r="QUX26" s="146"/>
      <c r="QUY26" s="146"/>
      <c r="QUZ26" s="146"/>
      <c r="QVA26" s="146"/>
      <c r="QVB26" s="146"/>
      <c r="QVC26" s="146"/>
      <c r="QVD26" s="146"/>
      <c r="QVE26" s="146"/>
      <c r="QVF26" s="146"/>
      <c r="QVG26" s="146"/>
      <c r="QVH26" s="146"/>
      <c r="QVI26" s="146"/>
      <c r="QVJ26" s="146"/>
      <c r="QVK26" s="146"/>
      <c r="QVL26" s="146"/>
      <c r="QVM26" s="146"/>
      <c r="QVN26" s="146"/>
      <c r="QVO26" s="146"/>
      <c r="QVP26" s="146"/>
      <c r="QVQ26" s="146"/>
      <c r="QVR26" s="146"/>
      <c r="QVS26" s="146"/>
      <c r="QVT26" s="146"/>
      <c r="QVU26" s="146"/>
      <c r="QVV26" s="146"/>
      <c r="QVW26" s="146"/>
      <c r="QVX26" s="146"/>
      <c r="QVY26" s="146"/>
      <c r="QVZ26" s="146"/>
      <c r="QWA26" s="146"/>
      <c r="QWB26" s="146"/>
      <c r="QWC26" s="146"/>
      <c r="QWD26" s="146"/>
      <c r="QWE26" s="146"/>
      <c r="QWF26" s="146"/>
      <c r="QWG26" s="146"/>
      <c r="QWH26" s="146"/>
      <c r="QWI26" s="146"/>
      <c r="QWJ26" s="146"/>
      <c r="QWK26" s="146"/>
      <c r="QWL26" s="146"/>
      <c r="QWM26" s="146"/>
      <c r="QWN26" s="146"/>
      <c r="QWO26" s="146"/>
      <c r="QWP26" s="146"/>
      <c r="QWQ26" s="146"/>
      <c r="QWR26" s="146"/>
      <c r="QWS26" s="146"/>
      <c r="QWT26" s="146"/>
      <c r="QWU26" s="146"/>
      <c r="QWV26" s="146"/>
      <c r="QWW26" s="146"/>
      <c r="QWX26" s="146"/>
      <c r="QWY26" s="146"/>
      <c r="QWZ26" s="146"/>
      <c r="QXA26" s="146"/>
      <c r="QXB26" s="146"/>
      <c r="QXC26" s="146"/>
      <c r="QXD26" s="146"/>
      <c r="QXE26" s="146"/>
      <c r="QXF26" s="146"/>
      <c r="QXG26" s="146"/>
      <c r="QXH26" s="146"/>
      <c r="QXI26" s="146"/>
      <c r="QXJ26" s="146"/>
      <c r="QXK26" s="146"/>
      <c r="QXL26" s="146"/>
      <c r="QXM26" s="146"/>
      <c r="QXN26" s="146"/>
      <c r="QXO26" s="146"/>
      <c r="QXP26" s="146"/>
      <c r="QXQ26" s="146"/>
      <c r="QXR26" s="146"/>
      <c r="QXS26" s="146"/>
      <c r="QXT26" s="146"/>
      <c r="QXU26" s="146"/>
      <c r="QXV26" s="146"/>
      <c r="QXW26" s="146"/>
      <c r="QXX26" s="146"/>
      <c r="QXY26" s="146"/>
      <c r="QXZ26" s="146"/>
      <c r="QYA26" s="146"/>
      <c r="QYB26" s="146"/>
      <c r="QYC26" s="146"/>
      <c r="QYD26" s="146"/>
      <c r="QYE26" s="146"/>
      <c r="QYF26" s="146"/>
      <c r="QYG26" s="146"/>
      <c r="QYH26" s="146"/>
      <c r="QYI26" s="146"/>
      <c r="QYJ26" s="146"/>
      <c r="QYK26" s="146"/>
      <c r="QYL26" s="146"/>
      <c r="QYM26" s="146"/>
      <c r="QYN26" s="146"/>
      <c r="QYO26" s="146"/>
      <c r="QYP26" s="146"/>
      <c r="QYQ26" s="146"/>
      <c r="QYR26" s="146"/>
      <c r="QYS26" s="146"/>
      <c r="QYT26" s="146"/>
      <c r="QYU26" s="146"/>
      <c r="QYV26" s="146"/>
      <c r="QYW26" s="146"/>
      <c r="QYX26" s="146"/>
      <c r="QYY26" s="146"/>
      <c r="QYZ26" s="146"/>
      <c r="QZA26" s="146"/>
      <c r="QZB26" s="146"/>
      <c r="QZC26" s="146"/>
      <c r="QZD26" s="146"/>
      <c r="QZE26" s="146"/>
      <c r="QZF26" s="146"/>
      <c r="QZG26" s="146"/>
      <c r="QZH26" s="146"/>
      <c r="QZI26" s="146"/>
      <c r="QZJ26" s="146"/>
      <c r="QZK26" s="146"/>
      <c r="QZL26" s="146"/>
      <c r="QZM26" s="146"/>
      <c r="QZN26" s="146"/>
      <c r="QZO26" s="146"/>
      <c r="QZP26" s="146"/>
      <c r="QZQ26" s="146"/>
      <c r="QZR26" s="146"/>
      <c r="QZS26" s="146"/>
      <c r="QZT26" s="146"/>
      <c r="QZU26" s="146"/>
      <c r="QZV26" s="146"/>
      <c r="QZW26" s="146"/>
      <c r="QZX26" s="146"/>
      <c r="QZY26" s="146"/>
      <c r="QZZ26" s="146"/>
      <c r="RAA26" s="146"/>
      <c r="RAB26" s="146"/>
      <c r="RAC26" s="146"/>
      <c r="RAD26" s="146"/>
      <c r="RAE26" s="146"/>
      <c r="RAF26" s="146"/>
      <c r="RAG26" s="146"/>
      <c r="RAH26" s="146"/>
      <c r="RAI26" s="146"/>
      <c r="RAJ26" s="146"/>
      <c r="RAK26" s="146"/>
      <c r="RAL26" s="146"/>
      <c r="RAM26" s="146"/>
      <c r="RAN26" s="146"/>
      <c r="RAO26" s="146"/>
      <c r="RAP26" s="146"/>
      <c r="RAQ26" s="146"/>
      <c r="RAR26" s="146"/>
      <c r="RAS26" s="146"/>
      <c r="RAT26" s="146"/>
      <c r="RAU26" s="146"/>
      <c r="RAV26" s="146"/>
      <c r="RAW26" s="146"/>
      <c r="RAX26" s="146"/>
      <c r="RAY26" s="146"/>
      <c r="RAZ26" s="146"/>
      <c r="RBA26" s="146"/>
      <c r="RBB26" s="146"/>
      <c r="RBC26" s="146"/>
      <c r="RBD26" s="146"/>
      <c r="RBE26" s="146"/>
      <c r="RBF26" s="146"/>
      <c r="RBG26" s="146"/>
      <c r="RBH26" s="146"/>
      <c r="RBI26" s="146"/>
      <c r="RBJ26" s="146"/>
      <c r="RBK26" s="146"/>
      <c r="RBL26" s="146"/>
      <c r="RBM26" s="146"/>
      <c r="RBN26" s="146"/>
      <c r="RBO26" s="146"/>
      <c r="RBP26" s="146"/>
      <c r="RBQ26" s="146"/>
      <c r="RBR26" s="146"/>
      <c r="RBS26" s="146"/>
      <c r="RBT26" s="146"/>
      <c r="RBU26" s="146"/>
      <c r="RBV26" s="146"/>
      <c r="RBW26" s="146"/>
      <c r="RBX26" s="146"/>
      <c r="RBY26" s="146"/>
      <c r="RBZ26" s="146"/>
      <c r="RCA26" s="146"/>
      <c r="RCB26" s="146"/>
      <c r="RCC26" s="146"/>
      <c r="RCD26" s="146"/>
      <c r="RCE26" s="146"/>
      <c r="RCF26" s="146"/>
      <c r="RCG26" s="146"/>
      <c r="RCH26" s="146"/>
      <c r="RCI26" s="146"/>
      <c r="RCJ26" s="146"/>
      <c r="RCK26" s="146"/>
      <c r="RCL26" s="146"/>
      <c r="RCM26" s="146"/>
      <c r="RCN26" s="146"/>
      <c r="RCO26" s="146"/>
      <c r="RCP26" s="146"/>
      <c r="RCQ26" s="146"/>
      <c r="RCR26" s="146"/>
      <c r="RCS26" s="146"/>
      <c r="RCT26" s="146"/>
      <c r="RCU26" s="146"/>
      <c r="RCV26" s="146"/>
      <c r="RCW26" s="146"/>
      <c r="RCX26" s="146"/>
      <c r="RCY26" s="146"/>
      <c r="RCZ26" s="146"/>
      <c r="RDA26" s="146"/>
      <c r="RDB26" s="146"/>
      <c r="RDC26" s="146"/>
      <c r="RDD26" s="146"/>
      <c r="RDE26" s="146"/>
      <c r="RDF26" s="146"/>
      <c r="RDG26" s="146"/>
      <c r="RDH26" s="146"/>
      <c r="RDI26" s="146"/>
      <c r="RDJ26" s="146"/>
      <c r="RDK26" s="146"/>
      <c r="RDL26" s="146"/>
      <c r="RDM26" s="146"/>
      <c r="RDN26" s="146"/>
      <c r="RDO26" s="146"/>
      <c r="RDP26" s="146"/>
      <c r="RDQ26" s="146"/>
      <c r="RDR26" s="146"/>
      <c r="RDS26" s="146"/>
      <c r="RDT26" s="146"/>
      <c r="RDU26" s="146"/>
      <c r="RDV26" s="146"/>
      <c r="RDW26" s="146"/>
      <c r="RDX26" s="146"/>
      <c r="RDY26" s="146"/>
      <c r="RDZ26" s="146"/>
      <c r="REA26" s="146"/>
      <c r="REB26" s="146"/>
      <c r="REC26" s="146"/>
      <c r="RED26" s="146"/>
      <c r="REE26" s="146"/>
      <c r="REF26" s="146"/>
      <c r="REG26" s="146"/>
      <c r="REH26" s="146"/>
      <c r="REI26" s="146"/>
      <c r="REJ26" s="146"/>
      <c r="REK26" s="146"/>
      <c r="REL26" s="146"/>
      <c r="REM26" s="146"/>
      <c r="REN26" s="146"/>
      <c r="REO26" s="146"/>
      <c r="REP26" s="146"/>
      <c r="REQ26" s="146"/>
      <c r="RER26" s="146"/>
      <c r="RES26" s="146"/>
      <c r="RET26" s="146"/>
      <c r="REU26" s="146"/>
      <c r="REV26" s="146"/>
      <c r="REW26" s="146"/>
      <c r="REX26" s="146"/>
      <c r="REY26" s="146"/>
      <c r="REZ26" s="146"/>
      <c r="RFA26" s="146"/>
      <c r="RFB26" s="146"/>
      <c r="RFC26" s="146"/>
      <c r="RFD26" s="146"/>
      <c r="RFE26" s="146"/>
      <c r="RFF26" s="146"/>
      <c r="RFG26" s="146"/>
      <c r="RFH26" s="146"/>
      <c r="RFI26" s="146"/>
      <c r="RFJ26" s="146"/>
      <c r="RFK26" s="146"/>
      <c r="RFL26" s="146"/>
      <c r="RFM26" s="146"/>
      <c r="RFN26" s="146"/>
      <c r="RFO26" s="146"/>
      <c r="RFP26" s="146"/>
      <c r="RFQ26" s="146"/>
      <c r="RFR26" s="146"/>
      <c r="RFS26" s="146"/>
      <c r="RFT26" s="146"/>
      <c r="RFU26" s="146"/>
      <c r="RFV26" s="146"/>
      <c r="RFW26" s="146"/>
      <c r="RFX26" s="146"/>
      <c r="RFY26" s="146"/>
      <c r="RFZ26" s="146"/>
      <c r="RGA26" s="146"/>
      <c r="RGB26" s="146"/>
      <c r="RGC26" s="146"/>
      <c r="RGD26" s="146"/>
      <c r="RGE26" s="146"/>
      <c r="RGF26" s="146"/>
      <c r="RGG26" s="146"/>
      <c r="RGH26" s="146"/>
      <c r="RGI26" s="146"/>
      <c r="RGJ26" s="146"/>
      <c r="RGK26" s="146"/>
      <c r="RGL26" s="146"/>
      <c r="RGM26" s="146"/>
      <c r="RGN26" s="146"/>
      <c r="RGO26" s="146"/>
      <c r="RGP26" s="146"/>
      <c r="RGQ26" s="146"/>
      <c r="RGR26" s="146"/>
      <c r="RGS26" s="146"/>
      <c r="RGT26" s="146"/>
      <c r="RGU26" s="146"/>
      <c r="RGV26" s="146"/>
      <c r="RGW26" s="146"/>
      <c r="RGX26" s="146"/>
      <c r="RGY26" s="146"/>
      <c r="RGZ26" s="146"/>
      <c r="RHA26" s="146"/>
      <c r="RHB26" s="146"/>
      <c r="RHC26" s="146"/>
      <c r="RHD26" s="146"/>
      <c r="RHE26" s="146"/>
      <c r="RHF26" s="146"/>
      <c r="RHG26" s="146"/>
      <c r="RHH26" s="146"/>
      <c r="RHI26" s="146"/>
      <c r="RHJ26" s="146"/>
      <c r="RHK26" s="146"/>
      <c r="RHL26" s="146"/>
      <c r="RHM26" s="146"/>
      <c r="RHN26" s="146"/>
      <c r="RHO26" s="146"/>
      <c r="RHP26" s="146"/>
      <c r="RHQ26" s="146"/>
      <c r="RHR26" s="146"/>
      <c r="RHS26" s="146"/>
      <c r="RHT26" s="146"/>
      <c r="RHU26" s="146"/>
      <c r="RHV26" s="146"/>
      <c r="RHW26" s="146"/>
      <c r="RHX26" s="146"/>
      <c r="RHY26" s="146"/>
      <c r="RHZ26" s="146"/>
      <c r="RIA26" s="146"/>
      <c r="RIB26" s="146"/>
      <c r="RIC26" s="146"/>
      <c r="RID26" s="146"/>
      <c r="RIE26" s="146"/>
      <c r="RIF26" s="146"/>
      <c r="RIG26" s="146"/>
      <c r="RIH26" s="146"/>
      <c r="RII26" s="146"/>
      <c r="RIJ26" s="146"/>
      <c r="RIK26" s="146"/>
      <c r="RIL26" s="146"/>
      <c r="RIM26" s="146"/>
      <c r="RIN26" s="146"/>
      <c r="RIO26" s="146"/>
      <c r="RIP26" s="146"/>
      <c r="RIQ26" s="146"/>
      <c r="RIR26" s="146"/>
      <c r="RIS26" s="146"/>
      <c r="RIT26" s="146"/>
      <c r="RIU26" s="146"/>
      <c r="RIV26" s="146"/>
      <c r="RIW26" s="146"/>
      <c r="RIX26" s="146"/>
      <c r="RIY26" s="146"/>
      <c r="RIZ26" s="146"/>
      <c r="RJA26" s="146"/>
      <c r="RJB26" s="146"/>
      <c r="RJC26" s="146"/>
      <c r="RJD26" s="146"/>
      <c r="RJE26" s="146"/>
      <c r="RJF26" s="146"/>
      <c r="RJG26" s="146"/>
      <c r="RJH26" s="146"/>
      <c r="RJI26" s="146"/>
      <c r="RJJ26" s="146"/>
      <c r="RJK26" s="146"/>
      <c r="RJL26" s="146"/>
      <c r="RJM26" s="146"/>
      <c r="RJN26" s="146"/>
      <c r="RJO26" s="146"/>
      <c r="RJP26" s="146"/>
      <c r="RJQ26" s="146"/>
      <c r="RJR26" s="146"/>
      <c r="RJS26" s="146"/>
      <c r="RJT26" s="146"/>
      <c r="RJU26" s="146"/>
      <c r="RJV26" s="146"/>
      <c r="RJW26" s="146"/>
      <c r="RJX26" s="146"/>
      <c r="RJY26" s="146"/>
      <c r="RJZ26" s="146"/>
      <c r="RKA26" s="146"/>
      <c r="RKB26" s="146"/>
      <c r="RKC26" s="146"/>
      <c r="RKD26" s="146"/>
      <c r="RKE26" s="146"/>
      <c r="RKF26" s="146"/>
      <c r="RKG26" s="146"/>
      <c r="RKH26" s="146"/>
      <c r="RKI26" s="146"/>
      <c r="RKJ26" s="146"/>
      <c r="RKK26" s="146"/>
      <c r="RKL26" s="146"/>
      <c r="RKM26" s="146"/>
      <c r="RKN26" s="146"/>
      <c r="RKO26" s="146"/>
      <c r="RKP26" s="146"/>
      <c r="RKQ26" s="146"/>
      <c r="RKR26" s="146"/>
      <c r="RKS26" s="146"/>
      <c r="RKT26" s="146"/>
      <c r="RKU26" s="146"/>
      <c r="RKV26" s="146"/>
      <c r="RKW26" s="146"/>
      <c r="RKX26" s="146"/>
      <c r="RKY26" s="146"/>
      <c r="RKZ26" s="146"/>
      <c r="RLA26" s="146"/>
      <c r="RLB26" s="146"/>
      <c r="RLC26" s="146"/>
      <c r="RLD26" s="146"/>
      <c r="RLE26" s="146"/>
      <c r="RLF26" s="146"/>
      <c r="RLG26" s="146"/>
      <c r="RLH26" s="146"/>
      <c r="RLI26" s="146"/>
      <c r="RLJ26" s="146"/>
      <c r="RLK26" s="146"/>
      <c r="RLL26" s="146"/>
      <c r="RLM26" s="146"/>
      <c r="RLN26" s="146"/>
      <c r="RLO26" s="146"/>
      <c r="RLP26" s="146"/>
      <c r="RLQ26" s="146"/>
      <c r="RLR26" s="146"/>
      <c r="RLS26" s="146"/>
      <c r="RLT26" s="146"/>
      <c r="RLU26" s="146"/>
      <c r="RLV26" s="146"/>
      <c r="RLW26" s="146"/>
      <c r="RLX26" s="146"/>
      <c r="RLY26" s="146"/>
      <c r="RLZ26" s="146"/>
      <c r="RMA26" s="146"/>
      <c r="RMB26" s="146"/>
      <c r="RMC26" s="146"/>
      <c r="RMD26" s="146"/>
      <c r="RME26" s="146"/>
      <c r="RMF26" s="146"/>
      <c r="RMG26" s="146"/>
      <c r="RMH26" s="146"/>
      <c r="RMI26" s="146"/>
      <c r="RMJ26" s="146"/>
      <c r="RMK26" s="146"/>
      <c r="RML26" s="146"/>
      <c r="RMM26" s="146"/>
      <c r="RMN26" s="146"/>
      <c r="RMO26" s="146"/>
      <c r="RMP26" s="146"/>
      <c r="RMQ26" s="146"/>
      <c r="RMR26" s="146"/>
      <c r="RMS26" s="146"/>
      <c r="RMT26" s="146"/>
      <c r="RMU26" s="146"/>
      <c r="RMV26" s="146"/>
      <c r="RMW26" s="146"/>
      <c r="RMX26" s="146"/>
      <c r="RMY26" s="146"/>
      <c r="RMZ26" s="146"/>
      <c r="RNA26" s="146"/>
      <c r="RNB26" s="146"/>
      <c r="RNC26" s="146"/>
      <c r="RND26" s="146"/>
      <c r="RNE26" s="146"/>
      <c r="RNF26" s="146"/>
      <c r="RNG26" s="146"/>
      <c r="RNH26" s="146"/>
      <c r="RNI26" s="146"/>
      <c r="RNJ26" s="146"/>
      <c r="RNK26" s="146"/>
      <c r="RNL26" s="146"/>
      <c r="RNM26" s="146"/>
      <c r="RNN26" s="146"/>
      <c r="RNO26" s="146"/>
      <c r="RNP26" s="146"/>
      <c r="RNQ26" s="146"/>
      <c r="RNR26" s="146"/>
      <c r="RNS26" s="146"/>
      <c r="RNT26" s="146"/>
      <c r="RNU26" s="146"/>
      <c r="RNV26" s="146"/>
      <c r="RNW26" s="146"/>
      <c r="RNX26" s="146"/>
      <c r="RNY26" s="146"/>
      <c r="RNZ26" s="146"/>
      <c r="ROA26" s="146"/>
      <c r="ROB26" s="146"/>
      <c r="ROC26" s="146"/>
      <c r="ROD26" s="146"/>
      <c r="ROE26" s="146"/>
      <c r="ROF26" s="146"/>
      <c r="ROG26" s="146"/>
      <c r="ROH26" s="146"/>
      <c r="ROI26" s="146"/>
      <c r="ROJ26" s="146"/>
      <c r="ROK26" s="146"/>
      <c r="ROL26" s="146"/>
      <c r="ROM26" s="146"/>
      <c r="RON26" s="146"/>
      <c r="ROO26" s="146"/>
      <c r="ROP26" s="146"/>
      <c r="ROQ26" s="146"/>
      <c r="ROR26" s="146"/>
      <c r="ROS26" s="146"/>
      <c r="ROT26" s="146"/>
      <c r="ROU26" s="146"/>
      <c r="ROV26" s="146"/>
      <c r="ROW26" s="146"/>
      <c r="ROX26" s="146"/>
      <c r="ROY26" s="146"/>
      <c r="ROZ26" s="146"/>
      <c r="RPA26" s="146"/>
      <c r="RPB26" s="146"/>
      <c r="RPC26" s="146"/>
      <c r="RPD26" s="146"/>
      <c r="RPE26" s="146"/>
      <c r="RPF26" s="146"/>
      <c r="RPG26" s="146"/>
      <c r="RPH26" s="146"/>
      <c r="RPI26" s="146"/>
      <c r="RPJ26" s="146"/>
      <c r="RPK26" s="146"/>
      <c r="RPL26" s="146"/>
      <c r="RPM26" s="146"/>
      <c r="RPN26" s="146"/>
      <c r="RPO26" s="146"/>
      <c r="RPP26" s="146"/>
      <c r="RPQ26" s="146"/>
      <c r="RPR26" s="146"/>
      <c r="RPS26" s="146"/>
      <c r="RPT26" s="146"/>
      <c r="RPU26" s="146"/>
      <c r="RPV26" s="146"/>
      <c r="RPW26" s="146"/>
      <c r="RPX26" s="146"/>
      <c r="RPY26" s="146"/>
      <c r="RPZ26" s="146"/>
      <c r="RQA26" s="146"/>
      <c r="RQB26" s="146"/>
      <c r="RQC26" s="146"/>
      <c r="RQD26" s="146"/>
      <c r="RQE26" s="146"/>
      <c r="RQF26" s="146"/>
      <c r="RQG26" s="146"/>
      <c r="RQH26" s="146"/>
      <c r="RQI26" s="146"/>
      <c r="RQJ26" s="146"/>
      <c r="RQK26" s="146"/>
      <c r="RQL26" s="146"/>
      <c r="RQM26" s="146"/>
      <c r="RQN26" s="146"/>
      <c r="RQO26" s="146"/>
      <c r="RQP26" s="146"/>
      <c r="RQQ26" s="146"/>
      <c r="RQR26" s="146"/>
      <c r="RQS26" s="146"/>
      <c r="RQT26" s="146"/>
      <c r="RQU26" s="146"/>
      <c r="RQV26" s="146"/>
      <c r="RQW26" s="146"/>
      <c r="RQX26" s="146"/>
      <c r="RQY26" s="146"/>
      <c r="RQZ26" s="146"/>
      <c r="RRA26" s="146"/>
      <c r="RRB26" s="146"/>
      <c r="RRC26" s="146"/>
      <c r="RRD26" s="146"/>
      <c r="RRE26" s="146"/>
      <c r="RRF26" s="146"/>
      <c r="RRG26" s="146"/>
      <c r="RRH26" s="146"/>
      <c r="RRI26" s="146"/>
      <c r="RRJ26" s="146"/>
      <c r="RRK26" s="146"/>
      <c r="RRL26" s="146"/>
      <c r="RRM26" s="146"/>
      <c r="RRN26" s="146"/>
      <c r="RRO26" s="146"/>
      <c r="RRP26" s="146"/>
      <c r="RRQ26" s="146"/>
      <c r="RRR26" s="146"/>
      <c r="RRS26" s="146"/>
      <c r="RRT26" s="146"/>
      <c r="RRU26" s="146"/>
      <c r="RRV26" s="146"/>
      <c r="RRW26" s="146"/>
      <c r="RRX26" s="146"/>
      <c r="RRY26" s="146"/>
      <c r="RRZ26" s="146"/>
      <c r="RSA26" s="146"/>
      <c r="RSB26" s="146"/>
      <c r="RSC26" s="146"/>
      <c r="RSD26" s="146"/>
      <c r="RSE26" s="146"/>
      <c r="RSF26" s="146"/>
      <c r="RSG26" s="146"/>
      <c r="RSH26" s="146"/>
      <c r="RSI26" s="146"/>
      <c r="RSJ26" s="146"/>
      <c r="RSK26" s="146"/>
      <c r="RSL26" s="146"/>
      <c r="RSM26" s="146"/>
      <c r="RSN26" s="146"/>
      <c r="RSO26" s="146"/>
      <c r="RSP26" s="146"/>
      <c r="RSQ26" s="146"/>
      <c r="RSR26" s="146"/>
      <c r="RSS26" s="146"/>
      <c r="RST26" s="146"/>
      <c r="RSU26" s="146"/>
      <c r="RSV26" s="146"/>
      <c r="RSW26" s="146"/>
      <c r="RSX26" s="146"/>
      <c r="RSY26" s="146"/>
      <c r="RSZ26" s="146"/>
      <c r="RTA26" s="146"/>
      <c r="RTB26" s="146"/>
      <c r="RTC26" s="146"/>
      <c r="RTD26" s="146"/>
      <c r="RTE26" s="146"/>
      <c r="RTF26" s="146"/>
      <c r="RTG26" s="146"/>
      <c r="RTH26" s="146"/>
      <c r="RTI26" s="146"/>
      <c r="RTJ26" s="146"/>
      <c r="RTK26" s="146"/>
      <c r="RTL26" s="146"/>
      <c r="RTM26" s="146"/>
      <c r="RTN26" s="146"/>
      <c r="RTO26" s="146"/>
      <c r="RTP26" s="146"/>
      <c r="RTQ26" s="146"/>
      <c r="RTR26" s="146"/>
      <c r="RTS26" s="146"/>
      <c r="RTT26" s="146"/>
      <c r="RTU26" s="146"/>
      <c r="RTV26" s="146"/>
      <c r="RTW26" s="146"/>
      <c r="RTX26" s="146"/>
      <c r="RTY26" s="146"/>
      <c r="RTZ26" s="146"/>
      <c r="RUA26" s="146"/>
      <c r="RUB26" s="146"/>
      <c r="RUC26" s="146"/>
      <c r="RUD26" s="146"/>
      <c r="RUE26" s="146"/>
      <c r="RUF26" s="146"/>
      <c r="RUG26" s="146"/>
      <c r="RUH26" s="146"/>
      <c r="RUI26" s="146"/>
      <c r="RUJ26" s="146"/>
      <c r="RUK26" s="146"/>
      <c r="RUL26" s="146"/>
      <c r="RUM26" s="146"/>
      <c r="RUN26" s="146"/>
      <c r="RUO26" s="146"/>
      <c r="RUP26" s="146"/>
      <c r="RUQ26" s="146"/>
      <c r="RUR26" s="146"/>
      <c r="RUS26" s="146"/>
      <c r="RUT26" s="146"/>
      <c r="RUU26" s="146"/>
      <c r="RUV26" s="146"/>
      <c r="RUW26" s="146"/>
      <c r="RUX26" s="146"/>
      <c r="RUY26" s="146"/>
      <c r="RUZ26" s="146"/>
      <c r="RVA26" s="146"/>
      <c r="RVB26" s="146"/>
      <c r="RVC26" s="146"/>
      <c r="RVD26" s="146"/>
      <c r="RVE26" s="146"/>
      <c r="RVF26" s="146"/>
      <c r="RVG26" s="146"/>
      <c r="RVH26" s="146"/>
      <c r="RVI26" s="146"/>
      <c r="RVJ26" s="146"/>
      <c r="RVK26" s="146"/>
      <c r="RVL26" s="146"/>
      <c r="RVM26" s="146"/>
      <c r="RVN26" s="146"/>
      <c r="RVO26" s="146"/>
      <c r="RVP26" s="146"/>
      <c r="RVQ26" s="146"/>
      <c r="RVR26" s="146"/>
      <c r="RVS26" s="146"/>
      <c r="RVT26" s="146"/>
      <c r="RVU26" s="146"/>
      <c r="RVV26" s="146"/>
      <c r="RVW26" s="146"/>
      <c r="RVX26" s="146"/>
      <c r="RVY26" s="146"/>
      <c r="RVZ26" s="146"/>
      <c r="RWA26" s="146"/>
      <c r="RWB26" s="146"/>
      <c r="RWC26" s="146"/>
      <c r="RWD26" s="146"/>
      <c r="RWE26" s="146"/>
      <c r="RWF26" s="146"/>
      <c r="RWG26" s="146"/>
      <c r="RWH26" s="146"/>
      <c r="RWI26" s="146"/>
      <c r="RWJ26" s="146"/>
      <c r="RWK26" s="146"/>
      <c r="RWL26" s="146"/>
      <c r="RWM26" s="146"/>
      <c r="RWN26" s="146"/>
      <c r="RWO26" s="146"/>
      <c r="RWP26" s="146"/>
      <c r="RWQ26" s="146"/>
      <c r="RWR26" s="146"/>
      <c r="RWS26" s="146"/>
      <c r="RWT26" s="146"/>
      <c r="RWU26" s="146"/>
      <c r="RWV26" s="146"/>
      <c r="RWW26" s="146"/>
      <c r="RWX26" s="146"/>
      <c r="RWY26" s="146"/>
      <c r="RWZ26" s="146"/>
      <c r="RXA26" s="146"/>
      <c r="RXB26" s="146"/>
      <c r="RXC26" s="146"/>
      <c r="RXD26" s="146"/>
      <c r="RXE26" s="146"/>
      <c r="RXF26" s="146"/>
      <c r="RXG26" s="146"/>
      <c r="RXH26" s="146"/>
      <c r="RXI26" s="146"/>
      <c r="RXJ26" s="146"/>
      <c r="RXK26" s="146"/>
      <c r="RXL26" s="146"/>
      <c r="RXM26" s="146"/>
      <c r="RXN26" s="146"/>
      <c r="RXO26" s="146"/>
      <c r="RXP26" s="146"/>
      <c r="RXQ26" s="146"/>
      <c r="RXR26" s="146"/>
      <c r="RXS26" s="146"/>
      <c r="RXT26" s="146"/>
      <c r="RXU26" s="146"/>
      <c r="RXV26" s="146"/>
      <c r="RXW26" s="146"/>
      <c r="RXX26" s="146"/>
      <c r="RXY26" s="146"/>
      <c r="RXZ26" s="146"/>
      <c r="RYA26" s="146"/>
      <c r="RYB26" s="146"/>
      <c r="RYC26" s="146"/>
      <c r="RYD26" s="146"/>
      <c r="RYE26" s="146"/>
      <c r="RYF26" s="146"/>
      <c r="RYG26" s="146"/>
      <c r="RYH26" s="146"/>
      <c r="RYI26" s="146"/>
      <c r="RYJ26" s="146"/>
      <c r="RYK26" s="146"/>
      <c r="RYL26" s="146"/>
      <c r="RYM26" s="146"/>
      <c r="RYN26" s="146"/>
      <c r="RYO26" s="146"/>
      <c r="RYP26" s="146"/>
      <c r="RYQ26" s="146"/>
      <c r="RYR26" s="146"/>
      <c r="RYS26" s="146"/>
      <c r="RYT26" s="146"/>
      <c r="RYU26" s="146"/>
      <c r="RYV26" s="146"/>
      <c r="RYW26" s="146"/>
      <c r="RYX26" s="146"/>
      <c r="RYY26" s="146"/>
      <c r="RYZ26" s="146"/>
      <c r="RZA26" s="146"/>
      <c r="RZB26" s="146"/>
      <c r="RZC26" s="146"/>
      <c r="RZD26" s="146"/>
      <c r="RZE26" s="146"/>
      <c r="RZF26" s="146"/>
      <c r="RZG26" s="146"/>
      <c r="RZH26" s="146"/>
      <c r="RZI26" s="146"/>
      <c r="RZJ26" s="146"/>
      <c r="RZK26" s="146"/>
      <c r="RZL26" s="146"/>
      <c r="RZM26" s="146"/>
      <c r="RZN26" s="146"/>
      <c r="RZO26" s="146"/>
      <c r="RZP26" s="146"/>
      <c r="RZQ26" s="146"/>
      <c r="RZR26" s="146"/>
      <c r="RZS26" s="146"/>
      <c r="RZT26" s="146"/>
      <c r="RZU26" s="146"/>
      <c r="RZV26" s="146"/>
      <c r="RZW26" s="146"/>
      <c r="RZX26" s="146"/>
      <c r="RZY26" s="146"/>
      <c r="RZZ26" s="146"/>
      <c r="SAA26" s="146"/>
      <c r="SAB26" s="146"/>
      <c r="SAC26" s="146"/>
      <c r="SAD26" s="146"/>
      <c r="SAE26" s="146"/>
      <c r="SAF26" s="146"/>
      <c r="SAG26" s="146"/>
      <c r="SAH26" s="146"/>
      <c r="SAI26" s="146"/>
      <c r="SAJ26" s="146"/>
      <c r="SAK26" s="146"/>
      <c r="SAL26" s="146"/>
      <c r="SAM26" s="146"/>
      <c r="SAN26" s="146"/>
      <c r="SAO26" s="146"/>
      <c r="SAP26" s="146"/>
      <c r="SAQ26" s="146"/>
      <c r="SAR26" s="146"/>
      <c r="SAS26" s="146"/>
      <c r="SAT26" s="146"/>
      <c r="SAU26" s="146"/>
      <c r="SAV26" s="146"/>
      <c r="SAW26" s="146"/>
      <c r="SAX26" s="146"/>
      <c r="SAY26" s="146"/>
      <c r="SAZ26" s="146"/>
      <c r="SBA26" s="146"/>
      <c r="SBB26" s="146"/>
      <c r="SBC26" s="146"/>
      <c r="SBD26" s="146"/>
      <c r="SBE26" s="146"/>
      <c r="SBF26" s="146"/>
      <c r="SBG26" s="146"/>
      <c r="SBH26" s="146"/>
      <c r="SBI26" s="146"/>
      <c r="SBJ26" s="146"/>
      <c r="SBK26" s="146"/>
      <c r="SBL26" s="146"/>
      <c r="SBM26" s="146"/>
      <c r="SBN26" s="146"/>
      <c r="SBO26" s="146"/>
      <c r="SBP26" s="146"/>
      <c r="SBQ26" s="146"/>
      <c r="SBR26" s="146"/>
      <c r="SBS26" s="146"/>
      <c r="SBT26" s="146"/>
      <c r="SBU26" s="146"/>
      <c r="SBV26" s="146"/>
      <c r="SBW26" s="146"/>
      <c r="SBX26" s="146"/>
      <c r="SBY26" s="146"/>
      <c r="SBZ26" s="146"/>
      <c r="SCA26" s="146"/>
      <c r="SCB26" s="146"/>
      <c r="SCC26" s="146"/>
      <c r="SCD26" s="146"/>
      <c r="SCE26" s="146"/>
      <c r="SCF26" s="146"/>
      <c r="SCG26" s="146"/>
      <c r="SCH26" s="146"/>
      <c r="SCI26" s="146"/>
      <c r="SCJ26" s="146"/>
      <c r="SCK26" s="146"/>
      <c r="SCL26" s="146"/>
      <c r="SCM26" s="146"/>
      <c r="SCN26" s="146"/>
      <c r="SCO26" s="146"/>
      <c r="SCP26" s="146"/>
      <c r="SCQ26" s="146"/>
      <c r="SCR26" s="146"/>
      <c r="SCS26" s="146"/>
      <c r="SCT26" s="146"/>
      <c r="SCU26" s="146"/>
      <c r="SCV26" s="146"/>
      <c r="SCW26" s="146"/>
      <c r="SCX26" s="146"/>
      <c r="SCY26" s="146"/>
      <c r="SCZ26" s="146"/>
      <c r="SDA26" s="146"/>
      <c r="SDB26" s="146"/>
      <c r="SDC26" s="146"/>
      <c r="SDD26" s="146"/>
      <c r="SDE26" s="146"/>
      <c r="SDF26" s="146"/>
      <c r="SDG26" s="146"/>
      <c r="SDH26" s="146"/>
      <c r="SDI26" s="146"/>
      <c r="SDJ26" s="146"/>
      <c r="SDK26" s="146"/>
      <c r="SDL26" s="146"/>
      <c r="SDM26" s="146"/>
      <c r="SDN26" s="146"/>
      <c r="SDO26" s="146"/>
      <c r="SDP26" s="146"/>
      <c r="SDQ26" s="146"/>
      <c r="SDR26" s="146"/>
      <c r="SDS26" s="146"/>
      <c r="SDT26" s="146"/>
      <c r="SDU26" s="146"/>
      <c r="SDV26" s="146"/>
      <c r="SDW26" s="146"/>
      <c r="SDX26" s="146"/>
      <c r="SDY26" s="146"/>
      <c r="SDZ26" s="146"/>
      <c r="SEA26" s="146"/>
      <c r="SEB26" s="146"/>
      <c r="SEC26" s="146"/>
      <c r="SED26" s="146"/>
      <c r="SEE26" s="146"/>
      <c r="SEF26" s="146"/>
      <c r="SEG26" s="146"/>
      <c r="SEH26" s="146"/>
      <c r="SEI26" s="146"/>
      <c r="SEJ26" s="146"/>
      <c r="SEK26" s="146"/>
      <c r="SEL26" s="146"/>
      <c r="SEM26" s="146"/>
      <c r="SEN26" s="146"/>
      <c r="SEO26" s="146"/>
      <c r="SEP26" s="146"/>
      <c r="SEQ26" s="146"/>
      <c r="SER26" s="146"/>
      <c r="SES26" s="146"/>
      <c r="SET26" s="146"/>
      <c r="SEU26" s="146"/>
      <c r="SEV26" s="146"/>
      <c r="SEW26" s="146"/>
      <c r="SEX26" s="146"/>
      <c r="SEY26" s="146"/>
      <c r="SEZ26" s="146"/>
      <c r="SFA26" s="146"/>
      <c r="SFB26" s="146"/>
      <c r="SFC26" s="146"/>
      <c r="SFD26" s="146"/>
      <c r="SFE26" s="146"/>
      <c r="SFF26" s="146"/>
      <c r="SFG26" s="146"/>
      <c r="SFH26" s="146"/>
      <c r="SFI26" s="146"/>
      <c r="SFJ26" s="146"/>
      <c r="SFK26" s="146"/>
      <c r="SFL26" s="146"/>
      <c r="SFM26" s="146"/>
      <c r="SFN26" s="146"/>
      <c r="SFO26" s="146"/>
      <c r="SFP26" s="146"/>
      <c r="SFQ26" s="146"/>
      <c r="SFR26" s="146"/>
      <c r="SFS26" s="146"/>
      <c r="SFT26" s="146"/>
      <c r="SFU26" s="146"/>
      <c r="SFV26" s="146"/>
      <c r="SFW26" s="146"/>
      <c r="SFX26" s="146"/>
      <c r="SFY26" s="146"/>
      <c r="SFZ26" s="146"/>
      <c r="SGA26" s="146"/>
      <c r="SGB26" s="146"/>
      <c r="SGC26" s="146"/>
      <c r="SGD26" s="146"/>
      <c r="SGE26" s="146"/>
      <c r="SGF26" s="146"/>
      <c r="SGG26" s="146"/>
      <c r="SGH26" s="146"/>
      <c r="SGI26" s="146"/>
      <c r="SGJ26" s="146"/>
      <c r="SGK26" s="146"/>
      <c r="SGL26" s="146"/>
      <c r="SGM26" s="146"/>
      <c r="SGN26" s="146"/>
      <c r="SGO26" s="146"/>
      <c r="SGP26" s="146"/>
      <c r="SGQ26" s="146"/>
      <c r="SGR26" s="146"/>
      <c r="SGS26" s="146"/>
      <c r="SGT26" s="146"/>
      <c r="SGU26" s="146"/>
      <c r="SGV26" s="146"/>
      <c r="SGW26" s="146"/>
      <c r="SGX26" s="146"/>
      <c r="SGY26" s="146"/>
      <c r="SGZ26" s="146"/>
      <c r="SHA26" s="146"/>
      <c r="SHB26" s="146"/>
      <c r="SHC26" s="146"/>
      <c r="SHD26" s="146"/>
      <c r="SHE26" s="146"/>
      <c r="SHF26" s="146"/>
      <c r="SHG26" s="146"/>
      <c r="SHH26" s="146"/>
      <c r="SHI26" s="146"/>
      <c r="SHJ26" s="146"/>
      <c r="SHK26" s="146"/>
      <c r="SHL26" s="146"/>
      <c r="SHM26" s="146"/>
      <c r="SHN26" s="146"/>
      <c r="SHO26" s="146"/>
      <c r="SHP26" s="146"/>
      <c r="SHQ26" s="146"/>
      <c r="SHR26" s="146"/>
      <c r="SHS26" s="146"/>
      <c r="SHT26" s="146"/>
      <c r="SHU26" s="146"/>
      <c r="SHV26" s="146"/>
      <c r="SHW26" s="146"/>
      <c r="SHX26" s="146"/>
      <c r="SHY26" s="146"/>
      <c r="SHZ26" s="146"/>
      <c r="SIA26" s="146"/>
      <c r="SIB26" s="146"/>
      <c r="SIC26" s="146"/>
      <c r="SID26" s="146"/>
      <c r="SIE26" s="146"/>
      <c r="SIF26" s="146"/>
      <c r="SIG26" s="146"/>
      <c r="SIH26" s="146"/>
      <c r="SII26" s="146"/>
      <c r="SIJ26" s="146"/>
      <c r="SIK26" s="146"/>
      <c r="SIL26" s="146"/>
      <c r="SIM26" s="146"/>
      <c r="SIN26" s="146"/>
      <c r="SIO26" s="146"/>
      <c r="SIP26" s="146"/>
      <c r="SIQ26" s="146"/>
      <c r="SIR26" s="146"/>
      <c r="SIS26" s="146"/>
      <c r="SIT26" s="146"/>
      <c r="SIU26" s="146"/>
      <c r="SIV26" s="146"/>
      <c r="SIW26" s="146"/>
      <c r="SIX26" s="146"/>
      <c r="SIY26" s="146"/>
      <c r="SIZ26" s="146"/>
      <c r="SJA26" s="146"/>
      <c r="SJB26" s="146"/>
      <c r="SJC26" s="146"/>
      <c r="SJD26" s="146"/>
      <c r="SJE26" s="146"/>
      <c r="SJF26" s="146"/>
      <c r="SJG26" s="146"/>
      <c r="SJH26" s="146"/>
      <c r="SJI26" s="146"/>
      <c r="SJJ26" s="146"/>
      <c r="SJK26" s="146"/>
      <c r="SJL26" s="146"/>
      <c r="SJM26" s="146"/>
      <c r="SJN26" s="146"/>
      <c r="SJO26" s="146"/>
      <c r="SJP26" s="146"/>
      <c r="SJQ26" s="146"/>
      <c r="SJR26" s="146"/>
      <c r="SJS26" s="146"/>
      <c r="SJT26" s="146"/>
      <c r="SJU26" s="146"/>
      <c r="SJV26" s="146"/>
      <c r="SJW26" s="146"/>
      <c r="SJX26" s="146"/>
      <c r="SJY26" s="146"/>
      <c r="SJZ26" s="146"/>
      <c r="SKA26" s="146"/>
      <c r="SKB26" s="146"/>
      <c r="SKC26" s="146"/>
      <c r="SKD26" s="146"/>
      <c r="SKE26" s="146"/>
      <c r="SKF26" s="146"/>
      <c r="SKG26" s="146"/>
      <c r="SKH26" s="146"/>
      <c r="SKI26" s="146"/>
      <c r="SKJ26" s="146"/>
      <c r="SKK26" s="146"/>
      <c r="SKL26" s="146"/>
      <c r="SKM26" s="146"/>
      <c r="SKN26" s="146"/>
      <c r="SKO26" s="146"/>
      <c r="SKP26" s="146"/>
      <c r="SKQ26" s="146"/>
      <c r="SKR26" s="146"/>
      <c r="SKS26" s="146"/>
      <c r="SKT26" s="146"/>
      <c r="SKU26" s="146"/>
      <c r="SKV26" s="146"/>
      <c r="SKW26" s="146"/>
      <c r="SKX26" s="146"/>
      <c r="SKY26" s="146"/>
      <c r="SKZ26" s="146"/>
      <c r="SLA26" s="146"/>
      <c r="SLB26" s="146"/>
      <c r="SLC26" s="146"/>
      <c r="SLD26" s="146"/>
      <c r="SLE26" s="146"/>
      <c r="SLF26" s="146"/>
      <c r="SLG26" s="146"/>
      <c r="SLH26" s="146"/>
      <c r="SLI26" s="146"/>
      <c r="SLJ26" s="146"/>
      <c r="SLK26" s="146"/>
      <c r="SLL26" s="146"/>
      <c r="SLM26" s="146"/>
      <c r="SLN26" s="146"/>
      <c r="SLO26" s="146"/>
      <c r="SLP26" s="146"/>
      <c r="SLQ26" s="146"/>
      <c r="SLR26" s="146"/>
      <c r="SLS26" s="146"/>
      <c r="SLT26" s="146"/>
      <c r="SLU26" s="146"/>
      <c r="SLV26" s="146"/>
      <c r="SLW26" s="146"/>
      <c r="SLX26" s="146"/>
      <c r="SLY26" s="146"/>
      <c r="SLZ26" s="146"/>
      <c r="SMA26" s="146"/>
      <c r="SMB26" s="146"/>
      <c r="SMC26" s="146"/>
      <c r="SMD26" s="146"/>
      <c r="SME26" s="146"/>
      <c r="SMF26" s="146"/>
      <c r="SMG26" s="146"/>
      <c r="SMH26" s="146"/>
      <c r="SMI26" s="146"/>
      <c r="SMJ26" s="146"/>
      <c r="SMK26" s="146"/>
      <c r="SML26" s="146"/>
      <c r="SMM26" s="146"/>
      <c r="SMN26" s="146"/>
      <c r="SMO26" s="146"/>
      <c r="SMP26" s="146"/>
      <c r="SMQ26" s="146"/>
      <c r="SMR26" s="146"/>
      <c r="SMS26" s="146"/>
      <c r="SMT26" s="146"/>
      <c r="SMU26" s="146"/>
      <c r="SMV26" s="146"/>
      <c r="SMW26" s="146"/>
      <c r="SMX26" s="146"/>
      <c r="SMY26" s="146"/>
      <c r="SMZ26" s="146"/>
      <c r="SNA26" s="146"/>
      <c r="SNB26" s="146"/>
      <c r="SNC26" s="146"/>
      <c r="SND26" s="146"/>
      <c r="SNE26" s="146"/>
      <c r="SNF26" s="146"/>
      <c r="SNG26" s="146"/>
      <c r="SNH26" s="146"/>
      <c r="SNI26" s="146"/>
      <c r="SNJ26" s="146"/>
      <c r="SNK26" s="146"/>
      <c r="SNL26" s="146"/>
      <c r="SNM26" s="146"/>
      <c r="SNN26" s="146"/>
      <c r="SNO26" s="146"/>
      <c r="SNP26" s="146"/>
      <c r="SNQ26" s="146"/>
      <c r="SNR26" s="146"/>
      <c r="SNS26" s="146"/>
      <c r="SNT26" s="146"/>
      <c r="SNU26" s="146"/>
      <c r="SNV26" s="146"/>
      <c r="SNW26" s="146"/>
      <c r="SNX26" s="146"/>
      <c r="SNY26" s="146"/>
      <c r="SNZ26" s="146"/>
      <c r="SOA26" s="146"/>
      <c r="SOB26" s="146"/>
      <c r="SOC26" s="146"/>
      <c r="SOD26" s="146"/>
      <c r="SOE26" s="146"/>
      <c r="SOF26" s="146"/>
      <c r="SOG26" s="146"/>
      <c r="SOH26" s="146"/>
      <c r="SOI26" s="146"/>
      <c r="SOJ26" s="146"/>
      <c r="SOK26" s="146"/>
      <c r="SOL26" s="146"/>
      <c r="SOM26" s="146"/>
      <c r="SON26" s="146"/>
      <c r="SOO26" s="146"/>
      <c r="SOP26" s="146"/>
      <c r="SOQ26" s="146"/>
      <c r="SOR26" s="146"/>
      <c r="SOS26" s="146"/>
      <c r="SOT26" s="146"/>
      <c r="SOU26" s="146"/>
      <c r="SOV26" s="146"/>
      <c r="SOW26" s="146"/>
      <c r="SOX26" s="146"/>
      <c r="SOY26" s="146"/>
      <c r="SOZ26" s="146"/>
      <c r="SPA26" s="146"/>
      <c r="SPB26" s="146"/>
      <c r="SPC26" s="146"/>
      <c r="SPD26" s="146"/>
      <c r="SPE26" s="146"/>
      <c r="SPF26" s="146"/>
      <c r="SPG26" s="146"/>
      <c r="SPH26" s="146"/>
      <c r="SPI26" s="146"/>
      <c r="SPJ26" s="146"/>
      <c r="SPK26" s="146"/>
      <c r="SPL26" s="146"/>
      <c r="SPM26" s="146"/>
      <c r="SPN26" s="146"/>
      <c r="SPO26" s="146"/>
      <c r="SPP26" s="146"/>
      <c r="SPQ26" s="146"/>
      <c r="SPR26" s="146"/>
      <c r="SPS26" s="146"/>
      <c r="SPT26" s="146"/>
      <c r="SPU26" s="146"/>
      <c r="SPV26" s="146"/>
      <c r="SPW26" s="146"/>
      <c r="SPX26" s="146"/>
      <c r="SPY26" s="146"/>
      <c r="SPZ26" s="146"/>
      <c r="SQA26" s="146"/>
      <c r="SQB26" s="146"/>
      <c r="SQC26" s="146"/>
      <c r="SQD26" s="146"/>
      <c r="SQE26" s="146"/>
      <c r="SQF26" s="146"/>
      <c r="SQG26" s="146"/>
      <c r="SQH26" s="146"/>
      <c r="SQI26" s="146"/>
      <c r="SQJ26" s="146"/>
      <c r="SQK26" s="146"/>
      <c r="SQL26" s="146"/>
      <c r="SQM26" s="146"/>
      <c r="SQN26" s="146"/>
      <c r="SQO26" s="146"/>
      <c r="SQP26" s="146"/>
      <c r="SQQ26" s="146"/>
      <c r="SQR26" s="146"/>
      <c r="SQS26" s="146"/>
      <c r="SQT26" s="146"/>
      <c r="SQU26" s="146"/>
      <c r="SQV26" s="146"/>
      <c r="SQW26" s="146"/>
      <c r="SQX26" s="146"/>
      <c r="SQY26" s="146"/>
      <c r="SQZ26" s="146"/>
      <c r="SRA26" s="146"/>
      <c r="SRB26" s="146"/>
      <c r="SRC26" s="146"/>
      <c r="SRD26" s="146"/>
      <c r="SRE26" s="146"/>
      <c r="SRF26" s="146"/>
      <c r="SRG26" s="146"/>
      <c r="SRH26" s="146"/>
      <c r="SRI26" s="146"/>
      <c r="SRJ26" s="146"/>
      <c r="SRK26" s="146"/>
      <c r="SRL26" s="146"/>
      <c r="SRM26" s="146"/>
      <c r="SRN26" s="146"/>
      <c r="SRO26" s="146"/>
      <c r="SRP26" s="146"/>
      <c r="SRQ26" s="146"/>
      <c r="SRR26" s="146"/>
      <c r="SRS26" s="146"/>
      <c r="SRT26" s="146"/>
      <c r="SRU26" s="146"/>
      <c r="SRV26" s="146"/>
      <c r="SRW26" s="146"/>
      <c r="SRX26" s="146"/>
      <c r="SRY26" s="146"/>
      <c r="SRZ26" s="146"/>
      <c r="SSA26" s="146"/>
      <c r="SSB26" s="146"/>
      <c r="SSC26" s="146"/>
      <c r="SSD26" s="146"/>
      <c r="SSE26" s="146"/>
      <c r="SSF26" s="146"/>
      <c r="SSG26" s="146"/>
      <c r="SSH26" s="146"/>
      <c r="SSI26" s="146"/>
      <c r="SSJ26" s="146"/>
      <c r="SSK26" s="146"/>
      <c r="SSL26" s="146"/>
      <c r="SSM26" s="146"/>
      <c r="SSN26" s="146"/>
      <c r="SSO26" s="146"/>
      <c r="SSP26" s="146"/>
      <c r="SSQ26" s="146"/>
      <c r="SSR26" s="146"/>
      <c r="SSS26" s="146"/>
      <c r="SST26" s="146"/>
      <c r="SSU26" s="146"/>
      <c r="SSV26" s="146"/>
      <c r="SSW26" s="146"/>
      <c r="SSX26" s="146"/>
      <c r="SSY26" s="146"/>
      <c r="SSZ26" s="146"/>
      <c r="STA26" s="146"/>
      <c r="STB26" s="146"/>
      <c r="STC26" s="146"/>
      <c r="STD26" s="146"/>
      <c r="STE26" s="146"/>
      <c r="STF26" s="146"/>
      <c r="STG26" s="146"/>
      <c r="STH26" s="146"/>
      <c r="STI26" s="146"/>
      <c r="STJ26" s="146"/>
      <c r="STK26" s="146"/>
      <c r="STL26" s="146"/>
      <c r="STM26" s="146"/>
      <c r="STN26" s="146"/>
      <c r="STO26" s="146"/>
      <c r="STP26" s="146"/>
      <c r="STQ26" s="146"/>
      <c r="STR26" s="146"/>
      <c r="STS26" s="146"/>
      <c r="STT26" s="146"/>
      <c r="STU26" s="146"/>
      <c r="STV26" s="146"/>
      <c r="STW26" s="146"/>
      <c r="STX26" s="146"/>
      <c r="STY26" s="146"/>
      <c r="STZ26" s="146"/>
      <c r="SUA26" s="146"/>
      <c r="SUB26" s="146"/>
      <c r="SUC26" s="146"/>
      <c r="SUD26" s="146"/>
      <c r="SUE26" s="146"/>
      <c r="SUF26" s="146"/>
      <c r="SUG26" s="146"/>
      <c r="SUH26" s="146"/>
      <c r="SUI26" s="146"/>
      <c r="SUJ26" s="146"/>
      <c r="SUK26" s="146"/>
      <c r="SUL26" s="146"/>
      <c r="SUM26" s="146"/>
      <c r="SUN26" s="146"/>
      <c r="SUO26" s="146"/>
      <c r="SUP26" s="146"/>
      <c r="SUQ26" s="146"/>
      <c r="SUR26" s="146"/>
      <c r="SUS26" s="146"/>
      <c r="SUT26" s="146"/>
      <c r="SUU26" s="146"/>
      <c r="SUV26" s="146"/>
      <c r="SUW26" s="146"/>
      <c r="SUX26" s="146"/>
      <c r="SUY26" s="146"/>
      <c r="SUZ26" s="146"/>
      <c r="SVA26" s="146"/>
      <c r="SVB26" s="146"/>
      <c r="SVC26" s="146"/>
      <c r="SVD26" s="146"/>
      <c r="SVE26" s="146"/>
      <c r="SVF26" s="146"/>
      <c r="SVG26" s="146"/>
      <c r="SVH26" s="146"/>
      <c r="SVI26" s="146"/>
      <c r="SVJ26" s="146"/>
      <c r="SVK26" s="146"/>
      <c r="SVL26" s="146"/>
      <c r="SVM26" s="146"/>
      <c r="SVN26" s="146"/>
      <c r="SVO26" s="146"/>
      <c r="SVP26" s="146"/>
      <c r="SVQ26" s="146"/>
      <c r="SVR26" s="146"/>
      <c r="SVS26" s="146"/>
      <c r="SVT26" s="146"/>
      <c r="SVU26" s="146"/>
      <c r="SVV26" s="146"/>
      <c r="SVW26" s="146"/>
      <c r="SVX26" s="146"/>
      <c r="SVY26" s="146"/>
      <c r="SVZ26" s="146"/>
      <c r="SWA26" s="146"/>
      <c r="SWB26" s="146"/>
      <c r="SWC26" s="146"/>
      <c r="SWD26" s="146"/>
      <c r="SWE26" s="146"/>
      <c r="SWF26" s="146"/>
      <c r="SWG26" s="146"/>
      <c r="SWH26" s="146"/>
      <c r="SWI26" s="146"/>
      <c r="SWJ26" s="146"/>
      <c r="SWK26" s="146"/>
      <c r="SWL26" s="146"/>
      <c r="SWM26" s="146"/>
      <c r="SWN26" s="146"/>
      <c r="SWO26" s="146"/>
      <c r="SWP26" s="146"/>
      <c r="SWQ26" s="146"/>
      <c r="SWR26" s="146"/>
      <c r="SWS26" s="146"/>
      <c r="SWT26" s="146"/>
      <c r="SWU26" s="146"/>
      <c r="SWV26" s="146"/>
      <c r="SWW26" s="146"/>
      <c r="SWX26" s="146"/>
      <c r="SWY26" s="146"/>
      <c r="SWZ26" s="146"/>
      <c r="SXA26" s="146"/>
      <c r="SXB26" s="146"/>
      <c r="SXC26" s="146"/>
      <c r="SXD26" s="146"/>
      <c r="SXE26" s="146"/>
      <c r="SXF26" s="146"/>
      <c r="SXG26" s="146"/>
      <c r="SXH26" s="146"/>
      <c r="SXI26" s="146"/>
      <c r="SXJ26" s="146"/>
      <c r="SXK26" s="146"/>
      <c r="SXL26" s="146"/>
      <c r="SXM26" s="146"/>
      <c r="SXN26" s="146"/>
      <c r="SXO26" s="146"/>
      <c r="SXP26" s="146"/>
      <c r="SXQ26" s="146"/>
      <c r="SXR26" s="146"/>
      <c r="SXS26" s="146"/>
      <c r="SXT26" s="146"/>
      <c r="SXU26" s="146"/>
      <c r="SXV26" s="146"/>
      <c r="SXW26" s="146"/>
      <c r="SXX26" s="146"/>
      <c r="SXY26" s="146"/>
      <c r="SXZ26" s="146"/>
      <c r="SYA26" s="146"/>
      <c r="SYB26" s="146"/>
      <c r="SYC26" s="146"/>
      <c r="SYD26" s="146"/>
      <c r="SYE26" s="146"/>
      <c r="SYF26" s="146"/>
      <c r="SYG26" s="146"/>
      <c r="SYH26" s="146"/>
      <c r="SYI26" s="146"/>
      <c r="SYJ26" s="146"/>
      <c r="SYK26" s="146"/>
      <c r="SYL26" s="146"/>
      <c r="SYM26" s="146"/>
      <c r="SYN26" s="146"/>
      <c r="SYO26" s="146"/>
      <c r="SYP26" s="146"/>
      <c r="SYQ26" s="146"/>
      <c r="SYR26" s="146"/>
      <c r="SYS26" s="146"/>
      <c r="SYT26" s="146"/>
      <c r="SYU26" s="146"/>
      <c r="SYV26" s="146"/>
      <c r="SYW26" s="146"/>
      <c r="SYX26" s="146"/>
      <c r="SYY26" s="146"/>
      <c r="SYZ26" s="146"/>
      <c r="SZA26" s="146"/>
      <c r="SZB26" s="146"/>
      <c r="SZC26" s="146"/>
      <c r="SZD26" s="146"/>
      <c r="SZE26" s="146"/>
      <c r="SZF26" s="146"/>
      <c r="SZG26" s="146"/>
      <c r="SZH26" s="146"/>
      <c r="SZI26" s="146"/>
      <c r="SZJ26" s="146"/>
      <c r="SZK26" s="146"/>
      <c r="SZL26" s="146"/>
      <c r="SZM26" s="146"/>
      <c r="SZN26" s="146"/>
      <c r="SZO26" s="146"/>
      <c r="SZP26" s="146"/>
      <c r="SZQ26" s="146"/>
      <c r="SZR26" s="146"/>
      <c r="SZS26" s="146"/>
      <c r="SZT26" s="146"/>
      <c r="SZU26" s="146"/>
      <c r="SZV26" s="146"/>
      <c r="SZW26" s="146"/>
      <c r="SZX26" s="146"/>
      <c r="SZY26" s="146"/>
      <c r="SZZ26" s="146"/>
      <c r="TAA26" s="146"/>
      <c r="TAB26" s="146"/>
      <c r="TAC26" s="146"/>
      <c r="TAD26" s="146"/>
      <c r="TAE26" s="146"/>
      <c r="TAF26" s="146"/>
      <c r="TAG26" s="146"/>
      <c r="TAH26" s="146"/>
      <c r="TAI26" s="146"/>
      <c r="TAJ26" s="146"/>
      <c r="TAK26" s="146"/>
      <c r="TAL26" s="146"/>
      <c r="TAM26" s="146"/>
      <c r="TAN26" s="146"/>
      <c r="TAO26" s="146"/>
      <c r="TAP26" s="146"/>
      <c r="TAQ26" s="146"/>
      <c r="TAR26" s="146"/>
      <c r="TAS26" s="146"/>
      <c r="TAT26" s="146"/>
      <c r="TAU26" s="146"/>
      <c r="TAV26" s="146"/>
      <c r="TAW26" s="146"/>
      <c r="TAX26" s="146"/>
      <c r="TAY26" s="146"/>
      <c r="TAZ26" s="146"/>
      <c r="TBA26" s="146"/>
      <c r="TBB26" s="146"/>
      <c r="TBC26" s="146"/>
      <c r="TBD26" s="146"/>
      <c r="TBE26" s="146"/>
      <c r="TBF26" s="146"/>
      <c r="TBG26" s="146"/>
      <c r="TBH26" s="146"/>
      <c r="TBI26" s="146"/>
      <c r="TBJ26" s="146"/>
      <c r="TBK26" s="146"/>
      <c r="TBL26" s="146"/>
      <c r="TBM26" s="146"/>
      <c r="TBN26" s="146"/>
      <c r="TBO26" s="146"/>
      <c r="TBP26" s="146"/>
      <c r="TBQ26" s="146"/>
      <c r="TBR26" s="146"/>
      <c r="TBS26" s="146"/>
      <c r="TBT26" s="146"/>
      <c r="TBU26" s="146"/>
      <c r="TBV26" s="146"/>
      <c r="TBW26" s="146"/>
      <c r="TBX26" s="146"/>
      <c r="TBY26" s="146"/>
      <c r="TBZ26" s="146"/>
      <c r="TCA26" s="146"/>
      <c r="TCB26" s="146"/>
      <c r="TCC26" s="146"/>
      <c r="TCD26" s="146"/>
      <c r="TCE26" s="146"/>
      <c r="TCF26" s="146"/>
      <c r="TCG26" s="146"/>
      <c r="TCH26" s="146"/>
      <c r="TCI26" s="146"/>
      <c r="TCJ26" s="146"/>
      <c r="TCK26" s="146"/>
      <c r="TCL26" s="146"/>
      <c r="TCM26" s="146"/>
      <c r="TCN26" s="146"/>
      <c r="TCO26" s="146"/>
      <c r="TCP26" s="146"/>
      <c r="TCQ26" s="146"/>
      <c r="TCR26" s="146"/>
      <c r="TCS26" s="146"/>
      <c r="TCT26" s="146"/>
      <c r="TCU26" s="146"/>
      <c r="TCV26" s="146"/>
      <c r="TCW26" s="146"/>
      <c r="TCX26" s="146"/>
      <c r="TCY26" s="146"/>
      <c r="TCZ26" s="146"/>
      <c r="TDA26" s="146"/>
      <c r="TDB26" s="146"/>
      <c r="TDC26" s="146"/>
      <c r="TDD26" s="146"/>
      <c r="TDE26" s="146"/>
      <c r="TDF26" s="146"/>
      <c r="TDG26" s="146"/>
      <c r="TDH26" s="146"/>
      <c r="TDI26" s="146"/>
      <c r="TDJ26" s="146"/>
      <c r="TDK26" s="146"/>
      <c r="TDL26" s="146"/>
      <c r="TDM26" s="146"/>
      <c r="TDN26" s="146"/>
      <c r="TDO26" s="146"/>
      <c r="TDP26" s="146"/>
      <c r="TDQ26" s="146"/>
      <c r="TDR26" s="146"/>
      <c r="TDS26" s="146"/>
      <c r="TDT26" s="146"/>
      <c r="TDU26" s="146"/>
      <c r="TDV26" s="146"/>
      <c r="TDW26" s="146"/>
      <c r="TDX26" s="146"/>
      <c r="TDY26" s="146"/>
      <c r="TDZ26" s="146"/>
      <c r="TEA26" s="146"/>
      <c r="TEB26" s="146"/>
      <c r="TEC26" s="146"/>
      <c r="TED26" s="146"/>
      <c r="TEE26" s="146"/>
      <c r="TEF26" s="146"/>
      <c r="TEG26" s="146"/>
      <c r="TEH26" s="146"/>
      <c r="TEI26" s="146"/>
      <c r="TEJ26" s="146"/>
      <c r="TEK26" s="146"/>
      <c r="TEL26" s="146"/>
      <c r="TEM26" s="146"/>
      <c r="TEN26" s="146"/>
      <c r="TEO26" s="146"/>
      <c r="TEP26" s="146"/>
      <c r="TEQ26" s="146"/>
      <c r="TER26" s="146"/>
      <c r="TES26" s="146"/>
      <c r="TET26" s="146"/>
      <c r="TEU26" s="146"/>
      <c r="TEV26" s="146"/>
      <c r="TEW26" s="146"/>
      <c r="TEX26" s="146"/>
      <c r="TEY26" s="146"/>
      <c r="TEZ26" s="146"/>
      <c r="TFA26" s="146"/>
      <c r="TFB26" s="146"/>
      <c r="TFC26" s="146"/>
      <c r="TFD26" s="146"/>
      <c r="TFE26" s="146"/>
      <c r="TFF26" s="146"/>
      <c r="TFG26" s="146"/>
      <c r="TFH26" s="146"/>
      <c r="TFI26" s="146"/>
      <c r="TFJ26" s="146"/>
      <c r="TFK26" s="146"/>
      <c r="TFL26" s="146"/>
      <c r="TFM26" s="146"/>
      <c r="TFN26" s="146"/>
      <c r="TFO26" s="146"/>
      <c r="TFP26" s="146"/>
      <c r="TFQ26" s="146"/>
      <c r="TFR26" s="146"/>
      <c r="TFS26" s="146"/>
      <c r="TFT26" s="146"/>
      <c r="TFU26" s="146"/>
      <c r="TFV26" s="146"/>
      <c r="TFW26" s="146"/>
      <c r="TFX26" s="146"/>
      <c r="TFY26" s="146"/>
      <c r="TFZ26" s="146"/>
      <c r="TGA26" s="146"/>
      <c r="TGB26" s="146"/>
      <c r="TGC26" s="146"/>
      <c r="TGD26" s="146"/>
      <c r="TGE26" s="146"/>
      <c r="TGF26" s="146"/>
      <c r="TGG26" s="146"/>
      <c r="TGH26" s="146"/>
      <c r="TGI26" s="146"/>
      <c r="TGJ26" s="146"/>
      <c r="TGK26" s="146"/>
      <c r="TGL26" s="146"/>
      <c r="TGM26" s="146"/>
      <c r="TGN26" s="146"/>
      <c r="TGO26" s="146"/>
      <c r="TGP26" s="146"/>
      <c r="TGQ26" s="146"/>
      <c r="TGR26" s="146"/>
      <c r="TGS26" s="146"/>
      <c r="TGT26" s="146"/>
      <c r="TGU26" s="146"/>
      <c r="TGV26" s="146"/>
      <c r="TGW26" s="146"/>
      <c r="TGX26" s="146"/>
      <c r="TGY26" s="146"/>
      <c r="TGZ26" s="146"/>
      <c r="THA26" s="146"/>
      <c r="THB26" s="146"/>
      <c r="THC26" s="146"/>
      <c r="THD26" s="146"/>
      <c r="THE26" s="146"/>
      <c r="THF26" s="146"/>
      <c r="THG26" s="146"/>
      <c r="THH26" s="146"/>
      <c r="THI26" s="146"/>
      <c r="THJ26" s="146"/>
      <c r="THK26" s="146"/>
      <c r="THL26" s="146"/>
      <c r="THM26" s="146"/>
      <c r="THN26" s="146"/>
      <c r="THO26" s="146"/>
      <c r="THP26" s="146"/>
      <c r="THQ26" s="146"/>
      <c r="THR26" s="146"/>
      <c r="THS26" s="146"/>
      <c r="THT26" s="146"/>
      <c r="THU26" s="146"/>
      <c r="THV26" s="146"/>
      <c r="THW26" s="146"/>
      <c r="THX26" s="146"/>
      <c r="THY26" s="146"/>
      <c r="THZ26" s="146"/>
      <c r="TIA26" s="146"/>
      <c r="TIB26" s="146"/>
      <c r="TIC26" s="146"/>
      <c r="TID26" s="146"/>
      <c r="TIE26" s="146"/>
      <c r="TIF26" s="146"/>
      <c r="TIG26" s="146"/>
      <c r="TIH26" s="146"/>
      <c r="TII26" s="146"/>
      <c r="TIJ26" s="146"/>
      <c r="TIK26" s="146"/>
      <c r="TIL26" s="146"/>
      <c r="TIM26" s="146"/>
      <c r="TIN26" s="146"/>
      <c r="TIO26" s="146"/>
      <c r="TIP26" s="146"/>
      <c r="TIQ26" s="146"/>
      <c r="TIR26" s="146"/>
      <c r="TIS26" s="146"/>
      <c r="TIT26" s="146"/>
      <c r="TIU26" s="146"/>
      <c r="TIV26" s="146"/>
      <c r="TIW26" s="146"/>
      <c r="TIX26" s="146"/>
      <c r="TIY26" s="146"/>
      <c r="TIZ26" s="146"/>
      <c r="TJA26" s="146"/>
      <c r="TJB26" s="146"/>
      <c r="TJC26" s="146"/>
      <c r="TJD26" s="146"/>
      <c r="TJE26" s="146"/>
      <c r="TJF26" s="146"/>
      <c r="TJG26" s="146"/>
      <c r="TJH26" s="146"/>
      <c r="TJI26" s="146"/>
      <c r="TJJ26" s="146"/>
      <c r="TJK26" s="146"/>
      <c r="TJL26" s="146"/>
      <c r="TJM26" s="146"/>
      <c r="TJN26" s="146"/>
      <c r="TJO26" s="146"/>
      <c r="TJP26" s="146"/>
      <c r="TJQ26" s="146"/>
      <c r="TJR26" s="146"/>
      <c r="TJS26" s="146"/>
      <c r="TJT26" s="146"/>
      <c r="TJU26" s="146"/>
      <c r="TJV26" s="146"/>
      <c r="TJW26" s="146"/>
      <c r="TJX26" s="146"/>
      <c r="TJY26" s="146"/>
      <c r="TJZ26" s="146"/>
      <c r="TKA26" s="146"/>
      <c r="TKB26" s="146"/>
      <c r="TKC26" s="146"/>
      <c r="TKD26" s="146"/>
      <c r="TKE26" s="146"/>
      <c r="TKF26" s="146"/>
      <c r="TKG26" s="146"/>
      <c r="TKH26" s="146"/>
      <c r="TKI26" s="146"/>
      <c r="TKJ26" s="146"/>
      <c r="TKK26" s="146"/>
      <c r="TKL26" s="146"/>
      <c r="TKM26" s="146"/>
      <c r="TKN26" s="146"/>
      <c r="TKO26" s="146"/>
      <c r="TKP26" s="146"/>
      <c r="TKQ26" s="146"/>
      <c r="TKR26" s="146"/>
      <c r="TKS26" s="146"/>
      <c r="TKT26" s="146"/>
      <c r="TKU26" s="146"/>
      <c r="TKV26" s="146"/>
      <c r="TKW26" s="146"/>
      <c r="TKX26" s="146"/>
      <c r="TKY26" s="146"/>
      <c r="TKZ26" s="146"/>
      <c r="TLA26" s="146"/>
      <c r="TLB26" s="146"/>
      <c r="TLC26" s="146"/>
      <c r="TLD26" s="146"/>
      <c r="TLE26" s="146"/>
      <c r="TLF26" s="146"/>
      <c r="TLG26" s="146"/>
      <c r="TLH26" s="146"/>
      <c r="TLI26" s="146"/>
      <c r="TLJ26" s="146"/>
      <c r="TLK26" s="146"/>
      <c r="TLL26" s="146"/>
      <c r="TLM26" s="146"/>
      <c r="TLN26" s="146"/>
      <c r="TLO26" s="146"/>
      <c r="TLP26" s="146"/>
      <c r="TLQ26" s="146"/>
      <c r="TLR26" s="146"/>
      <c r="TLS26" s="146"/>
      <c r="TLT26" s="146"/>
      <c r="TLU26" s="146"/>
      <c r="TLV26" s="146"/>
      <c r="TLW26" s="146"/>
      <c r="TLX26" s="146"/>
      <c r="TLY26" s="146"/>
      <c r="TLZ26" s="146"/>
      <c r="TMA26" s="146"/>
      <c r="TMB26" s="146"/>
      <c r="TMC26" s="146"/>
      <c r="TMD26" s="146"/>
      <c r="TME26" s="146"/>
      <c r="TMF26" s="146"/>
      <c r="TMG26" s="146"/>
      <c r="TMH26" s="146"/>
      <c r="TMI26" s="146"/>
      <c r="TMJ26" s="146"/>
      <c r="TMK26" s="146"/>
      <c r="TML26" s="146"/>
      <c r="TMM26" s="146"/>
      <c r="TMN26" s="146"/>
      <c r="TMO26" s="146"/>
      <c r="TMP26" s="146"/>
      <c r="TMQ26" s="146"/>
      <c r="TMR26" s="146"/>
      <c r="TMS26" s="146"/>
      <c r="TMT26" s="146"/>
      <c r="TMU26" s="146"/>
      <c r="TMV26" s="146"/>
      <c r="TMW26" s="146"/>
      <c r="TMX26" s="146"/>
      <c r="TMY26" s="146"/>
      <c r="TMZ26" s="146"/>
      <c r="TNA26" s="146"/>
      <c r="TNB26" s="146"/>
      <c r="TNC26" s="146"/>
      <c r="TND26" s="146"/>
      <c r="TNE26" s="146"/>
      <c r="TNF26" s="146"/>
      <c r="TNG26" s="146"/>
      <c r="TNH26" s="146"/>
      <c r="TNI26" s="146"/>
      <c r="TNJ26" s="146"/>
      <c r="TNK26" s="146"/>
      <c r="TNL26" s="146"/>
      <c r="TNM26" s="146"/>
      <c r="TNN26" s="146"/>
      <c r="TNO26" s="146"/>
      <c r="TNP26" s="146"/>
      <c r="TNQ26" s="146"/>
      <c r="TNR26" s="146"/>
      <c r="TNS26" s="146"/>
      <c r="TNT26" s="146"/>
      <c r="TNU26" s="146"/>
      <c r="TNV26" s="146"/>
      <c r="TNW26" s="146"/>
      <c r="TNX26" s="146"/>
      <c r="TNY26" s="146"/>
      <c r="TNZ26" s="146"/>
      <c r="TOA26" s="146"/>
      <c r="TOB26" s="146"/>
      <c r="TOC26" s="146"/>
      <c r="TOD26" s="146"/>
      <c r="TOE26" s="146"/>
      <c r="TOF26" s="146"/>
      <c r="TOG26" s="146"/>
      <c r="TOH26" s="146"/>
      <c r="TOI26" s="146"/>
      <c r="TOJ26" s="146"/>
      <c r="TOK26" s="146"/>
      <c r="TOL26" s="146"/>
      <c r="TOM26" s="146"/>
      <c r="TON26" s="146"/>
      <c r="TOO26" s="146"/>
      <c r="TOP26" s="146"/>
      <c r="TOQ26" s="146"/>
      <c r="TOR26" s="146"/>
      <c r="TOS26" s="146"/>
      <c r="TOT26" s="146"/>
      <c r="TOU26" s="146"/>
      <c r="TOV26" s="146"/>
      <c r="TOW26" s="146"/>
      <c r="TOX26" s="146"/>
      <c r="TOY26" s="146"/>
      <c r="TOZ26" s="146"/>
      <c r="TPA26" s="146"/>
      <c r="TPB26" s="146"/>
      <c r="TPC26" s="146"/>
      <c r="TPD26" s="146"/>
      <c r="TPE26" s="146"/>
      <c r="TPF26" s="146"/>
      <c r="TPG26" s="146"/>
      <c r="TPH26" s="146"/>
      <c r="TPI26" s="146"/>
      <c r="TPJ26" s="146"/>
      <c r="TPK26" s="146"/>
      <c r="TPL26" s="146"/>
      <c r="TPM26" s="146"/>
      <c r="TPN26" s="146"/>
      <c r="TPO26" s="146"/>
      <c r="TPP26" s="146"/>
      <c r="TPQ26" s="146"/>
      <c r="TPR26" s="146"/>
      <c r="TPS26" s="146"/>
      <c r="TPT26" s="146"/>
      <c r="TPU26" s="146"/>
      <c r="TPV26" s="146"/>
      <c r="TPW26" s="146"/>
      <c r="TPX26" s="146"/>
      <c r="TPY26" s="146"/>
      <c r="TPZ26" s="146"/>
      <c r="TQA26" s="146"/>
      <c r="TQB26" s="146"/>
      <c r="TQC26" s="146"/>
      <c r="TQD26" s="146"/>
      <c r="TQE26" s="146"/>
      <c r="TQF26" s="146"/>
      <c r="TQG26" s="146"/>
      <c r="TQH26" s="146"/>
      <c r="TQI26" s="146"/>
      <c r="TQJ26" s="146"/>
      <c r="TQK26" s="146"/>
      <c r="TQL26" s="146"/>
      <c r="TQM26" s="146"/>
      <c r="TQN26" s="146"/>
      <c r="TQO26" s="146"/>
      <c r="TQP26" s="146"/>
      <c r="TQQ26" s="146"/>
      <c r="TQR26" s="146"/>
      <c r="TQS26" s="146"/>
      <c r="TQT26" s="146"/>
      <c r="TQU26" s="146"/>
      <c r="TQV26" s="146"/>
      <c r="TQW26" s="146"/>
      <c r="TQX26" s="146"/>
      <c r="TQY26" s="146"/>
      <c r="TQZ26" s="146"/>
      <c r="TRA26" s="146"/>
      <c r="TRB26" s="146"/>
      <c r="TRC26" s="146"/>
      <c r="TRD26" s="146"/>
      <c r="TRE26" s="146"/>
      <c r="TRF26" s="146"/>
      <c r="TRG26" s="146"/>
      <c r="TRH26" s="146"/>
      <c r="TRI26" s="146"/>
      <c r="TRJ26" s="146"/>
      <c r="TRK26" s="146"/>
      <c r="TRL26" s="146"/>
      <c r="TRM26" s="146"/>
      <c r="TRN26" s="146"/>
      <c r="TRO26" s="146"/>
      <c r="TRP26" s="146"/>
      <c r="TRQ26" s="146"/>
      <c r="TRR26" s="146"/>
      <c r="TRS26" s="146"/>
      <c r="TRT26" s="146"/>
      <c r="TRU26" s="146"/>
      <c r="TRV26" s="146"/>
      <c r="TRW26" s="146"/>
      <c r="TRX26" s="146"/>
      <c r="TRY26" s="146"/>
      <c r="TRZ26" s="146"/>
      <c r="TSA26" s="146"/>
      <c r="TSB26" s="146"/>
      <c r="TSC26" s="146"/>
      <c r="TSD26" s="146"/>
      <c r="TSE26" s="146"/>
      <c r="TSF26" s="146"/>
      <c r="TSG26" s="146"/>
      <c r="TSH26" s="146"/>
      <c r="TSI26" s="146"/>
      <c r="TSJ26" s="146"/>
      <c r="TSK26" s="146"/>
      <c r="TSL26" s="146"/>
      <c r="TSM26" s="146"/>
      <c r="TSN26" s="146"/>
      <c r="TSO26" s="146"/>
      <c r="TSP26" s="146"/>
      <c r="TSQ26" s="146"/>
      <c r="TSR26" s="146"/>
      <c r="TSS26" s="146"/>
      <c r="TST26" s="146"/>
      <c r="TSU26" s="146"/>
      <c r="TSV26" s="146"/>
      <c r="TSW26" s="146"/>
      <c r="TSX26" s="146"/>
      <c r="TSY26" s="146"/>
      <c r="TSZ26" s="146"/>
      <c r="TTA26" s="146"/>
      <c r="TTB26" s="146"/>
      <c r="TTC26" s="146"/>
      <c r="TTD26" s="146"/>
      <c r="TTE26" s="146"/>
      <c r="TTF26" s="146"/>
      <c r="TTG26" s="146"/>
      <c r="TTH26" s="146"/>
      <c r="TTI26" s="146"/>
      <c r="TTJ26" s="146"/>
      <c r="TTK26" s="146"/>
      <c r="TTL26" s="146"/>
      <c r="TTM26" s="146"/>
      <c r="TTN26" s="146"/>
      <c r="TTO26" s="146"/>
      <c r="TTP26" s="146"/>
      <c r="TTQ26" s="146"/>
      <c r="TTR26" s="146"/>
      <c r="TTS26" s="146"/>
      <c r="TTT26" s="146"/>
      <c r="TTU26" s="146"/>
      <c r="TTV26" s="146"/>
      <c r="TTW26" s="146"/>
      <c r="TTX26" s="146"/>
      <c r="TTY26" s="146"/>
      <c r="TTZ26" s="146"/>
      <c r="TUA26" s="146"/>
      <c r="TUB26" s="146"/>
      <c r="TUC26" s="146"/>
      <c r="TUD26" s="146"/>
      <c r="TUE26" s="146"/>
      <c r="TUF26" s="146"/>
      <c r="TUG26" s="146"/>
      <c r="TUH26" s="146"/>
      <c r="TUI26" s="146"/>
      <c r="TUJ26" s="146"/>
      <c r="TUK26" s="146"/>
      <c r="TUL26" s="146"/>
      <c r="TUM26" s="146"/>
      <c r="TUN26" s="146"/>
      <c r="TUO26" s="146"/>
      <c r="TUP26" s="146"/>
      <c r="TUQ26" s="146"/>
      <c r="TUR26" s="146"/>
      <c r="TUS26" s="146"/>
      <c r="TUT26" s="146"/>
      <c r="TUU26" s="146"/>
      <c r="TUV26" s="146"/>
      <c r="TUW26" s="146"/>
      <c r="TUX26" s="146"/>
      <c r="TUY26" s="146"/>
      <c r="TUZ26" s="146"/>
      <c r="TVA26" s="146"/>
      <c r="TVB26" s="146"/>
      <c r="TVC26" s="146"/>
      <c r="TVD26" s="146"/>
      <c r="TVE26" s="146"/>
      <c r="TVF26" s="146"/>
      <c r="TVG26" s="146"/>
      <c r="TVH26" s="146"/>
      <c r="TVI26" s="146"/>
      <c r="TVJ26" s="146"/>
      <c r="TVK26" s="146"/>
      <c r="TVL26" s="146"/>
      <c r="TVM26" s="146"/>
      <c r="TVN26" s="146"/>
      <c r="TVO26" s="146"/>
      <c r="TVP26" s="146"/>
      <c r="TVQ26" s="146"/>
      <c r="TVR26" s="146"/>
      <c r="TVS26" s="146"/>
      <c r="TVT26" s="146"/>
      <c r="TVU26" s="146"/>
      <c r="TVV26" s="146"/>
      <c r="TVW26" s="146"/>
      <c r="TVX26" s="146"/>
      <c r="TVY26" s="146"/>
      <c r="TVZ26" s="146"/>
      <c r="TWA26" s="146"/>
      <c r="TWB26" s="146"/>
      <c r="TWC26" s="146"/>
      <c r="TWD26" s="146"/>
      <c r="TWE26" s="146"/>
      <c r="TWF26" s="146"/>
      <c r="TWG26" s="146"/>
      <c r="TWH26" s="146"/>
      <c r="TWI26" s="146"/>
      <c r="TWJ26" s="146"/>
      <c r="TWK26" s="146"/>
      <c r="TWL26" s="146"/>
      <c r="TWM26" s="146"/>
      <c r="TWN26" s="146"/>
      <c r="TWO26" s="146"/>
      <c r="TWP26" s="146"/>
      <c r="TWQ26" s="146"/>
      <c r="TWR26" s="146"/>
      <c r="TWS26" s="146"/>
      <c r="TWT26" s="146"/>
      <c r="TWU26" s="146"/>
      <c r="TWV26" s="146"/>
      <c r="TWW26" s="146"/>
      <c r="TWX26" s="146"/>
      <c r="TWY26" s="146"/>
      <c r="TWZ26" s="146"/>
      <c r="TXA26" s="146"/>
      <c r="TXB26" s="146"/>
      <c r="TXC26" s="146"/>
      <c r="TXD26" s="146"/>
      <c r="TXE26" s="146"/>
      <c r="TXF26" s="146"/>
      <c r="TXG26" s="146"/>
      <c r="TXH26" s="146"/>
      <c r="TXI26" s="146"/>
      <c r="TXJ26" s="146"/>
      <c r="TXK26" s="146"/>
      <c r="TXL26" s="146"/>
      <c r="TXM26" s="146"/>
      <c r="TXN26" s="146"/>
      <c r="TXO26" s="146"/>
      <c r="TXP26" s="146"/>
      <c r="TXQ26" s="146"/>
      <c r="TXR26" s="146"/>
      <c r="TXS26" s="146"/>
      <c r="TXT26" s="146"/>
      <c r="TXU26" s="146"/>
      <c r="TXV26" s="146"/>
      <c r="TXW26" s="146"/>
      <c r="TXX26" s="146"/>
      <c r="TXY26" s="146"/>
      <c r="TXZ26" s="146"/>
      <c r="TYA26" s="146"/>
      <c r="TYB26" s="146"/>
      <c r="TYC26" s="146"/>
      <c r="TYD26" s="146"/>
      <c r="TYE26" s="146"/>
      <c r="TYF26" s="146"/>
      <c r="TYG26" s="146"/>
      <c r="TYH26" s="146"/>
      <c r="TYI26" s="146"/>
      <c r="TYJ26" s="146"/>
      <c r="TYK26" s="146"/>
      <c r="TYL26" s="146"/>
      <c r="TYM26" s="146"/>
      <c r="TYN26" s="146"/>
      <c r="TYO26" s="146"/>
      <c r="TYP26" s="146"/>
      <c r="TYQ26" s="146"/>
      <c r="TYR26" s="146"/>
      <c r="TYS26" s="146"/>
      <c r="TYT26" s="146"/>
      <c r="TYU26" s="146"/>
      <c r="TYV26" s="146"/>
      <c r="TYW26" s="146"/>
      <c r="TYX26" s="146"/>
      <c r="TYY26" s="146"/>
      <c r="TYZ26" s="146"/>
      <c r="TZA26" s="146"/>
      <c r="TZB26" s="146"/>
      <c r="TZC26" s="146"/>
      <c r="TZD26" s="146"/>
      <c r="TZE26" s="146"/>
      <c r="TZF26" s="146"/>
      <c r="TZG26" s="146"/>
      <c r="TZH26" s="146"/>
      <c r="TZI26" s="146"/>
      <c r="TZJ26" s="146"/>
      <c r="TZK26" s="146"/>
      <c r="TZL26" s="146"/>
      <c r="TZM26" s="146"/>
      <c r="TZN26" s="146"/>
      <c r="TZO26" s="146"/>
      <c r="TZP26" s="146"/>
      <c r="TZQ26" s="146"/>
      <c r="TZR26" s="146"/>
      <c r="TZS26" s="146"/>
      <c r="TZT26" s="146"/>
      <c r="TZU26" s="146"/>
      <c r="TZV26" s="146"/>
      <c r="TZW26" s="146"/>
      <c r="TZX26" s="146"/>
      <c r="TZY26" s="146"/>
      <c r="TZZ26" s="146"/>
      <c r="UAA26" s="146"/>
      <c r="UAB26" s="146"/>
      <c r="UAC26" s="146"/>
      <c r="UAD26" s="146"/>
      <c r="UAE26" s="146"/>
      <c r="UAF26" s="146"/>
      <c r="UAG26" s="146"/>
      <c r="UAH26" s="146"/>
      <c r="UAI26" s="146"/>
      <c r="UAJ26" s="146"/>
      <c r="UAK26" s="146"/>
      <c r="UAL26" s="146"/>
      <c r="UAM26" s="146"/>
      <c r="UAN26" s="146"/>
      <c r="UAO26" s="146"/>
      <c r="UAP26" s="146"/>
      <c r="UAQ26" s="146"/>
      <c r="UAR26" s="146"/>
      <c r="UAS26" s="146"/>
      <c r="UAT26" s="146"/>
      <c r="UAU26" s="146"/>
      <c r="UAV26" s="146"/>
      <c r="UAW26" s="146"/>
      <c r="UAX26" s="146"/>
      <c r="UAY26" s="146"/>
      <c r="UAZ26" s="146"/>
      <c r="UBA26" s="146"/>
      <c r="UBB26" s="146"/>
      <c r="UBC26" s="146"/>
      <c r="UBD26" s="146"/>
      <c r="UBE26" s="146"/>
      <c r="UBF26" s="146"/>
      <c r="UBG26" s="146"/>
      <c r="UBH26" s="146"/>
      <c r="UBI26" s="146"/>
      <c r="UBJ26" s="146"/>
      <c r="UBK26" s="146"/>
      <c r="UBL26" s="146"/>
      <c r="UBM26" s="146"/>
      <c r="UBN26" s="146"/>
      <c r="UBO26" s="146"/>
      <c r="UBP26" s="146"/>
      <c r="UBQ26" s="146"/>
      <c r="UBR26" s="146"/>
      <c r="UBS26" s="146"/>
      <c r="UBT26" s="146"/>
      <c r="UBU26" s="146"/>
      <c r="UBV26" s="146"/>
      <c r="UBW26" s="146"/>
      <c r="UBX26" s="146"/>
      <c r="UBY26" s="146"/>
      <c r="UBZ26" s="146"/>
      <c r="UCA26" s="146"/>
      <c r="UCB26" s="146"/>
      <c r="UCC26" s="146"/>
      <c r="UCD26" s="146"/>
      <c r="UCE26" s="146"/>
      <c r="UCF26" s="146"/>
      <c r="UCG26" s="146"/>
      <c r="UCH26" s="146"/>
      <c r="UCI26" s="146"/>
      <c r="UCJ26" s="146"/>
      <c r="UCK26" s="146"/>
      <c r="UCL26" s="146"/>
      <c r="UCM26" s="146"/>
      <c r="UCN26" s="146"/>
      <c r="UCO26" s="146"/>
      <c r="UCP26" s="146"/>
      <c r="UCQ26" s="146"/>
      <c r="UCR26" s="146"/>
      <c r="UCS26" s="146"/>
      <c r="UCT26" s="146"/>
      <c r="UCU26" s="146"/>
      <c r="UCV26" s="146"/>
      <c r="UCW26" s="146"/>
      <c r="UCX26" s="146"/>
      <c r="UCY26" s="146"/>
      <c r="UCZ26" s="146"/>
      <c r="UDA26" s="146"/>
      <c r="UDB26" s="146"/>
      <c r="UDC26" s="146"/>
      <c r="UDD26" s="146"/>
      <c r="UDE26" s="146"/>
      <c r="UDF26" s="146"/>
      <c r="UDG26" s="146"/>
      <c r="UDH26" s="146"/>
      <c r="UDI26" s="146"/>
      <c r="UDJ26" s="146"/>
      <c r="UDK26" s="146"/>
      <c r="UDL26" s="146"/>
      <c r="UDM26" s="146"/>
      <c r="UDN26" s="146"/>
      <c r="UDO26" s="146"/>
      <c r="UDP26" s="146"/>
      <c r="UDQ26" s="146"/>
      <c r="UDR26" s="146"/>
      <c r="UDS26" s="146"/>
      <c r="UDT26" s="146"/>
      <c r="UDU26" s="146"/>
      <c r="UDV26" s="146"/>
      <c r="UDW26" s="146"/>
      <c r="UDX26" s="146"/>
      <c r="UDY26" s="146"/>
      <c r="UDZ26" s="146"/>
      <c r="UEA26" s="146"/>
      <c r="UEB26" s="146"/>
      <c r="UEC26" s="146"/>
      <c r="UED26" s="146"/>
      <c r="UEE26" s="146"/>
      <c r="UEF26" s="146"/>
      <c r="UEG26" s="146"/>
      <c r="UEH26" s="146"/>
      <c r="UEI26" s="146"/>
      <c r="UEJ26" s="146"/>
      <c r="UEK26" s="146"/>
      <c r="UEL26" s="146"/>
      <c r="UEM26" s="146"/>
      <c r="UEN26" s="146"/>
      <c r="UEO26" s="146"/>
      <c r="UEP26" s="146"/>
      <c r="UEQ26" s="146"/>
      <c r="UER26" s="146"/>
      <c r="UES26" s="146"/>
      <c r="UET26" s="146"/>
      <c r="UEU26" s="146"/>
      <c r="UEV26" s="146"/>
      <c r="UEW26" s="146"/>
      <c r="UEX26" s="146"/>
      <c r="UEY26" s="146"/>
      <c r="UEZ26" s="146"/>
      <c r="UFA26" s="146"/>
      <c r="UFB26" s="146"/>
      <c r="UFC26" s="146"/>
      <c r="UFD26" s="146"/>
      <c r="UFE26" s="146"/>
      <c r="UFF26" s="146"/>
      <c r="UFG26" s="146"/>
      <c r="UFH26" s="146"/>
      <c r="UFI26" s="146"/>
      <c r="UFJ26" s="146"/>
      <c r="UFK26" s="146"/>
      <c r="UFL26" s="146"/>
      <c r="UFM26" s="146"/>
      <c r="UFN26" s="146"/>
      <c r="UFO26" s="146"/>
      <c r="UFP26" s="146"/>
      <c r="UFQ26" s="146"/>
      <c r="UFR26" s="146"/>
      <c r="UFS26" s="146"/>
      <c r="UFT26" s="146"/>
      <c r="UFU26" s="146"/>
      <c r="UFV26" s="146"/>
      <c r="UFW26" s="146"/>
      <c r="UFX26" s="146"/>
      <c r="UFY26" s="146"/>
      <c r="UFZ26" s="146"/>
      <c r="UGA26" s="146"/>
      <c r="UGB26" s="146"/>
      <c r="UGC26" s="146"/>
      <c r="UGD26" s="146"/>
      <c r="UGE26" s="146"/>
      <c r="UGF26" s="146"/>
      <c r="UGG26" s="146"/>
      <c r="UGH26" s="146"/>
      <c r="UGI26" s="146"/>
      <c r="UGJ26" s="146"/>
      <c r="UGK26" s="146"/>
      <c r="UGL26" s="146"/>
      <c r="UGM26" s="146"/>
      <c r="UGN26" s="146"/>
      <c r="UGO26" s="146"/>
      <c r="UGP26" s="146"/>
      <c r="UGQ26" s="146"/>
      <c r="UGR26" s="146"/>
      <c r="UGS26" s="146"/>
      <c r="UGT26" s="146"/>
      <c r="UGU26" s="146"/>
      <c r="UGV26" s="146"/>
      <c r="UGW26" s="146"/>
      <c r="UGX26" s="146"/>
      <c r="UGY26" s="146"/>
      <c r="UGZ26" s="146"/>
      <c r="UHA26" s="146"/>
      <c r="UHB26" s="146"/>
      <c r="UHC26" s="146"/>
      <c r="UHD26" s="146"/>
      <c r="UHE26" s="146"/>
      <c r="UHF26" s="146"/>
      <c r="UHG26" s="146"/>
      <c r="UHH26" s="146"/>
      <c r="UHI26" s="146"/>
      <c r="UHJ26" s="146"/>
      <c r="UHK26" s="146"/>
      <c r="UHL26" s="146"/>
      <c r="UHM26" s="146"/>
      <c r="UHN26" s="146"/>
      <c r="UHO26" s="146"/>
      <c r="UHP26" s="146"/>
      <c r="UHQ26" s="146"/>
      <c r="UHR26" s="146"/>
      <c r="UHS26" s="146"/>
      <c r="UHT26" s="146"/>
      <c r="UHU26" s="146"/>
      <c r="UHV26" s="146"/>
      <c r="UHW26" s="146"/>
      <c r="UHX26" s="146"/>
      <c r="UHY26" s="146"/>
      <c r="UHZ26" s="146"/>
      <c r="UIA26" s="146"/>
      <c r="UIB26" s="146"/>
      <c r="UIC26" s="146"/>
      <c r="UID26" s="146"/>
      <c r="UIE26" s="146"/>
      <c r="UIF26" s="146"/>
      <c r="UIG26" s="146"/>
      <c r="UIH26" s="146"/>
      <c r="UII26" s="146"/>
      <c r="UIJ26" s="146"/>
      <c r="UIK26" s="146"/>
      <c r="UIL26" s="146"/>
      <c r="UIM26" s="146"/>
      <c r="UIN26" s="146"/>
      <c r="UIO26" s="146"/>
      <c r="UIP26" s="146"/>
      <c r="UIQ26" s="146"/>
      <c r="UIR26" s="146"/>
      <c r="UIS26" s="146"/>
      <c r="UIT26" s="146"/>
      <c r="UIU26" s="146"/>
      <c r="UIV26" s="146"/>
      <c r="UIW26" s="146"/>
      <c r="UIX26" s="146"/>
      <c r="UIY26" s="146"/>
      <c r="UIZ26" s="146"/>
      <c r="UJA26" s="146"/>
      <c r="UJB26" s="146"/>
      <c r="UJC26" s="146"/>
      <c r="UJD26" s="146"/>
      <c r="UJE26" s="146"/>
      <c r="UJF26" s="146"/>
      <c r="UJG26" s="146"/>
      <c r="UJH26" s="146"/>
      <c r="UJI26" s="146"/>
      <c r="UJJ26" s="146"/>
      <c r="UJK26" s="146"/>
      <c r="UJL26" s="146"/>
      <c r="UJM26" s="146"/>
      <c r="UJN26" s="146"/>
      <c r="UJO26" s="146"/>
      <c r="UJP26" s="146"/>
      <c r="UJQ26" s="146"/>
      <c r="UJR26" s="146"/>
      <c r="UJS26" s="146"/>
      <c r="UJT26" s="146"/>
      <c r="UJU26" s="146"/>
      <c r="UJV26" s="146"/>
      <c r="UJW26" s="146"/>
      <c r="UJX26" s="146"/>
      <c r="UJY26" s="146"/>
      <c r="UJZ26" s="146"/>
      <c r="UKA26" s="146"/>
      <c r="UKB26" s="146"/>
      <c r="UKC26" s="146"/>
      <c r="UKD26" s="146"/>
      <c r="UKE26" s="146"/>
      <c r="UKF26" s="146"/>
      <c r="UKG26" s="146"/>
      <c r="UKH26" s="146"/>
      <c r="UKI26" s="146"/>
      <c r="UKJ26" s="146"/>
      <c r="UKK26" s="146"/>
      <c r="UKL26" s="146"/>
      <c r="UKM26" s="146"/>
      <c r="UKN26" s="146"/>
      <c r="UKO26" s="146"/>
      <c r="UKP26" s="146"/>
      <c r="UKQ26" s="146"/>
      <c r="UKR26" s="146"/>
      <c r="UKS26" s="146"/>
      <c r="UKT26" s="146"/>
      <c r="UKU26" s="146"/>
      <c r="UKV26" s="146"/>
      <c r="UKW26" s="146"/>
      <c r="UKX26" s="146"/>
      <c r="UKY26" s="146"/>
      <c r="UKZ26" s="146"/>
      <c r="ULA26" s="146"/>
      <c r="ULB26" s="146"/>
      <c r="ULC26" s="146"/>
      <c r="ULD26" s="146"/>
      <c r="ULE26" s="146"/>
      <c r="ULF26" s="146"/>
      <c r="ULG26" s="146"/>
      <c r="ULH26" s="146"/>
      <c r="ULI26" s="146"/>
      <c r="ULJ26" s="146"/>
      <c r="ULK26" s="146"/>
      <c r="ULL26" s="146"/>
      <c r="ULM26" s="146"/>
      <c r="ULN26" s="146"/>
      <c r="ULO26" s="146"/>
      <c r="ULP26" s="146"/>
      <c r="ULQ26" s="146"/>
      <c r="ULR26" s="146"/>
      <c r="ULS26" s="146"/>
      <c r="ULT26" s="146"/>
      <c r="ULU26" s="146"/>
      <c r="ULV26" s="146"/>
      <c r="ULW26" s="146"/>
      <c r="ULX26" s="146"/>
      <c r="ULY26" s="146"/>
      <c r="ULZ26" s="146"/>
      <c r="UMA26" s="146"/>
      <c r="UMB26" s="146"/>
      <c r="UMC26" s="146"/>
      <c r="UMD26" s="146"/>
      <c r="UME26" s="146"/>
      <c r="UMF26" s="146"/>
      <c r="UMG26" s="146"/>
      <c r="UMH26" s="146"/>
      <c r="UMI26" s="146"/>
      <c r="UMJ26" s="146"/>
      <c r="UMK26" s="146"/>
      <c r="UML26" s="146"/>
      <c r="UMM26" s="146"/>
      <c r="UMN26" s="146"/>
      <c r="UMO26" s="146"/>
      <c r="UMP26" s="146"/>
      <c r="UMQ26" s="146"/>
      <c r="UMR26" s="146"/>
      <c r="UMS26" s="146"/>
      <c r="UMT26" s="146"/>
      <c r="UMU26" s="146"/>
      <c r="UMV26" s="146"/>
      <c r="UMW26" s="146"/>
      <c r="UMX26" s="146"/>
      <c r="UMY26" s="146"/>
      <c r="UMZ26" s="146"/>
      <c r="UNA26" s="146"/>
      <c r="UNB26" s="146"/>
      <c r="UNC26" s="146"/>
      <c r="UND26" s="146"/>
      <c r="UNE26" s="146"/>
      <c r="UNF26" s="146"/>
      <c r="UNG26" s="146"/>
      <c r="UNH26" s="146"/>
      <c r="UNI26" s="146"/>
      <c r="UNJ26" s="146"/>
      <c r="UNK26" s="146"/>
      <c r="UNL26" s="146"/>
      <c r="UNM26" s="146"/>
      <c r="UNN26" s="146"/>
      <c r="UNO26" s="146"/>
      <c r="UNP26" s="146"/>
      <c r="UNQ26" s="146"/>
      <c r="UNR26" s="146"/>
      <c r="UNS26" s="146"/>
      <c r="UNT26" s="146"/>
      <c r="UNU26" s="146"/>
      <c r="UNV26" s="146"/>
      <c r="UNW26" s="146"/>
      <c r="UNX26" s="146"/>
      <c r="UNY26" s="146"/>
      <c r="UNZ26" s="146"/>
      <c r="UOA26" s="146"/>
      <c r="UOB26" s="146"/>
      <c r="UOC26" s="146"/>
      <c r="UOD26" s="146"/>
      <c r="UOE26" s="146"/>
      <c r="UOF26" s="146"/>
      <c r="UOG26" s="146"/>
      <c r="UOH26" s="146"/>
      <c r="UOI26" s="146"/>
      <c r="UOJ26" s="146"/>
      <c r="UOK26" s="146"/>
      <c r="UOL26" s="146"/>
      <c r="UOM26" s="146"/>
      <c r="UON26" s="146"/>
      <c r="UOO26" s="146"/>
      <c r="UOP26" s="146"/>
      <c r="UOQ26" s="146"/>
      <c r="UOR26" s="146"/>
      <c r="UOS26" s="146"/>
      <c r="UOT26" s="146"/>
      <c r="UOU26" s="146"/>
      <c r="UOV26" s="146"/>
      <c r="UOW26" s="146"/>
      <c r="UOX26" s="146"/>
      <c r="UOY26" s="146"/>
      <c r="UOZ26" s="146"/>
      <c r="UPA26" s="146"/>
      <c r="UPB26" s="146"/>
      <c r="UPC26" s="146"/>
      <c r="UPD26" s="146"/>
      <c r="UPE26" s="146"/>
      <c r="UPF26" s="146"/>
      <c r="UPG26" s="146"/>
      <c r="UPH26" s="146"/>
      <c r="UPI26" s="146"/>
      <c r="UPJ26" s="146"/>
      <c r="UPK26" s="146"/>
      <c r="UPL26" s="146"/>
      <c r="UPM26" s="146"/>
      <c r="UPN26" s="146"/>
      <c r="UPO26" s="146"/>
      <c r="UPP26" s="146"/>
      <c r="UPQ26" s="146"/>
      <c r="UPR26" s="146"/>
      <c r="UPS26" s="146"/>
      <c r="UPT26" s="146"/>
      <c r="UPU26" s="146"/>
      <c r="UPV26" s="146"/>
      <c r="UPW26" s="146"/>
      <c r="UPX26" s="146"/>
      <c r="UPY26" s="146"/>
      <c r="UPZ26" s="146"/>
      <c r="UQA26" s="146"/>
      <c r="UQB26" s="146"/>
      <c r="UQC26" s="146"/>
      <c r="UQD26" s="146"/>
      <c r="UQE26" s="146"/>
      <c r="UQF26" s="146"/>
      <c r="UQG26" s="146"/>
      <c r="UQH26" s="146"/>
      <c r="UQI26" s="146"/>
      <c r="UQJ26" s="146"/>
      <c r="UQK26" s="146"/>
      <c r="UQL26" s="146"/>
      <c r="UQM26" s="146"/>
      <c r="UQN26" s="146"/>
      <c r="UQO26" s="146"/>
      <c r="UQP26" s="146"/>
      <c r="UQQ26" s="146"/>
      <c r="UQR26" s="146"/>
      <c r="UQS26" s="146"/>
      <c r="UQT26" s="146"/>
      <c r="UQU26" s="146"/>
      <c r="UQV26" s="146"/>
      <c r="UQW26" s="146"/>
      <c r="UQX26" s="146"/>
      <c r="UQY26" s="146"/>
      <c r="UQZ26" s="146"/>
      <c r="URA26" s="146"/>
      <c r="URB26" s="146"/>
      <c r="URC26" s="146"/>
      <c r="URD26" s="146"/>
      <c r="URE26" s="146"/>
      <c r="URF26" s="146"/>
      <c r="URG26" s="146"/>
      <c r="URH26" s="146"/>
      <c r="URI26" s="146"/>
      <c r="URJ26" s="146"/>
      <c r="URK26" s="146"/>
      <c r="URL26" s="146"/>
      <c r="URM26" s="146"/>
      <c r="URN26" s="146"/>
      <c r="URO26" s="146"/>
      <c r="URP26" s="146"/>
      <c r="URQ26" s="146"/>
      <c r="URR26" s="146"/>
      <c r="URS26" s="146"/>
      <c r="URT26" s="146"/>
      <c r="URU26" s="146"/>
      <c r="URV26" s="146"/>
      <c r="URW26" s="146"/>
      <c r="URX26" s="146"/>
      <c r="URY26" s="146"/>
      <c r="URZ26" s="146"/>
      <c r="USA26" s="146"/>
      <c r="USB26" s="146"/>
      <c r="USC26" s="146"/>
      <c r="USD26" s="146"/>
      <c r="USE26" s="146"/>
      <c r="USF26" s="146"/>
      <c r="USG26" s="146"/>
      <c r="USH26" s="146"/>
      <c r="USI26" s="146"/>
      <c r="USJ26" s="146"/>
      <c r="USK26" s="146"/>
      <c r="USL26" s="146"/>
      <c r="USM26" s="146"/>
      <c r="USN26" s="146"/>
      <c r="USO26" s="146"/>
      <c r="USP26" s="146"/>
      <c r="USQ26" s="146"/>
      <c r="USR26" s="146"/>
      <c r="USS26" s="146"/>
      <c r="UST26" s="146"/>
      <c r="USU26" s="146"/>
      <c r="USV26" s="146"/>
      <c r="USW26" s="146"/>
      <c r="USX26" s="146"/>
      <c r="USY26" s="146"/>
      <c r="USZ26" s="146"/>
      <c r="UTA26" s="146"/>
      <c r="UTB26" s="146"/>
      <c r="UTC26" s="146"/>
      <c r="UTD26" s="146"/>
      <c r="UTE26" s="146"/>
      <c r="UTF26" s="146"/>
      <c r="UTG26" s="146"/>
      <c r="UTH26" s="146"/>
      <c r="UTI26" s="146"/>
      <c r="UTJ26" s="146"/>
      <c r="UTK26" s="146"/>
      <c r="UTL26" s="146"/>
      <c r="UTM26" s="146"/>
      <c r="UTN26" s="146"/>
      <c r="UTO26" s="146"/>
      <c r="UTP26" s="146"/>
      <c r="UTQ26" s="146"/>
      <c r="UTR26" s="146"/>
      <c r="UTS26" s="146"/>
      <c r="UTT26" s="146"/>
      <c r="UTU26" s="146"/>
      <c r="UTV26" s="146"/>
      <c r="UTW26" s="146"/>
      <c r="UTX26" s="146"/>
      <c r="UTY26" s="146"/>
      <c r="UTZ26" s="146"/>
      <c r="UUA26" s="146"/>
      <c r="UUB26" s="146"/>
      <c r="UUC26" s="146"/>
      <c r="UUD26" s="146"/>
      <c r="UUE26" s="146"/>
      <c r="UUF26" s="146"/>
      <c r="UUG26" s="146"/>
      <c r="UUH26" s="146"/>
      <c r="UUI26" s="146"/>
      <c r="UUJ26" s="146"/>
      <c r="UUK26" s="146"/>
      <c r="UUL26" s="146"/>
      <c r="UUM26" s="146"/>
      <c r="UUN26" s="146"/>
      <c r="UUO26" s="146"/>
      <c r="UUP26" s="146"/>
      <c r="UUQ26" s="146"/>
      <c r="UUR26" s="146"/>
      <c r="UUS26" s="146"/>
      <c r="UUT26" s="146"/>
      <c r="UUU26" s="146"/>
      <c r="UUV26" s="146"/>
      <c r="UUW26" s="146"/>
      <c r="UUX26" s="146"/>
      <c r="UUY26" s="146"/>
      <c r="UUZ26" s="146"/>
      <c r="UVA26" s="146"/>
      <c r="UVB26" s="146"/>
      <c r="UVC26" s="146"/>
      <c r="UVD26" s="146"/>
      <c r="UVE26" s="146"/>
      <c r="UVF26" s="146"/>
      <c r="UVG26" s="146"/>
      <c r="UVH26" s="146"/>
      <c r="UVI26" s="146"/>
      <c r="UVJ26" s="146"/>
      <c r="UVK26" s="146"/>
      <c r="UVL26" s="146"/>
      <c r="UVM26" s="146"/>
      <c r="UVN26" s="146"/>
      <c r="UVO26" s="146"/>
      <c r="UVP26" s="146"/>
      <c r="UVQ26" s="146"/>
      <c r="UVR26" s="146"/>
      <c r="UVS26" s="146"/>
      <c r="UVT26" s="146"/>
      <c r="UVU26" s="146"/>
      <c r="UVV26" s="146"/>
      <c r="UVW26" s="146"/>
      <c r="UVX26" s="146"/>
      <c r="UVY26" s="146"/>
      <c r="UVZ26" s="146"/>
      <c r="UWA26" s="146"/>
      <c r="UWB26" s="146"/>
      <c r="UWC26" s="146"/>
      <c r="UWD26" s="146"/>
      <c r="UWE26" s="146"/>
      <c r="UWF26" s="146"/>
      <c r="UWG26" s="146"/>
      <c r="UWH26" s="146"/>
      <c r="UWI26" s="146"/>
      <c r="UWJ26" s="146"/>
      <c r="UWK26" s="146"/>
      <c r="UWL26" s="146"/>
      <c r="UWM26" s="146"/>
      <c r="UWN26" s="146"/>
      <c r="UWO26" s="146"/>
      <c r="UWP26" s="146"/>
      <c r="UWQ26" s="146"/>
      <c r="UWR26" s="146"/>
      <c r="UWS26" s="146"/>
      <c r="UWT26" s="146"/>
      <c r="UWU26" s="146"/>
      <c r="UWV26" s="146"/>
      <c r="UWW26" s="146"/>
      <c r="UWX26" s="146"/>
      <c r="UWY26" s="146"/>
      <c r="UWZ26" s="146"/>
      <c r="UXA26" s="146"/>
      <c r="UXB26" s="146"/>
      <c r="UXC26" s="146"/>
      <c r="UXD26" s="146"/>
      <c r="UXE26" s="146"/>
      <c r="UXF26" s="146"/>
      <c r="UXG26" s="146"/>
      <c r="UXH26" s="146"/>
      <c r="UXI26" s="146"/>
      <c r="UXJ26" s="146"/>
      <c r="UXK26" s="146"/>
      <c r="UXL26" s="146"/>
      <c r="UXM26" s="146"/>
      <c r="UXN26" s="146"/>
      <c r="UXO26" s="146"/>
      <c r="UXP26" s="146"/>
      <c r="UXQ26" s="146"/>
      <c r="UXR26" s="146"/>
      <c r="UXS26" s="146"/>
      <c r="UXT26" s="146"/>
      <c r="UXU26" s="146"/>
      <c r="UXV26" s="146"/>
      <c r="UXW26" s="146"/>
      <c r="UXX26" s="146"/>
      <c r="UXY26" s="146"/>
      <c r="UXZ26" s="146"/>
      <c r="UYA26" s="146"/>
      <c r="UYB26" s="146"/>
      <c r="UYC26" s="146"/>
      <c r="UYD26" s="146"/>
      <c r="UYE26" s="146"/>
      <c r="UYF26" s="146"/>
      <c r="UYG26" s="146"/>
      <c r="UYH26" s="146"/>
      <c r="UYI26" s="146"/>
      <c r="UYJ26" s="146"/>
      <c r="UYK26" s="146"/>
      <c r="UYL26" s="146"/>
      <c r="UYM26" s="146"/>
      <c r="UYN26" s="146"/>
      <c r="UYO26" s="146"/>
      <c r="UYP26" s="146"/>
      <c r="UYQ26" s="146"/>
      <c r="UYR26" s="146"/>
      <c r="UYS26" s="146"/>
      <c r="UYT26" s="146"/>
      <c r="UYU26" s="146"/>
      <c r="UYV26" s="146"/>
      <c r="UYW26" s="146"/>
      <c r="UYX26" s="146"/>
      <c r="UYY26" s="146"/>
      <c r="UYZ26" s="146"/>
      <c r="UZA26" s="146"/>
      <c r="UZB26" s="146"/>
      <c r="UZC26" s="146"/>
      <c r="UZD26" s="146"/>
      <c r="UZE26" s="146"/>
      <c r="UZF26" s="146"/>
      <c r="UZG26" s="146"/>
      <c r="UZH26" s="146"/>
      <c r="UZI26" s="146"/>
      <c r="UZJ26" s="146"/>
      <c r="UZK26" s="146"/>
      <c r="UZL26" s="146"/>
      <c r="UZM26" s="146"/>
      <c r="UZN26" s="146"/>
      <c r="UZO26" s="146"/>
      <c r="UZP26" s="146"/>
      <c r="UZQ26" s="146"/>
      <c r="UZR26" s="146"/>
      <c r="UZS26" s="146"/>
      <c r="UZT26" s="146"/>
      <c r="UZU26" s="146"/>
      <c r="UZV26" s="146"/>
      <c r="UZW26" s="146"/>
      <c r="UZX26" s="146"/>
      <c r="UZY26" s="146"/>
      <c r="UZZ26" s="146"/>
      <c r="VAA26" s="146"/>
      <c r="VAB26" s="146"/>
      <c r="VAC26" s="146"/>
      <c r="VAD26" s="146"/>
      <c r="VAE26" s="146"/>
      <c r="VAF26" s="146"/>
      <c r="VAG26" s="146"/>
      <c r="VAH26" s="146"/>
      <c r="VAI26" s="146"/>
      <c r="VAJ26" s="146"/>
      <c r="VAK26" s="146"/>
      <c r="VAL26" s="146"/>
      <c r="VAM26" s="146"/>
      <c r="VAN26" s="146"/>
      <c r="VAO26" s="146"/>
      <c r="VAP26" s="146"/>
      <c r="VAQ26" s="146"/>
      <c r="VAR26" s="146"/>
      <c r="VAS26" s="146"/>
      <c r="VAT26" s="146"/>
      <c r="VAU26" s="146"/>
      <c r="VAV26" s="146"/>
      <c r="VAW26" s="146"/>
      <c r="VAX26" s="146"/>
      <c r="VAY26" s="146"/>
      <c r="VAZ26" s="146"/>
      <c r="VBA26" s="146"/>
      <c r="VBB26" s="146"/>
      <c r="VBC26" s="146"/>
      <c r="VBD26" s="146"/>
      <c r="VBE26" s="146"/>
      <c r="VBF26" s="146"/>
      <c r="VBG26" s="146"/>
      <c r="VBH26" s="146"/>
      <c r="VBI26" s="146"/>
      <c r="VBJ26" s="146"/>
      <c r="VBK26" s="146"/>
      <c r="VBL26" s="146"/>
      <c r="VBM26" s="146"/>
      <c r="VBN26" s="146"/>
      <c r="VBO26" s="146"/>
      <c r="VBP26" s="146"/>
      <c r="VBQ26" s="146"/>
      <c r="VBR26" s="146"/>
      <c r="VBS26" s="146"/>
      <c r="VBT26" s="146"/>
      <c r="VBU26" s="146"/>
      <c r="VBV26" s="146"/>
      <c r="VBW26" s="146"/>
      <c r="VBX26" s="146"/>
      <c r="VBY26" s="146"/>
      <c r="VBZ26" s="146"/>
      <c r="VCA26" s="146"/>
      <c r="VCB26" s="146"/>
      <c r="VCC26" s="146"/>
      <c r="VCD26" s="146"/>
      <c r="VCE26" s="146"/>
      <c r="VCF26" s="146"/>
      <c r="VCG26" s="146"/>
      <c r="VCH26" s="146"/>
      <c r="VCI26" s="146"/>
      <c r="VCJ26" s="146"/>
      <c r="VCK26" s="146"/>
      <c r="VCL26" s="146"/>
      <c r="VCM26" s="146"/>
      <c r="VCN26" s="146"/>
      <c r="VCO26" s="146"/>
      <c r="VCP26" s="146"/>
      <c r="VCQ26" s="146"/>
      <c r="VCR26" s="146"/>
      <c r="VCS26" s="146"/>
      <c r="VCT26" s="146"/>
      <c r="VCU26" s="146"/>
      <c r="VCV26" s="146"/>
      <c r="VCW26" s="146"/>
      <c r="VCX26" s="146"/>
      <c r="VCY26" s="146"/>
      <c r="VCZ26" s="146"/>
      <c r="VDA26" s="146"/>
      <c r="VDB26" s="146"/>
      <c r="VDC26" s="146"/>
      <c r="VDD26" s="146"/>
      <c r="VDE26" s="146"/>
      <c r="VDF26" s="146"/>
      <c r="VDG26" s="146"/>
      <c r="VDH26" s="146"/>
      <c r="VDI26" s="146"/>
      <c r="VDJ26" s="146"/>
      <c r="VDK26" s="146"/>
      <c r="VDL26" s="146"/>
      <c r="VDM26" s="146"/>
      <c r="VDN26" s="146"/>
      <c r="VDO26" s="146"/>
      <c r="VDP26" s="146"/>
      <c r="VDQ26" s="146"/>
      <c r="VDR26" s="146"/>
      <c r="VDS26" s="146"/>
      <c r="VDT26" s="146"/>
      <c r="VDU26" s="146"/>
      <c r="VDV26" s="146"/>
      <c r="VDW26" s="146"/>
      <c r="VDX26" s="146"/>
      <c r="VDY26" s="146"/>
      <c r="VDZ26" s="146"/>
      <c r="VEA26" s="146"/>
      <c r="VEB26" s="146"/>
      <c r="VEC26" s="146"/>
      <c r="VED26" s="146"/>
      <c r="VEE26" s="146"/>
      <c r="VEF26" s="146"/>
      <c r="VEG26" s="146"/>
      <c r="VEH26" s="146"/>
      <c r="VEI26" s="146"/>
      <c r="VEJ26" s="146"/>
      <c r="VEK26" s="146"/>
      <c r="VEL26" s="146"/>
      <c r="VEM26" s="146"/>
      <c r="VEN26" s="146"/>
      <c r="VEO26" s="146"/>
      <c r="VEP26" s="146"/>
      <c r="VEQ26" s="146"/>
      <c r="VER26" s="146"/>
      <c r="VES26" s="146"/>
      <c r="VET26" s="146"/>
      <c r="VEU26" s="146"/>
      <c r="VEV26" s="146"/>
      <c r="VEW26" s="146"/>
      <c r="VEX26" s="146"/>
      <c r="VEY26" s="146"/>
      <c r="VEZ26" s="146"/>
      <c r="VFA26" s="146"/>
      <c r="VFB26" s="146"/>
      <c r="VFC26" s="146"/>
      <c r="VFD26" s="146"/>
      <c r="VFE26" s="146"/>
      <c r="VFF26" s="146"/>
      <c r="VFG26" s="146"/>
      <c r="VFH26" s="146"/>
      <c r="VFI26" s="146"/>
      <c r="VFJ26" s="146"/>
      <c r="VFK26" s="146"/>
      <c r="VFL26" s="146"/>
      <c r="VFM26" s="146"/>
      <c r="VFN26" s="146"/>
      <c r="VFO26" s="146"/>
      <c r="VFP26" s="146"/>
      <c r="VFQ26" s="146"/>
      <c r="VFR26" s="146"/>
      <c r="VFS26" s="146"/>
      <c r="VFT26" s="146"/>
      <c r="VFU26" s="146"/>
      <c r="VFV26" s="146"/>
      <c r="VFW26" s="146"/>
      <c r="VFX26" s="146"/>
      <c r="VFY26" s="146"/>
      <c r="VFZ26" s="146"/>
      <c r="VGA26" s="146"/>
      <c r="VGB26" s="146"/>
      <c r="VGC26" s="146"/>
      <c r="VGD26" s="146"/>
      <c r="VGE26" s="146"/>
      <c r="VGF26" s="146"/>
      <c r="VGG26" s="146"/>
      <c r="VGH26" s="146"/>
      <c r="VGI26" s="146"/>
      <c r="VGJ26" s="146"/>
      <c r="VGK26" s="146"/>
      <c r="VGL26" s="146"/>
      <c r="VGM26" s="146"/>
      <c r="VGN26" s="146"/>
      <c r="VGO26" s="146"/>
      <c r="VGP26" s="146"/>
      <c r="VGQ26" s="146"/>
      <c r="VGR26" s="146"/>
      <c r="VGS26" s="146"/>
      <c r="VGT26" s="146"/>
      <c r="VGU26" s="146"/>
      <c r="VGV26" s="146"/>
      <c r="VGW26" s="146"/>
      <c r="VGX26" s="146"/>
      <c r="VGY26" s="146"/>
      <c r="VGZ26" s="146"/>
      <c r="VHA26" s="146"/>
      <c r="VHB26" s="146"/>
      <c r="VHC26" s="146"/>
      <c r="VHD26" s="146"/>
      <c r="VHE26" s="146"/>
      <c r="VHF26" s="146"/>
      <c r="VHG26" s="146"/>
      <c r="VHH26" s="146"/>
      <c r="VHI26" s="146"/>
      <c r="VHJ26" s="146"/>
      <c r="VHK26" s="146"/>
      <c r="VHL26" s="146"/>
      <c r="VHM26" s="146"/>
      <c r="VHN26" s="146"/>
      <c r="VHO26" s="146"/>
      <c r="VHP26" s="146"/>
      <c r="VHQ26" s="146"/>
      <c r="VHR26" s="146"/>
      <c r="VHS26" s="146"/>
      <c r="VHT26" s="146"/>
      <c r="VHU26" s="146"/>
      <c r="VHV26" s="146"/>
      <c r="VHW26" s="146"/>
      <c r="VHX26" s="146"/>
      <c r="VHY26" s="146"/>
      <c r="VHZ26" s="146"/>
      <c r="VIA26" s="146"/>
      <c r="VIB26" s="146"/>
      <c r="VIC26" s="146"/>
      <c r="VID26" s="146"/>
      <c r="VIE26" s="146"/>
      <c r="VIF26" s="146"/>
      <c r="VIG26" s="146"/>
      <c r="VIH26" s="146"/>
      <c r="VII26" s="146"/>
      <c r="VIJ26" s="146"/>
      <c r="VIK26" s="146"/>
      <c r="VIL26" s="146"/>
      <c r="VIM26" s="146"/>
      <c r="VIN26" s="146"/>
      <c r="VIO26" s="146"/>
      <c r="VIP26" s="146"/>
      <c r="VIQ26" s="146"/>
      <c r="VIR26" s="146"/>
      <c r="VIS26" s="146"/>
      <c r="VIT26" s="146"/>
      <c r="VIU26" s="146"/>
      <c r="VIV26" s="146"/>
      <c r="VIW26" s="146"/>
      <c r="VIX26" s="146"/>
      <c r="VIY26" s="146"/>
      <c r="VIZ26" s="146"/>
      <c r="VJA26" s="146"/>
      <c r="VJB26" s="146"/>
      <c r="VJC26" s="146"/>
      <c r="VJD26" s="146"/>
      <c r="VJE26" s="146"/>
      <c r="VJF26" s="146"/>
      <c r="VJG26" s="146"/>
      <c r="VJH26" s="146"/>
      <c r="VJI26" s="146"/>
      <c r="VJJ26" s="146"/>
      <c r="VJK26" s="146"/>
      <c r="VJL26" s="146"/>
      <c r="VJM26" s="146"/>
      <c r="VJN26" s="146"/>
      <c r="VJO26" s="146"/>
      <c r="VJP26" s="146"/>
      <c r="VJQ26" s="146"/>
      <c r="VJR26" s="146"/>
      <c r="VJS26" s="146"/>
      <c r="VJT26" s="146"/>
      <c r="VJU26" s="146"/>
      <c r="VJV26" s="146"/>
      <c r="VJW26" s="146"/>
      <c r="VJX26" s="146"/>
      <c r="VJY26" s="146"/>
      <c r="VJZ26" s="146"/>
      <c r="VKA26" s="146"/>
      <c r="VKB26" s="146"/>
      <c r="VKC26" s="146"/>
      <c r="VKD26" s="146"/>
      <c r="VKE26" s="146"/>
      <c r="VKF26" s="146"/>
      <c r="VKG26" s="146"/>
      <c r="VKH26" s="146"/>
      <c r="VKI26" s="146"/>
      <c r="VKJ26" s="146"/>
      <c r="VKK26" s="146"/>
      <c r="VKL26" s="146"/>
      <c r="VKM26" s="146"/>
      <c r="VKN26" s="146"/>
      <c r="VKO26" s="146"/>
      <c r="VKP26" s="146"/>
      <c r="VKQ26" s="146"/>
      <c r="VKR26" s="146"/>
      <c r="VKS26" s="146"/>
      <c r="VKT26" s="146"/>
      <c r="VKU26" s="146"/>
      <c r="VKV26" s="146"/>
      <c r="VKW26" s="146"/>
      <c r="VKX26" s="146"/>
      <c r="VKY26" s="146"/>
      <c r="VKZ26" s="146"/>
      <c r="VLA26" s="146"/>
      <c r="VLB26" s="146"/>
      <c r="VLC26" s="146"/>
      <c r="VLD26" s="146"/>
      <c r="VLE26" s="146"/>
      <c r="VLF26" s="146"/>
      <c r="VLG26" s="146"/>
      <c r="VLH26" s="146"/>
      <c r="VLI26" s="146"/>
      <c r="VLJ26" s="146"/>
      <c r="VLK26" s="146"/>
      <c r="VLL26" s="146"/>
      <c r="VLM26" s="146"/>
      <c r="VLN26" s="146"/>
      <c r="VLO26" s="146"/>
      <c r="VLP26" s="146"/>
      <c r="VLQ26" s="146"/>
      <c r="VLR26" s="146"/>
      <c r="VLS26" s="146"/>
      <c r="VLT26" s="146"/>
      <c r="VLU26" s="146"/>
      <c r="VLV26" s="146"/>
      <c r="VLW26" s="146"/>
      <c r="VLX26" s="146"/>
      <c r="VLY26" s="146"/>
      <c r="VLZ26" s="146"/>
      <c r="VMA26" s="146"/>
      <c r="VMB26" s="146"/>
      <c r="VMC26" s="146"/>
      <c r="VMD26" s="146"/>
      <c r="VME26" s="146"/>
      <c r="VMF26" s="146"/>
      <c r="VMG26" s="146"/>
      <c r="VMH26" s="146"/>
      <c r="VMI26" s="146"/>
      <c r="VMJ26" s="146"/>
      <c r="VMK26" s="146"/>
      <c r="VML26" s="146"/>
      <c r="VMM26" s="146"/>
      <c r="VMN26" s="146"/>
      <c r="VMO26" s="146"/>
      <c r="VMP26" s="146"/>
      <c r="VMQ26" s="146"/>
      <c r="VMR26" s="146"/>
      <c r="VMS26" s="146"/>
      <c r="VMT26" s="146"/>
      <c r="VMU26" s="146"/>
      <c r="VMV26" s="146"/>
      <c r="VMW26" s="146"/>
      <c r="VMX26" s="146"/>
      <c r="VMY26" s="146"/>
      <c r="VMZ26" s="146"/>
      <c r="VNA26" s="146"/>
      <c r="VNB26" s="146"/>
      <c r="VNC26" s="146"/>
      <c r="VND26" s="146"/>
      <c r="VNE26" s="146"/>
      <c r="VNF26" s="146"/>
      <c r="VNG26" s="146"/>
      <c r="VNH26" s="146"/>
      <c r="VNI26" s="146"/>
      <c r="VNJ26" s="146"/>
      <c r="VNK26" s="146"/>
      <c r="VNL26" s="146"/>
      <c r="VNM26" s="146"/>
      <c r="VNN26" s="146"/>
      <c r="VNO26" s="146"/>
      <c r="VNP26" s="146"/>
      <c r="VNQ26" s="146"/>
      <c r="VNR26" s="146"/>
      <c r="VNS26" s="146"/>
      <c r="VNT26" s="146"/>
      <c r="VNU26" s="146"/>
      <c r="VNV26" s="146"/>
      <c r="VNW26" s="146"/>
      <c r="VNX26" s="146"/>
      <c r="VNY26" s="146"/>
      <c r="VNZ26" s="146"/>
      <c r="VOA26" s="146"/>
      <c r="VOB26" s="146"/>
      <c r="VOC26" s="146"/>
      <c r="VOD26" s="146"/>
      <c r="VOE26" s="146"/>
      <c r="VOF26" s="146"/>
      <c r="VOG26" s="146"/>
      <c r="VOH26" s="146"/>
      <c r="VOI26" s="146"/>
      <c r="VOJ26" s="146"/>
      <c r="VOK26" s="146"/>
      <c r="VOL26" s="146"/>
      <c r="VOM26" s="146"/>
      <c r="VON26" s="146"/>
      <c r="VOO26" s="146"/>
      <c r="VOP26" s="146"/>
      <c r="VOQ26" s="146"/>
      <c r="VOR26" s="146"/>
      <c r="VOS26" s="146"/>
      <c r="VOT26" s="146"/>
      <c r="VOU26" s="146"/>
      <c r="VOV26" s="146"/>
      <c r="VOW26" s="146"/>
      <c r="VOX26" s="146"/>
      <c r="VOY26" s="146"/>
      <c r="VOZ26" s="146"/>
      <c r="VPA26" s="146"/>
      <c r="VPB26" s="146"/>
      <c r="VPC26" s="146"/>
      <c r="VPD26" s="146"/>
      <c r="VPE26" s="146"/>
      <c r="VPF26" s="146"/>
      <c r="VPG26" s="146"/>
      <c r="VPH26" s="146"/>
      <c r="VPI26" s="146"/>
      <c r="VPJ26" s="146"/>
      <c r="VPK26" s="146"/>
      <c r="VPL26" s="146"/>
      <c r="VPM26" s="146"/>
      <c r="VPN26" s="146"/>
      <c r="VPO26" s="146"/>
      <c r="VPP26" s="146"/>
      <c r="VPQ26" s="146"/>
      <c r="VPR26" s="146"/>
      <c r="VPS26" s="146"/>
      <c r="VPT26" s="146"/>
      <c r="VPU26" s="146"/>
      <c r="VPV26" s="146"/>
      <c r="VPW26" s="146"/>
      <c r="VPX26" s="146"/>
      <c r="VPY26" s="146"/>
      <c r="VPZ26" s="146"/>
      <c r="VQA26" s="146"/>
      <c r="VQB26" s="146"/>
      <c r="VQC26" s="146"/>
      <c r="VQD26" s="146"/>
      <c r="VQE26" s="146"/>
      <c r="VQF26" s="146"/>
      <c r="VQG26" s="146"/>
      <c r="VQH26" s="146"/>
      <c r="VQI26" s="146"/>
      <c r="VQJ26" s="146"/>
      <c r="VQK26" s="146"/>
      <c r="VQL26" s="146"/>
      <c r="VQM26" s="146"/>
      <c r="VQN26" s="146"/>
      <c r="VQO26" s="146"/>
      <c r="VQP26" s="146"/>
      <c r="VQQ26" s="146"/>
      <c r="VQR26" s="146"/>
      <c r="VQS26" s="146"/>
      <c r="VQT26" s="146"/>
      <c r="VQU26" s="146"/>
      <c r="VQV26" s="146"/>
      <c r="VQW26" s="146"/>
      <c r="VQX26" s="146"/>
      <c r="VQY26" s="146"/>
      <c r="VQZ26" s="146"/>
      <c r="VRA26" s="146"/>
      <c r="VRB26" s="146"/>
      <c r="VRC26" s="146"/>
      <c r="VRD26" s="146"/>
      <c r="VRE26" s="146"/>
      <c r="VRF26" s="146"/>
      <c r="VRG26" s="146"/>
      <c r="VRH26" s="146"/>
      <c r="VRI26" s="146"/>
      <c r="VRJ26" s="146"/>
      <c r="VRK26" s="146"/>
      <c r="VRL26" s="146"/>
      <c r="VRM26" s="146"/>
      <c r="VRN26" s="146"/>
      <c r="VRO26" s="146"/>
      <c r="VRP26" s="146"/>
      <c r="VRQ26" s="146"/>
      <c r="VRR26" s="146"/>
      <c r="VRS26" s="146"/>
      <c r="VRT26" s="146"/>
      <c r="VRU26" s="146"/>
      <c r="VRV26" s="146"/>
      <c r="VRW26" s="146"/>
      <c r="VRX26" s="146"/>
      <c r="VRY26" s="146"/>
      <c r="VRZ26" s="146"/>
      <c r="VSA26" s="146"/>
      <c r="VSB26" s="146"/>
      <c r="VSC26" s="146"/>
      <c r="VSD26" s="146"/>
      <c r="VSE26" s="146"/>
      <c r="VSF26" s="146"/>
      <c r="VSG26" s="146"/>
      <c r="VSH26" s="146"/>
      <c r="VSI26" s="146"/>
      <c r="VSJ26" s="146"/>
      <c r="VSK26" s="146"/>
      <c r="VSL26" s="146"/>
      <c r="VSM26" s="146"/>
      <c r="VSN26" s="146"/>
      <c r="VSO26" s="146"/>
      <c r="VSP26" s="146"/>
      <c r="VSQ26" s="146"/>
      <c r="VSR26" s="146"/>
      <c r="VSS26" s="146"/>
      <c r="VST26" s="146"/>
      <c r="VSU26" s="146"/>
      <c r="VSV26" s="146"/>
      <c r="VSW26" s="146"/>
      <c r="VSX26" s="146"/>
      <c r="VSY26" s="146"/>
      <c r="VSZ26" s="146"/>
      <c r="VTA26" s="146"/>
      <c r="VTB26" s="146"/>
      <c r="VTC26" s="146"/>
      <c r="VTD26" s="146"/>
      <c r="VTE26" s="146"/>
      <c r="VTF26" s="146"/>
      <c r="VTG26" s="146"/>
      <c r="VTH26" s="146"/>
      <c r="VTI26" s="146"/>
      <c r="VTJ26" s="146"/>
      <c r="VTK26" s="146"/>
      <c r="VTL26" s="146"/>
      <c r="VTM26" s="146"/>
      <c r="VTN26" s="146"/>
      <c r="VTO26" s="146"/>
      <c r="VTP26" s="146"/>
      <c r="VTQ26" s="146"/>
      <c r="VTR26" s="146"/>
      <c r="VTS26" s="146"/>
      <c r="VTT26" s="146"/>
      <c r="VTU26" s="146"/>
      <c r="VTV26" s="146"/>
      <c r="VTW26" s="146"/>
      <c r="VTX26" s="146"/>
      <c r="VTY26" s="146"/>
      <c r="VTZ26" s="146"/>
      <c r="VUA26" s="146"/>
      <c r="VUB26" s="146"/>
      <c r="VUC26" s="146"/>
      <c r="VUD26" s="146"/>
      <c r="VUE26" s="146"/>
      <c r="VUF26" s="146"/>
      <c r="VUG26" s="146"/>
      <c r="VUH26" s="146"/>
      <c r="VUI26" s="146"/>
      <c r="VUJ26" s="146"/>
      <c r="VUK26" s="146"/>
      <c r="VUL26" s="146"/>
      <c r="VUM26" s="146"/>
      <c r="VUN26" s="146"/>
      <c r="VUO26" s="146"/>
      <c r="VUP26" s="146"/>
      <c r="VUQ26" s="146"/>
      <c r="VUR26" s="146"/>
      <c r="VUS26" s="146"/>
      <c r="VUT26" s="146"/>
      <c r="VUU26" s="146"/>
      <c r="VUV26" s="146"/>
      <c r="VUW26" s="146"/>
      <c r="VUX26" s="146"/>
      <c r="VUY26" s="146"/>
      <c r="VUZ26" s="146"/>
      <c r="VVA26" s="146"/>
      <c r="VVB26" s="146"/>
      <c r="VVC26" s="146"/>
      <c r="VVD26" s="146"/>
      <c r="VVE26" s="146"/>
      <c r="VVF26" s="146"/>
      <c r="VVG26" s="146"/>
      <c r="VVH26" s="146"/>
      <c r="VVI26" s="146"/>
      <c r="VVJ26" s="146"/>
      <c r="VVK26" s="146"/>
      <c r="VVL26" s="146"/>
      <c r="VVM26" s="146"/>
      <c r="VVN26" s="146"/>
      <c r="VVO26" s="146"/>
      <c r="VVP26" s="146"/>
      <c r="VVQ26" s="146"/>
      <c r="VVR26" s="146"/>
      <c r="VVS26" s="146"/>
      <c r="VVT26" s="146"/>
      <c r="VVU26" s="146"/>
      <c r="VVV26" s="146"/>
      <c r="VVW26" s="146"/>
      <c r="VVX26" s="146"/>
      <c r="VVY26" s="146"/>
      <c r="VVZ26" s="146"/>
      <c r="VWA26" s="146"/>
      <c r="VWB26" s="146"/>
      <c r="VWC26" s="146"/>
      <c r="VWD26" s="146"/>
      <c r="VWE26" s="146"/>
      <c r="VWF26" s="146"/>
      <c r="VWG26" s="146"/>
      <c r="VWH26" s="146"/>
      <c r="VWI26" s="146"/>
      <c r="VWJ26" s="146"/>
      <c r="VWK26" s="146"/>
      <c r="VWL26" s="146"/>
      <c r="VWM26" s="146"/>
      <c r="VWN26" s="146"/>
      <c r="VWO26" s="146"/>
      <c r="VWP26" s="146"/>
      <c r="VWQ26" s="146"/>
      <c r="VWR26" s="146"/>
      <c r="VWS26" s="146"/>
      <c r="VWT26" s="146"/>
      <c r="VWU26" s="146"/>
      <c r="VWV26" s="146"/>
      <c r="VWW26" s="146"/>
      <c r="VWX26" s="146"/>
      <c r="VWY26" s="146"/>
      <c r="VWZ26" s="146"/>
      <c r="VXA26" s="146"/>
      <c r="VXB26" s="146"/>
      <c r="VXC26" s="146"/>
      <c r="VXD26" s="146"/>
      <c r="VXE26" s="146"/>
      <c r="VXF26" s="146"/>
      <c r="VXG26" s="146"/>
      <c r="VXH26" s="146"/>
      <c r="VXI26" s="146"/>
      <c r="VXJ26" s="146"/>
      <c r="VXK26" s="146"/>
      <c r="VXL26" s="146"/>
      <c r="VXM26" s="146"/>
      <c r="VXN26" s="146"/>
      <c r="VXO26" s="146"/>
      <c r="VXP26" s="146"/>
      <c r="VXQ26" s="146"/>
      <c r="VXR26" s="146"/>
      <c r="VXS26" s="146"/>
      <c r="VXT26" s="146"/>
      <c r="VXU26" s="146"/>
      <c r="VXV26" s="146"/>
      <c r="VXW26" s="146"/>
      <c r="VXX26" s="146"/>
      <c r="VXY26" s="146"/>
      <c r="VXZ26" s="146"/>
      <c r="VYA26" s="146"/>
      <c r="VYB26" s="146"/>
      <c r="VYC26" s="146"/>
      <c r="VYD26" s="146"/>
      <c r="VYE26" s="146"/>
      <c r="VYF26" s="146"/>
      <c r="VYG26" s="146"/>
      <c r="VYH26" s="146"/>
      <c r="VYI26" s="146"/>
      <c r="VYJ26" s="146"/>
      <c r="VYK26" s="146"/>
      <c r="VYL26" s="146"/>
      <c r="VYM26" s="146"/>
      <c r="VYN26" s="146"/>
      <c r="VYO26" s="146"/>
      <c r="VYP26" s="146"/>
      <c r="VYQ26" s="146"/>
      <c r="VYR26" s="146"/>
      <c r="VYS26" s="146"/>
      <c r="VYT26" s="146"/>
      <c r="VYU26" s="146"/>
      <c r="VYV26" s="146"/>
      <c r="VYW26" s="146"/>
      <c r="VYX26" s="146"/>
      <c r="VYY26" s="146"/>
      <c r="VYZ26" s="146"/>
      <c r="VZA26" s="146"/>
      <c r="VZB26" s="146"/>
      <c r="VZC26" s="146"/>
      <c r="VZD26" s="146"/>
      <c r="VZE26" s="146"/>
      <c r="VZF26" s="146"/>
      <c r="VZG26" s="146"/>
      <c r="VZH26" s="146"/>
      <c r="VZI26" s="146"/>
      <c r="VZJ26" s="146"/>
      <c r="VZK26" s="146"/>
      <c r="VZL26" s="146"/>
      <c r="VZM26" s="146"/>
      <c r="VZN26" s="146"/>
      <c r="VZO26" s="146"/>
      <c r="VZP26" s="146"/>
      <c r="VZQ26" s="146"/>
      <c r="VZR26" s="146"/>
      <c r="VZS26" s="146"/>
      <c r="VZT26" s="146"/>
      <c r="VZU26" s="146"/>
      <c r="VZV26" s="146"/>
      <c r="VZW26" s="146"/>
      <c r="VZX26" s="146"/>
      <c r="VZY26" s="146"/>
      <c r="VZZ26" s="146"/>
      <c r="WAA26" s="146"/>
      <c r="WAB26" s="146"/>
      <c r="WAC26" s="146"/>
      <c r="WAD26" s="146"/>
      <c r="WAE26" s="146"/>
      <c r="WAF26" s="146"/>
      <c r="WAG26" s="146"/>
      <c r="WAH26" s="146"/>
      <c r="WAI26" s="146"/>
      <c r="WAJ26" s="146"/>
      <c r="WAK26" s="146"/>
      <c r="WAL26" s="146"/>
      <c r="WAM26" s="146"/>
      <c r="WAN26" s="146"/>
      <c r="WAO26" s="146"/>
      <c r="WAP26" s="146"/>
      <c r="WAQ26" s="146"/>
      <c r="WAR26" s="146"/>
      <c r="WAS26" s="146"/>
      <c r="WAT26" s="146"/>
      <c r="WAU26" s="146"/>
      <c r="WAV26" s="146"/>
      <c r="WAW26" s="146"/>
      <c r="WAX26" s="146"/>
      <c r="WAY26" s="146"/>
      <c r="WAZ26" s="146"/>
      <c r="WBA26" s="146"/>
      <c r="WBB26" s="146"/>
      <c r="WBC26" s="146"/>
      <c r="WBD26" s="146"/>
      <c r="WBE26" s="146"/>
      <c r="WBF26" s="146"/>
      <c r="WBG26" s="146"/>
      <c r="WBH26" s="146"/>
      <c r="WBI26" s="146"/>
      <c r="WBJ26" s="146"/>
      <c r="WBK26" s="146"/>
      <c r="WBL26" s="146"/>
      <c r="WBM26" s="146"/>
      <c r="WBN26" s="146"/>
      <c r="WBO26" s="146"/>
      <c r="WBP26" s="146"/>
      <c r="WBQ26" s="146"/>
      <c r="WBR26" s="146"/>
      <c r="WBS26" s="146"/>
      <c r="WBT26" s="146"/>
      <c r="WBU26" s="146"/>
      <c r="WBV26" s="146"/>
      <c r="WBW26" s="146"/>
      <c r="WBX26" s="146"/>
      <c r="WBY26" s="146"/>
      <c r="WBZ26" s="146"/>
      <c r="WCA26" s="146"/>
      <c r="WCB26" s="146"/>
      <c r="WCC26" s="146"/>
      <c r="WCD26" s="146"/>
      <c r="WCE26" s="146"/>
      <c r="WCF26" s="146"/>
      <c r="WCG26" s="146"/>
      <c r="WCH26" s="146"/>
      <c r="WCI26" s="146"/>
      <c r="WCJ26" s="146"/>
      <c r="WCK26" s="146"/>
      <c r="WCL26" s="146"/>
      <c r="WCM26" s="146"/>
      <c r="WCN26" s="146"/>
      <c r="WCO26" s="146"/>
      <c r="WCP26" s="146"/>
      <c r="WCQ26" s="146"/>
      <c r="WCR26" s="146"/>
      <c r="WCS26" s="146"/>
      <c r="WCT26" s="146"/>
      <c r="WCU26" s="146"/>
      <c r="WCV26" s="146"/>
      <c r="WCW26" s="146"/>
      <c r="WCX26" s="146"/>
      <c r="WCY26" s="146"/>
      <c r="WCZ26" s="146"/>
      <c r="WDA26" s="146"/>
      <c r="WDB26" s="146"/>
      <c r="WDC26" s="146"/>
      <c r="WDD26" s="146"/>
      <c r="WDE26" s="146"/>
      <c r="WDF26" s="146"/>
      <c r="WDG26" s="146"/>
      <c r="WDH26" s="146"/>
      <c r="WDI26" s="146"/>
      <c r="WDJ26" s="146"/>
      <c r="WDK26" s="146"/>
      <c r="WDL26" s="146"/>
      <c r="WDM26" s="146"/>
      <c r="WDN26" s="146"/>
      <c r="WDO26" s="146"/>
      <c r="WDP26" s="146"/>
      <c r="WDQ26" s="146"/>
      <c r="WDR26" s="146"/>
      <c r="WDS26" s="146"/>
      <c r="WDT26" s="146"/>
      <c r="WDU26" s="146"/>
      <c r="WDV26" s="146"/>
      <c r="WDW26" s="146"/>
      <c r="WDX26" s="146"/>
      <c r="WDY26" s="146"/>
      <c r="WDZ26" s="146"/>
      <c r="WEA26" s="146"/>
      <c r="WEB26" s="146"/>
      <c r="WEC26" s="146"/>
      <c r="WED26" s="146"/>
      <c r="WEE26" s="146"/>
      <c r="WEF26" s="146"/>
      <c r="WEG26" s="146"/>
      <c r="WEH26" s="146"/>
      <c r="WEI26" s="146"/>
      <c r="WEJ26" s="146"/>
      <c r="WEK26" s="146"/>
      <c r="WEL26" s="146"/>
      <c r="WEM26" s="146"/>
      <c r="WEN26" s="146"/>
      <c r="WEO26" s="146"/>
      <c r="WEP26" s="146"/>
      <c r="WEQ26" s="146"/>
      <c r="WER26" s="146"/>
      <c r="WES26" s="146"/>
      <c r="WET26" s="146"/>
      <c r="WEU26" s="146"/>
      <c r="WEV26" s="146"/>
      <c r="WEW26" s="146"/>
      <c r="WEX26" s="146"/>
      <c r="WEY26" s="146"/>
      <c r="WEZ26" s="146"/>
      <c r="WFA26" s="146"/>
      <c r="WFB26" s="146"/>
      <c r="WFC26" s="146"/>
      <c r="WFD26" s="146"/>
      <c r="WFE26" s="146"/>
      <c r="WFF26" s="146"/>
      <c r="WFG26" s="146"/>
      <c r="WFH26" s="146"/>
      <c r="WFI26" s="146"/>
      <c r="WFJ26" s="146"/>
      <c r="WFK26" s="146"/>
      <c r="WFL26" s="146"/>
      <c r="WFM26" s="146"/>
      <c r="WFN26" s="146"/>
      <c r="WFO26" s="146"/>
      <c r="WFP26" s="146"/>
      <c r="WFQ26" s="146"/>
      <c r="WFR26" s="146"/>
      <c r="WFS26" s="146"/>
      <c r="WFT26" s="146"/>
      <c r="WFU26" s="146"/>
      <c r="WFV26" s="146"/>
      <c r="WFW26" s="146"/>
      <c r="WFX26" s="146"/>
      <c r="WFY26" s="146"/>
      <c r="WFZ26" s="146"/>
      <c r="WGA26" s="146"/>
      <c r="WGB26" s="146"/>
      <c r="WGC26" s="146"/>
      <c r="WGD26" s="146"/>
      <c r="WGE26" s="146"/>
      <c r="WGF26" s="146"/>
      <c r="WGG26" s="146"/>
      <c r="WGH26" s="146"/>
      <c r="WGI26" s="146"/>
      <c r="WGJ26" s="146"/>
      <c r="WGK26" s="146"/>
      <c r="WGL26" s="146"/>
      <c r="WGM26" s="146"/>
      <c r="WGN26" s="146"/>
      <c r="WGO26" s="146"/>
      <c r="WGP26" s="146"/>
      <c r="WGQ26" s="146"/>
      <c r="WGR26" s="146"/>
      <c r="WGS26" s="146"/>
      <c r="WGT26" s="146"/>
      <c r="WGU26" s="146"/>
      <c r="WGV26" s="146"/>
      <c r="WGW26" s="146"/>
      <c r="WGX26" s="146"/>
      <c r="WGY26" s="146"/>
      <c r="WGZ26" s="146"/>
      <c r="WHA26" s="146"/>
      <c r="WHB26" s="146"/>
      <c r="WHC26" s="146"/>
      <c r="WHD26" s="146"/>
      <c r="WHE26" s="146"/>
      <c r="WHF26" s="146"/>
      <c r="WHG26" s="146"/>
      <c r="WHH26" s="146"/>
      <c r="WHI26" s="146"/>
      <c r="WHJ26" s="146"/>
      <c r="WHK26" s="146"/>
      <c r="WHL26" s="146"/>
      <c r="WHM26" s="146"/>
      <c r="WHN26" s="146"/>
      <c r="WHO26" s="146"/>
      <c r="WHP26" s="146"/>
      <c r="WHQ26" s="146"/>
      <c r="WHR26" s="146"/>
      <c r="WHS26" s="146"/>
      <c r="WHT26" s="146"/>
      <c r="WHU26" s="146"/>
      <c r="WHV26" s="146"/>
      <c r="WHW26" s="146"/>
      <c r="WHX26" s="146"/>
      <c r="WHY26" s="146"/>
      <c r="WHZ26" s="146"/>
      <c r="WIA26" s="146"/>
      <c r="WIB26" s="146"/>
      <c r="WIC26" s="146"/>
      <c r="WID26" s="146"/>
      <c r="WIE26" s="146"/>
      <c r="WIF26" s="146"/>
      <c r="WIG26" s="146"/>
      <c r="WIH26" s="146"/>
      <c r="WII26" s="146"/>
      <c r="WIJ26" s="146"/>
      <c r="WIK26" s="146"/>
      <c r="WIL26" s="146"/>
      <c r="WIM26" s="146"/>
      <c r="WIN26" s="146"/>
      <c r="WIO26" s="146"/>
      <c r="WIP26" s="146"/>
      <c r="WIQ26" s="146"/>
      <c r="WIR26" s="146"/>
      <c r="WIS26" s="146"/>
      <c r="WIT26" s="146"/>
      <c r="WIU26" s="146"/>
      <c r="WIV26" s="146"/>
      <c r="WIW26" s="146"/>
      <c r="WIX26" s="146"/>
      <c r="WIY26" s="146"/>
      <c r="WIZ26" s="146"/>
      <c r="WJA26" s="146"/>
      <c r="WJB26" s="146"/>
      <c r="WJC26" s="146"/>
      <c r="WJD26" s="146"/>
      <c r="WJE26" s="146"/>
      <c r="WJF26" s="146"/>
      <c r="WJG26" s="146"/>
      <c r="WJH26" s="146"/>
      <c r="WJI26" s="146"/>
      <c r="WJJ26" s="146"/>
      <c r="WJK26" s="146"/>
      <c r="WJL26" s="146"/>
      <c r="WJM26" s="146"/>
      <c r="WJN26" s="146"/>
      <c r="WJO26" s="146"/>
      <c r="WJP26" s="146"/>
      <c r="WJQ26" s="146"/>
      <c r="WJR26" s="146"/>
      <c r="WJS26" s="146"/>
      <c r="WJT26" s="146"/>
      <c r="WJU26" s="146"/>
      <c r="WJV26" s="146"/>
      <c r="WJW26" s="146"/>
      <c r="WJX26" s="146"/>
      <c r="WJY26" s="146"/>
      <c r="WJZ26" s="146"/>
      <c r="WKA26" s="146"/>
      <c r="WKB26" s="146"/>
      <c r="WKC26" s="146"/>
      <c r="WKD26" s="146"/>
      <c r="WKE26" s="146"/>
      <c r="WKF26" s="146"/>
      <c r="WKG26" s="146"/>
      <c r="WKH26" s="146"/>
      <c r="WKI26" s="146"/>
      <c r="WKJ26" s="146"/>
      <c r="WKK26" s="146"/>
      <c r="WKL26" s="146"/>
      <c r="WKM26" s="146"/>
      <c r="WKN26" s="146"/>
      <c r="WKO26" s="146"/>
      <c r="WKP26" s="146"/>
      <c r="WKQ26" s="146"/>
      <c r="WKR26" s="146"/>
      <c r="WKS26" s="146"/>
      <c r="WKT26" s="146"/>
      <c r="WKU26" s="146"/>
      <c r="WKV26" s="146"/>
      <c r="WKW26" s="146"/>
      <c r="WKX26" s="146"/>
      <c r="WKY26" s="146"/>
      <c r="WKZ26" s="146"/>
      <c r="WLA26" s="146"/>
      <c r="WLB26" s="146"/>
      <c r="WLC26" s="146"/>
      <c r="WLD26" s="146"/>
      <c r="WLE26" s="146"/>
      <c r="WLF26" s="146"/>
      <c r="WLG26" s="146"/>
      <c r="WLH26" s="146"/>
      <c r="WLI26" s="146"/>
      <c r="WLJ26" s="146"/>
      <c r="WLK26" s="146"/>
      <c r="WLL26" s="146"/>
      <c r="WLM26" s="146"/>
      <c r="WLN26" s="146"/>
      <c r="WLO26" s="146"/>
      <c r="WLP26" s="146"/>
      <c r="WLQ26" s="146"/>
      <c r="WLR26" s="146"/>
      <c r="WLS26" s="146"/>
      <c r="WLT26" s="146"/>
      <c r="WLU26" s="146"/>
      <c r="WLV26" s="146"/>
      <c r="WLW26" s="146"/>
      <c r="WLX26" s="146"/>
      <c r="WLY26" s="146"/>
      <c r="WLZ26" s="146"/>
      <c r="WMA26" s="146"/>
      <c r="WMB26" s="146"/>
      <c r="WMC26" s="146"/>
      <c r="WMD26" s="146"/>
      <c r="WME26" s="146"/>
      <c r="WMF26" s="146"/>
      <c r="WMG26" s="146"/>
      <c r="WMH26" s="146"/>
      <c r="WMI26" s="146"/>
      <c r="WMJ26" s="146"/>
      <c r="WMK26" s="146"/>
      <c r="WML26" s="146"/>
      <c r="WMM26" s="146"/>
      <c r="WMN26" s="146"/>
      <c r="WMO26" s="146"/>
      <c r="WMP26" s="146"/>
      <c r="WMQ26" s="146"/>
      <c r="WMR26" s="146"/>
      <c r="WMS26" s="146"/>
      <c r="WMT26" s="146"/>
      <c r="WMU26" s="146"/>
      <c r="WMV26" s="146"/>
      <c r="WMW26" s="146"/>
      <c r="WMX26" s="146"/>
      <c r="WMY26" s="146"/>
      <c r="WMZ26" s="146"/>
      <c r="WNA26" s="146"/>
      <c r="WNB26" s="146"/>
      <c r="WNC26" s="146"/>
      <c r="WND26" s="146"/>
      <c r="WNE26" s="146"/>
      <c r="WNF26" s="146"/>
      <c r="WNG26" s="146"/>
      <c r="WNH26" s="146"/>
      <c r="WNI26" s="146"/>
      <c r="WNJ26" s="146"/>
      <c r="WNK26" s="146"/>
      <c r="WNL26" s="146"/>
      <c r="WNM26" s="146"/>
      <c r="WNN26" s="146"/>
      <c r="WNO26" s="146"/>
      <c r="WNP26" s="146"/>
      <c r="WNQ26" s="146"/>
      <c r="WNR26" s="146"/>
      <c r="WNS26" s="146"/>
      <c r="WNT26" s="146"/>
      <c r="WNU26" s="146"/>
      <c r="WNV26" s="146"/>
      <c r="WNW26" s="146"/>
      <c r="WNX26" s="146"/>
      <c r="WNY26" s="146"/>
      <c r="WNZ26" s="146"/>
      <c r="WOA26" s="146"/>
      <c r="WOB26" s="146"/>
      <c r="WOC26" s="146"/>
      <c r="WOD26" s="146"/>
      <c r="WOE26" s="146"/>
      <c r="WOF26" s="146"/>
      <c r="WOG26" s="146"/>
      <c r="WOH26" s="146"/>
      <c r="WOI26" s="146"/>
      <c r="WOJ26" s="146"/>
      <c r="WOK26" s="146"/>
      <c r="WOL26" s="146"/>
      <c r="WOM26" s="146"/>
      <c r="WON26" s="146"/>
      <c r="WOO26" s="146"/>
      <c r="WOP26" s="146"/>
      <c r="WOQ26" s="146"/>
      <c r="WOR26" s="146"/>
      <c r="WOS26" s="146"/>
      <c r="WOT26" s="146"/>
      <c r="WOU26" s="146"/>
      <c r="WOV26" s="146"/>
      <c r="WOW26" s="146"/>
      <c r="WOX26" s="146"/>
      <c r="WOY26" s="146"/>
      <c r="WOZ26" s="146"/>
      <c r="WPA26" s="146"/>
      <c r="WPB26" s="146"/>
      <c r="WPC26" s="146"/>
      <c r="WPD26" s="146"/>
      <c r="WPE26" s="146"/>
      <c r="WPF26" s="146"/>
      <c r="WPG26" s="146"/>
      <c r="WPH26" s="146"/>
      <c r="WPI26" s="146"/>
      <c r="WPJ26" s="146"/>
      <c r="WPK26" s="146"/>
      <c r="WPL26" s="146"/>
      <c r="WPM26" s="146"/>
      <c r="WPN26" s="146"/>
      <c r="WPO26" s="146"/>
      <c r="WPP26" s="146"/>
      <c r="WPQ26" s="146"/>
      <c r="WPR26" s="146"/>
      <c r="WPS26" s="146"/>
      <c r="WPT26" s="146"/>
      <c r="WPU26" s="146"/>
      <c r="WPV26" s="146"/>
      <c r="WPW26" s="146"/>
      <c r="WPX26" s="146"/>
      <c r="WPY26" s="146"/>
      <c r="WPZ26" s="146"/>
      <c r="WQA26" s="146"/>
      <c r="WQB26" s="146"/>
      <c r="WQC26" s="146"/>
      <c r="WQD26" s="146"/>
      <c r="WQE26" s="146"/>
      <c r="WQF26" s="146"/>
      <c r="WQG26" s="146"/>
      <c r="WQH26" s="146"/>
      <c r="WQI26" s="146"/>
      <c r="WQJ26" s="146"/>
      <c r="WQK26" s="146"/>
      <c r="WQL26" s="146"/>
      <c r="WQM26" s="146"/>
      <c r="WQN26" s="146"/>
      <c r="WQO26" s="146"/>
      <c r="WQP26" s="146"/>
      <c r="WQQ26" s="146"/>
      <c r="WQR26" s="146"/>
      <c r="WQS26" s="146"/>
      <c r="WQT26" s="146"/>
      <c r="WQU26" s="146"/>
      <c r="WQV26" s="146"/>
      <c r="WQW26" s="146"/>
      <c r="WQX26" s="146"/>
      <c r="WQY26" s="146"/>
      <c r="WQZ26" s="146"/>
      <c r="WRA26" s="146"/>
      <c r="WRB26" s="146"/>
      <c r="WRC26" s="146"/>
      <c r="WRD26" s="146"/>
      <c r="WRE26" s="146"/>
      <c r="WRF26" s="146"/>
      <c r="WRG26" s="146"/>
      <c r="WRH26" s="146"/>
      <c r="WRI26" s="146"/>
      <c r="WRJ26" s="146"/>
      <c r="WRK26" s="146"/>
      <c r="WRL26" s="146"/>
      <c r="WRM26" s="146"/>
      <c r="WRN26" s="146"/>
      <c r="WRO26" s="146"/>
      <c r="WRP26" s="146"/>
      <c r="WRQ26" s="146"/>
      <c r="WRR26" s="146"/>
      <c r="WRS26" s="146"/>
      <c r="WRT26" s="146"/>
      <c r="WRU26" s="146"/>
      <c r="WRV26" s="146"/>
      <c r="WRW26" s="146"/>
      <c r="WRX26" s="146"/>
      <c r="WRY26" s="146"/>
      <c r="WRZ26" s="146"/>
      <c r="WSA26" s="146"/>
      <c r="WSB26" s="146"/>
      <c r="WSC26" s="146"/>
      <c r="WSD26" s="146"/>
      <c r="WSE26" s="146"/>
      <c r="WSF26" s="146"/>
      <c r="WSG26" s="146"/>
      <c r="WSH26" s="146"/>
      <c r="WSI26" s="146"/>
      <c r="WSJ26" s="146"/>
      <c r="WSK26" s="146"/>
      <c r="WSL26" s="146"/>
      <c r="WSM26" s="146"/>
      <c r="WSN26" s="146"/>
      <c r="WSO26" s="146"/>
      <c r="WSP26" s="146"/>
      <c r="WSQ26" s="146"/>
      <c r="WSR26" s="146"/>
      <c r="WSS26" s="146"/>
      <c r="WST26" s="146"/>
      <c r="WSU26" s="146"/>
      <c r="WSV26" s="146"/>
      <c r="WSW26" s="146"/>
      <c r="WSX26" s="146"/>
      <c r="WSY26" s="146"/>
      <c r="WSZ26" s="146"/>
      <c r="WTA26" s="146"/>
      <c r="WTB26" s="146"/>
      <c r="WTC26" s="146"/>
      <c r="WTD26" s="146"/>
      <c r="WTE26" s="146"/>
      <c r="WTF26" s="146"/>
      <c r="WTG26" s="146"/>
      <c r="WTH26" s="146"/>
      <c r="WTI26" s="146"/>
      <c r="WTJ26" s="146"/>
      <c r="WTK26" s="146"/>
      <c r="WTL26" s="146"/>
      <c r="WTM26" s="146"/>
      <c r="WTN26" s="146"/>
      <c r="WTO26" s="146"/>
      <c r="WTP26" s="146"/>
      <c r="WTQ26" s="146"/>
      <c r="WTR26" s="146"/>
      <c r="WTS26" s="146"/>
      <c r="WTT26" s="146"/>
      <c r="WTU26" s="146"/>
      <c r="WTV26" s="146"/>
      <c r="WTW26" s="146"/>
      <c r="WTX26" s="146"/>
      <c r="WTY26" s="146"/>
      <c r="WTZ26" s="146"/>
      <c r="WUA26" s="146"/>
      <c r="WUB26" s="146"/>
      <c r="WUC26" s="146"/>
      <c r="WUD26" s="146"/>
      <c r="WUE26" s="146"/>
      <c r="WUF26" s="146"/>
      <c r="WUG26" s="146"/>
      <c r="WUH26" s="146"/>
      <c r="WUI26" s="146"/>
      <c r="WUJ26" s="146"/>
      <c r="WUK26" s="146"/>
      <c r="WUL26" s="146"/>
      <c r="WUM26" s="146"/>
      <c r="WUN26" s="146"/>
      <c r="WUO26" s="146"/>
      <c r="WUP26" s="146"/>
      <c r="WUQ26" s="146"/>
      <c r="WUR26" s="146"/>
      <c r="WUS26" s="146"/>
      <c r="WUT26" s="146"/>
      <c r="WUU26" s="146"/>
      <c r="WUV26" s="146"/>
      <c r="WUW26" s="146"/>
      <c r="WUX26" s="146"/>
      <c r="WUY26" s="146"/>
      <c r="WUZ26" s="146"/>
      <c r="WVA26" s="146"/>
      <c r="WVB26" s="146"/>
      <c r="WVC26" s="146"/>
      <c r="WVD26" s="146"/>
      <c r="WVE26" s="146"/>
      <c r="WVF26" s="146"/>
      <c r="WVG26" s="146"/>
      <c r="WVH26" s="146"/>
      <c r="WVI26" s="146"/>
      <c r="WVJ26" s="146"/>
      <c r="WVK26" s="146"/>
      <c r="WVL26" s="146"/>
      <c r="WVM26" s="146"/>
      <c r="WVN26" s="146"/>
      <c r="WVO26" s="146"/>
      <c r="WVP26" s="146"/>
      <c r="WVQ26" s="146"/>
      <c r="WVR26" s="146"/>
      <c r="WVS26" s="146"/>
      <c r="WVT26" s="146"/>
      <c r="WVU26" s="146"/>
      <c r="WVV26" s="146"/>
      <c r="WVW26" s="146"/>
      <c r="WVX26" s="146"/>
      <c r="WVY26" s="146"/>
      <c r="WVZ26" s="146"/>
      <c r="WWA26" s="146"/>
      <c r="WWB26" s="146"/>
      <c r="WWC26" s="146"/>
      <c r="WWD26" s="146"/>
      <c r="WWE26" s="146"/>
      <c r="WWF26" s="146"/>
      <c r="WWG26" s="146"/>
      <c r="WWH26" s="146"/>
      <c r="WWI26" s="146"/>
      <c r="WWJ26" s="146"/>
      <c r="WWK26" s="146"/>
      <c r="WWL26" s="146"/>
      <c r="WWM26" s="146"/>
      <c r="WWN26" s="146"/>
      <c r="WWO26" s="146"/>
      <c r="WWP26" s="146"/>
      <c r="WWQ26" s="146"/>
      <c r="WWR26" s="146"/>
      <c r="WWS26" s="146"/>
      <c r="WWT26" s="146"/>
      <c r="WWU26" s="146"/>
      <c r="WWV26" s="146"/>
      <c r="WWW26" s="146"/>
      <c r="WWX26" s="146"/>
      <c r="WWY26" s="146"/>
      <c r="WWZ26" s="146"/>
      <c r="WXA26" s="146"/>
      <c r="WXB26" s="146"/>
      <c r="WXC26" s="146"/>
      <c r="WXD26" s="146"/>
      <c r="WXE26" s="146"/>
      <c r="WXF26" s="146"/>
      <c r="WXG26" s="146"/>
      <c r="WXH26" s="146"/>
      <c r="WXI26" s="146"/>
      <c r="WXJ26" s="146"/>
      <c r="WXK26" s="146"/>
      <c r="WXL26" s="146"/>
      <c r="WXM26" s="146"/>
      <c r="WXN26" s="146"/>
      <c r="WXO26" s="146"/>
      <c r="WXP26" s="146"/>
      <c r="WXQ26" s="146"/>
      <c r="WXR26" s="146"/>
      <c r="WXS26" s="146"/>
      <c r="WXT26" s="146"/>
      <c r="WXU26" s="146"/>
      <c r="WXV26" s="146"/>
      <c r="WXW26" s="146"/>
      <c r="WXX26" s="146"/>
      <c r="WXY26" s="146"/>
      <c r="WXZ26" s="146"/>
      <c r="WYA26" s="146"/>
      <c r="WYB26" s="146"/>
      <c r="WYC26" s="146"/>
      <c r="WYD26" s="146"/>
      <c r="WYE26" s="146"/>
      <c r="WYF26" s="146"/>
      <c r="WYG26" s="146"/>
      <c r="WYH26" s="146"/>
      <c r="WYI26" s="146"/>
      <c r="WYJ26" s="146"/>
      <c r="WYK26" s="146"/>
      <c r="WYL26" s="146"/>
      <c r="WYM26" s="146"/>
      <c r="WYN26" s="146"/>
      <c r="WYO26" s="146"/>
      <c r="WYP26" s="146"/>
      <c r="WYQ26" s="146"/>
      <c r="WYR26" s="146"/>
      <c r="WYS26" s="146"/>
      <c r="WYT26" s="146"/>
      <c r="WYU26" s="146"/>
      <c r="WYV26" s="146"/>
      <c r="WYW26" s="146"/>
      <c r="WYX26" s="146"/>
      <c r="WYY26" s="146"/>
      <c r="WYZ26" s="146"/>
      <c r="WZA26" s="146"/>
      <c r="WZB26" s="146"/>
      <c r="WZC26" s="146"/>
      <c r="WZD26" s="146"/>
      <c r="WZE26" s="146"/>
      <c r="WZF26" s="146"/>
      <c r="WZG26" s="146"/>
      <c r="WZH26" s="146"/>
      <c r="WZI26" s="146"/>
      <c r="WZJ26" s="146"/>
      <c r="WZK26" s="146"/>
      <c r="WZL26" s="146"/>
      <c r="WZM26" s="146"/>
      <c r="WZN26" s="146"/>
      <c r="WZO26" s="146"/>
      <c r="WZP26" s="146"/>
      <c r="WZQ26" s="146"/>
      <c r="WZR26" s="146"/>
      <c r="WZS26" s="146"/>
      <c r="WZT26" s="146"/>
      <c r="WZU26" s="146"/>
      <c r="WZV26" s="146"/>
      <c r="WZW26" s="146"/>
      <c r="WZX26" s="146"/>
      <c r="WZY26" s="146"/>
      <c r="WZZ26" s="146"/>
      <c r="XAA26" s="146"/>
      <c r="XAB26" s="146"/>
      <c r="XAC26" s="146"/>
      <c r="XAD26" s="146"/>
      <c r="XAE26" s="146"/>
      <c r="XAF26" s="146"/>
      <c r="XAG26" s="146"/>
      <c r="XAH26" s="146"/>
      <c r="XAI26" s="146"/>
      <c r="XAJ26" s="146"/>
      <c r="XAK26" s="146"/>
      <c r="XAL26" s="146"/>
      <c r="XAM26" s="146"/>
      <c r="XAN26" s="146"/>
      <c r="XAO26" s="146"/>
      <c r="XAP26" s="146"/>
      <c r="XAQ26" s="146"/>
      <c r="XAR26" s="146"/>
      <c r="XAS26" s="146"/>
      <c r="XAT26" s="146"/>
      <c r="XAU26" s="146"/>
      <c r="XAV26" s="146"/>
      <c r="XAW26" s="146"/>
      <c r="XAX26" s="146"/>
      <c r="XAY26" s="146"/>
      <c r="XAZ26" s="146"/>
      <c r="XBA26" s="146"/>
      <c r="XBB26" s="146"/>
      <c r="XBC26" s="146"/>
      <c r="XBD26" s="146"/>
      <c r="XBE26" s="146"/>
      <c r="XBF26" s="146"/>
      <c r="XBG26" s="146"/>
      <c r="XBH26" s="146"/>
      <c r="XBI26" s="146"/>
      <c r="XBJ26" s="146"/>
      <c r="XBK26" s="146"/>
      <c r="XBL26" s="146"/>
      <c r="XBM26" s="146"/>
      <c r="XBN26" s="146"/>
      <c r="XBO26" s="146"/>
      <c r="XBP26" s="146"/>
      <c r="XBQ26" s="146"/>
      <c r="XBR26" s="146"/>
      <c r="XBS26" s="146"/>
      <c r="XBT26" s="146"/>
      <c r="XBU26" s="146"/>
      <c r="XBV26" s="146"/>
      <c r="XBW26" s="146"/>
      <c r="XBX26" s="146"/>
      <c r="XBY26" s="146"/>
      <c r="XBZ26" s="146"/>
      <c r="XCA26" s="146"/>
      <c r="XCB26" s="146"/>
      <c r="XCC26" s="146"/>
      <c r="XCD26" s="146"/>
      <c r="XCE26" s="146"/>
      <c r="XCF26" s="146"/>
      <c r="XCG26" s="146"/>
      <c r="XCH26" s="146"/>
      <c r="XCI26" s="146"/>
      <c r="XCJ26" s="146"/>
      <c r="XCK26" s="146"/>
      <c r="XCL26" s="146"/>
      <c r="XCM26" s="146"/>
      <c r="XCN26" s="146"/>
      <c r="XCO26" s="146"/>
      <c r="XCP26" s="146"/>
      <c r="XCQ26" s="146"/>
      <c r="XCR26" s="146"/>
      <c r="XCS26" s="146"/>
      <c r="XCT26" s="146"/>
      <c r="XCU26" s="146"/>
      <c r="XCV26" s="146"/>
      <c r="XCW26" s="146"/>
      <c r="XCX26" s="146"/>
      <c r="XCY26" s="146"/>
      <c r="XCZ26" s="146"/>
      <c r="XDA26" s="146"/>
      <c r="XDB26" s="146"/>
      <c r="XDC26" s="146"/>
      <c r="XDD26" s="146"/>
      <c r="XDE26" s="146"/>
      <c r="XDF26" s="146"/>
      <c r="XDG26" s="146"/>
      <c r="XDH26" s="146"/>
      <c r="XDI26" s="146"/>
      <c r="XDJ26" s="146"/>
      <c r="XDK26" s="146"/>
      <c r="XDL26" s="146"/>
      <c r="XDM26" s="146"/>
      <c r="XDN26" s="146"/>
      <c r="XDO26" s="146"/>
      <c r="XDP26" s="146"/>
      <c r="XDQ26" s="146"/>
      <c r="XDR26" s="146"/>
      <c r="XDS26" s="146"/>
      <c r="XDT26" s="146"/>
      <c r="XDU26" s="146"/>
      <c r="XDV26" s="146"/>
      <c r="XDW26" s="146"/>
      <c r="XDX26" s="146"/>
      <c r="XDY26" s="146"/>
      <c r="XDZ26" s="146"/>
      <c r="XEA26" s="146"/>
      <c r="XEB26" s="146"/>
      <c r="XEC26" s="146"/>
      <c r="XED26" s="146"/>
      <c r="XEE26" s="146"/>
      <c r="XEF26" s="146"/>
      <c r="XEG26" s="146"/>
      <c r="XEH26" s="146"/>
      <c r="XEI26" s="146"/>
      <c r="XEJ26" s="146"/>
      <c r="XEK26" s="146"/>
      <c r="XEL26" s="146"/>
      <c r="XEM26" s="146"/>
      <c r="XEN26" s="146"/>
      <c r="XEO26" s="146"/>
      <c r="XEP26" s="146"/>
      <c r="XEQ26" s="146"/>
      <c r="XER26" s="146"/>
      <c r="XES26" s="146"/>
      <c r="XET26" s="146"/>
      <c r="XEU26" s="146"/>
      <c r="XEV26" s="146"/>
      <c r="XEW26" s="146"/>
      <c r="XEX26" s="146"/>
      <c r="XEY26" s="146"/>
      <c r="XEZ26" s="146"/>
      <c r="XFA26" s="146"/>
      <c r="XFB26" s="146"/>
    </row>
    <row r="27" spans="1:16382" s="106" customFormat="1" x14ac:dyDescent="0.25">
      <c r="A27" s="78" t="s">
        <v>887</v>
      </c>
      <c r="B27" s="78" t="s">
        <v>881</v>
      </c>
      <c r="C27" s="78" t="s">
        <v>1892</v>
      </c>
      <c r="D27" s="81" t="str">
        <f>IF(MouserListTable[[#This Row],[Vendor]]=FilterSpecs!$A$8,MouserListTable[[#This Row],[Mouser SKU]], MouserListTable[[#This Row],[Supplier SKU]])</f>
        <v>485-3369</v>
      </c>
      <c r="E27" s="94">
        <f>MouserListTable[[#This Row],[Tot '#]]-MouserListTable[[#This Row],['# Initial]]</f>
        <v>0</v>
      </c>
      <c r="F27" s="94">
        <f>IF(AND(MouserListTable[[#This Row],[Tag]]&lt;&gt;FilterSpecs!$F$12, MouserListTable[[#This Row],[Tag]]&lt;&gt;FilterSpecs!$F$9), MouserListTable[[#This Row],['#/Unit]]*FilterSpecs!$B$3+MouserListTable[[#This Row],[Extra Initial]],0)</f>
        <v>0</v>
      </c>
      <c r="G27" s="78"/>
      <c r="H27" s="78"/>
      <c r="I27" s="97" t="s">
        <v>2229</v>
      </c>
      <c r="K27" s="118">
        <v>12.5</v>
      </c>
      <c r="L27" s="97" t="s">
        <v>1896</v>
      </c>
      <c r="N27" s="154">
        <f>MouserListTable[[#This Row],['# Initial]]*MouserListTable[[#This Row],[Price (USD)]]</f>
        <v>0</v>
      </c>
      <c r="O27" s="81" t="s">
        <v>2228</v>
      </c>
      <c r="P27" s="150">
        <f t="shared" si="0"/>
        <v>14</v>
      </c>
      <c r="Q27" s="78" t="s">
        <v>1884</v>
      </c>
      <c r="R27"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485-3369</v>
      </c>
      <c r="S27" s="133" t="str">
        <f>HYPERLINK("https://www.mouser.com/ProductDetail/" &amp;MouserListTable[[#This Row],[Mouser SKU]])</f>
        <v>https://www.mouser.com/ProductDetail/485-3369</v>
      </c>
      <c r="T27" s="94">
        <v>0</v>
      </c>
      <c r="U27" s="94">
        <v>0</v>
      </c>
      <c r="V27" s="94">
        <v>0</v>
      </c>
      <c r="W27" s="94">
        <f>MouserListTable[[#This Row],['#/Unit]]*FilterSpecs!$C$3+MouserListTable[[#This Row],[Extra]]</f>
        <v>0</v>
      </c>
      <c r="X27" s="94">
        <f>IF(MouserListTable[[#This Row],[Tag]]=FilterSpecs!$F$7,MouserListTable[[#This Row],['#/Unit]]*MouserListTable[[#This Row],[Price (USD)]],0)</f>
        <v>0</v>
      </c>
      <c r="Y27" s="94">
        <f>MouserListTable[[#This Row],[Tot '#]]*MouserListTable[[#This Row],[Price (USD)]]</f>
        <v>0</v>
      </c>
      <c r="Z27"/>
    </row>
    <row r="28" spans="1:16382" s="106" customFormat="1" x14ac:dyDescent="0.25">
      <c r="A28" s="78" t="s">
        <v>887</v>
      </c>
      <c r="B28" s="78" t="s">
        <v>881</v>
      </c>
      <c r="C28" s="78" t="s">
        <v>1892</v>
      </c>
      <c r="D28" s="81" t="str">
        <f>IF(MouserListTable[[#This Row],[Vendor]]=FilterSpecs!$A$8,MouserListTable[[#This Row],[Mouser SKU]], MouserListTable[[#This Row],[Supplier SKU]])</f>
        <v>485-3367</v>
      </c>
      <c r="E28" s="94">
        <f>MouserListTable[[#This Row],[Tot '#]]-MouserListTable[[#This Row],['# Initial]]</f>
        <v>0</v>
      </c>
      <c r="F28" s="94">
        <f>IF(AND(MouserListTable[[#This Row],[Tag]]&lt;&gt;FilterSpecs!$F$12, MouserListTable[[#This Row],[Tag]]&lt;&gt;FilterSpecs!$F$9), MouserListTable[[#This Row],['#/Unit]]*FilterSpecs!$B$3+MouserListTable[[#This Row],[Extra Initial]],0)</f>
        <v>0</v>
      </c>
      <c r="G28" s="78"/>
      <c r="H28" s="78"/>
      <c r="I28" s="97" t="s">
        <v>2231</v>
      </c>
      <c r="K28" s="118">
        <v>5.95</v>
      </c>
      <c r="L28" s="97" t="s">
        <v>1896</v>
      </c>
      <c r="N28" s="154">
        <f>MouserListTable[[#This Row],['# Initial]]*MouserListTable[[#This Row],[Price (USD)]]</f>
        <v>0</v>
      </c>
      <c r="O28" s="81" t="s">
        <v>2230</v>
      </c>
      <c r="P28" s="150">
        <f t="shared" si="0"/>
        <v>15</v>
      </c>
      <c r="Q28" s="78" t="s">
        <v>1884</v>
      </c>
      <c r="R28"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485-3367</v>
      </c>
      <c r="S28" s="133" t="str">
        <f>HYPERLINK("https://www.mouser.com/ProductDetail/" &amp;MouserListTable[[#This Row],[Mouser SKU]])</f>
        <v>https://www.mouser.com/ProductDetail/485-3367</v>
      </c>
      <c r="T28" s="94">
        <v>0</v>
      </c>
      <c r="U28" s="94">
        <v>0</v>
      </c>
      <c r="V28" s="94">
        <v>0</v>
      </c>
      <c r="W28" s="94">
        <f>MouserListTable[[#This Row],['#/Unit]]*FilterSpecs!$C$3+MouserListTable[[#This Row],[Extra]]</f>
        <v>0</v>
      </c>
      <c r="X28" s="94">
        <f>IF(MouserListTable[[#This Row],[Tag]]=FilterSpecs!$F$7,MouserListTable[[#This Row],['#/Unit]]*MouserListTable[[#This Row],[Price (USD)]],0)</f>
        <v>0</v>
      </c>
      <c r="Y28" s="94">
        <f>MouserListTable[[#This Row],[Tot '#]]*MouserListTable[[#This Row],[Price (USD)]]</f>
        <v>0</v>
      </c>
      <c r="Z28"/>
    </row>
    <row r="29" spans="1:16382" s="106" customFormat="1" x14ac:dyDescent="0.25">
      <c r="A29" s="78" t="s">
        <v>887</v>
      </c>
      <c r="B29" s="78" t="s">
        <v>881</v>
      </c>
      <c r="C29" s="78" t="s">
        <v>1892</v>
      </c>
      <c r="D29" s="81" t="str">
        <f>IF(MouserListTable[[#This Row],[Vendor]]=FilterSpecs!$A$8,MouserListTable[[#This Row],[Mouser SKU]], MouserListTable[[#This Row],[Supplier SKU]])</f>
        <v>485-3351</v>
      </c>
      <c r="E29" s="94">
        <f>MouserListTable[[#This Row],[Tot '#]]-MouserListTable[[#This Row],['# Initial]]</f>
        <v>0</v>
      </c>
      <c r="F29" s="94">
        <f>IF(AND(MouserListTable[[#This Row],[Tag]]&lt;&gt;FilterSpecs!$F$12, MouserListTable[[#This Row],[Tag]]&lt;&gt;FilterSpecs!$F$9), MouserListTable[[#This Row],['#/Unit]]*FilterSpecs!$B$3+MouserListTable[[#This Row],[Extra Initial]],0)</f>
        <v>0</v>
      </c>
      <c r="G29" s="78"/>
      <c r="H29" s="78"/>
      <c r="I29" s="97" t="s">
        <v>2233</v>
      </c>
      <c r="K29" s="118">
        <v>3.95</v>
      </c>
      <c r="L29" s="97" t="s">
        <v>1896</v>
      </c>
      <c r="N29" s="154">
        <f>MouserListTable[[#This Row],['# Initial]]*MouserListTable[[#This Row],[Price (USD)]]</f>
        <v>0</v>
      </c>
      <c r="O29" s="81" t="s">
        <v>2232</v>
      </c>
      <c r="P29" s="150">
        <f t="shared" si="0"/>
        <v>16</v>
      </c>
      <c r="Q29" s="78" t="s">
        <v>1884</v>
      </c>
      <c r="R29"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485-3351</v>
      </c>
      <c r="S29" s="133" t="str">
        <f>HYPERLINK("https://www.mouser.com/ProductDetail/" &amp;MouserListTable[[#This Row],[Mouser SKU]])</f>
        <v>https://www.mouser.com/ProductDetail/485-3351</v>
      </c>
      <c r="T29" s="94">
        <v>0</v>
      </c>
      <c r="U29" s="94">
        <v>0</v>
      </c>
      <c r="V29" s="94">
        <v>0</v>
      </c>
      <c r="W29" s="94">
        <f>MouserListTable[[#This Row],['#/Unit]]*FilterSpecs!$C$3+MouserListTable[[#This Row],[Extra]]</f>
        <v>0</v>
      </c>
      <c r="X29" s="94">
        <f>IF(MouserListTable[[#This Row],[Tag]]=FilterSpecs!$F$7,MouserListTable[[#This Row],['#/Unit]]*MouserListTable[[#This Row],[Price (USD)]],0)</f>
        <v>0</v>
      </c>
      <c r="Y29" s="94">
        <f>MouserListTable[[#This Row],[Tot '#]]*MouserListTable[[#This Row],[Price (USD)]]</f>
        <v>0</v>
      </c>
      <c r="Z29"/>
    </row>
    <row r="30" spans="1:16382" s="106" customFormat="1" x14ac:dyDescent="0.25">
      <c r="A30" s="78" t="s">
        <v>887</v>
      </c>
      <c r="B30" s="78" t="s">
        <v>881</v>
      </c>
      <c r="C30" s="78" t="s">
        <v>1892</v>
      </c>
      <c r="D30" s="81" t="str">
        <f>IF(MouserListTable[[#This Row],[Vendor]]=FilterSpecs!$A$8,MouserListTable[[#This Row],[Mouser SKU]], MouserListTable[[#This Row],[Supplier SKU]])</f>
        <v>485-1314</v>
      </c>
      <c r="E30" s="94">
        <f>MouserListTable[[#This Row],[Tot '#]]-MouserListTable[[#This Row],['# Initial]]</f>
        <v>0</v>
      </c>
      <c r="F30" s="94">
        <f>IF(AND(MouserListTable[[#This Row],[Tag]]&lt;&gt;FilterSpecs!$F$12, MouserListTable[[#This Row],[Tag]]&lt;&gt;FilterSpecs!$F$9), MouserListTable[[#This Row],['#/Unit]]*FilterSpecs!$B$3+MouserListTable[[#This Row],[Extra Initial]],0)</f>
        <v>0</v>
      </c>
      <c r="G30" s="78"/>
      <c r="H30" s="78"/>
      <c r="I30" s="97" t="s">
        <v>2235</v>
      </c>
      <c r="K30" s="118">
        <v>1.95</v>
      </c>
      <c r="L30" s="97" t="s">
        <v>1896</v>
      </c>
      <c r="N30" s="154">
        <f>MouserListTable[[#This Row],['# Initial]]*MouserListTable[[#This Row],[Price (USD)]]</f>
        <v>0</v>
      </c>
      <c r="O30" s="81" t="s">
        <v>2234</v>
      </c>
      <c r="P30" s="150">
        <f t="shared" si="0"/>
        <v>17</v>
      </c>
      <c r="Q30" s="78" t="s">
        <v>1884</v>
      </c>
      <c r="R30"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485-1314</v>
      </c>
      <c r="S30" s="133" t="str">
        <f>HYPERLINK("https://www.mouser.com/ProductDetail/" &amp;MouserListTable[[#This Row],[Mouser SKU]])</f>
        <v>https://www.mouser.com/ProductDetail/485-1314</v>
      </c>
      <c r="T30" s="94">
        <v>0</v>
      </c>
      <c r="U30" s="94">
        <v>0</v>
      </c>
      <c r="V30" s="94">
        <v>0</v>
      </c>
      <c r="W30" s="94">
        <f>MouserListTable[[#This Row],['#/Unit]]*FilterSpecs!$C$3+MouserListTable[[#This Row],[Extra]]</f>
        <v>0</v>
      </c>
      <c r="X30" s="94">
        <f>IF(MouserListTable[[#This Row],[Tag]]=FilterSpecs!$F$7,MouserListTable[[#This Row],['#/Unit]]*MouserListTable[[#This Row],[Price (USD)]],0)</f>
        <v>0</v>
      </c>
      <c r="Y30" s="94">
        <f>MouserListTable[[#This Row],[Tot '#]]*MouserListTable[[#This Row],[Price (USD)]]</f>
        <v>0</v>
      </c>
      <c r="Z30"/>
    </row>
    <row r="31" spans="1:16382" s="106" customFormat="1" x14ac:dyDescent="0.25">
      <c r="A31" s="78" t="s">
        <v>887</v>
      </c>
      <c r="B31" s="78" t="s">
        <v>881</v>
      </c>
      <c r="C31" s="78" t="s">
        <v>1892</v>
      </c>
      <c r="D31" s="81" t="str">
        <f>IF(MouserListTable[[#This Row],[Vendor]]=FilterSpecs!$A$8,MouserListTable[[#This Row],[Mouser SKU]], MouserListTable[[#This Row],[Supplier SKU]])</f>
        <v>485-1313</v>
      </c>
      <c r="E31" s="94">
        <f>MouserListTable[[#This Row],[Tot '#]]-MouserListTable[[#This Row],['# Initial]]</f>
        <v>0</v>
      </c>
      <c r="F31" s="94">
        <f>IF(AND(MouserListTable[[#This Row],[Tag]]&lt;&gt;FilterSpecs!$F$12, MouserListTable[[#This Row],[Tag]]&lt;&gt;FilterSpecs!$F$9), MouserListTable[[#This Row],['#/Unit]]*FilterSpecs!$B$3+MouserListTable[[#This Row],[Extra Initial]],0)</f>
        <v>0</v>
      </c>
      <c r="G31" s="78"/>
      <c r="H31" s="78"/>
      <c r="I31" s="97" t="s">
        <v>2237</v>
      </c>
      <c r="K31" s="118">
        <v>1.95</v>
      </c>
      <c r="L31" s="97" t="s">
        <v>1899</v>
      </c>
      <c r="N31" s="154">
        <f>MouserListTable[[#This Row],['# Initial]]*MouserListTable[[#This Row],[Price (USD)]]</f>
        <v>0</v>
      </c>
      <c r="O31" s="81" t="s">
        <v>2236</v>
      </c>
      <c r="P31" s="150">
        <f t="shared" si="0"/>
        <v>18</v>
      </c>
      <c r="Q31" s="78" t="s">
        <v>1884</v>
      </c>
      <c r="R31"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485-1313</v>
      </c>
      <c r="S31" s="133" t="str">
        <f>HYPERLINK("https://www.mouser.com/ProductDetail/" &amp;MouserListTable[[#This Row],[Mouser SKU]])</f>
        <v>https://www.mouser.com/ProductDetail/485-1313</v>
      </c>
      <c r="T31" s="94">
        <v>0</v>
      </c>
      <c r="U31" s="94">
        <v>0</v>
      </c>
      <c r="V31" s="94">
        <v>0</v>
      </c>
      <c r="W31" s="94">
        <f>MouserListTable[[#This Row],['#/Unit]]*FilterSpecs!$C$3+MouserListTable[[#This Row],[Extra]]</f>
        <v>0</v>
      </c>
      <c r="X31" s="94">
        <f>IF(MouserListTable[[#This Row],[Tag]]=FilterSpecs!$F$7,MouserListTable[[#This Row],['#/Unit]]*MouserListTable[[#This Row],[Price (USD)]],0)</f>
        <v>0</v>
      </c>
      <c r="Y31" s="94">
        <f>MouserListTable[[#This Row],[Tot '#]]*MouserListTable[[#This Row],[Price (USD)]]</f>
        <v>0</v>
      </c>
      <c r="Z31"/>
    </row>
    <row r="32" spans="1:16382" s="106" customFormat="1" x14ac:dyDescent="0.25">
      <c r="A32" s="78" t="s">
        <v>887</v>
      </c>
      <c r="B32" s="78" t="s">
        <v>881</v>
      </c>
      <c r="C32" s="78" t="s">
        <v>1892</v>
      </c>
      <c r="D32" s="81" t="str">
        <f>IF(MouserListTable[[#This Row],[Vendor]]=FilterSpecs!$A$8,MouserListTable[[#This Row],[Mouser SKU]], MouserListTable[[#This Row],[Supplier SKU]])</f>
        <v>485-1669</v>
      </c>
      <c r="E32" s="94">
        <f>MouserListTable[[#This Row],[Tot '#]]-MouserListTable[[#This Row],['# Initial]]</f>
        <v>0</v>
      </c>
      <c r="F32" s="94">
        <f>IF(AND(MouserListTable[[#This Row],[Tag]]&lt;&gt;FilterSpecs!$F$12, MouserListTable[[#This Row],[Tag]]&lt;&gt;FilterSpecs!$F$9), MouserListTable[[#This Row],['#/Unit]]*FilterSpecs!$B$3+MouserListTable[[#This Row],[Extra Initial]],0)</f>
        <v>0</v>
      </c>
      <c r="G32" s="78"/>
      <c r="H32" s="78"/>
      <c r="I32" s="97" t="s">
        <v>2239</v>
      </c>
      <c r="K32" s="118">
        <v>7.5</v>
      </c>
      <c r="L32" s="97" t="s">
        <v>1899</v>
      </c>
      <c r="N32" s="154">
        <f>MouserListTable[[#This Row],['# Initial]]*MouserListTable[[#This Row],[Price (USD)]]</f>
        <v>0</v>
      </c>
      <c r="O32" s="81" t="s">
        <v>2238</v>
      </c>
      <c r="P32" s="150">
        <f t="shared" si="0"/>
        <v>19</v>
      </c>
      <c r="Q32" s="78" t="s">
        <v>1884</v>
      </c>
      <c r="R32"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485-1669</v>
      </c>
      <c r="S32" s="133" t="str">
        <f>HYPERLINK("https://www.mouser.com/ProductDetail/" &amp;MouserListTable[[#This Row],[Mouser SKU]])</f>
        <v>https://www.mouser.com/ProductDetail/485-1669</v>
      </c>
      <c r="T32" s="94">
        <v>0</v>
      </c>
      <c r="U32" s="94">
        <v>0</v>
      </c>
      <c r="V32" s="94">
        <v>0</v>
      </c>
      <c r="W32" s="94">
        <f>MouserListTable[[#This Row],['#/Unit]]*FilterSpecs!$C$3+MouserListTable[[#This Row],[Extra]]</f>
        <v>0</v>
      </c>
      <c r="X32" s="94">
        <f>IF(MouserListTable[[#This Row],[Tag]]=FilterSpecs!$F$7,MouserListTable[[#This Row],['#/Unit]]*MouserListTable[[#This Row],[Price (USD)]],0)</f>
        <v>0</v>
      </c>
      <c r="Y32" s="94">
        <f>MouserListTable[[#This Row],[Tot '#]]*MouserListTable[[#This Row],[Price (USD)]]</f>
        <v>0</v>
      </c>
      <c r="Z32"/>
    </row>
    <row r="33" spans="1:26" s="106" customFormat="1" x14ac:dyDescent="0.25">
      <c r="A33" s="78" t="s">
        <v>887</v>
      </c>
      <c r="B33" s="78" t="s">
        <v>881</v>
      </c>
      <c r="C33" s="78" t="s">
        <v>1892</v>
      </c>
      <c r="D33" s="81" t="str">
        <f>IF(MouserListTable[[#This Row],[Vendor]]=FilterSpecs!$A$8,MouserListTable[[#This Row],[Mouser SKU]], MouserListTable[[#This Row],[Supplier SKU]])</f>
        <v>485-1363</v>
      </c>
      <c r="E33" s="94">
        <f>MouserListTable[[#This Row],[Tot '#]]-MouserListTable[[#This Row],['# Initial]]</f>
        <v>0</v>
      </c>
      <c r="F33" s="94">
        <f>IF(AND(MouserListTable[[#This Row],[Tag]]&lt;&gt;FilterSpecs!$F$12, MouserListTable[[#This Row],[Tag]]&lt;&gt;FilterSpecs!$F$9), MouserListTable[[#This Row],['#/Unit]]*FilterSpecs!$B$3+MouserListTable[[#This Row],[Extra Initial]],0)</f>
        <v>0</v>
      </c>
      <c r="G33" s="78"/>
      <c r="H33" s="78"/>
      <c r="I33" s="97" t="s">
        <v>2241</v>
      </c>
      <c r="K33" s="118">
        <v>9.9499999999999993</v>
      </c>
      <c r="L33" s="97" t="s">
        <v>1896</v>
      </c>
      <c r="N33" s="154">
        <f>MouserListTable[[#This Row],['# Initial]]*MouserListTable[[#This Row],[Price (USD)]]</f>
        <v>0</v>
      </c>
      <c r="O33" s="81" t="s">
        <v>2240</v>
      </c>
      <c r="P33" s="150">
        <f t="shared" si="0"/>
        <v>20</v>
      </c>
      <c r="Q33" s="78" t="s">
        <v>1884</v>
      </c>
      <c r="R33"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485-1363</v>
      </c>
      <c r="S33" s="133" t="str">
        <f>HYPERLINK("https://www.mouser.com/ProductDetail/" &amp;MouserListTable[[#This Row],[Mouser SKU]])</f>
        <v>https://www.mouser.com/ProductDetail/485-1363</v>
      </c>
      <c r="T33" s="94">
        <v>0</v>
      </c>
      <c r="U33" s="94">
        <v>0</v>
      </c>
      <c r="V33" s="94">
        <v>0</v>
      </c>
      <c r="W33" s="94">
        <f>MouserListTable[[#This Row],['#/Unit]]*FilterSpecs!$C$3+MouserListTable[[#This Row],[Extra]]</f>
        <v>0</v>
      </c>
      <c r="X33" s="94">
        <f>IF(MouserListTable[[#This Row],[Tag]]=FilterSpecs!$F$7,MouserListTable[[#This Row],['#/Unit]]*MouserListTable[[#This Row],[Price (USD)]],0)</f>
        <v>0</v>
      </c>
      <c r="Y33" s="94">
        <f>MouserListTable[[#This Row],[Tot '#]]*MouserListTable[[#This Row],[Price (USD)]]</f>
        <v>0</v>
      </c>
      <c r="Z33"/>
    </row>
    <row r="34" spans="1:26" s="106" customFormat="1" x14ac:dyDescent="0.25">
      <c r="A34" s="78" t="s">
        <v>887</v>
      </c>
      <c r="B34" s="78" t="s">
        <v>8</v>
      </c>
      <c r="C34" s="78" t="s">
        <v>1892</v>
      </c>
      <c r="D34" s="81" t="str">
        <f>IF(MouserListTable[[#This Row],[Vendor]]=FilterSpecs!$A$8,MouserListTable[[#This Row],[Mouser SKU]], MouserListTable[[#This Row],[Supplier SKU]])</f>
        <v>474-WRL-11373</v>
      </c>
      <c r="E34" s="94">
        <f>MouserListTable[[#This Row],[Tot '#]]-MouserListTable[[#This Row],['# Initial]]</f>
        <v>0</v>
      </c>
      <c r="F34" s="94">
        <f>IF(AND(MouserListTable[[#This Row],[Tag]]&lt;&gt;FilterSpecs!$F$12, MouserListTable[[#This Row],[Tag]]&lt;&gt;FilterSpecs!$F$9), MouserListTable[[#This Row],['#/Unit]]*FilterSpecs!$B$3+MouserListTable[[#This Row],[Extra Initial]],0)</f>
        <v>5</v>
      </c>
      <c r="G34" s="78" t="s">
        <v>51</v>
      </c>
      <c r="H34" s="78" t="s">
        <v>52</v>
      </c>
      <c r="I34" s="78" t="s">
        <v>53</v>
      </c>
      <c r="J34" s="78">
        <v>1</v>
      </c>
      <c r="K34" s="117">
        <v>9.9499999999999993</v>
      </c>
      <c r="L34" s="78" t="s">
        <v>1897</v>
      </c>
      <c r="M34" s="81"/>
      <c r="N34" s="154">
        <f>MouserListTable[[#This Row],['# Initial]]*MouserListTable[[#This Row],[Price (USD)]]</f>
        <v>49.75</v>
      </c>
      <c r="O34" s="81" t="s">
        <v>50</v>
      </c>
      <c r="P34" s="150">
        <f t="shared" si="0"/>
        <v>21</v>
      </c>
      <c r="Q34" s="78" t="s">
        <v>5</v>
      </c>
      <c r="R34"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474-WRL-11373</v>
      </c>
      <c r="S34" s="133" t="str">
        <f>HYPERLINK("https://www.mouser.com/ProductDetail/" &amp;MouserListTable[[#This Row],[Mouser SKU]])</f>
        <v>https://www.mouser.com/ProductDetail/474-WRL-11373</v>
      </c>
      <c r="T34" s="94">
        <v>1</v>
      </c>
      <c r="U34" s="94">
        <v>0</v>
      </c>
      <c r="V34" s="94">
        <v>0</v>
      </c>
      <c r="W34" s="94">
        <f>MouserListTable[[#This Row],['#/Unit]]*FilterSpecs!$C$3+MouserListTable[[#This Row],[Extra]]</f>
        <v>5</v>
      </c>
      <c r="X34" s="94">
        <f>IF(MouserListTable[[#This Row],[Tag]]=FilterSpecs!$F$7,MouserListTable[[#This Row],['#/Unit]]*MouserListTable[[#This Row],[Price (USD)]],0)</f>
        <v>9.9499999999999993</v>
      </c>
      <c r="Y34" s="94">
        <f>MouserListTable[[#This Row],[Tot '#]]*MouserListTable[[#This Row],[Price (USD)]]</f>
        <v>49.75</v>
      </c>
      <c r="Z34"/>
    </row>
    <row r="35" spans="1:26" s="106" customFormat="1" x14ac:dyDescent="0.25">
      <c r="A35" s="78" t="s">
        <v>887</v>
      </c>
      <c r="B35" s="78" t="s">
        <v>8</v>
      </c>
      <c r="C35" s="78" t="s">
        <v>1892</v>
      </c>
      <c r="D35" s="81" t="str">
        <f>IF(MouserListTable[[#This Row],[Vendor]]=FilterSpecs!$A$8,MouserListTable[[#This Row],[Mouser SKU]], MouserListTable[[#This Row],[Supplier SKU]])</f>
        <v>474-WRL-11697</v>
      </c>
      <c r="E35" s="94">
        <f>MouserListTable[[#This Row],[Tot '#]]-MouserListTable[[#This Row],['# Initial]]</f>
        <v>0</v>
      </c>
      <c r="F35" s="94">
        <f>IF(AND(MouserListTable[[#This Row],[Tag]]&lt;&gt;FilterSpecs!$F$12, MouserListTable[[#This Row],[Tag]]&lt;&gt;FilterSpecs!$F$9), MouserListTable[[#This Row],['#/Unit]]*FilterSpecs!$B$3+MouserListTable[[#This Row],[Extra Initial]],0)</f>
        <v>5</v>
      </c>
      <c r="G35" s="78" t="s">
        <v>55</v>
      </c>
      <c r="H35" s="78" t="s">
        <v>56</v>
      </c>
      <c r="I35" s="78" t="s">
        <v>57</v>
      </c>
      <c r="J35" s="78">
        <v>1</v>
      </c>
      <c r="K35" s="117">
        <v>24.95</v>
      </c>
      <c r="L35" s="78" t="s">
        <v>1897</v>
      </c>
      <c r="M35" s="81"/>
      <c r="N35" s="154">
        <f>MouserListTable[[#This Row],['# Initial]]*MouserListTable[[#This Row],[Price (USD)]]</f>
        <v>124.75</v>
      </c>
      <c r="O35" s="81" t="s">
        <v>54</v>
      </c>
      <c r="P35" s="150">
        <f t="shared" si="0"/>
        <v>22</v>
      </c>
      <c r="Q35" s="78" t="s">
        <v>5</v>
      </c>
      <c r="R35"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474-WRL-11697</v>
      </c>
      <c r="S35" s="133" t="str">
        <f>HYPERLINK("https://www.mouser.com/ProductDetail/" &amp;MouserListTable[[#This Row],[Mouser SKU]])</f>
        <v>https://www.mouser.com/ProductDetail/474-WRL-11697</v>
      </c>
      <c r="T35" s="94">
        <v>1</v>
      </c>
      <c r="U35" s="94">
        <v>0</v>
      </c>
      <c r="V35" s="94">
        <v>0</v>
      </c>
      <c r="W35" s="94">
        <f>MouserListTable[[#This Row],['#/Unit]]*FilterSpecs!$C$3+MouserListTable[[#This Row],[Extra]]</f>
        <v>5</v>
      </c>
      <c r="X35" s="94">
        <f>IF(MouserListTable[[#This Row],[Tag]]=FilterSpecs!$F$7,MouserListTable[[#This Row],['#/Unit]]*MouserListTable[[#This Row],[Price (USD)]],0)</f>
        <v>24.95</v>
      </c>
      <c r="Y35" s="94">
        <f>MouserListTable[[#This Row],[Tot '#]]*MouserListTable[[#This Row],[Price (USD)]]</f>
        <v>124.75</v>
      </c>
      <c r="Z35"/>
    </row>
    <row r="36" spans="1:26" s="106" customFormat="1" x14ac:dyDescent="0.25">
      <c r="A36" s="78" t="s">
        <v>887</v>
      </c>
      <c r="B36" s="78" t="s">
        <v>8</v>
      </c>
      <c r="C36" s="78" t="s">
        <v>1892</v>
      </c>
      <c r="D36" s="81" t="str">
        <f>IF(MouserListTable[[#This Row],[Vendor]]=FilterSpecs!$A$8,MouserListTable[[#This Row],[Mouser SKU]], MouserListTable[[#This Row],[Supplier SKU]])</f>
        <v>474-WRL-09434</v>
      </c>
      <c r="E36" s="94">
        <f>MouserListTable[[#This Row],[Tot '#]]-MouserListTable[[#This Row],['# Initial]]</f>
        <v>0</v>
      </c>
      <c r="F36" s="94">
        <f>IF(AND(MouserListTable[[#This Row],[Tag]]&lt;&gt;FilterSpecs!$F$12, MouserListTable[[#This Row],[Tag]]&lt;&gt;FilterSpecs!$F$9), MouserListTable[[#This Row],['#/Unit]]*FilterSpecs!$B$3+MouserListTable[[#This Row],[Extra Initial]],0)</f>
        <v>0</v>
      </c>
      <c r="G36" s="78" t="s">
        <v>59</v>
      </c>
      <c r="H36" s="78" t="s">
        <v>60</v>
      </c>
      <c r="I36" s="78" t="s">
        <v>61</v>
      </c>
      <c r="J36" s="78"/>
      <c r="K36" s="117">
        <v>10.95</v>
      </c>
      <c r="L36" s="78" t="s">
        <v>1897</v>
      </c>
      <c r="M36" s="81"/>
      <c r="N36" s="154">
        <f>MouserListTable[[#This Row],['# Initial]]*MouserListTable[[#This Row],[Price (USD)]]</f>
        <v>0</v>
      </c>
      <c r="O36" s="81" t="s">
        <v>58</v>
      </c>
      <c r="P36" s="150">
        <f t="shared" si="0"/>
        <v>23</v>
      </c>
      <c r="Q36" s="78" t="s">
        <v>5</v>
      </c>
      <c r="R36"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474-WRL-09434</v>
      </c>
      <c r="S36" s="133" t="str">
        <f>HYPERLINK("https://www.mouser.com/ProductDetail/" &amp;MouserListTable[[#This Row],[Mouser SKU]])</f>
        <v>https://www.mouser.com/ProductDetail/474-WRL-09434</v>
      </c>
      <c r="T36" s="94">
        <v>0</v>
      </c>
      <c r="U36" s="94">
        <v>0</v>
      </c>
      <c r="V36" s="94">
        <v>0</v>
      </c>
      <c r="W36" s="94">
        <f>MouserListTable[[#This Row],['#/Unit]]*FilterSpecs!$C$3+MouserListTable[[#This Row],[Extra]]</f>
        <v>0</v>
      </c>
      <c r="X36" s="94">
        <f>IF(MouserListTable[[#This Row],[Tag]]=FilterSpecs!$F$7,MouserListTable[[#This Row],['#/Unit]]*MouserListTable[[#This Row],[Price (USD)]],0)</f>
        <v>0</v>
      </c>
      <c r="Y36" s="94">
        <f>MouserListTable[[#This Row],[Tot '#]]*MouserListTable[[#This Row],[Price (USD)]]</f>
        <v>0</v>
      </c>
      <c r="Z36"/>
    </row>
    <row r="37" spans="1:26" s="106" customFormat="1" x14ac:dyDescent="0.25">
      <c r="A37" s="78" t="s">
        <v>887</v>
      </c>
      <c r="B37" s="78" t="s">
        <v>8</v>
      </c>
      <c r="C37" s="78" t="s">
        <v>1892</v>
      </c>
      <c r="D37" s="81" t="str">
        <f>IF(MouserListTable[[#This Row],[Vendor]]=FilterSpecs!$A$8,MouserListTable[[#This Row],[Mouser SKU]], MouserListTable[[#This Row],[Supplier SKU]])</f>
        <v>474-WRL-11601</v>
      </c>
      <c r="E37" s="94">
        <f>MouserListTable[[#This Row],[Tot '#]]-MouserListTable[[#This Row],['# Initial]]</f>
        <v>0</v>
      </c>
      <c r="F37" s="94">
        <f>IF(AND(MouserListTable[[#This Row],[Tag]]&lt;&gt;FilterSpecs!$F$12, MouserListTable[[#This Row],[Tag]]&lt;&gt;FilterSpecs!$F$9), MouserListTable[[#This Row],['#/Unit]]*FilterSpecs!$B$3+MouserListTable[[#This Row],[Extra Initial]],0)</f>
        <v>10</v>
      </c>
      <c r="G37" s="78" t="s">
        <v>63</v>
      </c>
      <c r="H37" s="78" t="s">
        <v>64</v>
      </c>
      <c r="I37" s="78" t="s">
        <v>65</v>
      </c>
      <c r="J37" s="78">
        <v>1</v>
      </c>
      <c r="K37" s="117">
        <v>24.95</v>
      </c>
      <c r="L37" s="78" t="s">
        <v>1897</v>
      </c>
      <c r="M37" s="81"/>
      <c r="N37" s="154">
        <f>MouserListTable[[#This Row],['# Initial]]*MouserListTable[[#This Row],[Price (USD)]]</f>
        <v>249.5</v>
      </c>
      <c r="O37" s="81" t="s">
        <v>62</v>
      </c>
      <c r="P37" s="150">
        <f t="shared" si="0"/>
        <v>24</v>
      </c>
      <c r="Q37" s="78" t="s">
        <v>5</v>
      </c>
      <c r="R37"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474-WRL-11601</v>
      </c>
      <c r="S37" s="133" t="str">
        <f>HYPERLINK("https://www.mouser.com/ProductDetail/" &amp;MouserListTable[[#This Row],[Mouser SKU]])</f>
        <v>https://www.mouser.com/ProductDetail/474-WRL-11601</v>
      </c>
      <c r="T37" s="94">
        <v>2</v>
      </c>
      <c r="U37" s="94">
        <v>0</v>
      </c>
      <c r="V37" s="94">
        <v>0</v>
      </c>
      <c r="W37" s="94">
        <f>MouserListTable[[#This Row],['#/Unit]]*FilterSpecs!$C$3+MouserListTable[[#This Row],[Extra]]</f>
        <v>10</v>
      </c>
      <c r="X37" s="94">
        <f>IF(MouserListTable[[#This Row],[Tag]]=FilterSpecs!$F$7,MouserListTable[[#This Row],['#/Unit]]*MouserListTable[[#This Row],[Price (USD)]],0)</f>
        <v>49.9</v>
      </c>
      <c r="Y37" s="94">
        <f>MouserListTable[[#This Row],[Tot '#]]*MouserListTable[[#This Row],[Price (USD)]]</f>
        <v>249.5</v>
      </c>
      <c r="Z37"/>
    </row>
    <row r="38" spans="1:26" s="106" customFormat="1" x14ac:dyDescent="0.25">
      <c r="A38" s="78" t="s">
        <v>887</v>
      </c>
      <c r="B38" s="78" t="s">
        <v>1882</v>
      </c>
      <c r="C38" s="78" t="s">
        <v>1892</v>
      </c>
      <c r="D38" s="81" t="str">
        <f>IF(MouserListTable[[#This Row],[Vendor]]=FilterSpecs!$A$8,MouserListTable[[#This Row],[Mouser SKU]], MouserListTable[[#This Row],[Supplier SKU]])</f>
        <v>474-WIG-12772</v>
      </c>
      <c r="E38" s="94">
        <f>MouserListTable[[#This Row],[Tot '#]]-MouserListTable[[#This Row],['# Initial]]</f>
        <v>1</v>
      </c>
      <c r="F38" s="94">
        <f>IF(AND(MouserListTable[[#This Row],[Tag]]&lt;&gt;FilterSpecs!$F$12, MouserListTable[[#This Row],[Tag]]&lt;&gt;FilterSpecs!$F$9), MouserListTable[[#This Row],['#/Unit]]*FilterSpecs!$B$3+MouserListTable[[#This Row],[Extra Initial]],0)</f>
        <v>0</v>
      </c>
      <c r="G38" s="78" t="s">
        <v>224</v>
      </c>
      <c r="H38" s="78" t="s">
        <v>225</v>
      </c>
      <c r="I38" s="78" t="s">
        <v>191</v>
      </c>
      <c r="J38" s="78">
        <v>1</v>
      </c>
      <c r="K38" s="117">
        <v>54.95</v>
      </c>
      <c r="L38" s="78" t="s">
        <v>1896</v>
      </c>
      <c r="M38" s="81"/>
      <c r="N38" s="154">
        <f>MouserListTable[[#This Row],['# Initial]]*MouserListTable[[#This Row],[Price (USD)]]</f>
        <v>0</v>
      </c>
      <c r="O38" s="81" t="s">
        <v>223</v>
      </c>
      <c r="P38" s="150">
        <f t="shared" si="0"/>
        <v>25</v>
      </c>
      <c r="Q38" s="78" t="s">
        <v>5</v>
      </c>
      <c r="R38"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474-WIG-12772</v>
      </c>
      <c r="S38" s="133" t="str">
        <f>HYPERLINK("https://www.mouser.com/ProductDetail/" &amp;MouserListTable[[#This Row],[Mouser SKU]])</f>
        <v>https://www.mouser.com/ProductDetail/474-WIG-12772</v>
      </c>
      <c r="T38" s="94">
        <v>0</v>
      </c>
      <c r="U38" s="94">
        <v>1</v>
      </c>
      <c r="V38" s="94">
        <v>0</v>
      </c>
      <c r="W38" s="94">
        <f>MouserListTable[[#This Row],['#/Unit]]*FilterSpecs!$C$3+MouserListTable[[#This Row],[Extra]]</f>
        <v>1</v>
      </c>
      <c r="X38" s="94">
        <f>IF(MouserListTable[[#This Row],[Tag]]=FilterSpecs!$F$7,MouserListTable[[#This Row],['#/Unit]]*MouserListTable[[#This Row],[Price (USD)]],0)</f>
        <v>0</v>
      </c>
      <c r="Y38" s="94">
        <f>MouserListTable[[#This Row],[Tot '#]]*MouserListTable[[#This Row],[Price (USD)]]</f>
        <v>54.95</v>
      </c>
      <c r="Z38"/>
    </row>
    <row r="39" spans="1:26" s="106" customFormat="1" x14ac:dyDescent="0.25">
      <c r="A39" s="78" t="s">
        <v>887</v>
      </c>
      <c r="B39" s="78" t="s">
        <v>1882</v>
      </c>
      <c r="C39" s="78" t="s">
        <v>1892</v>
      </c>
      <c r="D39" s="81" t="str">
        <f>IF(MouserListTable[[#This Row],[Vendor]]=FilterSpecs!$A$8,MouserListTable[[#This Row],[Mouser SKU]], MouserListTable[[#This Row],[Supplier SKU]])</f>
        <v>474-DEV-13712</v>
      </c>
      <c r="E39" s="94">
        <f>MouserListTable[[#This Row],[Tot '#]]-MouserListTable[[#This Row],['# Initial]]</f>
        <v>1</v>
      </c>
      <c r="F39" s="94">
        <f>IF(AND(MouserListTable[[#This Row],[Tag]]&lt;&gt;FilterSpecs!$F$12, MouserListTable[[#This Row],[Tag]]&lt;&gt;FilterSpecs!$F$9), MouserListTable[[#This Row],['#/Unit]]*FilterSpecs!$B$3+MouserListTable[[#This Row],[Extra Initial]],0)</f>
        <v>0</v>
      </c>
      <c r="G39" s="78" t="s">
        <v>1818</v>
      </c>
      <c r="H39" s="78" t="s">
        <v>1819</v>
      </c>
      <c r="I39" s="78" t="s">
        <v>1820</v>
      </c>
      <c r="J39" s="78">
        <v>1</v>
      </c>
      <c r="K39" s="117">
        <v>14.95</v>
      </c>
      <c r="L39" s="78" t="s">
        <v>1896</v>
      </c>
      <c r="M39" s="81"/>
      <c r="N39" s="154">
        <f>MouserListTable[[#This Row],['# Initial]]*MouserListTable[[#This Row],[Price (USD)]]</f>
        <v>0</v>
      </c>
      <c r="O39" s="81" t="s">
        <v>1817</v>
      </c>
      <c r="P39" s="150">
        <f t="shared" si="0"/>
        <v>26</v>
      </c>
      <c r="Q39" s="78" t="s">
        <v>5</v>
      </c>
      <c r="R39"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474-DEV-13712</v>
      </c>
      <c r="S39" s="133" t="str">
        <f>HYPERLINK("https://www.mouser.com/ProductDetail/" &amp;MouserListTable[[#This Row],[Mouser SKU]])</f>
        <v>https://www.mouser.com/ProductDetail/474-DEV-13712</v>
      </c>
      <c r="T39" s="94">
        <v>0</v>
      </c>
      <c r="U39" s="94">
        <v>1</v>
      </c>
      <c r="V39" s="94">
        <v>0</v>
      </c>
      <c r="W39" s="94">
        <f>MouserListTable[[#This Row],['#/Unit]]*FilterSpecs!$C$3+MouserListTable[[#This Row],[Extra]]</f>
        <v>1</v>
      </c>
      <c r="X39" s="94">
        <f>IF(MouserListTable[[#This Row],[Tag]]=FilterSpecs!$F$7,MouserListTable[[#This Row],['#/Unit]]*MouserListTable[[#This Row],[Price (USD)]],0)</f>
        <v>0</v>
      </c>
      <c r="Y39" s="94">
        <f>MouserListTable[[#This Row],[Tot '#]]*MouserListTable[[#This Row],[Price (USD)]]</f>
        <v>14.95</v>
      </c>
      <c r="Z39"/>
    </row>
    <row r="40" spans="1:26" s="104" customFormat="1" x14ac:dyDescent="0.25">
      <c r="A40" s="78" t="s">
        <v>887</v>
      </c>
      <c r="B40" s="78" t="s">
        <v>1882</v>
      </c>
      <c r="C40" s="78" t="s">
        <v>1892</v>
      </c>
      <c r="D40" s="81" t="str">
        <f>IF(MouserListTable[[#This Row],[Vendor]]=FilterSpecs!$A$8,MouserListTable[[#This Row],[Mouser SKU]], MouserListTable[[#This Row],[Supplier SKU]])</f>
        <v>474-DEV-12761</v>
      </c>
      <c r="E40" s="94">
        <f>MouserListTable[[#This Row],[Tot '#]]-MouserListTable[[#This Row],['# Initial]]</f>
        <v>1</v>
      </c>
      <c r="F40" s="94">
        <f>IF(AND(MouserListTable[[#This Row],[Tag]]&lt;&gt;FilterSpecs!$F$12, MouserListTable[[#This Row],[Tag]]&lt;&gt;FilterSpecs!$F$9), MouserListTable[[#This Row],['#/Unit]]*FilterSpecs!$B$3+MouserListTable[[#This Row],[Extra Initial]],0)</f>
        <v>0</v>
      </c>
      <c r="G40" s="78" t="s">
        <v>2482</v>
      </c>
      <c r="H40" s="78" t="s">
        <v>2483</v>
      </c>
      <c r="I40" s="78" t="s">
        <v>2484</v>
      </c>
      <c r="J40" s="78">
        <v>1</v>
      </c>
      <c r="K40" s="117">
        <v>14.95</v>
      </c>
      <c r="L40" s="78" t="s">
        <v>1897</v>
      </c>
      <c r="M40" s="78"/>
      <c r="N40" s="154">
        <f>MouserListTable[[#This Row],['# Initial]]*MouserListTable[[#This Row],[Price (USD)]]</f>
        <v>0</v>
      </c>
      <c r="O40" s="81" t="s">
        <v>2481</v>
      </c>
      <c r="P40" s="150">
        <f t="shared" si="0"/>
        <v>27</v>
      </c>
      <c r="Q40" s="78" t="s">
        <v>5</v>
      </c>
      <c r="R40"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474-DEV-12761</v>
      </c>
      <c r="S40" s="133" t="str">
        <f>HYPERLINK("https://www.mouser.com/ProductDetail/" &amp;MouserListTable[[#This Row],[Mouser SKU]])</f>
        <v>https://www.mouser.com/ProductDetail/474-DEV-12761</v>
      </c>
      <c r="T40" s="94">
        <v>0</v>
      </c>
      <c r="U40" s="94">
        <v>1</v>
      </c>
      <c r="V40" s="94">
        <v>0</v>
      </c>
      <c r="W40" s="94">
        <f>MouserListTable[[#This Row],['#/Unit]]*FilterSpecs!$C$3+MouserListTable[[#This Row],[Extra]]</f>
        <v>1</v>
      </c>
      <c r="X40" s="94">
        <f>IF(MouserListTable[[#This Row],[Tag]]=FilterSpecs!$F$7,MouserListTable[[#This Row],['#/Unit]]*MouserListTable[[#This Row],[Price (USD)]],0)</f>
        <v>0</v>
      </c>
      <c r="Y40" s="94">
        <f>MouserListTable[[#This Row],[Tot '#]]*MouserListTable[[#This Row],[Price (USD)]]</f>
        <v>14.95</v>
      </c>
      <c r="Z40"/>
    </row>
    <row r="41" spans="1:26" s="106" customFormat="1" x14ac:dyDescent="0.25">
      <c r="A41" s="78" t="s">
        <v>887</v>
      </c>
      <c r="B41" s="78" t="s">
        <v>1882</v>
      </c>
      <c r="C41" s="78" t="s">
        <v>1892</v>
      </c>
      <c r="D41" s="81" t="str">
        <f>IF(MouserListTable[[#This Row],[Vendor]]=FilterSpecs!$A$8,MouserListTable[[#This Row],[Mouser SKU]], MouserListTable[[#This Row],[Supplier SKU]])</f>
        <v>474-COM-13004</v>
      </c>
      <c r="E41" s="94">
        <f>MouserListTable[[#This Row],[Tot '#]]-MouserListTable[[#This Row],['# Initial]]</f>
        <v>0</v>
      </c>
      <c r="F41" s="94">
        <f>IF(AND(MouserListTable[[#This Row],[Tag]]&lt;&gt;FilterSpecs!$F$12, MouserListTable[[#This Row],[Tag]]&lt;&gt;FilterSpecs!$F$9), MouserListTable[[#This Row],['#/Unit]]*FilterSpecs!$B$3+MouserListTable[[#This Row],[Extra Initial]],0)</f>
        <v>5</v>
      </c>
      <c r="G41" s="78" t="s">
        <v>341</v>
      </c>
      <c r="H41" s="78" t="s">
        <v>342</v>
      </c>
      <c r="I41" s="78" t="s">
        <v>343</v>
      </c>
      <c r="K41" s="117">
        <v>4.95</v>
      </c>
      <c r="L41" s="78" t="s">
        <v>1897</v>
      </c>
      <c r="M41" s="81"/>
      <c r="N41" s="154">
        <f>MouserListTable[[#This Row],['# Initial]]*MouserListTable[[#This Row],[Price (USD)]]</f>
        <v>24.75</v>
      </c>
      <c r="O41" s="81" t="s">
        <v>340</v>
      </c>
      <c r="P41" s="150">
        <f t="shared" si="0"/>
        <v>28</v>
      </c>
      <c r="Q41" s="78" t="s">
        <v>5</v>
      </c>
      <c r="R41"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474-COM-13004</v>
      </c>
      <c r="S41" s="133" t="str">
        <f>HYPERLINK("https://www.mouser.com/ProductDetail/" &amp;MouserListTable[[#This Row],[Mouser SKU]])</f>
        <v>https://www.mouser.com/ProductDetail/474-COM-13004</v>
      </c>
      <c r="T41" s="94">
        <v>1</v>
      </c>
      <c r="U41" s="94">
        <v>0</v>
      </c>
      <c r="V41" s="94">
        <v>0</v>
      </c>
      <c r="W41" s="94">
        <f>MouserListTable[[#This Row],['#/Unit]]*FilterSpecs!$C$3+MouserListTable[[#This Row],[Extra]]</f>
        <v>5</v>
      </c>
      <c r="X41" s="94">
        <f>IF(MouserListTable[[#This Row],[Tag]]=FilterSpecs!$F$7,MouserListTable[[#This Row],['#/Unit]]*MouserListTable[[#This Row],[Price (USD)]],0)</f>
        <v>4.95</v>
      </c>
      <c r="Y41" s="94">
        <f>MouserListTable[[#This Row],[Tot '#]]*MouserListTable[[#This Row],[Price (USD)]]</f>
        <v>24.75</v>
      </c>
      <c r="Z41"/>
    </row>
    <row r="42" spans="1:26" s="106" customFormat="1" x14ac:dyDescent="0.25">
      <c r="A42" s="78" t="s">
        <v>887</v>
      </c>
      <c r="B42" s="78" t="s">
        <v>1882</v>
      </c>
      <c r="C42" s="78" t="s">
        <v>1892</v>
      </c>
      <c r="D42" s="81" t="str">
        <f>IF(MouserListTable[[#This Row],[Vendor]]=FilterSpecs!$A$8,MouserListTable[[#This Row],[Mouser SKU]], MouserListTable[[#This Row],[Supplier SKU]])</f>
        <v>474-TOL-09419</v>
      </c>
      <c r="E42" s="94">
        <f>MouserListTable[[#This Row],[Tot '#]]-MouserListTable[[#This Row],['# Initial]]</f>
        <v>0</v>
      </c>
      <c r="F42" s="94">
        <f>IF(AND(MouserListTable[[#This Row],[Tag]]&lt;&gt;FilterSpecs!$F$12, MouserListTable[[#This Row],[Tag]]&lt;&gt;FilterSpecs!$F$9), MouserListTable[[#This Row],['#/Unit]]*FilterSpecs!$B$3+MouserListTable[[#This Row],[Extra Initial]],0)</f>
        <v>1</v>
      </c>
      <c r="G42" s="78" t="s">
        <v>227</v>
      </c>
      <c r="H42" s="78" t="s">
        <v>228</v>
      </c>
      <c r="I42" s="78" t="s">
        <v>198</v>
      </c>
      <c r="J42" s="78">
        <v>1</v>
      </c>
      <c r="K42" s="117">
        <v>9.9499999999999993</v>
      </c>
      <c r="L42" s="78" t="s">
        <v>1900</v>
      </c>
      <c r="M42" s="81"/>
      <c r="N42" s="154">
        <f>MouserListTable[[#This Row],['# Initial]]*MouserListTable[[#This Row],[Price (USD)]]</f>
        <v>9.9499999999999993</v>
      </c>
      <c r="O42" s="81" t="s">
        <v>226</v>
      </c>
      <c r="P42" s="150">
        <f t="shared" si="0"/>
        <v>29</v>
      </c>
      <c r="Q42" s="78" t="s">
        <v>5</v>
      </c>
      <c r="R42"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474-TOL-09419</v>
      </c>
      <c r="S42" s="133" t="str">
        <f>HYPERLINK("https://www.mouser.com/ProductDetail/" &amp;MouserListTable[[#This Row],[Mouser SKU]])</f>
        <v>https://www.mouser.com/ProductDetail/474-TOL-09419</v>
      </c>
      <c r="T42" s="94">
        <v>0</v>
      </c>
      <c r="U42" s="94">
        <v>1</v>
      </c>
      <c r="V42" s="94">
        <v>1</v>
      </c>
      <c r="W42" s="94">
        <f>MouserListTable[[#This Row],['#/Unit]]*FilterSpecs!$C$3+MouserListTable[[#This Row],[Extra]]</f>
        <v>1</v>
      </c>
      <c r="X42" s="94">
        <f>IF(MouserListTable[[#This Row],[Tag]]=FilterSpecs!$F$7,MouserListTable[[#This Row],['#/Unit]]*MouserListTable[[#This Row],[Price (USD)]],0)</f>
        <v>0</v>
      </c>
      <c r="Y42" s="94">
        <f>MouserListTable[[#This Row],[Tot '#]]*MouserListTable[[#This Row],[Price (USD)]]</f>
        <v>9.9499999999999993</v>
      </c>
      <c r="Z42"/>
    </row>
    <row r="43" spans="1:26" s="106" customFormat="1" x14ac:dyDescent="0.25">
      <c r="A43" s="97" t="s">
        <v>887</v>
      </c>
      <c r="B43" s="97" t="s">
        <v>1882</v>
      </c>
      <c r="C43" s="78" t="s">
        <v>1892</v>
      </c>
      <c r="D43" s="81" t="str">
        <f>IF(MouserListTable[[#This Row],[Vendor]]=FilterSpecs!$A$8,MouserListTable[[#This Row],[Mouser SKU]], MouserListTable[[#This Row],[Supplier SKU]])</f>
        <v>474-BOB-12941</v>
      </c>
      <c r="E43" s="94">
        <f>MouserListTable[[#This Row],[Tot '#]]-MouserListTable[[#This Row],['# Initial]]</f>
        <v>0</v>
      </c>
      <c r="F43" s="94">
        <f>IF(AND(MouserListTable[[#This Row],[Tag]]&lt;&gt;FilterSpecs!$F$12, MouserListTable[[#This Row],[Tag]]&lt;&gt;FilterSpecs!$F$9), MouserListTable[[#This Row],['#/Unit]]*FilterSpecs!$B$3+MouserListTable[[#This Row],[Extra Initial]],0)</f>
        <v>0</v>
      </c>
      <c r="G43" s="78" t="s">
        <v>280</v>
      </c>
      <c r="H43" s="78" t="s">
        <v>281</v>
      </c>
      <c r="I43" s="78" t="s">
        <v>196</v>
      </c>
      <c r="J43" s="78">
        <v>1</v>
      </c>
      <c r="K43" s="117">
        <v>9.9499999999999993</v>
      </c>
      <c r="L43" s="78" t="s">
        <v>1897</v>
      </c>
      <c r="N43" s="154">
        <f>MouserListTable[[#This Row],['# Initial]]*MouserListTable[[#This Row],[Price (USD)]]</f>
        <v>0</v>
      </c>
      <c r="O43" s="81" t="s">
        <v>279</v>
      </c>
      <c r="P43" s="150">
        <f t="shared" si="0"/>
        <v>30</v>
      </c>
      <c r="Q43" s="78" t="s">
        <v>5</v>
      </c>
      <c r="R43"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474-BOB-12941</v>
      </c>
      <c r="S43" s="133" t="str">
        <f>HYPERLINK("https://www.mouser.com/ProductDetail/" &amp;MouserListTable[[#This Row],[Mouser SKU]])</f>
        <v>https://www.mouser.com/ProductDetail/474-BOB-12941</v>
      </c>
      <c r="T43" s="94">
        <v>0</v>
      </c>
      <c r="U43" s="94">
        <v>0</v>
      </c>
      <c r="V43" s="94">
        <v>0</v>
      </c>
      <c r="W43" s="94">
        <f>MouserListTable[[#This Row],['#/Unit]]*FilterSpecs!$C$3+MouserListTable[[#This Row],[Extra]]</f>
        <v>0</v>
      </c>
      <c r="X43" s="94">
        <f>IF(MouserListTable[[#This Row],[Tag]]=FilterSpecs!$F$7,MouserListTable[[#This Row],['#/Unit]]*MouserListTable[[#This Row],[Price (USD)]],0)</f>
        <v>0</v>
      </c>
      <c r="Y43" s="94">
        <f>MouserListTable[[#This Row],[Tot '#]]*MouserListTable[[#This Row],[Price (USD)]]</f>
        <v>0</v>
      </c>
      <c r="Z43"/>
    </row>
    <row r="44" spans="1:26" s="106" customFormat="1" x14ac:dyDescent="0.25">
      <c r="A44" s="78" t="s">
        <v>887</v>
      </c>
      <c r="B44" s="78" t="s">
        <v>1882</v>
      </c>
      <c r="C44" s="78" t="s">
        <v>1892</v>
      </c>
      <c r="D44" s="81" t="str">
        <f>IF(MouserListTable[[#This Row],[Vendor]]=FilterSpecs!$A$8,MouserListTable[[#This Row],[Mouser SKU]], MouserListTable[[#This Row],[Supplier SKU]])</f>
        <v>474-DEV-13743</v>
      </c>
      <c r="E44" s="94">
        <f>MouserListTable[[#This Row],[Tot '#]]-MouserListTable[[#This Row],['# Initial]]</f>
        <v>0</v>
      </c>
      <c r="F44" s="94">
        <f>IF(AND(MouserListTable[[#This Row],[Tag]]&lt;&gt;FilterSpecs!$F$12, MouserListTable[[#This Row],[Tag]]&lt;&gt;FilterSpecs!$F$9), MouserListTable[[#This Row],['#/Unit]]*FilterSpecs!$B$3+MouserListTable[[#This Row],[Extra Initial]],0)</f>
        <v>5</v>
      </c>
      <c r="G44" s="78" t="s">
        <v>408</v>
      </c>
      <c r="H44" s="78" t="s">
        <v>409</v>
      </c>
      <c r="I44" s="78" t="s">
        <v>216</v>
      </c>
      <c r="J44" s="78">
        <v>1</v>
      </c>
      <c r="K44" s="117">
        <v>4.95</v>
      </c>
      <c r="L44" s="78" t="s">
        <v>1897</v>
      </c>
      <c r="M44" s="81"/>
      <c r="N44" s="154">
        <f>MouserListTable[[#This Row],['# Initial]]*MouserListTable[[#This Row],[Price (USD)]]</f>
        <v>24.75</v>
      </c>
      <c r="O44" s="81" t="s">
        <v>407</v>
      </c>
      <c r="P44" s="150">
        <f t="shared" si="0"/>
        <v>31</v>
      </c>
      <c r="Q44" s="78" t="s">
        <v>5</v>
      </c>
      <c r="R44"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474-DEV-13743</v>
      </c>
      <c r="S44" s="133" t="str">
        <f>HYPERLINK("https://www.mouser.com/ProductDetail/" &amp;MouserListTable[[#This Row],[Mouser SKU]])</f>
        <v>https://www.mouser.com/ProductDetail/474-DEV-13743</v>
      </c>
      <c r="T44" s="94">
        <v>1</v>
      </c>
      <c r="U44" s="94">
        <v>0</v>
      </c>
      <c r="V44" s="94">
        <v>0</v>
      </c>
      <c r="W44" s="94">
        <f>MouserListTable[[#This Row],['#/Unit]]*FilterSpecs!$C$3+MouserListTable[[#This Row],[Extra]]</f>
        <v>5</v>
      </c>
      <c r="X44" s="94">
        <f>IF(MouserListTable[[#This Row],[Tag]]=FilterSpecs!$F$7,MouserListTable[[#This Row],['#/Unit]]*MouserListTable[[#This Row],[Price (USD)]],0)</f>
        <v>4.95</v>
      </c>
      <c r="Y44" s="94">
        <f>MouserListTable[[#This Row],[Tot '#]]*MouserListTable[[#This Row],[Price (USD)]]</f>
        <v>24.75</v>
      </c>
      <c r="Z44"/>
    </row>
    <row r="45" spans="1:26" s="106" customFormat="1" x14ac:dyDescent="0.25">
      <c r="A45" s="78" t="s">
        <v>887</v>
      </c>
      <c r="B45" s="78" t="s">
        <v>1882</v>
      </c>
      <c r="C45" s="78" t="s">
        <v>1892</v>
      </c>
      <c r="D45" s="81" t="str">
        <f>IF(MouserListTable[[#This Row],[Vendor]]=FilterSpecs!$A$8,MouserListTable[[#This Row],[Mouser SKU]], MouserListTable[[#This Row],[Supplier SKU]])</f>
        <v>474-COM-13833</v>
      </c>
      <c r="E45" s="94">
        <f>MouserListTable[[#This Row],[Tot '#]]-MouserListTable[[#This Row],['# Initial]]</f>
        <v>1</v>
      </c>
      <c r="F45" s="94">
        <f>IF(AND(MouserListTable[[#This Row],[Tag]]&lt;&gt;FilterSpecs!$F$12, MouserListTable[[#This Row],[Tag]]&lt;&gt;FilterSpecs!$F$9), MouserListTable[[#This Row],['#/Unit]]*FilterSpecs!$B$3+MouserListTable[[#This Row],[Extra Initial]],0)</f>
        <v>5</v>
      </c>
      <c r="G45" s="78" t="s">
        <v>629</v>
      </c>
      <c r="H45" s="78" t="s">
        <v>630</v>
      </c>
      <c r="I45" s="78" t="s">
        <v>631</v>
      </c>
      <c r="J45" s="78">
        <v>1</v>
      </c>
      <c r="K45" s="117">
        <v>19.95</v>
      </c>
      <c r="L45" s="78" t="s">
        <v>1897</v>
      </c>
      <c r="M45" s="81"/>
      <c r="N45" s="154">
        <f>MouserListTable[[#This Row],['# Initial]]*MouserListTable[[#This Row],[Price (USD)]]</f>
        <v>99.75</v>
      </c>
      <c r="O45" s="81" t="s">
        <v>628</v>
      </c>
      <c r="P45" s="150">
        <f t="shared" si="0"/>
        <v>32</v>
      </c>
      <c r="Q45" s="78" t="s">
        <v>5</v>
      </c>
      <c r="R45"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474-COM-13833</v>
      </c>
      <c r="S45" s="133" t="str">
        <f>HYPERLINK("https://www.mouser.com/ProductDetail/" &amp;MouserListTable[[#This Row],[Mouser SKU]])</f>
        <v>https://www.mouser.com/ProductDetail/474-COM-13833</v>
      </c>
      <c r="T45" s="94">
        <v>1</v>
      </c>
      <c r="U45" s="94">
        <v>1</v>
      </c>
      <c r="V45" s="94">
        <v>0</v>
      </c>
      <c r="W45" s="94">
        <f>MouserListTable[[#This Row],['#/Unit]]*FilterSpecs!$C$3+MouserListTable[[#This Row],[Extra]]</f>
        <v>6</v>
      </c>
      <c r="X45" s="94">
        <f>IF(MouserListTable[[#This Row],[Tag]]=FilterSpecs!$F$7,MouserListTable[[#This Row],['#/Unit]]*MouserListTable[[#This Row],[Price (USD)]],0)</f>
        <v>19.95</v>
      </c>
      <c r="Y45" s="94">
        <f>MouserListTable[[#This Row],[Tot '#]]*MouserListTable[[#This Row],[Price (USD)]]</f>
        <v>119.69999999999999</v>
      </c>
      <c r="Z45"/>
    </row>
    <row r="46" spans="1:26" s="106" customFormat="1" x14ac:dyDescent="0.25">
      <c r="A46" s="78" t="s">
        <v>887</v>
      </c>
      <c r="B46" s="78" t="s">
        <v>1882</v>
      </c>
      <c r="C46" s="78" t="s">
        <v>1892</v>
      </c>
      <c r="D46" s="81" t="str">
        <f>IF(MouserListTable[[#This Row],[Vendor]]=FilterSpecs!$A$8,MouserListTable[[#This Row],[Mouser SKU]], MouserListTable[[#This Row],[Supplier SKU]])</f>
        <v>485-102</v>
      </c>
      <c r="E46" s="94">
        <f>MouserListTable[[#This Row],[Tot '#]]-MouserListTable[[#This Row],['# Initial]]</f>
        <v>2</v>
      </c>
      <c r="F46" s="94">
        <f>IF(AND(MouserListTable[[#This Row],[Tag]]&lt;&gt;FilterSpecs!$F$12, MouserListTable[[#This Row],[Tag]]&lt;&gt;FilterSpecs!$F$9), MouserListTable[[#This Row],['#/Unit]]*FilterSpecs!$B$3+MouserListTable[[#This Row],[Extra Initial]],0)</f>
        <v>0</v>
      </c>
      <c r="G46" s="78"/>
      <c r="H46" s="78"/>
      <c r="I46" s="78" t="s">
        <v>2243</v>
      </c>
      <c r="J46" s="78"/>
      <c r="K46" s="117">
        <v>7.95</v>
      </c>
      <c r="L46" s="78" t="s">
        <v>1896</v>
      </c>
      <c r="M46" s="81"/>
      <c r="N46" s="154">
        <f>MouserListTable[[#This Row],['# Initial]]*MouserListTable[[#This Row],[Price (USD)]]</f>
        <v>0</v>
      </c>
      <c r="O46" s="81" t="s">
        <v>2242</v>
      </c>
      <c r="P46" s="150">
        <f t="shared" si="0"/>
        <v>33</v>
      </c>
      <c r="Q46" s="78" t="s">
        <v>1884</v>
      </c>
      <c r="R46"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485-102</v>
      </c>
      <c r="S46" s="133" t="str">
        <f>HYPERLINK("https://www.mouser.com/ProductDetail/" &amp;MouserListTable[[#This Row],[Mouser SKU]])</f>
        <v>https://www.mouser.com/ProductDetail/485-102</v>
      </c>
      <c r="T46" s="94">
        <v>0</v>
      </c>
      <c r="U46" s="94">
        <v>2</v>
      </c>
      <c r="V46" s="94">
        <v>0</v>
      </c>
      <c r="W46" s="94">
        <f>MouserListTable[[#This Row],['#/Unit]]*FilterSpecs!$C$3+MouserListTable[[#This Row],[Extra]]</f>
        <v>2</v>
      </c>
      <c r="X46" s="94">
        <f>IF(MouserListTable[[#This Row],[Tag]]=FilterSpecs!$F$7,MouserListTable[[#This Row],['#/Unit]]*MouserListTable[[#This Row],[Price (USD)]],0)</f>
        <v>0</v>
      </c>
      <c r="Y46" s="94">
        <f>MouserListTable[[#This Row],[Tot '#]]*MouserListTable[[#This Row],[Price (USD)]]</f>
        <v>15.9</v>
      </c>
      <c r="Z46"/>
    </row>
    <row r="47" spans="1:26" s="106" customFormat="1" x14ac:dyDescent="0.25">
      <c r="A47" s="97" t="s">
        <v>887</v>
      </c>
      <c r="B47" s="97" t="s">
        <v>1882</v>
      </c>
      <c r="C47" s="78" t="s">
        <v>1892</v>
      </c>
      <c r="D47" s="81" t="str">
        <f>IF(MouserListTable[[#This Row],[Vendor]]=FilterSpecs!$A$8,MouserListTable[[#This Row],[Mouser SKU]], MouserListTable[[#This Row],[Supplier SKU]])</f>
        <v>485-2693</v>
      </c>
      <c r="E47" s="94">
        <f>MouserListTable[[#This Row],[Tot '#]]-MouserListTable[[#This Row],['# Initial]]</f>
        <v>0</v>
      </c>
      <c r="F47" s="94">
        <f>IF(AND(MouserListTable[[#This Row],[Tag]]&lt;&gt;FilterSpecs!$F$12, MouserListTable[[#This Row],[Tag]]&lt;&gt;FilterSpecs!$F$9), MouserListTable[[#This Row],['#/Unit]]*FilterSpecs!$B$3+MouserListTable[[#This Row],[Extra Initial]],0)</f>
        <v>0</v>
      </c>
      <c r="G47" s="78"/>
      <c r="H47" s="78"/>
      <c r="I47" s="78" t="s">
        <v>2245</v>
      </c>
      <c r="J47" s="78"/>
      <c r="K47" s="117">
        <v>19.95</v>
      </c>
      <c r="L47" s="78" t="s">
        <v>1899</v>
      </c>
      <c r="N47" s="154">
        <f>MouserListTable[[#This Row],['# Initial]]*MouserListTable[[#This Row],[Price (USD)]]</f>
        <v>0</v>
      </c>
      <c r="O47" s="81" t="s">
        <v>2244</v>
      </c>
      <c r="P47" s="150">
        <f t="shared" si="0"/>
        <v>34</v>
      </c>
      <c r="Q47" s="78" t="s">
        <v>1884</v>
      </c>
      <c r="R47"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485-2693</v>
      </c>
      <c r="S47" s="133" t="str">
        <f>HYPERLINK("https://www.mouser.com/ProductDetail/" &amp;MouserListTable[[#This Row],[Mouser SKU]])</f>
        <v>https://www.mouser.com/ProductDetail/485-2693</v>
      </c>
      <c r="T47" s="94">
        <v>0</v>
      </c>
      <c r="U47" s="94">
        <v>0</v>
      </c>
      <c r="V47" s="94">
        <v>0</v>
      </c>
      <c r="W47" s="94">
        <f>MouserListTable[[#This Row],['#/Unit]]*FilterSpecs!$C$3+MouserListTable[[#This Row],[Extra]]</f>
        <v>0</v>
      </c>
      <c r="X47" s="94">
        <f>IF(MouserListTable[[#This Row],[Tag]]=FilterSpecs!$F$7,MouserListTable[[#This Row],['#/Unit]]*MouserListTable[[#This Row],[Price (USD)]],0)</f>
        <v>0</v>
      </c>
      <c r="Y47" s="94">
        <f>MouserListTable[[#This Row],[Tot '#]]*MouserListTable[[#This Row],[Price (USD)]]</f>
        <v>0</v>
      </c>
      <c r="Z47"/>
    </row>
    <row r="48" spans="1:26" s="106" customFormat="1" x14ac:dyDescent="0.25">
      <c r="A48" s="78" t="s">
        <v>887</v>
      </c>
      <c r="B48" s="78" t="s">
        <v>1882</v>
      </c>
      <c r="C48" s="78" t="s">
        <v>1892</v>
      </c>
      <c r="D48" s="81" t="str">
        <f>IF(MouserListTable[[#This Row],[Vendor]]=FilterSpecs!$A$8,MouserListTable[[#This Row],[Mouser SKU]], MouserListTable[[#This Row],[Supplier SKU]])</f>
        <v>485-1294</v>
      </c>
      <c r="E48" s="94">
        <f>MouserListTable[[#This Row],[Tot '#]]-MouserListTable[[#This Row],['# Initial]]</f>
        <v>0</v>
      </c>
      <c r="F48" s="94">
        <f>IF(AND(MouserListTable[[#This Row],[Tag]]&lt;&gt;FilterSpecs!$F$12, MouserListTable[[#This Row],[Tag]]&lt;&gt;FilterSpecs!$F$9), MouserListTable[[#This Row],['#/Unit]]*FilterSpecs!$B$3+MouserListTable[[#This Row],[Extra Initial]],0)</f>
        <v>0</v>
      </c>
      <c r="G48" s="78"/>
      <c r="H48" s="78"/>
      <c r="I48" s="97" t="s">
        <v>2247</v>
      </c>
      <c r="K48" s="118">
        <v>9.9499999999999993</v>
      </c>
      <c r="L48" s="97" t="s">
        <v>1896</v>
      </c>
      <c r="N48" s="154">
        <f>MouserListTable[[#This Row],['# Initial]]*MouserListTable[[#This Row],[Price (USD)]]</f>
        <v>0</v>
      </c>
      <c r="O48" s="81" t="s">
        <v>2246</v>
      </c>
      <c r="P48" s="150">
        <f t="shared" si="0"/>
        <v>35</v>
      </c>
      <c r="Q48" s="78" t="s">
        <v>1884</v>
      </c>
      <c r="R48"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485-1294</v>
      </c>
      <c r="S48" s="133" t="str">
        <f>HYPERLINK("https://www.mouser.com/ProductDetail/" &amp;MouserListTable[[#This Row],[Mouser SKU]])</f>
        <v>https://www.mouser.com/ProductDetail/485-1294</v>
      </c>
      <c r="T48" s="94">
        <v>0</v>
      </c>
      <c r="U48" s="94">
        <v>0</v>
      </c>
      <c r="V48" s="94">
        <v>0</v>
      </c>
      <c r="W48" s="94">
        <f>MouserListTable[[#This Row],['#/Unit]]*FilterSpecs!$C$3+MouserListTable[[#This Row],[Extra]]</f>
        <v>0</v>
      </c>
      <c r="X48" s="94">
        <f>IF(MouserListTable[[#This Row],[Tag]]=FilterSpecs!$F$7,MouserListTable[[#This Row],['#/Unit]]*MouserListTable[[#This Row],[Price (USD)]],0)</f>
        <v>0</v>
      </c>
      <c r="Y48" s="94">
        <f>MouserListTable[[#This Row],[Tot '#]]*MouserListTable[[#This Row],[Price (USD)]]</f>
        <v>0</v>
      </c>
      <c r="Z48"/>
    </row>
    <row r="49" spans="1:28" s="106" customFormat="1" x14ac:dyDescent="0.25">
      <c r="A49" s="150" t="s">
        <v>887</v>
      </c>
      <c r="B49" s="150" t="s">
        <v>1882</v>
      </c>
      <c r="C49" s="150" t="s">
        <v>1892</v>
      </c>
      <c r="D49" s="151" t="str">
        <f>IF(MouserListTable[[#This Row],[Vendor]]=FilterSpecs!$A$8,MouserListTable[[#This Row],[Mouser SKU]], MouserListTable[[#This Row],[Supplier SKU]])</f>
        <v>474-TOL-12078</v>
      </c>
      <c r="E49" s="152">
        <f>MouserListTable[[#This Row],[Tot '#]]-MouserListTable[[#This Row],['# Initial]]</f>
        <v>1</v>
      </c>
      <c r="F49" s="152">
        <f>IF(AND(MouserListTable[[#This Row],[Tag]]&lt;&gt;FilterSpecs!$F$12, MouserListTable[[#This Row],[Tag]]&lt;&gt;FilterSpecs!$F$9), MouserListTable[[#This Row],['#/Unit]]*FilterSpecs!$B$3+MouserListTable[[#This Row],[Extra Initial]],0)</f>
        <v>0</v>
      </c>
      <c r="G49" s="78" t="s">
        <v>1613</v>
      </c>
      <c r="H49" s="78" t="s">
        <v>1614</v>
      </c>
      <c r="I49" s="78" t="s">
        <v>1615</v>
      </c>
      <c r="J49" s="78"/>
      <c r="K49" s="117">
        <v>4.95</v>
      </c>
      <c r="L49" s="78" t="s">
        <v>1900</v>
      </c>
      <c r="M49" s="81"/>
      <c r="N49" s="154">
        <f>MouserListTable[[#This Row],['# Initial]]*MouserListTable[[#This Row],[Price (USD)]]</f>
        <v>0</v>
      </c>
      <c r="O49" s="81" t="s">
        <v>1612</v>
      </c>
      <c r="P49" s="150">
        <f t="shared" si="0"/>
        <v>36</v>
      </c>
      <c r="Q49" s="78" t="s">
        <v>5</v>
      </c>
      <c r="R49"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474-TOL-12078</v>
      </c>
      <c r="S49" s="133" t="str">
        <f>HYPERLINK("https://www.mouser.com/ProductDetail/" &amp;MouserListTable[[#This Row],[Mouser SKU]])</f>
        <v>https://www.mouser.com/ProductDetail/474-TOL-12078</v>
      </c>
      <c r="T49" s="94">
        <v>0</v>
      </c>
      <c r="U49" s="94">
        <v>1</v>
      </c>
      <c r="V49" s="94">
        <v>0</v>
      </c>
      <c r="W49" s="94">
        <f>MouserListTable[[#This Row],['#/Unit]]*FilterSpecs!$C$3+MouserListTable[[#This Row],[Extra]]</f>
        <v>1</v>
      </c>
      <c r="X49" s="94">
        <f>IF(MouserListTable[[#This Row],[Tag]]=FilterSpecs!$F$7,MouserListTable[[#This Row],['#/Unit]]*MouserListTable[[#This Row],[Price (USD)]],0)</f>
        <v>0</v>
      </c>
      <c r="Y49" s="94">
        <f>MouserListTable[[#This Row],[Tot '#]]*MouserListTable[[#This Row],[Price (USD)]]</f>
        <v>4.95</v>
      </c>
      <c r="Z49"/>
    </row>
    <row r="50" spans="1:28" s="106" customFormat="1" x14ac:dyDescent="0.25">
      <c r="A50" s="150" t="s">
        <v>887</v>
      </c>
      <c r="B50" s="150" t="s">
        <v>1882</v>
      </c>
      <c r="C50" s="150" t="s">
        <v>1892</v>
      </c>
      <c r="D50" s="151" t="str">
        <f>IF(MouserListTable[[#This Row],[Vendor]]=FilterSpecs!$A$8,MouserListTable[[#This Row],[Mouser SKU]], MouserListTable[[#This Row],[Supplier SKU]])</f>
        <v>474-TOL-11060</v>
      </c>
      <c r="E50" s="152">
        <f>MouserListTable[[#This Row],[Tot '#]]-MouserListTable[[#This Row],['# Initial]]</f>
        <v>0</v>
      </c>
      <c r="F50" s="152">
        <f>IF(AND(MouserListTable[[#This Row],[Tag]]&lt;&gt;FilterSpecs!$F$12, MouserListTable[[#This Row],[Tag]]&lt;&gt;FilterSpecs!$F$9), MouserListTable[[#This Row],['#/Unit]]*FilterSpecs!$B$3+MouserListTable[[#This Row],[Extra Initial]],0)</f>
        <v>1</v>
      </c>
      <c r="G50" s="78" t="s">
        <v>831</v>
      </c>
      <c r="H50" s="78" t="s">
        <v>832</v>
      </c>
      <c r="I50" s="78" t="s">
        <v>833</v>
      </c>
      <c r="J50" s="78"/>
      <c r="K50" s="117">
        <v>4.95</v>
      </c>
      <c r="L50" s="78" t="s">
        <v>1900</v>
      </c>
      <c r="M50" s="81"/>
      <c r="N50" s="154">
        <f>MouserListTable[[#This Row],['# Initial]]*MouserListTable[[#This Row],[Price (USD)]]</f>
        <v>4.95</v>
      </c>
      <c r="O50" s="81" t="s">
        <v>830</v>
      </c>
      <c r="P50" s="150">
        <f t="shared" si="0"/>
        <v>37</v>
      </c>
      <c r="Q50" s="78" t="s">
        <v>5</v>
      </c>
      <c r="R50"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474-TOL-11060</v>
      </c>
      <c r="S50" s="133" t="str">
        <f>HYPERLINK("https://www.mouser.com/ProductDetail/" &amp;MouserListTable[[#This Row],[Mouser SKU]])</f>
        <v>https://www.mouser.com/ProductDetail/474-TOL-11060</v>
      </c>
      <c r="T50" s="94">
        <v>0</v>
      </c>
      <c r="U50" s="94">
        <v>1</v>
      </c>
      <c r="V50" s="94">
        <v>1</v>
      </c>
      <c r="W50" s="94">
        <f>MouserListTable[[#This Row],['#/Unit]]*FilterSpecs!$C$3+MouserListTable[[#This Row],[Extra]]</f>
        <v>1</v>
      </c>
      <c r="X50" s="94">
        <f>IF(MouserListTable[[#This Row],[Tag]]=FilterSpecs!$F$7,MouserListTable[[#This Row],['#/Unit]]*MouserListTable[[#This Row],[Price (USD)]],0)</f>
        <v>0</v>
      </c>
      <c r="Y50" s="94">
        <f>MouserListTable[[#This Row],[Tot '#]]*MouserListTable[[#This Row],[Price (USD)]]</f>
        <v>4.95</v>
      </c>
      <c r="Z50"/>
    </row>
    <row r="51" spans="1:28" s="146" customFormat="1" x14ac:dyDescent="0.25">
      <c r="A51" s="150" t="s">
        <v>887</v>
      </c>
      <c r="B51" s="150" t="s">
        <v>1882</v>
      </c>
      <c r="C51" s="150" t="s">
        <v>1892</v>
      </c>
      <c r="D51" s="151" t="str">
        <f>IF(MouserListTable[[#This Row],[Vendor]]=FilterSpecs!$A$8,MouserListTable[[#This Row],[Mouser SKU]], MouserListTable[[#This Row],[Supplier SKU]])</f>
        <v>474-PRT-12978</v>
      </c>
      <c r="E51" s="152">
        <f>MouserListTable[[#This Row],[Tot '#]]-MouserListTable[[#This Row],['# Initial]]</f>
        <v>0</v>
      </c>
      <c r="F51" s="152">
        <f>IF(AND(MouserListTable[[#This Row],[Tag]]&lt;&gt;FilterSpecs!$F$12, MouserListTable[[#This Row],[Tag]]&lt;&gt;FilterSpecs!$F$9), MouserListTable[[#This Row],['#/Unit]]*FilterSpecs!$B$3+MouserListTable[[#This Row],[Extra Initial]],0)</f>
        <v>0</v>
      </c>
      <c r="G51" s="147" t="s">
        <v>1846</v>
      </c>
      <c r="H51" s="150" t="s">
        <v>1847</v>
      </c>
      <c r="I51" s="150" t="s">
        <v>1848</v>
      </c>
      <c r="J51" s="150">
        <v>1</v>
      </c>
      <c r="K51" s="150">
        <v>2.95</v>
      </c>
      <c r="L51" s="150" t="s">
        <v>1896</v>
      </c>
      <c r="M51" s="150"/>
      <c r="N51" s="154">
        <f>MouserListTable[[#This Row],['# Initial]]*MouserListTable[[#This Row],[Price (USD)]]</f>
        <v>0</v>
      </c>
      <c r="O51" s="150" t="s">
        <v>1845</v>
      </c>
      <c r="P51" s="150">
        <f t="shared" si="0"/>
        <v>38</v>
      </c>
      <c r="Q51" s="150" t="s">
        <v>5</v>
      </c>
      <c r="R5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474-PRT-12978</v>
      </c>
      <c r="S51" s="157" t="str">
        <f>HYPERLINK("https://www.mouser.com/ProductDetail/" &amp;MouserListTable[[#This Row],[Mouser SKU]])</f>
        <v>https://www.mouser.com/ProductDetail/474-PRT-12978</v>
      </c>
      <c r="T51" s="152">
        <v>0</v>
      </c>
      <c r="U51" s="152">
        <v>0</v>
      </c>
      <c r="V51" s="152">
        <v>0</v>
      </c>
      <c r="W51" s="152">
        <f>MouserListTable[[#This Row],['#/Unit]]*FilterSpecs!$C$3+MouserListTable[[#This Row],[Extra]]</f>
        <v>0</v>
      </c>
      <c r="X51" s="152">
        <f>IF(MouserListTable[[#This Row],[Tag]]=FilterSpecs!$F$7,MouserListTable[[#This Row],['#/Unit]]*MouserListTable[[#This Row],[Price (USD)]],0)</f>
        <v>0</v>
      </c>
      <c r="Y51" s="152">
        <f>MouserListTable[[#This Row],[Tot '#]]*MouserListTable[[#This Row],[Price (USD)]]</f>
        <v>0</v>
      </c>
    </row>
    <row r="52" spans="1:28" s="146" customFormat="1" x14ac:dyDescent="0.25">
      <c r="A52" s="150" t="s">
        <v>887</v>
      </c>
      <c r="B52" s="150" t="s">
        <v>1882</v>
      </c>
      <c r="C52" s="150" t="s">
        <v>1892</v>
      </c>
      <c r="D52" s="151" t="str">
        <f>IF(MouserListTable[[#This Row],[Vendor]]=FilterSpecs!$A$8,MouserListTable[[#This Row],[Mouser SKU]], MouserListTable[[#This Row],[Supplier SKU]])</f>
        <v>474-CAB-00508</v>
      </c>
      <c r="E52" s="152">
        <f>MouserListTable[[#This Row],[Tot '#]]-MouserListTable[[#This Row],['# Initial]]</f>
        <v>0</v>
      </c>
      <c r="F52" s="152">
        <f>IF(AND(MouserListTable[[#This Row],[Tag]]&lt;&gt;FilterSpecs!$F$12, MouserListTable[[#This Row],[Tag]]&lt;&gt;FilterSpecs!$F$9), MouserListTable[[#This Row],['#/Unit]]*FilterSpecs!$B$3+MouserListTable[[#This Row],[Extra Initial]],0)</f>
        <v>0</v>
      </c>
      <c r="G52" s="147" t="s">
        <v>1850</v>
      </c>
      <c r="H52" s="150" t="s">
        <v>1851</v>
      </c>
      <c r="I52" s="150" t="s">
        <v>1852</v>
      </c>
      <c r="J52" s="150"/>
      <c r="K52" s="150">
        <v>3.95</v>
      </c>
      <c r="L52" s="150" t="s">
        <v>1896</v>
      </c>
      <c r="M52" s="150"/>
      <c r="N52" s="154">
        <f>MouserListTable[[#This Row],['# Initial]]*MouserListTable[[#This Row],[Price (USD)]]</f>
        <v>0</v>
      </c>
      <c r="O52" s="150" t="s">
        <v>1861</v>
      </c>
      <c r="P52" s="150">
        <f t="shared" si="0"/>
        <v>39</v>
      </c>
      <c r="Q52" s="150" t="s">
        <v>5</v>
      </c>
      <c r="R5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474-CAB-00508</v>
      </c>
      <c r="S52" s="157" t="str">
        <f>HYPERLINK("https://www.mouser.com/ProductDetail/" &amp;MouserListTable[[#This Row],[Mouser SKU]])</f>
        <v>https://www.mouser.com/ProductDetail/474-CAB-00508</v>
      </c>
      <c r="T52" s="152">
        <v>0</v>
      </c>
      <c r="U52" s="152">
        <v>0</v>
      </c>
      <c r="V52" s="152">
        <v>0</v>
      </c>
      <c r="W52" s="152">
        <f>MouserListTable[[#This Row],['#/Unit]]*FilterSpecs!$C$3+MouserListTable[[#This Row],[Extra]]</f>
        <v>0</v>
      </c>
      <c r="X52" s="152">
        <f>IF(MouserListTable[[#This Row],[Tag]]=FilterSpecs!$F$7,MouserListTable[[#This Row],['#/Unit]]*MouserListTable[[#This Row],[Price (USD)]],0)</f>
        <v>0</v>
      </c>
      <c r="Y52" s="152">
        <f>MouserListTable[[#This Row],[Tot '#]]*MouserListTable[[#This Row],[Price (USD)]]</f>
        <v>0</v>
      </c>
    </row>
    <row r="53" spans="1:28" s="146" customFormat="1" x14ac:dyDescent="0.25">
      <c r="A53" s="150" t="s">
        <v>887</v>
      </c>
      <c r="B53" s="150" t="s">
        <v>1882</v>
      </c>
      <c r="C53" s="150" t="s">
        <v>1892</v>
      </c>
      <c r="D53" s="151" t="str">
        <f>IF(MouserListTable[[#This Row],[Vendor]]=FilterSpecs!$A$8,MouserListTable[[#This Row],[Mouser SKU]], MouserListTable[[#This Row],[Supplier SKU]])</f>
        <v>474-CAB-00509</v>
      </c>
      <c r="E53" s="152">
        <f>MouserListTable[[#This Row],[Tot '#]]-MouserListTable[[#This Row],['# Initial]]</f>
        <v>0</v>
      </c>
      <c r="F53" s="152">
        <f>IF(AND(MouserListTable[[#This Row],[Tag]]&lt;&gt;FilterSpecs!$F$12, MouserListTable[[#This Row],[Tag]]&lt;&gt;FilterSpecs!$F$9), MouserListTable[[#This Row],['#/Unit]]*FilterSpecs!$B$3+MouserListTable[[#This Row],[Extra Initial]],0)</f>
        <v>0</v>
      </c>
      <c r="G53" s="147" t="s">
        <v>1862</v>
      </c>
      <c r="H53" s="150" t="s">
        <v>1863</v>
      </c>
      <c r="I53" s="150" t="s">
        <v>1864</v>
      </c>
      <c r="J53" s="150"/>
      <c r="K53" s="150">
        <v>4.95</v>
      </c>
      <c r="L53" s="150" t="s">
        <v>1896</v>
      </c>
      <c r="M53" s="150"/>
      <c r="N53" s="154">
        <f>MouserListTable[[#This Row],['# Initial]]*MouserListTable[[#This Row],[Price (USD)]]</f>
        <v>0</v>
      </c>
      <c r="O53" s="150" t="s">
        <v>1849</v>
      </c>
      <c r="P53" s="150">
        <f t="shared" si="0"/>
        <v>40</v>
      </c>
      <c r="Q53" s="150" t="s">
        <v>5</v>
      </c>
      <c r="R5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474-CAB-00509</v>
      </c>
      <c r="S53" s="157" t="str">
        <f>HYPERLINK("https://www.mouser.com/ProductDetail/" &amp;MouserListTable[[#This Row],[Mouser SKU]])</f>
        <v>https://www.mouser.com/ProductDetail/474-CAB-00509</v>
      </c>
      <c r="T53" s="152">
        <v>0</v>
      </c>
      <c r="U53" s="152">
        <v>0</v>
      </c>
      <c r="V53" s="152">
        <v>0</v>
      </c>
      <c r="W53" s="152">
        <f>MouserListTable[[#This Row],['#/Unit]]*FilterSpecs!$C$3+MouserListTable[[#This Row],[Extra]]</f>
        <v>0</v>
      </c>
      <c r="X53" s="152">
        <f>IF(MouserListTable[[#This Row],[Tag]]=FilterSpecs!$F$7,MouserListTable[[#This Row],['#/Unit]]*MouserListTable[[#This Row],[Price (USD)]],0)</f>
        <v>0</v>
      </c>
      <c r="Y53" s="152">
        <f>MouserListTable[[#This Row],[Tot '#]]*MouserListTable[[#This Row],[Price (USD)]]</f>
        <v>0</v>
      </c>
    </row>
    <row r="54" spans="1:28" s="146" customFormat="1" x14ac:dyDescent="0.25">
      <c r="A54" s="150" t="s">
        <v>887</v>
      </c>
      <c r="B54" s="150" t="s">
        <v>1882</v>
      </c>
      <c r="C54" s="150" t="s">
        <v>1892</v>
      </c>
      <c r="D54" s="151" t="str">
        <f>IF(MouserListTable[[#This Row],[Vendor]]=FilterSpecs!$A$8,MouserListTable[[#This Row],[Mouser SKU]], MouserListTable[[#This Row],[Supplier SKU]])</f>
        <v>474-CAB-00506</v>
      </c>
      <c r="E54" s="152">
        <f>MouserListTable[[#This Row],[Tot '#]]-MouserListTable[[#This Row],['# Initial]]</f>
        <v>0</v>
      </c>
      <c r="F54" s="152">
        <f>IF(AND(MouserListTable[[#This Row],[Tag]]&lt;&gt;FilterSpecs!$F$12, MouserListTable[[#This Row],[Tag]]&lt;&gt;FilterSpecs!$F$9), MouserListTable[[#This Row],['#/Unit]]*FilterSpecs!$B$3+MouserListTable[[#This Row],[Extra Initial]],0)</f>
        <v>0</v>
      </c>
      <c r="G54" s="147" t="s">
        <v>1854</v>
      </c>
      <c r="H54" s="150" t="s">
        <v>1855</v>
      </c>
      <c r="I54" s="150" t="s">
        <v>1856</v>
      </c>
      <c r="J54" s="150"/>
      <c r="K54" s="150">
        <v>4.95</v>
      </c>
      <c r="L54" s="150" t="s">
        <v>1896</v>
      </c>
      <c r="M54" s="150"/>
      <c r="N54" s="154">
        <f>MouserListTable[[#This Row],['# Initial]]*MouserListTable[[#This Row],[Price (USD)]]</f>
        <v>0</v>
      </c>
      <c r="O54" s="150" t="s">
        <v>1853</v>
      </c>
      <c r="P54" s="150">
        <f t="shared" si="0"/>
        <v>41</v>
      </c>
      <c r="Q54" s="150" t="s">
        <v>5</v>
      </c>
      <c r="R5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474-CAB-00506</v>
      </c>
      <c r="S54" s="157" t="str">
        <f>HYPERLINK("https://www.mouser.com/ProductDetail/" &amp;MouserListTable[[#This Row],[Mouser SKU]])</f>
        <v>https://www.mouser.com/ProductDetail/474-CAB-00506</v>
      </c>
      <c r="T54" s="152">
        <v>0</v>
      </c>
      <c r="U54" s="152">
        <v>0</v>
      </c>
      <c r="V54" s="152">
        <v>0</v>
      </c>
      <c r="W54" s="152">
        <f>MouserListTable[[#This Row],['#/Unit]]*FilterSpecs!$C$3+MouserListTable[[#This Row],[Extra]]</f>
        <v>0</v>
      </c>
      <c r="X54" s="152">
        <f>IF(MouserListTable[[#This Row],[Tag]]=FilterSpecs!$F$7,MouserListTable[[#This Row],['#/Unit]]*MouserListTable[[#This Row],[Price (USD)]],0)</f>
        <v>0</v>
      </c>
      <c r="Y54" s="152">
        <f>MouserListTable[[#This Row],[Tot '#]]*MouserListTable[[#This Row],[Price (USD)]]</f>
        <v>0</v>
      </c>
    </row>
    <row r="55" spans="1:28" s="146" customFormat="1" x14ac:dyDescent="0.25">
      <c r="A55" s="150" t="s">
        <v>887</v>
      </c>
      <c r="B55" s="150" t="s">
        <v>1882</v>
      </c>
      <c r="C55" s="150" t="s">
        <v>1892</v>
      </c>
      <c r="D55" s="151" t="str">
        <f>IF(MouserListTable[[#This Row],[Vendor]]=FilterSpecs!$A$8,MouserListTable[[#This Row],[Mouser SKU]], MouserListTable[[#This Row],[Supplier SKU]])</f>
        <v>474-CAB-09486</v>
      </c>
      <c r="E55" s="152">
        <f>MouserListTable[[#This Row],[Tot '#]]-MouserListTable[[#This Row],['# Initial]]</f>
        <v>0</v>
      </c>
      <c r="F55" s="152">
        <f>IF(AND(MouserListTable[[#This Row],[Tag]]&lt;&gt;FilterSpecs!$F$12, MouserListTable[[#This Row],[Tag]]&lt;&gt;FilterSpecs!$F$9), MouserListTable[[#This Row],['#/Unit]]*FilterSpecs!$B$3+MouserListTable[[#This Row],[Extra Initial]],0)</f>
        <v>0</v>
      </c>
      <c r="G55" s="147" t="s">
        <v>1858</v>
      </c>
      <c r="H55" s="150" t="s">
        <v>1859</v>
      </c>
      <c r="I55" s="150" t="s">
        <v>1860</v>
      </c>
      <c r="J55" s="150">
        <v>1</v>
      </c>
      <c r="K55" s="150">
        <v>14.95</v>
      </c>
      <c r="L55" s="150" t="s">
        <v>1896</v>
      </c>
      <c r="M55" s="150"/>
      <c r="N55" s="154">
        <f>MouserListTable[[#This Row],['# Initial]]*MouserListTable[[#This Row],[Price (USD)]]</f>
        <v>0</v>
      </c>
      <c r="O55" s="150" t="s">
        <v>1857</v>
      </c>
      <c r="P55" s="150">
        <f t="shared" si="0"/>
        <v>42</v>
      </c>
      <c r="Q55" s="150" t="s">
        <v>5</v>
      </c>
      <c r="R5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474-CAB-09486</v>
      </c>
      <c r="S55" s="157" t="str">
        <f>HYPERLINK("https://www.mouser.com/ProductDetail/" &amp;MouserListTable[[#This Row],[Mouser SKU]])</f>
        <v>https://www.mouser.com/ProductDetail/474-CAB-09486</v>
      </c>
      <c r="T55" s="152">
        <v>0</v>
      </c>
      <c r="U55" s="152">
        <v>0</v>
      </c>
      <c r="V55" s="152">
        <v>0</v>
      </c>
      <c r="W55" s="152">
        <f>MouserListTable[[#This Row],['#/Unit]]*FilterSpecs!$C$3+MouserListTable[[#This Row],[Extra]]</f>
        <v>0</v>
      </c>
      <c r="X55" s="152">
        <f>IF(MouserListTable[[#This Row],[Tag]]=FilterSpecs!$F$7,MouserListTable[[#This Row],['#/Unit]]*MouserListTable[[#This Row],[Price (USD)]],0)</f>
        <v>0</v>
      </c>
      <c r="Y55" s="152">
        <f>MouserListTable[[#This Row],[Tot '#]]*MouserListTable[[#This Row],[Price (USD)]]</f>
        <v>0</v>
      </c>
    </row>
    <row r="56" spans="1:28" s="106" customFormat="1" x14ac:dyDescent="0.25">
      <c r="A56" s="150" t="s">
        <v>887</v>
      </c>
      <c r="B56" s="150" t="s">
        <v>1882</v>
      </c>
      <c r="C56" s="150" t="s">
        <v>1892</v>
      </c>
      <c r="D56" s="151" t="str">
        <f>IF(MouserListTable[[#This Row],[Vendor]]=FilterSpecs!$A$8,MouserListTable[[#This Row],[Mouser SKU]], MouserListTable[[#This Row],[Supplier SKU]])</f>
        <v>474-DEV-11643</v>
      </c>
      <c r="E56" s="152">
        <f>MouserListTable[[#This Row],[Tot '#]]-MouserListTable[[#This Row],['# Initial]]</f>
        <v>1</v>
      </c>
      <c r="F56" s="152">
        <f>IF(AND(MouserListTable[[#This Row],[Tag]]&lt;&gt;FilterSpecs!$F$12, MouserListTable[[#This Row],[Tag]]&lt;&gt;FilterSpecs!$F$13, MouserListTable[[#This Row],[Tag]]&lt;&gt;FilterSpecs!$F$9), MouserListTable[[#This Row],['#/Unit]]*FilterSpecs!$B$3+MouserListTable[[#This Row],[Extra Initial]],0)</f>
        <v>0</v>
      </c>
      <c r="G56" s="78" t="s">
        <v>326</v>
      </c>
      <c r="H56" s="150" t="s">
        <v>327</v>
      </c>
      <c r="I56" s="150" t="s">
        <v>328</v>
      </c>
      <c r="J56" s="150">
        <v>1</v>
      </c>
      <c r="K56" s="150">
        <v>54.95</v>
      </c>
      <c r="L56" s="150" t="s">
        <v>2464</v>
      </c>
      <c r="M56" s="150"/>
      <c r="N56" s="154">
        <f>MouserListTable[[#This Row],['# Initial]]*MouserListTable[[#This Row],[Price (USD)]]</f>
        <v>0</v>
      </c>
      <c r="O56" s="150" t="s">
        <v>325</v>
      </c>
      <c r="P56" s="150">
        <f t="shared" si="0"/>
        <v>43</v>
      </c>
      <c r="Q56" s="150" t="s">
        <v>5</v>
      </c>
      <c r="R5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474-DEV-11643</v>
      </c>
      <c r="S56" s="157" t="str">
        <f>HYPERLINK("https://www.mouser.com/ProductDetail/" &amp;MouserListTable[[#This Row],[Mouser SKU]])</f>
        <v>https://www.mouser.com/ProductDetail/474-DEV-11643</v>
      </c>
      <c r="T56" s="152">
        <v>0</v>
      </c>
      <c r="U56" s="152">
        <v>1</v>
      </c>
      <c r="V56" s="152">
        <v>1</v>
      </c>
      <c r="W56" s="152">
        <f>MouserListTable[[#This Row],['#/Unit]]*FilterSpecs!$C$3+MouserListTable[[#This Row],[Extra]]</f>
        <v>1</v>
      </c>
      <c r="X56" s="152">
        <f>IF(MouserListTable[[#This Row],[Tag]]=FilterSpecs!$F$7,MouserListTable[[#This Row],['#/Unit]]*MouserListTable[[#This Row],[Price (USD)]],0)</f>
        <v>0</v>
      </c>
      <c r="Y56" s="152">
        <f>MouserListTable[[#This Row],[Tot '#]]*MouserListTable[[#This Row],[Price (USD)]]</f>
        <v>54.95</v>
      </c>
      <c r="Z56"/>
    </row>
    <row r="57" spans="1:28" s="106" customFormat="1" x14ac:dyDescent="0.25">
      <c r="A57" s="150" t="s">
        <v>887</v>
      </c>
      <c r="B57" s="150" t="s">
        <v>1882</v>
      </c>
      <c r="C57" s="150" t="s">
        <v>1892</v>
      </c>
      <c r="D57" s="151" t="str">
        <f>IF(MouserListTable[[#This Row],[Vendor]]=FilterSpecs!$A$8,MouserListTable[[#This Row],[Mouser SKU]], MouserListTable[[#This Row],[Supplier SKU]])</f>
        <v>485-1969</v>
      </c>
      <c r="E57" s="152">
        <f>MouserListTable[[#This Row],[Tot '#]]-MouserListTable[[#This Row],['# Initial]]</f>
        <v>0</v>
      </c>
      <c r="F57" s="152">
        <f>IF(AND(MouserListTable[[#This Row],[Tag]]&lt;&gt;FilterSpecs!$F$12, MouserListTable[[#This Row],[Tag]]&lt;&gt;FilterSpecs!$F$9), MouserListTable[[#This Row],['#/Unit]]*FilterSpecs!$B$3+MouserListTable[[#This Row],[Extra Initial]],0)</f>
        <v>1</v>
      </c>
      <c r="G57" s="78"/>
      <c r="H57" s="150"/>
      <c r="I57" s="150" t="s">
        <v>2053</v>
      </c>
      <c r="J57" s="150"/>
      <c r="K57" s="150">
        <v>2.95</v>
      </c>
      <c r="L57" s="150" t="s">
        <v>1896</v>
      </c>
      <c r="M57" s="150"/>
      <c r="N57" s="154">
        <f>MouserListTable[[#This Row],['# Initial]]*MouserListTable[[#This Row],[Price (USD)]]</f>
        <v>2.95</v>
      </c>
      <c r="O57" s="150" t="s">
        <v>2054</v>
      </c>
      <c r="P57" s="150">
        <f t="shared" si="0"/>
        <v>44</v>
      </c>
      <c r="Q57" s="150" t="s">
        <v>1884</v>
      </c>
      <c r="R5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485-1969</v>
      </c>
      <c r="S57" s="157" t="str">
        <f>HYPERLINK("https://www.mouser.com/ProductDetail/" &amp;MouserListTable[[#This Row],[Mouser SKU]])</f>
        <v>https://www.mouser.com/ProductDetail/485-1969</v>
      </c>
      <c r="T57" s="152">
        <v>0</v>
      </c>
      <c r="U57" s="152">
        <v>1</v>
      </c>
      <c r="V57" s="152">
        <v>1</v>
      </c>
      <c r="W57" s="152">
        <f>MouserListTable[[#This Row],['#/Unit]]*FilterSpecs!$C$3+MouserListTable[[#This Row],[Extra]]</f>
        <v>1</v>
      </c>
      <c r="X57" s="152">
        <f>IF(MouserListTable[[#This Row],[Tag]]=FilterSpecs!$F$7,MouserListTable[[#This Row],['#/Unit]]*MouserListTable[[#This Row],[Price (USD)]],0)</f>
        <v>0</v>
      </c>
      <c r="Y57" s="152">
        <f>MouserListTable[[#This Row],[Tot '#]]*MouserListTable[[#This Row],[Price (USD)]]</f>
        <v>2.95</v>
      </c>
      <c r="Z57"/>
      <c r="AA57" s="132"/>
      <c r="AB57" s="132"/>
    </row>
    <row r="58" spans="1:28" s="146" customFormat="1" x14ac:dyDescent="0.25">
      <c r="A58" s="150" t="s">
        <v>887</v>
      </c>
      <c r="B58" s="150" t="s">
        <v>1882</v>
      </c>
      <c r="C58" s="150" t="s">
        <v>1892</v>
      </c>
      <c r="D58" s="151" t="str">
        <f>IF(MouserListTable[[#This Row],[Vendor]]=FilterSpecs!$A$8,MouserListTable[[#This Row],[Mouser SKU]], MouserListTable[[#This Row],[Supplier SKU]])</f>
        <v>474-TOL-10829</v>
      </c>
      <c r="E58" s="152">
        <f>MouserListTable[[#This Row],[Tot '#]]-MouserListTable[[#This Row],['# Initial]]</f>
        <v>0</v>
      </c>
      <c r="F58" s="152">
        <f>IF(AND(MouserListTable[[#This Row],[Tag]]&lt;&gt;FilterSpecs!$F$12, MouserListTable[[#This Row],[Tag]]&lt;&gt;FilterSpecs!$F$9), MouserListTable[[#This Row],['#/Unit]]*FilterSpecs!$B$3+MouserListTable[[#This Row],[Extra Initial]],0)</f>
        <v>0</v>
      </c>
      <c r="G58" s="147" t="s">
        <v>1866</v>
      </c>
      <c r="H58" s="150" t="s">
        <v>1867</v>
      </c>
      <c r="I58" s="150" t="s">
        <v>1868</v>
      </c>
      <c r="J58" s="150"/>
      <c r="K58" s="150">
        <v>27.95</v>
      </c>
      <c r="L58" s="150" t="s">
        <v>1896</v>
      </c>
      <c r="M58" s="150"/>
      <c r="N58" s="154">
        <f>MouserListTable[[#This Row],['# Initial]]*MouserListTable[[#This Row],[Price (USD)]]</f>
        <v>0</v>
      </c>
      <c r="O58" s="150" t="s">
        <v>1865</v>
      </c>
      <c r="P58" s="150">
        <f t="shared" si="0"/>
        <v>45</v>
      </c>
      <c r="Q58" s="150" t="s">
        <v>5</v>
      </c>
      <c r="R5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474-TOL-10829</v>
      </c>
      <c r="S58" s="157" t="str">
        <f>HYPERLINK("https://www.mouser.com/ProductDetail/" &amp;MouserListTable[[#This Row],[Mouser SKU]])</f>
        <v>https://www.mouser.com/ProductDetail/474-TOL-10829</v>
      </c>
      <c r="T58" s="152">
        <v>0</v>
      </c>
      <c r="U58" s="152">
        <v>0</v>
      </c>
      <c r="V58" s="152">
        <v>0</v>
      </c>
      <c r="W58" s="152">
        <f>MouserListTable[[#This Row],['#/Unit]]*FilterSpecs!$C$3+MouserListTable[[#This Row],[Extra]]</f>
        <v>0</v>
      </c>
      <c r="X58" s="152">
        <f>IF(MouserListTable[[#This Row],[Tag]]=FilterSpecs!$F$7,MouserListTable[[#This Row],['#/Unit]]*MouserListTable[[#This Row],[Price (USD)]],0)</f>
        <v>0</v>
      </c>
      <c r="Y58" s="152">
        <f>MouserListTable[[#This Row],[Tot '#]]*MouserListTable[[#This Row],[Price (USD)]]</f>
        <v>0</v>
      </c>
    </row>
    <row r="59" spans="1:28" s="106" customFormat="1" x14ac:dyDescent="0.25">
      <c r="A59" s="78" t="s">
        <v>887</v>
      </c>
      <c r="B59" s="78" t="s">
        <v>1882</v>
      </c>
      <c r="C59" s="78" t="s">
        <v>1892</v>
      </c>
      <c r="D59" s="81" t="str">
        <f>IF(MouserListTable[[#This Row],[Vendor]]=FilterSpecs!$A$8,MouserListTable[[#This Row],[Mouser SKU]], MouserListTable[[#This Row],[Supplier SKU]])</f>
        <v>474-BOB-10160</v>
      </c>
      <c r="E59" s="94">
        <f>MouserListTable[[#This Row],[Tot '#]]-MouserListTable[[#This Row],['# Initial]]</f>
        <v>1</v>
      </c>
      <c r="F59" s="94">
        <f>IF(AND(MouserListTable[[#This Row],[Tag]]&lt;&gt;FilterSpecs!$F$12, MouserListTable[[#This Row],[Tag]]&lt;&gt;FilterSpecs!$F$9), MouserListTable[[#This Row],['#/Unit]]*FilterSpecs!$B$3+MouserListTable[[#This Row],[Extra Initial]],0)</f>
        <v>0</v>
      </c>
      <c r="G59" s="78" t="s">
        <v>918</v>
      </c>
      <c r="H59" s="150" t="s">
        <v>919</v>
      </c>
      <c r="I59" s="78" t="s">
        <v>920</v>
      </c>
      <c r="J59" s="106">
        <v>1</v>
      </c>
      <c r="K59" s="117">
        <v>19.95</v>
      </c>
      <c r="L59" s="78" t="s">
        <v>1900</v>
      </c>
      <c r="M59" s="81"/>
      <c r="N59" s="154">
        <f>MouserListTable[[#This Row],['# Initial]]*MouserListTable[[#This Row],[Price (USD)]]</f>
        <v>0</v>
      </c>
      <c r="O59" s="81" t="s">
        <v>917</v>
      </c>
      <c r="P59" s="150">
        <f t="shared" si="0"/>
        <v>46</v>
      </c>
      <c r="Q59" s="78" t="s">
        <v>5</v>
      </c>
      <c r="R59"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474-BOB-10160</v>
      </c>
      <c r="S59" s="133" t="str">
        <f>HYPERLINK("https://www.mouser.com/ProductDetail/" &amp;MouserListTable[[#This Row],[Mouser SKU]])</f>
        <v>https://www.mouser.com/ProductDetail/474-BOB-10160</v>
      </c>
      <c r="T59" s="94">
        <v>0</v>
      </c>
      <c r="U59" s="94">
        <v>1</v>
      </c>
      <c r="V59" s="94">
        <v>0</v>
      </c>
      <c r="W59" s="94">
        <f>MouserListTable[[#This Row],['#/Unit]]*FilterSpecs!$C$3+MouserListTable[[#This Row],[Extra]]</f>
        <v>1</v>
      </c>
      <c r="X59" s="94">
        <f>IF(MouserListTable[[#This Row],[Tag]]=FilterSpecs!$F$7,MouserListTable[[#This Row],['#/Unit]]*MouserListTable[[#This Row],[Price (USD)]],0)</f>
        <v>0</v>
      </c>
      <c r="Y59" s="94">
        <f>MouserListTable[[#This Row],[Tot '#]]*MouserListTable[[#This Row],[Price (USD)]]</f>
        <v>19.95</v>
      </c>
      <c r="Z59"/>
    </row>
    <row r="60" spans="1:28" s="106" customFormat="1" x14ac:dyDescent="0.25">
      <c r="A60" s="78" t="s">
        <v>887</v>
      </c>
      <c r="B60" s="78" t="s">
        <v>2007</v>
      </c>
      <c r="C60" s="78" t="s">
        <v>1892</v>
      </c>
      <c r="D60" s="81" t="str">
        <f>IF(MouserListTable[[#This Row],[Vendor]]=FilterSpecs!$A$8,MouserListTable[[#This Row],[Mouser SKU]], MouserListTable[[#This Row],[Supplier SKU]])</f>
        <v>474-COM-12014</v>
      </c>
      <c r="E60" s="94">
        <f>MouserListTable[[#This Row],[Tot '#]]-MouserListTable[[#This Row],['# Initial]]</f>
        <v>1</v>
      </c>
      <c r="F60" s="94">
        <f>IF(AND(MouserListTable[[#This Row],[Tag]]&lt;&gt;FilterSpecs!$F$12, MouserListTable[[#This Row],[Tag]]&lt;&gt;FilterSpecs!$F$9), MouserListTable[[#This Row],['#/Unit]]*FilterSpecs!$B$3+MouserListTable[[#This Row],[Extra Initial]],0)</f>
        <v>0</v>
      </c>
      <c r="G60" s="78" t="s">
        <v>1129</v>
      </c>
      <c r="H60" s="150" t="s">
        <v>1130</v>
      </c>
      <c r="I60" s="78" t="s">
        <v>1131</v>
      </c>
      <c r="J60" s="78">
        <v>1</v>
      </c>
      <c r="K60" s="117">
        <v>3.95</v>
      </c>
      <c r="L60" s="78" t="s">
        <v>1896</v>
      </c>
      <c r="M60" s="81"/>
      <c r="N60" s="154">
        <f>MouserListTable[[#This Row],['# Initial]]*MouserListTable[[#This Row],[Price (USD)]]</f>
        <v>0</v>
      </c>
      <c r="O60" s="81" t="s">
        <v>1128</v>
      </c>
      <c r="P60" s="150">
        <f t="shared" si="0"/>
        <v>47</v>
      </c>
      <c r="Q60" s="78" t="s">
        <v>5</v>
      </c>
      <c r="R60"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474-COM-12014</v>
      </c>
      <c r="S60" s="133" t="str">
        <f>HYPERLINK("https://www.mouser.com/ProductDetail/" &amp;MouserListTable[[#This Row],[Mouser SKU]])</f>
        <v>https://www.mouser.com/ProductDetail/474-COM-12014</v>
      </c>
      <c r="T60" s="94">
        <v>0</v>
      </c>
      <c r="U60" s="94">
        <v>1</v>
      </c>
      <c r="V60" s="94">
        <v>0</v>
      </c>
      <c r="W60" s="94">
        <f>MouserListTable[[#This Row],['#/Unit]]*FilterSpecs!$C$3+MouserListTable[[#This Row],[Extra]]</f>
        <v>1</v>
      </c>
      <c r="X60" s="94">
        <f>IF(MouserListTable[[#This Row],[Tag]]=FilterSpecs!$F$7,MouserListTable[[#This Row],['#/Unit]]*MouserListTable[[#This Row],[Price (USD)]],0)</f>
        <v>0</v>
      </c>
      <c r="Y60" s="94">
        <f>MouserListTable[[#This Row],[Tot '#]]*MouserListTable[[#This Row],[Price (USD)]]</f>
        <v>3.95</v>
      </c>
      <c r="Z60"/>
    </row>
    <row r="61" spans="1:28" s="106" customFormat="1" x14ac:dyDescent="0.25">
      <c r="A61" s="78" t="s">
        <v>887</v>
      </c>
      <c r="B61" s="78" t="s">
        <v>2007</v>
      </c>
      <c r="C61" s="78" t="s">
        <v>1892</v>
      </c>
      <c r="D61" s="81" t="str">
        <f>IF(MouserListTable[[#This Row],[Vendor]]=FilterSpecs!$A$8,MouserListTable[[#This Row],[Mouser SKU]], MouserListTable[[#This Row],[Supplier SKU]])</f>
        <v>474-COM-11408</v>
      </c>
      <c r="E61" s="94">
        <f>MouserListTable[[#This Row],[Tot '#]]-MouserListTable[[#This Row],['# Initial]]</f>
        <v>1</v>
      </c>
      <c r="F61" s="94">
        <f>IF(AND(MouserListTable[[#This Row],[Tag]]&lt;&gt;FilterSpecs!$F$12, MouserListTable[[#This Row],[Tag]]&lt;&gt;FilterSpecs!$F$9), MouserListTable[[#This Row],['#/Unit]]*FilterSpecs!$B$3+MouserListTable[[#This Row],[Extra Initial]],0)</f>
        <v>0</v>
      </c>
      <c r="G61" s="78" t="s">
        <v>1716</v>
      </c>
      <c r="H61" s="150" t="s">
        <v>1717</v>
      </c>
      <c r="I61" s="78" t="s">
        <v>1718</v>
      </c>
      <c r="J61" s="78">
        <v>1</v>
      </c>
      <c r="K61" s="117">
        <v>2.95</v>
      </c>
      <c r="L61" s="78" t="s">
        <v>1896</v>
      </c>
      <c r="M61" s="81"/>
      <c r="N61" s="154">
        <f>MouserListTable[[#This Row],['# Initial]]*MouserListTable[[#This Row],[Price (USD)]]</f>
        <v>0</v>
      </c>
      <c r="O61" s="81" t="s">
        <v>1715</v>
      </c>
      <c r="P61" s="150">
        <f t="shared" si="0"/>
        <v>48</v>
      </c>
      <c r="Q61" s="78" t="s">
        <v>5</v>
      </c>
      <c r="R61"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474-COM-11408</v>
      </c>
      <c r="S61" s="133" t="str">
        <f>HYPERLINK("https://www.mouser.com/ProductDetail/" &amp;MouserListTable[[#This Row],[Mouser SKU]])</f>
        <v>https://www.mouser.com/ProductDetail/474-COM-11408</v>
      </c>
      <c r="T61" s="94">
        <v>0</v>
      </c>
      <c r="U61" s="94">
        <v>1</v>
      </c>
      <c r="V61" s="94">
        <v>0</v>
      </c>
      <c r="W61" s="94">
        <f>MouserListTable[[#This Row],['#/Unit]]*FilterSpecs!$C$3+MouserListTable[[#This Row],[Extra]]</f>
        <v>1</v>
      </c>
      <c r="X61" s="94">
        <f>IF(MouserListTable[[#This Row],[Tag]]=FilterSpecs!$F$7,MouserListTable[[#This Row],['#/Unit]]*MouserListTable[[#This Row],[Price (USD)]],0)</f>
        <v>0</v>
      </c>
      <c r="Y61" s="94">
        <f>MouserListTable[[#This Row],[Tot '#]]*MouserListTable[[#This Row],[Price (USD)]]</f>
        <v>2.95</v>
      </c>
      <c r="Z61"/>
    </row>
    <row r="62" spans="1:28" s="106" customFormat="1" x14ac:dyDescent="0.25">
      <c r="A62" s="78" t="s">
        <v>887</v>
      </c>
      <c r="B62" s="78" t="s">
        <v>2007</v>
      </c>
      <c r="C62" s="78" t="s">
        <v>1892</v>
      </c>
      <c r="D62" s="81" t="str">
        <f>IF(MouserListTable[[#This Row],[Vendor]]=FilterSpecs!$A$8,MouserListTable[[#This Row],[Mouser SKU]], MouserListTable[[#This Row],[Supplier SKU]])</f>
        <v>474-COM-13999</v>
      </c>
      <c r="E62" s="94">
        <f>MouserListTable[[#This Row],[Tot '#]]-MouserListTable[[#This Row],['# Initial]]</f>
        <v>1</v>
      </c>
      <c r="F62" s="94">
        <f>IF(AND(MouserListTable[[#This Row],[Tag]]&lt;&gt;FilterSpecs!$F$12, MouserListTable[[#This Row],[Tag]]&lt;&gt;FilterSpecs!$F$9), MouserListTable[[#This Row],['#/Unit]]*FilterSpecs!$B$3+MouserListTable[[#This Row],[Extra Initial]],0)</f>
        <v>0</v>
      </c>
      <c r="G62" s="78" t="s">
        <v>1660</v>
      </c>
      <c r="H62" s="150" t="s">
        <v>1661</v>
      </c>
      <c r="I62" s="78" t="s">
        <v>1662</v>
      </c>
      <c r="J62" s="78"/>
      <c r="K62" s="117">
        <v>3.95</v>
      </c>
      <c r="L62" s="78" t="s">
        <v>2461</v>
      </c>
      <c r="M62" s="81"/>
      <c r="N62" s="154">
        <f>MouserListTable[[#This Row],['# Initial]]*MouserListTable[[#This Row],[Price (USD)]]</f>
        <v>0</v>
      </c>
      <c r="O62" s="81" t="s">
        <v>1659</v>
      </c>
      <c r="P62" s="150">
        <f t="shared" si="0"/>
        <v>49</v>
      </c>
      <c r="Q62" s="78" t="s">
        <v>5</v>
      </c>
      <c r="R62"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474-COM-13999</v>
      </c>
      <c r="S62" s="133" t="str">
        <f>HYPERLINK("https://www.mouser.com/ProductDetail/" &amp;MouserListTable[[#This Row],[Mouser SKU]])</f>
        <v>https://www.mouser.com/ProductDetail/474-COM-13999</v>
      </c>
      <c r="T62" s="94">
        <v>0</v>
      </c>
      <c r="U62" s="94">
        <v>1</v>
      </c>
      <c r="V62" s="94">
        <v>0</v>
      </c>
      <c r="W62" s="94">
        <f>MouserListTable[[#This Row],['#/Unit]]*FilterSpecs!$C$3+MouserListTable[[#This Row],[Extra]]</f>
        <v>1</v>
      </c>
      <c r="X62" s="94">
        <f>IF(MouserListTable[[#This Row],[Tag]]=FilterSpecs!$F$7,MouserListTable[[#This Row],['#/Unit]]*MouserListTable[[#This Row],[Price (USD)]],0)</f>
        <v>0</v>
      </c>
      <c r="Y62" s="94">
        <f>MouserListTable[[#This Row],[Tot '#]]*MouserListTable[[#This Row],[Price (USD)]]</f>
        <v>3.95</v>
      </c>
      <c r="Z62"/>
    </row>
    <row r="63" spans="1:28" s="106" customFormat="1" x14ac:dyDescent="0.25">
      <c r="A63" s="78" t="s">
        <v>887</v>
      </c>
      <c r="B63" s="78" t="s">
        <v>2007</v>
      </c>
      <c r="C63" s="78" t="s">
        <v>1892</v>
      </c>
      <c r="D63" s="81" t="str">
        <f>IF(MouserListTable[[#This Row],[Vendor]]=FilterSpecs!$A$8,MouserListTable[[#This Row],[Mouser SKU]], MouserListTable[[#This Row],[Supplier SKU]])</f>
        <v>474-COM-09938</v>
      </c>
      <c r="E63" s="94">
        <f>MouserListTable[[#This Row],[Tot '#]]-MouserListTable[[#This Row],['# Initial]]</f>
        <v>0</v>
      </c>
      <c r="F63" s="94">
        <f>IF(AND(MouserListTable[[#This Row],[Tag]]&lt;&gt;FilterSpecs!$F$12, MouserListTable[[#This Row],[Tag]]&lt;&gt;FilterSpecs!$F$9), MouserListTable[[#This Row],['#/Unit]]*FilterSpecs!$B$3+MouserListTable[[#This Row],[Extra Initial]],0)</f>
        <v>10</v>
      </c>
      <c r="G63" s="78" t="s">
        <v>1433</v>
      </c>
      <c r="H63" s="150" t="s">
        <v>1434</v>
      </c>
      <c r="I63" s="78" t="s">
        <v>1435</v>
      </c>
      <c r="J63" s="78">
        <v>1</v>
      </c>
      <c r="K63" s="117">
        <v>1.95</v>
      </c>
      <c r="L63" s="78" t="s">
        <v>1897</v>
      </c>
      <c r="M63" s="81"/>
      <c r="N63" s="154">
        <f>MouserListTable[[#This Row],['# Initial]]*MouserListTable[[#This Row],[Price (USD)]]</f>
        <v>19.5</v>
      </c>
      <c r="O63" s="81" t="s">
        <v>1432</v>
      </c>
      <c r="P63" s="150">
        <f t="shared" si="0"/>
        <v>50</v>
      </c>
      <c r="Q63" s="78" t="s">
        <v>5</v>
      </c>
      <c r="R63"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474-COM-09938</v>
      </c>
      <c r="S63" s="133" t="str">
        <f>HYPERLINK("https://www.mouser.com/ProductDetail/" &amp;MouserListTable[[#This Row],[Mouser SKU]])</f>
        <v>https://www.mouser.com/ProductDetail/474-COM-09938</v>
      </c>
      <c r="T63" s="94">
        <v>2</v>
      </c>
      <c r="U63" s="94">
        <v>0</v>
      </c>
      <c r="V63" s="94">
        <v>0</v>
      </c>
      <c r="W63" s="94">
        <f>MouserListTable[[#This Row],['#/Unit]]*FilterSpecs!$C$3+MouserListTable[[#This Row],[Extra]]</f>
        <v>10</v>
      </c>
      <c r="X63" s="94">
        <f>IF(MouserListTable[[#This Row],[Tag]]=FilterSpecs!$F$7,MouserListTable[[#This Row],['#/Unit]]*MouserListTable[[#This Row],[Price (USD)]],0)</f>
        <v>3.9</v>
      </c>
      <c r="Y63" s="94">
        <f>MouserListTable[[#This Row],[Tot '#]]*MouserListTable[[#This Row],[Price (USD)]]</f>
        <v>19.5</v>
      </c>
      <c r="Z63"/>
    </row>
    <row r="64" spans="1:28" s="106" customFormat="1" x14ac:dyDescent="0.25">
      <c r="A64" s="78" t="s">
        <v>887</v>
      </c>
      <c r="B64" s="78" t="s">
        <v>2007</v>
      </c>
      <c r="C64" s="78" t="s">
        <v>1892</v>
      </c>
      <c r="D64" s="81" t="str">
        <f>IF(MouserListTable[[#This Row],[Vendor]]=FilterSpecs!$A$8,MouserListTable[[#This Row],[Mouser SKU]], MouserListTable[[#This Row],[Supplier SKU]])</f>
        <v>474-BOB-13282</v>
      </c>
      <c r="E64" s="94">
        <f>MouserListTable[[#This Row],[Tot '#]]-MouserListTable[[#This Row],['# Initial]]</f>
        <v>2</v>
      </c>
      <c r="F64" s="94">
        <f>IF(AND(MouserListTable[[#This Row],[Tag]]&lt;&gt;FilterSpecs!$F$12, MouserListTable[[#This Row],[Tag]]&lt;&gt;FilterSpecs!$F$9), MouserListTable[[#This Row],['#/Unit]]*FilterSpecs!$B$3+MouserListTable[[#This Row],[Extra Initial]],0)</f>
        <v>0</v>
      </c>
      <c r="G64" s="78" t="s">
        <v>1125</v>
      </c>
      <c r="H64" s="150" t="s">
        <v>1126</v>
      </c>
      <c r="I64" s="78" t="s">
        <v>1127</v>
      </c>
      <c r="J64" s="78">
        <v>1</v>
      </c>
      <c r="K64" s="117">
        <v>2.95</v>
      </c>
      <c r="L64" s="78" t="s">
        <v>1896</v>
      </c>
      <c r="M64" s="81"/>
      <c r="N64" s="154">
        <f>MouserListTable[[#This Row],['# Initial]]*MouserListTable[[#This Row],[Price (USD)]]</f>
        <v>0</v>
      </c>
      <c r="O64" s="81" t="s">
        <v>1124</v>
      </c>
      <c r="P64" s="150">
        <f t="shared" si="0"/>
        <v>51</v>
      </c>
      <c r="Q64" s="78" t="s">
        <v>5</v>
      </c>
      <c r="R64"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474-BOB-13282</v>
      </c>
      <c r="S64" s="133" t="str">
        <f>HYPERLINK("https://www.mouser.com/ProductDetail/" &amp;MouserListTable[[#This Row],[Mouser SKU]])</f>
        <v>https://www.mouser.com/ProductDetail/474-BOB-13282</v>
      </c>
      <c r="T64" s="94">
        <v>0</v>
      </c>
      <c r="U64" s="94">
        <v>2</v>
      </c>
      <c r="V64" s="94">
        <v>0</v>
      </c>
      <c r="W64" s="94">
        <f>MouserListTable[[#This Row],['#/Unit]]*FilterSpecs!$C$3+MouserListTable[[#This Row],[Extra]]</f>
        <v>2</v>
      </c>
      <c r="X64" s="94">
        <f>IF(MouserListTable[[#This Row],[Tag]]=FilterSpecs!$F$7,MouserListTable[[#This Row],['#/Unit]]*MouserListTable[[#This Row],[Price (USD)]],0)</f>
        <v>0</v>
      </c>
      <c r="Y64" s="94">
        <f>MouserListTable[[#This Row],[Tot '#]]*MouserListTable[[#This Row],[Price (USD)]]</f>
        <v>5.9</v>
      </c>
      <c r="Z64"/>
    </row>
    <row r="65" spans="1:16382" s="106" customFormat="1" x14ac:dyDescent="0.25">
      <c r="A65" s="78" t="s">
        <v>887</v>
      </c>
      <c r="B65" s="78" t="s">
        <v>2007</v>
      </c>
      <c r="C65" s="78" t="s">
        <v>1892</v>
      </c>
      <c r="D65" s="81" t="str">
        <f>IF(MouserListTable[[#This Row],[Vendor]]=FilterSpecs!$A$8,MouserListTable[[#This Row],[Mouser SKU]], MouserListTable[[#This Row],[Supplier SKU]])</f>
        <v>474-BOB-13884</v>
      </c>
      <c r="E65" s="94">
        <f>MouserListTable[[#This Row],[Tot '#]]-MouserListTable[[#This Row],['# Initial]]</f>
        <v>0</v>
      </c>
      <c r="F65" s="94">
        <f>IF(AND(MouserListTable[[#This Row],[Tag]]&lt;&gt;FilterSpecs!$F$12, MouserListTable[[#This Row],[Tag]]&lt;&gt;FilterSpecs!$F$9), MouserListTable[[#This Row],['#/Unit]]*FilterSpecs!$B$3+MouserListTable[[#This Row],[Extra Initial]],0)</f>
        <v>5</v>
      </c>
      <c r="G65" s="78" t="s">
        <v>1121</v>
      </c>
      <c r="H65" s="150" t="s">
        <v>1122</v>
      </c>
      <c r="I65" s="78" t="s">
        <v>1123</v>
      </c>
      <c r="J65" s="78">
        <v>1</v>
      </c>
      <c r="K65" s="117">
        <v>7.95</v>
      </c>
      <c r="L65" s="78" t="s">
        <v>1897</v>
      </c>
      <c r="M65" s="81"/>
      <c r="N65" s="154">
        <f>MouserListTable[[#This Row],['# Initial]]*MouserListTable[[#This Row],[Price (USD)]]</f>
        <v>39.75</v>
      </c>
      <c r="O65" s="81" t="s">
        <v>1120</v>
      </c>
      <c r="P65" s="150">
        <f t="shared" si="0"/>
        <v>52</v>
      </c>
      <c r="Q65" s="78" t="s">
        <v>5</v>
      </c>
      <c r="R65"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474-BOB-13884</v>
      </c>
      <c r="S65" s="133" t="str">
        <f>HYPERLINK("https://www.mouser.com/ProductDetail/" &amp;MouserListTable[[#This Row],[Mouser SKU]])</f>
        <v>https://www.mouser.com/ProductDetail/474-BOB-13884</v>
      </c>
      <c r="T65" s="94">
        <v>1</v>
      </c>
      <c r="U65" s="94">
        <v>0</v>
      </c>
      <c r="V65" s="94">
        <v>0</v>
      </c>
      <c r="W65" s="94">
        <f>MouserListTable[[#This Row],['#/Unit]]*FilterSpecs!$C$3+MouserListTable[[#This Row],[Extra]]</f>
        <v>5</v>
      </c>
      <c r="X65" s="94">
        <f>IF(MouserListTable[[#This Row],[Tag]]=FilterSpecs!$F$7,MouserListTable[[#This Row],['#/Unit]]*MouserListTable[[#This Row],[Price (USD)]],0)</f>
        <v>7.95</v>
      </c>
      <c r="Y65" s="94">
        <f>MouserListTable[[#This Row],[Tot '#]]*MouserListTable[[#This Row],[Price (USD)]]</f>
        <v>39.75</v>
      </c>
      <c r="Z65"/>
    </row>
    <row r="66" spans="1:16382" s="106" customFormat="1" x14ac:dyDescent="0.25">
      <c r="A66" s="78" t="s">
        <v>887</v>
      </c>
      <c r="B66" s="78" t="s">
        <v>2007</v>
      </c>
      <c r="C66" s="78" t="s">
        <v>1892</v>
      </c>
      <c r="D66" s="81" t="str">
        <f>IF(MouserListTable[[#This Row],[Vendor]]=FilterSpecs!$A$8,MouserListTable[[#This Row],[Mouser SKU]], MouserListTable[[#This Row],[Supplier SKU]])</f>
        <v>474-COM-12661</v>
      </c>
      <c r="E66" s="94">
        <f>MouserListTable[[#This Row],[Tot '#]]-MouserListTable[[#This Row],['# Initial]]</f>
        <v>1</v>
      </c>
      <c r="F66" s="94">
        <f>IF(AND(MouserListTable[[#This Row],[Tag]]&lt;&gt;FilterSpecs!$F$12, MouserListTable[[#This Row],[Tag]]&lt;&gt;FilterSpecs!$F$9), MouserListTable[[#This Row],['#/Unit]]*FilterSpecs!$B$3+MouserListTable[[#This Row],[Extra Initial]],0)</f>
        <v>0</v>
      </c>
      <c r="G66" s="78" t="s">
        <v>115</v>
      </c>
      <c r="H66" s="150" t="s">
        <v>116</v>
      </c>
      <c r="I66" s="78" t="s">
        <v>117</v>
      </c>
      <c r="J66" s="78">
        <v>1</v>
      </c>
      <c r="K66" s="117">
        <v>5.95</v>
      </c>
      <c r="L66" s="78" t="s">
        <v>1896</v>
      </c>
      <c r="M66" s="81"/>
      <c r="N66" s="154">
        <f>MouserListTable[[#This Row],['# Initial]]*MouserListTable[[#This Row],[Price (USD)]]</f>
        <v>0</v>
      </c>
      <c r="O66" s="81" t="s">
        <v>114</v>
      </c>
      <c r="P66" s="150">
        <f t="shared" si="0"/>
        <v>53</v>
      </c>
      <c r="Q66" s="78" t="s">
        <v>5</v>
      </c>
      <c r="R66"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474-COM-12661</v>
      </c>
      <c r="S66" s="133" t="str">
        <f>HYPERLINK("https://www.mouser.com/ProductDetail/" &amp;MouserListTable[[#This Row],[Mouser SKU]])</f>
        <v>https://www.mouser.com/ProductDetail/474-COM-12661</v>
      </c>
      <c r="T66" s="94">
        <v>0</v>
      </c>
      <c r="U66" s="94">
        <v>1</v>
      </c>
      <c r="V66" s="94">
        <v>0</v>
      </c>
      <c r="W66" s="94">
        <f>MouserListTable[[#This Row],['#/Unit]]*FilterSpecs!$C$3+MouserListTable[[#This Row],[Extra]]</f>
        <v>1</v>
      </c>
      <c r="X66" s="94">
        <f>IF(MouserListTable[[#This Row],[Tag]]=FilterSpecs!$F$7,MouserListTable[[#This Row],['#/Unit]]*MouserListTable[[#This Row],[Price (USD)]],0)</f>
        <v>0</v>
      </c>
      <c r="Y66" s="94">
        <f>MouserListTable[[#This Row],[Tot '#]]*MouserListTable[[#This Row],[Price (USD)]]</f>
        <v>5.95</v>
      </c>
      <c r="Z66"/>
    </row>
    <row r="67" spans="1:16382" s="106" customFormat="1" x14ac:dyDescent="0.25">
      <c r="A67" s="78" t="s">
        <v>887</v>
      </c>
      <c r="B67" s="78" t="s">
        <v>2007</v>
      </c>
      <c r="C67" s="78" t="s">
        <v>1892</v>
      </c>
      <c r="D67" s="81" t="str">
        <f>IF(MouserListTable[[#This Row],[Vendor]]=FilterSpecs!$A$8,MouserListTable[[#This Row],[Mouser SKU]], MouserListTable[[#This Row],[Supplier SKU]])</f>
        <v>474-COM-09637</v>
      </c>
      <c r="E67" s="94">
        <f>MouserListTable[[#This Row],[Tot '#]]-MouserListTable[[#This Row],['# Initial]]</f>
        <v>3</v>
      </c>
      <c r="F67" s="94">
        <f>IF(AND(MouserListTable[[#This Row],[Tag]]&lt;&gt;FilterSpecs!$F$12, MouserListTable[[#This Row],[Tag]]&lt;&gt;FilterSpecs!$F$9), MouserListTable[[#This Row],['#/Unit]]*FilterSpecs!$B$3+MouserListTable[[#This Row],[Extra Initial]],0)</f>
        <v>0</v>
      </c>
      <c r="G67" s="78" t="s">
        <v>119</v>
      </c>
      <c r="H67" s="150" t="s">
        <v>120</v>
      </c>
      <c r="I67" s="78" t="s">
        <v>121</v>
      </c>
      <c r="J67" s="78">
        <v>1</v>
      </c>
      <c r="K67" s="117">
        <v>4.95</v>
      </c>
      <c r="L67" s="78" t="s">
        <v>1896</v>
      </c>
      <c r="M67" s="81"/>
      <c r="N67" s="154">
        <f>MouserListTable[[#This Row],['# Initial]]*MouserListTable[[#This Row],[Price (USD)]]</f>
        <v>0</v>
      </c>
      <c r="O67" s="81" t="s">
        <v>118</v>
      </c>
      <c r="P67" s="150">
        <f t="shared" si="0"/>
        <v>54</v>
      </c>
      <c r="Q67" s="78" t="s">
        <v>5</v>
      </c>
      <c r="R67"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474-COM-09637</v>
      </c>
      <c r="S67" s="133" t="str">
        <f>HYPERLINK("https://www.mouser.com/ProductDetail/" &amp;MouserListTable[[#This Row],[Mouser SKU]])</f>
        <v>https://www.mouser.com/ProductDetail/474-COM-09637</v>
      </c>
      <c r="T67" s="94">
        <v>0</v>
      </c>
      <c r="U67" s="94">
        <v>3</v>
      </c>
      <c r="V67" s="94">
        <v>0</v>
      </c>
      <c r="W67" s="94">
        <f>MouserListTable[[#This Row],['#/Unit]]*FilterSpecs!$C$3+MouserListTable[[#This Row],[Extra]]</f>
        <v>3</v>
      </c>
      <c r="X67" s="94">
        <f>IF(MouserListTable[[#This Row],[Tag]]=FilterSpecs!$F$7,MouserListTable[[#This Row],['#/Unit]]*MouserListTable[[#This Row],[Price (USD)]],0)</f>
        <v>0</v>
      </c>
      <c r="Y67" s="94">
        <f>MouserListTable[[#This Row],[Tot '#]]*MouserListTable[[#This Row],[Price (USD)]]</f>
        <v>14.850000000000001</v>
      </c>
      <c r="Z67"/>
    </row>
    <row r="68" spans="1:16382" s="106" customFormat="1" x14ac:dyDescent="0.25">
      <c r="A68" s="78" t="s">
        <v>887</v>
      </c>
      <c r="B68" s="78" t="s">
        <v>2007</v>
      </c>
      <c r="C68" s="78" t="s">
        <v>1892</v>
      </c>
      <c r="D68" s="81" t="str">
        <f>IF(MouserListTable[[#This Row],[Vendor]]=FilterSpecs!$A$8,MouserListTable[[#This Row],[Mouser SKU]], MouserListTable[[#This Row],[Supplier SKU]])</f>
        <v>485-1621</v>
      </c>
      <c r="E68" s="94">
        <f>MouserListTable[[#This Row],[Tot '#]]-MouserListTable[[#This Row],['# Initial]]</f>
        <v>0</v>
      </c>
      <c r="F68" s="94">
        <f>IF(AND(MouserListTable[[#This Row],[Tag]]&lt;&gt;FilterSpecs!$F$12, MouserListTable[[#This Row],[Tag]]&lt;&gt;FilterSpecs!$F$9), MouserListTable[[#This Row],['#/Unit]]*FilterSpecs!$B$3+MouserListTable[[#This Row],[Extra Initial]],0)</f>
        <v>0</v>
      </c>
      <c r="G68" s="78"/>
      <c r="H68" s="150"/>
      <c r="I68" s="97" t="s">
        <v>2319</v>
      </c>
      <c r="K68" s="118">
        <v>2.95</v>
      </c>
      <c r="L68" s="97" t="s">
        <v>1896</v>
      </c>
      <c r="N68" s="154">
        <f>MouserListTable[[#This Row],['# Initial]]*MouserListTable[[#This Row],[Price (USD)]]</f>
        <v>0</v>
      </c>
      <c r="O68" s="81" t="s">
        <v>2318</v>
      </c>
      <c r="P68" s="150">
        <f t="shared" si="0"/>
        <v>55</v>
      </c>
      <c r="Q68" s="78" t="s">
        <v>1884</v>
      </c>
      <c r="R68"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485-1621</v>
      </c>
      <c r="S68" s="133" t="str">
        <f>HYPERLINK("https://www.mouser.com/ProductDetail/" &amp;MouserListTable[[#This Row],[Mouser SKU]])</f>
        <v>https://www.mouser.com/ProductDetail/485-1621</v>
      </c>
      <c r="T68" s="94">
        <v>0</v>
      </c>
      <c r="U68" s="94">
        <v>0</v>
      </c>
      <c r="V68" s="94">
        <v>0</v>
      </c>
      <c r="W68" s="94">
        <f>MouserListTable[[#This Row],['#/Unit]]*FilterSpecs!$C$3+MouserListTable[[#This Row],[Extra]]</f>
        <v>0</v>
      </c>
      <c r="X68" s="94">
        <f>IF(MouserListTable[[#This Row],[Tag]]=FilterSpecs!$F$7,MouserListTable[[#This Row],['#/Unit]]*MouserListTable[[#This Row],[Price (USD)]],0)</f>
        <v>0</v>
      </c>
      <c r="Y68" s="94">
        <f>MouserListTable[[#This Row],[Tot '#]]*MouserListTable[[#This Row],[Price (USD)]]</f>
        <v>0</v>
      </c>
      <c r="Z68"/>
    </row>
    <row r="69" spans="1:16382" s="106" customFormat="1" x14ac:dyDescent="0.25">
      <c r="A69" s="78" t="s">
        <v>887</v>
      </c>
      <c r="B69" s="78" t="s">
        <v>2007</v>
      </c>
      <c r="C69" s="78" t="s">
        <v>1892</v>
      </c>
      <c r="D69" s="81" t="str">
        <f>IF(MouserListTable[[#This Row],[Vendor]]=FilterSpecs!$A$8,MouserListTable[[#This Row],[Mouser SKU]], MouserListTable[[#This Row],[Supplier SKU]])</f>
        <v>485-1622</v>
      </c>
      <c r="E69" s="94">
        <f>MouserListTable[[#This Row],[Tot '#]]-MouserListTable[[#This Row],['# Initial]]</f>
        <v>0</v>
      </c>
      <c r="F69" s="94">
        <f>IF(AND(MouserListTable[[#This Row],[Tag]]&lt;&gt;FilterSpecs!$F$12, MouserListTable[[#This Row],[Tag]]&lt;&gt;FilterSpecs!$F$9), MouserListTable[[#This Row],['#/Unit]]*FilterSpecs!$B$3+MouserListTable[[#This Row],[Extra Initial]],0)</f>
        <v>0</v>
      </c>
      <c r="G69" s="78"/>
      <c r="H69" s="150"/>
      <c r="I69" s="97" t="s">
        <v>2321</v>
      </c>
      <c r="K69" s="118">
        <v>2.5</v>
      </c>
      <c r="L69" s="97" t="s">
        <v>1896</v>
      </c>
      <c r="N69" s="154">
        <f>MouserListTable[[#This Row],['# Initial]]*MouserListTable[[#This Row],[Price (USD)]]</f>
        <v>0</v>
      </c>
      <c r="O69" s="81" t="s">
        <v>2320</v>
      </c>
      <c r="P69" s="150">
        <f t="shared" si="0"/>
        <v>56</v>
      </c>
      <c r="Q69" s="78" t="s">
        <v>1884</v>
      </c>
      <c r="R69"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485-1622</v>
      </c>
      <c r="S69" s="133" t="str">
        <f>HYPERLINK("https://www.mouser.com/ProductDetail/" &amp;MouserListTable[[#This Row],[Mouser SKU]])</f>
        <v>https://www.mouser.com/ProductDetail/485-1622</v>
      </c>
      <c r="T69" s="94">
        <v>0</v>
      </c>
      <c r="U69" s="94">
        <v>0</v>
      </c>
      <c r="V69" s="94">
        <v>0</v>
      </c>
      <c r="W69" s="94">
        <f>MouserListTable[[#This Row],['#/Unit]]*FilterSpecs!$C$3+MouserListTable[[#This Row],[Extra]]</f>
        <v>0</v>
      </c>
      <c r="X69" s="94">
        <f>IF(MouserListTable[[#This Row],[Tag]]=FilterSpecs!$F$7,MouserListTable[[#This Row],['#/Unit]]*MouserListTable[[#This Row],[Price (USD)]],0)</f>
        <v>0</v>
      </c>
      <c r="Y69" s="94">
        <f>MouserListTable[[#This Row],[Tot '#]]*MouserListTable[[#This Row],[Price (USD)]]</f>
        <v>0</v>
      </c>
      <c r="Z69"/>
    </row>
    <row r="70" spans="1:16382" s="106" customFormat="1" x14ac:dyDescent="0.25">
      <c r="A70" s="78" t="s">
        <v>887</v>
      </c>
      <c r="B70" s="78" t="s">
        <v>1602</v>
      </c>
      <c r="C70" s="78" t="s">
        <v>1892</v>
      </c>
      <c r="D70" s="81" t="str">
        <f>IF(MouserListTable[[#This Row],[Vendor]]=FilterSpecs!$A$8,MouserListTable[[#This Row],[Mouser SKU]], MouserListTable[[#This Row],[Supplier SKU]])</f>
        <v>474-DEV-11061</v>
      </c>
      <c r="E70" s="94">
        <f>MouserListTable[[#This Row],[Tot '#]]-MouserListTable[[#This Row],['# Initial]]</f>
        <v>5</v>
      </c>
      <c r="F70" s="94">
        <f>IF(AND(MouserListTable[[#This Row],[Tag]]&lt;&gt;FilterSpecs!$F$12, MouserListTable[[#This Row],[Tag]]&lt;&gt;FilterSpecs!$F$9), MouserListTable[[#This Row],['#/Unit]]*FilterSpecs!$B$3+MouserListTable[[#This Row],[Extra Initial]],0)</f>
        <v>0</v>
      </c>
      <c r="G70" s="78" t="s">
        <v>27</v>
      </c>
      <c r="H70" s="150" t="s">
        <v>28</v>
      </c>
      <c r="I70" s="78" t="s">
        <v>29</v>
      </c>
      <c r="J70" s="78">
        <v>1</v>
      </c>
      <c r="K70" s="117">
        <v>45.95</v>
      </c>
      <c r="L70" s="78" t="s">
        <v>2461</v>
      </c>
      <c r="M70" s="81"/>
      <c r="N70" s="154">
        <f>MouserListTable[[#This Row],['# Initial]]*MouserListTable[[#This Row],[Price (USD)]]</f>
        <v>0</v>
      </c>
      <c r="O70" s="81" t="s">
        <v>26</v>
      </c>
      <c r="P70" s="150">
        <f t="shared" si="0"/>
        <v>57</v>
      </c>
      <c r="Q70" s="78" t="s">
        <v>5</v>
      </c>
      <c r="R70"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474-DEV-11061</v>
      </c>
      <c r="S70" s="133" t="str">
        <f>HYPERLINK("https://www.mouser.com/ProductDetail/" &amp;MouserListTable[[#This Row],[Mouser SKU]])</f>
        <v>https://www.mouser.com/ProductDetail/474-DEV-11061</v>
      </c>
      <c r="T70" s="94">
        <v>1</v>
      </c>
      <c r="U70" s="94">
        <v>0</v>
      </c>
      <c r="V70" s="94">
        <v>0</v>
      </c>
      <c r="W70" s="94">
        <f>MouserListTable[[#This Row],['#/Unit]]*FilterSpecs!$C$3+MouserListTable[[#This Row],[Extra]]</f>
        <v>5</v>
      </c>
      <c r="X70" s="94">
        <f>IF(MouserListTable[[#This Row],[Tag]]=FilterSpecs!$F$7,MouserListTable[[#This Row],['#/Unit]]*MouserListTable[[#This Row],[Price (USD)]],0)</f>
        <v>0</v>
      </c>
      <c r="Y70" s="94">
        <f>MouserListTable[[#This Row],[Tot '#]]*MouserListTable[[#This Row],[Price (USD)]]</f>
        <v>229.75</v>
      </c>
      <c r="Z70"/>
    </row>
    <row r="71" spans="1:16382" s="153" customFormat="1" x14ac:dyDescent="0.25">
      <c r="A71" s="150" t="s">
        <v>887</v>
      </c>
      <c r="B71" s="150" t="s">
        <v>1602</v>
      </c>
      <c r="C71" s="150" t="s">
        <v>1892</v>
      </c>
      <c r="D71" s="151" t="str">
        <f>IF(MouserListTable[[#This Row],[Vendor]]=FilterSpecs!$A$8,MouserListTable[[#This Row],[Mouser SKU]], MouserListTable[[#This Row],[Supplier SKU]])</f>
        <v>474-DEV-14082</v>
      </c>
      <c r="E71" s="152">
        <f>MouserListTable[[#This Row],[Tot '#]]-MouserListTable[[#This Row],['# Initial]]</f>
        <v>0</v>
      </c>
      <c r="F71" s="152">
        <f>IF(AND(MouserListTable[[#This Row],[Tag]]&lt;&gt;FilterSpecs!$F$12, MouserListTable[[#This Row],[Tag]]&lt;&gt;FilterSpecs!$F$9), MouserListTable[[#This Row],['#/Unit]]*FilterSpecs!$B$3+MouserListTable[[#This Row],[Extra Initial]],0)</f>
        <v>0</v>
      </c>
      <c r="G71" s="147" t="s">
        <v>1726</v>
      </c>
      <c r="H71" s="150" t="s">
        <v>1727</v>
      </c>
      <c r="I71" s="150" t="s">
        <v>1728</v>
      </c>
      <c r="J71" s="150">
        <v>45</v>
      </c>
      <c r="K71" s="154">
        <v>45</v>
      </c>
      <c r="L71" s="150" t="s">
        <v>1896</v>
      </c>
      <c r="M71" s="151"/>
      <c r="N71" s="154">
        <f>MouserListTable[[#This Row],['# Initial]]*MouserListTable[[#This Row],[Price (USD)]]</f>
        <v>0</v>
      </c>
      <c r="O71" s="151" t="s">
        <v>1725</v>
      </c>
      <c r="P71" s="150">
        <f t="shared" si="0"/>
        <v>58</v>
      </c>
      <c r="Q71" s="150" t="s">
        <v>5</v>
      </c>
      <c r="R7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474-DEV-14082</v>
      </c>
      <c r="S71" s="157" t="str">
        <f>HYPERLINK("https://www.mouser.com/ProductDetail/" &amp;MouserListTable[[#This Row],[Mouser SKU]])</f>
        <v>https://www.mouser.com/ProductDetail/474-DEV-14082</v>
      </c>
      <c r="T71" s="152">
        <v>0</v>
      </c>
      <c r="U71" s="152">
        <v>0</v>
      </c>
      <c r="V71" s="152">
        <v>0</v>
      </c>
      <c r="W71" s="152">
        <f>MouserListTable[[#This Row],['#/Unit]]*FilterSpecs!$C$3+MouserListTable[[#This Row],[Extra]]</f>
        <v>0</v>
      </c>
      <c r="X71" s="152">
        <f>IF(MouserListTable[[#This Row],[Tag]]=FilterSpecs!$F$7,MouserListTable[[#This Row],['#/Unit]]*MouserListTable[[#This Row],[Price (USD)]],0)</f>
        <v>0</v>
      </c>
      <c r="Y71" s="152">
        <f>MouserListTable[[#This Row],[Tot '#]]*MouserListTable[[#This Row],[Price (USD)]]</f>
        <v>0</v>
      </c>
      <c r="Z71" s="146"/>
      <c r="AA71" s="146"/>
      <c r="AB71" s="146"/>
      <c r="AC71" s="146"/>
      <c r="AD71" s="146"/>
      <c r="AE71" s="146"/>
      <c r="AF71" s="146"/>
      <c r="AG71" s="146"/>
      <c r="AH71" s="146"/>
      <c r="AI71" s="146"/>
      <c r="AJ71" s="146"/>
      <c r="AK71" s="146"/>
      <c r="AL71" s="146"/>
      <c r="AM71" s="146"/>
      <c r="AN71" s="146"/>
      <c r="AO71" s="146"/>
      <c r="AP71" s="146"/>
      <c r="AQ71" s="146"/>
      <c r="AR71" s="146"/>
      <c r="AS71" s="146"/>
      <c r="AT71" s="146"/>
      <c r="AU71" s="146"/>
      <c r="AV71" s="146"/>
      <c r="AW71" s="146"/>
      <c r="AX71" s="146"/>
      <c r="AY71" s="146"/>
      <c r="AZ71" s="146"/>
      <c r="BA71" s="146"/>
      <c r="BB71" s="146"/>
      <c r="BC71" s="146"/>
      <c r="BD71" s="146"/>
      <c r="BE71" s="146"/>
      <c r="BF71" s="146"/>
      <c r="BG71" s="146"/>
      <c r="BH71" s="146"/>
      <c r="BI71" s="146"/>
      <c r="BJ71" s="146"/>
      <c r="BK71" s="146"/>
      <c r="BL71" s="146"/>
      <c r="BM71" s="146"/>
      <c r="BN71" s="146"/>
      <c r="BO71" s="146"/>
      <c r="BP71" s="146"/>
      <c r="BQ71" s="146"/>
      <c r="BR71" s="146"/>
      <c r="BS71" s="146"/>
      <c r="BT71" s="146"/>
      <c r="BU71" s="146"/>
      <c r="BV71" s="146"/>
      <c r="BW71" s="146"/>
      <c r="BX71" s="146"/>
      <c r="BY71" s="146"/>
      <c r="BZ71" s="146"/>
      <c r="CA71" s="146"/>
      <c r="CB71" s="146"/>
      <c r="CC71" s="146"/>
      <c r="CD71" s="146"/>
      <c r="CE71" s="146"/>
      <c r="CF71" s="146"/>
      <c r="CG71" s="146"/>
      <c r="CH71" s="146"/>
      <c r="CI71" s="146"/>
      <c r="CJ71" s="146"/>
      <c r="CK71" s="146"/>
      <c r="CL71" s="146"/>
      <c r="CM71" s="146"/>
      <c r="CN71" s="146"/>
      <c r="CO71" s="146"/>
      <c r="CP71" s="146"/>
      <c r="CQ71" s="146"/>
      <c r="CR71" s="146"/>
      <c r="CS71" s="146"/>
      <c r="CT71" s="146"/>
      <c r="CU71" s="146"/>
      <c r="CV71" s="146"/>
      <c r="CW71" s="146"/>
      <c r="CX71" s="146"/>
      <c r="CY71" s="146"/>
      <c r="CZ71" s="146"/>
      <c r="DA71" s="146"/>
      <c r="DB71" s="146"/>
      <c r="DC71" s="146"/>
      <c r="DD71" s="146"/>
      <c r="DE71" s="146"/>
      <c r="DF71" s="146"/>
      <c r="DG71" s="146"/>
      <c r="DH71" s="146"/>
      <c r="DI71" s="146"/>
      <c r="DJ71" s="146"/>
      <c r="DK71" s="146"/>
      <c r="DL71" s="146"/>
      <c r="DM71" s="146"/>
      <c r="DN71" s="146"/>
      <c r="DO71" s="146"/>
      <c r="DP71" s="146"/>
      <c r="DQ71" s="146"/>
      <c r="DR71" s="146"/>
      <c r="DS71" s="146"/>
      <c r="DT71" s="146"/>
      <c r="DU71" s="146"/>
      <c r="DV71" s="146"/>
      <c r="DW71" s="146"/>
      <c r="DX71" s="146"/>
      <c r="DY71" s="146"/>
      <c r="DZ71" s="146"/>
      <c r="EA71" s="146"/>
      <c r="EB71" s="146"/>
      <c r="EC71" s="146"/>
      <c r="ED71" s="146"/>
      <c r="EE71" s="146"/>
      <c r="EF71" s="146"/>
      <c r="EG71" s="146"/>
      <c r="EH71" s="146"/>
      <c r="EI71" s="146"/>
      <c r="EJ71" s="146"/>
      <c r="EK71" s="146"/>
      <c r="EL71" s="146"/>
      <c r="EM71" s="146"/>
      <c r="EN71" s="146"/>
      <c r="EO71" s="146"/>
      <c r="EP71" s="146"/>
      <c r="EQ71" s="146"/>
      <c r="ER71" s="146"/>
      <c r="ES71" s="146"/>
      <c r="ET71" s="146"/>
      <c r="EU71" s="146"/>
      <c r="EV71" s="146"/>
      <c r="EW71" s="146"/>
      <c r="EX71" s="146"/>
      <c r="EY71" s="146"/>
      <c r="EZ71" s="146"/>
      <c r="FA71" s="146"/>
      <c r="FB71" s="146"/>
      <c r="FC71" s="146"/>
      <c r="FD71" s="146"/>
      <c r="FE71" s="146"/>
      <c r="FF71" s="146"/>
      <c r="FG71" s="146"/>
      <c r="FH71" s="146"/>
      <c r="FI71" s="146"/>
      <c r="FJ71" s="146"/>
      <c r="FK71" s="146"/>
      <c r="FL71" s="146"/>
      <c r="FM71" s="146"/>
      <c r="FN71" s="146"/>
      <c r="FO71" s="146"/>
      <c r="FP71" s="146"/>
      <c r="FQ71" s="146"/>
      <c r="FR71" s="146"/>
      <c r="FS71" s="146"/>
      <c r="FT71" s="146"/>
      <c r="FU71" s="146"/>
      <c r="FV71" s="146"/>
      <c r="FW71" s="146"/>
      <c r="FX71" s="146"/>
      <c r="FY71" s="146"/>
      <c r="FZ71" s="146"/>
      <c r="GA71" s="146"/>
      <c r="GB71" s="146"/>
      <c r="GC71" s="146"/>
      <c r="GD71" s="146"/>
      <c r="GE71" s="146"/>
      <c r="GF71" s="146"/>
      <c r="GG71" s="146"/>
      <c r="GH71" s="146"/>
      <c r="GI71" s="146"/>
      <c r="GJ71" s="146"/>
      <c r="GK71" s="146"/>
      <c r="GL71" s="146"/>
      <c r="GM71" s="146"/>
      <c r="GN71" s="146"/>
      <c r="GO71" s="146"/>
      <c r="GP71" s="146"/>
      <c r="GQ71" s="146"/>
      <c r="GR71" s="146"/>
      <c r="GS71" s="146"/>
      <c r="GT71" s="146"/>
      <c r="GU71" s="146"/>
      <c r="GV71" s="146"/>
      <c r="GW71" s="146"/>
      <c r="GX71" s="146"/>
      <c r="GY71" s="146"/>
      <c r="GZ71" s="146"/>
      <c r="HA71" s="146"/>
      <c r="HB71" s="146"/>
      <c r="HC71" s="146"/>
      <c r="HD71" s="146"/>
      <c r="HE71" s="146"/>
      <c r="HF71" s="146"/>
      <c r="HG71" s="146"/>
      <c r="HH71" s="146"/>
      <c r="HI71" s="146"/>
      <c r="HJ71" s="146"/>
      <c r="HK71" s="146"/>
      <c r="HL71" s="146"/>
      <c r="HM71" s="146"/>
      <c r="HN71" s="146"/>
      <c r="HO71" s="146"/>
      <c r="HP71" s="146"/>
      <c r="HQ71" s="146"/>
      <c r="HR71" s="146"/>
      <c r="HS71" s="146"/>
      <c r="HT71" s="146"/>
      <c r="HU71" s="146"/>
      <c r="HV71" s="146"/>
      <c r="HW71" s="146"/>
      <c r="HX71" s="146"/>
      <c r="HY71" s="146"/>
      <c r="HZ71" s="146"/>
      <c r="IA71" s="146"/>
      <c r="IB71" s="146"/>
      <c r="IC71" s="146"/>
      <c r="ID71" s="146"/>
      <c r="IE71" s="146"/>
      <c r="IF71" s="146"/>
      <c r="IG71" s="146"/>
      <c r="IH71" s="146"/>
      <c r="II71" s="146"/>
      <c r="IJ71" s="146"/>
      <c r="IK71" s="146"/>
      <c r="IL71" s="146"/>
      <c r="IM71" s="146"/>
      <c r="IN71" s="146"/>
      <c r="IO71" s="146"/>
      <c r="IP71" s="146"/>
      <c r="IQ71" s="146"/>
      <c r="IR71" s="146"/>
      <c r="IS71" s="146"/>
      <c r="IT71" s="146"/>
      <c r="IU71" s="146"/>
      <c r="IV71" s="146"/>
      <c r="IW71" s="146"/>
      <c r="IX71" s="146"/>
      <c r="IY71" s="146"/>
      <c r="IZ71" s="146"/>
      <c r="JA71" s="146"/>
      <c r="JB71" s="146"/>
      <c r="JC71" s="146"/>
      <c r="JD71" s="146"/>
      <c r="JE71" s="146"/>
      <c r="JF71" s="146"/>
      <c r="JG71" s="146"/>
      <c r="JH71" s="146"/>
      <c r="JI71" s="146"/>
      <c r="JJ71" s="146"/>
      <c r="JK71" s="146"/>
      <c r="JL71" s="146"/>
      <c r="JM71" s="146"/>
      <c r="JN71" s="146"/>
      <c r="JO71" s="146"/>
      <c r="JP71" s="146"/>
      <c r="JQ71" s="146"/>
      <c r="JR71" s="146"/>
      <c r="JS71" s="146"/>
      <c r="JT71" s="146"/>
      <c r="JU71" s="146"/>
      <c r="JV71" s="146"/>
      <c r="JW71" s="146"/>
      <c r="JX71" s="146"/>
      <c r="JY71" s="146"/>
      <c r="JZ71" s="146"/>
      <c r="KA71" s="146"/>
      <c r="KB71" s="146"/>
      <c r="KC71" s="146"/>
      <c r="KD71" s="146"/>
      <c r="KE71" s="146"/>
      <c r="KF71" s="146"/>
      <c r="KG71" s="146"/>
      <c r="KH71" s="146"/>
      <c r="KI71" s="146"/>
      <c r="KJ71" s="146"/>
      <c r="KK71" s="146"/>
      <c r="KL71" s="146"/>
      <c r="KM71" s="146"/>
      <c r="KN71" s="146"/>
      <c r="KO71" s="146"/>
      <c r="KP71" s="146"/>
      <c r="KQ71" s="146"/>
      <c r="KR71" s="146"/>
      <c r="KS71" s="146"/>
      <c r="KT71" s="146"/>
      <c r="KU71" s="146"/>
      <c r="KV71" s="146"/>
      <c r="KW71" s="146"/>
      <c r="KX71" s="146"/>
      <c r="KY71" s="146"/>
      <c r="KZ71" s="146"/>
      <c r="LA71" s="146"/>
      <c r="LB71" s="146"/>
      <c r="LC71" s="146"/>
      <c r="LD71" s="146"/>
      <c r="LE71" s="146"/>
      <c r="LF71" s="146"/>
      <c r="LG71" s="146"/>
      <c r="LH71" s="146"/>
      <c r="LI71" s="146"/>
      <c r="LJ71" s="146"/>
      <c r="LK71" s="146"/>
      <c r="LL71" s="146"/>
      <c r="LM71" s="146"/>
      <c r="LN71" s="146"/>
      <c r="LO71" s="146"/>
      <c r="LP71" s="146"/>
      <c r="LQ71" s="146"/>
      <c r="LR71" s="146"/>
      <c r="LS71" s="146"/>
      <c r="LT71" s="146"/>
      <c r="LU71" s="146"/>
      <c r="LV71" s="146"/>
      <c r="LW71" s="146"/>
      <c r="LX71" s="146"/>
      <c r="LY71" s="146"/>
      <c r="LZ71" s="146"/>
      <c r="MA71" s="146"/>
      <c r="MB71" s="146"/>
      <c r="MC71" s="146"/>
      <c r="MD71" s="146"/>
      <c r="ME71" s="146"/>
      <c r="MF71" s="146"/>
      <c r="MG71" s="146"/>
      <c r="MH71" s="146"/>
      <c r="MI71" s="146"/>
      <c r="MJ71" s="146"/>
      <c r="MK71" s="146"/>
      <c r="ML71" s="146"/>
      <c r="MM71" s="146"/>
      <c r="MN71" s="146"/>
      <c r="MO71" s="146"/>
      <c r="MP71" s="146"/>
      <c r="MQ71" s="146"/>
      <c r="MR71" s="146"/>
      <c r="MS71" s="146"/>
      <c r="MT71" s="146"/>
      <c r="MU71" s="146"/>
      <c r="MV71" s="146"/>
      <c r="MW71" s="146"/>
      <c r="MX71" s="146"/>
      <c r="MY71" s="146"/>
      <c r="MZ71" s="146"/>
      <c r="NA71" s="146"/>
      <c r="NB71" s="146"/>
      <c r="NC71" s="146"/>
      <c r="ND71" s="146"/>
      <c r="NE71" s="146"/>
      <c r="NF71" s="146"/>
      <c r="NG71" s="146"/>
      <c r="NH71" s="146"/>
      <c r="NI71" s="146"/>
      <c r="NJ71" s="146"/>
      <c r="NK71" s="146"/>
      <c r="NL71" s="146"/>
      <c r="NM71" s="146"/>
      <c r="NN71" s="146"/>
      <c r="NO71" s="146"/>
      <c r="NP71" s="146"/>
      <c r="NQ71" s="146"/>
      <c r="NR71" s="146"/>
      <c r="NS71" s="146"/>
      <c r="NT71" s="146"/>
      <c r="NU71" s="146"/>
      <c r="NV71" s="146"/>
      <c r="NW71" s="146"/>
      <c r="NX71" s="146"/>
      <c r="NY71" s="146"/>
      <c r="NZ71" s="146"/>
      <c r="OA71" s="146"/>
      <c r="OB71" s="146"/>
      <c r="OC71" s="146"/>
      <c r="OD71" s="146"/>
      <c r="OE71" s="146"/>
      <c r="OF71" s="146"/>
      <c r="OG71" s="146"/>
      <c r="OH71" s="146"/>
      <c r="OI71" s="146"/>
      <c r="OJ71" s="146"/>
      <c r="OK71" s="146"/>
      <c r="OL71" s="146"/>
      <c r="OM71" s="146"/>
      <c r="ON71" s="146"/>
      <c r="OO71" s="146"/>
      <c r="OP71" s="146"/>
      <c r="OQ71" s="146"/>
      <c r="OR71" s="146"/>
      <c r="OS71" s="146"/>
      <c r="OT71" s="146"/>
      <c r="OU71" s="146"/>
      <c r="OV71" s="146"/>
      <c r="OW71" s="146"/>
      <c r="OX71" s="146"/>
      <c r="OY71" s="146"/>
      <c r="OZ71" s="146"/>
      <c r="PA71" s="146"/>
      <c r="PB71" s="146"/>
      <c r="PC71" s="146"/>
      <c r="PD71" s="146"/>
      <c r="PE71" s="146"/>
      <c r="PF71" s="146"/>
      <c r="PG71" s="146"/>
      <c r="PH71" s="146"/>
      <c r="PI71" s="146"/>
      <c r="PJ71" s="146"/>
      <c r="PK71" s="146"/>
      <c r="PL71" s="146"/>
      <c r="PM71" s="146"/>
      <c r="PN71" s="146"/>
      <c r="PO71" s="146"/>
      <c r="PP71" s="146"/>
      <c r="PQ71" s="146"/>
      <c r="PR71" s="146"/>
      <c r="PS71" s="146"/>
      <c r="PT71" s="146"/>
      <c r="PU71" s="146"/>
      <c r="PV71" s="146"/>
      <c r="PW71" s="146"/>
      <c r="PX71" s="146"/>
      <c r="PY71" s="146"/>
      <c r="PZ71" s="146"/>
      <c r="QA71" s="146"/>
      <c r="QB71" s="146"/>
      <c r="QC71" s="146"/>
      <c r="QD71" s="146"/>
      <c r="QE71" s="146"/>
      <c r="QF71" s="146"/>
      <c r="QG71" s="146"/>
      <c r="QH71" s="146"/>
      <c r="QI71" s="146"/>
      <c r="QJ71" s="146"/>
      <c r="QK71" s="146"/>
      <c r="QL71" s="146"/>
      <c r="QM71" s="146"/>
      <c r="QN71" s="146"/>
      <c r="QO71" s="146"/>
      <c r="QP71" s="146"/>
      <c r="QQ71" s="146"/>
      <c r="QR71" s="146"/>
      <c r="QS71" s="146"/>
      <c r="QT71" s="146"/>
      <c r="QU71" s="146"/>
      <c r="QV71" s="146"/>
      <c r="QW71" s="146"/>
      <c r="QX71" s="146"/>
      <c r="QY71" s="146"/>
      <c r="QZ71" s="146"/>
      <c r="RA71" s="146"/>
      <c r="RB71" s="146"/>
      <c r="RC71" s="146"/>
      <c r="RD71" s="146"/>
      <c r="RE71" s="146"/>
      <c r="RF71" s="146"/>
      <c r="RG71" s="146"/>
      <c r="RH71" s="146"/>
      <c r="RI71" s="146"/>
      <c r="RJ71" s="146"/>
      <c r="RK71" s="146"/>
      <c r="RL71" s="146"/>
      <c r="RM71" s="146"/>
      <c r="RN71" s="146"/>
      <c r="RO71" s="146"/>
      <c r="RP71" s="146"/>
      <c r="RQ71" s="146"/>
      <c r="RR71" s="146"/>
      <c r="RS71" s="146"/>
      <c r="RT71" s="146"/>
      <c r="RU71" s="146"/>
      <c r="RV71" s="146"/>
      <c r="RW71" s="146"/>
      <c r="RX71" s="146"/>
      <c r="RY71" s="146"/>
      <c r="RZ71" s="146"/>
      <c r="SA71" s="146"/>
      <c r="SB71" s="146"/>
      <c r="SC71" s="146"/>
      <c r="SD71" s="146"/>
      <c r="SE71" s="146"/>
      <c r="SF71" s="146"/>
      <c r="SG71" s="146"/>
      <c r="SH71" s="146"/>
      <c r="SI71" s="146"/>
      <c r="SJ71" s="146"/>
      <c r="SK71" s="146"/>
      <c r="SL71" s="146"/>
      <c r="SM71" s="146"/>
      <c r="SN71" s="146"/>
      <c r="SO71" s="146"/>
      <c r="SP71" s="146"/>
      <c r="SQ71" s="146"/>
      <c r="SR71" s="146"/>
      <c r="SS71" s="146"/>
      <c r="ST71" s="146"/>
      <c r="SU71" s="146"/>
      <c r="SV71" s="146"/>
      <c r="SW71" s="146"/>
      <c r="SX71" s="146"/>
      <c r="SY71" s="146"/>
      <c r="SZ71" s="146"/>
      <c r="TA71" s="146"/>
      <c r="TB71" s="146"/>
      <c r="TC71" s="146"/>
      <c r="TD71" s="146"/>
      <c r="TE71" s="146"/>
      <c r="TF71" s="146"/>
      <c r="TG71" s="146"/>
      <c r="TH71" s="146"/>
      <c r="TI71" s="146"/>
      <c r="TJ71" s="146"/>
      <c r="TK71" s="146"/>
      <c r="TL71" s="146"/>
      <c r="TM71" s="146"/>
      <c r="TN71" s="146"/>
      <c r="TO71" s="146"/>
      <c r="TP71" s="146"/>
      <c r="TQ71" s="146"/>
      <c r="TR71" s="146"/>
      <c r="TS71" s="146"/>
      <c r="TT71" s="146"/>
      <c r="TU71" s="146"/>
      <c r="TV71" s="146"/>
      <c r="TW71" s="146"/>
      <c r="TX71" s="146"/>
      <c r="TY71" s="146"/>
      <c r="TZ71" s="146"/>
      <c r="UA71" s="146"/>
      <c r="UB71" s="146"/>
      <c r="UC71" s="146"/>
      <c r="UD71" s="146"/>
      <c r="UE71" s="146"/>
      <c r="UF71" s="146"/>
      <c r="UG71" s="146"/>
      <c r="UH71" s="146"/>
      <c r="UI71" s="146"/>
      <c r="UJ71" s="146"/>
      <c r="UK71" s="146"/>
      <c r="UL71" s="146"/>
      <c r="UM71" s="146"/>
      <c r="UN71" s="146"/>
      <c r="UO71" s="146"/>
      <c r="UP71" s="146"/>
      <c r="UQ71" s="146"/>
      <c r="UR71" s="146"/>
      <c r="US71" s="146"/>
      <c r="UT71" s="146"/>
      <c r="UU71" s="146"/>
      <c r="UV71" s="146"/>
      <c r="UW71" s="146"/>
      <c r="UX71" s="146"/>
      <c r="UY71" s="146"/>
      <c r="UZ71" s="146"/>
      <c r="VA71" s="146"/>
      <c r="VB71" s="146"/>
      <c r="VC71" s="146"/>
      <c r="VD71" s="146"/>
      <c r="VE71" s="146"/>
      <c r="VF71" s="146"/>
      <c r="VG71" s="146"/>
      <c r="VH71" s="146"/>
      <c r="VI71" s="146"/>
      <c r="VJ71" s="146"/>
      <c r="VK71" s="146"/>
      <c r="VL71" s="146"/>
      <c r="VM71" s="146"/>
      <c r="VN71" s="146"/>
      <c r="VO71" s="146"/>
      <c r="VP71" s="146"/>
      <c r="VQ71" s="146"/>
      <c r="VR71" s="146"/>
      <c r="VS71" s="146"/>
      <c r="VT71" s="146"/>
      <c r="VU71" s="146"/>
      <c r="VV71" s="146"/>
      <c r="VW71" s="146"/>
      <c r="VX71" s="146"/>
      <c r="VY71" s="146"/>
      <c r="VZ71" s="146"/>
      <c r="WA71" s="146"/>
      <c r="WB71" s="146"/>
      <c r="WC71" s="146"/>
      <c r="WD71" s="146"/>
      <c r="WE71" s="146"/>
      <c r="WF71" s="146"/>
      <c r="WG71" s="146"/>
      <c r="WH71" s="146"/>
      <c r="WI71" s="146"/>
      <c r="WJ71" s="146"/>
      <c r="WK71" s="146"/>
      <c r="WL71" s="146"/>
      <c r="WM71" s="146"/>
      <c r="WN71" s="146"/>
      <c r="WO71" s="146"/>
      <c r="WP71" s="146"/>
      <c r="WQ71" s="146"/>
      <c r="WR71" s="146"/>
      <c r="WS71" s="146"/>
      <c r="WT71" s="146"/>
      <c r="WU71" s="146"/>
      <c r="WV71" s="146"/>
      <c r="WW71" s="146"/>
      <c r="WX71" s="146"/>
      <c r="WY71" s="146"/>
      <c r="WZ71" s="146"/>
      <c r="XA71" s="146"/>
      <c r="XB71" s="146"/>
      <c r="XC71" s="146"/>
      <c r="XD71" s="146"/>
      <c r="XE71" s="146"/>
      <c r="XF71" s="146"/>
      <c r="XG71" s="146"/>
      <c r="XH71" s="146"/>
      <c r="XI71" s="146"/>
      <c r="XJ71" s="146"/>
      <c r="XK71" s="146"/>
      <c r="XL71" s="146"/>
      <c r="XM71" s="146"/>
      <c r="XN71" s="146"/>
      <c r="XO71" s="146"/>
      <c r="XP71" s="146"/>
      <c r="XQ71" s="146"/>
      <c r="XR71" s="146"/>
      <c r="XS71" s="146"/>
      <c r="XT71" s="146"/>
      <c r="XU71" s="146"/>
      <c r="XV71" s="146"/>
      <c r="XW71" s="146"/>
      <c r="XX71" s="146"/>
      <c r="XY71" s="146"/>
      <c r="XZ71" s="146"/>
      <c r="YA71" s="146"/>
      <c r="YB71" s="146"/>
      <c r="YC71" s="146"/>
      <c r="YD71" s="146"/>
      <c r="YE71" s="146"/>
      <c r="YF71" s="146"/>
      <c r="YG71" s="146"/>
      <c r="YH71" s="146"/>
      <c r="YI71" s="146"/>
      <c r="YJ71" s="146"/>
      <c r="YK71" s="146"/>
      <c r="YL71" s="146"/>
      <c r="YM71" s="146"/>
      <c r="YN71" s="146"/>
      <c r="YO71" s="146"/>
      <c r="YP71" s="146"/>
      <c r="YQ71" s="146"/>
      <c r="YR71" s="146"/>
      <c r="YS71" s="146"/>
      <c r="YT71" s="146"/>
      <c r="YU71" s="146"/>
      <c r="YV71" s="146"/>
      <c r="YW71" s="146"/>
      <c r="YX71" s="146"/>
      <c r="YY71" s="146"/>
      <c r="YZ71" s="146"/>
      <c r="ZA71" s="146"/>
      <c r="ZB71" s="146"/>
      <c r="ZC71" s="146"/>
      <c r="ZD71" s="146"/>
      <c r="ZE71" s="146"/>
      <c r="ZF71" s="146"/>
      <c r="ZG71" s="146"/>
      <c r="ZH71" s="146"/>
      <c r="ZI71" s="146"/>
      <c r="ZJ71" s="146"/>
      <c r="ZK71" s="146"/>
      <c r="ZL71" s="146"/>
      <c r="ZM71" s="146"/>
      <c r="ZN71" s="146"/>
      <c r="ZO71" s="146"/>
      <c r="ZP71" s="146"/>
      <c r="ZQ71" s="146"/>
      <c r="ZR71" s="146"/>
      <c r="ZS71" s="146"/>
      <c r="ZT71" s="146"/>
      <c r="ZU71" s="146"/>
      <c r="ZV71" s="146"/>
      <c r="ZW71" s="146"/>
      <c r="ZX71" s="146"/>
      <c r="ZY71" s="146"/>
      <c r="ZZ71" s="146"/>
      <c r="AAA71" s="146"/>
      <c r="AAB71" s="146"/>
      <c r="AAC71" s="146"/>
      <c r="AAD71" s="146"/>
      <c r="AAE71" s="146"/>
      <c r="AAF71" s="146"/>
      <c r="AAG71" s="146"/>
      <c r="AAH71" s="146"/>
      <c r="AAI71" s="146"/>
      <c r="AAJ71" s="146"/>
      <c r="AAK71" s="146"/>
      <c r="AAL71" s="146"/>
      <c r="AAM71" s="146"/>
      <c r="AAN71" s="146"/>
      <c r="AAO71" s="146"/>
      <c r="AAP71" s="146"/>
      <c r="AAQ71" s="146"/>
      <c r="AAR71" s="146"/>
      <c r="AAS71" s="146"/>
      <c r="AAT71" s="146"/>
      <c r="AAU71" s="146"/>
      <c r="AAV71" s="146"/>
      <c r="AAW71" s="146"/>
      <c r="AAX71" s="146"/>
      <c r="AAY71" s="146"/>
      <c r="AAZ71" s="146"/>
      <c r="ABA71" s="146"/>
      <c r="ABB71" s="146"/>
      <c r="ABC71" s="146"/>
      <c r="ABD71" s="146"/>
      <c r="ABE71" s="146"/>
      <c r="ABF71" s="146"/>
      <c r="ABG71" s="146"/>
      <c r="ABH71" s="146"/>
      <c r="ABI71" s="146"/>
      <c r="ABJ71" s="146"/>
      <c r="ABK71" s="146"/>
      <c r="ABL71" s="146"/>
      <c r="ABM71" s="146"/>
      <c r="ABN71" s="146"/>
      <c r="ABO71" s="146"/>
      <c r="ABP71" s="146"/>
      <c r="ABQ71" s="146"/>
      <c r="ABR71" s="146"/>
      <c r="ABS71" s="146"/>
      <c r="ABT71" s="146"/>
      <c r="ABU71" s="146"/>
      <c r="ABV71" s="146"/>
      <c r="ABW71" s="146"/>
      <c r="ABX71" s="146"/>
      <c r="ABY71" s="146"/>
      <c r="ABZ71" s="146"/>
      <c r="ACA71" s="146"/>
      <c r="ACB71" s="146"/>
      <c r="ACC71" s="146"/>
      <c r="ACD71" s="146"/>
      <c r="ACE71" s="146"/>
      <c r="ACF71" s="146"/>
      <c r="ACG71" s="146"/>
      <c r="ACH71" s="146"/>
      <c r="ACI71" s="146"/>
      <c r="ACJ71" s="146"/>
      <c r="ACK71" s="146"/>
      <c r="ACL71" s="146"/>
      <c r="ACM71" s="146"/>
      <c r="ACN71" s="146"/>
      <c r="ACO71" s="146"/>
      <c r="ACP71" s="146"/>
      <c r="ACQ71" s="146"/>
      <c r="ACR71" s="146"/>
      <c r="ACS71" s="146"/>
      <c r="ACT71" s="146"/>
      <c r="ACU71" s="146"/>
      <c r="ACV71" s="146"/>
      <c r="ACW71" s="146"/>
      <c r="ACX71" s="146"/>
      <c r="ACY71" s="146"/>
      <c r="ACZ71" s="146"/>
      <c r="ADA71" s="146"/>
      <c r="ADB71" s="146"/>
      <c r="ADC71" s="146"/>
      <c r="ADD71" s="146"/>
      <c r="ADE71" s="146"/>
      <c r="ADF71" s="146"/>
      <c r="ADG71" s="146"/>
      <c r="ADH71" s="146"/>
      <c r="ADI71" s="146"/>
      <c r="ADJ71" s="146"/>
      <c r="ADK71" s="146"/>
      <c r="ADL71" s="146"/>
      <c r="ADM71" s="146"/>
      <c r="ADN71" s="146"/>
      <c r="ADO71" s="146"/>
      <c r="ADP71" s="146"/>
      <c r="ADQ71" s="146"/>
      <c r="ADR71" s="146"/>
      <c r="ADS71" s="146"/>
      <c r="ADT71" s="146"/>
      <c r="ADU71" s="146"/>
      <c r="ADV71" s="146"/>
      <c r="ADW71" s="146"/>
      <c r="ADX71" s="146"/>
      <c r="ADY71" s="146"/>
      <c r="ADZ71" s="146"/>
      <c r="AEA71" s="146"/>
      <c r="AEB71" s="146"/>
      <c r="AEC71" s="146"/>
      <c r="AED71" s="146"/>
      <c r="AEE71" s="146"/>
      <c r="AEF71" s="146"/>
      <c r="AEG71" s="146"/>
      <c r="AEH71" s="146"/>
      <c r="AEI71" s="146"/>
      <c r="AEJ71" s="146"/>
      <c r="AEK71" s="146"/>
      <c r="AEL71" s="146"/>
      <c r="AEM71" s="146"/>
      <c r="AEN71" s="146"/>
      <c r="AEO71" s="146"/>
      <c r="AEP71" s="146"/>
      <c r="AEQ71" s="146"/>
      <c r="AER71" s="146"/>
      <c r="AES71" s="146"/>
      <c r="AET71" s="146"/>
      <c r="AEU71" s="146"/>
      <c r="AEV71" s="146"/>
      <c r="AEW71" s="146"/>
      <c r="AEX71" s="146"/>
      <c r="AEY71" s="146"/>
      <c r="AEZ71" s="146"/>
      <c r="AFA71" s="146"/>
      <c r="AFB71" s="146"/>
      <c r="AFC71" s="146"/>
      <c r="AFD71" s="146"/>
      <c r="AFE71" s="146"/>
      <c r="AFF71" s="146"/>
      <c r="AFG71" s="146"/>
      <c r="AFH71" s="146"/>
      <c r="AFI71" s="146"/>
      <c r="AFJ71" s="146"/>
      <c r="AFK71" s="146"/>
      <c r="AFL71" s="146"/>
      <c r="AFM71" s="146"/>
      <c r="AFN71" s="146"/>
      <c r="AFO71" s="146"/>
      <c r="AFP71" s="146"/>
      <c r="AFQ71" s="146"/>
      <c r="AFR71" s="146"/>
      <c r="AFS71" s="146"/>
      <c r="AFT71" s="146"/>
      <c r="AFU71" s="146"/>
      <c r="AFV71" s="146"/>
      <c r="AFW71" s="146"/>
      <c r="AFX71" s="146"/>
      <c r="AFY71" s="146"/>
      <c r="AFZ71" s="146"/>
      <c r="AGA71" s="146"/>
      <c r="AGB71" s="146"/>
      <c r="AGC71" s="146"/>
      <c r="AGD71" s="146"/>
      <c r="AGE71" s="146"/>
      <c r="AGF71" s="146"/>
      <c r="AGG71" s="146"/>
      <c r="AGH71" s="146"/>
      <c r="AGI71" s="146"/>
      <c r="AGJ71" s="146"/>
      <c r="AGK71" s="146"/>
      <c r="AGL71" s="146"/>
      <c r="AGM71" s="146"/>
      <c r="AGN71" s="146"/>
      <c r="AGO71" s="146"/>
      <c r="AGP71" s="146"/>
      <c r="AGQ71" s="146"/>
      <c r="AGR71" s="146"/>
      <c r="AGS71" s="146"/>
      <c r="AGT71" s="146"/>
      <c r="AGU71" s="146"/>
      <c r="AGV71" s="146"/>
      <c r="AGW71" s="146"/>
      <c r="AGX71" s="146"/>
      <c r="AGY71" s="146"/>
      <c r="AGZ71" s="146"/>
      <c r="AHA71" s="146"/>
      <c r="AHB71" s="146"/>
      <c r="AHC71" s="146"/>
      <c r="AHD71" s="146"/>
      <c r="AHE71" s="146"/>
      <c r="AHF71" s="146"/>
      <c r="AHG71" s="146"/>
      <c r="AHH71" s="146"/>
      <c r="AHI71" s="146"/>
      <c r="AHJ71" s="146"/>
      <c r="AHK71" s="146"/>
      <c r="AHL71" s="146"/>
      <c r="AHM71" s="146"/>
      <c r="AHN71" s="146"/>
      <c r="AHO71" s="146"/>
      <c r="AHP71" s="146"/>
      <c r="AHQ71" s="146"/>
      <c r="AHR71" s="146"/>
      <c r="AHS71" s="146"/>
      <c r="AHT71" s="146"/>
      <c r="AHU71" s="146"/>
      <c r="AHV71" s="146"/>
      <c r="AHW71" s="146"/>
      <c r="AHX71" s="146"/>
      <c r="AHY71" s="146"/>
      <c r="AHZ71" s="146"/>
      <c r="AIA71" s="146"/>
      <c r="AIB71" s="146"/>
      <c r="AIC71" s="146"/>
      <c r="AID71" s="146"/>
      <c r="AIE71" s="146"/>
      <c r="AIF71" s="146"/>
      <c r="AIG71" s="146"/>
      <c r="AIH71" s="146"/>
      <c r="AII71" s="146"/>
      <c r="AIJ71" s="146"/>
      <c r="AIK71" s="146"/>
      <c r="AIL71" s="146"/>
      <c r="AIM71" s="146"/>
      <c r="AIN71" s="146"/>
      <c r="AIO71" s="146"/>
      <c r="AIP71" s="146"/>
      <c r="AIQ71" s="146"/>
      <c r="AIR71" s="146"/>
      <c r="AIS71" s="146"/>
      <c r="AIT71" s="146"/>
      <c r="AIU71" s="146"/>
      <c r="AIV71" s="146"/>
      <c r="AIW71" s="146"/>
      <c r="AIX71" s="146"/>
      <c r="AIY71" s="146"/>
      <c r="AIZ71" s="146"/>
      <c r="AJA71" s="146"/>
      <c r="AJB71" s="146"/>
      <c r="AJC71" s="146"/>
      <c r="AJD71" s="146"/>
      <c r="AJE71" s="146"/>
      <c r="AJF71" s="146"/>
      <c r="AJG71" s="146"/>
      <c r="AJH71" s="146"/>
      <c r="AJI71" s="146"/>
      <c r="AJJ71" s="146"/>
      <c r="AJK71" s="146"/>
      <c r="AJL71" s="146"/>
      <c r="AJM71" s="146"/>
      <c r="AJN71" s="146"/>
      <c r="AJO71" s="146"/>
      <c r="AJP71" s="146"/>
      <c r="AJQ71" s="146"/>
      <c r="AJR71" s="146"/>
      <c r="AJS71" s="146"/>
      <c r="AJT71" s="146"/>
      <c r="AJU71" s="146"/>
      <c r="AJV71" s="146"/>
      <c r="AJW71" s="146"/>
      <c r="AJX71" s="146"/>
      <c r="AJY71" s="146"/>
      <c r="AJZ71" s="146"/>
      <c r="AKA71" s="146"/>
      <c r="AKB71" s="146"/>
      <c r="AKC71" s="146"/>
      <c r="AKD71" s="146"/>
      <c r="AKE71" s="146"/>
      <c r="AKF71" s="146"/>
      <c r="AKG71" s="146"/>
      <c r="AKH71" s="146"/>
      <c r="AKI71" s="146"/>
      <c r="AKJ71" s="146"/>
      <c r="AKK71" s="146"/>
      <c r="AKL71" s="146"/>
      <c r="AKM71" s="146"/>
      <c r="AKN71" s="146"/>
      <c r="AKO71" s="146"/>
      <c r="AKP71" s="146"/>
      <c r="AKQ71" s="146"/>
      <c r="AKR71" s="146"/>
      <c r="AKS71" s="146"/>
      <c r="AKT71" s="146"/>
      <c r="AKU71" s="146"/>
      <c r="AKV71" s="146"/>
      <c r="AKW71" s="146"/>
      <c r="AKX71" s="146"/>
      <c r="AKY71" s="146"/>
      <c r="AKZ71" s="146"/>
      <c r="ALA71" s="146"/>
      <c r="ALB71" s="146"/>
      <c r="ALC71" s="146"/>
      <c r="ALD71" s="146"/>
      <c r="ALE71" s="146"/>
      <c r="ALF71" s="146"/>
      <c r="ALG71" s="146"/>
      <c r="ALH71" s="146"/>
      <c r="ALI71" s="146"/>
      <c r="ALJ71" s="146"/>
      <c r="ALK71" s="146"/>
      <c r="ALL71" s="146"/>
      <c r="ALM71" s="146"/>
      <c r="ALN71" s="146"/>
      <c r="ALO71" s="146"/>
      <c r="ALP71" s="146"/>
      <c r="ALQ71" s="146"/>
      <c r="ALR71" s="146"/>
      <c r="ALS71" s="146"/>
      <c r="ALT71" s="146"/>
      <c r="ALU71" s="146"/>
      <c r="ALV71" s="146"/>
      <c r="ALW71" s="146"/>
      <c r="ALX71" s="146"/>
      <c r="ALY71" s="146"/>
      <c r="ALZ71" s="146"/>
      <c r="AMA71" s="146"/>
      <c r="AMB71" s="146"/>
      <c r="AMC71" s="146"/>
      <c r="AMD71" s="146"/>
      <c r="AME71" s="146"/>
      <c r="AMF71" s="146"/>
      <c r="AMG71" s="146"/>
      <c r="AMH71" s="146"/>
      <c r="AMI71" s="146"/>
      <c r="AMJ71" s="146"/>
      <c r="AMK71" s="146"/>
      <c r="AML71" s="146"/>
      <c r="AMM71" s="146"/>
      <c r="AMN71" s="146"/>
      <c r="AMO71" s="146"/>
      <c r="AMP71" s="146"/>
      <c r="AMQ71" s="146"/>
      <c r="AMR71" s="146"/>
      <c r="AMS71" s="146"/>
      <c r="AMT71" s="146"/>
      <c r="AMU71" s="146"/>
      <c r="AMV71" s="146"/>
      <c r="AMW71" s="146"/>
      <c r="AMX71" s="146"/>
      <c r="AMY71" s="146"/>
      <c r="AMZ71" s="146"/>
      <c r="ANA71" s="146"/>
      <c r="ANB71" s="146"/>
      <c r="ANC71" s="146"/>
      <c r="AND71" s="146"/>
      <c r="ANE71" s="146"/>
      <c r="ANF71" s="146"/>
      <c r="ANG71" s="146"/>
      <c r="ANH71" s="146"/>
      <c r="ANI71" s="146"/>
      <c r="ANJ71" s="146"/>
      <c r="ANK71" s="146"/>
      <c r="ANL71" s="146"/>
      <c r="ANM71" s="146"/>
      <c r="ANN71" s="146"/>
      <c r="ANO71" s="146"/>
      <c r="ANP71" s="146"/>
      <c r="ANQ71" s="146"/>
      <c r="ANR71" s="146"/>
      <c r="ANS71" s="146"/>
      <c r="ANT71" s="146"/>
      <c r="ANU71" s="146"/>
      <c r="ANV71" s="146"/>
      <c r="ANW71" s="146"/>
      <c r="ANX71" s="146"/>
      <c r="ANY71" s="146"/>
      <c r="ANZ71" s="146"/>
      <c r="AOA71" s="146"/>
      <c r="AOB71" s="146"/>
      <c r="AOC71" s="146"/>
      <c r="AOD71" s="146"/>
      <c r="AOE71" s="146"/>
      <c r="AOF71" s="146"/>
      <c r="AOG71" s="146"/>
      <c r="AOH71" s="146"/>
      <c r="AOI71" s="146"/>
      <c r="AOJ71" s="146"/>
      <c r="AOK71" s="146"/>
      <c r="AOL71" s="146"/>
      <c r="AOM71" s="146"/>
      <c r="AON71" s="146"/>
      <c r="AOO71" s="146"/>
      <c r="AOP71" s="146"/>
      <c r="AOQ71" s="146"/>
      <c r="AOR71" s="146"/>
      <c r="AOS71" s="146"/>
      <c r="AOT71" s="146"/>
      <c r="AOU71" s="146"/>
      <c r="AOV71" s="146"/>
      <c r="AOW71" s="146"/>
      <c r="AOX71" s="146"/>
      <c r="AOY71" s="146"/>
      <c r="AOZ71" s="146"/>
      <c r="APA71" s="146"/>
      <c r="APB71" s="146"/>
      <c r="APC71" s="146"/>
      <c r="APD71" s="146"/>
      <c r="APE71" s="146"/>
      <c r="APF71" s="146"/>
      <c r="APG71" s="146"/>
      <c r="APH71" s="146"/>
      <c r="API71" s="146"/>
      <c r="APJ71" s="146"/>
      <c r="APK71" s="146"/>
      <c r="APL71" s="146"/>
      <c r="APM71" s="146"/>
      <c r="APN71" s="146"/>
      <c r="APO71" s="146"/>
      <c r="APP71" s="146"/>
      <c r="APQ71" s="146"/>
      <c r="APR71" s="146"/>
      <c r="APS71" s="146"/>
      <c r="APT71" s="146"/>
      <c r="APU71" s="146"/>
      <c r="APV71" s="146"/>
      <c r="APW71" s="146"/>
      <c r="APX71" s="146"/>
      <c r="APY71" s="146"/>
      <c r="APZ71" s="146"/>
      <c r="AQA71" s="146"/>
      <c r="AQB71" s="146"/>
      <c r="AQC71" s="146"/>
      <c r="AQD71" s="146"/>
      <c r="AQE71" s="146"/>
      <c r="AQF71" s="146"/>
      <c r="AQG71" s="146"/>
      <c r="AQH71" s="146"/>
      <c r="AQI71" s="146"/>
      <c r="AQJ71" s="146"/>
      <c r="AQK71" s="146"/>
      <c r="AQL71" s="146"/>
      <c r="AQM71" s="146"/>
      <c r="AQN71" s="146"/>
      <c r="AQO71" s="146"/>
      <c r="AQP71" s="146"/>
      <c r="AQQ71" s="146"/>
      <c r="AQR71" s="146"/>
      <c r="AQS71" s="146"/>
      <c r="AQT71" s="146"/>
      <c r="AQU71" s="146"/>
      <c r="AQV71" s="146"/>
      <c r="AQW71" s="146"/>
      <c r="AQX71" s="146"/>
      <c r="AQY71" s="146"/>
      <c r="AQZ71" s="146"/>
      <c r="ARA71" s="146"/>
      <c r="ARB71" s="146"/>
      <c r="ARC71" s="146"/>
      <c r="ARD71" s="146"/>
      <c r="ARE71" s="146"/>
      <c r="ARF71" s="146"/>
      <c r="ARG71" s="146"/>
      <c r="ARH71" s="146"/>
      <c r="ARI71" s="146"/>
      <c r="ARJ71" s="146"/>
      <c r="ARK71" s="146"/>
      <c r="ARL71" s="146"/>
      <c r="ARM71" s="146"/>
      <c r="ARN71" s="146"/>
      <c r="ARO71" s="146"/>
      <c r="ARP71" s="146"/>
      <c r="ARQ71" s="146"/>
      <c r="ARR71" s="146"/>
      <c r="ARS71" s="146"/>
      <c r="ART71" s="146"/>
      <c r="ARU71" s="146"/>
      <c r="ARV71" s="146"/>
      <c r="ARW71" s="146"/>
      <c r="ARX71" s="146"/>
      <c r="ARY71" s="146"/>
      <c r="ARZ71" s="146"/>
      <c r="ASA71" s="146"/>
      <c r="ASB71" s="146"/>
      <c r="ASC71" s="146"/>
      <c r="ASD71" s="146"/>
      <c r="ASE71" s="146"/>
      <c r="ASF71" s="146"/>
      <c r="ASG71" s="146"/>
      <c r="ASH71" s="146"/>
      <c r="ASI71" s="146"/>
      <c r="ASJ71" s="146"/>
      <c r="ASK71" s="146"/>
      <c r="ASL71" s="146"/>
      <c r="ASM71" s="146"/>
      <c r="ASN71" s="146"/>
      <c r="ASO71" s="146"/>
      <c r="ASP71" s="146"/>
      <c r="ASQ71" s="146"/>
      <c r="ASR71" s="146"/>
      <c r="ASS71" s="146"/>
      <c r="AST71" s="146"/>
      <c r="ASU71" s="146"/>
      <c r="ASV71" s="146"/>
      <c r="ASW71" s="146"/>
      <c r="ASX71" s="146"/>
      <c r="ASY71" s="146"/>
      <c r="ASZ71" s="146"/>
      <c r="ATA71" s="146"/>
      <c r="ATB71" s="146"/>
      <c r="ATC71" s="146"/>
      <c r="ATD71" s="146"/>
      <c r="ATE71" s="146"/>
      <c r="ATF71" s="146"/>
      <c r="ATG71" s="146"/>
      <c r="ATH71" s="146"/>
      <c r="ATI71" s="146"/>
      <c r="ATJ71" s="146"/>
      <c r="ATK71" s="146"/>
      <c r="ATL71" s="146"/>
      <c r="ATM71" s="146"/>
      <c r="ATN71" s="146"/>
      <c r="ATO71" s="146"/>
      <c r="ATP71" s="146"/>
      <c r="ATQ71" s="146"/>
      <c r="ATR71" s="146"/>
      <c r="ATS71" s="146"/>
      <c r="ATT71" s="146"/>
      <c r="ATU71" s="146"/>
      <c r="ATV71" s="146"/>
      <c r="ATW71" s="146"/>
      <c r="ATX71" s="146"/>
      <c r="ATY71" s="146"/>
      <c r="ATZ71" s="146"/>
      <c r="AUA71" s="146"/>
      <c r="AUB71" s="146"/>
      <c r="AUC71" s="146"/>
      <c r="AUD71" s="146"/>
      <c r="AUE71" s="146"/>
      <c r="AUF71" s="146"/>
      <c r="AUG71" s="146"/>
      <c r="AUH71" s="146"/>
      <c r="AUI71" s="146"/>
      <c r="AUJ71" s="146"/>
      <c r="AUK71" s="146"/>
      <c r="AUL71" s="146"/>
      <c r="AUM71" s="146"/>
      <c r="AUN71" s="146"/>
      <c r="AUO71" s="146"/>
      <c r="AUP71" s="146"/>
      <c r="AUQ71" s="146"/>
      <c r="AUR71" s="146"/>
      <c r="AUS71" s="146"/>
      <c r="AUT71" s="146"/>
      <c r="AUU71" s="146"/>
      <c r="AUV71" s="146"/>
      <c r="AUW71" s="146"/>
      <c r="AUX71" s="146"/>
      <c r="AUY71" s="146"/>
      <c r="AUZ71" s="146"/>
      <c r="AVA71" s="146"/>
      <c r="AVB71" s="146"/>
      <c r="AVC71" s="146"/>
      <c r="AVD71" s="146"/>
      <c r="AVE71" s="146"/>
      <c r="AVF71" s="146"/>
      <c r="AVG71" s="146"/>
      <c r="AVH71" s="146"/>
      <c r="AVI71" s="146"/>
      <c r="AVJ71" s="146"/>
      <c r="AVK71" s="146"/>
      <c r="AVL71" s="146"/>
      <c r="AVM71" s="146"/>
      <c r="AVN71" s="146"/>
      <c r="AVO71" s="146"/>
      <c r="AVP71" s="146"/>
      <c r="AVQ71" s="146"/>
      <c r="AVR71" s="146"/>
      <c r="AVS71" s="146"/>
      <c r="AVT71" s="146"/>
      <c r="AVU71" s="146"/>
      <c r="AVV71" s="146"/>
      <c r="AVW71" s="146"/>
      <c r="AVX71" s="146"/>
      <c r="AVY71" s="146"/>
      <c r="AVZ71" s="146"/>
      <c r="AWA71" s="146"/>
      <c r="AWB71" s="146"/>
      <c r="AWC71" s="146"/>
      <c r="AWD71" s="146"/>
      <c r="AWE71" s="146"/>
      <c r="AWF71" s="146"/>
      <c r="AWG71" s="146"/>
      <c r="AWH71" s="146"/>
      <c r="AWI71" s="146"/>
      <c r="AWJ71" s="146"/>
      <c r="AWK71" s="146"/>
      <c r="AWL71" s="146"/>
      <c r="AWM71" s="146"/>
      <c r="AWN71" s="146"/>
      <c r="AWO71" s="146"/>
      <c r="AWP71" s="146"/>
      <c r="AWQ71" s="146"/>
      <c r="AWR71" s="146"/>
      <c r="AWS71" s="146"/>
      <c r="AWT71" s="146"/>
      <c r="AWU71" s="146"/>
      <c r="AWV71" s="146"/>
      <c r="AWW71" s="146"/>
      <c r="AWX71" s="146"/>
      <c r="AWY71" s="146"/>
      <c r="AWZ71" s="146"/>
      <c r="AXA71" s="146"/>
      <c r="AXB71" s="146"/>
      <c r="AXC71" s="146"/>
      <c r="AXD71" s="146"/>
      <c r="AXE71" s="146"/>
      <c r="AXF71" s="146"/>
      <c r="AXG71" s="146"/>
      <c r="AXH71" s="146"/>
      <c r="AXI71" s="146"/>
      <c r="AXJ71" s="146"/>
      <c r="AXK71" s="146"/>
      <c r="AXL71" s="146"/>
      <c r="AXM71" s="146"/>
      <c r="AXN71" s="146"/>
      <c r="AXO71" s="146"/>
      <c r="AXP71" s="146"/>
      <c r="AXQ71" s="146"/>
      <c r="AXR71" s="146"/>
      <c r="AXS71" s="146"/>
      <c r="AXT71" s="146"/>
      <c r="AXU71" s="146"/>
      <c r="AXV71" s="146"/>
      <c r="AXW71" s="146"/>
      <c r="AXX71" s="146"/>
      <c r="AXY71" s="146"/>
      <c r="AXZ71" s="146"/>
      <c r="AYA71" s="146"/>
      <c r="AYB71" s="146"/>
      <c r="AYC71" s="146"/>
      <c r="AYD71" s="146"/>
      <c r="AYE71" s="146"/>
      <c r="AYF71" s="146"/>
      <c r="AYG71" s="146"/>
      <c r="AYH71" s="146"/>
      <c r="AYI71" s="146"/>
      <c r="AYJ71" s="146"/>
      <c r="AYK71" s="146"/>
      <c r="AYL71" s="146"/>
      <c r="AYM71" s="146"/>
      <c r="AYN71" s="146"/>
      <c r="AYO71" s="146"/>
      <c r="AYP71" s="146"/>
      <c r="AYQ71" s="146"/>
      <c r="AYR71" s="146"/>
      <c r="AYS71" s="146"/>
      <c r="AYT71" s="146"/>
      <c r="AYU71" s="146"/>
      <c r="AYV71" s="146"/>
      <c r="AYW71" s="146"/>
      <c r="AYX71" s="146"/>
      <c r="AYY71" s="146"/>
      <c r="AYZ71" s="146"/>
      <c r="AZA71" s="146"/>
      <c r="AZB71" s="146"/>
      <c r="AZC71" s="146"/>
      <c r="AZD71" s="146"/>
      <c r="AZE71" s="146"/>
      <c r="AZF71" s="146"/>
      <c r="AZG71" s="146"/>
      <c r="AZH71" s="146"/>
      <c r="AZI71" s="146"/>
      <c r="AZJ71" s="146"/>
      <c r="AZK71" s="146"/>
      <c r="AZL71" s="146"/>
      <c r="AZM71" s="146"/>
      <c r="AZN71" s="146"/>
      <c r="AZO71" s="146"/>
      <c r="AZP71" s="146"/>
      <c r="AZQ71" s="146"/>
      <c r="AZR71" s="146"/>
      <c r="AZS71" s="146"/>
      <c r="AZT71" s="146"/>
      <c r="AZU71" s="146"/>
      <c r="AZV71" s="146"/>
      <c r="AZW71" s="146"/>
      <c r="AZX71" s="146"/>
      <c r="AZY71" s="146"/>
      <c r="AZZ71" s="146"/>
      <c r="BAA71" s="146"/>
      <c r="BAB71" s="146"/>
      <c r="BAC71" s="146"/>
      <c r="BAD71" s="146"/>
      <c r="BAE71" s="146"/>
      <c r="BAF71" s="146"/>
      <c r="BAG71" s="146"/>
      <c r="BAH71" s="146"/>
      <c r="BAI71" s="146"/>
      <c r="BAJ71" s="146"/>
      <c r="BAK71" s="146"/>
      <c r="BAL71" s="146"/>
      <c r="BAM71" s="146"/>
      <c r="BAN71" s="146"/>
      <c r="BAO71" s="146"/>
      <c r="BAP71" s="146"/>
      <c r="BAQ71" s="146"/>
      <c r="BAR71" s="146"/>
      <c r="BAS71" s="146"/>
      <c r="BAT71" s="146"/>
      <c r="BAU71" s="146"/>
      <c r="BAV71" s="146"/>
      <c r="BAW71" s="146"/>
      <c r="BAX71" s="146"/>
      <c r="BAY71" s="146"/>
      <c r="BAZ71" s="146"/>
      <c r="BBA71" s="146"/>
      <c r="BBB71" s="146"/>
      <c r="BBC71" s="146"/>
      <c r="BBD71" s="146"/>
      <c r="BBE71" s="146"/>
      <c r="BBF71" s="146"/>
      <c r="BBG71" s="146"/>
      <c r="BBH71" s="146"/>
      <c r="BBI71" s="146"/>
      <c r="BBJ71" s="146"/>
      <c r="BBK71" s="146"/>
      <c r="BBL71" s="146"/>
      <c r="BBM71" s="146"/>
      <c r="BBN71" s="146"/>
      <c r="BBO71" s="146"/>
      <c r="BBP71" s="146"/>
      <c r="BBQ71" s="146"/>
      <c r="BBR71" s="146"/>
      <c r="BBS71" s="146"/>
      <c r="BBT71" s="146"/>
      <c r="BBU71" s="146"/>
      <c r="BBV71" s="146"/>
      <c r="BBW71" s="146"/>
      <c r="BBX71" s="146"/>
      <c r="BBY71" s="146"/>
      <c r="BBZ71" s="146"/>
      <c r="BCA71" s="146"/>
      <c r="BCB71" s="146"/>
      <c r="BCC71" s="146"/>
      <c r="BCD71" s="146"/>
      <c r="BCE71" s="146"/>
      <c r="BCF71" s="146"/>
      <c r="BCG71" s="146"/>
      <c r="BCH71" s="146"/>
      <c r="BCI71" s="146"/>
      <c r="BCJ71" s="146"/>
      <c r="BCK71" s="146"/>
      <c r="BCL71" s="146"/>
      <c r="BCM71" s="146"/>
      <c r="BCN71" s="146"/>
      <c r="BCO71" s="146"/>
      <c r="BCP71" s="146"/>
      <c r="BCQ71" s="146"/>
      <c r="BCR71" s="146"/>
      <c r="BCS71" s="146"/>
      <c r="BCT71" s="146"/>
      <c r="BCU71" s="146"/>
      <c r="BCV71" s="146"/>
      <c r="BCW71" s="146"/>
      <c r="BCX71" s="146"/>
      <c r="BCY71" s="146"/>
      <c r="BCZ71" s="146"/>
      <c r="BDA71" s="146"/>
      <c r="BDB71" s="146"/>
      <c r="BDC71" s="146"/>
      <c r="BDD71" s="146"/>
      <c r="BDE71" s="146"/>
      <c r="BDF71" s="146"/>
      <c r="BDG71" s="146"/>
      <c r="BDH71" s="146"/>
      <c r="BDI71" s="146"/>
      <c r="BDJ71" s="146"/>
      <c r="BDK71" s="146"/>
      <c r="BDL71" s="146"/>
      <c r="BDM71" s="146"/>
      <c r="BDN71" s="146"/>
      <c r="BDO71" s="146"/>
      <c r="BDP71" s="146"/>
      <c r="BDQ71" s="146"/>
      <c r="BDR71" s="146"/>
      <c r="BDS71" s="146"/>
      <c r="BDT71" s="146"/>
      <c r="BDU71" s="146"/>
      <c r="BDV71" s="146"/>
      <c r="BDW71" s="146"/>
      <c r="BDX71" s="146"/>
      <c r="BDY71" s="146"/>
      <c r="BDZ71" s="146"/>
      <c r="BEA71" s="146"/>
      <c r="BEB71" s="146"/>
      <c r="BEC71" s="146"/>
      <c r="BED71" s="146"/>
      <c r="BEE71" s="146"/>
      <c r="BEF71" s="146"/>
      <c r="BEG71" s="146"/>
      <c r="BEH71" s="146"/>
      <c r="BEI71" s="146"/>
      <c r="BEJ71" s="146"/>
      <c r="BEK71" s="146"/>
      <c r="BEL71" s="146"/>
      <c r="BEM71" s="146"/>
      <c r="BEN71" s="146"/>
      <c r="BEO71" s="146"/>
      <c r="BEP71" s="146"/>
      <c r="BEQ71" s="146"/>
      <c r="BER71" s="146"/>
      <c r="BES71" s="146"/>
      <c r="BET71" s="146"/>
      <c r="BEU71" s="146"/>
      <c r="BEV71" s="146"/>
      <c r="BEW71" s="146"/>
      <c r="BEX71" s="146"/>
      <c r="BEY71" s="146"/>
      <c r="BEZ71" s="146"/>
      <c r="BFA71" s="146"/>
      <c r="BFB71" s="146"/>
      <c r="BFC71" s="146"/>
      <c r="BFD71" s="146"/>
      <c r="BFE71" s="146"/>
      <c r="BFF71" s="146"/>
      <c r="BFG71" s="146"/>
      <c r="BFH71" s="146"/>
      <c r="BFI71" s="146"/>
      <c r="BFJ71" s="146"/>
      <c r="BFK71" s="146"/>
      <c r="BFL71" s="146"/>
      <c r="BFM71" s="146"/>
      <c r="BFN71" s="146"/>
      <c r="BFO71" s="146"/>
      <c r="BFP71" s="146"/>
      <c r="BFQ71" s="146"/>
      <c r="BFR71" s="146"/>
      <c r="BFS71" s="146"/>
      <c r="BFT71" s="146"/>
      <c r="BFU71" s="146"/>
      <c r="BFV71" s="146"/>
      <c r="BFW71" s="146"/>
      <c r="BFX71" s="146"/>
      <c r="BFY71" s="146"/>
      <c r="BFZ71" s="146"/>
      <c r="BGA71" s="146"/>
      <c r="BGB71" s="146"/>
      <c r="BGC71" s="146"/>
      <c r="BGD71" s="146"/>
      <c r="BGE71" s="146"/>
      <c r="BGF71" s="146"/>
      <c r="BGG71" s="146"/>
      <c r="BGH71" s="146"/>
      <c r="BGI71" s="146"/>
      <c r="BGJ71" s="146"/>
      <c r="BGK71" s="146"/>
      <c r="BGL71" s="146"/>
      <c r="BGM71" s="146"/>
      <c r="BGN71" s="146"/>
      <c r="BGO71" s="146"/>
      <c r="BGP71" s="146"/>
      <c r="BGQ71" s="146"/>
      <c r="BGR71" s="146"/>
      <c r="BGS71" s="146"/>
      <c r="BGT71" s="146"/>
      <c r="BGU71" s="146"/>
      <c r="BGV71" s="146"/>
      <c r="BGW71" s="146"/>
      <c r="BGX71" s="146"/>
      <c r="BGY71" s="146"/>
      <c r="BGZ71" s="146"/>
      <c r="BHA71" s="146"/>
      <c r="BHB71" s="146"/>
      <c r="BHC71" s="146"/>
      <c r="BHD71" s="146"/>
      <c r="BHE71" s="146"/>
      <c r="BHF71" s="146"/>
      <c r="BHG71" s="146"/>
      <c r="BHH71" s="146"/>
      <c r="BHI71" s="146"/>
      <c r="BHJ71" s="146"/>
      <c r="BHK71" s="146"/>
      <c r="BHL71" s="146"/>
      <c r="BHM71" s="146"/>
      <c r="BHN71" s="146"/>
      <c r="BHO71" s="146"/>
      <c r="BHP71" s="146"/>
      <c r="BHQ71" s="146"/>
      <c r="BHR71" s="146"/>
      <c r="BHS71" s="146"/>
      <c r="BHT71" s="146"/>
      <c r="BHU71" s="146"/>
      <c r="BHV71" s="146"/>
      <c r="BHW71" s="146"/>
      <c r="BHX71" s="146"/>
      <c r="BHY71" s="146"/>
      <c r="BHZ71" s="146"/>
      <c r="BIA71" s="146"/>
      <c r="BIB71" s="146"/>
      <c r="BIC71" s="146"/>
      <c r="BID71" s="146"/>
      <c r="BIE71" s="146"/>
      <c r="BIF71" s="146"/>
      <c r="BIG71" s="146"/>
      <c r="BIH71" s="146"/>
      <c r="BII71" s="146"/>
      <c r="BIJ71" s="146"/>
      <c r="BIK71" s="146"/>
      <c r="BIL71" s="146"/>
      <c r="BIM71" s="146"/>
      <c r="BIN71" s="146"/>
      <c r="BIO71" s="146"/>
      <c r="BIP71" s="146"/>
      <c r="BIQ71" s="146"/>
      <c r="BIR71" s="146"/>
      <c r="BIS71" s="146"/>
      <c r="BIT71" s="146"/>
      <c r="BIU71" s="146"/>
      <c r="BIV71" s="146"/>
      <c r="BIW71" s="146"/>
      <c r="BIX71" s="146"/>
      <c r="BIY71" s="146"/>
      <c r="BIZ71" s="146"/>
      <c r="BJA71" s="146"/>
      <c r="BJB71" s="146"/>
      <c r="BJC71" s="146"/>
      <c r="BJD71" s="146"/>
      <c r="BJE71" s="146"/>
      <c r="BJF71" s="146"/>
      <c r="BJG71" s="146"/>
      <c r="BJH71" s="146"/>
      <c r="BJI71" s="146"/>
      <c r="BJJ71" s="146"/>
      <c r="BJK71" s="146"/>
      <c r="BJL71" s="146"/>
      <c r="BJM71" s="146"/>
      <c r="BJN71" s="146"/>
      <c r="BJO71" s="146"/>
      <c r="BJP71" s="146"/>
      <c r="BJQ71" s="146"/>
      <c r="BJR71" s="146"/>
      <c r="BJS71" s="146"/>
      <c r="BJT71" s="146"/>
      <c r="BJU71" s="146"/>
      <c r="BJV71" s="146"/>
      <c r="BJW71" s="146"/>
      <c r="BJX71" s="146"/>
      <c r="BJY71" s="146"/>
      <c r="BJZ71" s="146"/>
      <c r="BKA71" s="146"/>
      <c r="BKB71" s="146"/>
      <c r="BKC71" s="146"/>
      <c r="BKD71" s="146"/>
      <c r="BKE71" s="146"/>
      <c r="BKF71" s="146"/>
      <c r="BKG71" s="146"/>
      <c r="BKH71" s="146"/>
      <c r="BKI71" s="146"/>
      <c r="BKJ71" s="146"/>
      <c r="BKK71" s="146"/>
      <c r="BKL71" s="146"/>
      <c r="BKM71" s="146"/>
      <c r="BKN71" s="146"/>
      <c r="BKO71" s="146"/>
      <c r="BKP71" s="146"/>
      <c r="BKQ71" s="146"/>
      <c r="BKR71" s="146"/>
      <c r="BKS71" s="146"/>
      <c r="BKT71" s="146"/>
      <c r="BKU71" s="146"/>
      <c r="BKV71" s="146"/>
      <c r="BKW71" s="146"/>
      <c r="BKX71" s="146"/>
      <c r="BKY71" s="146"/>
      <c r="BKZ71" s="146"/>
      <c r="BLA71" s="146"/>
      <c r="BLB71" s="146"/>
      <c r="BLC71" s="146"/>
      <c r="BLD71" s="146"/>
      <c r="BLE71" s="146"/>
      <c r="BLF71" s="146"/>
      <c r="BLG71" s="146"/>
      <c r="BLH71" s="146"/>
      <c r="BLI71" s="146"/>
      <c r="BLJ71" s="146"/>
      <c r="BLK71" s="146"/>
      <c r="BLL71" s="146"/>
      <c r="BLM71" s="146"/>
      <c r="BLN71" s="146"/>
      <c r="BLO71" s="146"/>
      <c r="BLP71" s="146"/>
      <c r="BLQ71" s="146"/>
      <c r="BLR71" s="146"/>
      <c r="BLS71" s="146"/>
      <c r="BLT71" s="146"/>
      <c r="BLU71" s="146"/>
      <c r="BLV71" s="146"/>
      <c r="BLW71" s="146"/>
      <c r="BLX71" s="146"/>
      <c r="BLY71" s="146"/>
      <c r="BLZ71" s="146"/>
      <c r="BMA71" s="146"/>
      <c r="BMB71" s="146"/>
      <c r="BMC71" s="146"/>
      <c r="BMD71" s="146"/>
      <c r="BME71" s="146"/>
      <c r="BMF71" s="146"/>
      <c r="BMG71" s="146"/>
      <c r="BMH71" s="146"/>
      <c r="BMI71" s="146"/>
      <c r="BMJ71" s="146"/>
      <c r="BMK71" s="146"/>
      <c r="BML71" s="146"/>
      <c r="BMM71" s="146"/>
      <c r="BMN71" s="146"/>
      <c r="BMO71" s="146"/>
      <c r="BMP71" s="146"/>
      <c r="BMQ71" s="146"/>
      <c r="BMR71" s="146"/>
      <c r="BMS71" s="146"/>
      <c r="BMT71" s="146"/>
      <c r="BMU71" s="146"/>
      <c r="BMV71" s="146"/>
      <c r="BMW71" s="146"/>
      <c r="BMX71" s="146"/>
      <c r="BMY71" s="146"/>
      <c r="BMZ71" s="146"/>
      <c r="BNA71" s="146"/>
      <c r="BNB71" s="146"/>
      <c r="BNC71" s="146"/>
      <c r="BND71" s="146"/>
      <c r="BNE71" s="146"/>
      <c r="BNF71" s="146"/>
      <c r="BNG71" s="146"/>
      <c r="BNH71" s="146"/>
      <c r="BNI71" s="146"/>
      <c r="BNJ71" s="146"/>
      <c r="BNK71" s="146"/>
      <c r="BNL71" s="146"/>
      <c r="BNM71" s="146"/>
      <c r="BNN71" s="146"/>
      <c r="BNO71" s="146"/>
      <c r="BNP71" s="146"/>
      <c r="BNQ71" s="146"/>
      <c r="BNR71" s="146"/>
      <c r="BNS71" s="146"/>
      <c r="BNT71" s="146"/>
      <c r="BNU71" s="146"/>
      <c r="BNV71" s="146"/>
      <c r="BNW71" s="146"/>
      <c r="BNX71" s="146"/>
      <c r="BNY71" s="146"/>
      <c r="BNZ71" s="146"/>
      <c r="BOA71" s="146"/>
      <c r="BOB71" s="146"/>
      <c r="BOC71" s="146"/>
      <c r="BOD71" s="146"/>
      <c r="BOE71" s="146"/>
      <c r="BOF71" s="146"/>
      <c r="BOG71" s="146"/>
      <c r="BOH71" s="146"/>
      <c r="BOI71" s="146"/>
      <c r="BOJ71" s="146"/>
      <c r="BOK71" s="146"/>
      <c r="BOL71" s="146"/>
      <c r="BOM71" s="146"/>
      <c r="BON71" s="146"/>
      <c r="BOO71" s="146"/>
      <c r="BOP71" s="146"/>
      <c r="BOQ71" s="146"/>
      <c r="BOR71" s="146"/>
      <c r="BOS71" s="146"/>
      <c r="BOT71" s="146"/>
      <c r="BOU71" s="146"/>
      <c r="BOV71" s="146"/>
      <c r="BOW71" s="146"/>
      <c r="BOX71" s="146"/>
      <c r="BOY71" s="146"/>
      <c r="BOZ71" s="146"/>
      <c r="BPA71" s="146"/>
      <c r="BPB71" s="146"/>
      <c r="BPC71" s="146"/>
      <c r="BPD71" s="146"/>
      <c r="BPE71" s="146"/>
      <c r="BPF71" s="146"/>
      <c r="BPG71" s="146"/>
      <c r="BPH71" s="146"/>
      <c r="BPI71" s="146"/>
      <c r="BPJ71" s="146"/>
      <c r="BPK71" s="146"/>
      <c r="BPL71" s="146"/>
      <c r="BPM71" s="146"/>
      <c r="BPN71" s="146"/>
      <c r="BPO71" s="146"/>
      <c r="BPP71" s="146"/>
      <c r="BPQ71" s="146"/>
      <c r="BPR71" s="146"/>
      <c r="BPS71" s="146"/>
      <c r="BPT71" s="146"/>
      <c r="BPU71" s="146"/>
      <c r="BPV71" s="146"/>
      <c r="BPW71" s="146"/>
      <c r="BPX71" s="146"/>
      <c r="BPY71" s="146"/>
      <c r="BPZ71" s="146"/>
      <c r="BQA71" s="146"/>
      <c r="BQB71" s="146"/>
      <c r="BQC71" s="146"/>
      <c r="BQD71" s="146"/>
      <c r="BQE71" s="146"/>
      <c r="BQF71" s="146"/>
      <c r="BQG71" s="146"/>
      <c r="BQH71" s="146"/>
      <c r="BQI71" s="146"/>
      <c r="BQJ71" s="146"/>
      <c r="BQK71" s="146"/>
      <c r="BQL71" s="146"/>
      <c r="BQM71" s="146"/>
      <c r="BQN71" s="146"/>
      <c r="BQO71" s="146"/>
      <c r="BQP71" s="146"/>
      <c r="BQQ71" s="146"/>
      <c r="BQR71" s="146"/>
      <c r="BQS71" s="146"/>
      <c r="BQT71" s="146"/>
      <c r="BQU71" s="146"/>
      <c r="BQV71" s="146"/>
      <c r="BQW71" s="146"/>
      <c r="BQX71" s="146"/>
      <c r="BQY71" s="146"/>
      <c r="BQZ71" s="146"/>
      <c r="BRA71" s="146"/>
      <c r="BRB71" s="146"/>
      <c r="BRC71" s="146"/>
      <c r="BRD71" s="146"/>
      <c r="BRE71" s="146"/>
      <c r="BRF71" s="146"/>
      <c r="BRG71" s="146"/>
      <c r="BRH71" s="146"/>
      <c r="BRI71" s="146"/>
      <c r="BRJ71" s="146"/>
      <c r="BRK71" s="146"/>
      <c r="BRL71" s="146"/>
      <c r="BRM71" s="146"/>
      <c r="BRN71" s="146"/>
      <c r="BRO71" s="146"/>
      <c r="BRP71" s="146"/>
      <c r="BRQ71" s="146"/>
      <c r="BRR71" s="146"/>
      <c r="BRS71" s="146"/>
      <c r="BRT71" s="146"/>
      <c r="BRU71" s="146"/>
      <c r="BRV71" s="146"/>
      <c r="BRW71" s="146"/>
      <c r="BRX71" s="146"/>
      <c r="BRY71" s="146"/>
      <c r="BRZ71" s="146"/>
      <c r="BSA71" s="146"/>
      <c r="BSB71" s="146"/>
      <c r="BSC71" s="146"/>
      <c r="BSD71" s="146"/>
      <c r="BSE71" s="146"/>
      <c r="BSF71" s="146"/>
      <c r="BSG71" s="146"/>
      <c r="BSH71" s="146"/>
      <c r="BSI71" s="146"/>
      <c r="BSJ71" s="146"/>
      <c r="BSK71" s="146"/>
      <c r="BSL71" s="146"/>
      <c r="BSM71" s="146"/>
      <c r="BSN71" s="146"/>
      <c r="BSO71" s="146"/>
      <c r="BSP71" s="146"/>
      <c r="BSQ71" s="146"/>
      <c r="BSR71" s="146"/>
      <c r="BSS71" s="146"/>
      <c r="BST71" s="146"/>
      <c r="BSU71" s="146"/>
      <c r="BSV71" s="146"/>
      <c r="BSW71" s="146"/>
      <c r="BSX71" s="146"/>
      <c r="BSY71" s="146"/>
      <c r="BSZ71" s="146"/>
      <c r="BTA71" s="146"/>
      <c r="BTB71" s="146"/>
      <c r="BTC71" s="146"/>
      <c r="BTD71" s="146"/>
      <c r="BTE71" s="146"/>
      <c r="BTF71" s="146"/>
      <c r="BTG71" s="146"/>
      <c r="BTH71" s="146"/>
      <c r="BTI71" s="146"/>
      <c r="BTJ71" s="146"/>
      <c r="BTK71" s="146"/>
      <c r="BTL71" s="146"/>
      <c r="BTM71" s="146"/>
      <c r="BTN71" s="146"/>
      <c r="BTO71" s="146"/>
      <c r="BTP71" s="146"/>
      <c r="BTQ71" s="146"/>
      <c r="BTR71" s="146"/>
      <c r="BTS71" s="146"/>
      <c r="BTT71" s="146"/>
      <c r="BTU71" s="146"/>
      <c r="BTV71" s="146"/>
      <c r="BTW71" s="146"/>
      <c r="BTX71" s="146"/>
      <c r="BTY71" s="146"/>
      <c r="BTZ71" s="146"/>
      <c r="BUA71" s="146"/>
      <c r="BUB71" s="146"/>
      <c r="BUC71" s="146"/>
      <c r="BUD71" s="146"/>
      <c r="BUE71" s="146"/>
      <c r="BUF71" s="146"/>
      <c r="BUG71" s="146"/>
      <c r="BUH71" s="146"/>
      <c r="BUI71" s="146"/>
      <c r="BUJ71" s="146"/>
      <c r="BUK71" s="146"/>
      <c r="BUL71" s="146"/>
      <c r="BUM71" s="146"/>
      <c r="BUN71" s="146"/>
      <c r="BUO71" s="146"/>
      <c r="BUP71" s="146"/>
      <c r="BUQ71" s="146"/>
      <c r="BUR71" s="146"/>
      <c r="BUS71" s="146"/>
      <c r="BUT71" s="146"/>
      <c r="BUU71" s="146"/>
      <c r="BUV71" s="146"/>
      <c r="BUW71" s="146"/>
      <c r="BUX71" s="146"/>
      <c r="BUY71" s="146"/>
      <c r="BUZ71" s="146"/>
      <c r="BVA71" s="146"/>
      <c r="BVB71" s="146"/>
      <c r="BVC71" s="146"/>
      <c r="BVD71" s="146"/>
      <c r="BVE71" s="146"/>
      <c r="BVF71" s="146"/>
      <c r="BVG71" s="146"/>
      <c r="BVH71" s="146"/>
      <c r="BVI71" s="146"/>
      <c r="BVJ71" s="146"/>
      <c r="BVK71" s="146"/>
      <c r="BVL71" s="146"/>
      <c r="BVM71" s="146"/>
      <c r="BVN71" s="146"/>
      <c r="BVO71" s="146"/>
      <c r="BVP71" s="146"/>
      <c r="BVQ71" s="146"/>
      <c r="BVR71" s="146"/>
      <c r="BVS71" s="146"/>
      <c r="BVT71" s="146"/>
      <c r="BVU71" s="146"/>
      <c r="BVV71" s="146"/>
      <c r="BVW71" s="146"/>
      <c r="BVX71" s="146"/>
      <c r="BVY71" s="146"/>
      <c r="BVZ71" s="146"/>
      <c r="BWA71" s="146"/>
      <c r="BWB71" s="146"/>
      <c r="BWC71" s="146"/>
      <c r="BWD71" s="146"/>
      <c r="BWE71" s="146"/>
      <c r="BWF71" s="146"/>
      <c r="BWG71" s="146"/>
      <c r="BWH71" s="146"/>
      <c r="BWI71" s="146"/>
      <c r="BWJ71" s="146"/>
      <c r="BWK71" s="146"/>
      <c r="BWL71" s="146"/>
      <c r="BWM71" s="146"/>
      <c r="BWN71" s="146"/>
      <c r="BWO71" s="146"/>
      <c r="BWP71" s="146"/>
      <c r="BWQ71" s="146"/>
      <c r="BWR71" s="146"/>
      <c r="BWS71" s="146"/>
      <c r="BWT71" s="146"/>
      <c r="BWU71" s="146"/>
      <c r="BWV71" s="146"/>
      <c r="BWW71" s="146"/>
      <c r="BWX71" s="146"/>
      <c r="BWY71" s="146"/>
      <c r="BWZ71" s="146"/>
      <c r="BXA71" s="146"/>
      <c r="BXB71" s="146"/>
      <c r="BXC71" s="146"/>
      <c r="BXD71" s="146"/>
      <c r="BXE71" s="146"/>
      <c r="BXF71" s="146"/>
      <c r="BXG71" s="146"/>
      <c r="BXH71" s="146"/>
      <c r="BXI71" s="146"/>
      <c r="BXJ71" s="146"/>
      <c r="BXK71" s="146"/>
      <c r="BXL71" s="146"/>
      <c r="BXM71" s="146"/>
      <c r="BXN71" s="146"/>
      <c r="BXO71" s="146"/>
      <c r="BXP71" s="146"/>
      <c r="BXQ71" s="146"/>
      <c r="BXR71" s="146"/>
      <c r="BXS71" s="146"/>
      <c r="BXT71" s="146"/>
      <c r="BXU71" s="146"/>
      <c r="BXV71" s="146"/>
      <c r="BXW71" s="146"/>
      <c r="BXX71" s="146"/>
      <c r="BXY71" s="146"/>
      <c r="BXZ71" s="146"/>
      <c r="BYA71" s="146"/>
      <c r="BYB71" s="146"/>
      <c r="BYC71" s="146"/>
      <c r="BYD71" s="146"/>
      <c r="BYE71" s="146"/>
      <c r="BYF71" s="146"/>
      <c r="BYG71" s="146"/>
      <c r="BYH71" s="146"/>
      <c r="BYI71" s="146"/>
      <c r="BYJ71" s="146"/>
      <c r="BYK71" s="146"/>
      <c r="BYL71" s="146"/>
      <c r="BYM71" s="146"/>
      <c r="BYN71" s="146"/>
      <c r="BYO71" s="146"/>
      <c r="BYP71" s="146"/>
      <c r="BYQ71" s="146"/>
      <c r="BYR71" s="146"/>
      <c r="BYS71" s="146"/>
      <c r="BYT71" s="146"/>
      <c r="BYU71" s="146"/>
      <c r="BYV71" s="146"/>
      <c r="BYW71" s="146"/>
      <c r="BYX71" s="146"/>
      <c r="BYY71" s="146"/>
      <c r="BYZ71" s="146"/>
      <c r="BZA71" s="146"/>
      <c r="BZB71" s="146"/>
      <c r="BZC71" s="146"/>
      <c r="BZD71" s="146"/>
      <c r="BZE71" s="146"/>
      <c r="BZF71" s="146"/>
      <c r="BZG71" s="146"/>
      <c r="BZH71" s="146"/>
      <c r="BZI71" s="146"/>
      <c r="BZJ71" s="146"/>
      <c r="BZK71" s="146"/>
      <c r="BZL71" s="146"/>
      <c r="BZM71" s="146"/>
      <c r="BZN71" s="146"/>
      <c r="BZO71" s="146"/>
      <c r="BZP71" s="146"/>
      <c r="BZQ71" s="146"/>
      <c r="BZR71" s="146"/>
      <c r="BZS71" s="146"/>
      <c r="BZT71" s="146"/>
      <c r="BZU71" s="146"/>
      <c r="BZV71" s="146"/>
      <c r="BZW71" s="146"/>
      <c r="BZX71" s="146"/>
      <c r="BZY71" s="146"/>
      <c r="BZZ71" s="146"/>
      <c r="CAA71" s="146"/>
      <c r="CAB71" s="146"/>
      <c r="CAC71" s="146"/>
      <c r="CAD71" s="146"/>
      <c r="CAE71" s="146"/>
      <c r="CAF71" s="146"/>
      <c r="CAG71" s="146"/>
      <c r="CAH71" s="146"/>
      <c r="CAI71" s="146"/>
      <c r="CAJ71" s="146"/>
      <c r="CAK71" s="146"/>
      <c r="CAL71" s="146"/>
      <c r="CAM71" s="146"/>
      <c r="CAN71" s="146"/>
      <c r="CAO71" s="146"/>
      <c r="CAP71" s="146"/>
      <c r="CAQ71" s="146"/>
      <c r="CAR71" s="146"/>
      <c r="CAS71" s="146"/>
      <c r="CAT71" s="146"/>
      <c r="CAU71" s="146"/>
      <c r="CAV71" s="146"/>
      <c r="CAW71" s="146"/>
      <c r="CAX71" s="146"/>
      <c r="CAY71" s="146"/>
      <c r="CAZ71" s="146"/>
      <c r="CBA71" s="146"/>
      <c r="CBB71" s="146"/>
      <c r="CBC71" s="146"/>
      <c r="CBD71" s="146"/>
      <c r="CBE71" s="146"/>
      <c r="CBF71" s="146"/>
      <c r="CBG71" s="146"/>
      <c r="CBH71" s="146"/>
      <c r="CBI71" s="146"/>
      <c r="CBJ71" s="146"/>
      <c r="CBK71" s="146"/>
      <c r="CBL71" s="146"/>
      <c r="CBM71" s="146"/>
      <c r="CBN71" s="146"/>
      <c r="CBO71" s="146"/>
      <c r="CBP71" s="146"/>
      <c r="CBQ71" s="146"/>
      <c r="CBR71" s="146"/>
      <c r="CBS71" s="146"/>
      <c r="CBT71" s="146"/>
      <c r="CBU71" s="146"/>
      <c r="CBV71" s="146"/>
      <c r="CBW71" s="146"/>
      <c r="CBX71" s="146"/>
      <c r="CBY71" s="146"/>
      <c r="CBZ71" s="146"/>
      <c r="CCA71" s="146"/>
      <c r="CCB71" s="146"/>
      <c r="CCC71" s="146"/>
      <c r="CCD71" s="146"/>
      <c r="CCE71" s="146"/>
      <c r="CCF71" s="146"/>
      <c r="CCG71" s="146"/>
      <c r="CCH71" s="146"/>
      <c r="CCI71" s="146"/>
      <c r="CCJ71" s="146"/>
      <c r="CCK71" s="146"/>
      <c r="CCL71" s="146"/>
      <c r="CCM71" s="146"/>
      <c r="CCN71" s="146"/>
      <c r="CCO71" s="146"/>
      <c r="CCP71" s="146"/>
      <c r="CCQ71" s="146"/>
      <c r="CCR71" s="146"/>
      <c r="CCS71" s="146"/>
      <c r="CCT71" s="146"/>
      <c r="CCU71" s="146"/>
      <c r="CCV71" s="146"/>
      <c r="CCW71" s="146"/>
      <c r="CCX71" s="146"/>
      <c r="CCY71" s="146"/>
      <c r="CCZ71" s="146"/>
      <c r="CDA71" s="146"/>
      <c r="CDB71" s="146"/>
      <c r="CDC71" s="146"/>
      <c r="CDD71" s="146"/>
      <c r="CDE71" s="146"/>
      <c r="CDF71" s="146"/>
      <c r="CDG71" s="146"/>
      <c r="CDH71" s="146"/>
      <c r="CDI71" s="146"/>
      <c r="CDJ71" s="146"/>
      <c r="CDK71" s="146"/>
      <c r="CDL71" s="146"/>
      <c r="CDM71" s="146"/>
      <c r="CDN71" s="146"/>
      <c r="CDO71" s="146"/>
      <c r="CDP71" s="146"/>
      <c r="CDQ71" s="146"/>
      <c r="CDR71" s="146"/>
      <c r="CDS71" s="146"/>
      <c r="CDT71" s="146"/>
      <c r="CDU71" s="146"/>
      <c r="CDV71" s="146"/>
      <c r="CDW71" s="146"/>
      <c r="CDX71" s="146"/>
      <c r="CDY71" s="146"/>
      <c r="CDZ71" s="146"/>
      <c r="CEA71" s="146"/>
      <c r="CEB71" s="146"/>
      <c r="CEC71" s="146"/>
      <c r="CED71" s="146"/>
      <c r="CEE71" s="146"/>
      <c r="CEF71" s="146"/>
      <c r="CEG71" s="146"/>
      <c r="CEH71" s="146"/>
      <c r="CEI71" s="146"/>
      <c r="CEJ71" s="146"/>
      <c r="CEK71" s="146"/>
      <c r="CEL71" s="146"/>
      <c r="CEM71" s="146"/>
      <c r="CEN71" s="146"/>
      <c r="CEO71" s="146"/>
      <c r="CEP71" s="146"/>
      <c r="CEQ71" s="146"/>
      <c r="CER71" s="146"/>
      <c r="CES71" s="146"/>
      <c r="CET71" s="146"/>
      <c r="CEU71" s="146"/>
      <c r="CEV71" s="146"/>
      <c r="CEW71" s="146"/>
      <c r="CEX71" s="146"/>
      <c r="CEY71" s="146"/>
      <c r="CEZ71" s="146"/>
      <c r="CFA71" s="146"/>
      <c r="CFB71" s="146"/>
      <c r="CFC71" s="146"/>
      <c r="CFD71" s="146"/>
      <c r="CFE71" s="146"/>
      <c r="CFF71" s="146"/>
      <c r="CFG71" s="146"/>
      <c r="CFH71" s="146"/>
      <c r="CFI71" s="146"/>
      <c r="CFJ71" s="146"/>
      <c r="CFK71" s="146"/>
      <c r="CFL71" s="146"/>
      <c r="CFM71" s="146"/>
      <c r="CFN71" s="146"/>
      <c r="CFO71" s="146"/>
      <c r="CFP71" s="146"/>
      <c r="CFQ71" s="146"/>
      <c r="CFR71" s="146"/>
      <c r="CFS71" s="146"/>
      <c r="CFT71" s="146"/>
      <c r="CFU71" s="146"/>
      <c r="CFV71" s="146"/>
      <c r="CFW71" s="146"/>
      <c r="CFX71" s="146"/>
      <c r="CFY71" s="146"/>
      <c r="CFZ71" s="146"/>
      <c r="CGA71" s="146"/>
      <c r="CGB71" s="146"/>
      <c r="CGC71" s="146"/>
      <c r="CGD71" s="146"/>
      <c r="CGE71" s="146"/>
      <c r="CGF71" s="146"/>
      <c r="CGG71" s="146"/>
      <c r="CGH71" s="146"/>
      <c r="CGI71" s="146"/>
      <c r="CGJ71" s="146"/>
      <c r="CGK71" s="146"/>
      <c r="CGL71" s="146"/>
      <c r="CGM71" s="146"/>
      <c r="CGN71" s="146"/>
      <c r="CGO71" s="146"/>
      <c r="CGP71" s="146"/>
      <c r="CGQ71" s="146"/>
      <c r="CGR71" s="146"/>
      <c r="CGS71" s="146"/>
      <c r="CGT71" s="146"/>
      <c r="CGU71" s="146"/>
      <c r="CGV71" s="146"/>
      <c r="CGW71" s="146"/>
      <c r="CGX71" s="146"/>
      <c r="CGY71" s="146"/>
      <c r="CGZ71" s="146"/>
      <c r="CHA71" s="146"/>
      <c r="CHB71" s="146"/>
      <c r="CHC71" s="146"/>
      <c r="CHD71" s="146"/>
      <c r="CHE71" s="146"/>
      <c r="CHF71" s="146"/>
      <c r="CHG71" s="146"/>
      <c r="CHH71" s="146"/>
      <c r="CHI71" s="146"/>
      <c r="CHJ71" s="146"/>
      <c r="CHK71" s="146"/>
      <c r="CHL71" s="146"/>
      <c r="CHM71" s="146"/>
      <c r="CHN71" s="146"/>
      <c r="CHO71" s="146"/>
      <c r="CHP71" s="146"/>
      <c r="CHQ71" s="146"/>
      <c r="CHR71" s="146"/>
      <c r="CHS71" s="146"/>
      <c r="CHT71" s="146"/>
      <c r="CHU71" s="146"/>
      <c r="CHV71" s="146"/>
      <c r="CHW71" s="146"/>
      <c r="CHX71" s="146"/>
      <c r="CHY71" s="146"/>
      <c r="CHZ71" s="146"/>
      <c r="CIA71" s="146"/>
      <c r="CIB71" s="146"/>
      <c r="CIC71" s="146"/>
      <c r="CID71" s="146"/>
      <c r="CIE71" s="146"/>
      <c r="CIF71" s="146"/>
      <c r="CIG71" s="146"/>
      <c r="CIH71" s="146"/>
      <c r="CII71" s="146"/>
      <c r="CIJ71" s="146"/>
      <c r="CIK71" s="146"/>
      <c r="CIL71" s="146"/>
      <c r="CIM71" s="146"/>
      <c r="CIN71" s="146"/>
      <c r="CIO71" s="146"/>
      <c r="CIP71" s="146"/>
      <c r="CIQ71" s="146"/>
      <c r="CIR71" s="146"/>
      <c r="CIS71" s="146"/>
      <c r="CIT71" s="146"/>
      <c r="CIU71" s="146"/>
      <c r="CIV71" s="146"/>
      <c r="CIW71" s="146"/>
      <c r="CIX71" s="146"/>
      <c r="CIY71" s="146"/>
      <c r="CIZ71" s="146"/>
      <c r="CJA71" s="146"/>
      <c r="CJB71" s="146"/>
      <c r="CJC71" s="146"/>
      <c r="CJD71" s="146"/>
      <c r="CJE71" s="146"/>
      <c r="CJF71" s="146"/>
      <c r="CJG71" s="146"/>
      <c r="CJH71" s="146"/>
      <c r="CJI71" s="146"/>
      <c r="CJJ71" s="146"/>
      <c r="CJK71" s="146"/>
      <c r="CJL71" s="146"/>
      <c r="CJM71" s="146"/>
      <c r="CJN71" s="146"/>
      <c r="CJO71" s="146"/>
      <c r="CJP71" s="146"/>
      <c r="CJQ71" s="146"/>
      <c r="CJR71" s="146"/>
      <c r="CJS71" s="146"/>
      <c r="CJT71" s="146"/>
      <c r="CJU71" s="146"/>
      <c r="CJV71" s="146"/>
      <c r="CJW71" s="146"/>
      <c r="CJX71" s="146"/>
      <c r="CJY71" s="146"/>
      <c r="CJZ71" s="146"/>
      <c r="CKA71" s="146"/>
      <c r="CKB71" s="146"/>
      <c r="CKC71" s="146"/>
      <c r="CKD71" s="146"/>
      <c r="CKE71" s="146"/>
      <c r="CKF71" s="146"/>
      <c r="CKG71" s="146"/>
      <c r="CKH71" s="146"/>
      <c r="CKI71" s="146"/>
      <c r="CKJ71" s="146"/>
      <c r="CKK71" s="146"/>
      <c r="CKL71" s="146"/>
      <c r="CKM71" s="146"/>
      <c r="CKN71" s="146"/>
      <c r="CKO71" s="146"/>
      <c r="CKP71" s="146"/>
      <c r="CKQ71" s="146"/>
      <c r="CKR71" s="146"/>
      <c r="CKS71" s="146"/>
      <c r="CKT71" s="146"/>
      <c r="CKU71" s="146"/>
      <c r="CKV71" s="146"/>
      <c r="CKW71" s="146"/>
      <c r="CKX71" s="146"/>
      <c r="CKY71" s="146"/>
      <c r="CKZ71" s="146"/>
      <c r="CLA71" s="146"/>
      <c r="CLB71" s="146"/>
      <c r="CLC71" s="146"/>
      <c r="CLD71" s="146"/>
      <c r="CLE71" s="146"/>
      <c r="CLF71" s="146"/>
      <c r="CLG71" s="146"/>
      <c r="CLH71" s="146"/>
      <c r="CLI71" s="146"/>
      <c r="CLJ71" s="146"/>
      <c r="CLK71" s="146"/>
      <c r="CLL71" s="146"/>
      <c r="CLM71" s="146"/>
      <c r="CLN71" s="146"/>
      <c r="CLO71" s="146"/>
      <c r="CLP71" s="146"/>
      <c r="CLQ71" s="146"/>
      <c r="CLR71" s="146"/>
      <c r="CLS71" s="146"/>
      <c r="CLT71" s="146"/>
      <c r="CLU71" s="146"/>
      <c r="CLV71" s="146"/>
      <c r="CLW71" s="146"/>
      <c r="CLX71" s="146"/>
      <c r="CLY71" s="146"/>
      <c r="CLZ71" s="146"/>
      <c r="CMA71" s="146"/>
      <c r="CMB71" s="146"/>
      <c r="CMC71" s="146"/>
      <c r="CMD71" s="146"/>
      <c r="CME71" s="146"/>
      <c r="CMF71" s="146"/>
      <c r="CMG71" s="146"/>
      <c r="CMH71" s="146"/>
      <c r="CMI71" s="146"/>
      <c r="CMJ71" s="146"/>
      <c r="CMK71" s="146"/>
      <c r="CML71" s="146"/>
      <c r="CMM71" s="146"/>
      <c r="CMN71" s="146"/>
      <c r="CMO71" s="146"/>
      <c r="CMP71" s="146"/>
      <c r="CMQ71" s="146"/>
      <c r="CMR71" s="146"/>
      <c r="CMS71" s="146"/>
      <c r="CMT71" s="146"/>
      <c r="CMU71" s="146"/>
      <c r="CMV71" s="146"/>
      <c r="CMW71" s="146"/>
      <c r="CMX71" s="146"/>
      <c r="CMY71" s="146"/>
      <c r="CMZ71" s="146"/>
      <c r="CNA71" s="146"/>
      <c r="CNB71" s="146"/>
      <c r="CNC71" s="146"/>
      <c r="CND71" s="146"/>
      <c r="CNE71" s="146"/>
      <c r="CNF71" s="146"/>
      <c r="CNG71" s="146"/>
      <c r="CNH71" s="146"/>
      <c r="CNI71" s="146"/>
      <c r="CNJ71" s="146"/>
      <c r="CNK71" s="146"/>
      <c r="CNL71" s="146"/>
      <c r="CNM71" s="146"/>
      <c r="CNN71" s="146"/>
      <c r="CNO71" s="146"/>
      <c r="CNP71" s="146"/>
      <c r="CNQ71" s="146"/>
      <c r="CNR71" s="146"/>
      <c r="CNS71" s="146"/>
      <c r="CNT71" s="146"/>
      <c r="CNU71" s="146"/>
      <c r="CNV71" s="146"/>
      <c r="CNW71" s="146"/>
      <c r="CNX71" s="146"/>
      <c r="CNY71" s="146"/>
      <c r="CNZ71" s="146"/>
      <c r="COA71" s="146"/>
      <c r="COB71" s="146"/>
      <c r="COC71" s="146"/>
      <c r="COD71" s="146"/>
      <c r="COE71" s="146"/>
      <c r="COF71" s="146"/>
      <c r="COG71" s="146"/>
      <c r="COH71" s="146"/>
      <c r="COI71" s="146"/>
      <c r="COJ71" s="146"/>
      <c r="COK71" s="146"/>
      <c r="COL71" s="146"/>
      <c r="COM71" s="146"/>
      <c r="CON71" s="146"/>
      <c r="COO71" s="146"/>
      <c r="COP71" s="146"/>
      <c r="COQ71" s="146"/>
      <c r="COR71" s="146"/>
      <c r="COS71" s="146"/>
      <c r="COT71" s="146"/>
      <c r="COU71" s="146"/>
      <c r="COV71" s="146"/>
      <c r="COW71" s="146"/>
      <c r="COX71" s="146"/>
      <c r="COY71" s="146"/>
      <c r="COZ71" s="146"/>
      <c r="CPA71" s="146"/>
      <c r="CPB71" s="146"/>
      <c r="CPC71" s="146"/>
      <c r="CPD71" s="146"/>
      <c r="CPE71" s="146"/>
      <c r="CPF71" s="146"/>
      <c r="CPG71" s="146"/>
      <c r="CPH71" s="146"/>
      <c r="CPI71" s="146"/>
      <c r="CPJ71" s="146"/>
      <c r="CPK71" s="146"/>
      <c r="CPL71" s="146"/>
      <c r="CPM71" s="146"/>
      <c r="CPN71" s="146"/>
      <c r="CPO71" s="146"/>
      <c r="CPP71" s="146"/>
      <c r="CPQ71" s="146"/>
      <c r="CPR71" s="146"/>
      <c r="CPS71" s="146"/>
      <c r="CPT71" s="146"/>
      <c r="CPU71" s="146"/>
      <c r="CPV71" s="146"/>
      <c r="CPW71" s="146"/>
      <c r="CPX71" s="146"/>
      <c r="CPY71" s="146"/>
      <c r="CPZ71" s="146"/>
      <c r="CQA71" s="146"/>
      <c r="CQB71" s="146"/>
      <c r="CQC71" s="146"/>
      <c r="CQD71" s="146"/>
      <c r="CQE71" s="146"/>
      <c r="CQF71" s="146"/>
      <c r="CQG71" s="146"/>
      <c r="CQH71" s="146"/>
      <c r="CQI71" s="146"/>
      <c r="CQJ71" s="146"/>
      <c r="CQK71" s="146"/>
      <c r="CQL71" s="146"/>
      <c r="CQM71" s="146"/>
      <c r="CQN71" s="146"/>
      <c r="CQO71" s="146"/>
      <c r="CQP71" s="146"/>
      <c r="CQQ71" s="146"/>
      <c r="CQR71" s="146"/>
      <c r="CQS71" s="146"/>
      <c r="CQT71" s="146"/>
      <c r="CQU71" s="146"/>
      <c r="CQV71" s="146"/>
      <c r="CQW71" s="146"/>
      <c r="CQX71" s="146"/>
      <c r="CQY71" s="146"/>
      <c r="CQZ71" s="146"/>
      <c r="CRA71" s="146"/>
      <c r="CRB71" s="146"/>
      <c r="CRC71" s="146"/>
      <c r="CRD71" s="146"/>
      <c r="CRE71" s="146"/>
      <c r="CRF71" s="146"/>
      <c r="CRG71" s="146"/>
      <c r="CRH71" s="146"/>
      <c r="CRI71" s="146"/>
      <c r="CRJ71" s="146"/>
      <c r="CRK71" s="146"/>
      <c r="CRL71" s="146"/>
      <c r="CRM71" s="146"/>
      <c r="CRN71" s="146"/>
      <c r="CRO71" s="146"/>
      <c r="CRP71" s="146"/>
      <c r="CRQ71" s="146"/>
      <c r="CRR71" s="146"/>
      <c r="CRS71" s="146"/>
      <c r="CRT71" s="146"/>
      <c r="CRU71" s="146"/>
      <c r="CRV71" s="146"/>
      <c r="CRW71" s="146"/>
      <c r="CRX71" s="146"/>
      <c r="CRY71" s="146"/>
      <c r="CRZ71" s="146"/>
      <c r="CSA71" s="146"/>
      <c r="CSB71" s="146"/>
      <c r="CSC71" s="146"/>
      <c r="CSD71" s="146"/>
      <c r="CSE71" s="146"/>
      <c r="CSF71" s="146"/>
      <c r="CSG71" s="146"/>
      <c r="CSH71" s="146"/>
      <c r="CSI71" s="146"/>
      <c r="CSJ71" s="146"/>
      <c r="CSK71" s="146"/>
      <c r="CSL71" s="146"/>
      <c r="CSM71" s="146"/>
      <c r="CSN71" s="146"/>
      <c r="CSO71" s="146"/>
      <c r="CSP71" s="146"/>
      <c r="CSQ71" s="146"/>
      <c r="CSR71" s="146"/>
      <c r="CSS71" s="146"/>
      <c r="CST71" s="146"/>
      <c r="CSU71" s="146"/>
      <c r="CSV71" s="146"/>
      <c r="CSW71" s="146"/>
      <c r="CSX71" s="146"/>
      <c r="CSY71" s="146"/>
      <c r="CSZ71" s="146"/>
      <c r="CTA71" s="146"/>
      <c r="CTB71" s="146"/>
      <c r="CTC71" s="146"/>
      <c r="CTD71" s="146"/>
      <c r="CTE71" s="146"/>
      <c r="CTF71" s="146"/>
      <c r="CTG71" s="146"/>
      <c r="CTH71" s="146"/>
      <c r="CTI71" s="146"/>
      <c r="CTJ71" s="146"/>
      <c r="CTK71" s="146"/>
      <c r="CTL71" s="146"/>
      <c r="CTM71" s="146"/>
      <c r="CTN71" s="146"/>
      <c r="CTO71" s="146"/>
      <c r="CTP71" s="146"/>
      <c r="CTQ71" s="146"/>
      <c r="CTR71" s="146"/>
      <c r="CTS71" s="146"/>
      <c r="CTT71" s="146"/>
      <c r="CTU71" s="146"/>
      <c r="CTV71" s="146"/>
      <c r="CTW71" s="146"/>
      <c r="CTX71" s="146"/>
      <c r="CTY71" s="146"/>
      <c r="CTZ71" s="146"/>
      <c r="CUA71" s="146"/>
      <c r="CUB71" s="146"/>
      <c r="CUC71" s="146"/>
      <c r="CUD71" s="146"/>
      <c r="CUE71" s="146"/>
      <c r="CUF71" s="146"/>
      <c r="CUG71" s="146"/>
      <c r="CUH71" s="146"/>
      <c r="CUI71" s="146"/>
      <c r="CUJ71" s="146"/>
      <c r="CUK71" s="146"/>
      <c r="CUL71" s="146"/>
      <c r="CUM71" s="146"/>
      <c r="CUN71" s="146"/>
      <c r="CUO71" s="146"/>
      <c r="CUP71" s="146"/>
      <c r="CUQ71" s="146"/>
      <c r="CUR71" s="146"/>
      <c r="CUS71" s="146"/>
      <c r="CUT71" s="146"/>
      <c r="CUU71" s="146"/>
      <c r="CUV71" s="146"/>
      <c r="CUW71" s="146"/>
      <c r="CUX71" s="146"/>
      <c r="CUY71" s="146"/>
      <c r="CUZ71" s="146"/>
      <c r="CVA71" s="146"/>
      <c r="CVB71" s="146"/>
      <c r="CVC71" s="146"/>
      <c r="CVD71" s="146"/>
      <c r="CVE71" s="146"/>
      <c r="CVF71" s="146"/>
      <c r="CVG71" s="146"/>
      <c r="CVH71" s="146"/>
      <c r="CVI71" s="146"/>
      <c r="CVJ71" s="146"/>
      <c r="CVK71" s="146"/>
      <c r="CVL71" s="146"/>
      <c r="CVM71" s="146"/>
      <c r="CVN71" s="146"/>
      <c r="CVO71" s="146"/>
      <c r="CVP71" s="146"/>
      <c r="CVQ71" s="146"/>
      <c r="CVR71" s="146"/>
      <c r="CVS71" s="146"/>
      <c r="CVT71" s="146"/>
      <c r="CVU71" s="146"/>
      <c r="CVV71" s="146"/>
      <c r="CVW71" s="146"/>
      <c r="CVX71" s="146"/>
      <c r="CVY71" s="146"/>
      <c r="CVZ71" s="146"/>
      <c r="CWA71" s="146"/>
      <c r="CWB71" s="146"/>
      <c r="CWC71" s="146"/>
      <c r="CWD71" s="146"/>
      <c r="CWE71" s="146"/>
      <c r="CWF71" s="146"/>
      <c r="CWG71" s="146"/>
      <c r="CWH71" s="146"/>
      <c r="CWI71" s="146"/>
      <c r="CWJ71" s="146"/>
      <c r="CWK71" s="146"/>
      <c r="CWL71" s="146"/>
      <c r="CWM71" s="146"/>
      <c r="CWN71" s="146"/>
      <c r="CWO71" s="146"/>
      <c r="CWP71" s="146"/>
      <c r="CWQ71" s="146"/>
      <c r="CWR71" s="146"/>
      <c r="CWS71" s="146"/>
      <c r="CWT71" s="146"/>
      <c r="CWU71" s="146"/>
      <c r="CWV71" s="146"/>
      <c r="CWW71" s="146"/>
      <c r="CWX71" s="146"/>
      <c r="CWY71" s="146"/>
      <c r="CWZ71" s="146"/>
      <c r="CXA71" s="146"/>
      <c r="CXB71" s="146"/>
      <c r="CXC71" s="146"/>
      <c r="CXD71" s="146"/>
      <c r="CXE71" s="146"/>
      <c r="CXF71" s="146"/>
      <c r="CXG71" s="146"/>
      <c r="CXH71" s="146"/>
      <c r="CXI71" s="146"/>
      <c r="CXJ71" s="146"/>
      <c r="CXK71" s="146"/>
      <c r="CXL71" s="146"/>
      <c r="CXM71" s="146"/>
      <c r="CXN71" s="146"/>
      <c r="CXO71" s="146"/>
      <c r="CXP71" s="146"/>
      <c r="CXQ71" s="146"/>
      <c r="CXR71" s="146"/>
      <c r="CXS71" s="146"/>
      <c r="CXT71" s="146"/>
      <c r="CXU71" s="146"/>
      <c r="CXV71" s="146"/>
      <c r="CXW71" s="146"/>
      <c r="CXX71" s="146"/>
      <c r="CXY71" s="146"/>
      <c r="CXZ71" s="146"/>
      <c r="CYA71" s="146"/>
      <c r="CYB71" s="146"/>
      <c r="CYC71" s="146"/>
      <c r="CYD71" s="146"/>
      <c r="CYE71" s="146"/>
      <c r="CYF71" s="146"/>
      <c r="CYG71" s="146"/>
      <c r="CYH71" s="146"/>
      <c r="CYI71" s="146"/>
      <c r="CYJ71" s="146"/>
      <c r="CYK71" s="146"/>
      <c r="CYL71" s="146"/>
      <c r="CYM71" s="146"/>
      <c r="CYN71" s="146"/>
      <c r="CYO71" s="146"/>
      <c r="CYP71" s="146"/>
      <c r="CYQ71" s="146"/>
      <c r="CYR71" s="146"/>
      <c r="CYS71" s="146"/>
      <c r="CYT71" s="146"/>
      <c r="CYU71" s="146"/>
      <c r="CYV71" s="146"/>
      <c r="CYW71" s="146"/>
      <c r="CYX71" s="146"/>
      <c r="CYY71" s="146"/>
      <c r="CYZ71" s="146"/>
      <c r="CZA71" s="146"/>
      <c r="CZB71" s="146"/>
      <c r="CZC71" s="146"/>
      <c r="CZD71" s="146"/>
      <c r="CZE71" s="146"/>
      <c r="CZF71" s="146"/>
      <c r="CZG71" s="146"/>
      <c r="CZH71" s="146"/>
      <c r="CZI71" s="146"/>
      <c r="CZJ71" s="146"/>
      <c r="CZK71" s="146"/>
      <c r="CZL71" s="146"/>
      <c r="CZM71" s="146"/>
      <c r="CZN71" s="146"/>
      <c r="CZO71" s="146"/>
      <c r="CZP71" s="146"/>
      <c r="CZQ71" s="146"/>
      <c r="CZR71" s="146"/>
      <c r="CZS71" s="146"/>
      <c r="CZT71" s="146"/>
      <c r="CZU71" s="146"/>
      <c r="CZV71" s="146"/>
      <c r="CZW71" s="146"/>
      <c r="CZX71" s="146"/>
      <c r="CZY71" s="146"/>
      <c r="CZZ71" s="146"/>
      <c r="DAA71" s="146"/>
      <c r="DAB71" s="146"/>
      <c r="DAC71" s="146"/>
      <c r="DAD71" s="146"/>
      <c r="DAE71" s="146"/>
      <c r="DAF71" s="146"/>
      <c r="DAG71" s="146"/>
      <c r="DAH71" s="146"/>
      <c r="DAI71" s="146"/>
      <c r="DAJ71" s="146"/>
      <c r="DAK71" s="146"/>
      <c r="DAL71" s="146"/>
      <c r="DAM71" s="146"/>
      <c r="DAN71" s="146"/>
      <c r="DAO71" s="146"/>
      <c r="DAP71" s="146"/>
      <c r="DAQ71" s="146"/>
      <c r="DAR71" s="146"/>
      <c r="DAS71" s="146"/>
      <c r="DAT71" s="146"/>
      <c r="DAU71" s="146"/>
      <c r="DAV71" s="146"/>
      <c r="DAW71" s="146"/>
      <c r="DAX71" s="146"/>
      <c r="DAY71" s="146"/>
      <c r="DAZ71" s="146"/>
      <c r="DBA71" s="146"/>
      <c r="DBB71" s="146"/>
      <c r="DBC71" s="146"/>
      <c r="DBD71" s="146"/>
      <c r="DBE71" s="146"/>
      <c r="DBF71" s="146"/>
      <c r="DBG71" s="146"/>
      <c r="DBH71" s="146"/>
      <c r="DBI71" s="146"/>
      <c r="DBJ71" s="146"/>
      <c r="DBK71" s="146"/>
      <c r="DBL71" s="146"/>
      <c r="DBM71" s="146"/>
      <c r="DBN71" s="146"/>
      <c r="DBO71" s="146"/>
      <c r="DBP71" s="146"/>
      <c r="DBQ71" s="146"/>
      <c r="DBR71" s="146"/>
      <c r="DBS71" s="146"/>
      <c r="DBT71" s="146"/>
      <c r="DBU71" s="146"/>
      <c r="DBV71" s="146"/>
      <c r="DBW71" s="146"/>
      <c r="DBX71" s="146"/>
      <c r="DBY71" s="146"/>
      <c r="DBZ71" s="146"/>
      <c r="DCA71" s="146"/>
      <c r="DCB71" s="146"/>
      <c r="DCC71" s="146"/>
      <c r="DCD71" s="146"/>
      <c r="DCE71" s="146"/>
      <c r="DCF71" s="146"/>
      <c r="DCG71" s="146"/>
      <c r="DCH71" s="146"/>
      <c r="DCI71" s="146"/>
      <c r="DCJ71" s="146"/>
      <c r="DCK71" s="146"/>
      <c r="DCL71" s="146"/>
      <c r="DCM71" s="146"/>
      <c r="DCN71" s="146"/>
      <c r="DCO71" s="146"/>
      <c r="DCP71" s="146"/>
      <c r="DCQ71" s="146"/>
      <c r="DCR71" s="146"/>
      <c r="DCS71" s="146"/>
      <c r="DCT71" s="146"/>
      <c r="DCU71" s="146"/>
      <c r="DCV71" s="146"/>
      <c r="DCW71" s="146"/>
      <c r="DCX71" s="146"/>
      <c r="DCY71" s="146"/>
      <c r="DCZ71" s="146"/>
      <c r="DDA71" s="146"/>
      <c r="DDB71" s="146"/>
      <c r="DDC71" s="146"/>
      <c r="DDD71" s="146"/>
      <c r="DDE71" s="146"/>
      <c r="DDF71" s="146"/>
      <c r="DDG71" s="146"/>
      <c r="DDH71" s="146"/>
      <c r="DDI71" s="146"/>
      <c r="DDJ71" s="146"/>
      <c r="DDK71" s="146"/>
      <c r="DDL71" s="146"/>
      <c r="DDM71" s="146"/>
      <c r="DDN71" s="146"/>
      <c r="DDO71" s="146"/>
      <c r="DDP71" s="146"/>
      <c r="DDQ71" s="146"/>
      <c r="DDR71" s="146"/>
      <c r="DDS71" s="146"/>
      <c r="DDT71" s="146"/>
      <c r="DDU71" s="146"/>
      <c r="DDV71" s="146"/>
      <c r="DDW71" s="146"/>
      <c r="DDX71" s="146"/>
      <c r="DDY71" s="146"/>
      <c r="DDZ71" s="146"/>
      <c r="DEA71" s="146"/>
      <c r="DEB71" s="146"/>
      <c r="DEC71" s="146"/>
      <c r="DED71" s="146"/>
      <c r="DEE71" s="146"/>
      <c r="DEF71" s="146"/>
      <c r="DEG71" s="146"/>
      <c r="DEH71" s="146"/>
      <c r="DEI71" s="146"/>
      <c r="DEJ71" s="146"/>
      <c r="DEK71" s="146"/>
      <c r="DEL71" s="146"/>
      <c r="DEM71" s="146"/>
      <c r="DEN71" s="146"/>
      <c r="DEO71" s="146"/>
      <c r="DEP71" s="146"/>
      <c r="DEQ71" s="146"/>
      <c r="DER71" s="146"/>
      <c r="DES71" s="146"/>
      <c r="DET71" s="146"/>
      <c r="DEU71" s="146"/>
      <c r="DEV71" s="146"/>
      <c r="DEW71" s="146"/>
      <c r="DEX71" s="146"/>
      <c r="DEY71" s="146"/>
      <c r="DEZ71" s="146"/>
      <c r="DFA71" s="146"/>
      <c r="DFB71" s="146"/>
      <c r="DFC71" s="146"/>
      <c r="DFD71" s="146"/>
      <c r="DFE71" s="146"/>
      <c r="DFF71" s="146"/>
      <c r="DFG71" s="146"/>
      <c r="DFH71" s="146"/>
      <c r="DFI71" s="146"/>
      <c r="DFJ71" s="146"/>
      <c r="DFK71" s="146"/>
      <c r="DFL71" s="146"/>
      <c r="DFM71" s="146"/>
      <c r="DFN71" s="146"/>
      <c r="DFO71" s="146"/>
      <c r="DFP71" s="146"/>
      <c r="DFQ71" s="146"/>
      <c r="DFR71" s="146"/>
      <c r="DFS71" s="146"/>
      <c r="DFT71" s="146"/>
      <c r="DFU71" s="146"/>
      <c r="DFV71" s="146"/>
      <c r="DFW71" s="146"/>
      <c r="DFX71" s="146"/>
      <c r="DFY71" s="146"/>
      <c r="DFZ71" s="146"/>
      <c r="DGA71" s="146"/>
      <c r="DGB71" s="146"/>
      <c r="DGC71" s="146"/>
      <c r="DGD71" s="146"/>
      <c r="DGE71" s="146"/>
      <c r="DGF71" s="146"/>
      <c r="DGG71" s="146"/>
      <c r="DGH71" s="146"/>
      <c r="DGI71" s="146"/>
      <c r="DGJ71" s="146"/>
      <c r="DGK71" s="146"/>
      <c r="DGL71" s="146"/>
      <c r="DGM71" s="146"/>
      <c r="DGN71" s="146"/>
      <c r="DGO71" s="146"/>
      <c r="DGP71" s="146"/>
      <c r="DGQ71" s="146"/>
      <c r="DGR71" s="146"/>
      <c r="DGS71" s="146"/>
      <c r="DGT71" s="146"/>
      <c r="DGU71" s="146"/>
      <c r="DGV71" s="146"/>
      <c r="DGW71" s="146"/>
      <c r="DGX71" s="146"/>
      <c r="DGY71" s="146"/>
      <c r="DGZ71" s="146"/>
      <c r="DHA71" s="146"/>
      <c r="DHB71" s="146"/>
      <c r="DHC71" s="146"/>
      <c r="DHD71" s="146"/>
      <c r="DHE71" s="146"/>
      <c r="DHF71" s="146"/>
      <c r="DHG71" s="146"/>
      <c r="DHH71" s="146"/>
      <c r="DHI71" s="146"/>
      <c r="DHJ71" s="146"/>
      <c r="DHK71" s="146"/>
      <c r="DHL71" s="146"/>
      <c r="DHM71" s="146"/>
      <c r="DHN71" s="146"/>
      <c r="DHO71" s="146"/>
      <c r="DHP71" s="146"/>
      <c r="DHQ71" s="146"/>
      <c r="DHR71" s="146"/>
      <c r="DHS71" s="146"/>
      <c r="DHT71" s="146"/>
      <c r="DHU71" s="146"/>
      <c r="DHV71" s="146"/>
      <c r="DHW71" s="146"/>
      <c r="DHX71" s="146"/>
      <c r="DHY71" s="146"/>
      <c r="DHZ71" s="146"/>
      <c r="DIA71" s="146"/>
      <c r="DIB71" s="146"/>
      <c r="DIC71" s="146"/>
      <c r="DID71" s="146"/>
      <c r="DIE71" s="146"/>
      <c r="DIF71" s="146"/>
      <c r="DIG71" s="146"/>
      <c r="DIH71" s="146"/>
      <c r="DII71" s="146"/>
      <c r="DIJ71" s="146"/>
      <c r="DIK71" s="146"/>
      <c r="DIL71" s="146"/>
      <c r="DIM71" s="146"/>
      <c r="DIN71" s="146"/>
      <c r="DIO71" s="146"/>
      <c r="DIP71" s="146"/>
      <c r="DIQ71" s="146"/>
      <c r="DIR71" s="146"/>
      <c r="DIS71" s="146"/>
      <c r="DIT71" s="146"/>
      <c r="DIU71" s="146"/>
      <c r="DIV71" s="146"/>
      <c r="DIW71" s="146"/>
      <c r="DIX71" s="146"/>
      <c r="DIY71" s="146"/>
      <c r="DIZ71" s="146"/>
      <c r="DJA71" s="146"/>
      <c r="DJB71" s="146"/>
      <c r="DJC71" s="146"/>
      <c r="DJD71" s="146"/>
      <c r="DJE71" s="146"/>
      <c r="DJF71" s="146"/>
      <c r="DJG71" s="146"/>
      <c r="DJH71" s="146"/>
      <c r="DJI71" s="146"/>
      <c r="DJJ71" s="146"/>
      <c r="DJK71" s="146"/>
      <c r="DJL71" s="146"/>
      <c r="DJM71" s="146"/>
      <c r="DJN71" s="146"/>
      <c r="DJO71" s="146"/>
      <c r="DJP71" s="146"/>
      <c r="DJQ71" s="146"/>
      <c r="DJR71" s="146"/>
      <c r="DJS71" s="146"/>
      <c r="DJT71" s="146"/>
      <c r="DJU71" s="146"/>
      <c r="DJV71" s="146"/>
      <c r="DJW71" s="146"/>
      <c r="DJX71" s="146"/>
      <c r="DJY71" s="146"/>
      <c r="DJZ71" s="146"/>
      <c r="DKA71" s="146"/>
      <c r="DKB71" s="146"/>
      <c r="DKC71" s="146"/>
      <c r="DKD71" s="146"/>
      <c r="DKE71" s="146"/>
      <c r="DKF71" s="146"/>
      <c r="DKG71" s="146"/>
      <c r="DKH71" s="146"/>
      <c r="DKI71" s="146"/>
      <c r="DKJ71" s="146"/>
      <c r="DKK71" s="146"/>
      <c r="DKL71" s="146"/>
      <c r="DKM71" s="146"/>
      <c r="DKN71" s="146"/>
      <c r="DKO71" s="146"/>
      <c r="DKP71" s="146"/>
      <c r="DKQ71" s="146"/>
      <c r="DKR71" s="146"/>
      <c r="DKS71" s="146"/>
      <c r="DKT71" s="146"/>
      <c r="DKU71" s="146"/>
      <c r="DKV71" s="146"/>
      <c r="DKW71" s="146"/>
      <c r="DKX71" s="146"/>
      <c r="DKY71" s="146"/>
      <c r="DKZ71" s="146"/>
      <c r="DLA71" s="146"/>
      <c r="DLB71" s="146"/>
      <c r="DLC71" s="146"/>
      <c r="DLD71" s="146"/>
      <c r="DLE71" s="146"/>
      <c r="DLF71" s="146"/>
      <c r="DLG71" s="146"/>
      <c r="DLH71" s="146"/>
      <c r="DLI71" s="146"/>
      <c r="DLJ71" s="146"/>
      <c r="DLK71" s="146"/>
      <c r="DLL71" s="146"/>
      <c r="DLM71" s="146"/>
      <c r="DLN71" s="146"/>
      <c r="DLO71" s="146"/>
      <c r="DLP71" s="146"/>
      <c r="DLQ71" s="146"/>
      <c r="DLR71" s="146"/>
      <c r="DLS71" s="146"/>
      <c r="DLT71" s="146"/>
      <c r="DLU71" s="146"/>
      <c r="DLV71" s="146"/>
      <c r="DLW71" s="146"/>
      <c r="DLX71" s="146"/>
      <c r="DLY71" s="146"/>
      <c r="DLZ71" s="146"/>
      <c r="DMA71" s="146"/>
      <c r="DMB71" s="146"/>
      <c r="DMC71" s="146"/>
      <c r="DMD71" s="146"/>
      <c r="DME71" s="146"/>
      <c r="DMF71" s="146"/>
      <c r="DMG71" s="146"/>
      <c r="DMH71" s="146"/>
      <c r="DMI71" s="146"/>
      <c r="DMJ71" s="146"/>
      <c r="DMK71" s="146"/>
      <c r="DML71" s="146"/>
      <c r="DMM71" s="146"/>
      <c r="DMN71" s="146"/>
      <c r="DMO71" s="146"/>
      <c r="DMP71" s="146"/>
      <c r="DMQ71" s="146"/>
      <c r="DMR71" s="146"/>
      <c r="DMS71" s="146"/>
      <c r="DMT71" s="146"/>
      <c r="DMU71" s="146"/>
      <c r="DMV71" s="146"/>
      <c r="DMW71" s="146"/>
      <c r="DMX71" s="146"/>
      <c r="DMY71" s="146"/>
      <c r="DMZ71" s="146"/>
      <c r="DNA71" s="146"/>
      <c r="DNB71" s="146"/>
      <c r="DNC71" s="146"/>
      <c r="DND71" s="146"/>
      <c r="DNE71" s="146"/>
      <c r="DNF71" s="146"/>
      <c r="DNG71" s="146"/>
      <c r="DNH71" s="146"/>
      <c r="DNI71" s="146"/>
      <c r="DNJ71" s="146"/>
      <c r="DNK71" s="146"/>
      <c r="DNL71" s="146"/>
      <c r="DNM71" s="146"/>
      <c r="DNN71" s="146"/>
      <c r="DNO71" s="146"/>
      <c r="DNP71" s="146"/>
      <c r="DNQ71" s="146"/>
      <c r="DNR71" s="146"/>
      <c r="DNS71" s="146"/>
      <c r="DNT71" s="146"/>
      <c r="DNU71" s="146"/>
      <c r="DNV71" s="146"/>
      <c r="DNW71" s="146"/>
      <c r="DNX71" s="146"/>
      <c r="DNY71" s="146"/>
      <c r="DNZ71" s="146"/>
      <c r="DOA71" s="146"/>
      <c r="DOB71" s="146"/>
      <c r="DOC71" s="146"/>
      <c r="DOD71" s="146"/>
      <c r="DOE71" s="146"/>
      <c r="DOF71" s="146"/>
      <c r="DOG71" s="146"/>
      <c r="DOH71" s="146"/>
      <c r="DOI71" s="146"/>
      <c r="DOJ71" s="146"/>
      <c r="DOK71" s="146"/>
      <c r="DOL71" s="146"/>
      <c r="DOM71" s="146"/>
      <c r="DON71" s="146"/>
      <c r="DOO71" s="146"/>
      <c r="DOP71" s="146"/>
      <c r="DOQ71" s="146"/>
      <c r="DOR71" s="146"/>
      <c r="DOS71" s="146"/>
      <c r="DOT71" s="146"/>
      <c r="DOU71" s="146"/>
      <c r="DOV71" s="146"/>
      <c r="DOW71" s="146"/>
      <c r="DOX71" s="146"/>
      <c r="DOY71" s="146"/>
      <c r="DOZ71" s="146"/>
      <c r="DPA71" s="146"/>
      <c r="DPB71" s="146"/>
      <c r="DPC71" s="146"/>
      <c r="DPD71" s="146"/>
      <c r="DPE71" s="146"/>
      <c r="DPF71" s="146"/>
      <c r="DPG71" s="146"/>
      <c r="DPH71" s="146"/>
      <c r="DPI71" s="146"/>
      <c r="DPJ71" s="146"/>
      <c r="DPK71" s="146"/>
      <c r="DPL71" s="146"/>
      <c r="DPM71" s="146"/>
      <c r="DPN71" s="146"/>
      <c r="DPO71" s="146"/>
      <c r="DPP71" s="146"/>
      <c r="DPQ71" s="146"/>
      <c r="DPR71" s="146"/>
      <c r="DPS71" s="146"/>
      <c r="DPT71" s="146"/>
      <c r="DPU71" s="146"/>
      <c r="DPV71" s="146"/>
      <c r="DPW71" s="146"/>
      <c r="DPX71" s="146"/>
      <c r="DPY71" s="146"/>
      <c r="DPZ71" s="146"/>
      <c r="DQA71" s="146"/>
      <c r="DQB71" s="146"/>
      <c r="DQC71" s="146"/>
      <c r="DQD71" s="146"/>
      <c r="DQE71" s="146"/>
      <c r="DQF71" s="146"/>
      <c r="DQG71" s="146"/>
      <c r="DQH71" s="146"/>
      <c r="DQI71" s="146"/>
      <c r="DQJ71" s="146"/>
      <c r="DQK71" s="146"/>
      <c r="DQL71" s="146"/>
      <c r="DQM71" s="146"/>
      <c r="DQN71" s="146"/>
      <c r="DQO71" s="146"/>
      <c r="DQP71" s="146"/>
      <c r="DQQ71" s="146"/>
      <c r="DQR71" s="146"/>
      <c r="DQS71" s="146"/>
      <c r="DQT71" s="146"/>
      <c r="DQU71" s="146"/>
      <c r="DQV71" s="146"/>
      <c r="DQW71" s="146"/>
      <c r="DQX71" s="146"/>
      <c r="DQY71" s="146"/>
      <c r="DQZ71" s="146"/>
      <c r="DRA71" s="146"/>
      <c r="DRB71" s="146"/>
      <c r="DRC71" s="146"/>
      <c r="DRD71" s="146"/>
      <c r="DRE71" s="146"/>
      <c r="DRF71" s="146"/>
      <c r="DRG71" s="146"/>
      <c r="DRH71" s="146"/>
      <c r="DRI71" s="146"/>
      <c r="DRJ71" s="146"/>
      <c r="DRK71" s="146"/>
      <c r="DRL71" s="146"/>
      <c r="DRM71" s="146"/>
      <c r="DRN71" s="146"/>
      <c r="DRO71" s="146"/>
      <c r="DRP71" s="146"/>
      <c r="DRQ71" s="146"/>
      <c r="DRR71" s="146"/>
      <c r="DRS71" s="146"/>
      <c r="DRT71" s="146"/>
      <c r="DRU71" s="146"/>
      <c r="DRV71" s="146"/>
      <c r="DRW71" s="146"/>
      <c r="DRX71" s="146"/>
      <c r="DRY71" s="146"/>
      <c r="DRZ71" s="146"/>
      <c r="DSA71" s="146"/>
      <c r="DSB71" s="146"/>
      <c r="DSC71" s="146"/>
      <c r="DSD71" s="146"/>
      <c r="DSE71" s="146"/>
      <c r="DSF71" s="146"/>
      <c r="DSG71" s="146"/>
      <c r="DSH71" s="146"/>
      <c r="DSI71" s="146"/>
      <c r="DSJ71" s="146"/>
      <c r="DSK71" s="146"/>
      <c r="DSL71" s="146"/>
      <c r="DSM71" s="146"/>
      <c r="DSN71" s="146"/>
      <c r="DSO71" s="146"/>
      <c r="DSP71" s="146"/>
      <c r="DSQ71" s="146"/>
      <c r="DSR71" s="146"/>
      <c r="DSS71" s="146"/>
      <c r="DST71" s="146"/>
      <c r="DSU71" s="146"/>
      <c r="DSV71" s="146"/>
      <c r="DSW71" s="146"/>
      <c r="DSX71" s="146"/>
      <c r="DSY71" s="146"/>
      <c r="DSZ71" s="146"/>
      <c r="DTA71" s="146"/>
      <c r="DTB71" s="146"/>
      <c r="DTC71" s="146"/>
      <c r="DTD71" s="146"/>
      <c r="DTE71" s="146"/>
      <c r="DTF71" s="146"/>
      <c r="DTG71" s="146"/>
      <c r="DTH71" s="146"/>
      <c r="DTI71" s="146"/>
      <c r="DTJ71" s="146"/>
      <c r="DTK71" s="146"/>
      <c r="DTL71" s="146"/>
      <c r="DTM71" s="146"/>
      <c r="DTN71" s="146"/>
      <c r="DTO71" s="146"/>
      <c r="DTP71" s="146"/>
      <c r="DTQ71" s="146"/>
      <c r="DTR71" s="146"/>
      <c r="DTS71" s="146"/>
      <c r="DTT71" s="146"/>
      <c r="DTU71" s="146"/>
      <c r="DTV71" s="146"/>
      <c r="DTW71" s="146"/>
      <c r="DTX71" s="146"/>
      <c r="DTY71" s="146"/>
      <c r="DTZ71" s="146"/>
      <c r="DUA71" s="146"/>
      <c r="DUB71" s="146"/>
      <c r="DUC71" s="146"/>
      <c r="DUD71" s="146"/>
      <c r="DUE71" s="146"/>
      <c r="DUF71" s="146"/>
      <c r="DUG71" s="146"/>
      <c r="DUH71" s="146"/>
      <c r="DUI71" s="146"/>
      <c r="DUJ71" s="146"/>
      <c r="DUK71" s="146"/>
      <c r="DUL71" s="146"/>
      <c r="DUM71" s="146"/>
      <c r="DUN71" s="146"/>
      <c r="DUO71" s="146"/>
      <c r="DUP71" s="146"/>
      <c r="DUQ71" s="146"/>
      <c r="DUR71" s="146"/>
      <c r="DUS71" s="146"/>
      <c r="DUT71" s="146"/>
      <c r="DUU71" s="146"/>
      <c r="DUV71" s="146"/>
      <c r="DUW71" s="146"/>
      <c r="DUX71" s="146"/>
      <c r="DUY71" s="146"/>
      <c r="DUZ71" s="146"/>
      <c r="DVA71" s="146"/>
      <c r="DVB71" s="146"/>
      <c r="DVC71" s="146"/>
      <c r="DVD71" s="146"/>
      <c r="DVE71" s="146"/>
      <c r="DVF71" s="146"/>
      <c r="DVG71" s="146"/>
      <c r="DVH71" s="146"/>
      <c r="DVI71" s="146"/>
      <c r="DVJ71" s="146"/>
      <c r="DVK71" s="146"/>
      <c r="DVL71" s="146"/>
      <c r="DVM71" s="146"/>
      <c r="DVN71" s="146"/>
      <c r="DVO71" s="146"/>
      <c r="DVP71" s="146"/>
      <c r="DVQ71" s="146"/>
      <c r="DVR71" s="146"/>
      <c r="DVS71" s="146"/>
      <c r="DVT71" s="146"/>
      <c r="DVU71" s="146"/>
      <c r="DVV71" s="146"/>
      <c r="DVW71" s="146"/>
      <c r="DVX71" s="146"/>
      <c r="DVY71" s="146"/>
      <c r="DVZ71" s="146"/>
      <c r="DWA71" s="146"/>
      <c r="DWB71" s="146"/>
      <c r="DWC71" s="146"/>
      <c r="DWD71" s="146"/>
      <c r="DWE71" s="146"/>
      <c r="DWF71" s="146"/>
      <c r="DWG71" s="146"/>
      <c r="DWH71" s="146"/>
      <c r="DWI71" s="146"/>
      <c r="DWJ71" s="146"/>
      <c r="DWK71" s="146"/>
      <c r="DWL71" s="146"/>
      <c r="DWM71" s="146"/>
      <c r="DWN71" s="146"/>
      <c r="DWO71" s="146"/>
      <c r="DWP71" s="146"/>
      <c r="DWQ71" s="146"/>
      <c r="DWR71" s="146"/>
      <c r="DWS71" s="146"/>
      <c r="DWT71" s="146"/>
      <c r="DWU71" s="146"/>
      <c r="DWV71" s="146"/>
      <c r="DWW71" s="146"/>
      <c r="DWX71" s="146"/>
      <c r="DWY71" s="146"/>
      <c r="DWZ71" s="146"/>
      <c r="DXA71" s="146"/>
      <c r="DXB71" s="146"/>
      <c r="DXC71" s="146"/>
      <c r="DXD71" s="146"/>
      <c r="DXE71" s="146"/>
      <c r="DXF71" s="146"/>
      <c r="DXG71" s="146"/>
      <c r="DXH71" s="146"/>
      <c r="DXI71" s="146"/>
      <c r="DXJ71" s="146"/>
      <c r="DXK71" s="146"/>
      <c r="DXL71" s="146"/>
      <c r="DXM71" s="146"/>
      <c r="DXN71" s="146"/>
      <c r="DXO71" s="146"/>
      <c r="DXP71" s="146"/>
      <c r="DXQ71" s="146"/>
      <c r="DXR71" s="146"/>
      <c r="DXS71" s="146"/>
      <c r="DXT71" s="146"/>
      <c r="DXU71" s="146"/>
      <c r="DXV71" s="146"/>
      <c r="DXW71" s="146"/>
      <c r="DXX71" s="146"/>
      <c r="DXY71" s="146"/>
      <c r="DXZ71" s="146"/>
      <c r="DYA71" s="146"/>
      <c r="DYB71" s="146"/>
      <c r="DYC71" s="146"/>
      <c r="DYD71" s="146"/>
      <c r="DYE71" s="146"/>
      <c r="DYF71" s="146"/>
      <c r="DYG71" s="146"/>
      <c r="DYH71" s="146"/>
      <c r="DYI71" s="146"/>
      <c r="DYJ71" s="146"/>
      <c r="DYK71" s="146"/>
      <c r="DYL71" s="146"/>
      <c r="DYM71" s="146"/>
      <c r="DYN71" s="146"/>
      <c r="DYO71" s="146"/>
      <c r="DYP71" s="146"/>
      <c r="DYQ71" s="146"/>
      <c r="DYR71" s="146"/>
      <c r="DYS71" s="146"/>
      <c r="DYT71" s="146"/>
      <c r="DYU71" s="146"/>
      <c r="DYV71" s="146"/>
      <c r="DYW71" s="146"/>
      <c r="DYX71" s="146"/>
      <c r="DYY71" s="146"/>
      <c r="DYZ71" s="146"/>
      <c r="DZA71" s="146"/>
      <c r="DZB71" s="146"/>
      <c r="DZC71" s="146"/>
      <c r="DZD71" s="146"/>
      <c r="DZE71" s="146"/>
      <c r="DZF71" s="146"/>
      <c r="DZG71" s="146"/>
      <c r="DZH71" s="146"/>
      <c r="DZI71" s="146"/>
      <c r="DZJ71" s="146"/>
      <c r="DZK71" s="146"/>
      <c r="DZL71" s="146"/>
      <c r="DZM71" s="146"/>
      <c r="DZN71" s="146"/>
      <c r="DZO71" s="146"/>
      <c r="DZP71" s="146"/>
      <c r="DZQ71" s="146"/>
      <c r="DZR71" s="146"/>
      <c r="DZS71" s="146"/>
      <c r="DZT71" s="146"/>
      <c r="DZU71" s="146"/>
      <c r="DZV71" s="146"/>
      <c r="DZW71" s="146"/>
      <c r="DZX71" s="146"/>
      <c r="DZY71" s="146"/>
      <c r="DZZ71" s="146"/>
      <c r="EAA71" s="146"/>
      <c r="EAB71" s="146"/>
      <c r="EAC71" s="146"/>
      <c r="EAD71" s="146"/>
      <c r="EAE71" s="146"/>
      <c r="EAF71" s="146"/>
      <c r="EAG71" s="146"/>
      <c r="EAH71" s="146"/>
      <c r="EAI71" s="146"/>
      <c r="EAJ71" s="146"/>
      <c r="EAK71" s="146"/>
      <c r="EAL71" s="146"/>
      <c r="EAM71" s="146"/>
      <c r="EAN71" s="146"/>
      <c r="EAO71" s="146"/>
      <c r="EAP71" s="146"/>
      <c r="EAQ71" s="146"/>
      <c r="EAR71" s="146"/>
      <c r="EAS71" s="146"/>
      <c r="EAT71" s="146"/>
      <c r="EAU71" s="146"/>
      <c r="EAV71" s="146"/>
      <c r="EAW71" s="146"/>
      <c r="EAX71" s="146"/>
      <c r="EAY71" s="146"/>
      <c r="EAZ71" s="146"/>
      <c r="EBA71" s="146"/>
      <c r="EBB71" s="146"/>
      <c r="EBC71" s="146"/>
      <c r="EBD71" s="146"/>
      <c r="EBE71" s="146"/>
      <c r="EBF71" s="146"/>
      <c r="EBG71" s="146"/>
      <c r="EBH71" s="146"/>
      <c r="EBI71" s="146"/>
      <c r="EBJ71" s="146"/>
      <c r="EBK71" s="146"/>
      <c r="EBL71" s="146"/>
      <c r="EBM71" s="146"/>
      <c r="EBN71" s="146"/>
      <c r="EBO71" s="146"/>
      <c r="EBP71" s="146"/>
      <c r="EBQ71" s="146"/>
      <c r="EBR71" s="146"/>
      <c r="EBS71" s="146"/>
      <c r="EBT71" s="146"/>
      <c r="EBU71" s="146"/>
      <c r="EBV71" s="146"/>
      <c r="EBW71" s="146"/>
      <c r="EBX71" s="146"/>
      <c r="EBY71" s="146"/>
      <c r="EBZ71" s="146"/>
      <c r="ECA71" s="146"/>
      <c r="ECB71" s="146"/>
      <c r="ECC71" s="146"/>
      <c r="ECD71" s="146"/>
      <c r="ECE71" s="146"/>
      <c r="ECF71" s="146"/>
      <c r="ECG71" s="146"/>
      <c r="ECH71" s="146"/>
      <c r="ECI71" s="146"/>
      <c r="ECJ71" s="146"/>
      <c r="ECK71" s="146"/>
      <c r="ECL71" s="146"/>
      <c r="ECM71" s="146"/>
      <c r="ECN71" s="146"/>
      <c r="ECO71" s="146"/>
      <c r="ECP71" s="146"/>
      <c r="ECQ71" s="146"/>
      <c r="ECR71" s="146"/>
      <c r="ECS71" s="146"/>
      <c r="ECT71" s="146"/>
      <c r="ECU71" s="146"/>
      <c r="ECV71" s="146"/>
      <c r="ECW71" s="146"/>
      <c r="ECX71" s="146"/>
      <c r="ECY71" s="146"/>
      <c r="ECZ71" s="146"/>
      <c r="EDA71" s="146"/>
      <c r="EDB71" s="146"/>
      <c r="EDC71" s="146"/>
      <c r="EDD71" s="146"/>
      <c r="EDE71" s="146"/>
      <c r="EDF71" s="146"/>
      <c r="EDG71" s="146"/>
      <c r="EDH71" s="146"/>
      <c r="EDI71" s="146"/>
      <c r="EDJ71" s="146"/>
      <c r="EDK71" s="146"/>
      <c r="EDL71" s="146"/>
      <c r="EDM71" s="146"/>
      <c r="EDN71" s="146"/>
      <c r="EDO71" s="146"/>
      <c r="EDP71" s="146"/>
      <c r="EDQ71" s="146"/>
      <c r="EDR71" s="146"/>
      <c r="EDS71" s="146"/>
      <c r="EDT71" s="146"/>
      <c r="EDU71" s="146"/>
      <c r="EDV71" s="146"/>
      <c r="EDW71" s="146"/>
      <c r="EDX71" s="146"/>
      <c r="EDY71" s="146"/>
      <c r="EDZ71" s="146"/>
      <c r="EEA71" s="146"/>
      <c r="EEB71" s="146"/>
      <c r="EEC71" s="146"/>
      <c r="EED71" s="146"/>
      <c r="EEE71" s="146"/>
      <c r="EEF71" s="146"/>
      <c r="EEG71" s="146"/>
      <c r="EEH71" s="146"/>
      <c r="EEI71" s="146"/>
      <c r="EEJ71" s="146"/>
      <c r="EEK71" s="146"/>
      <c r="EEL71" s="146"/>
      <c r="EEM71" s="146"/>
      <c r="EEN71" s="146"/>
      <c r="EEO71" s="146"/>
      <c r="EEP71" s="146"/>
      <c r="EEQ71" s="146"/>
      <c r="EER71" s="146"/>
      <c r="EES71" s="146"/>
      <c r="EET71" s="146"/>
      <c r="EEU71" s="146"/>
      <c r="EEV71" s="146"/>
      <c r="EEW71" s="146"/>
      <c r="EEX71" s="146"/>
      <c r="EEY71" s="146"/>
      <c r="EEZ71" s="146"/>
      <c r="EFA71" s="146"/>
      <c r="EFB71" s="146"/>
      <c r="EFC71" s="146"/>
      <c r="EFD71" s="146"/>
      <c r="EFE71" s="146"/>
      <c r="EFF71" s="146"/>
      <c r="EFG71" s="146"/>
      <c r="EFH71" s="146"/>
      <c r="EFI71" s="146"/>
      <c r="EFJ71" s="146"/>
      <c r="EFK71" s="146"/>
      <c r="EFL71" s="146"/>
      <c r="EFM71" s="146"/>
      <c r="EFN71" s="146"/>
      <c r="EFO71" s="146"/>
      <c r="EFP71" s="146"/>
      <c r="EFQ71" s="146"/>
      <c r="EFR71" s="146"/>
      <c r="EFS71" s="146"/>
      <c r="EFT71" s="146"/>
      <c r="EFU71" s="146"/>
      <c r="EFV71" s="146"/>
      <c r="EFW71" s="146"/>
      <c r="EFX71" s="146"/>
      <c r="EFY71" s="146"/>
      <c r="EFZ71" s="146"/>
      <c r="EGA71" s="146"/>
      <c r="EGB71" s="146"/>
      <c r="EGC71" s="146"/>
      <c r="EGD71" s="146"/>
      <c r="EGE71" s="146"/>
      <c r="EGF71" s="146"/>
      <c r="EGG71" s="146"/>
      <c r="EGH71" s="146"/>
      <c r="EGI71" s="146"/>
      <c r="EGJ71" s="146"/>
      <c r="EGK71" s="146"/>
      <c r="EGL71" s="146"/>
      <c r="EGM71" s="146"/>
      <c r="EGN71" s="146"/>
      <c r="EGO71" s="146"/>
      <c r="EGP71" s="146"/>
      <c r="EGQ71" s="146"/>
      <c r="EGR71" s="146"/>
      <c r="EGS71" s="146"/>
      <c r="EGT71" s="146"/>
      <c r="EGU71" s="146"/>
      <c r="EGV71" s="146"/>
      <c r="EGW71" s="146"/>
      <c r="EGX71" s="146"/>
      <c r="EGY71" s="146"/>
      <c r="EGZ71" s="146"/>
      <c r="EHA71" s="146"/>
      <c r="EHB71" s="146"/>
      <c r="EHC71" s="146"/>
      <c r="EHD71" s="146"/>
      <c r="EHE71" s="146"/>
      <c r="EHF71" s="146"/>
      <c r="EHG71" s="146"/>
      <c r="EHH71" s="146"/>
      <c r="EHI71" s="146"/>
      <c r="EHJ71" s="146"/>
      <c r="EHK71" s="146"/>
      <c r="EHL71" s="146"/>
      <c r="EHM71" s="146"/>
      <c r="EHN71" s="146"/>
      <c r="EHO71" s="146"/>
      <c r="EHP71" s="146"/>
      <c r="EHQ71" s="146"/>
      <c r="EHR71" s="146"/>
      <c r="EHS71" s="146"/>
      <c r="EHT71" s="146"/>
      <c r="EHU71" s="146"/>
      <c r="EHV71" s="146"/>
      <c r="EHW71" s="146"/>
      <c r="EHX71" s="146"/>
      <c r="EHY71" s="146"/>
      <c r="EHZ71" s="146"/>
      <c r="EIA71" s="146"/>
      <c r="EIB71" s="146"/>
      <c r="EIC71" s="146"/>
      <c r="EID71" s="146"/>
      <c r="EIE71" s="146"/>
      <c r="EIF71" s="146"/>
      <c r="EIG71" s="146"/>
      <c r="EIH71" s="146"/>
      <c r="EII71" s="146"/>
      <c r="EIJ71" s="146"/>
      <c r="EIK71" s="146"/>
      <c r="EIL71" s="146"/>
      <c r="EIM71" s="146"/>
      <c r="EIN71" s="146"/>
      <c r="EIO71" s="146"/>
      <c r="EIP71" s="146"/>
      <c r="EIQ71" s="146"/>
      <c r="EIR71" s="146"/>
      <c r="EIS71" s="146"/>
      <c r="EIT71" s="146"/>
      <c r="EIU71" s="146"/>
      <c r="EIV71" s="146"/>
      <c r="EIW71" s="146"/>
      <c r="EIX71" s="146"/>
      <c r="EIY71" s="146"/>
      <c r="EIZ71" s="146"/>
      <c r="EJA71" s="146"/>
      <c r="EJB71" s="146"/>
      <c r="EJC71" s="146"/>
      <c r="EJD71" s="146"/>
      <c r="EJE71" s="146"/>
      <c r="EJF71" s="146"/>
      <c r="EJG71" s="146"/>
      <c r="EJH71" s="146"/>
      <c r="EJI71" s="146"/>
      <c r="EJJ71" s="146"/>
      <c r="EJK71" s="146"/>
      <c r="EJL71" s="146"/>
      <c r="EJM71" s="146"/>
      <c r="EJN71" s="146"/>
      <c r="EJO71" s="146"/>
      <c r="EJP71" s="146"/>
      <c r="EJQ71" s="146"/>
      <c r="EJR71" s="146"/>
      <c r="EJS71" s="146"/>
      <c r="EJT71" s="146"/>
      <c r="EJU71" s="146"/>
      <c r="EJV71" s="146"/>
      <c r="EJW71" s="146"/>
      <c r="EJX71" s="146"/>
      <c r="EJY71" s="146"/>
      <c r="EJZ71" s="146"/>
      <c r="EKA71" s="146"/>
      <c r="EKB71" s="146"/>
      <c r="EKC71" s="146"/>
      <c r="EKD71" s="146"/>
      <c r="EKE71" s="146"/>
      <c r="EKF71" s="146"/>
      <c r="EKG71" s="146"/>
      <c r="EKH71" s="146"/>
      <c r="EKI71" s="146"/>
      <c r="EKJ71" s="146"/>
      <c r="EKK71" s="146"/>
      <c r="EKL71" s="146"/>
      <c r="EKM71" s="146"/>
      <c r="EKN71" s="146"/>
      <c r="EKO71" s="146"/>
      <c r="EKP71" s="146"/>
      <c r="EKQ71" s="146"/>
      <c r="EKR71" s="146"/>
      <c r="EKS71" s="146"/>
      <c r="EKT71" s="146"/>
      <c r="EKU71" s="146"/>
      <c r="EKV71" s="146"/>
      <c r="EKW71" s="146"/>
      <c r="EKX71" s="146"/>
      <c r="EKY71" s="146"/>
      <c r="EKZ71" s="146"/>
      <c r="ELA71" s="146"/>
      <c r="ELB71" s="146"/>
      <c r="ELC71" s="146"/>
      <c r="ELD71" s="146"/>
      <c r="ELE71" s="146"/>
      <c r="ELF71" s="146"/>
      <c r="ELG71" s="146"/>
      <c r="ELH71" s="146"/>
      <c r="ELI71" s="146"/>
      <c r="ELJ71" s="146"/>
      <c r="ELK71" s="146"/>
      <c r="ELL71" s="146"/>
      <c r="ELM71" s="146"/>
      <c r="ELN71" s="146"/>
      <c r="ELO71" s="146"/>
      <c r="ELP71" s="146"/>
      <c r="ELQ71" s="146"/>
      <c r="ELR71" s="146"/>
      <c r="ELS71" s="146"/>
      <c r="ELT71" s="146"/>
      <c r="ELU71" s="146"/>
      <c r="ELV71" s="146"/>
      <c r="ELW71" s="146"/>
      <c r="ELX71" s="146"/>
      <c r="ELY71" s="146"/>
      <c r="ELZ71" s="146"/>
      <c r="EMA71" s="146"/>
      <c r="EMB71" s="146"/>
      <c r="EMC71" s="146"/>
      <c r="EMD71" s="146"/>
      <c r="EME71" s="146"/>
      <c r="EMF71" s="146"/>
      <c r="EMG71" s="146"/>
      <c r="EMH71" s="146"/>
      <c r="EMI71" s="146"/>
      <c r="EMJ71" s="146"/>
      <c r="EMK71" s="146"/>
      <c r="EML71" s="146"/>
      <c r="EMM71" s="146"/>
      <c r="EMN71" s="146"/>
      <c r="EMO71" s="146"/>
      <c r="EMP71" s="146"/>
      <c r="EMQ71" s="146"/>
      <c r="EMR71" s="146"/>
      <c r="EMS71" s="146"/>
      <c r="EMT71" s="146"/>
      <c r="EMU71" s="146"/>
      <c r="EMV71" s="146"/>
      <c r="EMW71" s="146"/>
      <c r="EMX71" s="146"/>
      <c r="EMY71" s="146"/>
      <c r="EMZ71" s="146"/>
      <c r="ENA71" s="146"/>
      <c r="ENB71" s="146"/>
      <c r="ENC71" s="146"/>
      <c r="END71" s="146"/>
      <c r="ENE71" s="146"/>
      <c r="ENF71" s="146"/>
      <c r="ENG71" s="146"/>
      <c r="ENH71" s="146"/>
      <c r="ENI71" s="146"/>
      <c r="ENJ71" s="146"/>
      <c r="ENK71" s="146"/>
      <c r="ENL71" s="146"/>
      <c r="ENM71" s="146"/>
      <c r="ENN71" s="146"/>
      <c r="ENO71" s="146"/>
      <c r="ENP71" s="146"/>
      <c r="ENQ71" s="146"/>
      <c r="ENR71" s="146"/>
      <c r="ENS71" s="146"/>
      <c r="ENT71" s="146"/>
      <c r="ENU71" s="146"/>
      <c r="ENV71" s="146"/>
      <c r="ENW71" s="146"/>
      <c r="ENX71" s="146"/>
      <c r="ENY71" s="146"/>
      <c r="ENZ71" s="146"/>
      <c r="EOA71" s="146"/>
      <c r="EOB71" s="146"/>
      <c r="EOC71" s="146"/>
      <c r="EOD71" s="146"/>
      <c r="EOE71" s="146"/>
      <c r="EOF71" s="146"/>
      <c r="EOG71" s="146"/>
      <c r="EOH71" s="146"/>
      <c r="EOI71" s="146"/>
      <c r="EOJ71" s="146"/>
      <c r="EOK71" s="146"/>
      <c r="EOL71" s="146"/>
      <c r="EOM71" s="146"/>
      <c r="EON71" s="146"/>
      <c r="EOO71" s="146"/>
      <c r="EOP71" s="146"/>
      <c r="EOQ71" s="146"/>
      <c r="EOR71" s="146"/>
      <c r="EOS71" s="146"/>
      <c r="EOT71" s="146"/>
      <c r="EOU71" s="146"/>
      <c r="EOV71" s="146"/>
      <c r="EOW71" s="146"/>
      <c r="EOX71" s="146"/>
      <c r="EOY71" s="146"/>
      <c r="EOZ71" s="146"/>
      <c r="EPA71" s="146"/>
      <c r="EPB71" s="146"/>
      <c r="EPC71" s="146"/>
      <c r="EPD71" s="146"/>
      <c r="EPE71" s="146"/>
      <c r="EPF71" s="146"/>
      <c r="EPG71" s="146"/>
      <c r="EPH71" s="146"/>
      <c r="EPI71" s="146"/>
      <c r="EPJ71" s="146"/>
      <c r="EPK71" s="146"/>
      <c r="EPL71" s="146"/>
      <c r="EPM71" s="146"/>
      <c r="EPN71" s="146"/>
      <c r="EPO71" s="146"/>
      <c r="EPP71" s="146"/>
      <c r="EPQ71" s="146"/>
      <c r="EPR71" s="146"/>
      <c r="EPS71" s="146"/>
      <c r="EPT71" s="146"/>
      <c r="EPU71" s="146"/>
      <c r="EPV71" s="146"/>
      <c r="EPW71" s="146"/>
      <c r="EPX71" s="146"/>
      <c r="EPY71" s="146"/>
      <c r="EPZ71" s="146"/>
      <c r="EQA71" s="146"/>
      <c r="EQB71" s="146"/>
      <c r="EQC71" s="146"/>
      <c r="EQD71" s="146"/>
      <c r="EQE71" s="146"/>
      <c r="EQF71" s="146"/>
      <c r="EQG71" s="146"/>
      <c r="EQH71" s="146"/>
      <c r="EQI71" s="146"/>
      <c r="EQJ71" s="146"/>
      <c r="EQK71" s="146"/>
      <c r="EQL71" s="146"/>
      <c r="EQM71" s="146"/>
      <c r="EQN71" s="146"/>
      <c r="EQO71" s="146"/>
      <c r="EQP71" s="146"/>
      <c r="EQQ71" s="146"/>
      <c r="EQR71" s="146"/>
      <c r="EQS71" s="146"/>
      <c r="EQT71" s="146"/>
      <c r="EQU71" s="146"/>
      <c r="EQV71" s="146"/>
      <c r="EQW71" s="146"/>
      <c r="EQX71" s="146"/>
      <c r="EQY71" s="146"/>
      <c r="EQZ71" s="146"/>
      <c r="ERA71" s="146"/>
      <c r="ERB71" s="146"/>
      <c r="ERC71" s="146"/>
      <c r="ERD71" s="146"/>
      <c r="ERE71" s="146"/>
      <c r="ERF71" s="146"/>
      <c r="ERG71" s="146"/>
      <c r="ERH71" s="146"/>
      <c r="ERI71" s="146"/>
      <c r="ERJ71" s="146"/>
      <c r="ERK71" s="146"/>
      <c r="ERL71" s="146"/>
      <c r="ERM71" s="146"/>
      <c r="ERN71" s="146"/>
      <c r="ERO71" s="146"/>
      <c r="ERP71" s="146"/>
      <c r="ERQ71" s="146"/>
      <c r="ERR71" s="146"/>
      <c r="ERS71" s="146"/>
      <c r="ERT71" s="146"/>
      <c r="ERU71" s="146"/>
      <c r="ERV71" s="146"/>
      <c r="ERW71" s="146"/>
      <c r="ERX71" s="146"/>
      <c r="ERY71" s="146"/>
      <c r="ERZ71" s="146"/>
      <c r="ESA71" s="146"/>
      <c r="ESB71" s="146"/>
      <c r="ESC71" s="146"/>
      <c r="ESD71" s="146"/>
      <c r="ESE71" s="146"/>
      <c r="ESF71" s="146"/>
      <c r="ESG71" s="146"/>
      <c r="ESH71" s="146"/>
      <c r="ESI71" s="146"/>
      <c r="ESJ71" s="146"/>
      <c r="ESK71" s="146"/>
      <c r="ESL71" s="146"/>
      <c r="ESM71" s="146"/>
      <c r="ESN71" s="146"/>
      <c r="ESO71" s="146"/>
      <c r="ESP71" s="146"/>
      <c r="ESQ71" s="146"/>
      <c r="ESR71" s="146"/>
      <c r="ESS71" s="146"/>
      <c r="EST71" s="146"/>
      <c r="ESU71" s="146"/>
      <c r="ESV71" s="146"/>
      <c r="ESW71" s="146"/>
      <c r="ESX71" s="146"/>
      <c r="ESY71" s="146"/>
      <c r="ESZ71" s="146"/>
      <c r="ETA71" s="146"/>
      <c r="ETB71" s="146"/>
      <c r="ETC71" s="146"/>
      <c r="ETD71" s="146"/>
      <c r="ETE71" s="146"/>
      <c r="ETF71" s="146"/>
      <c r="ETG71" s="146"/>
      <c r="ETH71" s="146"/>
      <c r="ETI71" s="146"/>
      <c r="ETJ71" s="146"/>
      <c r="ETK71" s="146"/>
      <c r="ETL71" s="146"/>
      <c r="ETM71" s="146"/>
      <c r="ETN71" s="146"/>
      <c r="ETO71" s="146"/>
      <c r="ETP71" s="146"/>
      <c r="ETQ71" s="146"/>
      <c r="ETR71" s="146"/>
      <c r="ETS71" s="146"/>
      <c r="ETT71" s="146"/>
      <c r="ETU71" s="146"/>
      <c r="ETV71" s="146"/>
      <c r="ETW71" s="146"/>
      <c r="ETX71" s="146"/>
      <c r="ETY71" s="146"/>
      <c r="ETZ71" s="146"/>
      <c r="EUA71" s="146"/>
      <c r="EUB71" s="146"/>
      <c r="EUC71" s="146"/>
      <c r="EUD71" s="146"/>
      <c r="EUE71" s="146"/>
      <c r="EUF71" s="146"/>
      <c r="EUG71" s="146"/>
      <c r="EUH71" s="146"/>
      <c r="EUI71" s="146"/>
      <c r="EUJ71" s="146"/>
      <c r="EUK71" s="146"/>
      <c r="EUL71" s="146"/>
      <c r="EUM71" s="146"/>
      <c r="EUN71" s="146"/>
      <c r="EUO71" s="146"/>
      <c r="EUP71" s="146"/>
      <c r="EUQ71" s="146"/>
      <c r="EUR71" s="146"/>
      <c r="EUS71" s="146"/>
      <c r="EUT71" s="146"/>
      <c r="EUU71" s="146"/>
      <c r="EUV71" s="146"/>
      <c r="EUW71" s="146"/>
      <c r="EUX71" s="146"/>
      <c r="EUY71" s="146"/>
      <c r="EUZ71" s="146"/>
      <c r="EVA71" s="146"/>
      <c r="EVB71" s="146"/>
      <c r="EVC71" s="146"/>
      <c r="EVD71" s="146"/>
      <c r="EVE71" s="146"/>
      <c r="EVF71" s="146"/>
      <c r="EVG71" s="146"/>
      <c r="EVH71" s="146"/>
      <c r="EVI71" s="146"/>
      <c r="EVJ71" s="146"/>
      <c r="EVK71" s="146"/>
      <c r="EVL71" s="146"/>
      <c r="EVM71" s="146"/>
      <c r="EVN71" s="146"/>
      <c r="EVO71" s="146"/>
      <c r="EVP71" s="146"/>
      <c r="EVQ71" s="146"/>
      <c r="EVR71" s="146"/>
      <c r="EVS71" s="146"/>
      <c r="EVT71" s="146"/>
      <c r="EVU71" s="146"/>
      <c r="EVV71" s="146"/>
      <c r="EVW71" s="146"/>
      <c r="EVX71" s="146"/>
      <c r="EVY71" s="146"/>
      <c r="EVZ71" s="146"/>
      <c r="EWA71" s="146"/>
      <c r="EWB71" s="146"/>
      <c r="EWC71" s="146"/>
      <c r="EWD71" s="146"/>
      <c r="EWE71" s="146"/>
      <c r="EWF71" s="146"/>
      <c r="EWG71" s="146"/>
      <c r="EWH71" s="146"/>
      <c r="EWI71" s="146"/>
      <c r="EWJ71" s="146"/>
      <c r="EWK71" s="146"/>
      <c r="EWL71" s="146"/>
      <c r="EWM71" s="146"/>
      <c r="EWN71" s="146"/>
      <c r="EWO71" s="146"/>
      <c r="EWP71" s="146"/>
      <c r="EWQ71" s="146"/>
      <c r="EWR71" s="146"/>
      <c r="EWS71" s="146"/>
      <c r="EWT71" s="146"/>
      <c r="EWU71" s="146"/>
      <c r="EWV71" s="146"/>
      <c r="EWW71" s="146"/>
      <c r="EWX71" s="146"/>
      <c r="EWY71" s="146"/>
      <c r="EWZ71" s="146"/>
      <c r="EXA71" s="146"/>
      <c r="EXB71" s="146"/>
      <c r="EXC71" s="146"/>
      <c r="EXD71" s="146"/>
      <c r="EXE71" s="146"/>
      <c r="EXF71" s="146"/>
      <c r="EXG71" s="146"/>
      <c r="EXH71" s="146"/>
      <c r="EXI71" s="146"/>
      <c r="EXJ71" s="146"/>
      <c r="EXK71" s="146"/>
      <c r="EXL71" s="146"/>
      <c r="EXM71" s="146"/>
      <c r="EXN71" s="146"/>
      <c r="EXO71" s="146"/>
      <c r="EXP71" s="146"/>
      <c r="EXQ71" s="146"/>
      <c r="EXR71" s="146"/>
      <c r="EXS71" s="146"/>
      <c r="EXT71" s="146"/>
      <c r="EXU71" s="146"/>
      <c r="EXV71" s="146"/>
      <c r="EXW71" s="146"/>
      <c r="EXX71" s="146"/>
      <c r="EXY71" s="146"/>
      <c r="EXZ71" s="146"/>
      <c r="EYA71" s="146"/>
      <c r="EYB71" s="146"/>
      <c r="EYC71" s="146"/>
      <c r="EYD71" s="146"/>
      <c r="EYE71" s="146"/>
      <c r="EYF71" s="146"/>
      <c r="EYG71" s="146"/>
      <c r="EYH71" s="146"/>
      <c r="EYI71" s="146"/>
      <c r="EYJ71" s="146"/>
      <c r="EYK71" s="146"/>
      <c r="EYL71" s="146"/>
      <c r="EYM71" s="146"/>
      <c r="EYN71" s="146"/>
      <c r="EYO71" s="146"/>
      <c r="EYP71" s="146"/>
      <c r="EYQ71" s="146"/>
      <c r="EYR71" s="146"/>
      <c r="EYS71" s="146"/>
      <c r="EYT71" s="146"/>
      <c r="EYU71" s="146"/>
      <c r="EYV71" s="146"/>
      <c r="EYW71" s="146"/>
      <c r="EYX71" s="146"/>
      <c r="EYY71" s="146"/>
      <c r="EYZ71" s="146"/>
      <c r="EZA71" s="146"/>
      <c r="EZB71" s="146"/>
      <c r="EZC71" s="146"/>
      <c r="EZD71" s="146"/>
      <c r="EZE71" s="146"/>
      <c r="EZF71" s="146"/>
      <c r="EZG71" s="146"/>
      <c r="EZH71" s="146"/>
      <c r="EZI71" s="146"/>
      <c r="EZJ71" s="146"/>
      <c r="EZK71" s="146"/>
      <c r="EZL71" s="146"/>
      <c r="EZM71" s="146"/>
      <c r="EZN71" s="146"/>
      <c r="EZO71" s="146"/>
      <c r="EZP71" s="146"/>
      <c r="EZQ71" s="146"/>
      <c r="EZR71" s="146"/>
      <c r="EZS71" s="146"/>
      <c r="EZT71" s="146"/>
      <c r="EZU71" s="146"/>
      <c r="EZV71" s="146"/>
      <c r="EZW71" s="146"/>
      <c r="EZX71" s="146"/>
      <c r="EZY71" s="146"/>
      <c r="EZZ71" s="146"/>
      <c r="FAA71" s="146"/>
      <c r="FAB71" s="146"/>
      <c r="FAC71" s="146"/>
      <c r="FAD71" s="146"/>
      <c r="FAE71" s="146"/>
      <c r="FAF71" s="146"/>
      <c r="FAG71" s="146"/>
      <c r="FAH71" s="146"/>
      <c r="FAI71" s="146"/>
      <c r="FAJ71" s="146"/>
      <c r="FAK71" s="146"/>
      <c r="FAL71" s="146"/>
      <c r="FAM71" s="146"/>
      <c r="FAN71" s="146"/>
      <c r="FAO71" s="146"/>
      <c r="FAP71" s="146"/>
      <c r="FAQ71" s="146"/>
      <c r="FAR71" s="146"/>
      <c r="FAS71" s="146"/>
      <c r="FAT71" s="146"/>
      <c r="FAU71" s="146"/>
      <c r="FAV71" s="146"/>
      <c r="FAW71" s="146"/>
      <c r="FAX71" s="146"/>
      <c r="FAY71" s="146"/>
      <c r="FAZ71" s="146"/>
      <c r="FBA71" s="146"/>
      <c r="FBB71" s="146"/>
      <c r="FBC71" s="146"/>
      <c r="FBD71" s="146"/>
      <c r="FBE71" s="146"/>
      <c r="FBF71" s="146"/>
      <c r="FBG71" s="146"/>
      <c r="FBH71" s="146"/>
      <c r="FBI71" s="146"/>
      <c r="FBJ71" s="146"/>
      <c r="FBK71" s="146"/>
      <c r="FBL71" s="146"/>
      <c r="FBM71" s="146"/>
      <c r="FBN71" s="146"/>
      <c r="FBO71" s="146"/>
      <c r="FBP71" s="146"/>
      <c r="FBQ71" s="146"/>
      <c r="FBR71" s="146"/>
      <c r="FBS71" s="146"/>
      <c r="FBT71" s="146"/>
      <c r="FBU71" s="146"/>
      <c r="FBV71" s="146"/>
      <c r="FBW71" s="146"/>
      <c r="FBX71" s="146"/>
      <c r="FBY71" s="146"/>
      <c r="FBZ71" s="146"/>
      <c r="FCA71" s="146"/>
      <c r="FCB71" s="146"/>
      <c r="FCC71" s="146"/>
      <c r="FCD71" s="146"/>
      <c r="FCE71" s="146"/>
      <c r="FCF71" s="146"/>
      <c r="FCG71" s="146"/>
      <c r="FCH71" s="146"/>
      <c r="FCI71" s="146"/>
      <c r="FCJ71" s="146"/>
      <c r="FCK71" s="146"/>
      <c r="FCL71" s="146"/>
      <c r="FCM71" s="146"/>
      <c r="FCN71" s="146"/>
      <c r="FCO71" s="146"/>
      <c r="FCP71" s="146"/>
      <c r="FCQ71" s="146"/>
      <c r="FCR71" s="146"/>
      <c r="FCS71" s="146"/>
      <c r="FCT71" s="146"/>
      <c r="FCU71" s="146"/>
      <c r="FCV71" s="146"/>
      <c r="FCW71" s="146"/>
      <c r="FCX71" s="146"/>
      <c r="FCY71" s="146"/>
      <c r="FCZ71" s="146"/>
      <c r="FDA71" s="146"/>
      <c r="FDB71" s="146"/>
      <c r="FDC71" s="146"/>
      <c r="FDD71" s="146"/>
      <c r="FDE71" s="146"/>
      <c r="FDF71" s="146"/>
      <c r="FDG71" s="146"/>
      <c r="FDH71" s="146"/>
      <c r="FDI71" s="146"/>
      <c r="FDJ71" s="146"/>
      <c r="FDK71" s="146"/>
      <c r="FDL71" s="146"/>
      <c r="FDM71" s="146"/>
      <c r="FDN71" s="146"/>
      <c r="FDO71" s="146"/>
      <c r="FDP71" s="146"/>
      <c r="FDQ71" s="146"/>
      <c r="FDR71" s="146"/>
      <c r="FDS71" s="146"/>
      <c r="FDT71" s="146"/>
      <c r="FDU71" s="146"/>
      <c r="FDV71" s="146"/>
      <c r="FDW71" s="146"/>
      <c r="FDX71" s="146"/>
      <c r="FDY71" s="146"/>
      <c r="FDZ71" s="146"/>
      <c r="FEA71" s="146"/>
      <c r="FEB71" s="146"/>
      <c r="FEC71" s="146"/>
      <c r="FED71" s="146"/>
      <c r="FEE71" s="146"/>
      <c r="FEF71" s="146"/>
      <c r="FEG71" s="146"/>
      <c r="FEH71" s="146"/>
      <c r="FEI71" s="146"/>
      <c r="FEJ71" s="146"/>
      <c r="FEK71" s="146"/>
      <c r="FEL71" s="146"/>
      <c r="FEM71" s="146"/>
      <c r="FEN71" s="146"/>
      <c r="FEO71" s="146"/>
      <c r="FEP71" s="146"/>
      <c r="FEQ71" s="146"/>
      <c r="FER71" s="146"/>
      <c r="FES71" s="146"/>
      <c r="FET71" s="146"/>
      <c r="FEU71" s="146"/>
      <c r="FEV71" s="146"/>
      <c r="FEW71" s="146"/>
      <c r="FEX71" s="146"/>
      <c r="FEY71" s="146"/>
      <c r="FEZ71" s="146"/>
      <c r="FFA71" s="146"/>
      <c r="FFB71" s="146"/>
      <c r="FFC71" s="146"/>
      <c r="FFD71" s="146"/>
      <c r="FFE71" s="146"/>
      <c r="FFF71" s="146"/>
      <c r="FFG71" s="146"/>
      <c r="FFH71" s="146"/>
      <c r="FFI71" s="146"/>
      <c r="FFJ71" s="146"/>
      <c r="FFK71" s="146"/>
      <c r="FFL71" s="146"/>
      <c r="FFM71" s="146"/>
      <c r="FFN71" s="146"/>
      <c r="FFO71" s="146"/>
      <c r="FFP71" s="146"/>
      <c r="FFQ71" s="146"/>
      <c r="FFR71" s="146"/>
      <c r="FFS71" s="146"/>
      <c r="FFT71" s="146"/>
      <c r="FFU71" s="146"/>
      <c r="FFV71" s="146"/>
      <c r="FFW71" s="146"/>
      <c r="FFX71" s="146"/>
      <c r="FFY71" s="146"/>
      <c r="FFZ71" s="146"/>
      <c r="FGA71" s="146"/>
      <c r="FGB71" s="146"/>
      <c r="FGC71" s="146"/>
      <c r="FGD71" s="146"/>
      <c r="FGE71" s="146"/>
      <c r="FGF71" s="146"/>
      <c r="FGG71" s="146"/>
      <c r="FGH71" s="146"/>
      <c r="FGI71" s="146"/>
      <c r="FGJ71" s="146"/>
      <c r="FGK71" s="146"/>
      <c r="FGL71" s="146"/>
      <c r="FGM71" s="146"/>
      <c r="FGN71" s="146"/>
      <c r="FGO71" s="146"/>
      <c r="FGP71" s="146"/>
      <c r="FGQ71" s="146"/>
      <c r="FGR71" s="146"/>
      <c r="FGS71" s="146"/>
      <c r="FGT71" s="146"/>
      <c r="FGU71" s="146"/>
      <c r="FGV71" s="146"/>
      <c r="FGW71" s="146"/>
      <c r="FGX71" s="146"/>
      <c r="FGY71" s="146"/>
      <c r="FGZ71" s="146"/>
      <c r="FHA71" s="146"/>
      <c r="FHB71" s="146"/>
      <c r="FHC71" s="146"/>
      <c r="FHD71" s="146"/>
      <c r="FHE71" s="146"/>
      <c r="FHF71" s="146"/>
      <c r="FHG71" s="146"/>
      <c r="FHH71" s="146"/>
      <c r="FHI71" s="146"/>
      <c r="FHJ71" s="146"/>
      <c r="FHK71" s="146"/>
      <c r="FHL71" s="146"/>
      <c r="FHM71" s="146"/>
      <c r="FHN71" s="146"/>
      <c r="FHO71" s="146"/>
      <c r="FHP71" s="146"/>
      <c r="FHQ71" s="146"/>
      <c r="FHR71" s="146"/>
      <c r="FHS71" s="146"/>
      <c r="FHT71" s="146"/>
      <c r="FHU71" s="146"/>
      <c r="FHV71" s="146"/>
      <c r="FHW71" s="146"/>
      <c r="FHX71" s="146"/>
      <c r="FHY71" s="146"/>
      <c r="FHZ71" s="146"/>
      <c r="FIA71" s="146"/>
      <c r="FIB71" s="146"/>
      <c r="FIC71" s="146"/>
      <c r="FID71" s="146"/>
      <c r="FIE71" s="146"/>
      <c r="FIF71" s="146"/>
      <c r="FIG71" s="146"/>
      <c r="FIH71" s="146"/>
      <c r="FII71" s="146"/>
      <c r="FIJ71" s="146"/>
      <c r="FIK71" s="146"/>
      <c r="FIL71" s="146"/>
      <c r="FIM71" s="146"/>
      <c r="FIN71" s="146"/>
      <c r="FIO71" s="146"/>
      <c r="FIP71" s="146"/>
      <c r="FIQ71" s="146"/>
      <c r="FIR71" s="146"/>
      <c r="FIS71" s="146"/>
      <c r="FIT71" s="146"/>
      <c r="FIU71" s="146"/>
      <c r="FIV71" s="146"/>
      <c r="FIW71" s="146"/>
      <c r="FIX71" s="146"/>
      <c r="FIY71" s="146"/>
      <c r="FIZ71" s="146"/>
      <c r="FJA71" s="146"/>
      <c r="FJB71" s="146"/>
      <c r="FJC71" s="146"/>
      <c r="FJD71" s="146"/>
      <c r="FJE71" s="146"/>
      <c r="FJF71" s="146"/>
      <c r="FJG71" s="146"/>
      <c r="FJH71" s="146"/>
      <c r="FJI71" s="146"/>
      <c r="FJJ71" s="146"/>
      <c r="FJK71" s="146"/>
      <c r="FJL71" s="146"/>
      <c r="FJM71" s="146"/>
      <c r="FJN71" s="146"/>
      <c r="FJO71" s="146"/>
      <c r="FJP71" s="146"/>
      <c r="FJQ71" s="146"/>
      <c r="FJR71" s="146"/>
      <c r="FJS71" s="146"/>
      <c r="FJT71" s="146"/>
      <c r="FJU71" s="146"/>
      <c r="FJV71" s="146"/>
      <c r="FJW71" s="146"/>
      <c r="FJX71" s="146"/>
      <c r="FJY71" s="146"/>
      <c r="FJZ71" s="146"/>
      <c r="FKA71" s="146"/>
      <c r="FKB71" s="146"/>
      <c r="FKC71" s="146"/>
      <c r="FKD71" s="146"/>
      <c r="FKE71" s="146"/>
      <c r="FKF71" s="146"/>
      <c r="FKG71" s="146"/>
      <c r="FKH71" s="146"/>
      <c r="FKI71" s="146"/>
      <c r="FKJ71" s="146"/>
      <c r="FKK71" s="146"/>
      <c r="FKL71" s="146"/>
      <c r="FKM71" s="146"/>
      <c r="FKN71" s="146"/>
      <c r="FKO71" s="146"/>
      <c r="FKP71" s="146"/>
      <c r="FKQ71" s="146"/>
      <c r="FKR71" s="146"/>
      <c r="FKS71" s="146"/>
      <c r="FKT71" s="146"/>
      <c r="FKU71" s="146"/>
      <c r="FKV71" s="146"/>
      <c r="FKW71" s="146"/>
      <c r="FKX71" s="146"/>
      <c r="FKY71" s="146"/>
      <c r="FKZ71" s="146"/>
      <c r="FLA71" s="146"/>
      <c r="FLB71" s="146"/>
      <c r="FLC71" s="146"/>
      <c r="FLD71" s="146"/>
      <c r="FLE71" s="146"/>
      <c r="FLF71" s="146"/>
      <c r="FLG71" s="146"/>
      <c r="FLH71" s="146"/>
      <c r="FLI71" s="146"/>
      <c r="FLJ71" s="146"/>
      <c r="FLK71" s="146"/>
      <c r="FLL71" s="146"/>
      <c r="FLM71" s="146"/>
      <c r="FLN71" s="146"/>
      <c r="FLO71" s="146"/>
      <c r="FLP71" s="146"/>
      <c r="FLQ71" s="146"/>
      <c r="FLR71" s="146"/>
      <c r="FLS71" s="146"/>
      <c r="FLT71" s="146"/>
      <c r="FLU71" s="146"/>
      <c r="FLV71" s="146"/>
      <c r="FLW71" s="146"/>
      <c r="FLX71" s="146"/>
      <c r="FLY71" s="146"/>
      <c r="FLZ71" s="146"/>
      <c r="FMA71" s="146"/>
      <c r="FMB71" s="146"/>
      <c r="FMC71" s="146"/>
      <c r="FMD71" s="146"/>
      <c r="FME71" s="146"/>
      <c r="FMF71" s="146"/>
      <c r="FMG71" s="146"/>
      <c r="FMH71" s="146"/>
      <c r="FMI71" s="146"/>
      <c r="FMJ71" s="146"/>
      <c r="FMK71" s="146"/>
      <c r="FML71" s="146"/>
      <c r="FMM71" s="146"/>
      <c r="FMN71" s="146"/>
      <c r="FMO71" s="146"/>
      <c r="FMP71" s="146"/>
      <c r="FMQ71" s="146"/>
      <c r="FMR71" s="146"/>
      <c r="FMS71" s="146"/>
      <c r="FMT71" s="146"/>
      <c r="FMU71" s="146"/>
      <c r="FMV71" s="146"/>
      <c r="FMW71" s="146"/>
      <c r="FMX71" s="146"/>
      <c r="FMY71" s="146"/>
      <c r="FMZ71" s="146"/>
      <c r="FNA71" s="146"/>
      <c r="FNB71" s="146"/>
      <c r="FNC71" s="146"/>
      <c r="FND71" s="146"/>
      <c r="FNE71" s="146"/>
      <c r="FNF71" s="146"/>
      <c r="FNG71" s="146"/>
      <c r="FNH71" s="146"/>
      <c r="FNI71" s="146"/>
      <c r="FNJ71" s="146"/>
      <c r="FNK71" s="146"/>
      <c r="FNL71" s="146"/>
      <c r="FNM71" s="146"/>
      <c r="FNN71" s="146"/>
      <c r="FNO71" s="146"/>
      <c r="FNP71" s="146"/>
      <c r="FNQ71" s="146"/>
      <c r="FNR71" s="146"/>
      <c r="FNS71" s="146"/>
      <c r="FNT71" s="146"/>
      <c r="FNU71" s="146"/>
      <c r="FNV71" s="146"/>
      <c r="FNW71" s="146"/>
      <c r="FNX71" s="146"/>
      <c r="FNY71" s="146"/>
      <c r="FNZ71" s="146"/>
      <c r="FOA71" s="146"/>
      <c r="FOB71" s="146"/>
      <c r="FOC71" s="146"/>
      <c r="FOD71" s="146"/>
      <c r="FOE71" s="146"/>
      <c r="FOF71" s="146"/>
      <c r="FOG71" s="146"/>
      <c r="FOH71" s="146"/>
      <c r="FOI71" s="146"/>
      <c r="FOJ71" s="146"/>
      <c r="FOK71" s="146"/>
      <c r="FOL71" s="146"/>
      <c r="FOM71" s="146"/>
      <c r="FON71" s="146"/>
      <c r="FOO71" s="146"/>
      <c r="FOP71" s="146"/>
      <c r="FOQ71" s="146"/>
      <c r="FOR71" s="146"/>
      <c r="FOS71" s="146"/>
      <c r="FOT71" s="146"/>
      <c r="FOU71" s="146"/>
      <c r="FOV71" s="146"/>
      <c r="FOW71" s="146"/>
      <c r="FOX71" s="146"/>
      <c r="FOY71" s="146"/>
      <c r="FOZ71" s="146"/>
      <c r="FPA71" s="146"/>
      <c r="FPB71" s="146"/>
      <c r="FPC71" s="146"/>
      <c r="FPD71" s="146"/>
      <c r="FPE71" s="146"/>
      <c r="FPF71" s="146"/>
      <c r="FPG71" s="146"/>
      <c r="FPH71" s="146"/>
      <c r="FPI71" s="146"/>
      <c r="FPJ71" s="146"/>
      <c r="FPK71" s="146"/>
      <c r="FPL71" s="146"/>
      <c r="FPM71" s="146"/>
      <c r="FPN71" s="146"/>
      <c r="FPO71" s="146"/>
      <c r="FPP71" s="146"/>
      <c r="FPQ71" s="146"/>
      <c r="FPR71" s="146"/>
      <c r="FPS71" s="146"/>
      <c r="FPT71" s="146"/>
      <c r="FPU71" s="146"/>
      <c r="FPV71" s="146"/>
      <c r="FPW71" s="146"/>
      <c r="FPX71" s="146"/>
      <c r="FPY71" s="146"/>
      <c r="FPZ71" s="146"/>
      <c r="FQA71" s="146"/>
      <c r="FQB71" s="146"/>
      <c r="FQC71" s="146"/>
      <c r="FQD71" s="146"/>
      <c r="FQE71" s="146"/>
      <c r="FQF71" s="146"/>
      <c r="FQG71" s="146"/>
      <c r="FQH71" s="146"/>
      <c r="FQI71" s="146"/>
      <c r="FQJ71" s="146"/>
      <c r="FQK71" s="146"/>
      <c r="FQL71" s="146"/>
      <c r="FQM71" s="146"/>
      <c r="FQN71" s="146"/>
      <c r="FQO71" s="146"/>
      <c r="FQP71" s="146"/>
      <c r="FQQ71" s="146"/>
      <c r="FQR71" s="146"/>
      <c r="FQS71" s="146"/>
      <c r="FQT71" s="146"/>
      <c r="FQU71" s="146"/>
      <c r="FQV71" s="146"/>
      <c r="FQW71" s="146"/>
      <c r="FQX71" s="146"/>
      <c r="FQY71" s="146"/>
      <c r="FQZ71" s="146"/>
      <c r="FRA71" s="146"/>
      <c r="FRB71" s="146"/>
      <c r="FRC71" s="146"/>
      <c r="FRD71" s="146"/>
      <c r="FRE71" s="146"/>
      <c r="FRF71" s="146"/>
      <c r="FRG71" s="146"/>
      <c r="FRH71" s="146"/>
      <c r="FRI71" s="146"/>
      <c r="FRJ71" s="146"/>
      <c r="FRK71" s="146"/>
      <c r="FRL71" s="146"/>
      <c r="FRM71" s="146"/>
      <c r="FRN71" s="146"/>
      <c r="FRO71" s="146"/>
      <c r="FRP71" s="146"/>
      <c r="FRQ71" s="146"/>
      <c r="FRR71" s="146"/>
      <c r="FRS71" s="146"/>
      <c r="FRT71" s="146"/>
      <c r="FRU71" s="146"/>
      <c r="FRV71" s="146"/>
      <c r="FRW71" s="146"/>
      <c r="FRX71" s="146"/>
      <c r="FRY71" s="146"/>
      <c r="FRZ71" s="146"/>
      <c r="FSA71" s="146"/>
      <c r="FSB71" s="146"/>
      <c r="FSC71" s="146"/>
      <c r="FSD71" s="146"/>
      <c r="FSE71" s="146"/>
      <c r="FSF71" s="146"/>
      <c r="FSG71" s="146"/>
      <c r="FSH71" s="146"/>
      <c r="FSI71" s="146"/>
      <c r="FSJ71" s="146"/>
      <c r="FSK71" s="146"/>
      <c r="FSL71" s="146"/>
      <c r="FSM71" s="146"/>
      <c r="FSN71" s="146"/>
      <c r="FSO71" s="146"/>
      <c r="FSP71" s="146"/>
      <c r="FSQ71" s="146"/>
      <c r="FSR71" s="146"/>
      <c r="FSS71" s="146"/>
      <c r="FST71" s="146"/>
      <c r="FSU71" s="146"/>
      <c r="FSV71" s="146"/>
      <c r="FSW71" s="146"/>
      <c r="FSX71" s="146"/>
      <c r="FSY71" s="146"/>
      <c r="FSZ71" s="146"/>
      <c r="FTA71" s="146"/>
      <c r="FTB71" s="146"/>
      <c r="FTC71" s="146"/>
      <c r="FTD71" s="146"/>
      <c r="FTE71" s="146"/>
      <c r="FTF71" s="146"/>
      <c r="FTG71" s="146"/>
      <c r="FTH71" s="146"/>
      <c r="FTI71" s="146"/>
      <c r="FTJ71" s="146"/>
      <c r="FTK71" s="146"/>
      <c r="FTL71" s="146"/>
      <c r="FTM71" s="146"/>
      <c r="FTN71" s="146"/>
      <c r="FTO71" s="146"/>
      <c r="FTP71" s="146"/>
      <c r="FTQ71" s="146"/>
      <c r="FTR71" s="146"/>
      <c r="FTS71" s="146"/>
      <c r="FTT71" s="146"/>
      <c r="FTU71" s="146"/>
      <c r="FTV71" s="146"/>
      <c r="FTW71" s="146"/>
      <c r="FTX71" s="146"/>
      <c r="FTY71" s="146"/>
      <c r="FTZ71" s="146"/>
      <c r="FUA71" s="146"/>
      <c r="FUB71" s="146"/>
      <c r="FUC71" s="146"/>
      <c r="FUD71" s="146"/>
      <c r="FUE71" s="146"/>
      <c r="FUF71" s="146"/>
      <c r="FUG71" s="146"/>
      <c r="FUH71" s="146"/>
      <c r="FUI71" s="146"/>
      <c r="FUJ71" s="146"/>
      <c r="FUK71" s="146"/>
      <c r="FUL71" s="146"/>
      <c r="FUM71" s="146"/>
      <c r="FUN71" s="146"/>
      <c r="FUO71" s="146"/>
      <c r="FUP71" s="146"/>
      <c r="FUQ71" s="146"/>
      <c r="FUR71" s="146"/>
      <c r="FUS71" s="146"/>
      <c r="FUT71" s="146"/>
      <c r="FUU71" s="146"/>
      <c r="FUV71" s="146"/>
      <c r="FUW71" s="146"/>
      <c r="FUX71" s="146"/>
      <c r="FUY71" s="146"/>
      <c r="FUZ71" s="146"/>
      <c r="FVA71" s="146"/>
      <c r="FVB71" s="146"/>
      <c r="FVC71" s="146"/>
      <c r="FVD71" s="146"/>
      <c r="FVE71" s="146"/>
      <c r="FVF71" s="146"/>
      <c r="FVG71" s="146"/>
      <c r="FVH71" s="146"/>
      <c r="FVI71" s="146"/>
      <c r="FVJ71" s="146"/>
      <c r="FVK71" s="146"/>
      <c r="FVL71" s="146"/>
      <c r="FVM71" s="146"/>
      <c r="FVN71" s="146"/>
      <c r="FVO71" s="146"/>
      <c r="FVP71" s="146"/>
      <c r="FVQ71" s="146"/>
      <c r="FVR71" s="146"/>
      <c r="FVS71" s="146"/>
      <c r="FVT71" s="146"/>
      <c r="FVU71" s="146"/>
      <c r="FVV71" s="146"/>
      <c r="FVW71" s="146"/>
      <c r="FVX71" s="146"/>
      <c r="FVY71" s="146"/>
      <c r="FVZ71" s="146"/>
      <c r="FWA71" s="146"/>
      <c r="FWB71" s="146"/>
      <c r="FWC71" s="146"/>
      <c r="FWD71" s="146"/>
      <c r="FWE71" s="146"/>
      <c r="FWF71" s="146"/>
      <c r="FWG71" s="146"/>
      <c r="FWH71" s="146"/>
      <c r="FWI71" s="146"/>
      <c r="FWJ71" s="146"/>
      <c r="FWK71" s="146"/>
      <c r="FWL71" s="146"/>
      <c r="FWM71" s="146"/>
      <c r="FWN71" s="146"/>
      <c r="FWO71" s="146"/>
      <c r="FWP71" s="146"/>
      <c r="FWQ71" s="146"/>
      <c r="FWR71" s="146"/>
      <c r="FWS71" s="146"/>
      <c r="FWT71" s="146"/>
      <c r="FWU71" s="146"/>
      <c r="FWV71" s="146"/>
      <c r="FWW71" s="146"/>
      <c r="FWX71" s="146"/>
      <c r="FWY71" s="146"/>
      <c r="FWZ71" s="146"/>
      <c r="FXA71" s="146"/>
      <c r="FXB71" s="146"/>
      <c r="FXC71" s="146"/>
      <c r="FXD71" s="146"/>
      <c r="FXE71" s="146"/>
      <c r="FXF71" s="146"/>
      <c r="FXG71" s="146"/>
      <c r="FXH71" s="146"/>
      <c r="FXI71" s="146"/>
      <c r="FXJ71" s="146"/>
      <c r="FXK71" s="146"/>
      <c r="FXL71" s="146"/>
      <c r="FXM71" s="146"/>
      <c r="FXN71" s="146"/>
      <c r="FXO71" s="146"/>
      <c r="FXP71" s="146"/>
      <c r="FXQ71" s="146"/>
      <c r="FXR71" s="146"/>
      <c r="FXS71" s="146"/>
      <c r="FXT71" s="146"/>
      <c r="FXU71" s="146"/>
      <c r="FXV71" s="146"/>
      <c r="FXW71" s="146"/>
      <c r="FXX71" s="146"/>
      <c r="FXY71" s="146"/>
      <c r="FXZ71" s="146"/>
      <c r="FYA71" s="146"/>
      <c r="FYB71" s="146"/>
      <c r="FYC71" s="146"/>
      <c r="FYD71" s="146"/>
      <c r="FYE71" s="146"/>
      <c r="FYF71" s="146"/>
      <c r="FYG71" s="146"/>
      <c r="FYH71" s="146"/>
      <c r="FYI71" s="146"/>
      <c r="FYJ71" s="146"/>
      <c r="FYK71" s="146"/>
      <c r="FYL71" s="146"/>
      <c r="FYM71" s="146"/>
      <c r="FYN71" s="146"/>
      <c r="FYO71" s="146"/>
      <c r="FYP71" s="146"/>
      <c r="FYQ71" s="146"/>
      <c r="FYR71" s="146"/>
      <c r="FYS71" s="146"/>
      <c r="FYT71" s="146"/>
      <c r="FYU71" s="146"/>
      <c r="FYV71" s="146"/>
      <c r="FYW71" s="146"/>
      <c r="FYX71" s="146"/>
      <c r="FYY71" s="146"/>
      <c r="FYZ71" s="146"/>
      <c r="FZA71" s="146"/>
      <c r="FZB71" s="146"/>
      <c r="FZC71" s="146"/>
      <c r="FZD71" s="146"/>
      <c r="FZE71" s="146"/>
      <c r="FZF71" s="146"/>
      <c r="FZG71" s="146"/>
      <c r="FZH71" s="146"/>
      <c r="FZI71" s="146"/>
      <c r="FZJ71" s="146"/>
      <c r="FZK71" s="146"/>
      <c r="FZL71" s="146"/>
      <c r="FZM71" s="146"/>
      <c r="FZN71" s="146"/>
      <c r="FZO71" s="146"/>
      <c r="FZP71" s="146"/>
      <c r="FZQ71" s="146"/>
      <c r="FZR71" s="146"/>
      <c r="FZS71" s="146"/>
      <c r="FZT71" s="146"/>
      <c r="FZU71" s="146"/>
      <c r="FZV71" s="146"/>
      <c r="FZW71" s="146"/>
      <c r="FZX71" s="146"/>
      <c r="FZY71" s="146"/>
      <c r="FZZ71" s="146"/>
      <c r="GAA71" s="146"/>
      <c r="GAB71" s="146"/>
      <c r="GAC71" s="146"/>
      <c r="GAD71" s="146"/>
      <c r="GAE71" s="146"/>
      <c r="GAF71" s="146"/>
      <c r="GAG71" s="146"/>
      <c r="GAH71" s="146"/>
      <c r="GAI71" s="146"/>
      <c r="GAJ71" s="146"/>
      <c r="GAK71" s="146"/>
      <c r="GAL71" s="146"/>
      <c r="GAM71" s="146"/>
      <c r="GAN71" s="146"/>
      <c r="GAO71" s="146"/>
      <c r="GAP71" s="146"/>
      <c r="GAQ71" s="146"/>
      <c r="GAR71" s="146"/>
      <c r="GAS71" s="146"/>
      <c r="GAT71" s="146"/>
      <c r="GAU71" s="146"/>
      <c r="GAV71" s="146"/>
      <c r="GAW71" s="146"/>
      <c r="GAX71" s="146"/>
      <c r="GAY71" s="146"/>
      <c r="GAZ71" s="146"/>
      <c r="GBA71" s="146"/>
      <c r="GBB71" s="146"/>
      <c r="GBC71" s="146"/>
      <c r="GBD71" s="146"/>
      <c r="GBE71" s="146"/>
      <c r="GBF71" s="146"/>
      <c r="GBG71" s="146"/>
      <c r="GBH71" s="146"/>
      <c r="GBI71" s="146"/>
      <c r="GBJ71" s="146"/>
      <c r="GBK71" s="146"/>
      <c r="GBL71" s="146"/>
      <c r="GBM71" s="146"/>
      <c r="GBN71" s="146"/>
      <c r="GBO71" s="146"/>
      <c r="GBP71" s="146"/>
      <c r="GBQ71" s="146"/>
      <c r="GBR71" s="146"/>
      <c r="GBS71" s="146"/>
      <c r="GBT71" s="146"/>
      <c r="GBU71" s="146"/>
      <c r="GBV71" s="146"/>
      <c r="GBW71" s="146"/>
      <c r="GBX71" s="146"/>
      <c r="GBY71" s="146"/>
      <c r="GBZ71" s="146"/>
      <c r="GCA71" s="146"/>
      <c r="GCB71" s="146"/>
      <c r="GCC71" s="146"/>
      <c r="GCD71" s="146"/>
      <c r="GCE71" s="146"/>
      <c r="GCF71" s="146"/>
      <c r="GCG71" s="146"/>
      <c r="GCH71" s="146"/>
      <c r="GCI71" s="146"/>
      <c r="GCJ71" s="146"/>
      <c r="GCK71" s="146"/>
      <c r="GCL71" s="146"/>
      <c r="GCM71" s="146"/>
      <c r="GCN71" s="146"/>
      <c r="GCO71" s="146"/>
      <c r="GCP71" s="146"/>
      <c r="GCQ71" s="146"/>
      <c r="GCR71" s="146"/>
      <c r="GCS71" s="146"/>
      <c r="GCT71" s="146"/>
      <c r="GCU71" s="146"/>
      <c r="GCV71" s="146"/>
      <c r="GCW71" s="146"/>
      <c r="GCX71" s="146"/>
      <c r="GCY71" s="146"/>
      <c r="GCZ71" s="146"/>
      <c r="GDA71" s="146"/>
      <c r="GDB71" s="146"/>
      <c r="GDC71" s="146"/>
      <c r="GDD71" s="146"/>
      <c r="GDE71" s="146"/>
      <c r="GDF71" s="146"/>
      <c r="GDG71" s="146"/>
      <c r="GDH71" s="146"/>
      <c r="GDI71" s="146"/>
      <c r="GDJ71" s="146"/>
      <c r="GDK71" s="146"/>
      <c r="GDL71" s="146"/>
      <c r="GDM71" s="146"/>
      <c r="GDN71" s="146"/>
      <c r="GDO71" s="146"/>
      <c r="GDP71" s="146"/>
      <c r="GDQ71" s="146"/>
      <c r="GDR71" s="146"/>
      <c r="GDS71" s="146"/>
      <c r="GDT71" s="146"/>
      <c r="GDU71" s="146"/>
      <c r="GDV71" s="146"/>
      <c r="GDW71" s="146"/>
      <c r="GDX71" s="146"/>
      <c r="GDY71" s="146"/>
      <c r="GDZ71" s="146"/>
      <c r="GEA71" s="146"/>
      <c r="GEB71" s="146"/>
      <c r="GEC71" s="146"/>
      <c r="GED71" s="146"/>
      <c r="GEE71" s="146"/>
      <c r="GEF71" s="146"/>
      <c r="GEG71" s="146"/>
      <c r="GEH71" s="146"/>
      <c r="GEI71" s="146"/>
      <c r="GEJ71" s="146"/>
      <c r="GEK71" s="146"/>
      <c r="GEL71" s="146"/>
      <c r="GEM71" s="146"/>
      <c r="GEN71" s="146"/>
      <c r="GEO71" s="146"/>
      <c r="GEP71" s="146"/>
      <c r="GEQ71" s="146"/>
      <c r="GER71" s="146"/>
      <c r="GES71" s="146"/>
      <c r="GET71" s="146"/>
      <c r="GEU71" s="146"/>
      <c r="GEV71" s="146"/>
      <c r="GEW71" s="146"/>
      <c r="GEX71" s="146"/>
      <c r="GEY71" s="146"/>
      <c r="GEZ71" s="146"/>
      <c r="GFA71" s="146"/>
      <c r="GFB71" s="146"/>
      <c r="GFC71" s="146"/>
      <c r="GFD71" s="146"/>
      <c r="GFE71" s="146"/>
      <c r="GFF71" s="146"/>
      <c r="GFG71" s="146"/>
      <c r="GFH71" s="146"/>
      <c r="GFI71" s="146"/>
      <c r="GFJ71" s="146"/>
      <c r="GFK71" s="146"/>
      <c r="GFL71" s="146"/>
      <c r="GFM71" s="146"/>
      <c r="GFN71" s="146"/>
      <c r="GFO71" s="146"/>
      <c r="GFP71" s="146"/>
      <c r="GFQ71" s="146"/>
      <c r="GFR71" s="146"/>
      <c r="GFS71" s="146"/>
      <c r="GFT71" s="146"/>
      <c r="GFU71" s="146"/>
      <c r="GFV71" s="146"/>
      <c r="GFW71" s="146"/>
      <c r="GFX71" s="146"/>
      <c r="GFY71" s="146"/>
      <c r="GFZ71" s="146"/>
      <c r="GGA71" s="146"/>
      <c r="GGB71" s="146"/>
      <c r="GGC71" s="146"/>
      <c r="GGD71" s="146"/>
      <c r="GGE71" s="146"/>
      <c r="GGF71" s="146"/>
      <c r="GGG71" s="146"/>
      <c r="GGH71" s="146"/>
      <c r="GGI71" s="146"/>
      <c r="GGJ71" s="146"/>
      <c r="GGK71" s="146"/>
      <c r="GGL71" s="146"/>
      <c r="GGM71" s="146"/>
      <c r="GGN71" s="146"/>
      <c r="GGO71" s="146"/>
      <c r="GGP71" s="146"/>
      <c r="GGQ71" s="146"/>
      <c r="GGR71" s="146"/>
      <c r="GGS71" s="146"/>
      <c r="GGT71" s="146"/>
      <c r="GGU71" s="146"/>
      <c r="GGV71" s="146"/>
      <c r="GGW71" s="146"/>
      <c r="GGX71" s="146"/>
      <c r="GGY71" s="146"/>
      <c r="GGZ71" s="146"/>
      <c r="GHA71" s="146"/>
      <c r="GHB71" s="146"/>
      <c r="GHC71" s="146"/>
      <c r="GHD71" s="146"/>
      <c r="GHE71" s="146"/>
      <c r="GHF71" s="146"/>
      <c r="GHG71" s="146"/>
      <c r="GHH71" s="146"/>
      <c r="GHI71" s="146"/>
      <c r="GHJ71" s="146"/>
      <c r="GHK71" s="146"/>
      <c r="GHL71" s="146"/>
      <c r="GHM71" s="146"/>
      <c r="GHN71" s="146"/>
      <c r="GHO71" s="146"/>
      <c r="GHP71" s="146"/>
      <c r="GHQ71" s="146"/>
      <c r="GHR71" s="146"/>
      <c r="GHS71" s="146"/>
      <c r="GHT71" s="146"/>
      <c r="GHU71" s="146"/>
      <c r="GHV71" s="146"/>
      <c r="GHW71" s="146"/>
      <c r="GHX71" s="146"/>
      <c r="GHY71" s="146"/>
      <c r="GHZ71" s="146"/>
      <c r="GIA71" s="146"/>
      <c r="GIB71" s="146"/>
      <c r="GIC71" s="146"/>
      <c r="GID71" s="146"/>
      <c r="GIE71" s="146"/>
      <c r="GIF71" s="146"/>
      <c r="GIG71" s="146"/>
      <c r="GIH71" s="146"/>
      <c r="GII71" s="146"/>
      <c r="GIJ71" s="146"/>
      <c r="GIK71" s="146"/>
      <c r="GIL71" s="146"/>
      <c r="GIM71" s="146"/>
      <c r="GIN71" s="146"/>
      <c r="GIO71" s="146"/>
      <c r="GIP71" s="146"/>
      <c r="GIQ71" s="146"/>
      <c r="GIR71" s="146"/>
      <c r="GIS71" s="146"/>
      <c r="GIT71" s="146"/>
      <c r="GIU71" s="146"/>
      <c r="GIV71" s="146"/>
      <c r="GIW71" s="146"/>
      <c r="GIX71" s="146"/>
      <c r="GIY71" s="146"/>
      <c r="GIZ71" s="146"/>
      <c r="GJA71" s="146"/>
      <c r="GJB71" s="146"/>
      <c r="GJC71" s="146"/>
      <c r="GJD71" s="146"/>
      <c r="GJE71" s="146"/>
      <c r="GJF71" s="146"/>
      <c r="GJG71" s="146"/>
      <c r="GJH71" s="146"/>
      <c r="GJI71" s="146"/>
      <c r="GJJ71" s="146"/>
      <c r="GJK71" s="146"/>
      <c r="GJL71" s="146"/>
      <c r="GJM71" s="146"/>
      <c r="GJN71" s="146"/>
      <c r="GJO71" s="146"/>
      <c r="GJP71" s="146"/>
      <c r="GJQ71" s="146"/>
      <c r="GJR71" s="146"/>
      <c r="GJS71" s="146"/>
      <c r="GJT71" s="146"/>
      <c r="GJU71" s="146"/>
      <c r="GJV71" s="146"/>
      <c r="GJW71" s="146"/>
      <c r="GJX71" s="146"/>
      <c r="GJY71" s="146"/>
      <c r="GJZ71" s="146"/>
      <c r="GKA71" s="146"/>
      <c r="GKB71" s="146"/>
      <c r="GKC71" s="146"/>
      <c r="GKD71" s="146"/>
      <c r="GKE71" s="146"/>
      <c r="GKF71" s="146"/>
      <c r="GKG71" s="146"/>
      <c r="GKH71" s="146"/>
      <c r="GKI71" s="146"/>
      <c r="GKJ71" s="146"/>
      <c r="GKK71" s="146"/>
      <c r="GKL71" s="146"/>
      <c r="GKM71" s="146"/>
      <c r="GKN71" s="146"/>
      <c r="GKO71" s="146"/>
      <c r="GKP71" s="146"/>
      <c r="GKQ71" s="146"/>
      <c r="GKR71" s="146"/>
      <c r="GKS71" s="146"/>
      <c r="GKT71" s="146"/>
      <c r="GKU71" s="146"/>
      <c r="GKV71" s="146"/>
      <c r="GKW71" s="146"/>
      <c r="GKX71" s="146"/>
      <c r="GKY71" s="146"/>
      <c r="GKZ71" s="146"/>
      <c r="GLA71" s="146"/>
      <c r="GLB71" s="146"/>
      <c r="GLC71" s="146"/>
      <c r="GLD71" s="146"/>
      <c r="GLE71" s="146"/>
      <c r="GLF71" s="146"/>
      <c r="GLG71" s="146"/>
      <c r="GLH71" s="146"/>
      <c r="GLI71" s="146"/>
      <c r="GLJ71" s="146"/>
      <c r="GLK71" s="146"/>
      <c r="GLL71" s="146"/>
      <c r="GLM71" s="146"/>
      <c r="GLN71" s="146"/>
      <c r="GLO71" s="146"/>
      <c r="GLP71" s="146"/>
      <c r="GLQ71" s="146"/>
      <c r="GLR71" s="146"/>
      <c r="GLS71" s="146"/>
      <c r="GLT71" s="146"/>
      <c r="GLU71" s="146"/>
      <c r="GLV71" s="146"/>
      <c r="GLW71" s="146"/>
      <c r="GLX71" s="146"/>
      <c r="GLY71" s="146"/>
      <c r="GLZ71" s="146"/>
      <c r="GMA71" s="146"/>
      <c r="GMB71" s="146"/>
      <c r="GMC71" s="146"/>
      <c r="GMD71" s="146"/>
      <c r="GME71" s="146"/>
      <c r="GMF71" s="146"/>
      <c r="GMG71" s="146"/>
      <c r="GMH71" s="146"/>
      <c r="GMI71" s="146"/>
      <c r="GMJ71" s="146"/>
      <c r="GMK71" s="146"/>
      <c r="GML71" s="146"/>
      <c r="GMM71" s="146"/>
      <c r="GMN71" s="146"/>
      <c r="GMO71" s="146"/>
      <c r="GMP71" s="146"/>
      <c r="GMQ71" s="146"/>
      <c r="GMR71" s="146"/>
      <c r="GMS71" s="146"/>
      <c r="GMT71" s="146"/>
      <c r="GMU71" s="146"/>
      <c r="GMV71" s="146"/>
      <c r="GMW71" s="146"/>
      <c r="GMX71" s="146"/>
      <c r="GMY71" s="146"/>
      <c r="GMZ71" s="146"/>
      <c r="GNA71" s="146"/>
      <c r="GNB71" s="146"/>
      <c r="GNC71" s="146"/>
      <c r="GND71" s="146"/>
      <c r="GNE71" s="146"/>
      <c r="GNF71" s="146"/>
      <c r="GNG71" s="146"/>
      <c r="GNH71" s="146"/>
      <c r="GNI71" s="146"/>
      <c r="GNJ71" s="146"/>
      <c r="GNK71" s="146"/>
      <c r="GNL71" s="146"/>
      <c r="GNM71" s="146"/>
      <c r="GNN71" s="146"/>
      <c r="GNO71" s="146"/>
      <c r="GNP71" s="146"/>
      <c r="GNQ71" s="146"/>
      <c r="GNR71" s="146"/>
      <c r="GNS71" s="146"/>
      <c r="GNT71" s="146"/>
      <c r="GNU71" s="146"/>
      <c r="GNV71" s="146"/>
      <c r="GNW71" s="146"/>
      <c r="GNX71" s="146"/>
      <c r="GNY71" s="146"/>
      <c r="GNZ71" s="146"/>
      <c r="GOA71" s="146"/>
      <c r="GOB71" s="146"/>
      <c r="GOC71" s="146"/>
      <c r="GOD71" s="146"/>
      <c r="GOE71" s="146"/>
      <c r="GOF71" s="146"/>
      <c r="GOG71" s="146"/>
      <c r="GOH71" s="146"/>
      <c r="GOI71" s="146"/>
      <c r="GOJ71" s="146"/>
      <c r="GOK71" s="146"/>
      <c r="GOL71" s="146"/>
      <c r="GOM71" s="146"/>
      <c r="GON71" s="146"/>
      <c r="GOO71" s="146"/>
      <c r="GOP71" s="146"/>
      <c r="GOQ71" s="146"/>
      <c r="GOR71" s="146"/>
      <c r="GOS71" s="146"/>
      <c r="GOT71" s="146"/>
      <c r="GOU71" s="146"/>
      <c r="GOV71" s="146"/>
      <c r="GOW71" s="146"/>
      <c r="GOX71" s="146"/>
      <c r="GOY71" s="146"/>
      <c r="GOZ71" s="146"/>
      <c r="GPA71" s="146"/>
      <c r="GPB71" s="146"/>
      <c r="GPC71" s="146"/>
      <c r="GPD71" s="146"/>
      <c r="GPE71" s="146"/>
      <c r="GPF71" s="146"/>
      <c r="GPG71" s="146"/>
      <c r="GPH71" s="146"/>
      <c r="GPI71" s="146"/>
      <c r="GPJ71" s="146"/>
      <c r="GPK71" s="146"/>
      <c r="GPL71" s="146"/>
      <c r="GPM71" s="146"/>
      <c r="GPN71" s="146"/>
      <c r="GPO71" s="146"/>
      <c r="GPP71" s="146"/>
      <c r="GPQ71" s="146"/>
      <c r="GPR71" s="146"/>
      <c r="GPS71" s="146"/>
      <c r="GPT71" s="146"/>
      <c r="GPU71" s="146"/>
      <c r="GPV71" s="146"/>
      <c r="GPW71" s="146"/>
      <c r="GPX71" s="146"/>
      <c r="GPY71" s="146"/>
      <c r="GPZ71" s="146"/>
      <c r="GQA71" s="146"/>
      <c r="GQB71" s="146"/>
      <c r="GQC71" s="146"/>
      <c r="GQD71" s="146"/>
      <c r="GQE71" s="146"/>
      <c r="GQF71" s="146"/>
      <c r="GQG71" s="146"/>
      <c r="GQH71" s="146"/>
      <c r="GQI71" s="146"/>
      <c r="GQJ71" s="146"/>
      <c r="GQK71" s="146"/>
      <c r="GQL71" s="146"/>
      <c r="GQM71" s="146"/>
      <c r="GQN71" s="146"/>
      <c r="GQO71" s="146"/>
      <c r="GQP71" s="146"/>
      <c r="GQQ71" s="146"/>
      <c r="GQR71" s="146"/>
      <c r="GQS71" s="146"/>
      <c r="GQT71" s="146"/>
      <c r="GQU71" s="146"/>
      <c r="GQV71" s="146"/>
      <c r="GQW71" s="146"/>
      <c r="GQX71" s="146"/>
      <c r="GQY71" s="146"/>
      <c r="GQZ71" s="146"/>
      <c r="GRA71" s="146"/>
      <c r="GRB71" s="146"/>
      <c r="GRC71" s="146"/>
      <c r="GRD71" s="146"/>
      <c r="GRE71" s="146"/>
      <c r="GRF71" s="146"/>
      <c r="GRG71" s="146"/>
      <c r="GRH71" s="146"/>
      <c r="GRI71" s="146"/>
      <c r="GRJ71" s="146"/>
      <c r="GRK71" s="146"/>
      <c r="GRL71" s="146"/>
      <c r="GRM71" s="146"/>
      <c r="GRN71" s="146"/>
      <c r="GRO71" s="146"/>
      <c r="GRP71" s="146"/>
      <c r="GRQ71" s="146"/>
      <c r="GRR71" s="146"/>
      <c r="GRS71" s="146"/>
      <c r="GRT71" s="146"/>
      <c r="GRU71" s="146"/>
      <c r="GRV71" s="146"/>
      <c r="GRW71" s="146"/>
      <c r="GRX71" s="146"/>
      <c r="GRY71" s="146"/>
      <c r="GRZ71" s="146"/>
      <c r="GSA71" s="146"/>
      <c r="GSB71" s="146"/>
      <c r="GSC71" s="146"/>
      <c r="GSD71" s="146"/>
      <c r="GSE71" s="146"/>
      <c r="GSF71" s="146"/>
      <c r="GSG71" s="146"/>
      <c r="GSH71" s="146"/>
      <c r="GSI71" s="146"/>
      <c r="GSJ71" s="146"/>
      <c r="GSK71" s="146"/>
      <c r="GSL71" s="146"/>
      <c r="GSM71" s="146"/>
      <c r="GSN71" s="146"/>
      <c r="GSO71" s="146"/>
      <c r="GSP71" s="146"/>
      <c r="GSQ71" s="146"/>
      <c r="GSR71" s="146"/>
      <c r="GSS71" s="146"/>
      <c r="GST71" s="146"/>
      <c r="GSU71" s="146"/>
      <c r="GSV71" s="146"/>
      <c r="GSW71" s="146"/>
      <c r="GSX71" s="146"/>
      <c r="GSY71" s="146"/>
      <c r="GSZ71" s="146"/>
      <c r="GTA71" s="146"/>
      <c r="GTB71" s="146"/>
      <c r="GTC71" s="146"/>
      <c r="GTD71" s="146"/>
      <c r="GTE71" s="146"/>
      <c r="GTF71" s="146"/>
      <c r="GTG71" s="146"/>
      <c r="GTH71" s="146"/>
      <c r="GTI71" s="146"/>
      <c r="GTJ71" s="146"/>
      <c r="GTK71" s="146"/>
      <c r="GTL71" s="146"/>
      <c r="GTM71" s="146"/>
      <c r="GTN71" s="146"/>
      <c r="GTO71" s="146"/>
      <c r="GTP71" s="146"/>
      <c r="GTQ71" s="146"/>
      <c r="GTR71" s="146"/>
      <c r="GTS71" s="146"/>
      <c r="GTT71" s="146"/>
      <c r="GTU71" s="146"/>
      <c r="GTV71" s="146"/>
      <c r="GTW71" s="146"/>
      <c r="GTX71" s="146"/>
      <c r="GTY71" s="146"/>
      <c r="GTZ71" s="146"/>
      <c r="GUA71" s="146"/>
      <c r="GUB71" s="146"/>
      <c r="GUC71" s="146"/>
      <c r="GUD71" s="146"/>
      <c r="GUE71" s="146"/>
      <c r="GUF71" s="146"/>
      <c r="GUG71" s="146"/>
      <c r="GUH71" s="146"/>
      <c r="GUI71" s="146"/>
      <c r="GUJ71" s="146"/>
      <c r="GUK71" s="146"/>
      <c r="GUL71" s="146"/>
      <c r="GUM71" s="146"/>
      <c r="GUN71" s="146"/>
      <c r="GUO71" s="146"/>
      <c r="GUP71" s="146"/>
      <c r="GUQ71" s="146"/>
      <c r="GUR71" s="146"/>
      <c r="GUS71" s="146"/>
      <c r="GUT71" s="146"/>
      <c r="GUU71" s="146"/>
      <c r="GUV71" s="146"/>
      <c r="GUW71" s="146"/>
      <c r="GUX71" s="146"/>
      <c r="GUY71" s="146"/>
      <c r="GUZ71" s="146"/>
      <c r="GVA71" s="146"/>
      <c r="GVB71" s="146"/>
      <c r="GVC71" s="146"/>
      <c r="GVD71" s="146"/>
      <c r="GVE71" s="146"/>
      <c r="GVF71" s="146"/>
      <c r="GVG71" s="146"/>
      <c r="GVH71" s="146"/>
      <c r="GVI71" s="146"/>
      <c r="GVJ71" s="146"/>
      <c r="GVK71" s="146"/>
      <c r="GVL71" s="146"/>
      <c r="GVM71" s="146"/>
      <c r="GVN71" s="146"/>
      <c r="GVO71" s="146"/>
      <c r="GVP71" s="146"/>
      <c r="GVQ71" s="146"/>
      <c r="GVR71" s="146"/>
      <c r="GVS71" s="146"/>
      <c r="GVT71" s="146"/>
      <c r="GVU71" s="146"/>
      <c r="GVV71" s="146"/>
      <c r="GVW71" s="146"/>
      <c r="GVX71" s="146"/>
      <c r="GVY71" s="146"/>
      <c r="GVZ71" s="146"/>
      <c r="GWA71" s="146"/>
      <c r="GWB71" s="146"/>
      <c r="GWC71" s="146"/>
      <c r="GWD71" s="146"/>
      <c r="GWE71" s="146"/>
      <c r="GWF71" s="146"/>
      <c r="GWG71" s="146"/>
      <c r="GWH71" s="146"/>
      <c r="GWI71" s="146"/>
      <c r="GWJ71" s="146"/>
      <c r="GWK71" s="146"/>
      <c r="GWL71" s="146"/>
      <c r="GWM71" s="146"/>
      <c r="GWN71" s="146"/>
      <c r="GWO71" s="146"/>
      <c r="GWP71" s="146"/>
      <c r="GWQ71" s="146"/>
      <c r="GWR71" s="146"/>
      <c r="GWS71" s="146"/>
      <c r="GWT71" s="146"/>
      <c r="GWU71" s="146"/>
      <c r="GWV71" s="146"/>
      <c r="GWW71" s="146"/>
      <c r="GWX71" s="146"/>
      <c r="GWY71" s="146"/>
      <c r="GWZ71" s="146"/>
      <c r="GXA71" s="146"/>
      <c r="GXB71" s="146"/>
      <c r="GXC71" s="146"/>
      <c r="GXD71" s="146"/>
      <c r="GXE71" s="146"/>
      <c r="GXF71" s="146"/>
      <c r="GXG71" s="146"/>
      <c r="GXH71" s="146"/>
      <c r="GXI71" s="146"/>
      <c r="GXJ71" s="146"/>
      <c r="GXK71" s="146"/>
      <c r="GXL71" s="146"/>
      <c r="GXM71" s="146"/>
      <c r="GXN71" s="146"/>
      <c r="GXO71" s="146"/>
      <c r="GXP71" s="146"/>
      <c r="GXQ71" s="146"/>
      <c r="GXR71" s="146"/>
      <c r="GXS71" s="146"/>
      <c r="GXT71" s="146"/>
      <c r="GXU71" s="146"/>
      <c r="GXV71" s="146"/>
      <c r="GXW71" s="146"/>
      <c r="GXX71" s="146"/>
      <c r="GXY71" s="146"/>
      <c r="GXZ71" s="146"/>
      <c r="GYA71" s="146"/>
      <c r="GYB71" s="146"/>
      <c r="GYC71" s="146"/>
      <c r="GYD71" s="146"/>
      <c r="GYE71" s="146"/>
      <c r="GYF71" s="146"/>
      <c r="GYG71" s="146"/>
      <c r="GYH71" s="146"/>
      <c r="GYI71" s="146"/>
      <c r="GYJ71" s="146"/>
      <c r="GYK71" s="146"/>
      <c r="GYL71" s="146"/>
      <c r="GYM71" s="146"/>
      <c r="GYN71" s="146"/>
      <c r="GYO71" s="146"/>
      <c r="GYP71" s="146"/>
      <c r="GYQ71" s="146"/>
      <c r="GYR71" s="146"/>
      <c r="GYS71" s="146"/>
      <c r="GYT71" s="146"/>
      <c r="GYU71" s="146"/>
      <c r="GYV71" s="146"/>
      <c r="GYW71" s="146"/>
      <c r="GYX71" s="146"/>
      <c r="GYY71" s="146"/>
      <c r="GYZ71" s="146"/>
      <c r="GZA71" s="146"/>
      <c r="GZB71" s="146"/>
      <c r="GZC71" s="146"/>
      <c r="GZD71" s="146"/>
      <c r="GZE71" s="146"/>
      <c r="GZF71" s="146"/>
      <c r="GZG71" s="146"/>
      <c r="GZH71" s="146"/>
      <c r="GZI71" s="146"/>
      <c r="GZJ71" s="146"/>
      <c r="GZK71" s="146"/>
      <c r="GZL71" s="146"/>
      <c r="GZM71" s="146"/>
      <c r="GZN71" s="146"/>
      <c r="GZO71" s="146"/>
      <c r="GZP71" s="146"/>
      <c r="GZQ71" s="146"/>
      <c r="GZR71" s="146"/>
      <c r="GZS71" s="146"/>
      <c r="GZT71" s="146"/>
      <c r="GZU71" s="146"/>
      <c r="GZV71" s="146"/>
      <c r="GZW71" s="146"/>
      <c r="GZX71" s="146"/>
      <c r="GZY71" s="146"/>
      <c r="GZZ71" s="146"/>
      <c r="HAA71" s="146"/>
      <c r="HAB71" s="146"/>
      <c r="HAC71" s="146"/>
      <c r="HAD71" s="146"/>
      <c r="HAE71" s="146"/>
      <c r="HAF71" s="146"/>
      <c r="HAG71" s="146"/>
      <c r="HAH71" s="146"/>
      <c r="HAI71" s="146"/>
      <c r="HAJ71" s="146"/>
      <c r="HAK71" s="146"/>
      <c r="HAL71" s="146"/>
      <c r="HAM71" s="146"/>
      <c r="HAN71" s="146"/>
      <c r="HAO71" s="146"/>
      <c r="HAP71" s="146"/>
      <c r="HAQ71" s="146"/>
      <c r="HAR71" s="146"/>
      <c r="HAS71" s="146"/>
      <c r="HAT71" s="146"/>
      <c r="HAU71" s="146"/>
      <c r="HAV71" s="146"/>
      <c r="HAW71" s="146"/>
      <c r="HAX71" s="146"/>
      <c r="HAY71" s="146"/>
      <c r="HAZ71" s="146"/>
      <c r="HBA71" s="146"/>
      <c r="HBB71" s="146"/>
      <c r="HBC71" s="146"/>
      <c r="HBD71" s="146"/>
      <c r="HBE71" s="146"/>
      <c r="HBF71" s="146"/>
      <c r="HBG71" s="146"/>
      <c r="HBH71" s="146"/>
      <c r="HBI71" s="146"/>
      <c r="HBJ71" s="146"/>
      <c r="HBK71" s="146"/>
      <c r="HBL71" s="146"/>
      <c r="HBM71" s="146"/>
      <c r="HBN71" s="146"/>
      <c r="HBO71" s="146"/>
      <c r="HBP71" s="146"/>
      <c r="HBQ71" s="146"/>
      <c r="HBR71" s="146"/>
      <c r="HBS71" s="146"/>
      <c r="HBT71" s="146"/>
      <c r="HBU71" s="146"/>
      <c r="HBV71" s="146"/>
      <c r="HBW71" s="146"/>
      <c r="HBX71" s="146"/>
      <c r="HBY71" s="146"/>
      <c r="HBZ71" s="146"/>
      <c r="HCA71" s="146"/>
      <c r="HCB71" s="146"/>
      <c r="HCC71" s="146"/>
      <c r="HCD71" s="146"/>
      <c r="HCE71" s="146"/>
      <c r="HCF71" s="146"/>
      <c r="HCG71" s="146"/>
      <c r="HCH71" s="146"/>
      <c r="HCI71" s="146"/>
      <c r="HCJ71" s="146"/>
      <c r="HCK71" s="146"/>
      <c r="HCL71" s="146"/>
      <c r="HCM71" s="146"/>
      <c r="HCN71" s="146"/>
      <c r="HCO71" s="146"/>
      <c r="HCP71" s="146"/>
      <c r="HCQ71" s="146"/>
      <c r="HCR71" s="146"/>
      <c r="HCS71" s="146"/>
      <c r="HCT71" s="146"/>
      <c r="HCU71" s="146"/>
      <c r="HCV71" s="146"/>
      <c r="HCW71" s="146"/>
      <c r="HCX71" s="146"/>
      <c r="HCY71" s="146"/>
      <c r="HCZ71" s="146"/>
      <c r="HDA71" s="146"/>
      <c r="HDB71" s="146"/>
      <c r="HDC71" s="146"/>
      <c r="HDD71" s="146"/>
      <c r="HDE71" s="146"/>
      <c r="HDF71" s="146"/>
      <c r="HDG71" s="146"/>
      <c r="HDH71" s="146"/>
      <c r="HDI71" s="146"/>
      <c r="HDJ71" s="146"/>
      <c r="HDK71" s="146"/>
      <c r="HDL71" s="146"/>
      <c r="HDM71" s="146"/>
      <c r="HDN71" s="146"/>
      <c r="HDO71" s="146"/>
      <c r="HDP71" s="146"/>
      <c r="HDQ71" s="146"/>
      <c r="HDR71" s="146"/>
      <c r="HDS71" s="146"/>
      <c r="HDT71" s="146"/>
      <c r="HDU71" s="146"/>
      <c r="HDV71" s="146"/>
      <c r="HDW71" s="146"/>
      <c r="HDX71" s="146"/>
      <c r="HDY71" s="146"/>
      <c r="HDZ71" s="146"/>
      <c r="HEA71" s="146"/>
      <c r="HEB71" s="146"/>
      <c r="HEC71" s="146"/>
      <c r="HED71" s="146"/>
      <c r="HEE71" s="146"/>
      <c r="HEF71" s="146"/>
      <c r="HEG71" s="146"/>
      <c r="HEH71" s="146"/>
      <c r="HEI71" s="146"/>
      <c r="HEJ71" s="146"/>
      <c r="HEK71" s="146"/>
      <c r="HEL71" s="146"/>
      <c r="HEM71" s="146"/>
      <c r="HEN71" s="146"/>
      <c r="HEO71" s="146"/>
      <c r="HEP71" s="146"/>
      <c r="HEQ71" s="146"/>
      <c r="HER71" s="146"/>
      <c r="HES71" s="146"/>
      <c r="HET71" s="146"/>
      <c r="HEU71" s="146"/>
      <c r="HEV71" s="146"/>
      <c r="HEW71" s="146"/>
      <c r="HEX71" s="146"/>
      <c r="HEY71" s="146"/>
      <c r="HEZ71" s="146"/>
      <c r="HFA71" s="146"/>
      <c r="HFB71" s="146"/>
      <c r="HFC71" s="146"/>
      <c r="HFD71" s="146"/>
      <c r="HFE71" s="146"/>
      <c r="HFF71" s="146"/>
      <c r="HFG71" s="146"/>
      <c r="HFH71" s="146"/>
      <c r="HFI71" s="146"/>
      <c r="HFJ71" s="146"/>
      <c r="HFK71" s="146"/>
      <c r="HFL71" s="146"/>
      <c r="HFM71" s="146"/>
      <c r="HFN71" s="146"/>
      <c r="HFO71" s="146"/>
      <c r="HFP71" s="146"/>
      <c r="HFQ71" s="146"/>
      <c r="HFR71" s="146"/>
      <c r="HFS71" s="146"/>
      <c r="HFT71" s="146"/>
      <c r="HFU71" s="146"/>
      <c r="HFV71" s="146"/>
      <c r="HFW71" s="146"/>
      <c r="HFX71" s="146"/>
      <c r="HFY71" s="146"/>
      <c r="HFZ71" s="146"/>
      <c r="HGA71" s="146"/>
      <c r="HGB71" s="146"/>
      <c r="HGC71" s="146"/>
      <c r="HGD71" s="146"/>
      <c r="HGE71" s="146"/>
      <c r="HGF71" s="146"/>
      <c r="HGG71" s="146"/>
      <c r="HGH71" s="146"/>
      <c r="HGI71" s="146"/>
      <c r="HGJ71" s="146"/>
      <c r="HGK71" s="146"/>
      <c r="HGL71" s="146"/>
      <c r="HGM71" s="146"/>
      <c r="HGN71" s="146"/>
      <c r="HGO71" s="146"/>
      <c r="HGP71" s="146"/>
      <c r="HGQ71" s="146"/>
      <c r="HGR71" s="146"/>
      <c r="HGS71" s="146"/>
      <c r="HGT71" s="146"/>
      <c r="HGU71" s="146"/>
      <c r="HGV71" s="146"/>
      <c r="HGW71" s="146"/>
      <c r="HGX71" s="146"/>
      <c r="HGY71" s="146"/>
      <c r="HGZ71" s="146"/>
      <c r="HHA71" s="146"/>
      <c r="HHB71" s="146"/>
      <c r="HHC71" s="146"/>
      <c r="HHD71" s="146"/>
      <c r="HHE71" s="146"/>
      <c r="HHF71" s="146"/>
      <c r="HHG71" s="146"/>
      <c r="HHH71" s="146"/>
      <c r="HHI71" s="146"/>
      <c r="HHJ71" s="146"/>
      <c r="HHK71" s="146"/>
      <c r="HHL71" s="146"/>
      <c r="HHM71" s="146"/>
      <c r="HHN71" s="146"/>
      <c r="HHO71" s="146"/>
      <c r="HHP71" s="146"/>
      <c r="HHQ71" s="146"/>
      <c r="HHR71" s="146"/>
      <c r="HHS71" s="146"/>
      <c r="HHT71" s="146"/>
      <c r="HHU71" s="146"/>
      <c r="HHV71" s="146"/>
      <c r="HHW71" s="146"/>
      <c r="HHX71" s="146"/>
      <c r="HHY71" s="146"/>
      <c r="HHZ71" s="146"/>
      <c r="HIA71" s="146"/>
      <c r="HIB71" s="146"/>
      <c r="HIC71" s="146"/>
      <c r="HID71" s="146"/>
      <c r="HIE71" s="146"/>
      <c r="HIF71" s="146"/>
      <c r="HIG71" s="146"/>
      <c r="HIH71" s="146"/>
      <c r="HII71" s="146"/>
      <c r="HIJ71" s="146"/>
      <c r="HIK71" s="146"/>
      <c r="HIL71" s="146"/>
      <c r="HIM71" s="146"/>
      <c r="HIN71" s="146"/>
      <c r="HIO71" s="146"/>
      <c r="HIP71" s="146"/>
      <c r="HIQ71" s="146"/>
      <c r="HIR71" s="146"/>
      <c r="HIS71" s="146"/>
      <c r="HIT71" s="146"/>
      <c r="HIU71" s="146"/>
      <c r="HIV71" s="146"/>
      <c r="HIW71" s="146"/>
      <c r="HIX71" s="146"/>
      <c r="HIY71" s="146"/>
      <c r="HIZ71" s="146"/>
      <c r="HJA71" s="146"/>
      <c r="HJB71" s="146"/>
      <c r="HJC71" s="146"/>
      <c r="HJD71" s="146"/>
      <c r="HJE71" s="146"/>
      <c r="HJF71" s="146"/>
      <c r="HJG71" s="146"/>
      <c r="HJH71" s="146"/>
      <c r="HJI71" s="146"/>
      <c r="HJJ71" s="146"/>
      <c r="HJK71" s="146"/>
      <c r="HJL71" s="146"/>
      <c r="HJM71" s="146"/>
      <c r="HJN71" s="146"/>
      <c r="HJO71" s="146"/>
      <c r="HJP71" s="146"/>
      <c r="HJQ71" s="146"/>
      <c r="HJR71" s="146"/>
      <c r="HJS71" s="146"/>
      <c r="HJT71" s="146"/>
      <c r="HJU71" s="146"/>
      <c r="HJV71" s="146"/>
      <c r="HJW71" s="146"/>
      <c r="HJX71" s="146"/>
      <c r="HJY71" s="146"/>
      <c r="HJZ71" s="146"/>
      <c r="HKA71" s="146"/>
      <c r="HKB71" s="146"/>
      <c r="HKC71" s="146"/>
      <c r="HKD71" s="146"/>
      <c r="HKE71" s="146"/>
      <c r="HKF71" s="146"/>
      <c r="HKG71" s="146"/>
      <c r="HKH71" s="146"/>
      <c r="HKI71" s="146"/>
      <c r="HKJ71" s="146"/>
      <c r="HKK71" s="146"/>
      <c r="HKL71" s="146"/>
      <c r="HKM71" s="146"/>
      <c r="HKN71" s="146"/>
      <c r="HKO71" s="146"/>
      <c r="HKP71" s="146"/>
      <c r="HKQ71" s="146"/>
      <c r="HKR71" s="146"/>
      <c r="HKS71" s="146"/>
      <c r="HKT71" s="146"/>
      <c r="HKU71" s="146"/>
      <c r="HKV71" s="146"/>
      <c r="HKW71" s="146"/>
      <c r="HKX71" s="146"/>
      <c r="HKY71" s="146"/>
      <c r="HKZ71" s="146"/>
      <c r="HLA71" s="146"/>
      <c r="HLB71" s="146"/>
      <c r="HLC71" s="146"/>
      <c r="HLD71" s="146"/>
      <c r="HLE71" s="146"/>
      <c r="HLF71" s="146"/>
      <c r="HLG71" s="146"/>
      <c r="HLH71" s="146"/>
      <c r="HLI71" s="146"/>
      <c r="HLJ71" s="146"/>
      <c r="HLK71" s="146"/>
      <c r="HLL71" s="146"/>
      <c r="HLM71" s="146"/>
      <c r="HLN71" s="146"/>
      <c r="HLO71" s="146"/>
      <c r="HLP71" s="146"/>
      <c r="HLQ71" s="146"/>
      <c r="HLR71" s="146"/>
      <c r="HLS71" s="146"/>
      <c r="HLT71" s="146"/>
      <c r="HLU71" s="146"/>
      <c r="HLV71" s="146"/>
      <c r="HLW71" s="146"/>
      <c r="HLX71" s="146"/>
      <c r="HLY71" s="146"/>
      <c r="HLZ71" s="146"/>
      <c r="HMA71" s="146"/>
      <c r="HMB71" s="146"/>
      <c r="HMC71" s="146"/>
      <c r="HMD71" s="146"/>
      <c r="HME71" s="146"/>
      <c r="HMF71" s="146"/>
      <c r="HMG71" s="146"/>
      <c r="HMH71" s="146"/>
      <c r="HMI71" s="146"/>
      <c r="HMJ71" s="146"/>
      <c r="HMK71" s="146"/>
      <c r="HML71" s="146"/>
      <c r="HMM71" s="146"/>
      <c r="HMN71" s="146"/>
      <c r="HMO71" s="146"/>
      <c r="HMP71" s="146"/>
      <c r="HMQ71" s="146"/>
      <c r="HMR71" s="146"/>
      <c r="HMS71" s="146"/>
      <c r="HMT71" s="146"/>
      <c r="HMU71" s="146"/>
      <c r="HMV71" s="146"/>
      <c r="HMW71" s="146"/>
      <c r="HMX71" s="146"/>
      <c r="HMY71" s="146"/>
      <c r="HMZ71" s="146"/>
      <c r="HNA71" s="146"/>
      <c r="HNB71" s="146"/>
      <c r="HNC71" s="146"/>
      <c r="HND71" s="146"/>
      <c r="HNE71" s="146"/>
      <c r="HNF71" s="146"/>
      <c r="HNG71" s="146"/>
      <c r="HNH71" s="146"/>
      <c r="HNI71" s="146"/>
      <c r="HNJ71" s="146"/>
      <c r="HNK71" s="146"/>
      <c r="HNL71" s="146"/>
      <c r="HNM71" s="146"/>
      <c r="HNN71" s="146"/>
      <c r="HNO71" s="146"/>
      <c r="HNP71" s="146"/>
      <c r="HNQ71" s="146"/>
      <c r="HNR71" s="146"/>
      <c r="HNS71" s="146"/>
      <c r="HNT71" s="146"/>
      <c r="HNU71" s="146"/>
      <c r="HNV71" s="146"/>
      <c r="HNW71" s="146"/>
      <c r="HNX71" s="146"/>
      <c r="HNY71" s="146"/>
      <c r="HNZ71" s="146"/>
      <c r="HOA71" s="146"/>
      <c r="HOB71" s="146"/>
      <c r="HOC71" s="146"/>
      <c r="HOD71" s="146"/>
      <c r="HOE71" s="146"/>
      <c r="HOF71" s="146"/>
      <c r="HOG71" s="146"/>
      <c r="HOH71" s="146"/>
      <c r="HOI71" s="146"/>
      <c r="HOJ71" s="146"/>
      <c r="HOK71" s="146"/>
      <c r="HOL71" s="146"/>
      <c r="HOM71" s="146"/>
      <c r="HON71" s="146"/>
      <c r="HOO71" s="146"/>
      <c r="HOP71" s="146"/>
      <c r="HOQ71" s="146"/>
      <c r="HOR71" s="146"/>
      <c r="HOS71" s="146"/>
      <c r="HOT71" s="146"/>
      <c r="HOU71" s="146"/>
      <c r="HOV71" s="146"/>
      <c r="HOW71" s="146"/>
      <c r="HOX71" s="146"/>
      <c r="HOY71" s="146"/>
      <c r="HOZ71" s="146"/>
      <c r="HPA71" s="146"/>
      <c r="HPB71" s="146"/>
      <c r="HPC71" s="146"/>
      <c r="HPD71" s="146"/>
      <c r="HPE71" s="146"/>
      <c r="HPF71" s="146"/>
      <c r="HPG71" s="146"/>
      <c r="HPH71" s="146"/>
      <c r="HPI71" s="146"/>
      <c r="HPJ71" s="146"/>
      <c r="HPK71" s="146"/>
      <c r="HPL71" s="146"/>
      <c r="HPM71" s="146"/>
      <c r="HPN71" s="146"/>
      <c r="HPO71" s="146"/>
      <c r="HPP71" s="146"/>
      <c r="HPQ71" s="146"/>
      <c r="HPR71" s="146"/>
      <c r="HPS71" s="146"/>
      <c r="HPT71" s="146"/>
      <c r="HPU71" s="146"/>
      <c r="HPV71" s="146"/>
      <c r="HPW71" s="146"/>
      <c r="HPX71" s="146"/>
      <c r="HPY71" s="146"/>
      <c r="HPZ71" s="146"/>
      <c r="HQA71" s="146"/>
      <c r="HQB71" s="146"/>
      <c r="HQC71" s="146"/>
      <c r="HQD71" s="146"/>
      <c r="HQE71" s="146"/>
      <c r="HQF71" s="146"/>
      <c r="HQG71" s="146"/>
      <c r="HQH71" s="146"/>
      <c r="HQI71" s="146"/>
      <c r="HQJ71" s="146"/>
      <c r="HQK71" s="146"/>
      <c r="HQL71" s="146"/>
      <c r="HQM71" s="146"/>
      <c r="HQN71" s="146"/>
      <c r="HQO71" s="146"/>
      <c r="HQP71" s="146"/>
      <c r="HQQ71" s="146"/>
      <c r="HQR71" s="146"/>
      <c r="HQS71" s="146"/>
      <c r="HQT71" s="146"/>
      <c r="HQU71" s="146"/>
      <c r="HQV71" s="146"/>
      <c r="HQW71" s="146"/>
      <c r="HQX71" s="146"/>
      <c r="HQY71" s="146"/>
      <c r="HQZ71" s="146"/>
      <c r="HRA71" s="146"/>
      <c r="HRB71" s="146"/>
      <c r="HRC71" s="146"/>
      <c r="HRD71" s="146"/>
      <c r="HRE71" s="146"/>
      <c r="HRF71" s="146"/>
      <c r="HRG71" s="146"/>
      <c r="HRH71" s="146"/>
      <c r="HRI71" s="146"/>
      <c r="HRJ71" s="146"/>
      <c r="HRK71" s="146"/>
      <c r="HRL71" s="146"/>
      <c r="HRM71" s="146"/>
      <c r="HRN71" s="146"/>
      <c r="HRO71" s="146"/>
      <c r="HRP71" s="146"/>
      <c r="HRQ71" s="146"/>
      <c r="HRR71" s="146"/>
      <c r="HRS71" s="146"/>
      <c r="HRT71" s="146"/>
      <c r="HRU71" s="146"/>
      <c r="HRV71" s="146"/>
      <c r="HRW71" s="146"/>
      <c r="HRX71" s="146"/>
      <c r="HRY71" s="146"/>
      <c r="HRZ71" s="146"/>
      <c r="HSA71" s="146"/>
      <c r="HSB71" s="146"/>
      <c r="HSC71" s="146"/>
      <c r="HSD71" s="146"/>
      <c r="HSE71" s="146"/>
      <c r="HSF71" s="146"/>
      <c r="HSG71" s="146"/>
      <c r="HSH71" s="146"/>
      <c r="HSI71" s="146"/>
      <c r="HSJ71" s="146"/>
      <c r="HSK71" s="146"/>
      <c r="HSL71" s="146"/>
      <c r="HSM71" s="146"/>
      <c r="HSN71" s="146"/>
      <c r="HSO71" s="146"/>
      <c r="HSP71" s="146"/>
      <c r="HSQ71" s="146"/>
      <c r="HSR71" s="146"/>
      <c r="HSS71" s="146"/>
      <c r="HST71" s="146"/>
      <c r="HSU71" s="146"/>
      <c r="HSV71" s="146"/>
      <c r="HSW71" s="146"/>
      <c r="HSX71" s="146"/>
      <c r="HSY71" s="146"/>
      <c r="HSZ71" s="146"/>
      <c r="HTA71" s="146"/>
      <c r="HTB71" s="146"/>
      <c r="HTC71" s="146"/>
      <c r="HTD71" s="146"/>
      <c r="HTE71" s="146"/>
      <c r="HTF71" s="146"/>
      <c r="HTG71" s="146"/>
      <c r="HTH71" s="146"/>
      <c r="HTI71" s="146"/>
      <c r="HTJ71" s="146"/>
      <c r="HTK71" s="146"/>
      <c r="HTL71" s="146"/>
      <c r="HTM71" s="146"/>
      <c r="HTN71" s="146"/>
      <c r="HTO71" s="146"/>
      <c r="HTP71" s="146"/>
      <c r="HTQ71" s="146"/>
      <c r="HTR71" s="146"/>
      <c r="HTS71" s="146"/>
      <c r="HTT71" s="146"/>
      <c r="HTU71" s="146"/>
      <c r="HTV71" s="146"/>
      <c r="HTW71" s="146"/>
      <c r="HTX71" s="146"/>
      <c r="HTY71" s="146"/>
      <c r="HTZ71" s="146"/>
      <c r="HUA71" s="146"/>
      <c r="HUB71" s="146"/>
      <c r="HUC71" s="146"/>
      <c r="HUD71" s="146"/>
      <c r="HUE71" s="146"/>
      <c r="HUF71" s="146"/>
      <c r="HUG71" s="146"/>
      <c r="HUH71" s="146"/>
      <c r="HUI71" s="146"/>
      <c r="HUJ71" s="146"/>
      <c r="HUK71" s="146"/>
      <c r="HUL71" s="146"/>
      <c r="HUM71" s="146"/>
      <c r="HUN71" s="146"/>
      <c r="HUO71" s="146"/>
      <c r="HUP71" s="146"/>
      <c r="HUQ71" s="146"/>
      <c r="HUR71" s="146"/>
      <c r="HUS71" s="146"/>
      <c r="HUT71" s="146"/>
      <c r="HUU71" s="146"/>
      <c r="HUV71" s="146"/>
      <c r="HUW71" s="146"/>
      <c r="HUX71" s="146"/>
      <c r="HUY71" s="146"/>
      <c r="HUZ71" s="146"/>
      <c r="HVA71" s="146"/>
      <c r="HVB71" s="146"/>
      <c r="HVC71" s="146"/>
      <c r="HVD71" s="146"/>
      <c r="HVE71" s="146"/>
      <c r="HVF71" s="146"/>
      <c r="HVG71" s="146"/>
      <c r="HVH71" s="146"/>
      <c r="HVI71" s="146"/>
      <c r="HVJ71" s="146"/>
      <c r="HVK71" s="146"/>
      <c r="HVL71" s="146"/>
      <c r="HVM71" s="146"/>
      <c r="HVN71" s="146"/>
      <c r="HVO71" s="146"/>
      <c r="HVP71" s="146"/>
      <c r="HVQ71" s="146"/>
      <c r="HVR71" s="146"/>
      <c r="HVS71" s="146"/>
      <c r="HVT71" s="146"/>
      <c r="HVU71" s="146"/>
      <c r="HVV71" s="146"/>
      <c r="HVW71" s="146"/>
      <c r="HVX71" s="146"/>
      <c r="HVY71" s="146"/>
      <c r="HVZ71" s="146"/>
      <c r="HWA71" s="146"/>
      <c r="HWB71" s="146"/>
      <c r="HWC71" s="146"/>
      <c r="HWD71" s="146"/>
      <c r="HWE71" s="146"/>
      <c r="HWF71" s="146"/>
      <c r="HWG71" s="146"/>
      <c r="HWH71" s="146"/>
      <c r="HWI71" s="146"/>
      <c r="HWJ71" s="146"/>
      <c r="HWK71" s="146"/>
      <c r="HWL71" s="146"/>
      <c r="HWM71" s="146"/>
      <c r="HWN71" s="146"/>
      <c r="HWO71" s="146"/>
      <c r="HWP71" s="146"/>
      <c r="HWQ71" s="146"/>
      <c r="HWR71" s="146"/>
      <c r="HWS71" s="146"/>
      <c r="HWT71" s="146"/>
      <c r="HWU71" s="146"/>
      <c r="HWV71" s="146"/>
      <c r="HWW71" s="146"/>
      <c r="HWX71" s="146"/>
      <c r="HWY71" s="146"/>
      <c r="HWZ71" s="146"/>
      <c r="HXA71" s="146"/>
      <c r="HXB71" s="146"/>
      <c r="HXC71" s="146"/>
      <c r="HXD71" s="146"/>
      <c r="HXE71" s="146"/>
      <c r="HXF71" s="146"/>
      <c r="HXG71" s="146"/>
      <c r="HXH71" s="146"/>
      <c r="HXI71" s="146"/>
      <c r="HXJ71" s="146"/>
      <c r="HXK71" s="146"/>
      <c r="HXL71" s="146"/>
      <c r="HXM71" s="146"/>
      <c r="HXN71" s="146"/>
      <c r="HXO71" s="146"/>
      <c r="HXP71" s="146"/>
      <c r="HXQ71" s="146"/>
      <c r="HXR71" s="146"/>
      <c r="HXS71" s="146"/>
      <c r="HXT71" s="146"/>
      <c r="HXU71" s="146"/>
      <c r="HXV71" s="146"/>
      <c r="HXW71" s="146"/>
      <c r="HXX71" s="146"/>
      <c r="HXY71" s="146"/>
      <c r="HXZ71" s="146"/>
      <c r="HYA71" s="146"/>
      <c r="HYB71" s="146"/>
      <c r="HYC71" s="146"/>
      <c r="HYD71" s="146"/>
      <c r="HYE71" s="146"/>
      <c r="HYF71" s="146"/>
      <c r="HYG71" s="146"/>
      <c r="HYH71" s="146"/>
      <c r="HYI71" s="146"/>
      <c r="HYJ71" s="146"/>
      <c r="HYK71" s="146"/>
      <c r="HYL71" s="146"/>
      <c r="HYM71" s="146"/>
      <c r="HYN71" s="146"/>
      <c r="HYO71" s="146"/>
      <c r="HYP71" s="146"/>
      <c r="HYQ71" s="146"/>
      <c r="HYR71" s="146"/>
      <c r="HYS71" s="146"/>
      <c r="HYT71" s="146"/>
      <c r="HYU71" s="146"/>
      <c r="HYV71" s="146"/>
      <c r="HYW71" s="146"/>
      <c r="HYX71" s="146"/>
      <c r="HYY71" s="146"/>
      <c r="HYZ71" s="146"/>
      <c r="HZA71" s="146"/>
      <c r="HZB71" s="146"/>
      <c r="HZC71" s="146"/>
      <c r="HZD71" s="146"/>
      <c r="HZE71" s="146"/>
      <c r="HZF71" s="146"/>
      <c r="HZG71" s="146"/>
      <c r="HZH71" s="146"/>
      <c r="HZI71" s="146"/>
      <c r="HZJ71" s="146"/>
      <c r="HZK71" s="146"/>
      <c r="HZL71" s="146"/>
      <c r="HZM71" s="146"/>
      <c r="HZN71" s="146"/>
      <c r="HZO71" s="146"/>
      <c r="HZP71" s="146"/>
      <c r="HZQ71" s="146"/>
      <c r="HZR71" s="146"/>
      <c r="HZS71" s="146"/>
      <c r="HZT71" s="146"/>
      <c r="HZU71" s="146"/>
      <c r="HZV71" s="146"/>
      <c r="HZW71" s="146"/>
      <c r="HZX71" s="146"/>
      <c r="HZY71" s="146"/>
      <c r="HZZ71" s="146"/>
      <c r="IAA71" s="146"/>
      <c r="IAB71" s="146"/>
      <c r="IAC71" s="146"/>
      <c r="IAD71" s="146"/>
      <c r="IAE71" s="146"/>
      <c r="IAF71" s="146"/>
      <c r="IAG71" s="146"/>
      <c r="IAH71" s="146"/>
      <c r="IAI71" s="146"/>
      <c r="IAJ71" s="146"/>
      <c r="IAK71" s="146"/>
      <c r="IAL71" s="146"/>
      <c r="IAM71" s="146"/>
      <c r="IAN71" s="146"/>
      <c r="IAO71" s="146"/>
      <c r="IAP71" s="146"/>
      <c r="IAQ71" s="146"/>
      <c r="IAR71" s="146"/>
      <c r="IAS71" s="146"/>
      <c r="IAT71" s="146"/>
      <c r="IAU71" s="146"/>
      <c r="IAV71" s="146"/>
      <c r="IAW71" s="146"/>
      <c r="IAX71" s="146"/>
      <c r="IAY71" s="146"/>
      <c r="IAZ71" s="146"/>
      <c r="IBA71" s="146"/>
      <c r="IBB71" s="146"/>
      <c r="IBC71" s="146"/>
      <c r="IBD71" s="146"/>
      <c r="IBE71" s="146"/>
      <c r="IBF71" s="146"/>
      <c r="IBG71" s="146"/>
      <c r="IBH71" s="146"/>
      <c r="IBI71" s="146"/>
      <c r="IBJ71" s="146"/>
      <c r="IBK71" s="146"/>
      <c r="IBL71" s="146"/>
      <c r="IBM71" s="146"/>
      <c r="IBN71" s="146"/>
      <c r="IBO71" s="146"/>
      <c r="IBP71" s="146"/>
      <c r="IBQ71" s="146"/>
      <c r="IBR71" s="146"/>
      <c r="IBS71" s="146"/>
      <c r="IBT71" s="146"/>
      <c r="IBU71" s="146"/>
      <c r="IBV71" s="146"/>
      <c r="IBW71" s="146"/>
      <c r="IBX71" s="146"/>
      <c r="IBY71" s="146"/>
      <c r="IBZ71" s="146"/>
      <c r="ICA71" s="146"/>
      <c r="ICB71" s="146"/>
      <c r="ICC71" s="146"/>
      <c r="ICD71" s="146"/>
      <c r="ICE71" s="146"/>
      <c r="ICF71" s="146"/>
      <c r="ICG71" s="146"/>
      <c r="ICH71" s="146"/>
      <c r="ICI71" s="146"/>
      <c r="ICJ71" s="146"/>
      <c r="ICK71" s="146"/>
      <c r="ICL71" s="146"/>
      <c r="ICM71" s="146"/>
      <c r="ICN71" s="146"/>
      <c r="ICO71" s="146"/>
      <c r="ICP71" s="146"/>
      <c r="ICQ71" s="146"/>
      <c r="ICR71" s="146"/>
      <c r="ICS71" s="146"/>
      <c r="ICT71" s="146"/>
      <c r="ICU71" s="146"/>
      <c r="ICV71" s="146"/>
      <c r="ICW71" s="146"/>
      <c r="ICX71" s="146"/>
      <c r="ICY71" s="146"/>
      <c r="ICZ71" s="146"/>
      <c r="IDA71" s="146"/>
      <c r="IDB71" s="146"/>
      <c r="IDC71" s="146"/>
      <c r="IDD71" s="146"/>
      <c r="IDE71" s="146"/>
      <c r="IDF71" s="146"/>
      <c r="IDG71" s="146"/>
      <c r="IDH71" s="146"/>
      <c r="IDI71" s="146"/>
      <c r="IDJ71" s="146"/>
      <c r="IDK71" s="146"/>
      <c r="IDL71" s="146"/>
      <c r="IDM71" s="146"/>
      <c r="IDN71" s="146"/>
      <c r="IDO71" s="146"/>
      <c r="IDP71" s="146"/>
      <c r="IDQ71" s="146"/>
      <c r="IDR71" s="146"/>
      <c r="IDS71" s="146"/>
      <c r="IDT71" s="146"/>
      <c r="IDU71" s="146"/>
      <c r="IDV71" s="146"/>
      <c r="IDW71" s="146"/>
      <c r="IDX71" s="146"/>
      <c r="IDY71" s="146"/>
      <c r="IDZ71" s="146"/>
      <c r="IEA71" s="146"/>
      <c r="IEB71" s="146"/>
      <c r="IEC71" s="146"/>
      <c r="IED71" s="146"/>
      <c r="IEE71" s="146"/>
      <c r="IEF71" s="146"/>
      <c r="IEG71" s="146"/>
      <c r="IEH71" s="146"/>
      <c r="IEI71" s="146"/>
      <c r="IEJ71" s="146"/>
      <c r="IEK71" s="146"/>
      <c r="IEL71" s="146"/>
      <c r="IEM71" s="146"/>
      <c r="IEN71" s="146"/>
      <c r="IEO71" s="146"/>
      <c r="IEP71" s="146"/>
      <c r="IEQ71" s="146"/>
      <c r="IER71" s="146"/>
      <c r="IES71" s="146"/>
      <c r="IET71" s="146"/>
      <c r="IEU71" s="146"/>
      <c r="IEV71" s="146"/>
      <c r="IEW71" s="146"/>
      <c r="IEX71" s="146"/>
      <c r="IEY71" s="146"/>
      <c r="IEZ71" s="146"/>
      <c r="IFA71" s="146"/>
      <c r="IFB71" s="146"/>
      <c r="IFC71" s="146"/>
      <c r="IFD71" s="146"/>
      <c r="IFE71" s="146"/>
      <c r="IFF71" s="146"/>
      <c r="IFG71" s="146"/>
      <c r="IFH71" s="146"/>
      <c r="IFI71" s="146"/>
      <c r="IFJ71" s="146"/>
      <c r="IFK71" s="146"/>
      <c r="IFL71" s="146"/>
      <c r="IFM71" s="146"/>
      <c r="IFN71" s="146"/>
      <c r="IFO71" s="146"/>
      <c r="IFP71" s="146"/>
      <c r="IFQ71" s="146"/>
      <c r="IFR71" s="146"/>
      <c r="IFS71" s="146"/>
      <c r="IFT71" s="146"/>
      <c r="IFU71" s="146"/>
      <c r="IFV71" s="146"/>
      <c r="IFW71" s="146"/>
      <c r="IFX71" s="146"/>
      <c r="IFY71" s="146"/>
      <c r="IFZ71" s="146"/>
      <c r="IGA71" s="146"/>
      <c r="IGB71" s="146"/>
      <c r="IGC71" s="146"/>
      <c r="IGD71" s="146"/>
      <c r="IGE71" s="146"/>
      <c r="IGF71" s="146"/>
      <c r="IGG71" s="146"/>
      <c r="IGH71" s="146"/>
      <c r="IGI71" s="146"/>
      <c r="IGJ71" s="146"/>
      <c r="IGK71" s="146"/>
      <c r="IGL71" s="146"/>
      <c r="IGM71" s="146"/>
      <c r="IGN71" s="146"/>
      <c r="IGO71" s="146"/>
      <c r="IGP71" s="146"/>
      <c r="IGQ71" s="146"/>
      <c r="IGR71" s="146"/>
      <c r="IGS71" s="146"/>
      <c r="IGT71" s="146"/>
      <c r="IGU71" s="146"/>
      <c r="IGV71" s="146"/>
      <c r="IGW71" s="146"/>
      <c r="IGX71" s="146"/>
      <c r="IGY71" s="146"/>
      <c r="IGZ71" s="146"/>
      <c r="IHA71" s="146"/>
      <c r="IHB71" s="146"/>
      <c r="IHC71" s="146"/>
      <c r="IHD71" s="146"/>
      <c r="IHE71" s="146"/>
      <c r="IHF71" s="146"/>
      <c r="IHG71" s="146"/>
      <c r="IHH71" s="146"/>
      <c r="IHI71" s="146"/>
      <c r="IHJ71" s="146"/>
      <c r="IHK71" s="146"/>
      <c r="IHL71" s="146"/>
      <c r="IHM71" s="146"/>
      <c r="IHN71" s="146"/>
      <c r="IHO71" s="146"/>
      <c r="IHP71" s="146"/>
      <c r="IHQ71" s="146"/>
      <c r="IHR71" s="146"/>
      <c r="IHS71" s="146"/>
      <c r="IHT71" s="146"/>
      <c r="IHU71" s="146"/>
      <c r="IHV71" s="146"/>
      <c r="IHW71" s="146"/>
      <c r="IHX71" s="146"/>
      <c r="IHY71" s="146"/>
      <c r="IHZ71" s="146"/>
      <c r="IIA71" s="146"/>
      <c r="IIB71" s="146"/>
      <c r="IIC71" s="146"/>
      <c r="IID71" s="146"/>
      <c r="IIE71" s="146"/>
      <c r="IIF71" s="146"/>
      <c r="IIG71" s="146"/>
      <c r="IIH71" s="146"/>
      <c r="III71" s="146"/>
      <c r="IIJ71" s="146"/>
      <c r="IIK71" s="146"/>
      <c r="IIL71" s="146"/>
      <c r="IIM71" s="146"/>
      <c r="IIN71" s="146"/>
      <c r="IIO71" s="146"/>
      <c r="IIP71" s="146"/>
      <c r="IIQ71" s="146"/>
      <c r="IIR71" s="146"/>
      <c r="IIS71" s="146"/>
      <c r="IIT71" s="146"/>
      <c r="IIU71" s="146"/>
      <c r="IIV71" s="146"/>
      <c r="IIW71" s="146"/>
      <c r="IIX71" s="146"/>
      <c r="IIY71" s="146"/>
      <c r="IIZ71" s="146"/>
      <c r="IJA71" s="146"/>
      <c r="IJB71" s="146"/>
      <c r="IJC71" s="146"/>
      <c r="IJD71" s="146"/>
      <c r="IJE71" s="146"/>
      <c r="IJF71" s="146"/>
      <c r="IJG71" s="146"/>
      <c r="IJH71" s="146"/>
      <c r="IJI71" s="146"/>
      <c r="IJJ71" s="146"/>
      <c r="IJK71" s="146"/>
      <c r="IJL71" s="146"/>
      <c r="IJM71" s="146"/>
      <c r="IJN71" s="146"/>
      <c r="IJO71" s="146"/>
      <c r="IJP71" s="146"/>
      <c r="IJQ71" s="146"/>
      <c r="IJR71" s="146"/>
      <c r="IJS71" s="146"/>
      <c r="IJT71" s="146"/>
      <c r="IJU71" s="146"/>
      <c r="IJV71" s="146"/>
      <c r="IJW71" s="146"/>
      <c r="IJX71" s="146"/>
      <c r="IJY71" s="146"/>
      <c r="IJZ71" s="146"/>
      <c r="IKA71" s="146"/>
      <c r="IKB71" s="146"/>
      <c r="IKC71" s="146"/>
      <c r="IKD71" s="146"/>
      <c r="IKE71" s="146"/>
      <c r="IKF71" s="146"/>
      <c r="IKG71" s="146"/>
      <c r="IKH71" s="146"/>
      <c r="IKI71" s="146"/>
      <c r="IKJ71" s="146"/>
      <c r="IKK71" s="146"/>
      <c r="IKL71" s="146"/>
      <c r="IKM71" s="146"/>
      <c r="IKN71" s="146"/>
      <c r="IKO71" s="146"/>
      <c r="IKP71" s="146"/>
      <c r="IKQ71" s="146"/>
      <c r="IKR71" s="146"/>
      <c r="IKS71" s="146"/>
      <c r="IKT71" s="146"/>
      <c r="IKU71" s="146"/>
      <c r="IKV71" s="146"/>
      <c r="IKW71" s="146"/>
      <c r="IKX71" s="146"/>
      <c r="IKY71" s="146"/>
      <c r="IKZ71" s="146"/>
      <c r="ILA71" s="146"/>
      <c r="ILB71" s="146"/>
      <c r="ILC71" s="146"/>
      <c r="ILD71" s="146"/>
      <c r="ILE71" s="146"/>
      <c r="ILF71" s="146"/>
      <c r="ILG71" s="146"/>
      <c r="ILH71" s="146"/>
      <c r="ILI71" s="146"/>
      <c r="ILJ71" s="146"/>
      <c r="ILK71" s="146"/>
      <c r="ILL71" s="146"/>
      <c r="ILM71" s="146"/>
      <c r="ILN71" s="146"/>
      <c r="ILO71" s="146"/>
      <c r="ILP71" s="146"/>
      <c r="ILQ71" s="146"/>
      <c r="ILR71" s="146"/>
      <c r="ILS71" s="146"/>
      <c r="ILT71" s="146"/>
      <c r="ILU71" s="146"/>
      <c r="ILV71" s="146"/>
      <c r="ILW71" s="146"/>
      <c r="ILX71" s="146"/>
      <c r="ILY71" s="146"/>
      <c r="ILZ71" s="146"/>
      <c r="IMA71" s="146"/>
      <c r="IMB71" s="146"/>
      <c r="IMC71" s="146"/>
      <c r="IMD71" s="146"/>
      <c r="IME71" s="146"/>
      <c r="IMF71" s="146"/>
      <c r="IMG71" s="146"/>
      <c r="IMH71" s="146"/>
      <c r="IMI71" s="146"/>
      <c r="IMJ71" s="146"/>
      <c r="IMK71" s="146"/>
      <c r="IML71" s="146"/>
      <c r="IMM71" s="146"/>
      <c r="IMN71" s="146"/>
      <c r="IMO71" s="146"/>
      <c r="IMP71" s="146"/>
      <c r="IMQ71" s="146"/>
      <c r="IMR71" s="146"/>
      <c r="IMS71" s="146"/>
      <c r="IMT71" s="146"/>
      <c r="IMU71" s="146"/>
      <c r="IMV71" s="146"/>
      <c r="IMW71" s="146"/>
      <c r="IMX71" s="146"/>
      <c r="IMY71" s="146"/>
      <c r="IMZ71" s="146"/>
      <c r="INA71" s="146"/>
      <c r="INB71" s="146"/>
      <c r="INC71" s="146"/>
      <c r="IND71" s="146"/>
      <c r="INE71" s="146"/>
      <c r="INF71" s="146"/>
      <c r="ING71" s="146"/>
      <c r="INH71" s="146"/>
      <c r="INI71" s="146"/>
      <c r="INJ71" s="146"/>
      <c r="INK71" s="146"/>
      <c r="INL71" s="146"/>
      <c r="INM71" s="146"/>
      <c r="INN71" s="146"/>
      <c r="INO71" s="146"/>
      <c r="INP71" s="146"/>
      <c r="INQ71" s="146"/>
      <c r="INR71" s="146"/>
      <c r="INS71" s="146"/>
      <c r="INT71" s="146"/>
      <c r="INU71" s="146"/>
      <c r="INV71" s="146"/>
      <c r="INW71" s="146"/>
      <c r="INX71" s="146"/>
      <c r="INY71" s="146"/>
      <c r="INZ71" s="146"/>
      <c r="IOA71" s="146"/>
      <c r="IOB71" s="146"/>
      <c r="IOC71" s="146"/>
      <c r="IOD71" s="146"/>
      <c r="IOE71" s="146"/>
      <c r="IOF71" s="146"/>
      <c r="IOG71" s="146"/>
      <c r="IOH71" s="146"/>
      <c r="IOI71" s="146"/>
      <c r="IOJ71" s="146"/>
      <c r="IOK71" s="146"/>
      <c r="IOL71" s="146"/>
      <c r="IOM71" s="146"/>
      <c r="ION71" s="146"/>
      <c r="IOO71" s="146"/>
      <c r="IOP71" s="146"/>
      <c r="IOQ71" s="146"/>
      <c r="IOR71" s="146"/>
      <c r="IOS71" s="146"/>
      <c r="IOT71" s="146"/>
      <c r="IOU71" s="146"/>
      <c r="IOV71" s="146"/>
      <c r="IOW71" s="146"/>
      <c r="IOX71" s="146"/>
      <c r="IOY71" s="146"/>
      <c r="IOZ71" s="146"/>
      <c r="IPA71" s="146"/>
      <c r="IPB71" s="146"/>
      <c r="IPC71" s="146"/>
      <c r="IPD71" s="146"/>
      <c r="IPE71" s="146"/>
      <c r="IPF71" s="146"/>
      <c r="IPG71" s="146"/>
      <c r="IPH71" s="146"/>
      <c r="IPI71" s="146"/>
      <c r="IPJ71" s="146"/>
      <c r="IPK71" s="146"/>
      <c r="IPL71" s="146"/>
      <c r="IPM71" s="146"/>
      <c r="IPN71" s="146"/>
      <c r="IPO71" s="146"/>
      <c r="IPP71" s="146"/>
      <c r="IPQ71" s="146"/>
      <c r="IPR71" s="146"/>
      <c r="IPS71" s="146"/>
      <c r="IPT71" s="146"/>
      <c r="IPU71" s="146"/>
      <c r="IPV71" s="146"/>
      <c r="IPW71" s="146"/>
      <c r="IPX71" s="146"/>
      <c r="IPY71" s="146"/>
      <c r="IPZ71" s="146"/>
      <c r="IQA71" s="146"/>
      <c r="IQB71" s="146"/>
      <c r="IQC71" s="146"/>
      <c r="IQD71" s="146"/>
      <c r="IQE71" s="146"/>
      <c r="IQF71" s="146"/>
      <c r="IQG71" s="146"/>
      <c r="IQH71" s="146"/>
      <c r="IQI71" s="146"/>
      <c r="IQJ71" s="146"/>
      <c r="IQK71" s="146"/>
      <c r="IQL71" s="146"/>
      <c r="IQM71" s="146"/>
      <c r="IQN71" s="146"/>
      <c r="IQO71" s="146"/>
      <c r="IQP71" s="146"/>
      <c r="IQQ71" s="146"/>
      <c r="IQR71" s="146"/>
      <c r="IQS71" s="146"/>
      <c r="IQT71" s="146"/>
      <c r="IQU71" s="146"/>
      <c r="IQV71" s="146"/>
      <c r="IQW71" s="146"/>
      <c r="IQX71" s="146"/>
      <c r="IQY71" s="146"/>
      <c r="IQZ71" s="146"/>
      <c r="IRA71" s="146"/>
      <c r="IRB71" s="146"/>
      <c r="IRC71" s="146"/>
      <c r="IRD71" s="146"/>
      <c r="IRE71" s="146"/>
      <c r="IRF71" s="146"/>
      <c r="IRG71" s="146"/>
      <c r="IRH71" s="146"/>
      <c r="IRI71" s="146"/>
      <c r="IRJ71" s="146"/>
      <c r="IRK71" s="146"/>
      <c r="IRL71" s="146"/>
      <c r="IRM71" s="146"/>
      <c r="IRN71" s="146"/>
      <c r="IRO71" s="146"/>
      <c r="IRP71" s="146"/>
      <c r="IRQ71" s="146"/>
      <c r="IRR71" s="146"/>
      <c r="IRS71" s="146"/>
      <c r="IRT71" s="146"/>
      <c r="IRU71" s="146"/>
      <c r="IRV71" s="146"/>
      <c r="IRW71" s="146"/>
      <c r="IRX71" s="146"/>
      <c r="IRY71" s="146"/>
      <c r="IRZ71" s="146"/>
      <c r="ISA71" s="146"/>
      <c r="ISB71" s="146"/>
      <c r="ISC71" s="146"/>
      <c r="ISD71" s="146"/>
      <c r="ISE71" s="146"/>
      <c r="ISF71" s="146"/>
      <c r="ISG71" s="146"/>
      <c r="ISH71" s="146"/>
      <c r="ISI71" s="146"/>
      <c r="ISJ71" s="146"/>
      <c r="ISK71" s="146"/>
      <c r="ISL71" s="146"/>
      <c r="ISM71" s="146"/>
      <c r="ISN71" s="146"/>
      <c r="ISO71" s="146"/>
      <c r="ISP71" s="146"/>
      <c r="ISQ71" s="146"/>
      <c r="ISR71" s="146"/>
      <c r="ISS71" s="146"/>
      <c r="IST71" s="146"/>
      <c r="ISU71" s="146"/>
      <c r="ISV71" s="146"/>
      <c r="ISW71" s="146"/>
      <c r="ISX71" s="146"/>
      <c r="ISY71" s="146"/>
      <c r="ISZ71" s="146"/>
      <c r="ITA71" s="146"/>
      <c r="ITB71" s="146"/>
      <c r="ITC71" s="146"/>
      <c r="ITD71" s="146"/>
      <c r="ITE71" s="146"/>
      <c r="ITF71" s="146"/>
      <c r="ITG71" s="146"/>
      <c r="ITH71" s="146"/>
      <c r="ITI71" s="146"/>
      <c r="ITJ71" s="146"/>
      <c r="ITK71" s="146"/>
      <c r="ITL71" s="146"/>
      <c r="ITM71" s="146"/>
      <c r="ITN71" s="146"/>
      <c r="ITO71" s="146"/>
      <c r="ITP71" s="146"/>
      <c r="ITQ71" s="146"/>
      <c r="ITR71" s="146"/>
      <c r="ITS71" s="146"/>
      <c r="ITT71" s="146"/>
      <c r="ITU71" s="146"/>
      <c r="ITV71" s="146"/>
      <c r="ITW71" s="146"/>
      <c r="ITX71" s="146"/>
      <c r="ITY71" s="146"/>
      <c r="ITZ71" s="146"/>
      <c r="IUA71" s="146"/>
      <c r="IUB71" s="146"/>
      <c r="IUC71" s="146"/>
      <c r="IUD71" s="146"/>
      <c r="IUE71" s="146"/>
      <c r="IUF71" s="146"/>
      <c r="IUG71" s="146"/>
      <c r="IUH71" s="146"/>
      <c r="IUI71" s="146"/>
      <c r="IUJ71" s="146"/>
      <c r="IUK71" s="146"/>
      <c r="IUL71" s="146"/>
      <c r="IUM71" s="146"/>
      <c r="IUN71" s="146"/>
      <c r="IUO71" s="146"/>
      <c r="IUP71" s="146"/>
      <c r="IUQ71" s="146"/>
      <c r="IUR71" s="146"/>
      <c r="IUS71" s="146"/>
      <c r="IUT71" s="146"/>
      <c r="IUU71" s="146"/>
      <c r="IUV71" s="146"/>
      <c r="IUW71" s="146"/>
      <c r="IUX71" s="146"/>
      <c r="IUY71" s="146"/>
      <c r="IUZ71" s="146"/>
      <c r="IVA71" s="146"/>
      <c r="IVB71" s="146"/>
      <c r="IVC71" s="146"/>
      <c r="IVD71" s="146"/>
      <c r="IVE71" s="146"/>
      <c r="IVF71" s="146"/>
      <c r="IVG71" s="146"/>
      <c r="IVH71" s="146"/>
      <c r="IVI71" s="146"/>
      <c r="IVJ71" s="146"/>
      <c r="IVK71" s="146"/>
      <c r="IVL71" s="146"/>
      <c r="IVM71" s="146"/>
      <c r="IVN71" s="146"/>
      <c r="IVO71" s="146"/>
      <c r="IVP71" s="146"/>
      <c r="IVQ71" s="146"/>
      <c r="IVR71" s="146"/>
      <c r="IVS71" s="146"/>
      <c r="IVT71" s="146"/>
      <c r="IVU71" s="146"/>
      <c r="IVV71" s="146"/>
      <c r="IVW71" s="146"/>
      <c r="IVX71" s="146"/>
      <c r="IVY71" s="146"/>
      <c r="IVZ71" s="146"/>
      <c r="IWA71" s="146"/>
      <c r="IWB71" s="146"/>
      <c r="IWC71" s="146"/>
      <c r="IWD71" s="146"/>
      <c r="IWE71" s="146"/>
      <c r="IWF71" s="146"/>
      <c r="IWG71" s="146"/>
      <c r="IWH71" s="146"/>
      <c r="IWI71" s="146"/>
      <c r="IWJ71" s="146"/>
      <c r="IWK71" s="146"/>
      <c r="IWL71" s="146"/>
      <c r="IWM71" s="146"/>
      <c r="IWN71" s="146"/>
      <c r="IWO71" s="146"/>
      <c r="IWP71" s="146"/>
      <c r="IWQ71" s="146"/>
      <c r="IWR71" s="146"/>
      <c r="IWS71" s="146"/>
      <c r="IWT71" s="146"/>
      <c r="IWU71" s="146"/>
      <c r="IWV71" s="146"/>
      <c r="IWW71" s="146"/>
      <c r="IWX71" s="146"/>
      <c r="IWY71" s="146"/>
      <c r="IWZ71" s="146"/>
      <c r="IXA71" s="146"/>
      <c r="IXB71" s="146"/>
      <c r="IXC71" s="146"/>
      <c r="IXD71" s="146"/>
      <c r="IXE71" s="146"/>
      <c r="IXF71" s="146"/>
      <c r="IXG71" s="146"/>
      <c r="IXH71" s="146"/>
      <c r="IXI71" s="146"/>
      <c r="IXJ71" s="146"/>
      <c r="IXK71" s="146"/>
      <c r="IXL71" s="146"/>
      <c r="IXM71" s="146"/>
      <c r="IXN71" s="146"/>
      <c r="IXO71" s="146"/>
      <c r="IXP71" s="146"/>
      <c r="IXQ71" s="146"/>
      <c r="IXR71" s="146"/>
      <c r="IXS71" s="146"/>
      <c r="IXT71" s="146"/>
      <c r="IXU71" s="146"/>
      <c r="IXV71" s="146"/>
      <c r="IXW71" s="146"/>
      <c r="IXX71" s="146"/>
      <c r="IXY71" s="146"/>
      <c r="IXZ71" s="146"/>
      <c r="IYA71" s="146"/>
      <c r="IYB71" s="146"/>
      <c r="IYC71" s="146"/>
      <c r="IYD71" s="146"/>
      <c r="IYE71" s="146"/>
      <c r="IYF71" s="146"/>
      <c r="IYG71" s="146"/>
      <c r="IYH71" s="146"/>
      <c r="IYI71" s="146"/>
      <c r="IYJ71" s="146"/>
      <c r="IYK71" s="146"/>
      <c r="IYL71" s="146"/>
      <c r="IYM71" s="146"/>
      <c r="IYN71" s="146"/>
      <c r="IYO71" s="146"/>
      <c r="IYP71" s="146"/>
      <c r="IYQ71" s="146"/>
      <c r="IYR71" s="146"/>
      <c r="IYS71" s="146"/>
      <c r="IYT71" s="146"/>
      <c r="IYU71" s="146"/>
      <c r="IYV71" s="146"/>
      <c r="IYW71" s="146"/>
      <c r="IYX71" s="146"/>
      <c r="IYY71" s="146"/>
      <c r="IYZ71" s="146"/>
      <c r="IZA71" s="146"/>
      <c r="IZB71" s="146"/>
      <c r="IZC71" s="146"/>
      <c r="IZD71" s="146"/>
      <c r="IZE71" s="146"/>
      <c r="IZF71" s="146"/>
      <c r="IZG71" s="146"/>
      <c r="IZH71" s="146"/>
      <c r="IZI71" s="146"/>
      <c r="IZJ71" s="146"/>
      <c r="IZK71" s="146"/>
      <c r="IZL71" s="146"/>
      <c r="IZM71" s="146"/>
      <c r="IZN71" s="146"/>
      <c r="IZO71" s="146"/>
      <c r="IZP71" s="146"/>
      <c r="IZQ71" s="146"/>
      <c r="IZR71" s="146"/>
      <c r="IZS71" s="146"/>
      <c r="IZT71" s="146"/>
      <c r="IZU71" s="146"/>
      <c r="IZV71" s="146"/>
      <c r="IZW71" s="146"/>
      <c r="IZX71" s="146"/>
      <c r="IZY71" s="146"/>
      <c r="IZZ71" s="146"/>
      <c r="JAA71" s="146"/>
      <c r="JAB71" s="146"/>
      <c r="JAC71" s="146"/>
      <c r="JAD71" s="146"/>
      <c r="JAE71" s="146"/>
      <c r="JAF71" s="146"/>
      <c r="JAG71" s="146"/>
      <c r="JAH71" s="146"/>
      <c r="JAI71" s="146"/>
      <c r="JAJ71" s="146"/>
      <c r="JAK71" s="146"/>
      <c r="JAL71" s="146"/>
      <c r="JAM71" s="146"/>
      <c r="JAN71" s="146"/>
      <c r="JAO71" s="146"/>
      <c r="JAP71" s="146"/>
      <c r="JAQ71" s="146"/>
      <c r="JAR71" s="146"/>
      <c r="JAS71" s="146"/>
      <c r="JAT71" s="146"/>
      <c r="JAU71" s="146"/>
      <c r="JAV71" s="146"/>
      <c r="JAW71" s="146"/>
      <c r="JAX71" s="146"/>
      <c r="JAY71" s="146"/>
      <c r="JAZ71" s="146"/>
      <c r="JBA71" s="146"/>
      <c r="JBB71" s="146"/>
      <c r="JBC71" s="146"/>
      <c r="JBD71" s="146"/>
      <c r="JBE71" s="146"/>
      <c r="JBF71" s="146"/>
      <c r="JBG71" s="146"/>
      <c r="JBH71" s="146"/>
      <c r="JBI71" s="146"/>
      <c r="JBJ71" s="146"/>
      <c r="JBK71" s="146"/>
      <c r="JBL71" s="146"/>
      <c r="JBM71" s="146"/>
      <c r="JBN71" s="146"/>
      <c r="JBO71" s="146"/>
      <c r="JBP71" s="146"/>
      <c r="JBQ71" s="146"/>
      <c r="JBR71" s="146"/>
      <c r="JBS71" s="146"/>
      <c r="JBT71" s="146"/>
      <c r="JBU71" s="146"/>
      <c r="JBV71" s="146"/>
      <c r="JBW71" s="146"/>
      <c r="JBX71" s="146"/>
      <c r="JBY71" s="146"/>
      <c r="JBZ71" s="146"/>
      <c r="JCA71" s="146"/>
      <c r="JCB71" s="146"/>
      <c r="JCC71" s="146"/>
      <c r="JCD71" s="146"/>
      <c r="JCE71" s="146"/>
      <c r="JCF71" s="146"/>
      <c r="JCG71" s="146"/>
      <c r="JCH71" s="146"/>
      <c r="JCI71" s="146"/>
      <c r="JCJ71" s="146"/>
      <c r="JCK71" s="146"/>
      <c r="JCL71" s="146"/>
      <c r="JCM71" s="146"/>
      <c r="JCN71" s="146"/>
      <c r="JCO71" s="146"/>
      <c r="JCP71" s="146"/>
      <c r="JCQ71" s="146"/>
      <c r="JCR71" s="146"/>
      <c r="JCS71" s="146"/>
      <c r="JCT71" s="146"/>
      <c r="JCU71" s="146"/>
      <c r="JCV71" s="146"/>
      <c r="JCW71" s="146"/>
      <c r="JCX71" s="146"/>
      <c r="JCY71" s="146"/>
      <c r="JCZ71" s="146"/>
      <c r="JDA71" s="146"/>
      <c r="JDB71" s="146"/>
      <c r="JDC71" s="146"/>
      <c r="JDD71" s="146"/>
      <c r="JDE71" s="146"/>
      <c r="JDF71" s="146"/>
      <c r="JDG71" s="146"/>
      <c r="JDH71" s="146"/>
      <c r="JDI71" s="146"/>
      <c r="JDJ71" s="146"/>
      <c r="JDK71" s="146"/>
      <c r="JDL71" s="146"/>
      <c r="JDM71" s="146"/>
      <c r="JDN71" s="146"/>
      <c r="JDO71" s="146"/>
      <c r="JDP71" s="146"/>
      <c r="JDQ71" s="146"/>
      <c r="JDR71" s="146"/>
      <c r="JDS71" s="146"/>
      <c r="JDT71" s="146"/>
      <c r="JDU71" s="146"/>
      <c r="JDV71" s="146"/>
      <c r="JDW71" s="146"/>
      <c r="JDX71" s="146"/>
      <c r="JDY71" s="146"/>
      <c r="JDZ71" s="146"/>
      <c r="JEA71" s="146"/>
      <c r="JEB71" s="146"/>
      <c r="JEC71" s="146"/>
      <c r="JED71" s="146"/>
      <c r="JEE71" s="146"/>
      <c r="JEF71" s="146"/>
      <c r="JEG71" s="146"/>
      <c r="JEH71" s="146"/>
      <c r="JEI71" s="146"/>
      <c r="JEJ71" s="146"/>
      <c r="JEK71" s="146"/>
      <c r="JEL71" s="146"/>
      <c r="JEM71" s="146"/>
      <c r="JEN71" s="146"/>
      <c r="JEO71" s="146"/>
      <c r="JEP71" s="146"/>
      <c r="JEQ71" s="146"/>
      <c r="JER71" s="146"/>
      <c r="JES71" s="146"/>
      <c r="JET71" s="146"/>
      <c r="JEU71" s="146"/>
      <c r="JEV71" s="146"/>
      <c r="JEW71" s="146"/>
      <c r="JEX71" s="146"/>
      <c r="JEY71" s="146"/>
      <c r="JEZ71" s="146"/>
      <c r="JFA71" s="146"/>
      <c r="JFB71" s="146"/>
      <c r="JFC71" s="146"/>
      <c r="JFD71" s="146"/>
      <c r="JFE71" s="146"/>
      <c r="JFF71" s="146"/>
      <c r="JFG71" s="146"/>
      <c r="JFH71" s="146"/>
      <c r="JFI71" s="146"/>
      <c r="JFJ71" s="146"/>
      <c r="JFK71" s="146"/>
      <c r="JFL71" s="146"/>
      <c r="JFM71" s="146"/>
      <c r="JFN71" s="146"/>
      <c r="JFO71" s="146"/>
      <c r="JFP71" s="146"/>
      <c r="JFQ71" s="146"/>
      <c r="JFR71" s="146"/>
      <c r="JFS71" s="146"/>
      <c r="JFT71" s="146"/>
      <c r="JFU71" s="146"/>
      <c r="JFV71" s="146"/>
      <c r="JFW71" s="146"/>
      <c r="JFX71" s="146"/>
      <c r="JFY71" s="146"/>
      <c r="JFZ71" s="146"/>
      <c r="JGA71" s="146"/>
      <c r="JGB71" s="146"/>
      <c r="JGC71" s="146"/>
      <c r="JGD71" s="146"/>
      <c r="JGE71" s="146"/>
      <c r="JGF71" s="146"/>
      <c r="JGG71" s="146"/>
      <c r="JGH71" s="146"/>
      <c r="JGI71" s="146"/>
      <c r="JGJ71" s="146"/>
      <c r="JGK71" s="146"/>
      <c r="JGL71" s="146"/>
      <c r="JGM71" s="146"/>
      <c r="JGN71" s="146"/>
      <c r="JGO71" s="146"/>
      <c r="JGP71" s="146"/>
      <c r="JGQ71" s="146"/>
      <c r="JGR71" s="146"/>
      <c r="JGS71" s="146"/>
      <c r="JGT71" s="146"/>
      <c r="JGU71" s="146"/>
      <c r="JGV71" s="146"/>
      <c r="JGW71" s="146"/>
      <c r="JGX71" s="146"/>
      <c r="JGY71" s="146"/>
      <c r="JGZ71" s="146"/>
      <c r="JHA71" s="146"/>
      <c r="JHB71" s="146"/>
      <c r="JHC71" s="146"/>
      <c r="JHD71" s="146"/>
      <c r="JHE71" s="146"/>
      <c r="JHF71" s="146"/>
      <c r="JHG71" s="146"/>
      <c r="JHH71" s="146"/>
      <c r="JHI71" s="146"/>
      <c r="JHJ71" s="146"/>
      <c r="JHK71" s="146"/>
      <c r="JHL71" s="146"/>
      <c r="JHM71" s="146"/>
      <c r="JHN71" s="146"/>
      <c r="JHO71" s="146"/>
      <c r="JHP71" s="146"/>
      <c r="JHQ71" s="146"/>
      <c r="JHR71" s="146"/>
      <c r="JHS71" s="146"/>
      <c r="JHT71" s="146"/>
      <c r="JHU71" s="146"/>
      <c r="JHV71" s="146"/>
      <c r="JHW71" s="146"/>
      <c r="JHX71" s="146"/>
      <c r="JHY71" s="146"/>
      <c r="JHZ71" s="146"/>
      <c r="JIA71" s="146"/>
      <c r="JIB71" s="146"/>
      <c r="JIC71" s="146"/>
      <c r="JID71" s="146"/>
      <c r="JIE71" s="146"/>
      <c r="JIF71" s="146"/>
      <c r="JIG71" s="146"/>
      <c r="JIH71" s="146"/>
      <c r="JII71" s="146"/>
      <c r="JIJ71" s="146"/>
      <c r="JIK71" s="146"/>
      <c r="JIL71" s="146"/>
      <c r="JIM71" s="146"/>
      <c r="JIN71" s="146"/>
      <c r="JIO71" s="146"/>
      <c r="JIP71" s="146"/>
      <c r="JIQ71" s="146"/>
      <c r="JIR71" s="146"/>
      <c r="JIS71" s="146"/>
      <c r="JIT71" s="146"/>
      <c r="JIU71" s="146"/>
      <c r="JIV71" s="146"/>
      <c r="JIW71" s="146"/>
      <c r="JIX71" s="146"/>
      <c r="JIY71" s="146"/>
      <c r="JIZ71" s="146"/>
      <c r="JJA71" s="146"/>
      <c r="JJB71" s="146"/>
      <c r="JJC71" s="146"/>
      <c r="JJD71" s="146"/>
      <c r="JJE71" s="146"/>
      <c r="JJF71" s="146"/>
      <c r="JJG71" s="146"/>
      <c r="JJH71" s="146"/>
      <c r="JJI71" s="146"/>
      <c r="JJJ71" s="146"/>
      <c r="JJK71" s="146"/>
      <c r="JJL71" s="146"/>
      <c r="JJM71" s="146"/>
      <c r="JJN71" s="146"/>
      <c r="JJO71" s="146"/>
      <c r="JJP71" s="146"/>
      <c r="JJQ71" s="146"/>
      <c r="JJR71" s="146"/>
      <c r="JJS71" s="146"/>
      <c r="JJT71" s="146"/>
      <c r="JJU71" s="146"/>
      <c r="JJV71" s="146"/>
      <c r="JJW71" s="146"/>
      <c r="JJX71" s="146"/>
      <c r="JJY71" s="146"/>
      <c r="JJZ71" s="146"/>
      <c r="JKA71" s="146"/>
      <c r="JKB71" s="146"/>
      <c r="JKC71" s="146"/>
      <c r="JKD71" s="146"/>
      <c r="JKE71" s="146"/>
      <c r="JKF71" s="146"/>
      <c r="JKG71" s="146"/>
      <c r="JKH71" s="146"/>
      <c r="JKI71" s="146"/>
      <c r="JKJ71" s="146"/>
      <c r="JKK71" s="146"/>
      <c r="JKL71" s="146"/>
      <c r="JKM71" s="146"/>
      <c r="JKN71" s="146"/>
      <c r="JKO71" s="146"/>
      <c r="JKP71" s="146"/>
      <c r="JKQ71" s="146"/>
      <c r="JKR71" s="146"/>
      <c r="JKS71" s="146"/>
      <c r="JKT71" s="146"/>
      <c r="JKU71" s="146"/>
      <c r="JKV71" s="146"/>
      <c r="JKW71" s="146"/>
      <c r="JKX71" s="146"/>
      <c r="JKY71" s="146"/>
      <c r="JKZ71" s="146"/>
      <c r="JLA71" s="146"/>
      <c r="JLB71" s="146"/>
      <c r="JLC71" s="146"/>
      <c r="JLD71" s="146"/>
      <c r="JLE71" s="146"/>
      <c r="JLF71" s="146"/>
      <c r="JLG71" s="146"/>
      <c r="JLH71" s="146"/>
      <c r="JLI71" s="146"/>
      <c r="JLJ71" s="146"/>
      <c r="JLK71" s="146"/>
      <c r="JLL71" s="146"/>
      <c r="JLM71" s="146"/>
      <c r="JLN71" s="146"/>
      <c r="JLO71" s="146"/>
      <c r="JLP71" s="146"/>
      <c r="JLQ71" s="146"/>
      <c r="JLR71" s="146"/>
      <c r="JLS71" s="146"/>
      <c r="JLT71" s="146"/>
      <c r="JLU71" s="146"/>
      <c r="JLV71" s="146"/>
      <c r="JLW71" s="146"/>
      <c r="JLX71" s="146"/>
      <c r="JLY71" s="146"/>
      <c r="JLZ71" s="146"/>
      <c r="JMA71" s="146"/>
      <c r="JMB71" s="146"/>
      <c r="JMC71" s="146"/>
      <c r="JMD71" s="146"/>
      <c r="JME71" s="146"/>
      <c r="JMF71" s="146"/>
      <c r="JMG71" s="146"/>
      <c r="JMH71" s="146"/>
      <c r="JMI71" s="146"/>
      <c r="JMJ71" s="146"/>
      <c r="JMK71" s="146"/>
      <c r="JML71" s="146"/>
      <c r="JMM71" s="146"/>
      <c r="JMN71" s="146"/>
      <c r="JMO71" s="146"/>
      <c r="JMP71" s="146"/>
      <c r="JMQ71" s="146"/>
      <c r="JMR71" s="146"/>
      <c r="JMS71" s="146"/>
      <c r="JMT71" s="146"/>
      <c r="JMU71" s="146"/>
      <c r="JMV71" s="146"/>
      <c r="JMW71" s="146"/>
      <c r="JMX71" s="146"/>
      <c r="JMY71" s="146"/>
      <c r="JMZ71" s="146"/>
      <c r="JNA71" s="146"/>
      <c r="JNB71" s="146"/>
      <c r="JNC71" s="146"/>
      <c r="JND71" s="146"/>
      <c r="JNE71" s="146"/>
      <c r="JNF71" s="146"/>
      <c r="JNG71" s="146"/>
      <c r="JNH71" s="146"/>
      <c r="JNI71" s="146"/>
      <c r="JNJ71" s="146"/>
      <c r="JNK71" s="146"/>
      <c r="JNL71" s="146"/>
      <c r="JNM71" s="146"/>
      <c r="JNN71" s="146"/>
      <c r="JNO71" s="146"/>
      <c r="JNP71" s="146"/>
      <c r="JNQ71" s="146"/>
      <c r="JNR71" s="146"/>
      <c r="JNS71" s="146"/>
      <c r="JNT71" s="146"/>
      <c r="JNU71" s="146"/>
      <c r="JNV71" s="146"/>
      <c r="JNW71" s="146"/>
      <c r="JNX71" s="146"/>
      <c r="JNY71" s="146"/>
      <c r="JNZ71" s="146"/>
      <c r="JOA71" s="146"/>
      <c r="JOB71" s="146"/>
      <c r="JOC71" s="146"/>
      <c r="JOD71" s="146"/>
      <c r="JOE71" s="146"/>
      <c r="JOF71" s="146"/>
      <c r="JOG71" s="146"/>
      <c r="JOH71" s="146"/>
      <c r="JOI71" s="146"/>
      <c r="JOJ71" s="146"/>
      <c r="JOK71" s="146"/>
      <c r="JOL71" s="146"/>
      <c r="JOM71" s="146"/>
      <c r="JON71" s="146"/>
      <c r="JOO71" s="146"/>
      <c r="JOP71" s="146"/>
      <c r="JOQ71" s="146"/>
      <c r="JOR71" s="146"/>
      <c r="JOS71" s="146"/>
      <c r="JOT71" s="146"/>
      <c r="JOU71" s="146"/>
      <c r="JOV71" s="146"/>
      <c r="JOW71" s="146"/>
      <c r="JOX71" s="146"/>
      <c r="JOY71" s="146"/>
      <c r="JOZ71" s="146"/>
      <c r="JPA71" s="146"/>
      <c r="JPB71" s="146"/>
      <c r="JPC71" s="146"/>
      <c r="JPD71" s="146"/>
      <c r="JPE71" s="146"/>
      <c r="JPF71" s="146"/>
      <c r="JPG71" s="146"/>
      <c r="JPH71" s="146"/>
      <c r="JPI71" s="146"/>
      <c r="JPJ71" s="146"/>
      <c r="JPK71" s="146"/>
      <c r="JPL71" s="146"/>
      <c r="JPM71" s="146"/>
      <c r="JPN71" s="146"/>
      <c r="JPO71" s="146"/>
      <c r="JPP71" s="146"/>
      <c r="JPQ71" s="146"/>
      <c r="JPR71" s="146"/>
      <c r="JPS71" s="146"/>
      <c r="JPT71" s="146"/>
      <c r="JPU71" s="146"/>
      <c r="JPV71" s="146"/>
      <c r="JPW71" s="146"/>
      <c r="JPX71" s="146"/>
      <c r="JPY71" s="146"/>
      <c r="JPZ71" s="146"/>
      <c r="JQA71" s="146"/>
      <c r="JQB71" s="146"/>
      <c r="JQC71" s="146"/>
      <c r="JQD71" s="146"/>
      <c r="JQE71" s="146"/>
      <c r="JQF71" s="146"/>
      <c r="JQG71" s="146"/>
      <c r="JQH71" s="146"/>
      <c r="JQI71" s="146"/>
      <c r="JQJ71" s="146"/>
      <c r="JQK71" s="146"/>
      <c r="JQL71" s="146"/>
      <c r="JQM71" s="146"/>
      <c r="JQN71" s="146"/>
      <c r="JQO71" s="146"/>
      <c r="JQP71" s="146"/>
      <c r="JQQ71" s="146"/>
      <c r="JQR71" s="146"/>
      <c r="JQS71" s="146"/>
      <c r="JQT71" s="146"/>
      <c r="JQU71" s="146"/>
      <c r="JQV71" s="146"/>
      <c r="JQW71" s="146"/>
      <c r="JQX71" s="146"/>
      <c r="JQY71" s="146"/>
      <c r="JQZ71" s="146"/>
      <c r="JRA71" s="146"/>
      <c r="JRB71" s="146"/>
      <c r="JRC71" s="146"/>
      <c r="JRD71" s="146"/>
      <c r="JRE71" s="146"/>
      <c r="JRF71" s="146"/>
      <c r="JRG71" s="146"/>
      <c r="JRH71" s="146"/>
      <c r="JRI71" s="146"/>
      <c r="JRJ71" s="146"/>
      <c r="JRK71" s="146"/>
      <c r="JRL71" s="146"/>
      <c r="JRM71" s="146"/>
      <c r="JRN71" s="146"/>
      <c r="JRO71" s="146"/>
      <c r="JRP71" s="146"/>
      <c r="JRQ71" s="146"/>
      <c r="JRR71" s="146"/>
      <c r="JRS71" s="146"/>
      <c r="JRT71" s="146"/>
      <c r="JRU71" s="146"/>
      <c r="JRV71" s="146"/>
      <c r="JRW71" s="146"/>
      <c r="JRX71" s="146"/>
      <c r="JRY71" s="146"/>
      <c r="JRZ71" s="146"/>
      <c r="JSA71" s="146"/>
      <c r="JSB71" s="146"/>
      <c r="JSC71" s="146"/>
      <c r="JSD71" s="146"/>
      <c r="JSE71" s="146"/>
      <c r="JSF71" s="146"/>
      <c r="JSG71" s="146"/>
      <c r="JSH71" s="146"/>
      <c r="JSI71" s="146"/>
      <c r="JSJ71" s="146"/>
      <c r="JSK71" s="146"/>
      <c r="JSL71" s="146"/>
      <c r="JSM71" s="146"/>
      <c r="JSN71" s="146"/>
      <c r="JSO71" s="146"/>
      <c r="JSP71" s="146"/>
      <c r="JSQ71" s="146"/>
      <c r="JSR71" s="146"/>
      <c r="JSS71" s="146"/>
      <c r="JST71" s="146"/>
      <c r="JSU71" s="146"/>
      <c r="JSV71" s="146"/>
      <c r="JSW71" s="146"/>
      <c r="JSX71" s="146"/>
      <c r="JSY71" s="146"/>
      <c r="JSZ71" s="146"/>
      <c r="JTA71" s="146"/>
      <c r="JTB71" s="146"/>
      <c r="JTC71" s="146"/>
      <c r="JTD71" s="146"/>
      <c r="JTE71" s="146"/>
      <c r="JTF71" s="146"/>
      <c r="JTG71" s="146"/>
      <c r="JTH71" s="146"/>
      <c r="JTI71" s="146"/>
      <c r="JTJ71" s="146"/>
      <c r="JTK71" s="146"/>
      <c r="JTL71" s="146"/>
      <c r="JTM71" s="146"/>
      <c r="JTN71" s="146"/>
      <c r="JTO71" s="146"/>
      <c r="JTP71" s="146"/>
      <c r="JTQ71" s="146"/>
      <c r="JTR71" s="146"/>
      <c r="JTS71" s="146"/>
      <c r="JTT71" s="146"/>
      <c r="JTU71" s="146"/>
      <c r="JTV71" s="146"/>
      <c r="JTW71" s="146"/>
      <c r="JTX71" s="146"/>
      <c r="JTY71" s="146"/>
      <c r="JTZ71" s="146"/>
      <c r="JUA71" s="146"/>
      <c r="JUB71" s="146"/>
      <c r="JUC71" s="146"/>
      <c r="JUD71" s="146"/>
      <c r="JUE71" s="146"/>
      <c r="JUF71" s="146"/>
      <c r="JUG71" s="146"/>
      <c r="JUH71" s="146"/>
      <c r="JUI71" s="146"/>
      <c r="JUJ71" s="146"/>
      <c r="JUK71" s="146"/>
      <c r="JUL71" s="146"/>
      <c r="JUM71" s="146"/>
      <c r="JUN71" s="146"/>
      <c r="JUO71" s="146"/>
      <c r="JUP71" s="146"/>
      <c r="JUQ71" s="146"/>
      <c r="JUR71" s="146"/>
      <c r="JUS71" s="146"/>
      <c r="JUT71" s="146"/>
      <c r="JUU71" s="146"/>
      <c r="JUV71" s="146"/>
      <c r="JUW71" s="146"/>
      <c r="JUX71" s="146"/>
      <c r="JUY71" s="146"/>
      <c r="JUZ71" s="146"/>
      <c r="JVA71" s="146"/>
      <c r="JVB71" s="146"/>
      <c r="JVC71" s="146"/>
      <c r="JVD71" s="146"/>
      <c r="JVE71" s="146"/>
      <c r="JVF71" s="146"/>
      <c r="JVG71" s="146"/>
      <c r="JVH71" s="146"/>
      <c r="JVI71" s="146"/>
      <c r="JVJ71" s="146"/>
      <c r="JVK71" s="146"/>
      <c r="JVL71" s="146"/>
      <c r="JVM71" s="146"/>
      <c r="JVN71" s="146"/>
      <c r="JVO71" s="146"/>
      <c r="JVP71" s="146"/>
      <c r="JVQ71" s="146"/>
      <c r="JVR71" s="146"/>
      <c r="JVS71" s="146"/>
      <c r="JVT71" s="146"/>
      <c r="JVU71" s="146"/>
      <c r="JVV71" s="146"/>
      <c r="JVW71" s="146"/>
      <c r="JVX71" s="146"/>
      <c r="JVY71" s="146"/>
      <c r="JVZ71" s="146"/>
      <c r="JWA71" s="146"/>
      <c r="JWB71" s="146"/>
      <c r="JWC71" s="146"/>
      <c r="JWD71" s="146"/>
      <c r="JWE71" s="146"/>
      <c r="JWF71" s="146"/>
      <c r="JWG71" s="146"/>
      <c r="JWH71" s="146"/>
      <c r="JWI71" s="146"/>
      <c r="JWJ71" s="146"/>
      <c r="JWK71" s="146"/>
      <c r="JWL71" s="146"/>
      <c r="JWM71" s="146"/>
      <c r="JWN71" s="146"/>
      <c r="JWO71" s="146"/>
      <c r="JWP71" s="146"/>
      <c r="JWQ71" s="146"/>
      <c r="JWR71" s="146"/>
      <c r="JWS71" s="146"/>
      <c r="JWT71" s="146"/>
      <c r="JWU71" s="146"/>
      <c r="JWV71" s="146"/>
      <c r="JWW71" s="146"/>
      <c r="JWX71" s="146"/>
      <c r="JWY71" s="146"/>
      <c r="JWZ71" s="146"/>
      <c r="JXA71" s="146"/>
      <c r="JXB71" s="146"/>
      <c r="JXC71" s="146"/>
      <c r="JXD71" s="146"/>
      <c r="JXE71" s="146"/>
      <c r="JXF71" s="146"/>
      <c r="JXG71" s="146"/>
      <c r="JXH71" s="146"/>
      <c r="JXI71" s="146"/>
      <c r="JXJ71" s="146"/>
      <c r="JXK71" s="146"/>
      <c r="JXL71" s="146"/>
      <c r="JXM71" s="146"/>
      <c r="JXN71" s="146"/>
      <c r="JXO71" s="146"/>
      <c r="JXP71" s="146"/>
      <c r="JXQ71" s="146"/>
      <c r="JXR71" s="146"/>
      <c r="JXS71" s="146"/>
      <c r="JXT71" s="146"/>
      <c r="JXU71" s="146"/>
      <c r="JXV71" s="146"/>
      <c r="JXW71" s="146"/>
      <c r="JXX71" s="146"/>
      <c r="JXY71" s="146"/>
      <c r="JXZ71" s="146"/>
      <c r="JYA71" s="146"/>
      <c r="JYB71" s="146"/>
      <c r="JYC71" s="146"/>
      <c r="JYD71" s="146"/>
      <c r="JYE71" s="146"/>
      <c r="JYF71" s="146"/>
      <c r="JYG71" s="146"/>
      <c r="JYH71" s="146"/>
      <c r="JYI71" s="146"/>
      <c r="JYJ71" s="146"/>
      <c r="JYK71" s="146"/>
      <c r="JYL71" s="146"/>
      <c r="JYM71" s="146"/>
      <c r="JYN71" s="146"/>
      <c r="JYO71" s="146"/>
      <c r="JYP71" s="146"/>
      <c r="JYQ71" s="146"/>
      <c r="JYR71" s="146"/>
      <c r="JYS71" s="146"/>
      <c r="JYT71" s="146"/>
      <c r="JYU71" s="146"/>
      <c r="JYV71" s="146"/>
      <c r="JYW71" s="146"/>
      <c r="JYX71" s="146"/>
      <c r="JYY71" s="146"/>
      <c r="JYZ71" s="146"/>
      <c r="JZA71" s="146"/>
      <c r="JZB71" s="146"/>
      <c r="JZC71" s="146"/>
      <c r="JZD71" s="146"/>
      <c r="JZE71" s="146"/>
      <c r="JZF71" s="146"/>
      <c r="JZG71" s="146"/>
      <c r="JZH71" s="146"/>
      <c r="JZI71" s="146"/>
      <c r="JZJ71" s="146"/>
      <c r="JZK71" s="146"/>
      <c r="JZL71" s="146"/>
      <c r="JZM71" s="146"/>
      <c r="JZN71" s="146"/>
      <c r="JZO71" s="146"/>
      <c r="JZP71" s="146"/>
      <c r="JZQ71" s="146"/>
      <c r="JZR71" s="146"/>
      <c r="JZS71" s="146"/>
      <c r="JZT71" s="146"/>
      <c r="JZU71" s="146"/>
      <c r="JZV71" s="146"/>
      <c r="JZW71" s="146"/>
      <c r="JZX71" s="146"/>
      <c r="JZY71" s="146"/>
      <c r="JZZ71" s="146"/>
      <c r="KAA71" s="146"/>
      <c r="KAB71" s="146"/>
      <c r="KAC71" s="146"/>
      <c r="KAD71" s="146"/>
      <c r="KAE71" s="146"/>
      <c r="KAF71" s="146"/>
      <c r="KAG71" s="146"/>
      <c r="KAH71" s="146"/>
      <c r="KAI71" s="146"/>
      <c r="KAJ71" s="146"/>
      <c r="KAK71" s="146"/>
      <c r="KAL71" s="146"/>
      <c r="KAM71" s="146"/>
      <c r="KAN71" s="146"/>
      <c r="KAO71" s="146"/>
      <c r="KAP71" s="146"/>
      <c r="KAQ71" s="146"/>
      <c r="KAR71" s="146"/>
      <c r="KAS71" s="146"/>
      <c r="KAT71" s="146"/>
      <c r="KAU71" s="146"/>
      <c r="KAV71" s="146"/>
      <c r="KAW71" s="146"/>
      <c r="KAX71" s="146"/>
      <c r="KAY71" s="146"/>
      <c r="KAZ71" s="146"/>
      <c r="KBA71" s="146"/>
      <c r="KBB71" s="146"/>
      <c r="KBC71" s="146"/>
      <c r="KBD71" s="146"/>
      <c r="KBE71" s="146"/>
      <c r="KBF71" s="146"/>
      <c r="KBG71" s="146"/>
      <c r="KBH71" s="146"/>
      <c r="KBI71" s="146"/>
      <c r="KBJ71" s="146"/>
      <c r="KBK71" s="146"/>
      <c r="KBL71" s="146"/>
      <c r="KBM71" s="146"/>
      <c r="KBN71" s="146"/>
      <c r="KBO71" s="146"/>
      <c r="KBP71" s="146"/>
      <c r="KBQ71" s="146"/>
      <c r="KBR71" s="146"/>
      <c r="KBS71" s="146"/>
      <c r="KBT71" s="146"/>
      <c r="KBU71" s="146"/>
      <c r="KBV71" s="146"/>
      <c r="KBW71" s="146"/>
      <c r="KBX71" s="146"/>
      <c r="KBY71" s="146"/>
      <c r="KBZ71" s="146"/>
      <c r="KCA71" s="146"/>
      <c r="KCB71" s="146"/>
      <c r="KCC71" s="146"/>
      <c r="KCD71" s="146"/>
      <c r="KCE71" s="146"/>
      <c r="KCF71" s="146"/>
      <c r="KCG71" s="146"/>
      <c r="KCH71" s="146"/>
      <c r="KCI71" s="146"/>
      <c r="KCJ71" s="146"/>
      <c r="KCK71" s="146"/>
      <c r="KCL71" s="146"/>
      <c r="KCM71" s="146"/>
      <c r="KCN71" s="146"/>
      <c r="KCO71" s="146"/>
      <c r="KCP71" s="146"/>
      <c r="KCQ71" s="146"/>
      <c r="KCR71" s="146"/>
      <c r="KCS71" s="146"/>
      <c r="KCT71" s="146"/>
      <c r="KCU71" s="146"/>
      <c r="KCV71" s="146"/>
      <c r="KCW71" s="146"/>
      <c r="KCX71" s="146"/>
      <c r="KCY71" s="146"/>
      <c r="KCZ71" s="146"/>
      <c r="KDA71" s="146"/>
      <c r="KDB71" s="146"/>
      <c r="KDC71" s="146"/>
      <c r="KDD71" s="146"/>
      <c r="KDE71" s="146"/>
      <c r="KDF71" s="146"/>
      <c r="KDG71" s="146"/>
      <c r="KDH71" s="146"/>
      <c r="KDI71" s="146"/>
      <c r="KDJ71" s="146"/>
      <c r="KDK71" s="146"/>
      <c r="KDL71" s="146"/>
      <c r="KDM71" s="146"/>
      <c r="KDN71" s="146"/>
      <c r="KDO71" s="146"/>
      <c r="KDP71" s="146"/>
      <c r="KDQ71" s="146"/>
      <c r="KDR71" s="146"/>
      <c r="KDS71" s="146"/>
      <c r="KDT71" s="146"/>
      <c r="KDU71" s="146"/>
      <c r="KDV71" s="146"/>
      <c r="KDW71" s="146"/>
      <c r="KDX71" s="146"/>
      <c r="KDY71" s="146"/>
      <c r="KDZ71" s="146"/>
      <c r="KEA71" s="146"/>
      <c r="KEB71" s="146"/>
      <c r="KEC71" s="146"/>
      <c r="KED71" s="146"/>
      <c r="KEE71" s="146"/>
      <c r="KEF71" s="146"/>
      <c r="KEG71" s="146"/>
      <c r="KEH71" s="146"/>
      <c r="KEI71" s="146"/>
      <c r="KEJ71" s="146"/>
      <c r="KEK71" s="146"/>
      <c r="KEL71" s="146"/>
      <c r="KEM71" s="146"/>
      <c r="KEN71" s="146"/>
      <c r="KEO71" s="146"/>
      <c r="KEP71" s="146"/>
      <c r="KEQ71" s="146"/>
      <c r="KER71" s="146"/>
      <c r="KES71" s="146"/>
      <c r="KET71" s="146"/>
      <c r="KEU71" s="146"/>
      <c r="KEV71" s="146"/>
      <c r="KEW71" s="146"/>
      <c r="KEX71" s="146"/>
      <c r="KEY71" s="146"/>
      <c r="KEZ71" s="146"/>
      <c r="KFA71" s="146"/>
      <c r="KFB71" s="146"/>
      <c r="KFC71" s="146"/>
      <c r="KFD71" s="146"/>
      <c r="KFE71" s="146"/>
      <c r="KFF71" s="146"/>
      <c r="KFG71" s="146"/>
      <c r="KFH71" s="146"/>
      <c r="KFI71" s="146"/>
      <c r="KFJ71" s="146"/>
      <c r="KFK71" s="146"/>
      <c r="KFL71" s="146"/>
      <c r="KFM71" s="146"/>
      <c r="KFN71" s="146"/>
      <c r="KFO71" s="146"/>
      <c r="KFP71" s="146"/>
      <c r="KFQ71" s="146"/>
      <c r="KFR71" s="146"/>
      <c r="KFS71" s="146"/>
      <c r="KFT71" s="146"/>
      <c r="KFU71" s="146"/>
      <c r="KFV71" s="146"/>
      <c r="KFW71" s="146"/>
      <c r="KFX71" s="146"/>
      <c r="KFY71" s="146"/>
      <c r="KFZ71" s="146"/>
      <c r="KGA71" s="146"/>
      <c r="KGB71" s="146"/>
      <c r="KGC71" s="146"/>
      <c r="KGD71" s="146"/>
      <c r="KGE71" s="146"/>
      <c r="KGF71" s="146"/>
      <c r="KGG71" s="146"/>
      <c r="KGH71" s="146"/>
      <c r="KGI71" s="146"/>
      <c r="KGJ71" s="146"/>
      <c r="KGK71" s="146"/>
      <c r="KGL71" s="146"/>
      <c r="KGM71" s="146"/>
      <c r="KGN71" s="146"/>
      <c r="KGO71" s="146"/>
      <c r="KGP71" s="146"/>
      <c r="KGQ71" s="146"/>
      <c r="KGR71" s="146"/>
      <c r="KGS71" s="146"/>
      <c r="KGT71" s="146"/>
      <c r="KGU71" s="146"/>
      <c r="KGV71" s="146"/>
      <c r="KGW71" s="146"/>
      <c r="KGX71" s="146"/>
      <c r="KGY71" s="146"/>
      <c r="KGZ71" s="146"/>
      <c r="KHA71" s="146"/>
      <c r="KHB71" s="146"/>
      <c r="KHC71" s="146"/>
      <c r="KHD71" s="146"/>
      <c r="KHE71" s="146"/>
      <c r="KHF71" s="146"/>
      <c r="KHG71" s="146"/>
      <c r="KHH71" s="146"/>
      <c r="KHI71" s="146"/>
      <c r="KHJ71" s="146"/>
      <c r="KHK71" s="146"/>
      <c r="KHL71" s="146"/>
      <c r="KHM71" s="146"/>
      <c r="KHN71" s="146"/>
      <c r="KHO71" s="146"/>
      <c r="KHP71" s="146"/>
      <c r="KHQ71" s="146"/>
      <c r="KHR71" s="146"/>
      <c r="KHS71" s="146"/>
      <c r="KHT71" s="146"/>
      <c r="KHU71" s="146"/>
      <c r="KHV71" s="146"/>
      <c r="KHW71" s="146"/>
      <c r="KHX71" s="146"/>
      <c r="KHY71" s="146"/>
      <c r="KHZ71" s="146"/>
      <c r="KIA71" s="146"/>
      <c r="KIB71" s="146"/>
      <c r="KIC71" s="146"/>
      <c r="KID71" s="146"/>
      <c r="KIE71" s="146"/>
      <c r="KIF71" s="146"/>
      <c r="KIG71" s="146"/>
      <c r="KIH71" s="146"/>
      <c r="KII71" s="146"/>
      <c r="KIJ71" s="146"/>
      <c r="KIK71" s="146"/>
      <c r="KIL71" s="146"/>
      <c r="KIM71" s="146"/>
      <c r="KIN71" s="146"/>
      <c r="KIO71" s="146"/>
      <c r="KIP71" s="146"/>
      <c r="KIQ71" s="146"/>
      <c r="KIR71" s="146"/>
      <c r="KIS71" s="146"/>
      <c r="KIT71" s="146"/>
      <c r="KIU71" s="146"/>
      <c r="KIV71" s="146"/>
      <c r="KIW71" s="146"/>
      <c r="KIX71" s="146"/>
      <c r="KIY71" s="146"/>
      <c r="KIZ71" s="146"/>
      <c r="KJA71" s="146"/>
      <c r="KJB71" s="146"/>
      <c r="KJC71" s="146"/>
      <c r="KJD71" s="146"/>
      <c r="KJE71" s="146"/>
      <c r="KJF71" s="146"/>
      <c r="KJG71" s="146"/>
      <c r="KJH71" s="146"/>
      <c r="KJI71" s="146"/>
      <c r="KJJ71" s="146"/>
      <c r="KJK71" s="146"/>
      <c r="KJL71" s="146"/>
      <c r="KJM71" s="146"/>
      <c r="KJN71" s="146"/>
      <c r="KJO71" s="146"/>
      <c r="KJP71" s="146"/>
      <c r="KJQ71" s="146"/>
      <c r="KJR71" s="146"/>
      <c r="KJS71" s="146"/>
      <c r="KJT71" s="146"/>
      <c r="KJU71" s="146"/>
      <c r="KJV71" s="146"/>
      <c r="KJW71" s="146"/>
      <c r="KJX71" s="146"/>
      <c r="KJY71" s="146"/>
      <c r="KJZ71" s="146"/>
      <c r="KKA71" s="146"/>
      <c r="KKB71" s="146"/>
      <c r="KKC71" s="146"/>
      <c r="KKD71" s="146"/>
      <c r="KKE71" s="146"/>
      <c r="KKF71" s="146"/>
      <c r="KKG71" s="146"/>
      <c r="KKH71" s="146"/>
      <c r="KKI71" s="146"/>
      <c r="KKJ71" s="146"/>
      <c r="KKK71" s="146"/>
      <c r="KKL71" s="146"/>
      <c r="KKM71" s="146"/>
      <c r="KKN71" s="146"/>
      <c r="KKO71" s="146"/>
      <c r="KKP71" s="146"/>
      <c r="KKQ71" s="146"/>
      <c r="KKR71" s="146"/>
      <c r="KKS71" s="146"/>
      <c r="KKT71" s="146"/>
      <c r="KKU71" s="146"/>
      <c r="KKV71" s="146"/>
      <c r="KKW71" s="146"/>
      <c r="KKX71" s="146"/>
      <c r="KKY71" s="146"/>
      <c r="KKZ71" s="146"/>
      <c r="KLA71" s="146"/>
      <c r="KLB71" s="146"/>
      <c r="KLC71" s="146"/>
      <c r="KLD71" s="146"/>
      <c r="KLE71" s="146"/>
      <c r="KLF71" s="146"/>
      <c r="KLG71" s="146"/>
      <c r="KLH71" s="146"/>
      <c r="KLI71" s="146"/>
      <c r="KLJ71" s="146"/>
      <c r="KLK71" s="146"/>
      <c r="KLL71" s="146"/>
      <c r="KLM71" s="146"/>
      <c r="KLN71" s="146"/>
      <c r="KLO71" s="146"/>
      <c r="KLP71" s="146"/>
      <c r="KLQ71" s="146"/>
      <c r="KLR71" s="146"/>
      <c r="KLS71" s="146"/>
      <c r="KLT71" s="146"/>
      <c r="KLU71" s="146"/>
      <c r="KLV71" s="146"/>
      <c r="KLW71" s="146"/>
      <c r="KLX71" s="146"/>
      <c r="KLY71" s="146"/>
      <c r="KLZ71" s="146"/>
      <c r="KMA71" s="146"/>
      <c r="KMB71" s="146"/>
      <c r="KMC71" s="146"/>
      <c r="KMD71" s="146"/>
      <c r="KME71" s="146"/>
      <c r="KMF71" s="146"/>
      <c r="KMG71" s="146"/>
      <c r="KMH71" s="146"/>
      <c r="KMI71" s="146"/>
      <c r="KMJ71" s="146"/>
      <c r="KMK71" s="146"/>
      <c r="KML71" s="146"/>
      <c r="KMM71" s="146"/>
      <c r="KMN71" s="146"/>
      <c r="KMO71" s="146"/>
      <c r="KMP71" s="146"/>
      <c r="KMQ71" s="146"/>
      <c r="KMR71" s="146"/>
      <c r="KMS71" s="146"/>
      <c r="KMT71" s="146"/>
      <c r="KMU71" s="146"/>
      <c r="KMV71" s="146"/>
      <c r="KMW71" s="146"/>
      <c r="KMX71" s="146"/>
      <c r="KMY71" s="146"/>
      <c r="KMZ71" s="146"/>
      <c r="KNA71" s="146"/>
      <c r="KNB71" s="146"/>
      <c r="KNC71" s="146"/>
      <c r="KND71" s="146"/>
      <c r="KNE71" s="146"/>
      <c r="KNF71" s="146"/>
      <c r="KNG71" s="146"/>
      <c r="KNH71" s="146"/>
      <c r="KNI71" s="146"/>
      <c r="KNJ71" s="146"/>
      <c r="KNK71" s="146"/>
      <c r="KNL71" s="146"/>
      <c r="KNM71" s="146"/>
      <c r="KNN71" s="146"/>
      <c r="KNO71" s="146"/>
      <c r="KNP71" s="146"/>
      <c r="KNQ71" s="146"/>
      <c r="KNR71" s="146"/>
      <c r="KNS71" s="146"/>
      <c r="KNT71" s="146"/>
      <c r="KNU71" s="146"/>
      <c r="KNV71" s="146"/>
      <c r="KNW71" s="146"/>
      <c r="KNX71" s="146"/>
      <c r="KNY71" s="146"/>
      <c r="KNZ71" s="146"/>
      <c r="KOA71" s="146"/>
      <c r="KOB71" s="146"/>
      <c r="KOC71" s="146"/>
      <c r="KOD71" s="146"/>
      <c r="KOE71" s="146"/>
      <c r="KOF71" s="146"/>
      <c r="KOG71" s="146"/>
      <c r="KOH71" s="146"/>
      <c r="KOI71" s="146"/>
      <c r="KOJ71" s="146"/>
      <c r="KOK71" s="146"/>
      <c r="KOL71" s="146"/>
      <c r="KOM71" s="146"/>
      <c r="KON71" s="146"/>
      <c r="KOO71" s="146"/>
      <c r="KOP71" s="146"/>
      <c r="KOQ71" s="146"/>
      <c r="KOR71" s="146"/>
      <c r="KOS71" s="146"/>
      <c r="KOT71" s="146"/>
      <c r="KOU71" s="146"/>
      <c r="KOV71" s="146"/>
      <c r="KOW71" s="146"/>
      <c r="KOX71" s="146"/>
      <c r="KOY71" s="146"/>
      <c r="KOZ71" s="146"/>
      <c r="KPA71" s="146"/>
      <c r="KPB71" s="146"/>
      <c r="KPC71" s="146"/>
      <c r="KPD71" s="146"/>
      <c r="KPE71" s="146"/>
      <c r="KPF71" s="146"/>
      <c r="KPG71" s="146"/>
      <c r="KPH71" s="146"/>
      <c r="KPI71" s="146"/>
      <c r="KPJ71" s="146"/>
      <c r="KPK71" s="146"/>
      <c r="KPL71" s="146"/>
      <c r="KPM71" s="146"/>
      <c r="KPN71" s="146"/>
      <c r="KPO71" s="146"/>
      <c r="KPP71" s="146"/>
      <c r="KPQ71" s="146"/>
      <c r="KPR71" s="146"/>
      <c r="KPS71" s="146"/>
      <c r="KPT71" s="146"/>
      <c r="KPU71" s="146"/>
      <c r="KPV71" s="146"/>
      <c r="KPW71" s="146"/>
      <c r="KPX71" s="146"/>
      <c r="KPY71" s="146"/>
      <c r="KPZ71" s="146"/>
      <c r="KQA71" s="146"/>
      <c r="KQB71" s="146"/>
      <c r="KQC71" s="146"/>
      <c r="KQD71" s="146"/>
      <c r="KQE71" s="146"/>
      <c r="KQF71" s="146"/>
      <c r="KQG71" s="146"/>
      <c r="KQH71" s="146"/>
      <c r="KQI71" s="146"/>
      <c r="KQJ71" s="146"/>
      <c r="KQK71" s="146"/>
      <c r="KQL71" s="146"/>
      <c r="KQM71" s="146"/>
      <c r="KQN71" s="146"/>
      <c r="KQO71" s="146"/>
      <c r="KQP71" s="146"/>
      <c r="KQQ71" s="146"/>
      <c r="KQR71" s="146"/>
      <c r="KQS71" s="146"/>
      <c r="KQT71" s="146"/>
      <c r="KQU71" s="146"/>
      <c r="KQV71" s="146"/>
      <c r="KQW71" s="146"/>
      <c r="KQX71" s="146"/>
      <c r="KQY71" s="146"/>
      <c r="KQZ71" s="146"/>
      <c r="KRA71" s="146"/>
      <c r="KRB71" s="146"/>
      <c r="KRC71" s="146"/>
      <c r="KRD71" s="146"/>
      <c r="KRE71" s="146"/>
      <c r="KRF71" s="146"/>
      <c r="KRG71" s="146"/>
      <c r="KRH71" s="146"/>
      <c r="KRI71" s="146"/>
      <c r="KRJ71" s="146"/>
      <c r="KRK71" s="146"/>
      <c r="KRL71" s="146"/>
      <c r="KRM71" s="146"/>
      <c r="KRN71" s="146"/>
      <c r="KRO71" s="146"/>
      <c r="KRP71" s="146"/>
      <c r="KRQ71" s="146"/>
      <c r="KRR71" s="146"/>
      <c r="KRS71" s="146"/>
      <c r="KRT71" s="146"/>
      <c r="KRU71" s="146"/>
      <c r="KRV71" s="146"/>
      <c r="KRW71" s="146"/>
      <c r="KRX71" s="146"/>
      <c r="KRY71" s="146"/>
      <c r="KRZ71" s="146"/>
      <c r="KSA71" s="146"/>
      <c r="KSB71" s="146"/>
      <c r="KSC71" s="146"/>
      <c r="KSD71" s="146"/>
      <c r="KSE71" s="146"/>
      <c r="KSF71" s="146"/>
      <c r="KSG71" s="146"/>
      <c r="KSH71" s="146"/>
      <c r="KSI71" s="146"/>
      <c r="KSJ71" s="146"/>
      <c r="KSK71" s="146"/>
      <c r="KSL71" s="146"/>
      <c r="KSM71" s="146"/>
      <c r="KSN71" s="146"/>
      <c r="KSO71" s="146"/>
      <c r="KSP71" s="146"/>
      <c r="KSQ71" s="146"/>
      <c r="KSR71" s="146"/>
      <c r="KSS71" s="146"/>
      <c r="KST71" s="146"/>
      <c r="KSU71" s="146"/>
      <c r="KSV71" s="146"/>
      <c r="KSW71" s="146"/>
      <c r="KSX71" s="146"/>
      <c r="KSY71" s="146"/>
      <c r="KSZ71" s="146"/>
      <c r="KTA71" s="146"/>
      <c r="KTB71" s="146"/>
      <c r="KTC71" s="146"/>
      <c r="KTD71" s="146"/>
      <c r="KTE71" s="146"/>
      <c r="KTF71" s="146"/>
      <c r="KTG71" s="146"/>
      <c r="KTH71" s="146"/>
      <c r="KTI71" s="146"/>
      <c r="KTJ71" s="146"/>
      <c r="KTK71" s="146"/>
      <c r="KTL71" s="146"/>
      <c r="KTM71" s="146"/>
      <c r="KTN71" s="146"/>
      <c r="KTO71" s="146"/>
      <c r="KTP71" s="146"/>
      <c r="KTQ71" s="146"/>
      <c r="KTR71" s="146"/>
      <c r="KTS71" s="146"/>
      <c r="KTT71" s="146"/>
      <c r="KTU71" s="146"/>
      <c r="KTV71" s="146"/>
      <c r="KTW71" s="146"/>
      <c r="KTX71" s="146"/>
      <c r="KTY71" s="146"/>
      <c r="KTZ71" s="146"/>
      <c r="KUA71" s="146"/>
      <c r="KUB71" s="146"/>
      <c r="KUC71" s="146"/>
      <c r="KUD71" s="146"/>
      <c r="KUE71" s="146"/>
      <c r="KUF71" s="146"/>
      <c r="KUG71" s="146"/>
      <c r="KUH71" s="146"/>
      <c r="KUI71" s="146"/>
      <c r="KUJ71" s="146"/>
      <c r="KUK71" s="146"/>
      <c r="KUL71" s="146"/>
      <c r="KUM71" s="146"/>
      <c r="KUN71" s="146"/>
      <c r="KUO71" s="146"/>
      <c r="KUP71" s="146"/>
      <c r="KUQ71" s="146"/>
      <c r="KUR71" s="146"/>
      <c r="KUS71" s="146"/>
      <c r="KUT71" s="146"/>
      <c r="KUU71" s="146"/>
      <c r="KUV71" s="146"/>
      <c r="KUW71" s="146"/>
      <c r="KUX71" s="146"/>
      <c r="KUY71" s="146"/>
      <c r="KUZ71" s="146"/>
      <c r="KVA71" s="146"/>
      <c r="KVB71" s="146"/>
      <c r="KVC71" s="146"/>
      <c r="KVD71" s="146"/>
      <c r="KVE71" s="146"/>
      <c r="KVF71" s="146"/>
      <c r="KVG71" s="146"/>
      <c r="KVH71" s="146"/>
      <c r="KVI71" s="146"/>
      <c r="KVJ71" s="146"/>
      <c r="KVK71" s="146"/>
      <c r="KVL71" s="146"/>
      <c r="KVM71" s="146"/>
      <c r="KVN71" s="146"/>
      <c r="KVO71" s="146"/>
      <c r="KVP71" s="146"/>
      <c r="KVQ71" s="146"/>
      <c r="KVR71" s="146"/>
      <c r="KVS71" s="146"/>
      <c r="KVT71" s="146"/>
      <c r="KVU71" s="146"/>
      <c r="KVV71" s="146"/>
      <c r="KVW71" s="146"/>
      <c r="KVX71" s="146"/>
      <c r="KVY71" s="146"/>
      <c r="KVZ71" s="146"/>
      <c r="KWA71" s="146"/>
      <c r="KWB71" s="146"/>
      <c r="KWC71" s="146"/>
      <c r="KWD71" s="146"/>
      <c r="KWE71" s="146"/>
      <c r="KWF71" s="146"/>
      <c r="KWG71" s="146"/>
      <c r="KWH71" s="146"/>
      <c r="KWI71" s="146"/>
      <c r="KWJ71" s="146"/>
      <c r="KWK71" s="146"/>
      <c r="KWL71" s="146"/>
      <c r="KWM71" s="146"/>
      <c r="KWN71" s="146"/>
      <c r="KWO71" s="146"/>
      <c r="KWP71" s="146"/>
      <c r="KWQ71" s="146"/>
      <c r="KWR71" s="146"/>
      <c r="KWS71" s="146"/>
      <c r="KWT71" s="146"/>
      <c r="KWU71" s="146"/>
      <c r="KWV71" s="146"/>
      <c r="KWW71" s="146"/>
      <c r="KWX71" s="146"/>
      <c r="KWY71" s="146"/>
      <c r="KWZ71" s="146"/>
      <c r="KXA71" s="146"/>
      <c r="KXB71" s="146"/>
      <c r="KXC71" s="146"/>
      <c r="KXD71" s="146"/>
      <c r="KXE71" s="146"/>
      <c r="KXF71" s="146"/>
      <c r="KXG71" s="146"/>
      <c r="KXH71" s="146"/>
      <c r="KXI71" s="146"/>
      <c r="KXJ71" s="146"/>
      <c r="KXK71" s="146"/>
      <c r="KXL71" s="146"/>
      <c r="KXM71" s="146"/>
      <c r="KXN71" s="146"/>
      <c r="KXO71" s="146"/>
      <c r="KXP71" s="146"/>
      <c r="KXQ71" s="146"/>
      <c r="KXR71" s="146"/>
      <c r="KXS71" s="146"/>
      <c r="KXT71" s="146"/>
      <c r="KXU71" s="146"/>
      <c r="KXV71" s="146"/>
      <c r="KXW71" s="146"/>
      <c r="KXX71" s="146"/>
      <c r="KXY71" s="146"/>
      <c r="KXZ71" s="146"/>
      <c r="KYA71" s="146"/>
      <c r="KYB71" s="146"/>
      <c r="KYC71" s="146"/>
      <c r="KYD71" s="146"/>
      <c r="KYE71" s="146"/>
      <c r="KYF71" s="146"/>
      <c r="KYG71" s="146"/>
      <c r="KYH71" s="146"/>
      <c r="KYI71" s="146"/>
      <c r="KYJ71" s="146"/>
      <c r="KYK71" s="146"/>
      <c r="KYL71" s="146"/>
      <c r="KYM71" s="146"/>
      <c r="KYN71" s="146"/>
      <c r="KYO71" s="146"/>
      <c r="KYP71" s="146"/>
      <c r="KYQ71" s="146"/>
      <c r="KYR71" s="146"/>
      <c r="KYS71" s="146"/>
      <c r="KYT71" s="146"/>
      <c r="KYU71" s="146"/>
      <c r="KYV71" s="146"/>
      <c r="KYW71" s="146"/>
      <c r="KYX71" s="146"/>
      <c r="KYY71" s="146"/>
      <c r="KYZ71" s="146"/>
      <c r="KZA71" s="146"/>
      <c r="KZB71" s="146"/>
      <c r="KZC71" s="146"/>
      <c r="KZD71" s="146"/>
      <c r="KZE71" s="146"/>
      <c r="KZF71" s="146"/>
      <c r="KZG71" s="146"/>
      <c r="KZH71" s="146"/>
      <c r="KZI71" s="146"/>
      <c r="KZJ71" s="146"/>
      <c r="KZK71" s="146"/>
      <c r="KZL71" s="146"/>
      <c r="KZM71" s="146"/>
      <c r="KZN71" s="146"/>
      <c r="KZO71" s="146"/>
      <c r="KZP71" s="146"/>
      <c r="KZQ71" s="146"/>
      <c r="KZR71" s="146"/>
      <c r="KZS71" s="146"/>
      <c r="KZT71" s="146"/>
      <c r="KZU71" s="146"/>
      <c r="KZV71" s="146"/>
      <c r="KZW71" s="146"/>
      <c r="KZX71" s="146"/>
      <c r="KZY71" s="146"/>
      <c r="KZZ71" s="146"/>
      <c r="LAA71" s="146"/>
      <c r="LAB71" s="146"/>
      <c r="LAC71" s="146"/>
      <c r="LAD71" s="146"/>
      <c r="LAE71" s="146"/>
      <c r="LAF71" s="146"/>
      <c r="LAG71" s="146"/>
      <c r="LAH71" s="146"/>
      <c r="LAI71" s="146"/>
      <c r="LAJ71" s="146"/>
      <c r="LAK71" s="146"/>
      <c r="LAL71" s="146"/>
      <c r="LAM71" s="146"/>
      <c r="LAN71" s="146"/>
      <c r="LAO71" s="146"/>
      <c r="LAP71" s="146"/>
      <c r="LAQ71" s="146"/>
      <c r="LAR71" s="146"/>
      <c r="LAS71" s="146"/>
      <c r="LAT71" s="146"/>
      <c r="LAU71" s="146"/>
      <c r="LAV71" s="146"/>
      <c r="LAW71" s="146"/>
      <c r="LAX71" s="146"/>
      <c r="LAY71" s="146"/>
      <c r="LAZ71" s="146"/>
      <c r="LBA71" s="146"/>
      <c r="LBB71" s="146"/>
      <c r="LBC71" s="146"/>
      <c r="LBD71" s="146"/>
      <c r="LBE71" s="146"/>
      <c r="LBF71" s="146"/>
      <c r="LBG71" s="146"/>
      <c r="LBH71" s="146"/>
      <c r="LBI71" s="146"/>
      <c r="LBJ71" s="146"/>
      <c r="LBK71" s="146"/>
      <c r="LBL71" s="146"/>
      <c r="LBM71" s="146"/>
      <c r="LBN71" s="146"/>
      <c r="LBO71" s="146"/>
      <c r="LBP71" s="146"/>
      <c r="LBQ71" s="146"/>
      <c r="LBR71" s="146"/>
      <c r="LBS71" s="146"/>
      <c r="LBT71" s="146"/>
      <c r="LBU71" s="146"/>
      <c r="LBV71" s="146"/>
      <c r="LBW71" s="146"/>
      <c r="LBX71" s="146"/>
      <c r="LBY71" s="146"/>
      <c r="LBZ71" s="146"/>
      <c r="LCA71" s="146"/>
      <c r="LCB71" s="146"/>
      <c r="LCC71" s="146"/>
      <c r="LCD71" s="146"/>
      <c r="LCE71" s="146"/>
      <c r="LCF71" s="146"/>
      <c r="LCG71" s="146"/>
      <c r="LCH71" s="146"/>
      <c r="LCI71" s="146"/>
      <c r="LCJ71" s="146"/>
      <c r="LCK71" s="146"/>
      <c r="LCL71" s="146"/>
      <c r="LCM71" s="146"/>
      <c r="LCN71" s="146"/>
      <c r="LCO71" s="146"/>
      <c r="LCP71" s="146"/>
      <c r="LCQ71" s="146"/>
      <c r="LCR71" s="146"/>
      <c r="LCS71" s="146"/>
      <c r="LCT71" s="146"/>
      <c r="LCU71" s="146"/>
      <c r="LCV71" s="146"/>
      <c r="LCW71" s="146"/>
      <c r="LCX71" s="146"/>
      <c r="LCY71" s="146"/>
      <c r="LCZ71" s="146"/>
      <c r="LDA71" s="146"/>
      <c r="LDB71" s="146"/>
      <c r="LDC71" s="146"/>
      <c r="LDD71" s="146"/>
      <c r="LDE71" s="146"/>
      <c r="LDF71" s="146"/>
      <c r="LDG71" s="146"/>
      <c r="LDH71" s="146"/>
      <c r="LDI71" s="146"/>
      <c r="LDJ71" s="146"/>
      <c r="LDK71" s="146"/>
      <c r="LDL71" s="146"/>
      <c r="LDM71" s="146"/>
      <c r="LDN71" s="146"/>
      <c r="LDO71" s="146"/>
      <c r="LDP71" s="146"/>
      <c r="LDQ71" s="146"/>
      <c r="LDR71" s="146"/>
      <c r="LDS71" s="146"/>
      <c r="LDT71" s="146"/>
      <c r="LDU71" s="146"/>
      <c r="LDV71" s="146"/>
      <c r="LDW71" s="146"/>
      <c r="LDX71" s="146"/>
      <c r="LDY71" s="146"/>
      <c r="LDZ71" s="146"/>
      <c r="LEA71" s="146"/>
      <c r="LEB71" s="146"/>
      <c r="LEC71" s="146"/>
      <c r="LED71" s="146"/>
      <c r="LEE71" s="146"/>
      <c r="LEF71" s="146"/>
      <c r="LEG71" s="146"/>
      <c r="LEH71" s="146"/>
      <c r="LEI71" s="146"/>
      <c r="LEJ71" s="146"/>
      <c r="LEK71" s="146"/>
      <c r="LEL71" s="146"/>
      <c r="LEM71" s="146"/>
      <c r="LEN71" s="146"/>
      <c r="LEO71" s="146"/>
      <c r="LEP71" s="146"/>
      <c r="LEQ71" s="146"/>
      <c r="LER71" s="146"/>
      <c r="LES71" s="146"/>
      <c r="LET71" s="146"/>
      <c r="LEU71" s="146"/>
      <c r="LEV71" s="146"/>
      <c r="LEW71" s="146"/>
      <c r="LEX71" s="146"/>
      <c r="LEY71" s="146"/>
      <c r="LEZ71" s="146"/>
      <c r="LFA71" s="146"/>
      <c r="LFB71" s="146"/>
      <c r="LFC71" s="146"/>
      <c r="LFD71" s="146"/>
      <c r="LFE71" s="146"/>
      <c r="LFF71" s="146"/>
      <c r="LFG71" s="146"/>
      <c r="LFH71" s="146"/>
      <c r="LFI71" s="146"/>
      <c r="LFJ71" s="146"/>
      <c r="LFK71" s="146"/>
      <c r="LFL71" s="146"/>
      <c r="LFM71" s="146"/>
      <c r="LFN71" s="146"/>
      <c r="LFO71" s="146"/>
      <c r="LFP71" s="146"/>
      <c r="LFQ71" s="146"/>
      <c r="LFR71" s="146"/>
      <c r="LFS71" s="146"/>
      <c r="LFT71" s="146"/>
      <c r="LFU71" s="146"/>
      <c r="LFV71" s="146"/>
      <c r="LFW71" s="146"/>
      <c r="LFX71" s="146"/>
      <c r="LFY71" s="146"/>
      <c r="LFZ71" s="146"/>
      <c r="LGA71" s="146"/>
      <c r="LGB71" s="146"/>
      <c r="LGC71" s="146"/>
      <c r="LGD71" s="146"/>
      <c r="LGE71" s="146"/>
      <c r="LGF71" s="146"/>
      <c r="LGG71" s="146"/>
      <c r="LGH71" s="146"/>
      <c r="LGI71" s="146"/>
      <c r="LGJ71" s="146"/>
      <c r="LGK71" s="146"/>
      <c r="LGL71" s="146"/>
      <c r="LGM71" s="146"/>
      <c r="LGN71" s="146"/>
      <c r="LGO71" s="146"/>
      <c r="LGP71" s="146"/>
      <c r="LGQ71" s="146"/>
      <c r="LGR71" s="146"/>
      <c r="LGS71" s="146"/>
      <c r="LGT71" s="146"/>
      <c r="LGU71" s="146"/>
      <c r="LGV71" s="146"/>
      <c r="LGW71" s="146"/>
      <c r="LGX71" s="146"/>
      <c r="LGY71" s="146"/>
      <c r="LGZ71" s="146"/>
      <c r="LHA71" s="146"/>
      <c r="LHB71" s="146"/>
      <c r="LHC71" s="146"/>
      <c r="LHD71" s="146"/>
      <c r="LHE71" s="146"/>
      <c r="LHF71" s="146"/>
      <c r="LHG71" s="146"/>
      <c r="LHH71" s="146"/>
      <c r="LHI71" s="146"/>
      <c r="LHJ71" s="146"/>
      <c r="LHK71" s="146"/>
      <c r="LHL71" s="146"/>
      <c r="LHM71" s="146"/>
      <c r="LHN71" s="146"/>
      <c r="LHO71" s="146"/>
      <c r="LHP71" s="146"/>
      <c r="LHQ71" s="146"/>
      <c r="LHR71" s="146"/>
      <c r="LHS71" s="146"/>
      <c r="LHT71" s="146"/>
      <c r="LHU71" s="146"/>
      <c r="LHV71" s="146"/>
      <c r="LHW71" s="146"/>
      <c r="LHX71" s="146"/>
      <c r="LHY71" s="146"/>
      <c r="LHZ71" s="146"/>
      <c r="LIA71" s="146"/>
      <c r="LIB71" s="146"/>
      <c r="LIC71" s="146"/>
      <c r="LID71" s="146"/>
      <c r="LIE71" s="146"/>
      <c r="LIF71" s="146"/>
      <c r="LIG71" s="146"/>
      <c r="LIH71" s="146"/>
      <c r="LII71" s="146"/>
      <c r="LIJ71" s="146"/>
      <c r="LIK71" s="146"/>
      <c r="LIL71" s="146"/>
      <c r="LIM71" s="146"/>
      <c r="LIN71" s="146"/>
      <c r="LIO71" s="146"/>
      <c r="LIP71" s="146"/>
      <c r="LIQ71" s="146"/>
      <c r="LIR71" s="146"/>
      <c r="LIS71" s="146"/>
      <c r="LIT71" s="146"/>
      <c r="LIU71" s="146"/>
      <c r="LIV71" s="146"/>
      <c r="LIW71" s="146"/>
      <c r="LIX71" s="146"/>
      <c r="LIY71" s="146"/>
      <c r="LIZ71" s="146"/>
      <c r="LJA71" s="146"/>
      <c r="LJB71" s="146"/>
      <c r="LJC71" s="146"/>
      <c r="LJD71" s="146"/>
      <c r="LJE71" s="146"/>
      <c r="LJF71" s="146"/>
      <c r="LJG71" s="146"/>
      <c r="LJH71" s="146"/>
      <c r="LJI71" s="146"/>
      <c r="LJJ71" s="146"/>
      <c r="LJK71" s="146"/>
      <c r="LJL71" s="146"/>
      <c r="LJM71" s="146"/>
      <c r="LJN71" s="146"/>
      <c r="LJO71" s="146"/>
      <c r="LJP71" s="146"/>
      <c r="LJQ71" s="146"/>
      <c r="LJR71" s="146"/>
      <c r="LJS71" s="146"/>
      <c r="LJT71" s="146"/>
      <c r="LJU71" s="146"/>
      <c r="LJV71" s="146"/>
      <c r="LJW71" s="146"/>
      <c r="LJX71" s="146"/>
      <c r="LJY71" s="146"/>
      <c r="LJZ71" s="146"/>
      <c r="LKA71" s="146"/>
      <c r="LKB71" s="146"/>
      <c r="LKC71" s="146"/>
      <c r="LKD71" s="146"/>
      <c r="LKE71" s="146"/>
      <c r="LKF71" s="146"/>
      <c r="LKG71" s="146"/>
      <c r="LKH71" s="146"/>
      <c r="LKI71" s="146"/>
      <c r="LKJ71" s="146"/>
      <c r="LKK71" s="146"/>
      <c r="LKL71" s="146"/>
      <c r="LKM71" s="146"/>
      <c r="LKN71" s="146"/>
      <c r="LKO71" s="146"/>
      <c r="LKP71" s="146"/>
      <c r="LKQ71" s="146"/>
      <c r="LKR71" s="146"/>
      <c r="LKS71" s="146"/>
      <c r="LKT71" s="146"/>
      <c r="LKU71" s="146"/>
      <c r="LKV71" s="146"/>
      <c r="LKW71" s="146"/>
      <c r="LKX71" s="146"/>
      <c r="LKY71" s="146"/>
      <c r="LKZ71" s="146"/>
      <c r="LLA71" s="146"/>
      <c r="LLB71" s="146"/>
      <c r="LLC71" s="146"/>
      <c r="LLD71" s="146"/>
      <c r="LLE71" s="146"/>
      <c r="LLF71" s="146"/>
      <c r="LLG71" s="146"/>
      <c r="LLH71" s="146"/>
      <c r="LLI71" s="146"/>
      <c r="LLJ71" s="146"/>
      <c r="LLK71" s="146"/>
      <c r="LLL71" s="146"/>
      <c r="LLM71" s="146"/>
      <c r="LLN71" s="146"/>
      <c r="LLO71" s="146"/>
      <c r="LLP71" s="146"/>
      <c r="LLQ71" s="146"/>
      <c r="LLR71" s="146"/>
      <c r="LLS71" s="146"/>
      <c r="LLT71" s="146"/>
      <c r="LLU71" s="146"/>
      <c r="LLV71" s="146"/>
      <c r="LLW71" s="146"/>
      <c r="LLX71" s="146"/>
      <c r="LLY71" s="146"/>
      <c r="LLZ71" s="146"/>
      <c r="LMA71" s="146"/>
      <c r="LMB71" s="146"/>
      <c r="LMC71" s="146"/>
      <c r="LMD71" s="146"/>
      <c r="LME71" s="146"/>
      <c r="LMF71" s="146"/>
      <c r="LMG71" s="146"/>
      <c r="LMH71" s="146"/>
      <c r="LMI71" s="146"/>
      <c r="LMJ71" s="146"/>
      <c r="LMK71" s="146"/>
      <c r="LML71" s="146"/>
      <c r="LMM71" s="146"/>
      <c r="LMN71" s="146"/>
      <c r="LMO71" s="146"/>
      <c r="LMP71" s="146"/>
      <c r="LMQ71" s="146"/>
      <c r="LMR71" s="146"/>
      <c r="LMS71" s="146"/>
      <c r="LMT71" s="146"/>
      <c r="LMU71" s="146"/>
      <c r="LMV71" s="146"/>
      <c r="LMW71" s="146"/>
      <c r="LMX71" s="146"/>
      <c r="LMY71" s="146"/>
      <c r="LMZ71" s="146"/>
      <c r="LNA71" s="146"/>
      <c r="LNB71" s="146"/>
      <c r="LNC71" s="146"/>
      <c r="LND71" s="146"/>
      <c r="LNE71" s="146"/>
      <c r="LNF71" s="146"/>
      <c r="LNG71" s="146"/>
      <c r="LNH71" s="146"/>
      <c r="LNI71" s="146"/>
      <c r="LNJ71" s="146"/>
      <c r="LNK71" s="146"/>
      <c r="LNL71" s="146"/>
      <c r="LNM71" s="146"/>
      <c r="LNN71" s="146"/>
      <c r="LNO71" s="146"/>
      <c r="LNP71" s="146"/>
      <c r="LNQ71" s="146"/>
      <c r="LNR71" s="146"/>
      <c r="LNS71" s="146"/>
      <c r="LNT71" s="146"/>
      <c r="LNU71" s="146"/>
      <c r="LNV71" s="146"/>
      <c r="LNW71" s="146"/>
      <c r="LNX71" s="146"/>
      <c r="LNY71" s="146"/>
      <c r="LNZ71" s="146"/>
      <c r="LOA71" s="146"/>
      <c r="LOB71" s="146"/>
      <c r="LOC71" s="146"/>
      <c r="LOD71" s="146"/>
      <c r="LOE71" s="146"/>
      <c r="LOF71" s="146"/>
      <c r="LOG71" s="146"/>
      <c r="LOH71" s="146"/>
      <c r="LOI71" s="146"/>
      <c r="LOJ71" s="146"/>
      <c r="LOK71" s="146"/>
      <c r="LOL71" s="146"/>
      <c r="LOM71" s="146"/>
      <c r="LON71" s="146"/>
      <c r="LOO71" s="146"/>
      <c r="LOP71" s="146"/>
      <c r="LOQ71" s="146"/>
      <c r="LOR71" s="146"/>
      <c r="LOS71" s="146"/>
      <c r="LOT71" s="146"/>
      <c r="LOU71" s="146"/>
      <c r="LOV71" s="146"/>
      <c r="LOW71" s="146"/>
      <c r="LOX71" s="146"/>
      <c r="LOY71" s="146"/>
      <c r="LOZ71" s="146"/>
      <c r="LPA71" s="146"/>
      <c r="LPB71" s="146"/>
      <c r="LPC71" s="146"/>
      <c r="LPD71" s="146"/>
      <c r="LPE71" s="146"/>
      <c r="LPF71" s="146"/>
      <c r="LPG71" s="146"/>
      <c r="LPH71" s="146"/>
      <c r="LPI71" s="146"/>
      <c r="LPJ71" s="146"/>
      <c r="LPK71" s="146"/>
      <c r="LPL71" s="146"/>
      <c r="LPM71" s="146"/>
      <c r="LPN71" s="146"/>
      <c r="LPO71" s="146"/>
      <c r="LPP71" s="146"/>
      <c r="LPQ71" s="146"/>
      <c r="LPR71" s="146"/>
      <c r="LPS71" s="146"/>
      <c r="LPT71" s="146"/>
      <c r="LPU71" s="146"/>
      <c r="LPV71" s="146"/>
      <c r="LPW71" s="146"/>
      <c r="LPX71" s="146"/>
      <c r="LPY71" s="146"/>
      <c r="LPZ71" s="146"/>
      <c r="LQA71" s="146"/>
      <c r="LQB71" s="146"/>
      <c r="LQC71" s="146"/>
      <c r="LQD71" s="146"/>
      <c r="LQE71" s="146"/>
      <c r="LQF71" s="146"/>
      <c r="LQG71" s="146"/>
      <c r="LQH71" s="146"/>
      <c r="LQI71" s="146"/>
      <c r="LQJ71" s="146"/>
      <c r="LQK71" s="146"/>
      <c r="LQL71" s="146"/>
      <c r="LQM71" s="146"/>
      <c r="LQN71" s="146"/>
      <c r="LQO71" s="146"/>
      <c r="LQP71" s="146"/>
      <c r="LQQ71" s="146"/>
      <c r="LQR71" s="146"/>
      <c r="LQS71" s="146"/>
      <c r="LQT71" s="146"/>
      <c r="LQU71" s="146"/>
      <c r="LQV71" s="146"/>
      <c r="LQW71" s="146"/>
      <c r="LQX71" s="146"/>
      <c r="LQY71" s="146"/>
      <c r="LQZ71" s="146"/>
      <c r="LRA71" s="146"/>
      <c r="LRB71" s="146"/>
      <c r="LRC71" s="146"/>
      <c r="LRD71" s="146"/>
      <c r="LRE71" s="146"/>
      <c r="LRF71" s="146"/>
      <c r="LRG71" s="146"/>
      <c r="LRH71" s="146"/>
      <c r="LRI71" s="146"/>
      <c r="LRJ71" s="146"/>
      <c r="LRK71" s="146"/>
      <c r="LRL71" s="146"/>
      <c r="LRM71" s="146"/>
      <c r="LRN71" s="146"/>
      <c r="LRO71" s="146"/>
      <c r="LRP71" s="146"/>
      <c r="LRQ71" s="146"/>
      <c r="LRR71" s="146"/>
      <c r="LRS71" s="146"/>
      <c r="LRT71" s="146"/>
      <c r="LRU71" s="146"/>
      <c r="LRV71" s="146"/>
      <c r="LRW71" s="146"/>
      <c r="LRX71" s="146"/>
      <c r="LRY71" s="146"/>
      <c r="LRZ71" s="146"/>
      <c r="LSA71" s="146"/>
      <c r="LSB71" s="146"/>
      <c r="LSC71" s="146"/>
      <c r="LSD71" s="146"/>
      <c r="LSE71" s="146"/>
      <c r="LSF71" s="146"/>
      <c r="LSG71" s="146"/>
      <c r="LSH71" s="146"/>
      <c r="LSI71" s="146"/>
      <c r="LSJ71" s="146"/>
      <c r="LSK71" s="146"/>
      <c r="LSL71" s="146"/>
      <c r="LSM71" s="146"/>
      <c r="LSN71" s="146"/>
      <c r="LSO71" s="146"/>
      <c r="LSP71" s="146"/>
      <c r="LSQ71" s="146"/>
      <c r="LSR71" s="146"/>
      <c r="LSS71" s="146"/>
      <c r="LST71" s="146"/>
      <c r="LSU71" s="146"/>
      <c r="LSV71" s="146"/>
      <c r="LSW71" s="146"/>
      <c r="LSX71" s="146"/>
      <c r="LSY71" s="146"/>
      <c r="LSZ71" s="146"/>
      <c r="LTA71" s="146"/>
      <c r="LTB71" s="146"/>
      <c r="LTC71" s="146"/>
      <c r="LTD71" s="146"/>
      <c r="LTE71" s="146"/>
      <c r="LTF71" s="146"/>
      <c r="LTG71" s="146"/>
      <c r="LTH71" s="146"/>
      <c r="LTI71" s="146"/>
      <c r="LTJ71" s="146"/>
      <c r="LTK71" s="146"/>
      <c r="LTL71" s="146"/>
      <c r="LTM71" s="146"/>
      <c r="LTN71" s="146"/>
      <c r="LTO71" s="146"/>
      <c r="LTP71" s="146"/>
      <c r="LTQ71" s="146"/>
      <c r="LTR71" s="146"/>
      <c r="LTS71" s="146"/>
      <c r="LTT71" s="146"/>
      <c r="LTU71" s="146"/>
      <c r="LTV71" s="146"/>
      <c r="LTW71" s="146"/>
      <c r="LTX71" s="146"/>
      <c r="LTY71" s="146"/>
      <c r="LTZ71" s="146"/>
      <c r="LUA71" s="146"/>
      <c r="LUB71" s="146"/>
      <c r="LUC71" s="146"/>
      <c r="LUD71" s="146"/>
      <c r="LUE71" s="146"/>
      <c r="LUF71" s="146"/>
      <c r="LUG71" s="146"/>
      <c r="LUH71" s="146"/>
      <c r="LUI71" s="146"/>
      <c r="LUJ71" s="146"/>
      <c r="LUK71" s="146"/>
      <c r="LUL71" s="146"/>
      <c r="LUM71" s="146"/>
      <c r="LUN71" s="146"/>
      <c r="LUO71" s="146"/>
      <c r="LUP71" s="146"/>
      <c r="LUQ71" s="146"/>
      <c r="LUR71" s="146"/>
      <c r="LUS71" s="146"/>
      <c r="LUT71" s="146"/>
      <c r="LUU71" s="146"/>
      <c r="LUV71" s="146"/>
      <c r="LUW71" s="146"/>
      <c r="LUX71" s="146"/>
      <c r="LUY71" s="146"/>
      <c r="LUZ71" s="146"/>
      <c r="LVA71" s="146"/>
      <c r="LVB71" s="146"/>
      <c r="LVC71" s="146"/>
      <c r="LVD71" s="146"/>
      <c r="LVE71" s="146"/>
      <c r="LVF71" s="146"/>
      <c r="LVG71" s="146"/>
      <c r="LVH71" s="146"/>
      <c r="LVI71" s="146"/>
      <c r="LVJ71" s="146"/>
      <c r="LVK71" s="146"/>
      <c r="LVL71" s="146"/>
      <c r="LVM71" s="146"/>
      <c r="LVN71" s="146"/>
      <c r="LVO71" s="146"/>
      <c r="LVP71" s="146"/>
      <c r="LVQ71" s="146"/>
      <c r="LVR71" s="146"/>
      <c r="LVS71" s="146"/>
      <c r="LVT71" s="146"/>
      <c r="LVU71" s="146"/>
      <c r="LVV71" s="146"/>
      <c r="LVW71" s="146"/>
      <c r="LVX71" s="146"/>
      <c r="LVY71" s="146"/>
      <c r="LVZ71" s="146"/>
      <c r="LWA71" s="146"/>
      <c r="LWB71" s="146"/>
      <c r="LWC71" s="146"/>
      <c r="LWD71" s="146"/>
      <c r="LWE71" s="146"/>
      <c r="LWF71" s="146"/>
      <c r="LWG71" s="146"/>
      <c r="LWH71" s="146"/>
      <c r="LWI71" s="146"/>
      <c r="LWJ71" s="146"/>
      <c r="LWK71" s="146"/>
      <c r="LWL71" s="146"/>
      <c r="LWM71" s="146"/>
      <c r="LWN71" s="146"/>
      <c r="LWO71" s="146"/>
      <c r="LWP71" s="146"/>
      <c r="LWQ71" s="146"/>
      <c r="LWR71" s="146"/>
      <c r="LWS71" s="146"/>
      <c r="LWT71" s="146"/>
      <c r="LWU71" s="146"/>
      <c r="LWV71" s="146"/>
      <c r="LWW71" s="146"/>
      <c r="LWX71" s="146"/>
      <c r="LWY71" s="146"/>
      <c r="LWZ71" s="146"/>
      <c r="LXA71" s="146"/>
      <c r="LXB71" s="146"/>
      <c r="LXC71" s="146"/>
      <c r="LXD71" s="146"/>
      <c r="LXE71" s="146"/>
      <c r="LXF71" s="146"/>
      <c r="LXG71" s="146"/>
      <c r="LXH71" s="146"/>
      <c r="LXI71" s="146"/>
      <c r="LXJ71" s="146"/>
      <c r="LXK71" s="146"/>
      <c r="LXL71" s="146"/>
      <c r="LXM71" s="146"/>
      <c r="LXN71" s="146"/>
      <c r="LXO71" s="146"/>
      <c r="LXP71" s="146"/>
      <c r="LXQ71" s="146"/>
      <c r="LXR71" s="146"/>
      <c r="LXS71" s="146"/>
      <c r="LXT71" s="146"/>
      <c r="LXU71" s="146"/>
      <c r="LXV71" s="146"/>
      <c r="LXW71" s="146"/>
      <c r="LXX71" s="146"/>
      <c r="LXY71" s="146"/>
      <c r="LXZ71" s="146"/>
      <c r="LYA71" s="146"/>
      <c r="LYB71" s="146"/>
      <c r="LYC71" s="146"/>
      <c r="LYD71" s="146"/>
      <c r="LYE71" s="146"/>
      <c r="LYF71" s="146"/>
      <c r="LYG71" s="146"/>
      <c r="LYH71" s="146"/>
      <c r="LYI71" s="146"/>
      <c r="LYJ71" s="146"/>
      <c r="LYK71" s="146"/>
      <c r="LYL71" s="146"/>
      <c r="LYM71" s="146"/>
      <c r="LYN71" s="146"/>
      <c r="LYO71" s="146"/>
      <c r="LYP71" s="146"/>
      <c r="LYQ71" s="146"/>
      <c r="LYR71" s="146"/>
      <c r="LYS71" s="146"/>
      <c r="LYT71" s="146"/>
      <c r="LYU71" s="146"/>
      <c r="LYV71" s="146"/>
      <c r="LYW71" s="146"/>
      <c r="LYX71" s="146"/>
      <c r="LYY71" s="146"/>
      <c r="LYZ71" s="146"/>
      <c r="LZA71" s="146"/>
      <c r="LZB71" s="146"/>
      <c r="LZC71" s="146"/>
      <c r="LZD71" s="146"/>
      <c r="LZE71" s="146"/>
      <c r="LZF71" s="146"/>
      <c r="LZG71" s="146"/>
      <c r="LZH71" s="146"/>
      <c r="LZI71" s="146"/>
      <c r="LZJ71" s="146"/>
      <c r="LZK71" s="146"/>
      <c r="LZL71" s="146"/>
      <c r="LZM71" s="146"/>
      <c r="LZN71" s="146"/>
      <c r="LZO71" s="146"/>
      <c r="LZP71" s="146"/>
      <c r="LZQ71" s="146"/>
      <c r="LZR71" s="146"/>
      <c r="LZS71" s="146"/>
      <c r="LZT71" s="146"/>
      <c r="LZU71" s="146"/>
      <c r="LZV71" s="146"/>
      <c r="LZW71" s="146"/>
      <c r="LZX71" s="146"/>
      <c r="LZY71" s="146"/>
      <c r="LZZ71" s="146"/>
      <c r="MAA71" s="146"/>
      <c r="MAB71" s="146"/>
      <c r="MAC71" s="146"/>
      <c r="MAD71" s="146"/>
      <c r="MAE71" s="146"/>
      <c r="MAF71" s="146"/>
      <c r="MAG71" s="146"/>
      <c r="MAH71" s="146"/>
      <c r="MAI71" s="146"/>
      <c r="MAJ71" s="146"/>
      <c r="MAK71" s="146"/>
      <c r="MAL71" s="146"/>
      <c r="MAM71" s="146"/>
      <c r="MAN71" s="146"/>
      <c r="MAO71" s="146"/>
      <c r="MAP71" s="146"/>
      <c r="MAQ71" s="146"/>
      <c r="MAR71" s="146"/>
      <c r="MAS71" s="146"/>
      <c r="MAT71" s="146"/>
      <c r="MAU71" s="146"/>
      <c r="MAV71" s="146"/>
      <c r="MAW71" s="146"/>
      <c r="MAX71" s="146"/>
      <c r="MAY71" s="146"/>
      <c r="MAZ71" s="146"/>
      <c r="MBA71" s="146"/>
      <c r="MBB71" s="146"/>
      <c r="MBC71" s="146"/>
      <c r="MBD71" s="146"/>
      <c r="MBE71" s="146"/>
      <c r="MBF71" s="146"/>
      <c r="MBG71" s="146"/>
      <c r="MBH71" s="146"/>
      <c r="MBI71" s="146"/>
      <c r="MBJ71" s="146"/>
      <c r="MBK71" s="146"/>
      <c r="MBL71" s="146"/>
      <c r="MBM71" s="146"/>
      <c r="MBN71" s="146"/>
      <c r="MBO71" s="146"/>
      <c r="MBP71" s="146"/>
      <c r="MBQ71" s="146"/>
      <c r="MBR71" s="146"/>
      <c r="MBS71" s="146"/>
      <c r="MBT71" s="146"/>
      <c r="MBU71" s="146"/>
      <c r="MBV71" s="146"/>
      <c r="MBW71" s="146"/>
      <c r="MBX71" s="146"/>
      <c r="MBY71" s="146"/>
      <c r="MBZ71" s="146"/>
      <c r="MCA71" s="146"/>
      <c r="MCB71" s="146"/>
      <c r="MCC71" s="146"/>
      <c r="MCD71" s="146"/>
      <c r="MCE71" s="146"/>
      <c r="MCF71" s="146"/>
      <c r="MCG71" s="146"/>
      <c r="MCH71" s="146"/>
      <c r="MCI71" s="146"/>
      <c r="MCJ71" s="146"/>
      <c r="MCK71" s="146"/>
      <c r="MCL71" s="146"/>
      <c r="MCM71" s="146"/>
      <c r="MCN71" s="146"/>
      <c r="MCO71" s="146"/>
      <c r="MCP71" s="146"/>
      <c r="MCQ71" s="146"/>
      <c r="MCR71" s="146"/>
      <c r="MCS71" s="146"/>
      <c r="MCT71" s="146"/>
      <c r="MCU71" s="146"/>
      <c r="MCV71" s="146"/>
      <c r="MCW71" s="146"/>
      <c r="MCX71" s="146"/>
      <c r="MCY71" s="146"/>
      <c r="MCZ71" s="146"/>
      <c r="MDA71" s="146"/>
      <c r="MDB71" s="146"/>
      <c r="MDC71" s="146"/>
      <c r="MDD71" s="146"/>
      <c r="MDE71" s="146"/>
      <c r="MDF71" s="146"/>
      <c r="MDG71" s="146"/>
      <c r="MDH71" s="146"/>
      <c r="MDI71" s="146"/>
      <c r="MDJ71" s="146"/>
      <c r="MDK71" s="146"/>
      <c r="MDL71" s="146"/>
      <c r="MDM71" s="146"/>
      <c r="MDN71" s="146"/>
      <c r="MDO71" s="146"/>
      <c r="MDP71" s="146"/>
      <c r="MDQ71" s="146"/>
      <c r="MDR71" s="146"/>
      <c r="MDS71" s="146"/>
      <c r="MDT71" s="146"/>
      <c r="MDU71" s="146"/>
      <c r="MDV71" s="146"/>
      <c r="MDW71" s="146"/>
      <c r="MDX71" s="146"/>
      <c r="MDY71" s="146"/>
      <c r="MDZ71" s="146"/>
      <c r="MEA71" s="146"/>
      <c r="MEB71" s="146"/>
      <c r="MEC71" s="146"/>
      <c r="MED71" s="146"/>
      <c r="MEE71" s="146"/>
      <c r="MEF71" s="146"/>
      <c r="MEG71" s="146"/>
      <c r="MEH71" s="146"/>
      <c r="MEI71" s="146"/>
      <c r="MEJ71" s="146"/>
      <c r="MEK71" s="146"/>
      <c r="MEL71" s="146"/>
      <c r="MEM71" s="146"/>
      <c r="MEN71" s="146"/>
      <c r="MEO71" s="146"/>
      <c r="MEP71" s="146"/>
      <c r="MEQ71" s="146"/>
      <c r="MER71" s="146"/>
      <c r="MES71" s="146"/>
      <c r="MET71" s="146"/>
      <c r="MEU71" s="146"/>
      <c r="MEV71" s="146"/>
      <c r="MEW71" s="146"/>
      <c r="MEX71" s="146"/>
      <c r="MEY71" s="146"/>
      <c r="MEZ71" s="146"/>
      <c r="MFA71" s="146"/>
      <c r="MFB71" s="146"/>
      <c r="MFC71" s="146"/>
      <c r="MFD71" s="146"/>
      <c r="MFE71" s="146"/>
      <c r="MFF71" s="146"/>
      <c r="MFG71" s="146"/>
      <c r="MFH71" s="146"/>
      <c r="MFI71" s="146"/>
      <c r="MFJ71" s="146"/>
      <c r="MFK71" s="146"/>
      <c r="MFL71" s="146"/>
      <c r="MFM71" s="146"/>
      <c r="MFN71" s="146"/>
      <c r="MFO71" s="146"/>
      <c r="MFP71" s="146"/>
      <c r="MFQ71" s="146"/>
      <c r="MFR71" s="146"/>
      <c r="MFS71" s="146"/>
      <c r="MFT71" s="146"/>
      <c r="MFU71" s="146"/>
      <c r="MFV71" s="146"/>
      <c r="MFW71" s="146"/>
      <c r="MFX71" s="146"/>
      <c r="MFY71" s="146"/>
      <c r="MFZ71" s="146"/>
      <c r="MGA71" s="146"/>
      <c r="MGB71" s="146"/>
      <c r="MGC71" s="146"/>
      <c r="MGD71" s="146"/>
      <c r="MGE71" s="146"/>
      <c r="MGF71" s="146"/>
      <c r="MGG71" s="146"/>
      <c r="MGH71" s="146"/>
      <c r="MGI71" s="146"/>
      <c r="MGJ71" s="146"/>
      <c r="MGK71" s="146"/>
      <c r="MGL71" s="146"/>
      <c r="MGM71" s="146"/>
      <c r="MGN71" s="146"/>
      <c r="MGO71" s="146"/>
      <c r="MGP71" s="146"/>
      <c r="MGQ71" s="146"/>
      <c r="MGR71" s="146"/>
      <c r="MGS71" s="146"/>
      <c r="MGT71" s="146"/>
      <c r="MGU71" s="146"/>
      <c r="MGV71" s="146"/>
      <c r="MGW71" s="146"/>
      <c r="MGX71" s="146"/>
      <c r="MGY71" s="146"/>
      <c r="MGZ71" s="146"/>
      <c r="MHA71" s="146"/>
      <c r="MHB71" s="146"/>
      <c r="MHC71" s="146"/>
      <c r="MHD71" s="146"/>
      <c r="MHE71" s="146"/>
      <c r="MHF71" s="146"/>
      <c r="MHG71" s="146"/>
      <c r="MHH71" s="146"/>
      <c r="MHI71" s="146"/>
      <c r="MHJ71" s="146"/>
      <c r="MHK71" s="146"/>
      <c r="MHL71" s="146"/>
      <c r="MHM71" s="146"/>
      <c r="MHN71" s="146"/>
      <c r="MHO71" s="146"/>
      <c r="MHP71" s="146"/>
      <c r="MHQ71" s="146"/>
      <c r="MHR71" s="146"/>
      <c r="MHS71" s="146"/>
      <c r="MHT71" s="146"/>
      <c r="MHU71" s="146"/>
      <c r="MHV71" s="146"/>
      <c r="MHW71" s="146"/>
      <c r="MHX71" s="146"/>
      <c r="MHY71" s="146"/>
      <c r="MHZ71" s="146"/>
      <c r="MIA71" s="146"/>
      <c r="MIB71" s="146"/>
      <c r="MIC71" s="146"/>
      <c r="MID71" s="146"/>
      <c r="MIE71" s="146"/>
      <c r="MIF71" s="146"/>
      <c r="MIG71" s="146"/>
      <c r="MIH71" s="146"/>
      <c r="MII71" s="146"/>
      <c r="MIJ71" s="146"/>
      <c r="MIK71" s="146"/>
      <c r="MIL71" s="146"/>
      <c r="MIM71" s="146"/>
      <c r="MIN71" s="146"/>
      <c r="MIO71" s="146"/>
      <c r="MIP71" s="146"/>
      <c r="MIQ71" s="146"/>
      <c r="MIR71" s="146"/>
      <c r="MIS71" s="146"/>
      <c r="MIT71" s="146"/>
      <c r="MIU71" s="146"/>
      <c r="MIV71" s="146"/>
      <c r="MIW71" s="146"/>
      <c r="MIX71" s="146"/>
      <c r="MIY71" s="146"/>
      <c r="MIZ71" s="146"/>
      <c r="MJA71" s="146"/>
      <c r="MJB71" s="146"/>
      <c r="MJC71" s="146"/>
      <c r="MJD71" s="146"/>
      <c r="MJE71" s="146"/>
      <c r="MJF71" s="146"/>
      <c r="MJG71" s="146"/>
      <c r="MJH71" s="146"/>
      <c r="MJI71" s="146"/>
      <c r="MJJ71" s="146"/>
      <c r="MJK71" s="146"/>
      <c r="MJL71" s="146"/>
      <c r="MJM71" s="146"/>
      <c r="MJN71" s="146"/>
      <c r="MJO71" s="146"/>
      <c r="MJP71" s="146"/>
      <c r="MJQ71" s="146"/>
      <c r="MJR71" s="146"/>
      <c r="MJS71" s="146"/>
      <c r="MJT71" s="146"/>
      <c r="MJU71" s="146"/>
      <c r="MJV71" s="146"/>
      <c r="MJW71" s="146"/>
      <c r="MJX71" s="146"/>
      <c r="MJY71" s="146"/>
      <c r="MJZ71" s="146"/>
      <c r="MKA71" s="146"/>
      <c r="MKB71" s="146"/>
      <c r="MKC71" s="146"/>
      <c r="MKD71" s="146"/>
      <c r="MKE71" s="146"/>
      <c r="MKF71" s="146"/>
      <c r="MKG71" s="146"/>
      <c r="MKH71" s="146"/>
      <c r="MKI71" s="146"/>
      <c r="MKJ71" s="146"/>
      <c r="MKK71" s="146"/>
      <c r="MKL71" s="146"/>
      <c r="MKM71" s="146"/>
      <c r="MKN71" s="146"/>
      <c r="MKO71" s="146"/>
      <c r="MKP71" s="146"/>
      <c r="MKQ71" s="146"/>
      <c r="MKR71" s="146"/>
      <c r="MKS71" s="146"/>
      <c r="MKT71" s="146"/>
      <c r="MKU71" s="146"/>
      <c r="MKV71" s="146"/>
      <c r="MKW71" s="146"/>
      <c r="MKX71" s="146"/>
      <c r="MKY71" s="146"/>
      <c r="MKZ71" s="146"/>
      <c r="MLA71" s="146"/>
      <c r="MLB71" s="146"/>
      <c r="MLC71" s="146"/>
      <c r="MLD71" s="146"/>
      <c r="MLE71" s="146"/>
      <c r="MLF71" s="146"/>
      <c r="MLG71" s="146"/>
      <c r="MLH71" s="146"/>
      <c r="MLI71" s="146"/>
      <c r="MLJ71" s="146"/>
      <c r="MLK71" s="146"/>
      <c r="MLL71" s="146"/>
      <c r="MLM71" s="146"/>
      <c r="MLN71" s="146"/>
      <c r="MLO71" s="146"/>
      <c r="MLP71" s="146"/>
      <c r="MLQ71" s="146"/>
      <c r="MLR71" s="146"/>
      <c r="MLS71" s="146"/>
      <c r="MLT71" s="146"/>
      <c r="MLU71" s="146"/>
      <c r="MLV71" s="146"/>
      <c r="MLW71" s="146"/>
      <c r="MLX71" s="146"/>
      <c r="MLY71" s="146"/>
      <c r="MLZ71" s="146"/>
      <c r="MMA71" s="146"/>
      <c r="MMB71" s="146"/>
      <c r="MMC71" s="146"/>
      <c r="MMD71" s="146"/>
      <c r="MME71" s="146"/>
      <c r="MMF71" s="146"/>
      <c r="MMG71" s="146"/>
      <c r="MMH71" s="146"/>
      <c r="MMI71" s="146"/>
      <c r="MMJ71" s="146"/>
      <c r="MMK71" s="146"/>
      <c r="MML71" s="146"/>
      <c r="MMM71" s="146"/>
      <c r="MMN71" s="146"/>
      <c r="MMO71" s="146"/>
      <c r="MMP71" s="146"/>
      <c r="MMQ71" s="146"/>
      <c r="MMR71" s="146"/>
      <c r="MMS71" s="146"/>
      <c r="MMT71" s="146"/>
      <c r="MMU71" s="146"/>
      <c r="MMV71" s="146"/>
      <c r="MMW71" s="146"/>
      <c r="MMX71" s="146"/>
      <c r="MMY71" s="146"/>
      <c r="MMZ71" s="146"/>
      <c r="MNA71" s="146"/>
      <c r="MNB71" s="146"/>
      <c r="MNC71" s="146"/>
      <c r="MND71" s="146"/>
      <c r="MNE71" s="146"/>
      <c r="MNF71" s="146"/>
      <c r="MNG71" s="146"/>
      <c r="MNH71" s="146"/>
      <c r="MNI71" s="146"/>
      <c r="MNJ71" s="146"/>
      <c r="MNK71" s="146"/>
      <c r="MNL71" s="146"/>
      <c r="MNM71" s="146"/>
      <c r="MNN71" s="146"/>
      <c r="MNO71" s="146"/>
      <c r="MNP71" s="146"/>
      <c r="MNQ71" s="146"/>
      <c r="MNR71" s="146"/>
      <c r="MNS71" s="146"/>
      <c r="MNT71" s="146"/>
      <c r="MNU71" s="146"/>
      <c r="MNV71" s="146"/>
      <c r="MNW71" s="146"/>
      <c r="MNX71" s="146"/>
      <c r="MNY71" s="146"/>
      <c r="MNZ71" s="146"/>
      <c r="MOA71" s="146"/>
      <c r="MOB71" s="146"/>
      <c r="MOC71" s="146"/>
      <c r="MOD71" s="146"/>
      <c r="MOE71" s="146"/>
      <c r="MOF71" s="146"/>
      <c r="MOG71" s="146"/>
      <c r="MOH71" s="146"/>
      <c r="MOI71" s="146"/>
      <c r="MOJ71" s="146"/>
      <c r="MOK71" s="146"/>
      <c r="MOL71" s="146"/>
      <c r="MOM71" s="146"/>
      <c r="MON71" s="146"/>
      <c r="MOO71" s="146"/>
      <c r="MOP71" s="146"/>
      <c r="MOQ71" s="146"/>
      <c r="MOR71" s="146"/>
      <c r="MOS71" s="146"/>
      <c r="MOT71" s="146"/>
      <c r="MOU71" s="146"/>
      <c r="MOV71" s="146"/>
      <c r="MOW71" s="146"/>
      <c r="MOX71" s="146"/>
      <c r="MOY71" s="146"/>
      <c r="MOZ71" s="146"/>
      <c r="MPA71" s="146"/>
      <c r="MPB71" s="146"/>
      <c r="MPC71" s="146"/>
      <c r="MPD71" s="146"/>
      <c r="MPE71" s="146"/>
      <c r="MPF71" s="146"/>
      <c r="MPG71" s="146"/>
      <c r="MPH71" s="146"/>
      <c r="MPI71" s="146"/>
      <c r="MPJ71" s="146"/>
      <c r="MPK71" s="146"/>
      <c r="MPL71" s="146"/>
      <c r="MPM71" s="146"/>
      <c r="MPN71" s="146"/>
      <c r="MPO71" s="146"/>
      <c r="MPP71" s="146"/>
      <c r="MPQ71" s="146"/>
      <c r="MPR71" s="146"/>
      <c r="MPS71" s="146"/>
      <c r="MPT71" s="146"/>
      <c r="MPU71" s="146"/>
      <c r="MPV71" s="146"/>
      <c r="MPW71" s="146"/>
      <c r="MPX71" s="146"/>
      <c r="MPY71" s="146"/>
      <c r="MPZ71" s="146"/>
      <c r="MQA71" s="146"/>
      <c r="MQB71" s="146"/>
      <c r="MQC71" s="146"/>
      <c r="MQD71" s="146"/>
      <c r="MQE71" s="146"/>
      <c r="MQF71" s="146"/>
      <c r="MQG71" s="146"/>
      <c r="MQH71" s="146"/>
      <c r="MQI71" s="146"/>
      <c r="MQJ71" s="146"/>
      <c r="MQK71" s="146"/>
      <c r="MQL71" s="146"/>
      <c r="MQM71" s="146"/>
      <c r="MQN71" s="146"/>
      <c r="MQO71" s="146"/>
      <c r="MQP71" s="146"/>
      <c r="MQQ71" s="146"/>
      <c r="MQR71" s="146"/>
      <c r="MQS71" s="146"/>
      <c r="MQT71" s="146"/>
      <c r="MQU71" s="146"/>
      <c r="MQV71" s="146"/>
      <c r="MQW71" s="146"/>
      <c r="MQX71" s="146"/>
      <c r="MQY71" s="146"/>
      <c r="MQZ71" s="146"/>
      <c r="MRA71" s="146"/>
      <c r="MRB71" s="146"/>
      <c r="MRC71" s="146"/>
      <c r="MRD71" s="146"/>
      <c r="MRE71" s="146"/>
      <c r="MRF71" s="146"/>
      <c r="MRG71" s="146"/>
      <c r="MRH71" s="146"/>
      <c r="MRI71" s="146"/>
      <c r="MRJ71" s="146"/>
      <c r="MRK71" s="146"/>
      <c r="MRL71" s="146"/>
      <c r="MRM71" s="146"/>
      <c r="MRN71" s="146"/>
      <c r="MRO71" s="146"/>
      <c r="MRP71" s="146"/>
      <c r="MRQ71" s="146"/>
      <c r="MRR71" s="146"/>
      <c r="MRS71" s="146"/>
      <c r="MRT71" s="146"/>
      <c r="MRU71" s="146"/>
      <c r="MRV71" s="146"/>
      <c r="MRW71" s="146"/>
      <c r="MRX71" s="146"/>
      <c r="MRY71" s="146"/>
      <c r="MRZ71" s="146"/>
      <c r="MSA71" s="146"/>
      <c r="MSB71" s="146"/>
      <c r="MSC71" s="146"/>
      <c r="MSD71" s="146"/>
      <c r="MSE71" s="146"/>
      <c r="MSF71" s="146"/>
      <c r="MSG71" s="146"/>
      <c r="MSH71" s="146"/>
      <c r="MSI71" s="146"/>
      <c r="MSJ71" s="146"/>
      <c r="MSK71" s="146"/>
      <c r="MSL71" s="146"/>
      <c r="MSM71" s="146"/>
      <c r="MSN71" s="146"/>
      <c r="MSO71" s="146"/>
      <c r="MSP71" s="146"/>
      <c r="MSQ71" s="146"/>
      <c r="MSR71" s="146"/>
      <c r="MSS71" s="146"/>
      <c r="MST71" s="146"/>
      <c r="MSU71" s="146"/>
      <c r="MSV71" s="146"/>
      <c r="MSW71" s="146"/>
      <c r="MSX71" s="146"/>
      <c r="MSY71" s="146"/>
      <c r="MSZ71" s="146"/>
      <c r="MTA71" s="146"/>
      <c r="MTB71" s="146"/>
      <c r="MTC71" s="146"/>
      <c r="MTD71" s="146"/>
      <c r="MTE71" s="146"/>
      <c r="MTF71" s="146"/>
      <c r="MTG71" s="146"/>
      <c r="MTH71" s="146"/>
      <c r="MTI71" s="146"/>
      <c r="MTJ71" s="146"/>
      <c r="MTK71" s="146"/>
      <c r="MTL71" s="146"/>
      <c r="MTM71" s="146"/>
      <c r="MTN71" s="146"/>
      <c r="MTO71" s="146"/>
      <c r="MTP71" s="146"/>
      <c r="MTQ71" s="146"/>
      <c r="MTR71" s="146"/>
      <c r="MTS71" s="146"/>
      <c r="MTT71" s="146"/>
      <c r="MTU71" s="146"/>
      <c r="MTV71" s="146"/>
      <c r="MTW71" s="146"/>
      <c r="MTX71" s="146"/>
      <c r="MTY71" s="146"/>
      <c r="MTZ71" s="146"/>
      <c r="MUA71" s="146"/>
      <c r="MUB71" s="146"/>
      <c r="MUC71" s="146"/>
      <c r="MUD71" s="146"/>
      <c r="MUE71" s="146"/>
      <c r="MUF71" s="146"/>
      <c r="MUG71" s="146"/>
      <c r="MUH71" s="146"/>
      <c r="MUI71" s="146"/>
      <c r="MUJ71" s="146"/>
      <c r="MUK71" s="146"/>
      <c r="MUL71" s="146"/>
      <c r="MUM71" s="146"/>
      <c r="MUN71" s="146"/>
      <c r="MUO71" s="146"/>
      <c r="MUP71" s="146"/>
      <c r="MUQ71" s="146"/>
      <c r="MUR71" s="146"/>
      <c r="MUS71" s="146"/>
      <c r="MUT71" s="146"/>
      <c r="MUU71" s="146"/>
      <c r="MUV71" s="146"/>
      <c r="MUW71" s="146"/>
      <c r="MUX71" s="146"/>
      <c r="MUY71" s="146"/>
      <c r="MUZ71" s="146"/>
      <c r="MVA71" s="146"/>
      <c r="MVB71" s="146"/>
      <c r="MVC71" s="146"/>
      <c r="MVD71" s="146"/>
      <c r="MVE71" s="146"/>
      <c r="MVF71" s="146"/>
      <c r="MVG71" s="146"/>
      <c r="MVH71" s="146"/>
      <c r="MVI71" s="146"/>
      <c r="MVJ71" s="146"/>
      <c r="MVK71" s="146"/>
      <c r="MVL71" s="146"/>
      <c r="MVM71" s="146"/>
      <c r="MVN71" s="146"/>
      <c r="MVO71" s="146"/>
      <c r="MVP71" s="146"/>
      <c r="MVQ71" s="146"/>
      <c r="MVR71" s="146"/>
      <c r="MVS71" s="146"/>
      <c r="MVT71" s="146"/>
      <c r="MVU71" s="146"/>
      <c r="MVV71" s="146"/>
      <c r="MVW71" s="146"/>
      <c r="MVX71" s="146"/>
      <c r="MVY71" s="146"/>
      <c r="MVZ71" s="146"/>
      <c r="MWA71" s="146"/>
      <c r="MWB71" s="146"/>
      <c r="MWC71" s="146"/>
      <c r="MWD71" s="146"/>
      <c r="MWE71" s="146"/>
      <c r="MWF71" s="146"/>
      <c r="MWG71" s="146"/>
      <c r="MWH71" s="146"/>
      <c r="MWI71" s="146"/>
      <c r="MWJ71" s="146"/>
      <c r="MWK71" s="146"/>
      <c r="MWL71" s="146"/>
      <c r="MWM71" s="146"/>
      <c r="MWN71" s="146"/>
      <c r="MWO71" s="146"/>
      <c r="MWP71" s="146"/>
      <c r="MWQ71" s="146"/>
      <c r="MWR71" s="146"/>
      <c r="MWS71" s="146"/>
      <c r="MWT71" s="146"/>
      <c r="MWU71" s="146"/>
      <c r="MWV71" s="146"/>
      <c r="MWW71" s="146"/>
      <c r="MWX71" s="146"/>
      <c r="MWY71" s="146"/>
      <c r="MWZ71" s="146"/>
      <c r="MXA71" s="146"/>
      <c r="MXB71" s="146"/>
      <c r="MXC71" s="146"/>
      <c r="MXD71" s="146"/>
      <c r="MXE71" s="146"/>
      <c r="MXF71" s="146"/>
      <c r="MXG71" s="146"/>
      <c r="MXH71" s="146"/>
      <c r="MXI71" s="146"/>
      <c r="MXJ71" s="146"/>
      <c r="MXK71" s="146"/>
      <c r="MXL71" s="146"/>
      <c r="MXM71" s="146"/>
      <c r="MXN71" s="146"/>
      <c r="MXO71" s="146"/>
      <c r="MXP71" s="146"/>
      <c r="MXQ71" s="146"/>
      <c r="MXR71" s="146"/>
      <c r="MXS71" s="146"/>
      <c r="MXT71" s="146"/>
      <c r="MXU71" s="146"/>
      <c r="MXV71" s="146"/>
      <c r="MXW71" s="146"/>
      <c r="MXX71" s="146"/>
      <c r="MXY71" s="146"/>
      <c r="MXZ71" s="146"/>
      <c r="MYA71" s="146"/>
      <c r="MYB71" s="146"/>
      <c r="MYC71" s="146"/>
      <c r="MYD71" s="146"/>
      <c r="MYE71" s="146"/>
      <c r="MYF71" s="146"/>
      <c r="MYG71" s="146"/>
      <c r="MYH71" s="146"/>
      <c r="MYI71" s="146"/>
      <c r="MYJ71" s="146"/>
      <c r="MYK71" s="146"/>
      <c r="MYL71" s="146"/>
      <c r="MYM71" s="146"/>
      <c r="MYN71" s="146"/>
      <c r="MYO71" s="146"/>
      <c r="MYP71" s="146"/>
      <c r="MYQ71" s="146"/>
      <c r="MYR71" s="146"/>
      <c r="MYS71" s="146"/>
      <c r="MYT71" s="146"/>
      <c r="MYU71" s="146"/>
      <c r="MYV71" s="146"/>
      <c r="MYW71" s="146"/>
      <c r="MYX71" s="146"/>
      <c r="MYY71" s="146"/>
      <c r="MYZ71" s="146"/>
      <c r="MZA71" s="146"/>
      <c r="MZB71" s="146"/>
      <c r="MZC71" s="146"/>
      <c r="MZD71" s="146"/>
      <c r="MZE71" s="146"/>
      <c r="MZF71" s="146"/>
      <c r="MZG71" s="146"/>
      <c r="MZH71" s="146"/>
      <c r="MZI71" s="146"/>
      <c r="MZJ71" s="146"/>
      <c r="MZK71" s="146"/>
      <c r="MZL71" s="146"/>
      <c r="MZM71" s="146"/>
      <c r="MZN71" s="146"/>
      <c r="MZO71" s="146"/>
      <c r="MZP71" s="146"/>
      <c r="MZQ71" s="146"/>
      <c r="MZR71" s="146"/>
      <c r="MZS71" s="146"/>
      <c r="MZT71" s="146"/>
      <c r="MZU71" s="146"/>
      <c r="MZV71" s="146"/>
      <c r="MZW71" s="146"/>
      <c r="MZX71" s="146"/>
      <c r="MZY71" s="146"/>
      <c r="MZZ71" s="146"/>
      <c r="NAA71" s="146"/>
      <c r="NAB71" s="146"/>
      <c r="NAC71" s="146"/>
      <c r="NAD71" s="146"/>
      <c r="NAE71" s="146"/>
      <c r="NAF71" s="146"/>
      <c r="NAG71" s="146"/>
      <c r="NAH71" s="146"/>
      <c r="NAI71" s="146"/>
      <c r="NAJ71" s="146"/>
      <c r="NAK71" s="146"/>
      <c r="NAL71" s="146"/>
      <c r="NAM71" s="146"/>
      <c r="NAN71" s="146"/>
      <c r="NAO71" s="146"/>
      <c r="NAP71" s="146"/>
      <c r="NAQ71" s="146"/>
      <c r="NAR71" s="146"/>
      <c r="NAS71" s="146"/>
      <c r="NAT71" s="146"/>
      <c r="NAU71" s="146"/>
      <c r="NAV71" s="146"/>
      <c r="NAW71" s="146"/>
      <c r="NAX71" s="146"/>
      <c r="NAY71" s="146"/>
      <c r="NAZ71" s="146"/>
      <c r="NBA71" s="146"/>
      <c r="NBB71" s="146"/>
      <c r="NBC71" s="146"/>
      <c r="NBD71" s="146"/>
      <c r="NBE71" s="146"/>
      <c r="NBF71" s="146"/>
      <c r="NBG71" s="146"/>
      <c r="NBH71" s="146"/>
      <c r="NBI71" s="146"/>
      <c r="NBJ71" s="146"/>
      <c r="NBK71" s="146"/>
      <c r="NBL71" s="146"/>
      <c r="NBM71" s="146"/>
      <c r="NBN71" s="146"/>
      <c r="NBO71" s="146"/>
      <c r="NBP71" s="146"/>
      <c r="NBQ71" s="146"/>
      <c r="NBR71" s="146"/>
      <c r="NBS71" s="146"/>
      <c r="NBT71" s="146"/>
      <c r="NBU71" s="146"/>
      <c r="NBV71" s="146"/>
      <c r="NBW71" s="146"/>
      <c r="NBX71" s="146"/>
      <c r="NBY71" s="146"/>
      <c r="NBZ71" s="146"/>
      <c r="NCA71" s="146"/>
      <c r="NCB71" s="146"/>
      <c r="NCC71" s="146"/>
      <c r="NCD71" s="146"/>
      <c r="NCE71" s="146"/>
      <c r="NCF71" s="146"/>
      <c r="NCG71" s="146"/>
      <c r="NCH71" s="146"/>
      <c r="NCI71" s="146"/>
      <c r="NCJ71" s="146"/>
      <c r="NCK71" s="146"/>
      <c r="NCL71" s="146"/>
      <c r="NCM71" s="146"/>
      <c r="NCN71" s="146"/>
      <c r="NCO71" s="146"/>
      <c r="NCP71" s="146"/>
      <c r="NCQ71" s="146"/>
      <c r="NCR71" s="146"/>
      <c r="NCS71" s="146"/>
      <c r="NCT71" s="146"/>
      <c r="NCU71" s="146"/>
      <c r="NCV71" s="146"/>
      <c r="NCW71" s="146"/>
      <c r="NCX71" s="146"/>
      <c r="NCY71" s="146"/>
      <c r="NCZ71" s="146"/>
      <c r="NDA71" s="146"/>
      <c r="NDB71" s="146"/>
      <c r="NDC71" s="146"/>
      <c r="NDD71" s="146"/>
      <c r="NDE71" s="146"/>
      <c r="NDF71" s="146"/>
      <c r="NDG71" s="146"/>
      <c r="NDH71" s="146"/>
      <c r="NDI71" s="146"/>
      <c r="NDJ71" s="146"/>
      <c r="NDK71" s="146"/>
      <c r="NDL71" s="146"/>
      <c r="NDM71" s="146"/>
      <c r="NDN71" s="146"/>
      <c r="NDO71" s="146"/>
      <c r="NDP71" s="146"/>
      <c r="NDQ71" s="146"/>
      <c r="NDR71" s="146"/>
      <c r="NDS71" s="146"/>
      <c r="NDT71" s="146"/>
      <c r="NDU71" s="146"/>
      <c r="NDV71" s="146"/>
      <c r="NDW71" s="146"/>
      <c r="NDX71" s="146"/>
      <c r="NDY71" s="146"/>
      <c r="NDZ71" s="146"/>
      <c r="NEA71" s="146"/>
      <c r="NEB71" s="146"/>
      <c r="NEC71" s="146"/>
      <c r="NED71" s="146"/>
      <c r="NEE71" s="146"/>
      <c r="NEF71" s="146"/>
      <c r="NEG71" s="146"/>
      <c r="NEH71" s="146"/>
      <c r="NEI71" s="146"/>
      <c r="NEJ71" s="146"/>
      <c r="NEK71" s="146"/>
      <c r="NEL71" s="146"/>
      <c r="NEM71" s="146"/>
      <c r="NEN71" s="146"/>
      <c r="NEO71" s="146"/>
      <c r="NEP71" s="146"/>
      <c r="NEQ71" s="146"/>
      <c r="NER71" s="146"/>
      <c r="NES71" s="146"/>
      <c r="NET71" s="146"/>
      <c r="NEU71" s="146"/>
      <c r="NEV71" s="146"/>
      <c r="NEW71" s="146"/>
      <c r="NEX71" s="146"/>
      <c r="NEY71" s="146"/>
      <c r="NEZ71" s="146"/>
      <c r="NFA71" s="146"/>
      <c r="NFB71" s="146"/>
      <c r="NFC71" s="146"/>
      <c r="NFD71" s="146"/>
      <c r="NFE71" s="146"/>
      <c r="NFF71" s="146"/>
      <c r="NFG71" s="146"/>
      <c r="NFH71" s="146"/>
      <c r="NFI71" s="146"/>
      <c r="NFJ71" s="146"/>
      <c r="NFK71" s="146"/>
      <c r="NFL71" s="146"/>
      <c r="NFM71" s="146"/>
      <c r="NFN71" s="146"/>
      <c r="NFO71" s="146"/>
      <c r="NFP71" s="146"/>
      <c r="NFQ71" s="146"/>
      <c r="NFR71" s="146"/>
      <c r="NFS71" s="146"/>
      <c r="NFT71" s="146"/>
      <c r="NFU71" s="146"/>
      <c r="NFV71" s="146"/>
      <c r="NFW71" s="146"/>
      <c r="NFX71" s="146"/>
      <c r="NFY71" s="146"/>
      <c r="NFZ71" s="146"/>
      <c r="NGA71" s="146"/>
      <c r="NGB71" s="146"/>
      <c r="NGC71" s="146"/>
      <c r="NGD71" s="146"/>
      <c r="NGE71" s="146"/>
      <c r="NGF71" s="146"/>
      <c r="NGG71" s="146"/>
      <c r="NGH71" s="146"/>
      <c r="NGI71" s="146"/>
      <c r="NGJ71" s="146"/>
      <c r="NGK71" s="146"/>
      <c r="NGL71" s="146"/>
      <c r="NGM71" s="146"/>
      <c r="NGN71" s="146"/>
      <c r="NGO71" s="146"/>
      <c r="NGP71" s="146"/>
      <c r="NGQ71" s="146"/>
      <c r="NGR71" s="146"/>
      <c r="NGS71" s="146"/>
      <c r="NGT71" s="146"/>
      <c r="NGU71" s="146"/>
      <c r="NGV71" s="146"/>
      <c r="NGW71" s="146"/>
      <c r="NGX71" s="146"/>
      <c r="NGY71" s="146"/>
      <c r="NGZ71" s="146"/>
      <c r="NHA71" s="146"/>
      <c r="NHB71" s="146"/>
      <c r="NHC71" s="146"/>
      <c r="NHD71" s="146"/>
      <c r="NHE71" s="146"/>
      <c r="NHF71" s="146"/>
      <c r="NHG71" s="146"/>
      <c r="NHH71" s="146"/>
      <c r="NHI71" s="146"/>
      <c r="NHJ71" s="146"/>
      <c r="NHK71" s="146"/>
      <c r="NHL71" s="146"/>
      <c r="NHM71" s="146"/>
      <c r="NHN71" s="146"/>
      <c r="NHO71" s="146"/>
      <c r="NHP71" s="146"/>
      <c r="NHQ71" s="146"/>
      <c r="NHR71" s="146"/>
      <c r="NHS71" s="146"/>
      <c r="NHT71" s="146"/>
      <c r="NHU71" s="146"/>
      <c r="NHV71" s="146"/>
      <c r="NHW71" s="146"/>
      <c r="NHX71" s="146"/>
      <c r="NHY71" s="146"/>
      <c r="NHZ71" s="146"/>
      <c r="NIA71" s="146"/>
      <c r="NIB71" s="146"/>
      <c r="NIC71" s="146"/>
      <c r="NID71" s="146"/>
      <c r="NIE71" s="146"/>
      <c r="NIF71" s="146"/>
      <c r="NIG71" s="146"/>
      <c r="NIH71" s="146"/>
      <c r="NII71" s="146"/>
      <c r="NIJ71" s="146"/>
      <c r="NIK71" s="146"/>
      <c r="NIL71" s="146"/>
      <c r="NIM71" s="146"/>
      <c r="NIN71" s="146"/>
      <c r="NIO71" s="146"/>
      <c r="NIP71" s="146"/>
      <c r="NIQ71" s="146"/>
      <c r="NIR71" s="146"/>
      <c r="NIS71" s="146"/>
      <c r="NIT71" s="146"/>
      <c r="NIU71" s="146"/>
      <c r="NIV71" s="146"/>
      <c r="NIW71" s="146"/>
      <c r="NIX71" s="146"/>
      <c r="NIY71" s="146"/>
      <c r="NIZ71" s="146"/>
      <c r="NJA71" s="146"/>
      <c r="NJB71" s="146"/>
      <c r="NJC71" s="146"/>
      <c r="NJD71" s="146"/>
      <c r="NJE71" s="146"/>
      <c r="NJF71" s="146"/>
      <c r="NJG71" s="146"/>
      <c r="NJH71" s="146"/>
      <c r="NJI71" s="146"/>
      <c r="NJJ71" s="146"/>
      <c r="NJK71" s="146"/>
      <c r="NJL71" s="146"/>
      <c r="NJM71" s="146"/>
      <c r="NJN71" s="146"/>
      <c r="NJO71" s="146"/>
      <c r="NJP71" s="146"/>
      <c r="NJQ71" s="146"/>
      <c r="NJR71" s="146"/>
      <c r="NJS71" s="146"/>
      <c r="NJT71" s="146"/>
      <c r="NJU71" s="146"/>
      <c r="NJV71" s="146"/>
      <c r="NJW71" s="146"/>
      <c r="NJX71" s="146"/>
      <c r="NJY71" s="146"/>
      <c r="NJZ71" s="146"/>
      <c r="NKA71" s="146"/>
      <c r="NKB71" s="146"/>
      <c r="NKC71" s="146"/>
      <c r="NKD71" s="146"/>
      <c r="NKE71" s="146"/>
      <c r="NKF71" s="146"/>
      <c r="NKG71" s="146"/>
      <c r="NKH71" s="146"/>
      <c r="NKI71" s="146"/>
      <c r="NKJ71" s="146"/>
      <c r="NKK71" s="146"/>
      <c r="NKL71" s="146"/>
      <c r="NKM71" s="146"/>
      <c r="NKN71" s="146"/>
      <c r="NKO71" s="146"/>
      <c r="NKP71" s="146"/>
      <c r="NKQ71" s="146"/>
      <c r="NKR71" s="146"/>
      <c r="NKS71" s="146"/>
      <c r="NKT71" s="146"/>
      <c r="NKU71" s="146"/>
      <c r="NKV71" s="146"/>
      <c r="NKW71" s="146"/>
      <c r="NKX71" s="146"/>
      <c r="NKY71" s="146"/>
      <c r="NKZ71" s="146"/>
      <c r="NLA71" s="146"/>
      <c r="NLB71" s="146"/>
      <c r="NLC71" s="146"/>
      <c r="NLD71" s="146"/>
      <c r="NLE71" s="146"/>
      <c r="NLF71" s="146"/>
      <c r="NLG71" s="146"/>
      <c r="NLH71" s="146"/>
      <c r="NLI71" s="146"/>
      <c r="NLJ71" s="146"/>
      <c r="NLK71" s="146"/>
      <c r="NLL71" s="146"/>
      <c r="NLM71" s="146"/>
      <c r="NLN71" s="146"/>
      <c r="NLO71" s="146"/>
      <c r="NLP71" s="146"/>
      <c r="NLQ71" s="146"/>
      <c r="NLR71" s="146"/>
      <c r="NLS71" s="146"/>
      <c r="NLT71" s="146"/>
      <c r="NLU71" s="146"/>
      <c r="NLV71" s="146"/>
      <c r="NLW71" s="146"/>
      <c r="NLX71" s="146"/>
      <c r="NLY71" s="146"/>
      <c r="NLZ71" s="146"/>
      <c r="NMA71" s="146"/>
      <c r="NMB71" s="146"/>
      <c r="NMC71" s="146"/>
      <c r="NMD71" s="146"/>
      <c r="NME71" s="146"/>
      <c r="NMF71" s="146"/>
      <c r="NMG71" s="146"/>
      <c r="NMH71" s="146"/>
      <c r="NMI71" s="146"/>
      <c r="NMJ71" s="146"/>
      <c r="NMK71" s="146"/>
      <c r="NML71" s="146"/>
      <c r="NMM71" s="146"/>
      <c r="NMN71" s="146"/>
      <c r="NMO71" s="146"/>
      <c r="NMP71" s="146"/>
      <c r="NMQ71" s="146"/>
      <c r="NMR71" s="146"/>
      <c r="NMS71" s="146"/>
      <c r="NMT71" s="146"/>
      <c r="NMU71" s="146"/>
      <c r="NMV71" s="146"/>
      <c r="NMW71" s="146"/>
      <c r="NMX71" s="146"/>
      <c r="NMY71" s="146"/>
      <c r="NMZ71" s="146"/>
      <c r="NNA71" s="146"/>
      <c r="NNB71" s="146"/>
      <c r="NNC71" s="146"/>
      <c r="NND71" s="146"/>
      <c r="NNE71" s="146"/>
      <c r="NNF71" s="146"/>
      <c r="NNG71" s="146"/>
      <c r="NNH71" s="146"/>
      <c r="NNI71" s="146"/>
      <c r="NNJ71" s="146"/>
      <c r="NNK71" s="146"/>
      <c r="NNL71" s="146"/>
      <c r="NNM71" s="146"/>
      <c r="NNN71" s="146"/>
      <c r="NNO71" s="146"/>
      <c r="NNP71" s="146"/>
      <c r="NNQ71" s="146"/>
      <c r="NNR71" s="146"/>
      <c r="NNS71" s="146"/>
      <c r="NNT71" s="146"/>
      <c r="NNU71" s="146"/>
      <c r="NNV71" s="146"/>
      <c r="NNW71" s="146"/>
      <c r="NNX71" s="146"/>
      <c r="NNY71" s="146"/>
      <c r="NNZ71" s="146"/>
      <c r="NOA71" s="146"/>
      <c r="NOB71" s="146"/>
      <c r="NOC71" s="146"/>
      <c r="NOD71" s="146"/>
      <c r="NOE71" s="146"/>
      <c r="NOF71" s="146"/>
      <c r="NOG71" s="146"/>
      <c r="NOH71" s="146"/>
      <c r="NOI71" s="146"/>
      <c r="NOJ71" s="146"/>
      <c r="NOK71" s="146"/>
      <c r="NOL71" s="146"/>
      <c r="NOM71" s="146"/>
      <c r="NON71" s="146"/>
      <c r="NOO71" s="146"/>
      <c r="NOP71" s="146"/>
      <c r="NOQ71" s="146"/>
      <c r="NOR71" s="146"/>
      <c r="NOS71" s="146"/>
      <c r="NOT71" s="146"/>
      <c r="NOU71" s="146"/>
      <c r="NOV71" s="146"/>
      <c r="NOW71" s="146"/>
      <c r="NOX71" s="146"/>
      <c r="NOY71" s="146"/>
      <c r="NOZ71" s="146"/>
      <c r="NPA71" s="146"/>
      <c r="NPB71" s="146"/>
      <c r="NPC71" s="146"/>
      <c r="NPD71" s="146"/>
      <c r="NPE71" s="146"/>
      <c r="NPF71" s="146"/>
      <c r="NPG71" s="146"/>
      <c r="NPH71" s="146"/>
      <c r="NPI71" s="146"/>
      <c r="NPJ71" s="146"/>
      <c r="NPK71" s="146"/>
      <c r="NPL71" s="146"/>
      <c r="NPM71" s="146"/>
      <c r="NPN71" s="146"/>
      <c r="NPO71" s="146"/>
      <c r="NPP71" s="146"/>
      <c r="NPQ71" s="146"/>
      <c r="NPR71" s="146"/>
      <c r="NPS71" s="146"/>
      <c r="NPT71" s="146"/>
      <c r="NPU71" s="146"/>
      <c r="NPV71" s="146"/>
      <c r="NPW71" s="146"/>
      <c r="NPX71" s="146"/>
      <c r="NPY71" s="146"/>
      <c r="NPZ71" s="146"/>
      <c r="NQA71" s="146"/>
      <c r="NQB71" s="146"/>
      <c r="NQC71" s="146"/>
      <c r="NQD71" s="146"/>
      <c r="NQE71" s="146"/>
      <c r="NQF71" s="146"/>
      <c r="NQG71" s="146"/>
      <c r="NQH71" s="146"/>
      <c r="NQI71" s="146"/>
      <c r="NQJ71" s="146"/>
      <c r="NQK71" s="146"/>
      <c r="NQL71" s="146"/>
      <c r="NQM71" s="146"/>
      <c r="NQN71" s="146"/>
      <c r="NQO71" s="146"/>
      <c r="NQP71" s="146"/>
      <c r="NQQ71" s="146"/>
      <c r="NQR71" s="146"/>
      <c r="NQS71" s="146"/>
      <c r="NQT71" s="146"/>
      <c r="NQU71" s="146"/>
      <c r="NQV71" s="146"/>
      <c r="NQW71" s="146"/>
      <c r="NQX71" s="146"/>
      <c r="NQY71" s="146"/>
      <c r="NQZ71" s="146"/>
      <c r="NRA71" s="146"/>
      <c r="NRB71" s="146"/>
      <c r="NRC71" s="146"/>
      <c r="NRD71" s="146"/>
      <c r="NRE71" s="146"/>
      <c r="NRF71" s="146"/>
      <c r="NRG71" s="146"/>
      <c r="NRH71" s="146"/>
      <c r="NRI71" s="146"/>
      <c r="NRJ71" s="146"/>
      <c r="NRK71" s="146"/>
      <c r="NRL71" s="146"/>
      <c r="NRM71" s="146"/>
      <c r="NRN71" s="146"/>
      <c r="NRO71" s="146"/>
      <c r="NRP71" s="146"/>
      <c r="NRQ71" s="146"/>
      <c r="NRR71" s="146"/>
      <c r="NRS71" s="146"/>
      <c r="NRT71" s="146"/>
      <c r="NRU71" s="146"/>
      <c r="NRV71" s="146"/>
      <c r="NRW71" s="146"/>
      <c r="NRX71" s="146"/>
      <c r="NRY71" s="146"/>
      <c r="NRZ71" s="146"/>
      <c r="NSA71" s="146"/>
      <c r="NSB71" s="146"/>
      <c r="NSC71" s="146"/>
      <c r="NSD71" s="146"/>
      <c r="NSE71" s="146"/>
      <c r="NSF71" s="146"/>
      <c r="NSG71" s="146"/>
      <c r="NSH71" s="146"/>
      <c r="NSI71" s="146"/>
      <c r="NSJ71" s="146"/>
      <c r="NSK71" s="146"/>
      <c r="NSL71" s="146"/>
      <c r="NSM71" s="146"/>
      <c r="NSN71" s="146"/>
      <c r="NSO71" s="146"/>
      <c r="NSP71" s="146"/>
      <c r="NSQ71" s="146"/>
      <c r="NSR71" s="146"/>
      <c r="NSS71" s="146"/>
      <c r="NST71" s="146"/>
      <c r="NSU71" s="146"/>
      <c r="NSV71" s="146"/>
      <c r="NSW71" s="146"/>
      <c r="NSX71" s="146"/>
      <c r="NSY71" s="146"/>
      <c r="NSZ71" s="146"/>
      <c r="NTA71" s="146"/>
      <c r="NTB71" s="146"/>
      <c r="NTC71" s="146"/>
      <c r="NTD71" s="146"/>
      <c r="NTE71" s="146"/>
      <c r="NTF71" s="146"/>
      <c r="NTG71" s="146"/>
      <c r="NTH71" s="146"/>
      <c r="NTI71" s="146"/>
      <c r="NTJ71" s="146"/>
      <c r="NTK71" s="146"/>
      <c r="NTL71" s="146"/>
      <c r="NTM71" s="146"/>
      <c r="NTN71" s="146"/>
      <c r="NTO71" s="146"/>
      <c r="NTP71" s="146"/>
      <c r="NTQ71" s="146"/>
      <c r="NTR71" s="146"/>
      <c r="NTS71" s="146"/>
      <c r="NTT71" s="146"/>
      <c r="NTU71" s="146"/>
      <c r="NTV71" s="146"/>
      <c r="NTW71" s="146"/>
      <c r="NTX71" s="146"/>
      <c r="NTY71" s="146"/>
      <c r="NTZ71" s="146"/>
      <c r="NUA71" s="146"/>
      <c r="NUB71" s="146"/>
      <c r="NUC71" s="146"/>
      <c r="NUD71" s="146"/>
      <c r="NUE71" s="146"/>
      <c r="NUF71" s="146"/>
      <c r="NUG71" s="146"/>
      <c r="NUH71" s="146"/>
      <c r="NUI71" s="146"/>
      <c r="NUJ71" s="146"/>
      <c r="NUK71" s="146"/>
      <c r="NUL71" s="146"/>
      <c r="NUM71" s="146"/>
      <c r="NUN71" s="146"/>
      <c r="NUO71" s="146"/>
      <c r="NUP71" s="146"/>
      <c r="NUQ71" s="146"/>
      <c r="NUR71" s="146"/>
      <c r="NUS71" s="146"/>
      <c r="NUT71" s="146"/>
      <c r="NUU71" s="146"/>
      <c r="NUV71" s="146"/>
      <c r="NUW71" s="146"/>
      <c r="NUX71" s="146"/>
      <c r="NUY71" s="146"/>
      <c r="NUZ71" s="146"/>
      <c r="NVA71" s="146"/>
      <c r="NVB71" s="146"/>
      <c r="NVC71" s="146"/>
      <c r="NVD71" s="146"/>
      <c r="NVE71" s="146"/>
      <c r="NVF71" s="146"/>
      <c r="NVG71" s="146"/>
      <c r="NVH71" s="146"/>
      <c r="NVI71" s="146"/>
      <c r="NVJ71" s="146"/>
      <c r="NVK71" s="146"/>
      <c r="NVL71" s="146"/>
      <c r="NVM71" s="146"/>
      <c r="NVN71" s="146"/>
      <c r="NVO71" s="146"/>
      <c r="NVP71" s="146"/>
      <c r="NVQ71" s="146"/>
      <c r="NVR71" s="146"/>
      <c r="NVS71" s="146"/>
      <c r="NVT71" s="146"/>
      <c r="NVU71" s="146"/>
      <c r="NVV71" s="146"/>
      <c r="NVW71" s="146"/>
      <c r="NVX71" s="146"/>
      <c r="NVY71" s="146"/>
      <c r="NVZ71" s="146"/>
      <c r="NWA71" s="146"/>
      <c r="NWB71" s="146"/>
      <c r="NWC71" s="146"/>
      <c r="NWD71" s="146"/>
      <c r="NWE71" s="146"/>
      <c r="NWF71" s="146"/>
      <c r="NWG71" s="146"/>
      <c r="NWH71" s="146"/>
      <c r="NWI71" s="146"/>
      <c r="NWJ71" s="146"/>
      <c r="NWK71" s="146"/>
      <c r="NWL71" s="146"/>
      <c r="NWM71" s="146"/>
      <c r="NWN71" s="146"/>
      <c r="NWO71" s="146"/>
      <c r="NWP71" s="146"/>
      <c r="NWQ71" s="146"/>
      <c r="NWR71" s="146"/>
      <c r="NWS71" s="146"/>
      <c r="NWT71" s="146"/>
      <c r="NWU71" s="146"/>
      <c r="NWV71" s="146"/>
      <c r="NWW71" s="146"/>
      <c r="NWX71" s="146"/>
      <c r="NWY71" s="146"/>
      <c r="NWZ71" s="146"/>
      <c r="NXA71" s="146"/>
      <c r="NXB71" s="146"/>
      <c r="NXC71" s="146"/>
      <c r="NXD71" s="146"/>
      <c r="NXE71" s="146"/>
      <c r="NXF71" s="146"/>
      <c r="NXG71" s="146"/>
      <c r="NXH71" s="146"/>
      <c r="NXI71" s="146"/>
      <c r="NXJ71" s="146"/>
      <c r="NXK71" s="146"/>
      <c r="NXL71" s="146"/>
      <c r="NXM71" s="146"/>
      <c r="NXN71" s="146"/>
      <c r="NXO71" s="146"/>
      <c r="NXP71" s="146"/>
      <c r="NXQ71" s="146"/>
      <c r="NXR71" s="146"/>
      <c r="NXS71" s="146"/>
      <c r="NXT71" s="146"/>
      <c r="NXU71" s="146"/>
      <c r="NXV71" s="146"/>
      <c r="NXW71" s="146"/>
      <c r="NXX71" s="146"/>
      <c r="NXY71" s="146"/>
      <c r="NXZ71" s="146"/>
      <c r="NYA71" s="146"/>
      <c r="NYB71" s="146"/>
      <c r="NYC71" s="146"/>
      <c r="NYD71" s="146"/>
      <c r="NYE71" s="146"/>
      <c r="NYF71" s="146"/>
      <c r="NYG71" s="146"/>
      <c r="NYH71" s="146"/>
      <c r="NYI71" s="146"/>
      <c r="NYJ71" s="146"/>
      <c r="NYK71" s="146"/>
      <c r="NYL71" s="146"/>
      <c r="NYM71" s="146"/>
      <c r="NYN71" s="146"/>
      <c r="NYO71" s="146"/>
      <c r="NYP71" s="146"/>
      <c r="NYQ71" s="146"/>
      <c r="NYR71" s="146"/>
      <c r="NYS71" s="146"/>
      <c r="NYT71" s="146"/>
      <c r="NYU71" s="146"/>
      <c r="NYV71" s="146"/>
      <c r="NYW71" s="146"/>
      <c r="NYX71" s="146"/>
      <c r="NYY71" s="146"/>
      <c r="NYZ71" s="146"/>
      <c r="NZA71" s="146"/>
      <c r="NZB71" s="146"/>
      <c r="NZC71" s="146"/>
      <c r="NZD71" s="146"/>
      <c r="NZE71" s="146"/>
      <c r="NZF71" s="146"/>
      <c r="NZG71" s="146"/>
      <c r="NZH71" s="146"/>
      <c r="NZI71" s="146"/>
      <c r="NZJ71" s="146"/>
      <c r="NZK71" s="146"/>
      <c r="NZL71" s="146"/>
      <c r="NZM71" s="146"/>
      <c r="NZN71" s="146"/>
      <c r="NZO71" s="146"/>
      <c r="NZP71" s="146"/>
      <c r="NZQ71" s="146"/>
      <c r="NZR71" s="146"/>
      <c r="NZS71" s="146"/>
      <c r="NZT71" s="146"/>
      <c r="NZU71" s="146"/>
      <c r="NZV71" s="146"/>
      <c r="NZW71" s="146"/>
      <c r="NZX71" s="146"/>
      <c r="NZY71" s="146"/>
      <c r="NZZ71" s="146"/>
      <c r="OAA71" s="146"/>
      <c r="OAB71" s="146"/>
      <c r="OAC71" s="146"/>
      <c r="OAD71" s="146"/>
      <c r="OAE71" s="146"/>
      <c r="OAF71" s="146"/>
      <c r="OAG71" s="146"/>
      <c r="OAH71" s="146"/>
      <c r="OAI71" s="146"/>
      <c r="OAJ71" s="146"/>
      <c r="OAK71" s="146"/>
      <c r="OAL71" s="146"/>
      <c r="OAM71" s="146"/>
      <c r="OAN71" s="146"/>
      <c r="OAO71" s="146"/>
      <c r="OAP71" s="146"/>
      <c r="OAQ71" s="146"/>
      <c r="OAR71" s="146"/>
      <c r="OAS71" s="146"/>
      <c r="OAT71" s="146"/>
      <c r="OAU71" s="146"/>
      <c r="OAV71" s="146"/>
      <c r="OAW71" s="146"/>
      <c r="OAX71" s="146"/>
      <c r="OAY71" s="146"/>
      <c r="OAZ71" s="146"/>
      <c r="OBA71" s="146"/>
      <c r="OBB71" s="146"/>
      <c r="OBC71" s="146"/>
      <c r="OBD71" s="146"/>
      <c r="OBE71" s="146"/>
      <c r="OBF71" s="146"/>
      <c r="OBG71" s="146"/>
      <c r="OBH71" s="146"/>
      <c r="OBI71" s="146"/>
      <c r="OBJ71" s="146"/>
      <c r="OBK71" s="146"/>
      <c r="OBL71" s="146"/>
      <c r="OBM71" s="146"/>
      <c r="OBN71" s="146"/>
      <c r="OBO71" s="146"/>
      <c r="OBP71" s="146"/>
      <c r="OBQ71" s="146"/>
      <c r="OBR71" s="146"/>
      <c r="OBS71" s="146"/>
      <c r="OBT71" s="146"/>
      <c r="OBU71" s="146"/>
      <c r="OBV71" s="146"/>
      <c r="OBW71" s="146"/>
      <c r="OBX71" s="146"/>
      <c r="OBY71" s="146"/>
      <c r="OBZ71" s="146"/>
      <c r="OCA71" s="146"/>
      <c r="OCB71" s="146"/>
      <c r="OCC71" s="146"/>
      <c r="OCD71" s="146"/>
      <c r="OCE71" s="146"/>
      <c r="OCF71" s="146"/>
      <c r="OCG71" s="146"/>
      <c r="OCH71" s="146"/>
      <c r="OCI71" s="146"/>
      <c r="OCJ71" s="146"/>
      <c r="OCK71" s="146"/>
      <c r="OCL71" s="146"/>
      <c r="OCM71" s="146"/>
      <c r="OCN71" s="146"/>
      <c r="OCO71" s="146"/>
      <c r="OCP71" s="146"/>
      <c r="OCQ71" s="146"/>
      <c r="OCR71" s="146"/>
      <c r="OCS71" s="146"/>
      <c r="OCT71" s="146"/>
      <c r="OCU71" s="146"/>
      <c r="OCV71" s="146"/>
      <c r="OCW71" s="146"/>
      <c r="OCX71" s="146"/>
      <c r="OCY71" s="146"/>
      <c r="OCZ71" s="146"/>
      <c r="ODA71" s="146"/>
      <c r="ODB71" s="146"/>
      <c r="ODC71" s="146"/>
      <c r="ODD71" s="146"/>
      <c r="ODE71" s="146"/>
      <c r="ODF71" s="146"/>
      <c r="ODG71" s="146"/>
      <c r="ODH71" s="146"/>
      <c r="ODI71" s="146"/>
      <c r="ODJ71" s="146"/>
      <c r="ODK71" s="146"/>
      <c r="ODL71" s="146"/>
      <c r="ODM71" s="146"/>
      <c r="ODN71" s="146"/>
      <c r="ODO71" s="146"/>
      <c r="ODP71" s="146"/>
      <c r="ODQ71" s="146"/>
      <c r="ODR71" s="146"/>
      <c r="ODS71" s="146"/>
      <c r="ODT71" s="146"/>
      <c r="ODU71" s="146"/>
      <c r="ODV71" s="146"/>
      <c r="ODW71" s="146"/>
      <c r="ODX71" s="146"/>
      <c r="ODY71" s="146"/>
      <c r="ODZ71" s="146"/>
      <c r="OEA71" s="146"/>
      <c r="OEB71" s="146"/>
      <c r="OEC71" s="146"/>
      <c r="OED71" s="146"/>
      <c r="OEE71" s="146"/>
      <c r="OEF71" s="146"/>
      <c r="OEG71" s="146"/>
      <c r="OEH71" s="146"/>
      <c r="OEI71" s="146"/>
      <c r="OEJ71" s="146"/>
      <c r="OEK71" s="146"/>
      <c r="OEL71" s="146"/>
      <c r="OEM71" s="146"/>
      <c r="OEN71" s="146"/>
      <c r="OEO71" s="146"/>
      <c r="OEP71" s="146"/>
      <c r="OEQ71" s="146"/>
      <c r="OER71" s="146"/>
      <c r="OES71" s="146"/>
      <c r="OET71" s="146"/>
      <c r="OEU71" s="146"/>
      <c r="OEV71" s="146"/>
      <c r="OEW71" s="146"/>
      <c r="OEX71" s="146"/>
      <c r="OEY71" s="146"/>
      <c r="OEZ71" s="146"/>
      <c r="OFA71" s="146"/>
      <c r="OFB71" s="146"/>
      <c r="OFC71" s="146"/>
      <c r="OFD71" s="146"/>
      <c r="OFE71" s="146"/>
      <c r="OFF71" s="146"/>
      <c r="OFG71" s="146"/>
      <c r="OFH71" s="146"/>
      <c r="OFI71" s="146"/>
      <c r="OFJ71" s="146"/>
      <c r="OFK71" s="146"/>
      <c r="OFL71" s="146"/>
      <c r="OFM71" s="146"/>
      <c r="OFN71" s="146"/>
      <c r="OFO71" s="146"/>
      <c r="OFP71" s="146"/>
      <c r="OFQ71" s="146"/>
      <c r="OFR71" s="146"/>
      <c r="OFS71" s="146"/>
      <c r="OFT71" s="146"/>
      <c r="OFU71" s="146"/>
      <c r="OFV71" s="146"/>
      <c r="OFW71" s="146"/>
      <c r="OFX71" s="146"/>
      <c r="OFY71" s="146"/>
      <c r="OFZ71" s="146"/>
      <c r="OGA71" s="146"/>
      <c r="OGB71" s="146"/>
      <c r="OGC71" s="146"/>
      <c r="OGD71" s="146"/>
      <c r="OGE71" s="146"/>
      <c r="OGF71" s="146"/>
      <c r="OGG71" s="146"/>
      <c r="OGH71" s="146"/>
      <c r="OGI71" s="146"/>
      <c r="OGJ71" s="146"/>
      <c r="OGK71" s="146"/>
      <c r="OGL71" s="146"/>
      <c r="OGM71" s="146"/>
      <c r="OGN71" s="146"/>
      <c r="OGO71" s="146"/>
      <c r="OGP71" s="146"/>
      <c r="OGQ71" s="146"/>
      <c r="OGR71" s="146"/>
      <c r="OGS71" s="146"/>
      <c r="OGT71" s="146"/>
      <c r="OGU71" s="146"/>
      <c r="OGV71" s="146"/>
      <c r="OGW71" s="146"/>
      <c r="OGX71" s="146"/>
      <c r="OGY71" s="146"/>
      <c r="OGZ71" s="146"/>
      <c r="OHA71" s="146"/>
      <c r="OHB71" s="146"/>
      <c r="OHC71" s="146"/>
      <c r="OHD71" s="146"/>
      <c r="OHE71" s="146"/>
      <c r="OHF71" s="146"/>
      <c r="OHG71" s="146"/>
      <c r="OHH71" s="146"/>
      <c r="OHI71" s="146"/>
      <c r="OHJ71" s="146"/>
      <c r="OHK71" s="146"/>
      <c r="OHL71" s="146"/>
      <c r="OHM71" s="146"/>
      <c r="OHN71" s="146"/>
      <c r="OHO71" s="146"/>
      <c r="OHP71" s="146"/>
      <c r="OHQ71" s="146"/>
      <c r="OHR71" s="146"/>
      <c r="OHS71" s="146"/>
      <c r="OHT71" s="146"/>
      <c r="OHU71" s="146"/>
      <c r="OHV71" s="146"/>
      <c r="OHW71" s="146"/>
      <c r="OHX71" s="146"/>
      <c r="OHY71" s="146"/>
      <c r="OHZ71" s="146"/>
      <c r="OIA71" s="146"/>
      <c r="OIB71" s="146"/>
      <c r="OIC71" s="146"/>
      <c r="OID71" s="146"/>
      <c r="OIE71" s="146"/>
      <c r="OIF71" s="146"/>
      <c r="OIG71" s="146"/>
      <c r="OIH71" s="146"/>
      <c r="OII71" s="146"/>
      <c r="OIJ71" s="146"/>
      <c r="OIK71" s="146"/>
      <c r="OIL71" s="146"/>
      <c r="OIM71" s="146"/>
      <c r="OIN71" s="146"/>
      <c r="OIO71" s="146"/>
      <c r="OIP71" s="146"/>
      <c r="OIQ71" s="146"/>
      <c r="OIR71" s="146"/>
      <c r="OIS71" s="146"/>
      <c r="OIT71" s="146"/>
      <c r="OIU71" s="146"/>
      <c r="OIV71" s="146"/>
      <c r="OIW71" s="146"/>
      <c r="OIX71" s="146"/>
      <c r="OIY71" s="146"/>
      <c r="OIZ71" s="146"/>
      <c r="OJA71" s="146"/>
      <c r="OJB71" s="146"/>
      <c r="OJC71" s="146"/>
      <c r="OJD71" s="146"/>
      <c r="OJE71" s="146"/>
      <c r="OJF71" s="146"/>
      <c r="OJG71" s="146"/>
      <c r="OJH71" s="146"/>
      <c r="OJI71" s="146"/>
      <c r="OJJ71" s="146"/>
      <c r="OJK71" s="146"/>
      <c r="OJL71" s="146"/>
      <c r="OJM71" s="146"/>
      <c r="OJN71" s="146"/>
      <c r="OJO71" s="146"/>
      <c r="OJP71" s="146"/>
      <c r="OJQ71" s="146"/>
      <c r="OJR71" s="146"/>
      <c r="OJS71" s="146"/>
      <c r="OJT71" s="146"/>
      <c r="OJU71" s="146"/>
      <c r="OJV71" s="146"/>
      <c r="OJW71" s="146"/>
      <c r="OJX71" s="146"/>
      <c r="OJY71" s="146"/>
      <c r="OJZ71" s="146"/>
      <c r="OKA71" s="146"/>
      <c r="OKB71" s="146"/>
      <c r="OKC71" s="146"/>
      <c r="OKD71" s="146"/>
      <c r="OKE71" s="146"/>
      <c r="OKF71" s="146"/>
      <c r="OKG71" s="146"/>
      <c r="OKH71" s="146"/>
      <c r="OKI71" s="146"/>
      <c r="OKJ71" s="146"/>
      <c r="OKK71" s="146"/>
      <c r="OKL71" s="146"/>
      <c r="OKM71" s="146"/>
      <c r="OKN71" s="146"/>
      <c r="OKO71" s="146"/>
      <c r="OKP71" s="146"/>
      <c r="OKQ71" s="146"/>
      <c r="OKR71" s="146"/>
      <c r="OKS71" s="146"/>
      <c r="OKT71" s="146"/>
      <c r="OKU71" s="146"/>
      <c r="OKV71" s="146"/>
      <c r="OKW71" s="146"/>
      <c r="OKX71" s="146"/>
      <c r="OKY71" s="146"/>
      <c r="OKZ71" s="146"/>
      <c r="OLA71" s="146"/>
      <c r="OLB71" s="146"/>
      <c r="OLC71" s="146"/>
      <c r="OLD71" s="146"/>
      <c r="OLE71" s="146"/>
      <c r="OLF71" s="146"/>
      <c r="OLG71" s="146"/>
      <c r="OLH71" s="146"/>
      <c r="OLI71" s="146"/>
      <c r="OLJ71" s="146"/>
      <c r="OLK71" s="146"/>
      <c r="OLL71" s="146"/>
      <c r="OLM71" s="146"/>
      <c r="OLN71" s="146"/>
      <c r="OLO71" s="146"/>
      <c r="OLP71" s="146"/>
      <c r="OLQ71" s="146"/>
      <c r="OLR71" s="146"/>
      <c r="OLS71" s="146"/>
      <c r="OLT71" s="146"/>
      <c r="OLU71" s="146"/>
      <c r="OLV71" s="146"/>
      <c r="OLW71" s="146"/>
      <c r="OLX71" s="146"/>
      <c r="OLY71" s="146"/>
      <c r="OLZ71" s="146"/>
      <c r="OMA71" s="146"/>
      <c r="OMB71" s="146"/>
      <c r="OMC71" s="146"/>
      <c r="OMD71" s="146"/>
      <c r="OME71" s="146"/>
      <c r="OMF71" s="146"/>
      <c r="OMG71" s="146"/>
      <c r="OMH71" s="146"/>
      <c r="OMI71" s="146"/>
      <c r="OMJ71" s="146"/>
      <c r="OMK71" s="146"/>
      <c r="OML71" s="146"/>
      <c r="OMM71" s="146"/>
      <c r="OMN71" s="146"/>
      <c r="OMO71" s="146"/>
      <c r="OMP71" s="146"/>
      <c r="OMQ71" s="146"/>
      <c r="OMR71" s="146"/>
      <c r="OMS71" s="146"/>
      <c r="OMT71" s="146"/>
      <c r="OMU71" s="146"/>
      <c r="OMV71" s="146"/>
      <c r="OMW71" s="146"/>
      <c r="OMX71" s="146"/>
      <c r="OMY71" s="146"/>
      <c r="OMZ71" s="146"/>
      <c r="ONA71" s="146"/>
      <c r="ONB71" s="146"/>
      <c r="ONC71" s="146"/>
      <c r="OND71" s="146"/>
      <c r="ONE71" s="146"/>
      <c r="ONF71" s="146"/>
      <c r="ONG71" s="146"/>
      <c r="ONH71" s="146"/>
      <c r="ONI71" s="146"/>
      <c r="ONJ71" s="146"/>
      <c r="ONK71" s="146"/>
      <c r="ONL71" s="146"/>
      <c r="ONM71" s="146"/>
      <c r="ONN71" s="146"/>
      <c r="ONO71" s="146"/>
      <c r="ONP71" s="146"/>
      <c r="ONQ71" s="146"/>
      <c r="ONR71" s="146"/>
      <c r="ONS71" s="146"/>
      <c r="ONT71" s="146"/>
      <c r="ONU71" s="146"/>
      <c r="ONV71" s="146"/>
      <c r="ONW71" s="146"/>
      <c r="ONX71" s="146"/>
      <c r="ONY71" s="146"/>
      <c r="ONZ71" s="146"/>
      <c r="OOA71" s="146"/>
      <c r="OOB71" s="146"/>
      <c r="OOC71" s="146"/>
      <c r="OOD71" s="146"/>
      <c r="OOE71" s="146"/>
      <c r="OOF71" s="146"/>
      <c r="OOG71" s="146"/>
      <c r="OOH71" s="146"/>
      <c r="OOI71" s="146"/>
      <c r="OOJ71" s="146"/>
      <c r="OOK71" s="146"/>
      <c r="OOL71" s="146"/>
      <c r="OOM71" s="146"/>
      <c r="OON71" s="146"/>
      <c r="OOO71" s="146"/>
      <c r="OOP71" s="146"/>
      <c r="OOQ71" s="146"/>
      <c r="OOR71" s="146"/>
      <c r="OOS71" s="146"/>
      <c r="OOT71" s="146"/>
      <c r="OOU71" s="146"/>
      <c r="OOV71" s="146"/>
      <c r="OOW71" s="146"/>
      <c r="OOX71" s="146"/>
      <c r="OOY71" s="146"/>
      <c r="OOZ71" s="146"/>
      <c r="OPA71" s="146"/>
      <c r="OPB71" s="146"/>
      <c r="OPC71" s="146"/>
      <c r="OPD71" s="146"/>
      <c r="OPE71" s="146"/>
      <c r="OPF71" s="146"/>
      <c r="OPG71" s="146"/>
      <c r="OPH71" s="146"/>
      <c r="OPI71" s="146"/>
      <c r="OPJ71" s="146"/>
      <c r="OPK71" s="146"/>
      <c r="OPL71" s="146"/>
      <c r="OPM71" s="146"/>
      <c r="OPN71" s="146"/>
      <c r="OPO71" s="146"/>
      <c r="OPP71" s="146"/>
      <c r="OPQ71" s="146"/>
      <c r="OPR71" s="146"/>
      <c r="OPS71" s="146"/>
      <c r="OPT71" s="146"/>
      <c r="OPU71" s="146"/>
      <c r="OPV71" s="146"/>
      <c r="OPW71" s="146"/>
      <c r="OPX71" s="146"/>
      <c r="OPY71" s="146"/>
      <c r="OPZ71" s="146"/>
      <c r="OQA71" s="146"/>
      <c r="OQB71" s="146"/>
      <c r="OQC71" s="146"/>
      <c r="OQD71" s="146"/>
      <c r="OQE71" s="146"/>
      <c r="OQF71" s="146"/>
      <c r="OQG71" s="146"/>
      <c r="OQH71" s="146"/>
      <c r="OQI71" s="146"/>
      <c r="OQJ71" s="146"/>
      <c r="OQK71" s="146"/>
      <c r="OQL71" s="146"/>
      <c r="OQM71" s="146"/>
      <c r="OQN71" s="146"/>
      <c r="OQO71" s="146"/>
      <c r="OQP71" s="146"/>
      <c r="OQQ71" s="146"/>
      <c r="OQR71" s="146"/>
      <c r="OQS71" s="146"/>
      <c r="OQT71" s="146"/>
      <c r="OQU71" s="146"/>
      <c r="OQV71" s="146"/>
      <c r="OQW71" s="146"/>
      <c r="OQX71" s="146"/>
      <c r="OQY71" s="146"/>
      <c r="OQZ71" s="146"/>
      <c r="ORA71" s="146"/>
      <c r="ORB71" s="146"/>
      <c r="ORC71" s="146"/>
      <c r="ORD71" s="146"/>
      <c r="ORE71" s="146"/>
      <c r="ORF71" s="146"/>
      <c r="ORG71" s="146"/>
      <c r="ORH71" s="146"/>
      <c r="ORI71" s="146"/>
      <c r="ORJ71" s="146"/>
      <c r="ORK71" s="146"/>
      <c r="ORL71" s="146"/>
      <c r="ORM71" s="146"/>
      <c r="ORN71" s="146"/>
      <c r="ORO71" s="146"/>
      <c r="ORP71" s="146"/>
      <c r="ORQ71" s="146"/>
      <c r="ORR71" s="146"/>
      <c r="ORS71" s="146"/>
      <c r="ORT71" s="146"/>
      <c r="ORU71" s="146"/>
      <c r="ORV71" s="146"/>
      <c r="ORW71" s="146"/>
      <c r="ORX71" s="146"/>
      <c r="ORY71" s="146"/>
      <c r="ORZ71" s="146"/>
      <c r="OSA71" s="146"/>
      <c r="OSB71" s="146"/>
      <c r="OSC71" s="146"/>
      <c r="OSD71" s="146"/>
      <c r="OSE71" s="146"/>
      <c r="OSF71" s="146"/>
      <c r="OSG71" s="146"/>
      <c r="OSH71" s="146"/>
      <c r="OSI71" s="146"/>
      <c r="OSJ71" s="146"/>
      <c r="OSK71" s="146"/>
      <c r="OSL71" s="146"/>
      <c r="OSM71" s="146"/>
      <c r="OSN71" s="146"/>
      <c r="OSO71" s="146"/>
      <c r="OSP71" s="146"/>
      <c r="OSQ71" s="146"/>
      <c r="OSR71" s="146"/>
      <c r="OSS71" s="146"/>
      <c r="OST71" s="146"/>
      <c r="OSU71" s="146"/>
      <c r="OSV71" s="146"/>
      <c r="OSW71" s="146"/>
      <c r="OSX71" s="146"/>
      <c r="OSY71" s="146"/>
      <c r="OSZ71" s="146"/>
      <c r="OTA71" s="146"/>
      <c r="OTB71" s="146"/>
      <c r="OTC71" s="146"/>
      <c r="OTD71" s="146"/>
      <c r="OTE71" s="146"/>
      <c r="OTF71" s="146"/>
      <c r="OTG71" s="146"/>
      <c r="OTH71" s="146"/>
      <c r="OTI71" s="146"/>
      <c r="OTJ71" s="146"/>
      <c r="OTK71" s="146"/>
      <c r="OTL71" s="146"/>
      <c r="OTM71" s="146"/>
      <c r="OTN71" s="146"/>
      <c r="OTO71" s="146"/>
      <c r="OTP71" s="146"/>
      <c r="OTQ71" s="146"/>
      <c r="OTR71" s="146"/>
      <c r="OTS71" s="146"/>
      <c r="OTT71" s="146"/>
      <c r="OTU71" s="146"/>
      <c r="OTV71" s="146"/>
      <c r="OTW71" s="146"/>
      <c r="OTX71" s="146"/>
      <c r="OTY71" s="146"/>
      <c r="OTZ71" s="146"/>
      <c r="OUA71" s="146"/>
      <c r="OUB71" s="146"/>
      <c r="OUC71" s="146"/>
      <c r="OUD71" s="146"/>
      <c r="OUE71" s="146"/>
      <c r="OUF71" s="146"/>
      <c r="OUG71" s="146"/>
      <c r="OUH71" s="146"/>
      <c r="OUI71" s="146"/>
      <c r="OUJ71" s="146"/>
      <c r="OUK71" s="146"/>
      <c r="OUL71" s="146"/>
      <c r="OUM71" s="146"/>
      <c r="OUN71" s="146"/>
      <c r="OUO71" s="146"/>
      <c r="OUP71" s="146"/>
      <c r="OUQ71" s="146"/>
      <c r="OUR71" s="146"/>
      <c r="OUS71" s="146"/>
      <c r="OUT71" s="146"/>
      <c r="OUU71" s="146"/>
      <c r="OUV71" s="146"/>
      <c r="OUW71" s="146"/>
      <c r="OUX71" s="146"/>
      <c r="OUY71" s="146"/>
      <c r="OUZ71" s="146"/>
      <c r="OVA71" s="146"/>
      <c r="OVB71" s="146"/>
      <c r="OVC71" s="146"/>
      <c r="OVD71" s="146"/>
      <c r="OVE71" s="146"/>
      <c r="OVF71" s="146"/>
      <c r="OVG71" s="146"/>
      <c r="OVH71" s="146"/>
      <c r="OVI71" s="146"/>
      <c r="OVJ71" s="146"/>
      <c r="OVK71" s="146"/>
      <c r="OVL71" s="146"/>
      <c r="OVM71" s="146"/>
      <c r="OVN71" s="146"/>
      <c r="OVO71" s="146"/>
      <c r="OVP71" s="146"/>
      <c r="OVQ71" s="146"/>
      <c r="OVR71" s="146"/>
      <c r="OVS71" s="146"/>
      <c r="OVT71" s="146"/>
      <c r="OVU71" s="146"/>
      <c r="OVV71" s="146"/>
      <c r="OVW71" s="146"/>
      <c r="OVX71" s="146"/>
      <c r="OVY71" s="146"/>
      <c r="OVZ71" s="146"/>
      <c r="OWA71" s="146"/>
      <c r="OWB71" s="146"/>
      <c r="OWC71" s="146"/>
      <c r="OWD71" s="146"/>
      <c r="OWE71" s="146"/>
      <c r="OWF71" s="146"/>
      <c r="OWG71" s="146"/>
      <c r="OWH71" s="146"/>
      <c r="OWI71" s="146"/>
      <c r="OWJ71" s="146"/>
      <c r="OWK71" s="146"/>
      <c r="OWL71" s="146"/>
      <c r="OWM71" s="146"/>
      <c r="OWN71" s="146"/>
      <c r="OWO71" s="146"/>
      <c r="OWP71" s="146"/>
      <c r="OWQ71" s="146"/>
      <c r="OWR71" s="146"/>
      <c r="OWS71" s="146"/>
      <c r="OWT71" s="146"/>
      <c r="OWU71" s="146"/>
      <c r="OWV71" s="146"/>
      <c r="OWW71" s="146"/>
      <c r="OWX71" s="146"/>
      <c r="OWY71" s="146"/>
      <c r="OWZ71" s="146"/>
      <c r="OXA71" s="146"/>
      <c r="OXB71" s="146"/>
      <c r="OXC71" s="146"/>
      <c r="OXD71" s="146"/>
      <c r="OXE71" s="146"/>
      <c r="OXF71" s="146"/>
      <c r="OXG71" s="146"/>
      <c r="OXH71" s="146"/>
      <c r="OXI71" s="146"/>
      <c r="OXJ71" s="146"/>
      <c r="OXK71" s="146"/>
      <c r="OXL71" s="146"/>
      <c r="OXM71" s="146"/>
      <c r="OXN71" s="146"/>
      <c r="OXO71" s="146"/>
      <c r="OXP71" s="146"/>
      <c r="OXQ71" s="146"/>
      <c r="OXR71" s="146"/>
      <c r="OXS71" s="146"/>
      <c r="OXT71" s="146"/>
      <c r="OXU71" s="146"/>
      <c r="OXV71" s="146"/>
      <c r="OXW71" s="146"/>
      <c r="OXX71" s="146"/>
      <c r="OXY71" s="146"/>
      <c r="OXZ71" s="146"/>
      <c r="OYA71" s="146"/>
      <c r="OYB71" s="146"/>
      <c r="OYC71" s="146"/>
      <c r="OYD71" s="146"/>
      <c r="OYE71" s="146"/>
      <c r="OYF71" s="146"/>
      <c r="OYG71" s="146"/>
      <c r="OYH71" s="146"/>
      <c r="OYI71" s="146"/>
      <c r="OYJ71" s="146"/>
      <c r="OYK71" s="146"/>
      <c r="OYL71" s="146"/>
      <c r="OYM71" s="146"/>
      <c r="OYN71" s="146"/>
      <c r="OYO71" s="146"/>
      <c r="OYP71" s="146"/>
      <c r="OYQ71" s="146"/>
      <c r="OYR71" s="146"/>
      <c r="OYS71" s="146"/>
      <c r="OYT71" s="146"/>
      <c r="OYU71" s="146"/>
      <c r="OYV71" s="146"/>
      <c r="OYW71" s="146"/>
      <c r="OYX71" s="146"/>
      <c r="OYY71" s="146"/>
      <c r="OYZ71" s="146"/>
      <c r="OZA71" s="146"/>
      <c r="OZB71" s="146"/>
      <c r="OZC71" s="146"/>
      <c r="OZD71" s="146"/>
      <c r="OZE71" s="146"/>
      <c r="OZF71" s="146"/>
      <c r="OZG71" s="146"/>
      <c r="OZH71" s="146"/>
      <c r="OZI71" s="146"/>
      <c r="OZJ71" s="146"/>
      <c r="OZK71" s="146"/>
      <c r="OZL71" s="146"/>
      <c r="OZM71" s="146"/>
      <c r="OZN71" s="146"/>
      <c r="OZO71" s="146"/>
      <c r="OZP71" s="146"/>
      <c r="OZQ71" s="146"/>
      <c r="OZR71" s="146"/>
      <c r="OZS71" s="146"/>
      <c r="OZT71" s="146"/>
      <c r="OZU71" s="146"/>
      <c r="OZV71" s="146"/>
      <c r="OZW71" s="146"/>
      <c r="OZX71" s="146"/>
      <c r="OZY71" s="146"/>
      <c r="OZZ71" s="146"/>
      <c r="PAA71" s="146"/>
      <c r="PAB71" s="146"/>
      <c r="PAC71" s="146"/>
      <c r="PAD71" s="146"/>
      <c r="PAE71" s="146"/>
      <c r="PAF71" s="146"/>
      <c r="PAG71" s="146"/>
      <c r="PAH71" s="146"/>
      <c r="PAI71" s="146"/>
      <c r="PAJ71" s="146"/>
      <c r="PAK71" s="146"/>
      <c r="PAL71" s="146"/>
      <c r="PAM71" s="146"/>
      <c r="PAN71" s="146"/>
      <c r="PAO71" s="146"/>
      <c r="PAP71" s="146"/>
      <c r="PAQ71" s="146"/>
      <c r="PAR71" s="146"/>
      <c r="PAS71" s="146"/>
      <c r="PAT71" s="146"/>
      <c r="PAU71" s="146"/>
      <c r="PAV71" s="146"/>
      <c r="PAW71" s="146"/>
      <c r="PAX71" s="146"/>
      <c r="PAY71" s="146"/>
      <c r="PAZ71" s="146"/>
      <c r="PBA71" s="146"/>
      <c r="PBB71" s="146"/>
      <c r="PBC71" s="146"/>
      <c r="PBD71" s="146"/>
      <c r="PBE71" s="146"/>
      <c r="PBF71" s="146"/>
      <c r="PBG71" s="146"/>
      <c r="PBH71" s="146"/>
      <c r="PBI71" s="146"/>
      <c r="PBJ71" s="146"/>
      <c r="PBK71" s="146"/>
      <c r="PBL71" s="146"/>
      <c r="PBM71" s="146"/>
      <c r="PBN71" s="146"/>
      <c r="PBO71" s="146"/>
      <c r="PBP71" s="146"/>
      <c r="PBQ71" s="146"/>
      <c r="PBR71" s="146"/>
      <c r="PBS71" s="146"/>
      <c r="PBT71" s="146"/>
      <c r="PBU71" s="146"/>
      <c r="PBV71" s="146"/>
      <c r="PBW71" s="146"/>
      <c r="PBX71" s="146"/>
      <c r="PBY71" s="146"/>
      <c r="PBZ71" s="146"/>
      <c r="PCA71" s="146"/>
      <c r="PCB71" s="146"/>
      <c r="PCC71" s="146"/>
      <c r="PCD71" s="146"/>
      <c r="PCE71" s="146"/>
      <c r="PCF71" s="146"/>
      <c r="PCG71" s="146"/>
      <c r="PCH71" s="146"/>
      <c r="PCI71" s="146"/>
      <c r="PCJ71" s="146"/>
      <c r="PCK71" s="146"/>
      <c r="PCL71" s="146"/>
      <c r="PCM71" s="146"/>
      <c r="PCN71" s="146"/>
      <c r="PCO71" s="146"/>
      <c r="PCP71" s="146"/>
      <c r="PCQ71" s="146"/>
      <c r="PCR71" s="146"/>
      <c r="PCS71" s="146"/>
      <c r="PCT71" s="146"/>
      <c r="PCU71" s="146"/>
      <c r="PCV71" s="146"/>
      <c r="PCW71" s="146"/>
      <c r="PCX71" s="146"/>
      <c r="PCY71" s="146"/>
      <c r="PCZ71" s="146"/>
      <c r="PDA71" s="146"/>
      <c r="PDB71" s="146"/>
      <c r="PDC71" s="146"/>
      <c r="PDD71" s="146"/>
      <c r="PDE71" s="146"/>
      <c r="PDF71" s="146"/>
      <c r="PDG71" s="146"/>
      <c r="PDH71" s="146"/>
      <c r="PDI71" s="146"/>
      <c r="PDJ71" s="146"/>
      <c r="PDK71" s="146"/>
      <c r="PDL71" s="146"/>
      <c r="PDM71" s="146"/>
      <c r="PDN71" s="146"/>
      <c r="PDO71" s="146"/>
      <c r="PDP71" s="146"/>
      <c r="PDQ71" s="146"/>
      <c r="PDR71" s="146"/>
      <c r="PDS71" s="146"/>
      <c r="PDT71" s="146"/>
      <c r="PDU71" s="146"/>
      <c r="PDV71" s="146"/>
      <c r="PDW71" s="146"/>
      <c r="PDX71" s="146"/>
      <c r="PDY71" s="146"/>
      <c r="PDZ71" s="146"/>
      <c r="PEA71" s="146"/>
      <c r="PEB71" s="146"/>
      <c r="PEC71" s="146"/>
      <c r="PED71" s="146"/>
      <c r="PEE71" s="146"/>
      <c r="PEF71" s="146"/>
      <c r="PEG71" s="146"/>
      <c r="PEH71" s="146"/>
      <c r="PEI71" s="146"/>
      <c r="PEJ71" s="146"/>
      <c r="PEK71" s="146"/>
      <c r="PEL71" s="146"/>
      <c r="PEM71" s="146"/>
      <c r="PEN71" s="146"/>
      <c r="PEO71" s="146"/>
      <c r="PEP71" s="146"/>
      <c r="PEQ71" s="146"/>
      <c r="PER71" s="146"/>
      <c r="PES71" s="146"/>
      <c r="PET71" s="146"/>
      <c r="PEU71" s="146"/>
      <c r="PEV71" s="146"/>
      <c r="PEW71" s="146"/>
      <c r="PEX71" s="146"/>
      <c r="PEY71" s="146"/>
      <c r="PEZ71" s="146"/>
      <c r="PFA71" s="146"/>
      <c r="PFB71" s="146"/>
      <c r="PFC71" s="146"/>
      <c r="PFD71" s="146"/>
      <c r="PFE71" s="146"/>
      <c r="PFF71" s="146"/>
      <c r="PFG71" s="146"/>
      <c r="PFH71" s="146"/>
      <c r="PFI71" s="146"/>
      <c r="PFJ71" s="146"/>
      <c r="PFK71" s="146"/>
      <c r="PFL71" s="146"/>
      <c r="PFM71" s="146"/>
      <c r="PFN71" s="146"/>
      <c r="PFO71" s="146"/>
      <c r="PFP71" s="146"/>
      <c r="PFQ71" s="146"/>
      <c r="PFR71" s="146"/>
      <c r="PFS71" s="146"/>
      <c r="PFT71" s="146"/>
      <c r="PFU71" s="146"/>
      <c r="PFV71" s="146"/>
      <c r="PFW71" s="146"/>
      <c r="PFX71" s="146"/>
      <c r="PFY71" s="146"/>
      <c r="PFZ71" s="146"/>
      <c r="PGA71" s="146"/>
      <c r="PGB71" s="146"/>
      <c r="PGC71" s="146"/>
      <c r="PGD71" s="146"/>
      <c r="PGE71" s="146"/>
      <c r="PGF71" s="146"/>
      <c r="PGG71" s="146"/>
      <c r="PGH71" s="146"/>
      <c r="PGI71" s="146"/>
      <c r="PGJ71" s="146"/>
      <c r="PGK71" s="146"/>
      <c r="PGL71" s="146"/>
      <c r="PGM71" s="146"/>
      <c r="PGN71" s="146"/>
      <c r="PGO71" s="146"/>
      <c r="PGP71" s="146"/>
      <c r="PGQ71" s="146"/>
      <c r="PGR71" s="146"/>
      <c r="PGS71" s="146"/>
      <c r="PGT71" s="146"/>
      <c r="PGU71" s="146"/>
      <c r="PGV71" s="146"/>
      <c r="PGW71" s="146"/>
      <c r="PGX71" s="146"/>
      <c r="PGY71" s="146"/>
      <c r="PGZ71" s="146"/>
      <c r="PHA71" s="146"/>
      <c r="PHB71" s="146"/>
      <c r="PHC71" s="146"/>
      <c r="PHD71" s="146"/>
      <c r="PHE71" s="146"/>
      <c r="PHF71" s="146"/>
      <c r="PHG71" s="146"/>
      <c r="PHH71" s="146"/>
      <c r="PHI71" s="146"/>
      <c r="PHJ71" s="146"/>
      <c r="PHK71" s="146"/>
      <c r="PHL71" s="146"/>
      <c r="PHM71" s="146"/>
      <c r="PHN71" s="146"/>
      <c r="PHO71" s="146"/>
      <c r="PHP71" s="146"/>
      <c r="PHQ71" s="146"/>
      <c r="PHR71" s="146"/>
      <c r="PHS71" s="146"/>
      <c r="PHT71" s="146"/>
      <c r="PHU71" s="146"/>
      <c r="PHV71" s="146"/>
      <c r="PHW71" s="146"/>
      <c r="PHX71" s="146"/>
      <c r="PHY71" s="146"/>
      <c r="PHZ71" s="146"/>
      <c r="PIA71" s="146"/>
      <c r="PIB71" s="146"/>
      <c r="PIC71" s="146"/>
      <c r="PID71" s="146"/>
      <c r="PIE71" s="146"/>
      <c r="PIF71" s="146"/>
      <c r="PIG71" s="146"/>
      <c r="PIH71" s="146"/>
      <c r="PII71" s="146"/>
      <c r="PIJ71" s="146"/>
      <c r="PIK71" s="146"/>
      <c r="PIL71" s="146"/>
      <c r="PIM71" s="146"/>
      <c r="PIN71" s="146"/>
      <c r="PIO71" s="146"/>
      <c r="PIP71" s="146"/>
      <c r="PIQ71" s="146"/>
      <c r="PIR71" s="146"/>
      <c r="PIS71" s="146"/>
      <c r="PIT71" s="146"/>
      <c r="PIU71" s="146"/>
      <c r="PIV71" s="146"/>
      <c r="PIW71" s="146"/>
      <c r="PIX71" s="146"/>
      <c r="PIY71" s="146"/>
      <c r="PIZ71" s="146"/>
      <c r="PJA71" s="146"/>
      <c r="PJB71" s="146"/>
      <c r="PJC71" s="146"/>
      <c r="PJD71" s="146"/>
      <c r="PJE71" s="146"/>
      <c r="PJF71" s="146"/>
      <c r="PJG71" s="146"/>
      <c r="PJH71" s="146"/>
      <c r="PJI71" s="146"/>
      <c r="PJJ71" s="146"/>
      <c r="PJK71" s="146"/>
      <c r="PJL71" s="146"/>
      <c r="PJM71" s="146"/>
      <c r="PJN71" s="146"/>
      <c r="PJO71" s="146"/>
      <c r="PJP71" s="146"/>
      <c r="PJQ71" s="146"/>
      <c r="PJR71" s="146"/>
      <c r="PJS71" s="146"/>
      <c r="PJT71" s="146"/>
      <c r="PJU71" s="146"/>
      <c r="PJV71" s="146"/>
      <c r="PJW71" s="146"/>
      <c r="PJX71" s="146"/>
      <c r="PJY71" s="146"/>
      <c r="PJZ71" s="146"/>
      <c r="PKA71" s="146"/>
      <c r="PKB71" s="146"/>
      <c r="PKC71" s="146"/>
      <c r="PKD71" s="146"/>
      <c r="PKE71" s="146"/>
      <c r="PKF71" s="146"/>
      <c r="PKG71" s="146"/>
      <c r="PKH71" s="146"/>
      <c r="PKI71" s="146"/>
      <c r="PKJ71" s="146"/>
      <c r="PKK71" s="146"/>
      <c r="PKL71" s="146"/>
      <c r="PKM71" s="146"/>
      <c r="PKN71" s="146"/>
      <c r="PKO71" s="146"/>
      <c r="PKP71" s="146"/>
      <c r="PKQ71" s="146"/>
      <c r="PKR71" s="146"/>
      <c r="PKS71" s="146"/>
      <c r="PKT71" s="146"/>
      <c r="PKU71" s="146"/>
      <c r="PKV71" s="146"/>
      <c r="PKW71" s="146"/>
      <c r="PKX71" s="146"/>
      <c r="PKY71" s="146"/>
      <c r="PKZ71" s="146"/>
      <c r="PLA71" s="146"/>
      <c r="PLB71" s="146"/>
      <c r="PLC71" s="146"/>
      <c r="PLD71" s="146"/>
      <c r="PLE71" s="146"/>
      <c r="PLF71" s="146"/>
      <c r="PLG71" s="146"/>
      <c r="PLH71" s="146"/>
      <c r="PLI71" s="146"/>
      <c r="PLJ71" s="146"/>
      <c r="PLK71" s="146"/>
      <c r="PLL71" s="146"/>
      <c r="PLM71" s="146"/>
      <c r="PLN71" s="146"/>
      <c r="PLO71" s="146"/>
      <c r="PLP71" s="146"/>
      <c r="PLQ71" s="146"/>
      <c r="PLR71" s="146"/>
      <c r="PLS71" s="146"/>
      <c r="PLT71" s="146"/>
      <c r="PLU71" s="146"/>
      <c r="PLV71" s="146"/>
      <c r="PLW71" s="146"/>
      <c r="PLX71" s="146"/>
      <c r="PLY71" s="146"/>
      <c r="PLZ71" s="146"/>
      <c r="PMA71" s="146"/>
      <c r="PMB71" s="146"/>
      <c r="PMC71" s="146"/>
      <c r="PMD71" s="146"/>
      <c r="PME71" s="146"/>
      <c r="PMF71" s="146"/>
      <c r="PMG71" s="146"/>
      <c r="PMH71" s="146"/>
      <c r="PMI71" s="146"/>
      <c r="PMJ71" s="146"/>
      <c r="PMK71" s="146"/>
      <c r="PML71" s="146"/>
      <c r="PMM71" s="146"/>
      <c r="PMN71" s="146"/>
      <c r="PMO71" s="146"/>
      <c r="PMP71" s="146"/>
      <c r="PMQ71" s="146"/>
      <c r="PMR71" s="146"/>
      <c r="PMS71" s="146"/>
      <c r="PMT71" s="146"/>
      <c r="PMU71" s="146"/>
      <c r="PMV71" s="146"/>
      <c r="PMW71" s="146"/>
      <c r="PMX71" s="146"/>
      <c r="PMY71" s="146"/>
      <c r="PMZ71" s="146"/>
      <c r="PNA71" s="146"/>
      <c r="PNB71" s="146"/>
      <c r="PNC71" s="146"/>
      <c r="PND71" s="146"/>
      <c r="PNE71" s="146"/>
      <c r="PNF71" s="146"/>
      <c r="PNG71" s="146"/>
      <c r="PNH71" s="146"/>
      <c r="PNI71" s="146"/>
      <c r="PNJ71" s="146"/>
      <c r="PNK71" s="146"/>
      <c r="PNL71" s="146"/>
      <c r="PNM71" s="146"/>
      <c r="PNN71" s="146"/>
      <c r="PNO71" s="146"/>
      <c r="PNP71" s="146"/>
      <c r="PNQ71" s="146"/>
      <c r="PNR71" s="146"/>
      <c r="PNS71" s="146"/>
      <c r="PNT71" s="146"/>
      <c r="PNU71" s="146"/>
      <c r="PNV71" s="146"/>
      <c r="PNW71" s="146"/>
      <c r="PNX71" s="146"/>
      <c r="PNY71" s="146"/>
      <c r="PNZ71" s="146"/>
      <c r="POA71" s="146"/>
      <c r="POB71" s="146"/>
      <c r="POC71" s="146"/>
      <c r="POD71" s="146"/>
      <c r="POE71" s="146"/>
      <c r="POF71" s="146"/>
      <c r="POG71" s="146"/>
      <c r="POH71" s="146"/>
      <c r="POI71" s="146"/>
      <c r="POJ71" s="146"/>
      <c r="POK71" s="146"/>
      <c r="POL71" s="146"/>
      <c r="POM71" s="146"/>
      <c r="PON71" s="146"/>
      <c r="POO71" s="146"/>
      <c r="POP71" s="146"/>
      <c r="POQ71" s="146"/>
      <c r="POR71" s="146"/>
      <c r="POS71" s="146"/>
      <c r="POT71" s="146"/>
      <c r="POU71" s="146"/>
      <c r="POV71" s="146"/>
      <c r="POW71" s="146"/>
      <c r="POX71" s="146"/>
      <c r="POY71" s="146"/>
      <c r="POZ71" s="146"/>
      <c r="PPA71" s="146"/>
      <c r="PPB71" s="146"/>
      <c r="PPC71" s="146"/>
      <c r="PPD71" s="146"/>
      <c r="PPE71" s="146"/>
      <c r="PPF71" s="146"/>
      <c r="PPG71" s="146"/>
      <c r="PPH71" s="146"/>
      <c r="PPI71" s="146"/>
      <c r="PPJ71" s="146"/>
      <c r="PPK71" s="146"/>
      <c r="PPL71" s="146"/>
      <c r="PPM71" s="146"/>
      <c r="PPN71" s="146"/>
      <c r="PPO71" s="146"/>
      <c r="PPP71" s="146"/>
      <c r="PPQ71" s="146"/>
      <c r="PPR71" s="146"/>
      <c r="PPS71" s="146"/>
      <c r="PPT71" s="146"/>
      <c r="PPU71" s="146"/>
      <c r="PPV71" s="146"/>
      <c r="PPW71" s="146"/>
      <c r="PPX71" s="146"/>
      <c r="PPY71" s="146"/>
      <c r="PPZ71" s="146"/>
      <c r="PQA71" s="146"/>
      <c r="PQB71" s="146"/>
      <c r="PQC71" s="146"/>
      <c r="PQD71" s="146"/>
      <c r="PQE71" s="146"/>
      <c r="PQF71" s="146"/>
      <c r="PQG71" s="146"/>
      <c r="PQH71" s="146"/>
      <c r="PQI71" s="146"/>
      <c r="PQJ71" s="146"/>
      <c r="PQK71" s="146"/>
      <c r="PQL71" s="146"/>
      <c r="PQM71" s="146"/>
      <c r="PQN71" s="146"/>
      <c r="PQO71" s="146"/>
      <c r="PQP71" s="146"/>
      <c r="PQQ71" s="146"/>
      <c r="PQR71" s="146"/>
      <c r="PQS71" s="146"/>
      <c r="PQT71" s="146"/>
      <c r="PQU71" s="146"/>
      <c r="PQV71" s="146"/>
      <c r="PQW71" s="146"/>
      <c r="PQX71" s="146"/>
      <c r="PQY71" s="146"/>
      <c r="PQZ71" s="146"/>
      <c r="PRA71" s="146"/>
      <c r="PRB71" s="146"/>
      <c r="PRC71" s="146"/>
      <c r="PRD71" s="146"/>
      <c r="PRE71" s="146"/>
      <c r="PRF71" s="146"/>
      <c r="PRG71" s="146"/>
      <c r="PRH71" s="146"/>
      <c r="PRI71" s="146"/>
      <c r="PRJ71" s="146"/>
      <c r="PRK71" s="146"/>
      <c r="PRL71" s="146"/>
      <c r="PRM71" s="146"/>
      <c r="PRN71" s="146"/>
      <c r="PRO71" s="146"/>
      <c r="PRP71" s="146"/>
      <c r="PRQ71" s="146"/>
      <c r="PRR71" s="146"/>
      <c r="PRS71" s="146"/>
      <c r="PRT71" s="146"/>
      <c r="PRU71" s="146"/>
      <c r="PRV71" s="146"/>
      <c r="PRW71" s="146"/>
      <c r="PRX71" s="146"/>
      <c r="PRY71" s="146"/>
      <c r="PRZ71" s="146"/>
      <c r="PSA71" s="146"/>
      <c r="PSB71" s="146"/>
      <c r="PSC71" s="146"/>
      <c r="PSD71" s="146"/>
      <c r="PSE71" s="146"/>
      <c r="PSF71" s="146"/>
      <c r="PSG71" s="146"/>
      <c r="PSH71" s="146"/>
      <c r="PSI71" s="146"/>
      <c r="PSJ71" s="146"/>
      <c r="PSK71" s="146"/>
      <c r="PSL71" s="146"/>
      <c r="PSM71" s="146"/>
      <c r="PSN71" s="146"/>
      <c r="PSO71" s="146"/>
      <c r="PSP71" s="146"/>
      <c r="PSQ71" s="146"/>
      <c r="PSR71" s="146"/>
      <c r="PSS71" s="146"/>
      <c r="PST71" s="146"/>
      <c r="PSU71" s="146"/>
      <c r="PSV71" s="146"/>
      <c r="PSW71" s="146"/>
      <c r="PSX71" s="146"/>
      <c r="PSY71" s="146"/>
      <c r="PSZ71" s="146"/>
      <c r="PTA71" s="146"/>
      <c r="PTB71" s="146"/>
      <c r="PTC71" s="146"/>
      <c r="PTD71" s="146"/>
      <c r="PTE71" s="146"/>
      <c r="PTF71" s="146"/>
      <c r="PTG71" s="146"/>
      <c r="PTH71" s="146"/>
      <c r="PTI71" s="146"/>
      <c r="PTJ71" s="146"/>
      <c r="PTK71" s="146"/>
      <c r="PTL71" s="146"/>
      <c r="PTM71" s="146"/>
      <c r="PTN71" s="146"/>
      <c r="PTO71" s="146"/>
      <c r="PTP71" s="146"/>
      <c r="PTQ71" s="146"/>
      <c r="PTR71" s="146"/>
      <c r="PTS71" s="146"/>
      <c r="PTT71" s="146"/>
      <c r="PTU71" s="146"/>
      <c r="PTV71" s="146"/>
      <c r="PTW71" s="146"/>
      <c r="PTX71" s="146"/>
      <c r="PTY71" s="146"/>
      <c r="PTZ71" s="146"/>
      <c r="PUA71" s="146"/>
      <c r="PUB71" s="146"/>
      <c r="PUC71" s="146"/>
      <c r="PUD71" s="146"/>
      <c r="PUE71" s="146"/>
      <c r="PUF71" s="146"/>
      <c r="PUG71" s="146"/>
      <c r="PUH71" s="146"/>
      <c r="PUI71" s="146"/>
      <c r="PUJ71" s="146"/>
      <c r="PUK71" s="146"/>
      <c r="PUL71" s="146"/>
      <c r="PUM71" s="146"/>
      <c r="PUN71" s="146"/>
      <c r="PUO71" s="146"/>
      <c r="PUP71" s="146"/>
      <c r="PUQ71" s="146"/>
      <c r="PUR71" s="146"/>
      <c r="PUS71" s="146"/>
      <c r="PUT71" s="146"/>
      <c r="PUU71" s="146"/>
      <c r="PUV71" s="146"/>
      <c r="PUW71" s="146"/>
      <c r="PUX71" s="146"/>
      <c r="PUY71" s="146"/>
      <c r="PUZ71" s="146"/>
      <c r="PVA71" s="146"/>
      <c r="PVB71" s="146"/>
      <c r="PVC71" s="146"/>
      <c r="PVD71" s="146"/>
      <c r="PVE71" s="146"/>
      <c r="PVF71" s="146"/>
      <c r="PVG71" s="146"/>
      <c r="PVH71" s="146"/>
      <c r="PVI71" s="146"/>
      <c r="PVJ71" s="146"/>
      <c r="PVK71" s="146"/>
      <c r="PVL71" s="146"/>
      <c r="PVM71" s="146"/>
      <c r="PVN71" s="146"/>
      <c r="PVO71" s="146"/>
      <c r="PVP71" s="146"/>
      <c r="PVQ71" s="146"/>
      <c r="PVR71" s="146"/>
      <c r="PVS71" s="146"/>
      <c r="PVT71" s="146"/>
      <c r="PVU71" s="146"/>
      <c r="PVV71" s="146"/>
      <c r="PVW71" s="146"/>
      <c r="PVX71" s="146"/>
      <c r="PVY71" s="146"/>
      <c r="PVZ71" s="146"/>
      <c r="PWA71" s="146"/>
      <c r="PWB71" s="146"/>
      <c r="PWC71" s="146"/>
      <c r="PWD71" s="146"/>
      <c r="PWE71" s="146"/>
      <c r="PWF71" s="146"/>
      <c r="PWG71" s="146"/>
      <c r="PWH71" s="146"/>
      <c r="PWI71" s="146"/>
      <c r="PWJ71" s="146"/>
      <c r="PWK71" s="146"/>
      <c r="PWL71" s="146"/>
      <c r="PWM71" s="146"/>
      <c r="PWN71" s="146"/>
      <c r="PWO71" s="146"/>
      <c r="PWP71" s="146"/>
      <c r="PWQ71" s="146"/>
      <c r="PWR71" s="146"/>
      <c r="PWS71" s="146"/>
      <c r="PWT71" s="146"/>
      <c r="PWU71" s="146"/>
      <c r="PWV71" s="146"/>
      <c r="PWW71" s="146"/>
      <c r="PWX71" s="146"/>
      <c r="PWY71" s="146"/>
      <c r="PWZ71" s="146"/>
      <c r="PXA71" s="146"/>
      <c r="PXB71" s="146"/>
      <c r="PXC71" s="146"/>
      <c r="PXD71" s="146"/>
      <c r="PXE71" s="146"/>
      <c r="PXF71" s="146"/>
      <c r="PXG71" s="146"/>
      <c r="PXH71" s="146"/>
      <c r="PXI71" s="146"/>
      <c r="PXJ71" s="146"/>
      <c r="PXK71" s="146"/>
      <c r="PXL71" s="146"/>
      <c r="PXM71" s="146"/>
      <c r="PXN71" s="146"/>
      <c r="PXO71" s="146"/>
      <c r="PXP71" s="146"/>
      <c r="PXQ71" s="146"/>
      <c r="PXR71" s="146"/>
      <c r="PXS71" s="146"/>
      <c r="PXT71" s="146"/>
      <c r="PXU71" s="146"/>
      <c r="PXV71" s="146"/>
      <c r="PXW71" s="146"/>
      <c r="PXX71" s="146"/>
      <c r="PXY71" s="146"/>
      <c r="PXZ71" s="146"/>
      <c r="PYA71" s="146"/>
      <c r="PYB71" s="146"/>
      <c r="PYC71" s="146"/>
      <c r="PYD71" s="146"/>
      <c r="PYE71" s="146"/>
      <c r="PYF71" s="146"/>
      <c r="PYG71" s="146"/>
      <c r="PYH71" s="146"/>
      <c r="PYI71" s="146"/>
      <c r="PYJ71" s="146"/>
      <c r="PYK71" s="146"/>
      <c r="PYL71" s="146"/>
      <c r="PYM71" s="146"/>
      <c r="PYN71" s="146"/>
      <c r="PYO71" s="146"/>
      <c r="PYP71" s="146"/>
      <c r="PYQ71" s="146"/>
      <c r="PYR71" s="146"/>
      <c r="PYS71" s="146"/>
      <c r="PYT71" s="146"/>
      <c r="PYU71" s="146"/>
      <c r="PYV71" s="146"/>
      <c r="PYW71" s="146"/>
      <c r="PYX71" s="146"/>
      <c r="PYY71" s="146"/>
      <c r="PYZ71" s="146"/>
      <c r="PZA71" s="146"/>
      <c r="PZB71" s="146"/>
      <c r="PZC71" s="146"/>
      <c r="PZD71" s="146"/>
      <c r="PZE71" s="146"/>
      <c r="PZF71" s="146"/>
      <c r="PZG71" s="146"/>
      <c r="PZH71" s="146"/>
      <c r="PZI71" s="146"/>
      <c r="PZJ71" s="146"/>
      <c r="PZK71" s="146"/>
      <c r="PZL71" s="146"/>
      <c r="PZM71" s="146"/>
      <c r="PZN71" s="146"/>
      <c r="PZO71" s="146"/>
      <c r="PZP71" s="146"/>
      <c r="PZQ71" s="146"/>
      <c r="PZR71" s="146"/>
      <c r="PZS71" s="146"/>
      <c r="PZT71" s="146"/>
      <c r="PZU71" s="146"/>
      <c r="PZV71" s="146"/>
      <c r="PZW71" s="146"/>
      <c r="PZX71" s="146"/>
      <c r="PZY71" s="146"/>
      <c r="PZZ71" s="146"/>
      <c r="QAA71" s="146"/>
      <c r="QAB71" s="146"/>
      <c r="QAC71" s="146"/>
      <c r="QAD71" s="146"/>
      <c r="QAE71" s="146"/>
      <c r="QAF71" s="146"/>
      <c r="QAG71" s="146"/>
      <c r="QAH71" s="146"/>
      <c r="QAI71" s="146"/>
      <c r="QAJ71" s="146"/>
      <c r="QAK71" s="146"/>
      <c r="QAL71" s="146"/>
      <c r="QAM71" s="146"/>
      <c r="QAN71" s="146"/>
      <c r="QAO71" s="146"/>
      <c r="QAP71" s="146"/>
      <c r="QAQ71" s="146"/>
      <c r="QAR71" s="146"/>
      <c r="QAS71" s="146"/>
      <c r="QAT71" s="146"/>
      <c r="QAU71" s="146"/>
      <c r="QAV71" s="146"/>
      <c r="QAW71" s="146"/>
      <c r="QAX71" s="146"/>
      <c r="QAY71" s="146"/>
      <c r="QAZ71" s="146"/>
      <c r="QBA71" s="146"/>
      <c r="QBB71" s="146"/>
      <c r="QBC71" s="146"/>
      <c r="QBD71" s="146"/>
      <c r="QBE71" s="146"/>
      <c r="QBF71" s="146"/>
      <c r="QBG71" s="146"/>
      <c r="QBH71" s="146"/>
      <c r="QBI71" s="146"/>
      <c r="QBJ71" s="146"/>
      <c r="QBK71" s="146"/>
      <c r="QBL71" s="146"/>
      <c r="QBM71" s="146"/>
      <c r="QBN71" s="146"/>
      <c r="QBO71" s="146"/>
      <c r="QBP71" s="146"/>
      <c r="QBQ71" s="146"/>
      <c r="QBR71" s="146"/>
      <c r="QBS71" s="146"/>
      <c r="QBT71" s="146"/>
      <c r="QBU71" s="146"/>
      <c r="QBV71" s="146"/>
      <c r="QBW71" s="146"/>
      <c r="QBX71" s="146"/>
      <c r="QBY71" s="146"/>
      <c r="QBZ71" s="146"/>
      <c r="QCA71" s="146"/>
      <c r="QCB71" s="146"/>
      <c r="QCC71" s="146"/>
      <c r="QCD71" s="146"/>
      <c r="QCE71" s="146"/>
      <c r="QCF71" s="146"/>
      <c r="QCG71" s="146"/>
      <c r="QCH71" s="146"/>
      <c r="QCI71" s="146"/>
      <c r="QCJ71" s="146"/>
      <c r="QCK71" s="146"/>
      <c r="QCL71" s="146"/>
      <c r="QCM71" s="146"/>
      <c r="QCN71" s="146"/>
      <c r="QCO71" s="146"/>
      <c r="QCP71" s="146"/>
      <c r="QCQ71" s="146"/>
      <c r="QCR71" s="146"/>
      <c r="QCS71" s="146"/>
      <c r="QCT71" s="146"/>
      <c r="QCU71" s="146"/>
      <c r="QCV71" s="146"/>
      <c r="QCW71" s="146"/>
      <c r="QCX71" s="146"/>
      <c r="QCY71" s="146"/>
      <c r="QCZ71" s="146"/>
      <c r="QDA71" s="146"/>
      <c r="QDB71" s="146"/>
      <c r="QDC71" s="146"/>
      <c r="QDD71" s="146"/>
      <c r="QDE71" s="146"/>
      <c r="QDF71" s="146"/>
      <c r="QDG71" s="146"/>
      <c r="QDH71" s="146"/>
      <c r="QDI71" s="146"/>
      <c r="QDJ71" s="146"/>
      <c r="QDK71" s="146"/>
      <c r="QDL71" s="146"/>
      <c r="QDM71" s="146"/>
      <c r="QDN71" s="146"/>
      <c r="QDO71" s="146"/>
      <c r="QDP71" s="146"/>
      <c r="QDQ71" s="146"/>
      <c r="QDR71" s="146"/>
      <c r="QDS71" s="146"/>
      <c r="QDT71" s="146"/>
      <c r="QDU71" s="146"/>
      <c r="QDV71" s="146"/>
      <c r="QDW71" s="146"/>
      <c r="QDX71" s="146"/>
      <c r="QDY71" s="146"/>
      <c r="QDZ71" s="146"/>
      <c r="QEA71" s="146"/>
      <c r="QEB71" s="146"/>
      <c r="QEC71" s="146"/>
      <c r="QED71" s="146"/>
      <c r="QEE71" s="146"/>
      <c r="QEF71" s="146"/>
      <c r="QEG71" s="146"/>
      <c r="QEH71" s="146"/>
      <c r="QEI71" s="146"/>
      <c r="QEJ71" s="146"/>
      <c r="QEK71" s="146"/>
      <c r="QEL71" s="146"/>
      <c r="QEM71" s="146"/>
      <c r="QEN71" s="146"/>
      <c r="QEO71" s="146"/>
      <c r="QEP71" s="146"/>
      <c r="QEQ71" s="146"/>
      <c r="QER71" s="146"/>
      <c r="QES71" s="146"/>
      <c r="QET71" s="146"/>
      <c r="QEU71" s="146"/>
      <c r="QEV71" s="146"/>
      <c r="QEW71" s="146"/>
      <c r="QEX71" s="146"/>
      <c r="QEY71" s="146"/>
      <c r="QEZ71" s="146"/>
      <c r="QFA71" s="146"/>
      <c r="QFB71" s="146"/>
      <c r="QFC71" s="146"/>
      <c r="QFD71" s="146"/>
      <c r="QFE71" s="146"/>
      <c r="QFF71" s="146"/>
      <c r="QFG71" s="146"/>
      <c r="QFH71" s="146"/>
      <c r="QFI71" s="146"/>
      <c r="QFJ71" s="146"/>
      <c r="QFK71" s="146"/>
      <c r="QFL71" s="146"/>
      <c r="QFM71" s="146"/>
      <c r="QFN71" s="146"/>
      <c r="QFO71" s="146"/>
      <c r="QFP71" s="146"/>
      <c r="QFQ71" s="146"/>
      <c r="QFR71" s="146"/>
      <c r="QFS71" s="146"/>
      <c r="QFT71" s="146"/>
      <c r="QFU71" s="146"/>
      <c r="QFV71" s="146"/>
      <c r="QFW71" s="146"/>
      <c r="QFX71" s="146"/>
      <c r="QFY71" s="146"/>
      <c r="QFZ71" s="146"/>
      <c r="QGA71" s="146"/>
      <c r="QGB71" s="146"/>
      <c r="QGC71" s="146"/>
      <c r="QGD71" s="146"/>
      <c r="QGE71" s="146"/>
      <c r="QGF71" s="146"/>
      <c r="QGG71" s="146"/>
      <c r="QGH71" s="146"/>
      <c r="QGI71" s="146"/>
      <c r="QGJ71" s="146"/>
      <c r="QGK71" s="146"/>
      <c r="QGL71" s="146"/>
      <c r="QGM71" s="146"/>
      <c r="QGN71" s="146"/>
      <c r="QGO71" s="146"/>
      <c r="QGP71" s="146"/>
      <c r="QGQ71" s="146"/>
      <c r="QGR71" s="146"/>
      <c r="QGS71" s="146"/>
      <c r="QGT71" s="146"/>
      <c r="QGU71" s="146"/>
      <c r="QGV71" s="146"/>
      <c r="QGW71" s="146"/>
      <c r="QGX71" s="146"/>
      <c r="QGY71" s="146"/>
      <c r="QGZ71" s="146"/>
      <c r="QHA71" s="146"/>
      <c r="QHB71" s="146"/>
      <c r="QHC71" s="146"/>
      <c r="QHD71" s="146"/>
      <c r="QHE71" s="146"/>
      <c r="QHF71" s="146"/>
      <c r="QHG71" s="146"/>
      <c r="QHH71" s="146"/>
      <c r="QHI71" s="146"/>
      <c r="QHJ71" s="146"/>
      <c r="QHK71" s="146"/>
      <c r="QHL71" s="146"/>
      <c r="QHM71" s="146"/>
      <c r="QHN71" s="146"/>
      <c r="QHO71" s="146"/>
      <c r="QHP71" s="146"/>
      <c r="QHQ71" s="146"/>
      <c r="QHR71" s="146"/>
      <c r="QHS71" s="146"/>
      <c r="QHT71" s="146"/>
      <c r="QHU71" s="146"/>
      <c r="QHV71" s="146"/>
      <c r="QHW71" s="146"/>
      <c r="QHX71" s="146"/>
      <c r="QHY71" s="146"/>
      <c r="QHZ71" s="146"/>
      <c r="QIA71" s="146"/>
      <c r="QIB71" s="146"/>
      <c r="QIC71" s="146"/>
      <c r="QID71" s="146"/>
      <c r="QIE71" s="146"/>
      <c r="QIF71" s="146"/>
      <c r="QIG71" s="146"/>
      <c r="QIH71" s="146"/>
      <c r="QII71" s="146"/>
      <c r="QIJ71" s="146"/>
      <c r="QIK71" s="146"/>
      <c r="QIL71" s="146"/>
      <c r="QIM71" s="146"/>
      <c r="QIN71" s="146"/>
      <c r="QIO71" s="146"/>
      <c r="QIP71" s="146"/>
      <c r="QIQ71" s="146"/>
      <c r="QIR71" s="146"/>
      <c r="QIS71" s="146"/>
      <c r="QIT71" s="146"/>
      <c r="QIU71" s="146"/>
      <c r="QIV71" s="146"/>
      <c r="QIW71" s="146"/>
      <c r="QIX71" s="146"/>
      <c r="QIY71" s="146"/>
      <c r="QIZ71" s="146"/>
      <c r="QJA71" s="146"/>
      <c r="QJB71" s="146"/>
      <c r="QJC71" s="146"/>
      <c r="QJD71" s="146"/>
      <c r="QJE71" s="146"/>
      <c r="QJF71" s="146"/>
      <c r="QJG71" s="146"/>
      <c r="QJH71" s="146"/>
      <c r="QJI71" s="146"/>
      <c r="QJJ71" s="146"/>
      <c r="QJK71" s="146"/>
      <c r="QJL71" s="146"/>
      <c r="QJM71" s="146"/>
      <c r="QJN71" s="146"/>
      <c r="QJO71" s="146"/>
      <c r="QJP71" s="146"/>
      <c r="QJQ71" s="146"/>
      <c r="QJR71" s="146"/>
      <c r="QJS71" s="146"/>
      <c r="QJT71" s="146"/>
      <c r="QJU71" s="146"/>
      <c r="QJV71" s="146"/>
      <c r="QJW71" s="146"/>
      <c r="QJX71" s="146"/>
      <c r="QJY71" s="146"/>
      <c r="QJZ71" s="146"/>
      <c r="QKA71" s="146"/>
      <c r="QKB71" s="146"/>
      <c r="QKC71" s="146"/>
      <c r="QKD71" s="146"/>
      <c r="QKE71" s="146"/>
      <c r="QKF71" s="146"/>
      <c r="QKG71" s="146"/>
      <c r="QKH71" s="146"/>
      <c r="QKI71" s="146"/>
      <c r="QKJ71" s="146"/>
      <c r="QKK71" s="146"/>
      <c r="QKL71" s="146"/>
      <c r="QKM71" s="146"/>
      <c r="QKN71" s="146"/>
      <c r="QKO71" s="146"/>
      <c r="QKP71" s="146"/>
      <c r="QKQ71" s="146"/>
      <c r="QKR71" s="146"/>
      <c r="QKS71" s="146"/>
      <c r="QKT71" s="146"/>
      <c r="QKU71" s="146"/>
      <c r="QKV71" s="146"/>
      <c r="QKW71" s="146"/>
      <c r="QKX71" s="146"/>
      <c r="QKY71" s="146"/>
      <c r="QKZ71" s="146"/>
      <c r="QLA71" s="146"/>
      <c r="QLB71" s="146"/>
      <c r="QLC71" s="146"/>
      <c r="QLD71" s="146"/>
      <c r="QLE71" s="146"/>
      <c r="QLF71" s="146"/>
      <c r="QLG71" s="146"/>
      <c r="QLH71" s="146"/>
      <c r="QLI71" s="146"/>
      <c r="QLJ71" s="146"/>
      <c r="QLK71" s="146"/>
      <c r="QLL71" s="146"/>
      <c r="QLM71" s="146"/>
      <c r="QLN71" s="146"/>
      <c r="QLO71" s="146"/>
      <c r="QLP71" s="146"/>
      <c r="QLQ71" s="146"/>
      <c r="QLR71" s="146"/>
      <c r="QLS71" s="146"/>
      <c r="QLT71" s="146"/>
      <c r="QLU71" s="146"/>
      <c r="QLV71" s="146"/>
      <c r="QLW71" s="146"/>
      <c r="QLX71" s="146"/>
      <c r="QLY71" s="146"/>
      <c r="QLZ71" s="146"/>
      <c r="QMA71" s="146"/>
      <c r="QMB71" s="146"/>
      <c r="QMC71" s="146"/>
      <c r="QMD71" s="146"/>
      <c r="QME71" s="146"/>
      <c r="QMF71" s="146"/>
      <c r="QMG71" s="146"/>
      <c r="QMH71" s="146"/>
      <c r="QMI71" s="146"/>
      <c r="QMJ71" s="146"/>
      <c r="QMK71" s="146"/>
      <c r="QML71" s="146"/>
      <c r="QMM71" s="146"/>
      <c r="QMN71" s="146"/>
      <c r="QMO71" s="146"/>
      <c r="QMP71" s="146"/>
      <c r="QMQ71" s="146"/>
      <c r="QMR71" s="146"/>
      <c r="QMS71" s="146"/>
      <c r="QMT71" s="146"/>
      <c r="QMU71" s="146"/>
      <c r="QMV71" s="146"/>
      <c r="QMW71" s="146"/>
      <c r="QMX71" s="146"/>
      <c r="QMY71" s="146"/>
      <c r="QMZ71" s="146"/>
      <c r="QNA71" s="146"/>
      <c r="QNB71" s="146"/>
      <c r="QNC71" s="146"/>
      <c r="QND71" s="146"/>
      <c r="QNE71" s="146"/>
      <c r="QNF71" s="146"/>
      <c r="QNG71" s="146"/>
      <c r="QNH71" s="146"/>
      <c r="QNI71" s="146"/>
      <c r="QNJ71" s="146"/>
      <c r="QNK71" s="146"/>
      <c r="QNL71" s="146"/>
      <c r="QNM71" s="146"/>
      <c r="QNN71" s="146"/>
      <c r="QNO71" s="146"/>
      <c r="QNP71" s="146"/>
      <c r="QNQ71" s="146"/>
      <c r="QNR71" s="146"/>
      <c r="QNS71" s="146"/>
      <c r="QNT71" s="146"/>
      <c r="QNU71" s="146"/>
      <c r="QNV71" s="146"/>
      <c r="QNW71" s="146"/>
      <c r="QNX71" s="146"/>
      <c r="QNY71" s="146"/>
      <c r="QNZ71" s="146"/>
      <c r="QOA71" s="146"/>
      <c r="QOB71" s="146"/>
      <c r="QOC71" s="146"/>
      <c r="QOD71" s="146"/>
      <c r="QOE71" s="146"/>
      <c r="QOF71" s="146"/>
      <c r="QOG71" s="146"/>
      <c r="QOH71" s="146"/>
      <c r="QOI71" s="146"/>
      <c r="QOJ71" s="146"/>
      <c r="QOK71" s="146"/>
      <c r="QOL71" s="146"/>
      <c r="QOM71" s="146"/>
      <c r="QON71" s="146"/>
      <c r="QOO71" s="146"/>
      <c r="QOP71" s="146"/>
      <c r="QOQ71" s="146"/>
      <c r="QOR71" s="146"/>
      <c r="QOS71" s="146"/>
      <c r="QOT71" s="146"/>
      <c r="QOU71" s="146"/>
      <c r="QOV71" s="146"/>
      <c r="QOW71" s="146"/>
      <c r="QOX71" s="146"/>
      <c r="QOY71" s="146"/>
      <c r="QOZ71" s="146"/>
      <c r="QPA71" s="146"/>
      <c r="QPB71" s="146"/>
      <c r="QPC71" s="146"/>
      <c r="QPD71" s="146"/>
      <c r="QPE71" s="146"/>
      <c r="QPF71" s="146"/>
      <c r="QPG71" s="146"/>
      <c r="QPH71" s="146"/>
      <c r="QPI71" s="146"/>
      <c r="QPJ71" s="146"/>
      <c r="QPK71" s="146"/>
      <c r="QPL71" s="146"/>
      <c r="QPM71" s="146"/>
      <c r="QPN71" s="146"/>
      <c r="QPO71" s="146"/>
      <c r="QPP71" s="146"/>
      <c r="QPQ71" s="146"/>
      <c r="QPR71" s="146"/>
      <c r="QPS71" s="146"/>
      <c r="QPT71" s="146"/>
      <c r="QPU71" s="146"/>
      <c r="QPV71" s="146"/>
      <c r="QPW71" s="146"/>
      <c r="QPX71" s="146"/>
      <c r="QPY71" s="146"/>
      <c r="QPZ71" s="146"/>
      <c r="QQA71" s="146"/>
      <c r="QQB71" s="146"/>
      <c r="QQC71" s="146"/>
      <c r="QQD71" s="146"/>
      <c r="QQE71" s="146"/>
      <c r="QQF71" s="146"/>
      <c r="QQG71" s="146"/>
      <c r="QQH71" s="146"/>
      <c r="QQI71" s="146"/>
      <c r="QQJ71" s="146"/>
      <c r="QQK71" s="146"/>
      <c r="QQL71" s="146"/>
      <c r="QQM71" s="146"/>
      <c r="QQN71" s="146"/>
      <c r="QQO71" s="146"/>
      <c r="QQP71" s="146"/>
      <c r="QQQ71" s="146"/>
      <c r="QQR71" s="146"/>
      <c r="QQS71" s="146"/>
      <c r="QQT71" s="146"/>
      <c r="QQU71" s="146"/>
      <c r="QQV71" s="146"/>
      <c r="QQW71" s="146"/>
      <c r="QQX71" s="146"/>
      <c r="QQY71" s="146"/>
      <c r="QQZ71" s="146"/>
      <c r="QRA71" s="146"/>
      <c r="QRB71" s="146"/>
      <c r="QRC71" s="146"/>
      <c r="QRD71" s="146"/>
      <c r="QRE71" s="146"/>
      <c r="QRF71" s="146"/>
      <c r="QRG71" s="146"/>
      <c r="QRH71" s="146"/>
      <c r="QRI71" s="146"/>
      <c r="QRJ71" s="146"/>
      <c r="QRK71" s="146"/>
      <c r="QRL71" s="146"/>
      <c r="QRM71" s="146"/>
      <c r="QRN71" s="146"/>
      <c r="QRO71" s="146"/>
      <c r="QRP71" s="146"/>
      <c r="QRQ71" s="146"/>
      <c r="QRR71" s="146"/>
      <c r="QRS71" s="146"/>
      <c r="QRT71" s="146"/>
      <c r="QRU71" s="146"/>
      <c r="QRV71" s="146"/>
      <c r="QRW71" s="146"/>
      <c r="QRX71" s="146"/>
      <c r="QRY71" s="146"/>
      <c r="QRZ71" s="146"/>
      <c r="QSA71" s="146"/>
      <c r="QSB71" s="146"/>
      <c r="QSC71" s="146"/>
      <c r="QSD71" s="146"/>
      <c r="QSE71" s="146"/>
      <c r="QSF71" s="146"/>
      <c r="QSG71" s="146"/>
      <c r="QSH71" s="146"/>
      <c r="QSI71" s="146"/>
      <c r="QSJ71" s="146"/>
      <c r="QSK71" s="146"/>
      <c r="QSL71" s="146"/>
      <c r="QSM71" s="146"/>
      <c r="QSN71" s="146"/>
      <c r="QSO71" s="146"/>
      <c r="QSP71" s="146"/>
      <c r="QSQ71" s="146"/>
      <c r="QSR71" s="146"/>
      <c r="QSS71" s="146"/>
      <c r="QST71" s="146"/>
      <c r="QSU71" s="146"/>
      <c r="QSV71" s="146"/>
      <c r="QSW71" s="146"/>
      <c r="QSX71" s="146"/>
      <c r="QSY71" s="146"/>
      <c r="QSZ71" s="146"/>
      <c r="QTA71" s="146"/>
      <c r="QTB71" s="146"/>
      <c r="QTC71" s="146"/>
      <c r="QTD71" s="146"/>
      <c r="QTE71" s="146"/>
      <c r="QTF71" s="146"/>
      <c r="QTG71" s="146"/>
      <c r="QTH71" s="146"/>
      <c r="QTI71" s="146"/>
      <c r="QTJ71" s="146"/>
      <c r="QTK71" s="146"/>
      <c r="QTL71" s="146"/>
      <c r="QTM71" s="146"/>
      <c r="QTN71" s="146"/>
      <c r="QTO71" s="146"/>
      <c r="QTP71" s="146"/>
      <c r="QTQ71" s="146"/>
      <c r="QTR71" s="146"/>
      <c r="QTS71" s="146"/>
      <c r="QTT71" s="146"/>
      <c r="QTU71" s="146"/>
      <c r="QTV71" s="146"/>
      <c r="QTW71" s="146"/>
      <c r="QTX71" s="146"/>
      <c r="QTY71" s="146"/>
      <c r="QTZ71" s="146"/>
      <c r="QUA71" s="146"/>
      <c r="QUB71" s="146"/>
      <c r="QUC71" s="146"/>
      <c r="QUD71" s="146"/>
      <c r="QUE71" s="146"/>
      <c r="QUF71" s="146"/>
      <c r="QUG71" s="146"/>
      <c r="QUH71" s="146"/>
      <c r="QUI71" s="146"/>
      <c r="QUJ71" s="146"/>
      <c r="QUK71" s="146"/>
      <c r="QUL71" s="146"/>
      <c r="QUM71" s="146"/>
      <c r="QUN71" s="146"/>
      <c r="QUO71" s="146"/>
      <c r="QUP71" s="146"/>
      <c r="QUQ71" s="146"/>
      <c r="QUR71" s="146"/>
      <c r="QUS71" s="146"/>
      <c r="QUT71" s="146"/>
      <c r="QUU71" s="146"/>
      <c r="QUV71" s="146"/>
      <c r="QUW71" s="146"/>
      <c r="QUX71" s="146"/>
      <c r="QUY71" s="146"/>
      <c r="QUZ71" s="146"/>
      <c r="QVA71" s="146"/>
      <c r="QVB71" s="146"/>
      <c r="QVC71" s="146"/>
      <c r="QVD71" s="146"/>
      <c r="QVE71" s="146"/>
      <c r="QVF71" s="146"/>
      <c r="QVG71" s="146"/>
      <c r="QVH71" s="146"/>
      <c r="QVI71" s="146"/>
      <c r="QVJ71" s="146"/>
      <c r="QVK71" s="146"/>
      <c r="QVL71" s="146"/>
      <c r="QVM71" s="146"/>
      <c r="QVN71" s="146"/>
      <c r="QVO71" s="146"/>
      <c r="QVP71" s="146"/>
      <c r="QVQ71" s="146"/>
      <c r="QVR71" s="146"/>
      <c r="QVS71" s="146"/>
      <c r="QVT71" s="146"/>
      <c r="QVU71" s="146"/>
      <c r="QVV71" s="146"/>
      <c r="QVW71" s="146"/>
      <c r="QVX71" s="146"/>
      <c r="QVY71" s="146"/>
      <c r="QVZ71" s="146"/>
      <c r="QWA71" s="146"/>
      <c r="QWB71" s="146"/>
      <c r="QWC71" s="146"/>
      <c r="QWD71" s="146"/>
      <c r="QWE71" s="146"/>
      <c r="QWF71" s="146"/>
      <c r="QWG71" s="146"/>
      <c r="QWH71" s="146"/>
      <c r="QWI71" s="146"/>
      <c r="QWJ71" s="146"/>
      <c r="QWK71" s="146"/>
      <c r="QWL71" s="146"/>
      <c r="QWM71" s="146"/>
      <c r="QWN71" s="146"/>
      <c r="QWO71" s="146"/>
      <c r="QWP71" s="146"/>
      <c r="QWQ71" s="146"/>
      <c r="QWR71" s="146"/>
      <c r="QWS71" s="146"/>
      <c r="QWT71" s="146"/>
      <c r="QWU71" s="146"/>
      <c r="QWV71" s="146"/>
      <c r="QWW71" s="146"/>
      <c r="QWX71" s="146"/>
      <c r="QWY71" s="146"/>
      <c r="QWZ71" s="146"/>
      <c r="QXA71" s="146"/>
      <c r="QXB71" s="146"/>
      <c r="QXC71" s="146"/>
      <c r="QXD71" s="146"/>
      <c r="QXE71" s="146"/>
      <c r="QXF71" s="146"/>
      <c r="QXG71" s="146"/>
      <c r="QXH71" s="146"/>
      <c r="QXI71" s="146"/>
      <c r="QXJ71" s="146"/>
      <c r="QXK71" s="146"/>
      <c r="QXL71" s="146"/>
      <c r="QXM71" s="146"/>
      <c r="QXN71" s="146"/>
      <c r="QXO71" s="146"/>
      <c r="QXP71" s="146"/>
      <c r="QXQ71" s="146"/>
      <c r="QXR71" s="146"/>
      <c r="QXS71" s="146"/>
      <c r="QXT71" s="146"/>
      <c r="QXU71" s="146"/>
      <c r="QXV71" s="146"/>
      <c r="QXW71" s="146"/>
      <c r="QXX71" s="146"/>
      <c r="QXY71" s="146"/>
      <c r="QXZ71" s="146"/>
      <c r="QYA71" s="146"/>
      <c r="QYB71" s="146"/>
      <c r="QYC71" s="146"/>
      <c r="QYD71" s="146"/>
      <c r="QYE71" s="146"/>
      <c r="QYF71" s="146"/>
      <c r="QYG71" s="146"/>
      <c r="QYH71" s="146"/>
      <c r="QYI71" s="146"/>
      <c r="QYJ71" s="146"/>
      <c r="QYK71" s="146"/>
      <c r="QYL71" s="146"/>
      <c r="QYM71" s="146"/>
      <c r="QYN71" s="146"/>
      <c r="QYO71" s="146"/>
      <c r="QYP71" s="146"/>
      <c r="QYQ71" s="146"/>
      <c r="QYR71" s="146"/>
      <c r="QYS71" s="146"/>
      <c r="QYT71" s="146"/>
      <c r="QYU71" s="146"/>
      <c r="QYV71" s="146"/>
      <c r="QYW71" s="146"/>
      <c r="QYX71" s="146"/>
      <c r="QYY71" s="146"/>
      <c r="QYZ71" s="146"/>
      <c r="QZA71" s="146"/>
      <c r="QZB71" s="146"/>
      <c r="QZC71" s="146"/>
      <c r="QZD71" s="146"/>
      <c r="QZE71" s="146"/>
      <c r="QZF71" s="146"/>
      <c r="QZG71" s="146"/>
      <c r="QZH71" s="146"/>
      <c r="QZI71" s="146"/>
      <c r="QZJ71" s="146"/>
      <c r="QZK71" s="146"/>
      <c r="QZL71" s="146"/>
      <c r="QZM71" s="146"/>
      <c r="QZN71" s="146"/>
      <c r="QZO71" s="146"/>
      <c r="QZP71" s="146"/>
      <c r="QZQ71" s="146"/>
      <c r="QZR71" s="146"/>
      <c r="QZS71" s="146"/>
      <c r="QZT71" s="146"/>
      <c r="QZU71" s="146"/>
      <c r="QZV71" s="146"/>
      <c r="QZW71" s="146"/>
      <c r="QZX71" s="146"/>
      <c r="QZY71" s="146"/>
      <c r="QZZ71" s="146"/>
      <c r="RAA71" s="146"/>
      <c r="RAB71" s="146"/>
      <c r="RAC71" s="146"/>
      <c r="RAD71" s="146"/>
      <c r="RAE71" s="146"/>
      <c r="RAF71" s="146"/>
      <c r="RAG71" s="146"/>
      <c r="RAH71" s="146"/>
      <c r="RAI71" s="146"/>
      <c r="RAJ71" s="146"/>
      <c r="RAK71" s="146"/>
      <c r="RAL71" s="146"/>
      <c r="RAM71" s="146"/>
      <c r="RAN71" s="146"/>
      <c r="RAO71" s="146"/>
      <c r="RAP71" s="146"/>
      <c r="RAQ71" s="146"/>
      <c r="RAR71" s="146"/>
      <c r="RAS71" s="146"/>
      <c r="RAT71" s="146"/>
      <c r="RAU71" s="146"/>
      <c r="RAV71" s="146"/>
      <c r="RAW71" s="146"/>
      <c r="RAX71" s="146"/>
      <c r="RAY71" s="146"/>
      <c r="RAZ71" s="146"/>
      <c r="RBA71" s="146"/>
      <c r="RBB71" s="146"/>
      <c r="RBC71" s="146"/>
      <c r="RBD71" s="146"/>
      <c r="RBE71" s="146"/>
      <c r="RBF71" s="146"/>
      <c r="RBG71" s="146"/>
      <c r="RBH71" s="146"/>
      <c r="RBI71" s="146"/>
      <c r="RBJ71" s="146"/>
      <c r="RBK71" s="146"/>
      <c r="RBL71" s="146"/>
      <c r="RBM71" s="146"/>
      <c r="RBN71" s="146"/>
      <c r="RBO71" s="146"/>
      <c r="RBP71" s="146"/>
      <c r="RBQ71" s="146"/>
      <c r="RBR71" s="146"/>
      <c r="RBS71" s="146"/>
      <c r="RBT71" s="146"/>
      <c r="RBU71" s="146"/>
      <c r="RBV71" s="146"/>
      <c r="RBW71" s="146"/>
      <c r="RBX71" s="146"/>
      <c r="RBY71" s="146"/>
      <c r="RBZ71" s="146"/>
      <c r="RCA71" s="146"/>
      <c r="RCB71" s="146"/>
      <c r="RCC71" s="146"/>
      <c r="RCD71" s="146"/>
      <c r="RCE71" s="146"/>
      <c r="RCF71" s="146"/>
      <c r="RCG71" s="146"/>
      <c r="RCH71" s="146"/>
      <c r="RCI71" s="146"/>
      <c r="RCJ71" s="146"/>
      <c r="RCK71" s="146"/>
      <c r="RCL71" s="146"/>
      <c r="RCM71" s="146"/>
      <c r="RCN71" s="146"/>
      <c r="RCO71" s="146"/>
      <c r="RCP71" s="146"/>
      <c r="RCQ71" s="146"/>
      <c r="RCR71" s="146"/>
      <c r="RCS71" s="146"/>
      <c r="RCT71" s="146"/>
      <c r="RCU71" s="146"/>
      <c r="RCV71" s="146"/>
      <c r="RCW71" s="146"/>
      <c r="RCX71" s="146"/>
      <c r="RCY71" s="146"/>
      <c r="RCZ71" s="146"/>
      <c r="RDA71" s="146"/>
      <c r="RDB71" s="146"/>
      <c r="RDC71" s="146"/>
      <c r="RDD71" s="146"/>
      <c r="RDE71" s="146"/>
      <c r="RDF71" s="146"/>
      <c r="RDG71" s="146"/>
      <c r="RDH71" s="146"/>
      <c r="RDI71" s="146"/>
      <c r="RDJ71" s="146"/>
      <c r="RDK71" s="146"/>
      <c r="RDL71" s="146"/>
      <c r="RDM71" s="146"/>
      <c r="RDN71" s="146"/>
      <c r="RDO71" s="146"/>
      <c r="RDP71" s="146"/>
      <c r="RDQ71" s="146"/>
      <c r="RDR71" s="146"/>
      <c r="RDS71" s="146"/>
      <c r="RDT71" s="146"/>
      <c r="RDU71" s="146"/>
      <c r="RDV71" s="146"/>
      <c r="RDW71" s="146"/>
      <c r="RDX71" s="146"/>
      <c r="RDY71" s="146"/>
      <c r="RDZ71" s="146"/>
      <c r="REA71" s="146"/>
      <c r="REB71" s="146"/>
      <c r="REC71" s="146"/>
      <c r="RED71" s="146"/>
      <c r="REE71" s="146"/>
      <c r="REF71" s="146"/>
      <c r="REG71" s="146"/>
      <c r="REH71" s="146"/>
      <c r="REI71" s="146"/>
      <c r="REJ71" s="146"/>
      <c r="REK71" s="146"/>
      <c r="REL71" s="146"/>
      <c r="REM71" s="146"/>
      <c r="REN71" s="146"/>
      <c r="REO71" s="146"/>
      <c r="REP71" s="146"/>
      <c r="REQ71" s="146"/>
      <c r="RER71" s="146"/>
      <c r="RES71" s="146"/>
      <c r="RET71" s="146"/>
      <c r="REU71" s="146"/>
      <c r="REV71" s="146"/>
      <c r="REW71" s="146"/>
      <c r="REX71" s="146"/>
      <c r="REY71" s="146"/>
      <c r="REZ71" s="146"/>
      <c r="RFA71" s="146"/>
      <c r="RFB71" s="146"/>
      <c r="RFC71" s="146"/>
      <c r="RFD71" s="146"/>
      <c r="RFE71" s="146"/>
      <c r="RFF71" s="146"/>
      <c r="RFG71" s="146"/>
      <c r="RFH71" s="146"/>
      <c r="RFI71" s="146"/>
      <c r="RFJ71" s="146"/>
      <c r="RFK71" s="146"/>
      <c r="RFL71" s="146"/>
      <c r="RFM71" s="146"/>
      <c r="RFN71" s="146"/>
      <c r="RFO71" s="146"/>
      <c r="RFP71" s="146"/>
      <c r="RFQ71" s="146"/>
      <c r="RFR71" s="146"/>
      <c r="RFS71" s="146"/>
      <c r="RFT71" s="146"/>
      <c r="RFU71" s="146"/>
      <c r="RFV71" s="146"/>
      <c r="RFW71" s="146"/>
      <c r="RFX71" s="146"/>
      <c r="RFY71" s="146"/>
      <c r="RFZ71" s="146"/>
      <c r="RGA71" s="146"/>
      <c r="RGB71" s="146"/>
      <c r="RGC71" s="146"/>
      <c r="RGD71" s="146"/>
      <c r="RGE71" s="146"/>
      <c r="RGF71" s="146"/>
      <c r="RGG71" s="146"/>
      <c r="RGH71" s="146"/>
      <c r="RGI71" s="146"/>
      <c r="RGJ71" s="146"/>
      <c r="RGK71" s="146"/>
      <c r="RGL71" s="146"/>
      <c r="RGM71" s="146"/>
      <c r="RGN71" s="146"/>
      <c r="RGO71" s="146"/>
      <c r="RGP71" s="146"/>
      <c r="RGQ71" s="146"/>
      <c r="RGR71" s="146"/>
      <c r="RGS71" s="146"/>
      <c r="RGT71" s="146"/>
      <c r="RGU71" s="146"/>
      <c r="RGV71" s="146"/>
      <c r="RGW71" s="146"/>
      <c r="RGX71" s="146"/>
      <c r="RGY71" s="146"/>
      <c r="RGZ71" s="146"/>
      <c r="RHA71" s="146"/>
      <c r="RHB71" s="146"/>
      <c r="RHC71" s="146"/>
      <c r="RHD71" s="146"/>
      <c r="RHE71" s="146"/>
      <c r="RHF71" s="146"/>
      <c r="RHG71" s="146"/>
      <c r="RHH71" s="146"/>
      <c r="RHI71" s="146"/>
      <c r="RHJ71" s="146"/>
      <c r="RHK71" s="146"/>
      <c r="RHL71" s="146"/>
      <c r="RHM71" s="146"/>
      <c r="RHN71" s="146"/>
      <c r="RHO71" s="146"/>
      <c r="RHP71" s="146"/>
      <c r="RHQ71" s="146"/>
      <c r="RHR71" s="146"/>
      <c r="RHS71" s="146"/>
      <c r="RHT71" s="146"/>
      <c r="RHU71" s="146"/>
      <c r="RHV71" s="146"/>
      <c r="RHW71" s="146"/>
      <c r="RHX71" s="146"/>
      <c r="RHY71" s="146"/>
      <c r="RHZ71" s="146"/>
      <c r="RIA71" s="146"/>
      <c r="RIB71" s="146"/>
      <c r="RIC71" s="146"/>
      <c r="RID71" s="146"/>
      <c r="RIE71" s="146"/>
      <c r="RIF71" s="146"/>
      <c r="RIG71" s="146"/>
      <c r="RIH71" s="146"/>
      <c r="RII71" s="146"/>
      <c r="RIJ71" s="146"/>
      <c r="RIK71" s="146"/>
      <c r="RIL71" s="146"/>
      <c r="RIM71" s="146"/>
      <c r="RIN71" s="146"/>
      <c r="RIO71" s="146"/>
      <c r="RIP71" s="146"/>
      <c r="RIQ71" s="146"/>
      <c r="RIR71" s="146"/>
      <c r="RIS71" s="146"/>
      <c r="RIT71" s="146"/>
      <c r="RIU71" s="146"/>
      <c r="RIV71" s="146"/>
      <c r="RIW71" s="146"/>
      <c r="RIX71" s="146"/>
      <c r="RIY71" s="146"/>
      <c r="RIZ71" s="146"/>
      <c r="RJA71" s="146"/>
      <c r="RJB71" s="146"/>
      <c r="RJC71" s="146"/>
      <c r="RJD71" s="146"/>
      <c r="RJE71" s="146"/>
      <c r="RJF71" s="146"/>
      <c r="RJG71" s="146"/>
      <c r="RJH71" s="146"/>
      <c r="RJI71" s="146"/>
      <c r="RJJ71" s="146"/>
      <c r="RJK71" s="146"/>
      <c r="RJL71" s="146"/>
      <c r="RJM71" s="146"/>
      <c r="RJN71" s="146"/>
      <c r="RJO71" s="146"/>
      <c r="RJP71" s="146"/>
      <c r="RJQ71" s="146"/>
      <c r="RJR71" s="146"/>
      <c r="RJS71" s="146"/>
      <c r="RJT71" s="146"/>
      <c r="RJU71" s="146"/>
      <c r="RJV71" s="146"/>
      <c r="RJW71" s="146"/>
      <c r="RJX71" s="146"/>
      <c r="RJY71" s="146"/>
      <c r="RJZ71" s="146"/>
      <c r="RKA71" s="146"/>
      <c r="RKB71" s="146"/>
      <c r="RKC71" s="146"/>
      <c r="RKD71" s="146"/>
      <c r="RKE71" s="146"/>
      <c r="RKF71" s="146"/>
      <c r="RKG71" s="146"/>
      <c r="RKH71" s="146"/>
      <c r="RKI71" s="146"/>
      <c r="RKJ71" s="146"/>
      <c r="RKK71" s="146"/>
      <c r="RKL71" s="146"/>
      <c r="RKM71" s="146"/>
      <c r="RKN71" s="146"/>
      <c r="RKO71" s="146"/>
      <c r="RKP71" s="146"/>
      <c r="RKQ71" s="146"/>
      <c r="RKR71" s="146"/>
      <c r="RKS71" s="146"/>
      <c r="RKT71" s="146"/>
      <c r="RKU71" s="146"/>
      <c r="RKV71" s="146"/>
      <c r="RKW71" s="146"/>
      <c r="RKX71" s="146"/>
      <c r="RKY71" s="146"/>
      <c r="RKZ71" s="146"/>
      <c r="RLA71" s="146"/>
      <c r="RLB71" s="146"/>
      <c r="RLC71" s="146"/>
      <c r="RLD71" s="146"/>
      <c r="RLE71" s="146"/>
      <c r="RLF71" s="146"/>
      <c r="RLG71" s="146"/>
      <c r="RLH71" s="146"/>
      <c r="RLI71" s="146"/>
      <c r="RLJ71" s="146"/>
      <c r="RLK71" s="146"/>
      <c r="RLL71" s="146"/>
      <c r="RLM71" s="146"/>
      <c r="RLN71" s="146"/>
      <c r="RLO71" s="146"/>
      <c r="RLP71" s="146"/>
      <c r="RLQ71" s="146"/>
      <c r="RLR71" s="146"/>
      <c r="RLS71" s="146"/>
      <c r="RLT71" s="146"/>
      <c r="RLU71" s="146"/>
      <c r="RLV71" s="146"/>
      <c r="RLW71" s="146"/>
      <c r="RLX71" s="146"/>
      <c r="RLY71" s="146"/>
      <c r="RLZ71" s="146"/>
      <c r="RMA71" s="146"/>
      <c r="RMB71" s="146"/>
      <c r="RMC71" s="146"/>
      <c r="RMD71" s="146"/>
      <c r="RME71" s="146"/>
      <c r="RMF71" s="146"/>
      <c r="RMG71" s="146"/>
      <c r="RMH71" s="146"/>
      <c r="RMI71" s="146"/>
      <c r="RMJ71" s="146"/>
      <c r="RMK71" s="146"/>
      <c r="RML71" s="146"/>
      <c r="RMM71" s="146"/>
      <c r="RMN71" s="146"/>
      <c r="RMO71" s="146"/>
      <c r="RMP71" s="146"/>
      <c r="RMQ71" s="146"/>
      <c r="RMR71" s="146"/>
      <c r="RMS71" s="146"/>
      <c r="RMT71" s="146"/>
      <c r="RMU71" s="146"/>
      <c r="RMV71" s="146"/>
      <c r="RMW71" s="146"/>
      <c r="RMX71" s="146"/>
      <c r="RMY71" s="146"/>
      <c r="RMZ71" s="146"/>
      <c r="RNA71" s="146"/>
      <c r="RNB71" s="146"/>
      <c r="RNC71" s="146"/>
      <c r="RND71" s="146"/>
      <c r="RNE71" s="146"/>
      <c r="RNF71" s="146"/>
      <c r="RNG71" s="146"/>
      <c r="RNH71" s="146"/>
      <c r="RNI71" s="146"/>
      <c r="RNJ71" s="146"/>
      <c r="RNK71" s="146"/>
      <c r="RNL71" s="146"/>
      <c r="RNM71" s="146"/>
      <c r="RNN71" s="146"/>
      <c r="RNO71" s="146"/>
      <c r="RNP71" s="146"/>
      <c r="RNQ71" s="146"/>
      <c r="RNR71" s="146"/>
      <c r="RNS71" s="146"/>
      <c r="RNT71" s="146"/>
      <c r="RNU71" s="146"/>
      <c r="RNV71" s="146"/>
      <c r="RNW71" s="146"/>
      <c r="RNX71" s="146"/>
      <c r="RNY71" s="146"/>
      <c r="RNZ71" s="146"/>
      <c r="ROA71" s="146"/>
      <c r="ROB71" s="146"/>
      <c r="ROC71" s="146"/>
      <c r="ROD71" s="146"/>
      <c r="ROE71" s="146"/>
      <c r="ROF71" s="146"/>
      <c r="ROG71" s="146"/>
      <c r="ROH71" s="146"/>
      <c r="ROI71" s="146"/>
      <c r="ROJ71" s="146"/>
      <c r="ROK71" s="146"/>
      <c r="ROL71" s="146"/>
      <c r="ROM71" s="146"/>
      <c r="RON71" s="146"/>
      <c r="ROO71" s="146"/>
      <c r="ROP71" s="146"/>
      <c r="ROQ71" s="146"/>
      <c r="ROR71" s="146"/>
      <c r="ROS71" s="146"/>
      <c r="ROT71" s="146"/>
      <c r="ROU71" s="146"/>
      <c r="ROV71" s="146"/>
      <c r="ROW71" s="146"/>
      <c r="ROX71" s="146"/>
      <c r="ROY71" s="146"/>
      <c r="ROZ71" s="146"/>
      <c r="RPA71" s="146"/>
      <c r="RPB71" s="146"/>
      <c r="RPC71" s="146"/>
      <c r="RPD71" s="146"/>
      <c r="RPE71" s="146"/>
      <c r="RPF71" s="146"/>
      <c r="RPG71" s="146"/>
      <c r="RPH71" s="146"/>
      <c r="RPI71" s="146"/>
      <c r="RPJ71" s="146"/>
      <c r="RPK71" s="146"/>
      <c r="RPL71" s="146"/>
      <c r="RPM71" s="146"/>
      <c r="RPN71" s="146"/>
      <c r="RPO71" s="146"/>
      <c r="RPP71" s="146"/>
      <c r="RPQ71" s="146"/>
      <c r="RPR71" s="146"/>
      <c r="RPS71" s="146"/>
      <c r="RPT71" s="146"/>
      <c r="RPU71" s="146"/>
      <c r="RPV71" s="146"/>
      <c r="RPW71" s="146"/>
      <c r="RPX71" s="146"/>
      <c r="RPY71" s="146"/>
      <c r="RPZ71" s="146"/>
      <c r="RQA71" s="146"/>
      <c r="RQB71" s="146"/>
      <c r="RQC71" s="146"/>
      <c r="RQD71" s="146"/>
      <c r="RQE71" s="146"/>
      <c r="RQF71" s="146"/>
      <c r="RQG71" s="146"/>
      <c r="RQH71" s="146"/>
      <c r="RQI71" s="146"/>
      <c r="RQJ71" s="146"/>
      <c r="RQK71" s="146"/>
      <c r="RQL71" s="146"/>
      <c r="RQM71" s="146"/>
      <c r="RQN71" s="146"/>
      <c r="RQO71" s="146"/>
      <c r="RQP71" s="146"/>
      <c r="RQQ71" s="146"/>
      <c r="RQR71" s="146"/>
      <c r="RQS71" s="146"/>
      <c r="RQT71" s="146"/>
      <c r="RQU71" s="146"/>
      <c r="RQV71" s="146"/>
      <c r="RQW71" s="146"/>
      <c r="RQX71" s="146"/>
      <c r="RQY71" s="146"/>
      <c r="RQZ71" s="146"/>
      <c r="RRA71" s="146"/>
      <c r="RRB71" s="146"/>
      <c r="RRC71" s="146"/>
      <c r="RRD71" s="146"/>
      <c r="RRE71" s="146"/>
      <c r="RRF71" s="146"/>
      <c r="RRG71" s="146"/>
      <c r="RRH71" s="146"/>
      <c r="RRI71" s="146"/>
      <c r="RRJ71" s="146"/>
      <c r="RRK71" s="146"/>
      <c r="RRL71" s="146"/>
      <c r="RRM71" s="146"/>
      <c r="RRN71" s="146"/>
      <c r="RRO71" s="146"/>
      <c r="RRP71" s="146"/>
      <c r="RRQ71" s="146"/>
      <c r="RRR71" s="146"/>
      <c r="RRS71" s="146"/>
      <c r="RRT71" s="146"/>
      <c r="RRU71" s="146"/>
      <c r="RRV71" s="146"/>
      <c r="RRW71" s="146"/>
      <c r="RRX71" s="146"/>
      <c r="RRY71" s="146"/>
      <c r="RRZ71" s="146"/>
      <c r="RSA71" s="146"/>
      <c r="RSB71" s="146"/>
      <c r="RSC71" s="146"/>
      <c r="RSD71" s="146"/>
      <c r="RSE71" s="146"/>
      <c r="RSF71" s="146"/>
      <c r="RSG71" s="146"/>
      <c r="RSH71" s="146"/>
      <c r="RSI71" s="146"/>
      <c r="RSJ71" s="146"/>
      <c r="RSK71" s="146"/>
      <c r="RSL71" s="146"/>
      <c r="RSM71" s="146"/>
      <c r="RSN71" s="146"/>
      <c r="RSO71" s="146"/>
      <c r="RSP71" s="146"/>
      <c r="RSQ71" s="146"/>
      <c r="RSR71" s="146"/>
      <c r="RSS71" s="146"/>
      <c r="RST71" s="146"/>
      <c r="RSU71" s="146"/>
      <c r="RSV71" s="146"/>
      <c r="RSW71" s="146"/>
      <c r="RSX71" s="146"/>
      <c r="RSY71" s="146"/>
      <c r="RSZ71" s="146"/>
      <c r="RTA71" s="146"/>
      <c r="RTB71" s="146"/>
      <c r="RTC71" s="146"/>
      <c r="RTD71" s="146"/>
      <c r="RTE71" s="146"/>
      <c r="RTF71" s="146"/>
      <c r="RTG71" s="146"/>
      <c r="RTH71" s="146"/>
      <c r="RTI71" s="146"/>
      <c r="RTJ71" s="146"/>
      <c r="RTK71" s="146"/>
      <c r="RTL71" s="146"/>
      <c r="RTM71" s="146"/>
      <c r="RTN71" s="146"/>
      <c r="RTO71" s="146"/>
      <c r="RTP71" s="146"/>
      <c r="RTQ71" s="146"/>
      <c r="RTR71" s="146"/>
      <c r="RTS71" s="146"/>
      <c r="RTT71" s="146"/>
      <c r="RTU71" s="146"/>
      <c r="RTV71" s="146"/>
      <c r="RTW71" s="146"/>
      <c r="RTX71" s="146"/>
      <c r="RTY71" s="146"/>
      <c r="RTZ71" s="146"/>
      <c r="RUA71" s="146"/>
      <c r="RUB71" s="146"/>
      <c r="RUC71" s="146"/>
      <c r="RUD71" s="146"/>
      <c r="RUE71" s="146"/>
      <c r="RUF71" s="146"/>
      <c r="RUG71" s="146"/>
      <c r="RUH71" s="146"/>
      <c r="RUI71" s="146"/>
      <c r="RUJ71" s="146"/>
      <c r="RUK71" s="146"/>
      <c r="RUL71" s="146"/>
      <c r="RUM71" s="146"/>
      <c r="RUN71" s="146"/>
      <c r="RUO71" s="146"/>
      <c r="RUP71" s="146"/>
      <c r="RUQ71" s="146"/>
      <c r="RUR71" s="146"/>
      <c r="RUS71" s="146"/>
      <c r="RUT71" s="146"/>
      <c r="RUU71" s="146"/>
      <c r="RUV71" s="146"/>
      <c r="RUW71" s="146"/>
      <c r="RUX71" s="146"/>
      <c r="RUY71" s="146"/>
      <c r="RUZ71" s="146"/>
      <c r="RVA71" s="146"/>
      <c r="RVB71" s="146"/>
      <c r="RVC71" s="146"/>
      <c r="RVD71" s="146"/>
      <c r="RVE71" s="146"/>
      <c r="RVF71" s="146"/>
      <c r="RVG71" s="146"/>
      <c r="RVH71" s="146"/>
      <c r="RVI71" s="146"/>
      <c r="RVJ71" s="146"/>
      <c r="RVK71" s="146"/>
      <c r="RVL71" s="146"/>
      <c r="RVM71" s="146"/>
      <c r="RVN71" s="146"/>
      <c r="RVO71" s="146"/>
      <c r="RVP71" s="146"/>
      <c r="RVQ71" s="146"/>
      <c r="RVR71" s="146"/>
      <c r="RVS71" s="146"/>
      <c r="RVT71" s="146"/>
      <c r="RVU71" s="146"/>
      <c r="RVV71" s="146"/>
      <c r="RVW71" s="146"/>
      <c r="RVX71" s="146"/>
      <c r="RVY71" s="146"/>
      <c r="RVZ71" s="146"/>
      <c r="RWA71" s="146"/>
      <c r="RWB71" s="146"/>
      <c r="RWC71" s="146"/>
      <c r="RWD71" s="146"/>
      <c r="RWE71" s="146"/>
      <c r="RWF71" s="146"/>
      <c r="RWG71" s="146"/>
      <c r="RWH71" s="146"/>
      <c r="RWI71" s="146"/>
      <c r="RWJ71" s="146"/>
      <c r="RWK71" s="146"/>
      <c r="RWL71" s="146"/>
      <c r="RWM71" s="146"/>
      <c r="RWN71" s="146"/>
      <c r="RWO71" s="146"/>
      <c r="RWP71" s="146"/>
      <c r="RWQ71" s="146"/>
      <c r="RWR71" s="146"/>
      <c r="RWS71" s="146"/>
      <c r="RWT71" s="146"/>
      <c r="RWU71" s="146"/>
      <c r="RWV71" s="146"/>
      <c r="RWW71" s="146"/>
      <c r="RWX71" s="146"/>
      <c r="RWY71" s="146"/>
      <c r="RWZ71" s="146"/>
      <c r="RXA71" s="146"/>
      <c r="RXB71" s="146"/>
      <c r="RXC71" s="146"/>
      <c r="RXD71" s="146"/>
      <c r="RXE71" s="146"/>
      <c r="RXF71" s="146"/>
      <c r="RXG71" s="146"/>
      <c r="RXH71" s="146"/>
      <c r="RXI71" s="146"/>
      <c r="RXJ71" s="146"/>
      <c r="RXK71" s="146"/>
      <c r="RXL71" s="146"/>
      <c r="RXM71" s="146"/>
      <c r="RXN71" s="146"/>
      <c r="RXO71" s="146"/>
      <c r="RXP71" s="146"/>
      <c r="RXQ71" s="146"/>
      <c r="RXR71" s="146"/>
      <c r="RXS71" s="146"/>
      <c r="RXT71" s="146"/>
      <c r="RXU71" s="146"/>
      <c r="RXV71" s="146"/>
      <c r="RXW71" s="146"/>
      <c r="RXX71" s="146"/>
      <c r="RXY71" s="146"/>
      <c r="RXZ71" s="146"/>
      <c r="RYA71" s="146"/>
      <c r="RYB71" s="146"/>
      <c r="RYC71" s="146"/>
      <c r="RYD71" s="146"/>
      <c r="RYE71" s="146"/>
      <c r="RYF71" s="146"/>
      <c r="RYG71" s="146"/>
      <c r="RYH71" s="146"/>
      <c r="RYI71" s="146"/>
      <c r="RYJ71" s="146"/>
      <c r="RYK71" s="146"/>
      <c r="RYL71" s="146"/>
      <c r="RYM71" s="146"/>
      <c r="RYN71" s="146"/>
      <c r="RYO71" s="146"/>
      <c r="RYP71" s="146"/>
      <c r="RYQ71" s="146"/>
      <c r="RYR71" s="146"/>
      <c r="RYS71" s="146"/>
      <c r="RYT71" s="146"/>
      <c r="RYU71" s="146"/>
      <c r="RYV71" s="146"/>
      <c r="RYW71" s="146"/>
      <c r="RYX71" s="146"/>
      <c r="RYY71" s="146"/>
      <c r="RYZ71" s="146"/>
      <c r="RZA71" s="146"/>
      <c r="RZB71" s="146"/>
      <c r="RZC71" s="146"/>
      <c r="RZD71" s="146"/>
      <c r="RZE71" s="146"/>
      <c r="RZF71" s="146"/>
      <c r="RZG71" s="146"/>
      <c r="RZH71" s="146"/>
      <c r="RZI71" s="146"/>
      <c r="RZJ71" s="146"/>
      <c r="RZK71" s="146"/>
      <c r="RZL71" s="146"/>
      <c r="RZM71" s="146"/>
      <c r="RZN71" s="146"/>
      <c r="RZO71" s="146"/>
      <c r="RZP71" s="146"/>
      <c r="RZQ71" s="146"/>
      <c r="RZR71" s="146"/>
      <c r="RZS71" s="146"/>
      <c r="RZT71" s="146"/>
      <c r="RZU71" s="146"/>
      <c r="RZV71" s="146"/>
      <c r="RZW71" s="146"/>
      <c r="RZX71" s="146"/>
      <c r="RZY71" s="146"/>
      <c r="RZZ71" s="146"/>
      <c r="SAA71" s="146"/>
      <c r="SAB71" s="146"/>
      <c r="SAC71" s="146"/>
      <c r="SAD71" s="146"/>
      <c r="SAE71" s="146"/>
      <c r="SAF71" s="146"/>
      <c r="SAG71" s="146"/>
      <c r="SAH71" s="146"/>
      <c r="SAI71" s="146"/>
      <c r="SAJ71" s="146"/>
      <c r="SAK71" s="146"/>
      <c r="SAL71" s="146"/>
      <c r="SAM71" s="146"/>
      <c r="SAN71" s="146"/>
      <c r="SAO71" s="146"/>
      <c r="SAP71" s="146"/>
      <c r="SAQ71" s="146"/>
      <c r="SAR71" s="146"/>
      <c r="SAS71" s="146"/>
      <c r="SAT71" s="146"/>
      <c r="SAU71" s="146"/>
      <c r="SAV71" s="146"/>
      <c r="SAW71" s="146"/>
      <c r="SAX71" s="146"/>
      <c r="SAY71" s="146"/>
      <c r="SAZ71" s="146"/>
      <c r="SBA71" s="146"/>
      <c r="SBB71" s="146"/>
      <c r="SBC71" s="146"/>
      <c r="SBD71" s="146"/>
      <c r="SBE71" s="146"/>
      <c r="SBF71" s="146"/>
      <c r="SBG71" s="146"/>
      <c r="SBH71" s="146"/>
      <c r="SBI71" s="146"/>
      <c r="SBJ71" s="146"/>
      <c r="SBK71" s="146"/>
      <c r="SBL71" s="146"/>
      <c r="SBM71" s="146"/>
      <c r="SBN71" s="146"/>
      <c r="SBO71" s="146"/>
      <c r="SBP71" s="146"/>
      <c r="SBQ71" s="146"/>
      <c r="SBR71" s="146"/>
      <c r="SBS71" s="146"/>
      <c r="SBT71" s="146"/>
      <c r="SBU71" s="146"/>
      <c r="SBV71" s="146"/>
      <c r="SBW71" s="146"/>
      <c r="SBX71" s="146"/>
      <c r="SBY71" s="146"/>
      <c r="SBZ71" s="146"/>
      <c r="SCA71" s="146"/>
      <c r="SCB71" s="146"/>
      <c r="SCC71" s="146"/>
      <c r="SCD71" s="146"/>
      <c r="SCE71" s="146"/>
      <c r="SCF71" s="146"/>
      <c r="SCG71" s="146"/>
      <c r="SCH71" s="146"/>
      <c r="SCI71" s="146"/>
      <c r="SCJ71" s="146"/>
      <c r="SCK71" s="146"/>
      <c r="SCL71" s="146"/>
      <c r="SCM71" s="146"/>
      <c r="SCN71" s="146"/>
      <c r="SCO71" s="146"/>
      <c r="SCP71" s="146"/>
      <c r="SCQ71" s="146"/>
      <c r="SCR71" s="146"/>
      <c r="SCS71" s="146"/>
      <c r="SCT71" s="146"/>
      <c r="SCU71" s="146"/>
      <c r="SCV71" s="146"/>
      <c r="SCW71" s="146"/>
      <c r="SCX71" s="146"/>
      <c r="SCY71" s="146"/>
      <c r="SCZ71" s="146"/>
      <c r="SDA71" s="146"/>
      <c r="SDB71" s="146"/>
      <c r="SDC71" s="146"/>
      <c r="SDD71" s="146"/>
      <c r="SDE71" s="146"/>
      <c r="SDF71" s="146"/>
      <c r="SDG71" s="146"/>
      <c r="SDH71" s="146"/>
      <c r="SDI71" s="146"/>
      <c r="SDJ71" s="146"/>
      <c r="SDK71" s="146"/>
      <c r="SDL71" s="146"/>
      <c r="SDM71" s="146"/>
      <c r="SDN71" s="146"/>
      <c r="SDO71" s="146"/>
      <c r="SDP71" s="146"/>
      <c r="SDQ71" s="146"/>
      <c r="SDR71" s="146"/>
      <c r="SDS71" s="146"/>
      <c r="SDT71" s="146"/>
      <c r="SDU71" s="146"/>
      <c r="SDV71" s="146"/>
      <c r="SDW71" s="146"/>
      <c r="SDX71" s="146"/>
      <c r="SDY71" s="146"/>
      <c r="SDZ71" s="146"/>
      <c r="SEA71" s="146"/>
      <c r="SEB71" s="146"/>
      <c r="SEC71" s="146"/>
      <c r="SED71" s="146"/>
      <c r="SEE71" s="146"/>
      <c r="SEF71" s="146"/>
      <c r="SEG71" s="146"/>
      <c r="SEH71" s="146"/>
      <c r="SEI71" s="146"/>
      <c r="SEJ71" s="146"/>
      <c r="SEK71" s="146"/>
      <c r="SEL71" s="146"/>
      <c r="SEM71" s="146"/>
      <c r="SEN71" s="146"/>
      <c r="SEO71" s="146"/>
      <c r="SEP71" s="146"/>
      <c r="SEQ71" s="146"/>
      <c r="SER71" s="146"/>
      <c r="SES71" s="146"/>
      <c r="SET71" s="146"/>
      <c r="SEU71" s="146"/>
      <c r="SEV71" s="146"/>
      <c r="SEW71" s="146"/>
      <c r="SEX71" s="146"/>
      <c r="SEY71" s="146"/>
      <c r="SEZ71" s="146"/>
      <c r="SFA71" s="146"/>
      <c r="SFB71" s="146"/>
      <c r="SFC71" s="146"/>
      <c r="SFD71" s="146"/>
      <c r="SFE71" s="146"/>
      <c r="SFF71" s="146"/>
      <c r="SFG71" s="146"/>
      <c r="SFH71" s="146"/>
      <c r="SFI71" s="146"/>
      <c r="SFJ71" s="146"/>
      <c r="SFK71" s="146"/>
      <c r="SFL71" s="146"/>
      <c r="SFM71" s="146"/>
      <c r="SFN71" s="146"/>
      <c r="SFO71" s="146"/>
      <c r="SFP71" s="146"/>
      <c r="SFQ71" s="146"/>
      <c r="SFR71" s="146"/>
      <c r="SFS71" s="146"/>
      <c r="SFT71" s="146"/>
      <c r="SFU71" s="146"/>
      <c r="SFV71" s="146"/>
      <c r="SFW71" s="146"/>
      <c r="SFX71" s="146"/>
      <c r="SFY71" s="146"/>
      <c r="SFZ71" s="146"/>
      <c r="SGA71" s="146"/>
      <c r="SGB71" s="146"/>
      <c r="SGC71" s="146"/>
      <c r="SGD71" s="146"/>
      <c r="SGE71" s="146"/>
      <c r="SGF71" s="146"/>
      <c r="SGG71" s="146"/>
      <c r="SGH71" s="146"/>
      <c r="SGI71" s="146"/>
      <c r="SGJ71" s="146"/>
      <c r="SGK71" s="146"/>
      <c r="SGL71" s="146"/>
      <c r="SGM71" s="146"/>
      <c r="SGN71" s="146"/>
      <c r="SGO71" s="146"/>
      <c r="SGP71" s="146"/>
      <c r="SGQ71" s="146"/>
      <c r="SGR71" s="146"/>
      <c r="SGS71" s="146"/>
      <c r="SGT71" s="146"/>
      <c r="SGU71" s="146"/>
      <c r="SGV71" s="146"/>
      <c r="SGW71" s="146"/>
      <c r="SGX71" s="146"/>
      <c r="SGY71" s="146"/>
      <c r="SGZ71" s="146"/>
      <c r="SHA71" s="146"/>
      <c r="SHB71" s="146"/>
      <c r="SHC71" s="146"/>
      <c r="SHD71" s="146"/>
      <c r="SHE71" s="146"/>
      <c r="SHF71" s="146"/>
      <c r="SHG71" s="146"/>
      <c r="SHH71" s="146"/>
      <c r="SHI71" s="146"/>
      <c r="SHJ71" s="146"/>
      <c r="SHK71" s="146"/>
      <c r="SHL71" s="146"/>
      <c r="SHM71" s="146"/>
      <c r="SHN71" s="146"/>
      <c r="SHO71" s="146"/>
      <c r="SHP71" s="146"/>
      <c r="SHQ71" s="146"/>
      <c r="SHR71" s="146"/>
      <c r="SHS71" s="146"/>
      <c r="SHT71" s="146"/>
      <c r="SHU71" s="146"/>
      <c r="SHV71" s="146"/>
      <c r="SHW71" s="146"/>
      <c r="SHX71" s="146"/>
      <c r="SHY71" s="146"/>
      <c r="SHZ71" s="146"/>
      <c r="SIA71" s="146"/>
      <c r="SIB71" s="146"/>
      <c r="SIC71" s="146"/>
      <c r="SID71" s="146"/>
      <c r="SIE71" s="146"/>
      <c r="SIF71" s="146"/>
      <c r="SIG71" s="146"/>
      <c r="SIH71" s="146"/>
      <c r="SII71" s="146"/>
      <c r="SIJ71" s="146"/>
      <c r="SIK71" s="146"/>
      <c r="SIL71" s="146"/>
      <c r="SIM71" s="146"/>
      <c r="SIN71" s="146"/>
      <c r="SIO71" s="146"/>
      <c r="SIP71" s="146"/>
      <c r="SIQ71" s="146"/>
      <c r="SIR71" s="146"/>
      <c r="SIS71" s="146"/>
      <c r="SIT71" s="146"/>
      <c r="SIU71" s="146"/>
      <c r="SIV71" s="146"/>
      <c r="SIW71" s="146"/>
      <c r="SIX71" s="146"/>
      <c r="SIY71" s="146"/>
      <c r="SIZ71" s="146"/>
      <c r="SJA71" s="146"/>
      <c r="SJB71" s="146"/>
      <c r="SJC71" s="146"/>
      <c r="SJD71" s="146"/>
      <c r="SJE71" s="146"/>
      <c r="SJF71" s="146"/>
      <c r="SJG71" s="146"/>
      <c r="SJH71" s="146"/>
      <c r="SJI71" s="146"/>
      <c r="SJJ71" s="146"/>
      <c r="SJK71" s="146"/>
      <c r="SJL71" s="146"/>
      <c r="SJM71" s="146"/>
      <c r="SJN71" s="146"/>
      <c r="SJO71" s="146"/>
      <c r="SJP71" s="146"/>
      <c r="SJQ71" s="146"/>
      <c r="SJR71" s="146"/>
      <c r="SJS71" s="146"/>
      <c r="SJT71" s="146"/>
      <c r="SJU71" s="146"/>
      <c r="SJV71" s="146"/>
      <c r="SJW71" s="146"/>
      <c r="SJX71" s="146"/>
      <c r="SJY71" s="146"/>
      <c r="SJZ71" s="146"/>
      <c r="SKA71" s="146"/>
      <c r="SKB71" s="146"/>
      <c r="SKC71" s="146"/>
      <c r="SKD71" s="146"/>
      <c r="SKE71" s="146"/>
      <c r="SKF71" s="146"/>
      <c r="SKG71" s="146"/>
      <c r="SKH71" s="146"/>
      <c r="SKI71" s="146"/>
      <c r="SKJ71" s="146"/>
      <c r="SKK71" s="146"/>
      <c r="SKL71" s="146"/>
      <c r="SKM71" s="146"/>
      <c r="SKN71" s="146"/>
      <c r="SKO71" s="146"/>
      <c r="SKP71" s="146"/>
      <c r="SKQ71" s="146"/>
      <c r="SKR71" s="146"/>
      <c r="SKS71" s="146"/>
      <c r="SKT71" s="146"/>
      <c r="SKU71" s="146"/>
      <c r="SKV71" s="146"/>
      <c r="SKW71" s="146"/>
      <c r="SKX71" s="146"/>
      <c r="SKY71" s="146"/>
      <c r="SKZ71" s="146"/>
      <c r="SLA71" s="146"/>
      <c r="SLB71" s="146"/>
      <c r="SLC71" s="146"/>
      <c r="SLD71" s="146"/>
      <c r="SLE71" s="146"/>
      <c r="SLF71" s="146"/>
      <c r="SLG71" s="146"/>
      <c r="SLH71" s="146"/>
      <c r="SLI71" s="146"/>
      <c r="SLJ71" s="146"/>
      <c r="SLK71" s="146"/>
      <c r="SLL71" s="146"/>
      <c r="SLM71" s="146"/>
      <c r="SLN71" s="146"/>
      <c r="SLO71" s="146"/>
      <c r="SLP71" s="146"/>
      <c r="SLQ71" s="146"/>
      <c r="SLR71" s="146"/>
      <c r="SLS71" s="146"/>
      <c r="SLT71" s="146"/>
      <c r="SLU71" s="146"/>
      <c r="SLV71" s="146"/>
      <c r="SLW71" s="146"/>
      <c r="SLX71" s="146"/>
      <c r="SLY71" s="146"/>
      <c r="SLZ71" s="146"/>
      <c r="SMA71" s="146"/>
      <c r="SMB71" s="146"/>
      <c r="SMC71" s="146"/>
      <c r="SMD71" s="146"/>
      <c r="SME71" s="146"/>
      <c r="SMF71" s="146"/>
      <c r="SMG71" s="146"/>
      <c r="SMH71" s="146"/>
      <c r="SMI71" s="146"/>
      <c r="SMJ71" s="146"/>
      <c r="SMK71" s="146"/>
      <c r="SML71" s="146"/>
      <c r="SMM71" s="146"/>
      <c r="SMN71" s="146"/>
      <c r="SMO71" s="146"/>
      <c r="SMP71" s="146"/>
      <c r="SMQ71" s="146"/>
      <c r="SMR71" s="146"/>
      <c r="SMS71" s="146"/>
      <c r="SMT71" s="146"/>
      <c r="SMU71" s="146"/>
      <c r="SMV71" s="146"/>
      <c r="SMW71" s="146"/>
      <c r="SMX71" s="146"/>
      <c r="SMY71" s="146"/>
      <c r="SMZ71" s="146"/>
      <c r="SNA71" s="146"/>
      <c r="SNB71" s="146"/>
      <c r="SNC71" s="146"/>
      <c r="SND71" s="146"/>
      <c r="SNE71" s="146"/>
      <c r="SNF71" s="146"/>
      <c r="SNG71" s="146"/>
      <c r="SNH71" s="146"/>
      <c r="SNI71" s="146"/>
      <c r="SNJ71" s="146"/>
      <c r="SNK71" s="146"/>
      <c r="SNL71" s="146"/>
      <c r="SNM71" s="146"/>
      <c r="SNN71" s="146"/>
      <c r="SNO71" s="146"/>
      <c r="SNP71" s="146"/>
      <c r="SNQ71" s="146"/>
      <c r="SNR71" s="146"/>
      <c r="SNS71" s="146"/>
      <c r="SNT71" s="146"/>
      <c r="SNU71" s="146"/>
      <c r="SNV71" s="146"/>
      <c r="SNW71" s="146"/>
      <c r="SNX71" s="146"/>
      <c r="SNY71" s="146"/>
      <c r="SNZ71" s="146"/>
      <c r="SOA71" s="146"/>
      <c r="SOB71" s="146"/>
      <c r="SOC71" s="146"/>
      <c r="SOD71" s="146"/>
      <c r="SOE71" s="146"/>
      <c r="SOF71" s="146"/>
      <c r="SOG71" s="146"/>
      <c r="SOH71" s="146"/>
      <c r="SOI71" s="146"/>
      <c r="SOJ71" s="146"/>
      <c r="SOK71" s="146"/>
      <c r="SOL71" s="146"/>
      <c r="SOM71" s="146"/>
      <c r="SON71" s="146"/>
      <c r="SOO71" s="146"/>
      <c r="SOP71" s="146"/>
      <c r="SOQ71" s="146"/>
      <c r="SOR71" s="146"/>
      <c r="SOS71" s="146"/>
      <c r="SOT71" s="146"/>
      <c r="SOU71" s="146"/>
      <c r="SOV71" s="146"/>
      <c r="SOW71" s="146"/>
      <c r="SOX71" s="146"/>
      <c r="SOY71" s="146"/>
      <c r="SOZ71" s="146"/>
      <c r="SPA71" s="146"/>
      <c r="SPB71" s="146"/>
      <c r="SPC71" s="146"/>
      <c r="SPD71" s="146"/>
      <c r="SPE71" s="146"/>
      <c r="SPF71" s="146"/>
      <c r="SPG71" s="146"/>
      <c r="SPH71" s="146"/>
      <c r="SPI71" s="146"/>
      <c r="SPJ71" s="146"/>
      <c r="SPK71" s="146"/>
      <c r="SPL71" s="146"/>
      <c r="SPM71" s="146"/>
      <c r="SPN71" s="146"/>
      <c r="SPO71" s="146"/>
      <c r="SPP71" s="146"/>
      <c r="SPQ71" s="146"/>
      <c r="SPR71" s="146"/>
      <c r="SPS71" s="146"/>
      <c r="SPT71" s="146"/>
      <c r="SPU71" s="146"/>
      <c r="SPV71" s="146"/>
      <c r="SPW71" s="146"/>
      <c r="SPX71" s="146"/>
      <c r="SPY71" s="146"/>
      <c r="SPZ71" s="146"/>
      <c r="SQA71" s="146"/>
      <c r="SQB71" s="146"/>
      <c r="SQC71" s="146"/>
      <c r="SQD71" s="146"/>
      <c r="SQE71" s="146"/>
      <c r="SQF71" s="146"/>
      <c r="SQG71" s="146"/>
      <c r="SQH71" s="146"/>
      <c r="SQI71" s="146"/>
      <c r="SQJ71" s="146"/>
      <c r="SQK71" s="146"/>
      <c r="SQL71" s="146"/>
      <c r="SQM71" s="146"/>
      <c r="SQN71" s="146"/>
      <c r="SQO71" s="146"/>
      <c r="SQP71" s="146"/>
      <c r="SQQ71" s="146"/>
      <c r="SQR71" s="146"/>
      <c r="SQS71" s="146"/>
      <c r="SQT71" s="146"/>
      <c r="SQU71" s="146"/>
      <c r="SQV71" s="146"/>
      <c r="SQW71" s="146"/>
      <c r="SQX71" s="146"/>
      <c r="SQY71" s="146"/>
      <c r="SQZ71" s="146"/>
      <c r="SRA71" s="146"/>
      <c r="SRB71" s="146"/>
      <c r="SRC71" s="146"/>
      <c r="SRD71" s="146"/>
      <c r="SRE71" s="146"/>
      <c r="SRF71" s="146"/>
      <c r="SRG71" s="146"/>
      <c r="SRH71" s="146"/>
      <c r="SRI71" s="146"/>
      <c r="SRJ71" s="146"/>
      <c r="SRK71" s="146"/>
      <c r="SRL71" s="146"/>
      <c r="SRM71" s="146"/>
      <c r="SRN71" s="146"/>
      <c r="SRO71" s="146"/>
      <c r="SRP71" s="146"/>
      <c r="SRQ71" s="146"/>
      <c r="SRR71" s="146"/>
      <c r="SRS71" s="146"/>
      <c r="SRT71" s="146"/>
      <c r="SRU71" s="146"/>
      <c r="SRV71" s="146"/>
      <c r="SRW71" s="146"/>
      <c r="SRX71" s="146"/>
      <c r="SRY71" s="146"/>
      <c r="SRZ71" s="146"/>
      <c r="SSA71" s="146"/>
      <c r="SSB71" s="146"/>
      <c r="SSC71" s="146"/>
      <c r="SSD71" s="146"/>
      <c r="SSE71" s="146"/>
      <c r="SSF71" s="146"/>
      <c r="SSG71" s="146"/>
      <c r="SSH71" s="146"/>
      <c r="SSI71" s="146"/>
      <c r="SSJ71" s="146"/>
      <c r="SSK71" s="146"/>
      <c r="SSL71" s="146"/>
      <c r="SSM71" s="146"/>
      <c r="SSN71" s="146"/>
      <c r="SSO71" s="146"/>
      <c r="SSP71" s="146"/>
      <c r="SSQ71" s="146"/>
      <c r="SSR71" s="146"/>
      <c r="SSS71" s="146"/>
      <c r="SST71" s="146"/>
      <c r="SSU71" s="146"/>
      <c r="SSV71" s="146"/>
      <c r="SSW71" s="146"/>
      <c r="SSX71" s="146"/>
      <c r="SSY71" s="146"/>
      <c r="SSZ71" s="146"/>
      <c r="STA71" s="146"/>
      <c r="STB71" s="146"/>
      <c r="STC71" s="146"/>
      <c r="STD71" s="146"/>
      <c r="STE71" s="146"/>
      <c r="STF71" s="146"/>
      <c r="STG71" s="146"/>
      <c r="STH71" s="146"/>
      <c r="STI71" s="146"/>
      <c r="STJ71" s="146"/>
      <c r="STK71" s="146"/>
      <c r="STL71" s="146"/>
      <c r="STM71" s="146"/>
      <c r="STN71" s="146"/>
      <c r="STO71" s="146"/>
      <c r="STP71" s="146"/>
      <c r="STQ71" s="146"/>
      <c r="STR71" s="146"/>
      <c r="STS71" s="146"/>
      <c r="STT71" s="146"/>
      <c r="STU71" s="146"/>
      <c r="STV71" s="146"/>
      <c r="STW71" s="146"/>
      <c r="STX71" s="146"/>
      <c r="STY71" s="146"/>
      <c r="STZ71" s="146"/>
      <c r="SUA71" s="146"/>
      <c r="SUB71" s="146"/>
      <c r="SUC71" s="146"/>
      <c r="SUD71" s="146"/>
      <c r="SUE71" s="146"/>
      <c r="SUF71" s="146"/>
      <c r="SUG71" s="146"/>
      <c r="SUH71" s="146"/>
      <c r="SUI71" s="146"/>
      <c r="SUJ71" s="146"/>
      <c r="SUK71" s="146"/>
      <c r="SUL71" s="146"/>
      <c r="SUM71" s="146"/>
      <c r="SUN71" s="146"/>
      <c r="SUO71" s="146"/>
      <c r="SUP71" s="146"/>
      <c r="SUQ71" s="146"/>
      <c r="SUR71" s="146"/>
      <c r="SUS71" s="146"/>
      <c r="SUT71" s="146"/>
      <c r="SUU71" s="146"/>
      <c r="SUV71" s="146"/>
      <c r="SUW71" s="146"/>
      <c r="SUX71" s="146"/>
      <c r="SUY71" s="146"/>
      <c r="SUZ71" s="146"/>
      <c r="SVA71" s="146"/>
      <c r="SVB71" s="146"/>
      <c r="SVC71" s="146"/>
      <c r="SVD71" s="146"/>
      <c r="SVE71" s="146"/>
      <c r="SVF71" s="146"/>
      <c r="SVG71" s="146"/>
      <c r="SVH71" s="146"/>
      <c r="SVI71" s="146"/>
      <c r="SVJ71" s="146"/>
      <c r="SVK71" s="146"/>
      <c r="SVL71" s="146"/>
      <c r="SVM71" s="146"/>
      <c r="SVN71" s="146"/>
      <c r="SVO71" s="146"/>
      <c r="SVP71" s="146"/>
      <c r="SVQ71" s="146"/>
      <c r="SVR71" s="146"/>
      <c r="SVS71" s="146"/>
      <c r="SVT71" s="146"/>
      <c r="SVU71" s="146"/>
      <c r="SVV71" s="146"/>
      <c r="SVW71" s="146"/>
      <c r="SVX71" s="146"/>
      <c r="SVY71" s="146"/>
      <c r="SVZ71" s="146"/>
      <c r="SWA71" s="146"/>
      <c r="SWB71" s="146"/>
      <c r="SWC71" s="146"/>
      <c r="SWD71" s="146"/>
      <c r="SWE71" s="146"/>
      <c r="SWF71" s="146"/>
      <c r="SWG71" s="146"/>
      <c r="SWH71" s="146"/>
      <c r="SWI71" s="146"/>
      <c r="SWJ71" s="146"/>
      <c r="SWK71" s="146"/>
      <c r="SWL71" s="146"/>
      <c r="SWM71" s="146"/>
      <c r="SWN71" s="146"/>
      <c r="SWO71" s="146"/>
      <c r="SWP71" s="146"/>
      <c r="SWQ71" s="146"/>
      <c r="SWR71" s="146"/>
      <c r="SWS71" s="146"/>
      <c r="SWT71" s="146"/>
      <c r="SWU71" s="146"/>
      <c r="SWV71" s="146"/>
      <c r="SWW71" s="146"/>
      <c r="SWX71" s="146"/>
      <c r="SWY71" s="146"/>
      <c r="SWZ71" s="146"/>
      <c r="SXA71" s="146"/>
      <c r="SXB71" s="146"/>
      <c r="SXC71" s="146"/>
      <c r="SXD71" s="146"/>
      <c r="SXE71" s="146"/>
      <c r="SXF71" s="146"/>
      <c r="SXG71" s="146"/>
      <c r="SXH71" s="146"/>
      <c r="SXI71" s="146"/>
      <c r="SXJ71" s="146"/>
      <c r="SXK71" s="146"/>
      <c r="SXL71" s="146"/>
      <c r="SXM71" s="146"/>
      <c r="SXN71" s="146"/>
      <c r="SXO71" s="146"/>
      <c r="SXP71" s="146"/>
      <c r="SXQ71" s="146"/>
      <c r="SXR71" s="146"/>
      <c r="SXS71" s="146"/>
      <c r="SXT71" s="146"/>
      <c r="SXU71" s="146"/>
      <c r="SXV71" s="146"/>
      <c r="SXW71" s="146"/>
      <c r="SXX71" s="146"/>
      <c r="SXY71" s="146"/>
      <c r="SXZ71" s="146"/>
      <c r="SYA71" s="146"/>
      <c r="SYB71" s="146"/>
      <c r="SYC71" s="146"/>
      <c r="SYD71" s="146"/>
      <c r="SYE71" s="146"/>
      <c r="SYF71" s="146"/>
      <c r="SYG71" s="146"/>
      <c r="SYH71" s="146"/>
      <c r="SYI71" s="146"/>
      <c r="SYJ71" s="146"/>
      <c r="SYK71" s="146"/>
      <c r="SYL71" s="146"/>
      <c r="SYM71" s="146"/>
      <c r="SYN71" s="146"/>
      <c r="SYO71" s="146"/>
      <c r="SYP71" s="146"/>
      <c r="SYQ71" s="146"/>
      <c r="SYR71" s="146"/>
      <c r="SYS71" s="146"/>
      <c r="SYT71" s="146"/>
      <c r="SYU71" s="146"/>
      <c r="SYV71" s="146"/>
      <c r="SYW71" s="146"/>
      <c r="SYX71" s="146"/>
      <c r="SYY71" s="146"/>
      <c r="SYZ71" s="146"/>
      <c r="SZA71" s="146"/>
      <c r="SZB71" s="146"/>
      <c r="SZC71" s="146"/>
      <c r="SZD71" s="146"/>
      <c r="SZE71" s="146"/>
      <c r="SZF71" s="146"/>
      <c r="SZG71" s="146"/>
      <c r="SZH71" s="146"/>
      <c r="SZI71" s="146"/>
      <c r="SZJ71" s="146"/>
      <c r="SZK71" s="146"/>
      <c r="SZL71" s="146"/>
      <c r="SZM71" s="146"/>
      <c r="SZN71" s="146"/>
      <c r="SZO71" s="146"/>
      <c r="SZP71" s="146"/>
      <c r="SZQ71" s="146"/>
      <c r="SZR71" s="146"/>
      <c r="SZS71" s="146"/>
      <c r="SZT71" s="146"/>
      <c r="SZU71" s="146"/>
      <c r="SZV71" s="146"/>
      <c r="SZW71" s="146"/>
      <c r="SZX71" s="146"/>
      <c r="SZY71" s="146"/>
      <c r="SZZ71" s="146"/>
      <c r="TAA71" s="146"/>
      <c r="TAB71" s="146"/>
      <c r="TAC71" s="146"/>
      <c r="TAD71" s="146"/>
      <c r="TAE71" s="146"/>
      <c r="TAF71" s="146"/>
      <c r="TAG71" s="146"/>
      <c r="TAH71" s="146"/>
      <c r="TAI71" s="146"/>
      <c r="TAJ71" s="146"/>
      <c r="TAK71" s="146"/>
      <c r="TAL71" s="146"/>
      <c r="TAM71" s="146"/>
      <c r="TAN71" s="146"/>
      <c r="TAO71" s="146"/>
      <c r="TAP71" s="146"/>
      <c r="TAQ71" s="146"/>
      <c r="TAR71" s="146"/>
      <c r="TAS71" s="146"/>
      <c r="TAT71" s="146"/>
      <c r="TAU71" s="146"/>
      <c r="TAV71" s="146"/>
      <c r="TAW71" s="146"/>
      <c r="TAX71" s="146"/>
      <c r="TAY71" s="146"/>
      <c r="TAZ71" s="146"/>
      <c r="TBA71" s="146"/>
      <c r="TBB71" s="146"/>
      <c r="TBC71" s="146"/>
      <c r="TBD71" s="146"/>
      <c r="TBE71" s="146"/>
      <c r="TBF71" s="146"/>
      <c r="TBG71" s="146"/>
      <c r="TBH71" s="146"/>
      <c r="TBI71" s="146"/>
      <c r="TBJ71" s="146"/>
      <c r="TBK71" s="146"/>
      <c r="TBL71" s="146"/>
      <c r="TBM71" s="146"/>
      <c r="TBN71" s="146"/>
      <c r="TBO71" s="146"/>
      <c r="TBP71" s="146"/>
      <c r="TBQ71" s="146"/>
      <c r="TBR71" s="146"/>
      <c r="TBS71" s="146"/>
      <c r="TBT71" s="146"/>
      <c r="TBU71" s="146"/>
      <c r="TBV71" s="146"/>
      <c r="TBW71" s="146"/>
      <c r="TBX71" s="146"/>
      <c r="TBY71" s="146"/>
      <c r="TBZ71" s="146"/>
      <c r="TCA71" s="146"/>
      <c r="TCB71" s="146"/>
      <c r="TCC71" s="146"/>
      <c r="TCD71" s="146"/>
      <c r="TCE71" s="146"/>
      <c r="TCF71" s="146"/>
      <c r="TCG71" s="146"/>
      <c r="TCH71" s="146"/>
      <c r="TCI71" s="146"/>
      <c r="TCJ71" s="146"/>
      <c r="TCK71" s="146"/>
      <c r="TCL71" s="146"/>
      <c r="TCM71" s="146"/>
      <c r="TCN71" s="146"/>
      <c r="TCO71" s="146"/>
      <c r="TCP71" s="146"/>
      <c r="TCQ71" s="146"/>
      <c r="TCR71" s="146"/>
      <c r="TCS71" s="146"/>
      <c r="TCT71" s="146"/>
      <c r="TCU71" s="146"/>
      <c r="TCV71" s="146"/>
      <c r="TCW71" s="146"/>
      <c r="TCX71" s="146"/>
      <c r="TCY71" s="146"/>
      <c r="TCZ71" s="146"/>
      <c r="TDA71" s="146"/>
      <c r="TDB71" s="146"/>
      <c r="TDC71" s="146"/>
      <c r="TDD71" s="146"/>
      <c r="TDE71" s="146"/>
      <c r="TDF71" s="146"/>
      <c r="TDG71" s="146"/>
      <c r="TDH71" s="146"/>
      <c r="TDI71" s="146"/>
      <c r="TDJ71" s="146"/>
      <c r="TDK71" s="146"/>
      <c r="TDL71" s="146"/>
      <c r="TDM71" s="146"/>
      <c r="TDN71" s="146"/>
      <c r="TDO71" s="146"/>
      <c r="TDP71" s="146"/>
      <c r="TDQ71" s="146"/>
      <c r="TDR71" s="146"/>
      <c r="TDS71" s="146"/>
      <c r="TDT71" s="146"/>
      <c r="TDU71" s="146"/>
      <c r="TDV71" s="146"/>
      <c r="TDW71" s="146"/>
      <c r="TDX71" s="146"/>
      <c r="TDY71" s="146"/>
      <c r="TDZ71" s="146"/>
      <c r="TEA71" s="146"/>
      <c r="TEB71" s="146"/>
      <c r="TEC71" s="146"/>
      <c r="TED71" s="146"/>
      <c r="TEE71" s="146"/>
      <c r="TEF71" s="146"/>
      <c r="TEG71" s="146"/>
      <c r="TEH71" s="146"/>
      <c r="TEI71" s="146"/>
      <c r="TEJ71" s="146"/>
      <c r="TEK71" s="146"/>
      <c r="TEL71" s="146"/>
      <c r="TEM71" s="146"/>
      <c r="TEN71" s="146"/>
      <c r="TEO71" s="146"/>
      <c r="TEP71" s="146"/>
      <c r="TEQ71" s="146"/>
      <c r="TER71" s="146"/>
      <c r="TES71" s="146"/>
      <c r="TET71" s="146"/>
      <c r="TEU71" s="146"/>
      <c r="TEV71" s="146"/>
      <c r="TEW71" s="146"/>
      <c r="TEX71" s="146"/>
      <c r="TEY71" s="146"/>
      <c r="TEZ71" s="146"/>
      <c r="TFA71" s="146"/>
      <c r="TFB71" s="146"/>
      <c r="TFC71" s="146"/>
      <c r="TFD71" s="146"/>
      <c r="TFE71" s="146"/>
      <c r="TFF71" s="146"/>
      <c r="TFG71" s="146"/>
      <c r="TFH71" s="146"/>
      <c r="TFI71" s="146"/>
      <c r="TFJ71" s="146"/>
      <c r="TFK71" s="146"/>
      <c r="TFL71" s="146"/>
      <c r="TFM71" s="146"/>
      <c r="TFN71" s="146"/>
      <c r="TFO71" s="146"/>
      <c r="TFP71" s="146"/>
      <c r="TFQ71" s="146"/>
      <c r="TFR71" s="146"/>
      <c r="TFS71" s="146"/>
      <c r="TFT71" s="146"/>
      <c r="TFU71" s="146"/>
      <c r="TFV71" s="146"/>
      <c r="TFW71" s="146"/>
      <c r="TFX71" s="146"/>
      <c r="TFY71" s="146"/>
      <c r="TFZ71" s="146"/>
      <c r="TGA71" s="146"/>
      <c r="TGB71" s="146"/>
      <c r="TGC71" s="146"/>
      <c r="TGD71" s="146"/>
      <c r="TGE71" s="146"/>
      <c r="TGF71" s="146"/>
      <c r="TGG71" s="146"/>
      <c r="TGH71" s="146"/>
      <c r="TGI71" s="146"/>
      <c r="TGJ71" s="146"/>
      <c r="TGK71" s="146"/>
      <c r="TGL71" s="146"/>
      <c r="TGM71" s="146"/>
      <c r="TGN71" s="146"/>
      <c r="TGO71" s="146"/>
      <c r="TGP71" s="146"/>
      <c r="TGQ71" s="146"/>
      <c r="TGR71" s="146"/>
      <c r="TGS71" s="146"/>
      <c r="TGT71" s="146"/>
      <c r="TGU71" s="146"/>
      <c r="TGV71" s="146"/>
      <c r="TGW71" s="146"/>
      <c r="TGX71" s="146"/>
      <c r="TGY71" s="146"/>
      <c r="TGZ71" s="146"/>
      <c r="THA71" s="146"/>
      <c r="THB71" s="146"/>
      <c r="THC71" s="146"/>
      <c r="THD71" s="146"/>
      <c r="THE71" s="146"/>
      <c r="THF71" s="146"/>
      <c r="THG71" s="146"/>
      <c r="THH71" s="146"/>
      <c r="THI71" s="146"/>
      <c r="THJ71" s="146"/>
      <c r="THK71" s="146"/>
      <c r="THL71" s="146"/>
      <c r="THM71" s="146"/>
      <c r="THN71" s="146"/>
      <c r="THO71" s="146"/>
      <c r="THP71" s="146"/>
      <c r="THQ71" s="146"/>
      <c r="THR71" s="146"/>
      <c r="THS71" s="146"/>
      <c r="THT71" s="146"/>
      <c r="THU71" s="146"/>
      <c r="THV71" s="146"/>
      <c r="THW71" s="146"/>
      <c r="THX71" s="146"/>
      <c r="THY71" s="146"/>
      <c r="THZ71" s="146"/>
      <c r="TIA71" s="146"/>
      <c r="TIB71" s="146"/>
      <c r="TIC71" s="146"/>
      <c r="TID71" s="146"/>
      <c r="TIE71" s="146"/>
      <c r="TIF71" s="146"/>
      <c r="TIG71" s="146"/>
      <c r="TIH71" s="146"/>
      <c r="TII71" s="146"/>
      <c r="TIJ71" s="146"/>
      <c r="TIK71" s="146"/>
      <c r="TIL71" s="146"/>
      <c r="TIM71" s="146"/>
      <c r="TIN71" s="146"/>
      <c r="TIO71" s="146"/>
      <c r="TIP71" s="146"/>
      <c r="TIQ71" s="146"/>
      <c r="TIR71" s="146"/>
      <c r="TIS71" s="146"/>
      <c r="TIT71" s="146"/>
      <c r="TIU71" s="146"/>
      <c r="TIV71" s="146"/>
      <c r="TIW71" s="146"/>
      <c r="TIX71" s="146"/>
      <c r="TIY71" s="146"/>
      <c r="TIZ71" s="146"/>
      <c r="TJA71" s="146"/>
      <c r="TJB71" s="146"/>
      <c r="TJC71" s="146"/>
      <c r="TJD71" s="146"/>
      <c r="TJE71" s="146"/>
      <c r="TJF71" s="146"/>
      <c r="TJG71" s="146"/>
      <c r="TJH71" s="146"/>
      <c r="TJI71" s="146"/>
      <c r="TJJ71" s="146"/>
      <c r="TJK71" s="146"/>
      <c r="TJL71" s="146"/>
      <c r="TJM71" s="146"/>
      <c r="TJN71" s="146"/>
      <c r="TJO71" s="146"/>
      <c r="TJP71" s="146"/>
      <c r="TJQ71" s="146"/>
      <c r="TJR71" s="146"/>
      <c r="TJS71" s="146"/>
      <c r="TJT71" s="146"/>
      <c r="TJU71" s="146"/>
      <c r="TJV71" s="146"/>
      <c r="TJW71" s="146"/>
      <c r="TJX71" s="146"/>
      <c r="TJY71" s="146"/>
      <c r="TJZ71" s="146"/>
      <c r="TKA71" s="146"/>
      <c r="TKB71" s="146"/>
      <c r="TKC71" s="146"/>
      <c r="TKD71" s="146"/>
      <c r="TKE71" s="146"/>
      <c r="TKF71" s="146"/>
      <c r="TKG71" s="146"/>
      <c r="TKH71" s="146"/>
      <c r="TKI71" s="146"/>
      <c r="TKJ71" s="146"/>
      <c r="TKK71" s="146"/>
      <c r="TKL71" s="146"/>
      <c r="TKM71" s="146"/>
      <c r="TKN71" s="146"/>
      <c r="TKO71" s="146"/>
      <c r="TKP71" s="146"/>
      <c r="TKQ71" s="146"/>
      <c r="TKR71" s="146"/>
      <c r="TKS71" s="146"/>
      <c r="TKT71" s="146"/>
      <c r="TKU71" s="146"/>
      <c r="TKV71" s="146"/>
      <c r="TKW71" s="146"/>
      <c r="TKX71" s="146"/>
      <c r="TKY71" s="146"/>
      <c r="TKZ71" s="146"/>
      <c r="TLA71" s="146"/>
      <c r="TLB71" s="146"/>
      <c r="TLC71" s="146"/>
      <c r="TLD71" s="146"/>
      <c r="TLE71" s="146"/>
      <c r="TLF71" s="146"/>
      <c r="TLG71" s="146"/>
      <c r="TLH71" s="146"/>
      <c r="TLI71" s="146"/>
      <c r="TLJ71" s="146"/>
      <c r="TLK71" s="146"/>
      <c r="TLL71" s="146"/>
      <c r="TLM71" s="146"/>
      <c r="TLN71" s="146"/>
      <c r="TLO71" s="146"/>
      <c r="TLP71" s="146"/>
      <c r="TLQ71" s="146"/>
      <c r="TLR71" s="146"/>
      <c r="TLS71" s="146"/>
      <c r="TLT71" s="146"/>
      <c r="TLU71" s="146"/>
      <c r="TLV71" s="146"/>
      <c r="TLW71" s="146"/>
      <c r="TLX71" s="146"/>
      <c r="TLY71" s="146"/>
      <c r="TLZ71" s="146"/>
      <c r="TMA71" s="146"/>
      <c r="TMB71" s="146"/>
      <c r="TMC71" s="146"/>
      <c r="TMD71" s="146"/>
      <c r="TME71" s="146"/>
      <c r="TMF71" s="146"/>
      <c r="TMG71" s="146"/>
      <c r="TMH71" s="146"/>
      <c r="TMI71" s="146"/>
      <c r="TMJ71" s="146"/>
      <c r="TMK71" s="146"/>
      <c r="TML71" s="146"/>
      <c r="TMM71" s="146"/>
      <c r="TMN71" s="146"/>
      <c r="TMO71" s="146"/>
      <c r="TMP71" s="146"/>
      <c r="TMQ71" s="146"/>
      <c r="TMR71" s="146"/>
      <c r="TMS71" s="146"/>
      <c r="TMT71" s="146"/>
      <c r="TMU71" s="146"/>
      <c r="TMV71" s="146"/>
      <c r="TMW71" s="146"/>
      <c r="TMX71" s="146"/>
      <c r="TMY71" s="146"/>
      <c r="TMZ71" s="146"/>
      <c r="TNA71" s="146"/>
      <c r="TNB71" s="146"/>
      <c r="TNC71" s="146"/>
      <c r="TND71" s="146"/>
      <c r="TNE71" s="146"/>
      <c r="TNF71" s="146"/>
      <c r="TNG71" s="146"/>
      <c r="TNH71" s="146"/>
      <c r="TNI71" s="146"/>
      <c r="TNJ71" s="146"/>
      <c r="TNK71" s="146"/>
      <c r="TNL71" s="146"/>
      <c r="TNM71" s="146"/>
      <c r="TNN71" s="146"/>
      <c r="TNO71" s="146"/>
      <c r="TNP71" s="146"/>
      <c r="TNQ71" s="146"/>
      <c r="TNR71" s="146"/>
      <c r="TNS71" s="146"/>
      <c r="TNT71" s="146"/>
      <c r="TNU71" s="146"/>
      <c r="TNV71" s="146"/>
      <c r="TNW71" s="146"/>
      <c r="TNX71" s="146"/>
      <c r="TNY71" s="146"/>
      <c r="TNZ71" s="146"/>
      <c r="TOA71" s="146"/>
      <c r="TOB71" s="146"/>
      <c r="TOC71" s="146"/>
      <c r="TOD71" s="146"/>
      <c r="TOE71" s="146"/>
      <c r="TOF71" s="146"/>
      <c r="TOG71" s="146"/>
      <c r="TOH71" s="146"/>
      <c r="TOI71" s="146"/>
      <c r="TOJ71" s="146"/>
      <c r="TOK71" s="146"/>
      <c r="TOL71" s="146"/>
      <c r="TOM71" s="146"/>
      <c r="TON71" s="146"/>
      <c r="TOO71" s="146"/>
      <c r="TOP71" s="146"/>
      <c r="TOQ71" s="146"/>
      <c r="TOR71" s="146"/>
      <c r="TOS71" s="146"/>
      <c r="TOT71" s="146"/>
      <c r="TOU71" s="146"/>
      <c r="TOV71" s="146"/>
      <c r="TOW71" s="146"/>
      <c r="TOX71" s="146"/>
      <c r="TOY71" s="146"/>
      <c r="TOZ71" s="146"/>
      <c r="TPA71" s="146"/>
      <c r="TPB71" s="146"/>
      <c r="TPC71" s="146"/>
      <c r="TPD71" s="146"/>
      <c r="TPE71" s="146"/>
      <c r="TPF71" s="146"/>
      <c r="TPG71" s="146"/>
      <c r="TPH71" s="146"/>
      <c r="TPI71" s="146"/>
      <c r="TPJ71" s="146"/>
      <c r="TPK71" s="146"/>
      <c r="TPL71" s="146"/>
      <c r="TPM71" s="146"/>
      <c r="TPN71" s="146"/>
      <c r="TPO71" s="146"/>
      <c r="TPP71" s="146"/>
      <c r="TPQ71" s="146"/>
      <c r="TPR71" s="146"/>
      <c r="TPS71" s="146"/>
      <c r="TPT71" s="146"/>
      <c r="TPU71" s="146"/>
      <c r="TPV71" s="146"/>
      <c r="TPW71" s="146"/>
      <c r="TPX71" s="146"/>
      <c r="TPY71" s="146"/>
      <c r="TPZ71" s="146"/>
      <c r="TQA71" s="146"/>
      <c r="TQB71" s="146"/>
      <c r="TQC71" s="146"/>
      <c r="TQD71" s="146"/>
      <c r="TQE71" s="146"/>
      <c r="TQF71" s="146"/>
      <c r="TQG71" s="146"/>
      <c r="TQH71" s="146"/>
      <c r="TQI71" s="146"/>
      <c r="TQJ71" s="146"/>
      <c r="TQK71" s="146"/>
      <c r="TQL71" s="146"/>
      <c r="TQM71" s="146"/>
      <c r="TQN71" s="146"/>
      <c r="TQO71" s="146"/>
      <c r="TQP71" s="146"/>
      <c r="TQQ71" s="146"/>
      <c r="TQR71" s="146"/>
      <c r="TQS71" s="146"/>
      <c r="TQT71" s="146"/>
      <c r="TQU71" s="146"/>
      <c r="TQV71" s="146"/>
      <c r="TQW71" s="146"/>
      <c r="TQX71" s="146"/>
      <c r="TQY71" s="146"/>
      <c r="TQZ71" s="146"/>
      <c r="TRA71" s="146"/>
      <c r="TRB71" s="146"/>
      <c r="TRC71" s="146"/>
      <c r="TRD71" s="146"/>
      <c r="TRE71" s="146"/>
      <c r="TRF71" s="146"/>
      <c r="TRG71" s="146"/>
      <c r="TRH71" s="146"/>
      <c r="TRI71" s="146"/>
      <c r="TRJ71" s="146"/>
      <c r="TRK71" s="146"/>
      <c r="TRL71" s="146"/>
      <c r="TRM71" s="146"/>
      <c r="TRN71" s="146"/>
      <c r="TRO71" s="146"/>
      <c r="TRP71" s="146"/>
      <c r="TRQ71" s="146"/>
      <c r="TRR71" s="146"/>
      <c r="TRS71" s="146"/>
      <c r="TRT71" s="146"/>
      <c r="TRU71" s="146"/>
      <c r="TRV71" s="146"/>
      <c r="TRW71" s="146"/>
      <c r="TRX71" s="146"/>
      <c r="TRY71" s="146"/>
      <c r="TRZ71" s="146"/>
      <c r="TSA71" s="146"/>
      <c r="TSB71" s="146"/>
      <c r="TSC71" s="146"/>
      <c r="TSD71" s="146"/>
      <c r="TSE71" s="146"/>
      <c r="TSF71" s="146"/>
      <c r="TSG71" s="146"/>
      <c r="TSH71" s="146"/>
      <c r="TSI71" s="146"/>
      <c r="TSJ71" s="146"/>
      <c r="TSK71" s="146"/>
      <c r="TSL71" s="146"/>
      <c r="TSM71" s="146"/>
      <c r="TSN71" s="146"/>
      <c r="TSO71" s="146"/>
      <c r="TSP71" s="146"/>
      <c r="TSQ71" s="146"/>
      <c r="TSR71" s="146"/>
      <c r="TSS71" s="146"/>
      <c r="TST71" s="146"/>
      <c r="TSU71" s="146"/>
      <c r="TSV71" s="146"/>
      <c r="TSW71" s="146"/>
      <c r="TSX71" s="146"/>
      <c r="TSY71" s="146"/>
      <c r="TSZ71" s="146"/>
      <c r="TTA71" s="146"/>
      <c r="TTB71" s="146"/>
      <c r="TTC71" s="146"/>
      <c r="TTD71" s="146"/>
      <c r="TTE71" s="146"/>
      <c r="TTF71" s="146"/>
      <c r="TTG71" s="146"/>
      <c r="TTH71" s="146"/>
      <c r="TTI71" s="146"/>
      <c r="TTJ71" s="146"/>
      <c r="TTK71" s="146"/>
      <c r="TTL71" s="146"/>
      <c r="TTM71" s="146"/>
      <c r="TTN71" s="146"/>
      <c r="TTO71" s="146"/>
      <c r="TTP71" s="146"/>
      <c r="TTQ71" s="146"/>
      <c r="TTR71" s="146"/>
      <c r="TTS71" s="146"/>
      <c r="TTT71" s="146"/>
      <c r="TTU71" s="146"/>
      <c r="TTV71" s="146"/>
      <c r="TTW71" s="146"/>
      <c r="TTX71" s="146"/>
      <c r="TTY71" s="146"/>
      <c r="TTZ71" s="146"/>
      <c r="TUA71" s="146"/>
      <c r="TUB71" s="146"/>
      <c r="TUC71" s="146"/>
      <c r="TUD71" s="146"/>
      <c r="TUE71" s="146"/>
      <c r="TUF71" s="146"/>
      <c r="TUG71" s="146"/>
      <c r="TUH71" s="146"/>
      <c r="TUI71" s="146"/>
      <c r="TUJ71" s="146"/>
      <c r="TUK71" s="146"/>
      <c r="TUL71" s="146"/>
      <c r="TUM71" s="146"/>
      <c r="TUN71" s="146"/>
      <c r="TUO71" s="146"/>
      <c r="TUP71" s="146"/>
      <c r="TUQ71" s="146"/>
      <c r="TUR71" s="146"/>
      <c r="TUS71" s="146"/>
      <c r="TUT71" s="146"/>
      <c r="TUU71" s="146"/>
      <c r="TUV71" s="146"/>
      <c r="TUW71" s="146"/>
      <c r="TUX71" s="146"/>
      <c r="TUY71" s="146"/>
      <c r="TUZ71" s="146"/>
      <c r="TVA71" s="146"/>
      <c r="TVB71" s="146"/>
      <c r="TVC71" s="146"/>
      <c r="TVD71" s="146"/>
      <c r="TVE71" s="146"/>
      <c r="TVF71" s="146"/>
      <c r="TVG71" s="146"/>
      <c r="TVH71" s="146"/>
      <c r="TVI71" s="146"/>
      <c r="TVJ71" s="146"/>
      <c r="TVK71" s="146"/>
      <c r="TVL71" s="146"/>
      <c r="TVM71" s="146"/>
      <c r="TVN71" s="146"/>
      <c r="TVO71" s="146"/>
      <c r="TVP71" s="146"/>
      <c r="TVQ71" s="146"/>
      <c r="TVR71" s="146"/>
      <c r="TVS71" s="146"/>
      <c r="TVT71" s="146"/>
      <c r="TVU71" s="146"/>
      <c r="TVV71" s="146"/>
      <c r="TVW71" s="146"/>
      <c r="TVX71" s="146"/>
      <c r="TVY71" s="146"/>
      <c r="TVZ71" s="146"/>
      <c r="TWA71" s="146"/>
      <c r="TWB71" s="146"/>
      <c r="TWC71" s="146"/>
      <c r="TWD71" s="146"/>
      <c r="TWE71" s="146"/>
      <c r="TWF71" s="146"/>
      <c r="TWG71" s="146"/>
      <c r="TWH71" s="146"/>
      <c r="TWI71" s="146"/>
      <c r="TWJ71" s="146"/>
      <c r="TWK71" s="146"/>
      <c r="TWL71" s="146"/>
      <c r="TWM71" s="146"/>
      <c r="TWN71" s="146"/>
      <c r="TWO71" s="146"/>
      <c r="TWP71" s="146"/>
      <c r="TWQ71" s="146"/>
      <c r="TWR71" s="146"/>
      <c r="TWS71" s="146"/>
      <c r="TWT71" s="146"/>
      <c r="TWU71" s="146"/>
      <c r="TWV71" s="146"/>
      <c r="TWW71" s="146"/>
      <c r="TWX71" s="146"/>
      <c r="TWY71" s="146"/>
      <c r="TWZ71" s="146"/>
      <c r="TXA71" s="146"/>
      <c r="TXB71" s="146"/>
      <c r="TXC71" s="146"/>
      <c r="TXD71" s="146"/>
      <c r="TXE71" s="146"/>
      <c r="TXF71" s="146"/>
      <c r="TXG71" s="146"/>
      <c r="TXH71" s="146"/>
      <c r="TXI71" s="146"/>
      <c r="TXJ71" s="146"/>
      <c r="TXK71" s="146"/>
      <c r="TXL71" s="146"/>
      <c r="TXM71" s="146"/>
      <c r="TXN71" s="146"/>
      <c r="TXO71" s="146"/>
      <c r="TXP71" s="146"/>
      <c r="TXQ71" s="146"/>
      <c r="TXR71" s="146"/>
      <c r="TXS71" s="146"/>
      <c r="TXT71" s="146"/>
      <c r="TXU71" s="146"/>
      <c r="TXV71" s="146"/>
      <c r="TXW71" s="146"/>
      <c r="TXX71" s="146"/>
      <c r="TXY71" s="146"/>
      <c r="TXZ71" s="146"/>
      <c r="TYA71" s="146"/>
      <c r="TYB71" s="146"/>
      <c r="TYC71" s="146"/>
      <c r="TYD71" s="146"/>
      <c r="TYE71" s="146"/>
      <c r="TYF71" s="146"/>
      <c r="TYG71" s="146"/>
      <c r="TYH71" s="146"/>
      <c r="TYI71" s="146"/>
      <c r="TYJ71" s="146"/>
      <c r="TYK71" s="146"/>
      <c r="TYL71" s="146"/>
      <c r="TYM71" s="146"/>
      <c r="TYN71" s="146"/>
      <c r="TYO71" s="146"/>
      <c r="TYP71" s="146"/>
      <c r="TYQ71" s="146"/>
      <c r="TYR71" s="146"/>
      <c r="TYS71" s="146"/>
      <c r="TYT71" s="146"/>
      <c r="TYU71" s="146"/>
      <c r="TYV71" s="146"/>
      <c r="TYW71" s="146"/>
      <c r="TYX71" s="146"/>
      <c r="TYY71" s="146"/>
      <c r="TYZ71" s="146"/>
      <c r="TZA71" s="146"/>
      <c r="TZB71" s="146"/>
      <c r="TZC71" s="146"/>
      <c r="TZD71" s="146"/>
      <c r="TZE71" s="146"/>
      <c r="TZF71" s="146"/>
      <c r="TZG71" s="146"/>
      <c r="TZH71" s="146"/>
      <c r="TZI71" s="146"/>
      <c r="TZJ71" s="146"/>
      <c r="TZK71" s="146"/>
      <c r="TZL71" s="146"/>
      <c r="TZM71" s="146"/>
      <c r="TZN71" s="146"/>
      <c r="TZO71" s="146"/>
      <c r="TZP71" s="146"/>
      <c r="TZQ71" s="146"/>
      <c r="TZR71" s="146"/>
      <c r="TZS71" s="146"/>
      <c r="TZT71" s="146"/>
      <c r="TZU71" s="146"/>
      <c r="TZV71" s="146"/>
      <c r="TZW71" s="146"/>
      <c r="TZX71" s="146"/>
      <c r="TZY71" s="146"/>
      <c r="TZZ71" s="146"/>
      <c r="UAA71" s="146"/>
      <c r="UAB71" s="146"/>
      <c r="UAC71" s="146"/>
      <c r="UAD71" s="146"/>
      <c r="UAE71" s="146"/>
      <c r="UAF71" s="146"/>
      <c r="UAG71" s="146"/>
      <c r="UAH71" s="146"/>
      <c r="UAI71" s="146"/>
      <c r="UAJ71" s="146"/>
      <c r="UAK71" s="146"/>
      <c r="UAL71" s="146"/>
      <c r="UAM71" s="146"/>
      <c r="UAN71" s="146"/>
      <c r="UAO71" s="146"/>
      <c r="UAP71" s="146"/>
      <c r="UAQ71" s="146"/>
      <c r="UAR71" s="146"/>
      <c r="UAS71" s="146"/>
      <c r="UAT71" s="146"/>
      <c r="UAU71" s="146"/>
      <c r="UAV71" s="146"/>
      <c r="UAW71" s="146"/>
      <c r="UAX71" s="146"/>
      <c r="UAY71" s="146"/>
      <c r="UAZ71" s="146"/>
      <c r="UBA71" s="146"/>
      <c r="UBB71" s="146"/>
      <c r="UBC71" s="146"/>
      <c r="UBD71" s="146"/>
      <c r="UBE71" s="146"/>
      <c r="UBF71" s="146"/>
      <c r="UBG71" s="146"/>
      <c r="UBH71" s="146"/>
      <c r="UBI71" s="146"/>
      <c r="UBJ71" s="146"/>
      <c r="UBK71" s="146"/>
      <c r="UBL71" s="146"/>
      <c r="UBM71" s="146"/>
      <c r="UBN71" s="146"/>
      <c r="UBO71" s="146"/>
      <c r="UBP71" s="146"/>
      <c r="UBQ71" s="146"/>
      <c r="UBR71" s="146"/>
      <c r="UBS71" s="146"/>
      <c r="UBT71" s="146"/>
      <c r="UBU71" s="146"/>
      <c r="UBV71" s="146"/>
      <c r="UBW71" s="146"/>
      <c r="UBX71" s="146"/>
      <c r="UBY71" s="146"/>
      <c r="UBZ71" s="146"/>
      <c r="UCA71" s="146"/>
      <c r="UCB71" s="146"/>
      <c r="UCC71" s="146"/>
      <c r="UCD71" s="146"/>
      <c r="UCE71" s="146"/>
      <c r="UCF71" s="146"/>
      <c r="UCG71" s="146"/>
      <c r="UCH71" s="146"/>
      <c r="UCI71" s="146"/>
      <c r="UCJ71" s="146"/>
      <c r="UCK71" s="146"/>
      <c r="UCL71" s="146"/>
      <c r="UCM71" s="146"/>
      <c r="UCN71" s="146"/>
      <c r="UCO71" s="146"/>
      <c r="UCP71" s="146"/>
      <c r="UCQ71" s="146"/>
      <c r="UCR71" s="146"/>
      <c r="UCS71" s="146"/>
      <c r="UCT71" s="146"/>
      <c r="UCU71" s="146"/>
      <c r="UCV71" s="146"/>
      <c r="UCW71" s="146"/>
      <c r="UCX71" s="146"/>
      <c r="UCY71" s="146"/>
      <c r="UCZ71" s="146"/>
      <c r="UDA71" s="146"/>
      <c r="UDB71" s="146"/>
      <c r="UDC71" s="146"/>
      <c r="UDD71" s="146"/>
      <c r="UDE71" s="146"/>
      <c r="UDF71" s="146"/>
      <c r="UDG71" s="146"/>
      <c r="UDH71" s="146"/>
      <c r="UDI71" s="146"/>
      <c r="UDJ71" s="146"/>
      <c r="UDK71" s="146"/>
      <c r="UDL71" s="146"/>
      <c r="UDM71" s="146"/>
      <c r="UDN71" s="146"/>
      <c r="UDO71" s="146"/>
      <c r="UDP71" s="146"/>
      <c r="UDQ71" s="146"/>
      <c r="UDR71" s="146"/>
      <c r="UDS71" s="146"/>
      <c r="UDT71" s="146"/>
      <c r="UDU71" s="146"/>
      <c r="UDV71" s="146"/>
      <c r="UDW71" s="146"/>
      <c r="UDX71" s="146"/>
      <c r="UDY71" s="146"/>
      <c r="UDZ71" s="146"/>
      <c r="UEA71" s="146"/>
      <c r="UEB71" s="146"/>
      <c r="UEC71" s="146"/>
      <c r="UED71" s="146"/>
      <c r="UEE71" s="146"/>
      <c r="UEF71" s="146"/>
      <c r="UEG71" s="146"/>
      <c r="UEH71" s="146"/>
      <c r="UEI71" s="146"/>
      <c r="UEJ71" s="146"/>
      <c r="UEK71" s="146"/>
      <c r="UEL71" s="146"/>
      <c r="UEM71" s="146"/>
      <c r="UEN71" s="146"/>
      <c r="UEO71" s="146"/>
      <c r="UEP71" s="146"/>
      <c r="UEQ71" s="146"/>
      <c r="UER71" s="146"/>
      <c r="UES71" s="146"/>
      <c r="UET71" s="146"/>
      <c r="UEU71" s="146"/>
      <c r="UEV71" s="146"/>
      <c r="UEW71" s="146"/>
      <c r="UEX71" s="146"/>
      <c r="UEY71" s="146"/>
      <c r="UEZ71" s="146"/>
      <c r="UFA71" s="146"/>
      <c r="UFB71" s="146"/>
      <c r="UFC71" s="146"/>
      <c r="UFD71" s="146"/>
      <c r="UFE71" s="146"/>
      <c r="UFF71" s="146"/>
      <c r="UFG71" s="146"/>
      <c r="UFH71" s="146"/>
      <c r="UFI71" s="146"/>
      <c r="UFJ71" s="146"/>
      <c r="UFK71" s="146"/>
      <c r="UFL71" s="146"/>
      <c r="UFM71" s="146"/>
      <c r="UFN71" s="146"/>
      <c r="UFO71" s="146"/>
      <c r="UFP71" s="146"/>
      <c r="UFQ71" s="146"/>
      <c r="UFR71" s="146"/>
      <c r="UFS71" s="146"/>
      <c r="UFT71" s="146"/>
      <c r="UFU71" s="146"/>
      <c r="UFV71" s="146"/>
      <c r="UFW71" s="146"/>
      <c r="UFX71" s="146"/>
      <c r="UFY71" s="146"/>
      <c r="UFZ71" s="146"/>
      <c r="UGA71" s="146"/>
      <c r="UGB71" s="146"/>
      <c r="UGC71" s="146"/>
      <c r="UGD71" s="146"/>
      <c r="UGE71" s="146"/>
      <c r="UGF71" s="146"/>
      <c r="UGG71" s="146"/>
      <c r="UGH71" s="146"/>
      <c r="UGI71" s="146"/>
      <c r="UGJ71" s="146"/>
      <c r="UGK71" s="146"/>
      <c r="UGL71" s="146"/>
      <c r="UGM71" s="146"/>
      <c r="UGN71" s="146"/>
      <c r="UGO71" s="146"/>
      <c r="UGP71" s="146"/>
      <c r="UGQ71" s="146"/>
      <c r="UGR71" s="146"/>
      <c r="UGS71" s="146"/>
      <c r="UGT71" s="146"/>
      <c r="UGU71" s="146"/>
      <c r="UGV71" s="146"/>
      <c r="UGW71" s="146"/>
      <c r="UGX71" s="146"/>
      <c r="UGY71" s="146"/>
      <c r="UGZ71" s="146"/>
      <c r="UHA71" s="146"/>
      <c r="UHB71" s="146"/>
      <c r="UHC71" s="146"/>
      <c r="UHD71" s="146"/>
      <c r="UHE71" s="146"/>
      <c r="UHF71" s="146"/>
      <c r="UHG71" s="146"/>
      <c r="UHH71" s="146"/>
      <c r="UHI71" s="146"/>
      <c r="UHJ71" s="146"/>
      <c r="UHK71" s="146"/>
      <c r="UHL71" s="146"/>
      <c r="UHM71" s="146"/>
      <c r="UHN71" s="146"/>
      <c r="UHO71" s="146"/>
      <c r="UHP71" s="146"/>
      <c r="UHQ71" s="146"/>
      <c r="UHR71" s="146"/>
      <c r="UHS71" s="146"/>
      <c r="UHT71" s="146"/>
      <c r="UHU71" s="146"/>
      <c r="UHV71" s="146"/>
      <c r="UHW71" s="146"/>
      <c r="UHX71" s="146"/>
      <c r="UHY71" s="146"/>
      <c r="UHZ71" s="146"/>
      <c r="UIA71" s="146"/>
      <c r="UIB71" s="146"/>
      <c r="UIC71" s="146"/>
      <c r="UID71" s="146"/>
      <c r="UIE71" s="146"/>
      <c r="UIF71" s="146"/>
      <c r="UIG71" s="146"/>
      <c r="UIH71" s="146"/>
      <c r="UII71" s="146"/>
      <c r="UIJ71" s="146"/>
      <c r="UIK71" s="146"/>
      <c r="UIL71" s="146"/>
      <c r="UIM71" s="146"/>
      <c r="UIN71" s="146"/>
      <c r="UIO71" s="146"/>
      <c r="UIP71" s="146"/>
      <c r="UIQ71" s="146"/>
      <c r="UIR71" s="146"/>
      <c r="UIS71" s="146"/>
      <c r="UIT71" s="146"/>
      <c r="UIU71" s="146"/>
      <c r="UIV71" s="146"/>
      <c r="UIW71" s="146"/>
      <c r="UIX71" s="146"/>
      <c r="UIY71" s="146"/>
      <c r="UIZ71" s="146"/>
      <c r="UJA71" s="146"/>
      <c r="UJB71" s="146"/>
      <c r="UJC71" s="146"/>
      <c r="UJD71" s="146"/>
      <c r="UJE71" s="146"/>
      <c r="UJF71" s="146"/>
      <c r="UJG71" s="146"/>
      <c r="UJH71" s="146"/>
      <c r="UJI71" s="146"/>
      <c r="UJJ71" s="146"/>
      <c r="UJK71" s="146"/>
      <c r="UJL71" s="146"/>
      <c r="UJM71" s="146"/>
      <c r="UJN71" s="146"/>
      <c r="UJO71" s="146"/>
      <c r="UJP71" s="146"/>
      <c r="UJQ71" s="146"/>
      <c r="UJR71" s="146"/>
      <c r="UJS71" s="146"/>
      <c r="UJT71" s="146"/>
      <c r="UJU71" s="146"/>
      <c r="UJV71" s="146"/>
      <c r="UJW71" s="146"/>
      <c r="UJX71" s="146"/>
      <c r="UJY71" s="146"/>
      <c r="UJZ71" s="146"/>
      <c r="UKA71" s="146"/>
      <c r="UKB71" s="146"/>
      <c r="UKC71" s="146"/>
      <c r="UKD71" s="146"/>
      <c r="UKE71" s="146"/>
      <c r="UKF71" s="146"/>
      <c r="UKG71" s="146"/>
      <c r="UKH71" s="146"/>
      <c r="UKI71" s="146"/>
      <c r="UKJ71" s="146"/>
      <c r="UKK71" s="146"/>
      <c r="UKL71" s="146"/>
      <c r="UKM71" s="146"/>
      <c r="UKN71" s="146"/>
      <c r="UKO71" s="146"/>
      <c r="UKP71" s="146"/>
      <c r="UKQ71" s="146"/>
      <c r="UKR71" s="146"/>
      <c r="UKS71" s="146"/>
      <c r="UKT71" s="146"/>
      <c r="UKU71" s="146"/>
      <c r="UKV71" s="146"/>
      <c r="UKW71" s="146"/>
      <c r="UKX71" s="146"/>
      <c r="UKY71" s="146"/>
      <c r="UKZ71" s="146"/>
      <c r="ULA71" s="146"/>
      <c r="ULB71" s="146"/>
      <c r="ULC71" s="146"/>
      <c r="ULD71" s="146"/>
      <c r="ULE71" s="146"/>
      <c r="ULF71" s="146"/>
      <c r="ULG71" s="146"/>
      <c r="ULH71" s="146"/>
      <c r="ULI71" s="146"/>
      <c r="ULJ71" s="146"/>
      <c r="ULK71" s="146"/>
      <c r="ULL71" s="146"/>
      <c r="ULM71" s="146"/>
      <c r="ULN71" s="146"/>
      <c r="ULO71" s="146"/>
      <c r="ULP71" s="146"/>
      <c r="ULQ71" s="146"/>
      <c r="ULR71" s="146"/>
      <c r="ULS71" s="146"/>
      <c r="ULT71" s="146"/>
      <c r="ULU71" s="146"/>
      <c r="ULV71" s="146"/>
      <c r="ULW71" s="146"/>
      <c r="ULX71" s="146"/>
      <c r="ULY71" s="146"/>
      <c r="ULZ71" s="146"/>
      <c r="UMA71" s="146"/>
      <c r="UMB71" s="146"/>
      <c r="UMC71" s="146"/>
      <c r="UMD71" s="146"/>
      <c r="UME71" s="146"/>
      <c r="UMF71" s="146"/>
      <c r="UMG71" s="146"/>
      <c r="UMH71" s="146"/>
      <c r="UMI71" s="146"/>
      <c r="UMJ71" s="146"/>
      <c r="UMK71" s="146"/>
      <c r="UML71" s="146"/>
      <c r="UMM71" s="146"/>
      <c r="UMN71" s="146"/>
      <c r="UMO71" s="146"/>
      <c r="UMP71" s="146"/>
      <c r="UMQ71" s="146"/>
      <c r="UMR71" s="146"/>
      <c r="UMS71" s="146"/>
      <c r="UMT71" s="146"/>
      <c r="UMU71" s="146"/>
      <c r="UMV71" s="146"/>
      <c r="UMW71" s="146"/>
      <c r="UMX71" s="146"/>
      <c r="UMY71" s="146"/>
      <c r="UMZ71" s="146"/>
      <c r="UNA71" s="146"/>
      <c r="UNB71" s="146"/>
      <c r="UNC71" s="146"/>
      <c r="UND71" s="146"/>
      <c r="UNE71" s="146"/>
      <c r="UNF71" s="146"/>
      <c r="UNG71" s="146"/>
      <c r="UNH71" s="146"/>
      <c r="UNI71" s="146"/>
      <c r="UNJ71" s="146"/>
      <c r="UNK71" s="146"/>
      <c r="UNL71" s="146"/>
      <c r="UNM71" s="146"/>
      <c r="UNN71" s="146"/>
      <c r="UNO71" s="146"/>
      <c r="UNP71" s="146"/>
      <c r="UNQ71" s="146"/>
      <c r="UNR71" s="146"/>
      <c r="UNS71" s="146"/>
      <c r="UNT71" s="146"/>
      <c r="UNU71" s="146"/>
      <c r="UNV71" s="146"/>
      <c r="UNW71" s="146"/>
      <c r="UNX71" s="146"/>
      <c r="UNY71" s="146"/>
      <c r="UNZ71" s="146"/>
      <c r="UOA71" s="146"/>
      <c r="UOB71" s="146"/>
      <c r="UOC71" s="146"/>
      <c r="UOD71" s="146"/>
      <c r="UOE71" s="146"/>
      <c r="UOF71" s="146"/>
      <c r="UOG71" s="146"/>
      <c r="UOH71" s="146"/>
      <c r="UOI71" s="146"/>
      <c r="UOJ71" s="146"/>
      <c r="UOK71" s="146"/>
      <c r="UOL71" s="146"/>
      <c r="UOM71" s="146"/>
      <c r="UON71" s="146"/>
      <c r="UOO71" s="146"/>
      <c r="UOP71" s="146"/>
      <c r="UOQ71" s="146"/>
      <c r="UOR71" s="146"/>
      <c r="UOS71" s="146"/>
      <c r="UOT71" s="146"/>
      <c r="UOU71" s="146"/>
      <c r="UOV71" s="146"/>
      <c r="UOW71" s="146"/>
      <c r="UOX71" s="146"/>
      <c r="UOY71" s="146"/>
      <c r="UOZ71" s="146"/>
      <c r="UPA71" s="146"/>
      <c r="UPB71" s="146"/>
      <c r="UPC71" s="146"/>
      <c r="UPD71" s="146"/>
      <c r="UPE71" s="146"/>
      <c r="UPF71" s="146"/>
      <c r="UPG71" s="146"/>
      <c r="UPH71" s="146"/>
      <c r="UPI71" s="146"/>
      <c r="UPJ71" s="146"/>
      <c r="UPK71" s="146"/>
      <c r="UPL71" s="146"/>
      <c r="UPM71" s="146"/>
      <c r="UPN71" s="146"/>
      <c r="UPO71" s="146"/>
      <c r="UPP71" s="146"/>
      <c r="UPQ71" s="146"/>
      <c r="UPR71" s="146"/>
      <c r="UPS71" s="146"/>
      <c r="UPT71" s="146"/>
      <c r="UPU71" s="146"/>
      <c r="UPV71" s="146"/>
      <c r="UPW71" s="146"/>
      <c r="UPX71" s="146"/>
      <c r="UPY71" s="146"/>
      <c r="UPZ71" s="146"/>
      <c r="UQA71" s="146"/>
      <c r="UQB71" s="146"/>
      <c r="UQC71" s="146"/>
      <c r="UQD71" s="146"/>
      <c r="UQE71" s="146"/>
      <c r="UQF71" s="146"/>
      <c r="UQG71" s="146"/>
      <c r="UQH71" s="146"/>
      <c r="UQI71" s="146"/>
      <c r="UQJ71" s="146"/>
      <c r="UQK71" s="146"/>
      <c r="UQL71" s="146"/>
      <c r="UQM71" s="146"/>
      <c r="UQN71" s="146"/>
      <c r="UQO71" s="146"/>
      <c r="UQP71" s="146"/>
      <c r="UQQ71" s="146"/>
      <c r="UQR71" s="146"/>
      <c r="UQS71" s="146"/>
      <c r="UQT71" s="146"/>
      <c r="UQU71" s="146"/>
      <c r="UQV71" s="146"/>
      <c r="UQW71" s="146"/>
      <c r="UQX71" s="146"/>
      <c r="UQY71" s="146"/>
      <c r="UQZ71" s="146"/>
      <c r="URA71" s="146"/>
      <c r="URB71" s="146"/>
      <c r="URC71" s="146"/>
      <c r="URD71" s="146"/>
      <c r="URE71" s="146"/>
      <c r="URF71" s="146"/>
      <c r="URG71" s="146"/>
      <c r="URH71" s="146"/>
      <c r="URI71" s="146"/>
      <c r="URJ71" s="146"/>
      <c r="URK71" s="146"/>
      <c r="URL71" s="146"/>
      <c r="URM71" s="146"/>
      <c r="URN71" s="146"/>
      <c r="URO71" s="146"/>
      <c r="URP71" s="146"/>
      <c r="URQ71" s="146"/>
      <c r="URR71" s="146"/>
      <c r="URS71" s="146"/>
      <c r="URT71" s="146"/>
      <c r="URU71" s="146"/>
      <c r="URV71" s="146"/>
      <c r="URW71" s="146"/>
      <c r="URX71" s="146"/>
      <c r="URY71" s="146"/>
      <c r="URZ71" s="146"/>
      <c r="USA71" s="146"/>
      <c r="USB71" s="146"/>
      <c r="USC71" s="146"/>
      <c r="USD71" s="146"/>
      <c r="USE71" s="146"/>
      <c r="USF71" s="146"/>
      <c r="USG71" s="146"/>
      <c r="USH71" s="146"/>
      <c r="USI71" s="146"/>
      <c r="USJ71" s="146"/>
      <c r="USK71" s="146"/>
      <c r="USL71" s="146"/>
      <c r="USM71" s="146"/>
      <c r="USN71" s="146"/>
      <c r="USO71" s="146"/>
      <c r="USP71" s="146"/>
      <c r="USQ71" s="146"/>
      <c r="USR71" s="146"/>
      <c r="USS71" s="146"/>
      <c r="UST71" s="146"/>
      <c r="USU71" s="146"/>
      <c r="USV71" s="146"/>
      <c r="USW71" s="146"/>
      <c r="USX71" s="146"/>
      <c r="USY71" s="146"/>
      <c r="USZ71" s="146"/>
      <c r="UTA71" s="146"/>
      <c r="UTB71" s="146"/>
      <c r="UTC71" s="146"/>
      <c r="UTD71" s="146"/>
      <c r="UTE71" s="146"/>
      <c r="UTF71" s="146"/>
      <c r="UTG71" s="146"/>
      <c r="UTH71" s="146"/>
      <c r="UTI71" s="146"/>
      <c r="UTJ71" s="146"/>
      <c r="UTK71" s="146"/>
      <c r="UTL71" s="146"/>
      <c r="UTM71" s="146"/>
      <c r="UTN71" s="146"/>
      <c r="UTO71" s="146"/>
      <c r="UTP71" s="146"/>
      <c r="UTQ71" s="146"/>
      <c r="UTR71" s="146"/>
      <c r="UTS71" s="146"/>
      <c r="UTT71" s="146"/>
      <c r="UTU71" s="146"/>
      <c r="UTV71" s="146"/>
      <c r="UTW71" s="146"/>
      <c r="UTX71" s="146"/>
      <c r="UTY71" s="146"/>
      <c r="UTZ71" s="146"/>
      <c r="UUA71" s="146"/>
      <c r="UUB71" s="146"/>
      <c r="UUC71" s="146"/>
      <c r="UUD71" s="146"/>
      <c r="UUE71" s="146"/>
      <c r="UUF71" s="146"/>
      <c r="UUG71" s="146"/>
      <c r="UUH71" s="146"/>
      <c r="UUI71" s="146"/>
      <c r="UUJ71" s="146"/>
      <c r="UUK71" s="146"/>
      <c r="UUL71" s="146"/>
      <c r="UUM71" s="146"/>
      <c r="UUN71" s="146"/>
      <c r="UUO71" s="146"/>
      <c r="UUP71" s="146"/>
      <c r="UUQ71" s="146"/>
      <c r="UUR71" s="146"/>
      <c r="UUS71" s="146"/>
      <c r="UUT71" s="146"/>
      <c r="UUU71" s="146"/>
      <c r="UUV71" s="146"/>
      <c r="UUW71" s="146"/>
      <c r="UUX71" s="146"/>
      <c r="UUY71" s="146"/>
      <c r="UUZ71" s="146"/>
      <c r="UVA71" s="146"/>
      <c r="UVB71" s="146"/>
      <c r="UVC71" s="146"/>
      <c r="UVD71" s="146"/>
      <c r="UVE71" s="146"/>
      <c r="UVF71" s="146"/>
      <c r="UVG71" s="146"/>
      <c r="UVH71" s="146"/>
      <c r="UVI71" s="146"/>
      <c r="UVJ71" s="146"/>
      <c r="UVK71" s="146"/>
      <c r="UVL71" s="146"/>
      <c r="UVM71" s="146"/>
      <c r="UVN71" s="146"/>
      <c r="UVO71" s="146"/>
      <c r="UVP71" s="146"/>
      <c r="UVQ71" s="146"/>
      <c r="UVR71" s="146"/>
      <c r="UVS71" s="146"/>
      <c r="UVT71" s="146"/>
      <c r="UVU71" s="146"/>
      <c r="UVV71" s="146"/>
      <c r="UVW71" s="146"/>
      <c r="UVX71" s="146"/>
      <c r="UVY71" s="146"/>
      <c r="UVZ71" s="146"/>
      <c r="UWA71" s="146"/>
      <c r="UWB71" s="146"/>
      <c r="UWC71" s="146"/>
      <c r="UWD71" s="146"/>
      <c r="UWE71" s="146"/>
      <c r="UWF71" s="146"/>
      <c r="UWG71" s="146"/>
      <c r="UWH71" s="146"/>
      <c r="UWI71" s="146"/>
      <c r="UWJ71" s="146"/>
      <c r="UWK71" s="146"/>
      <c r="UWL71" s="146"/>
      <c r="UWM71" s="146"/>
      <c r="UWN71" s="146"/>
      <c r="UWO71" s="146"/>
      <c r="UWP71" s="146"/>
      <c r="UWQ71" s="146"/>
      <c r="UWR71" s="146"/>
      <c r="UWS71" s="146"/>
      <c r="UWT71" s="146"/>
      <c r="UWU71" s="146"/>
      <c r="UWV71" s="146"/>
      <c r="UWW71" s="146"/>
      <c r="UWX71" s="146"/>
      <c r="UWY71" s="146"/>
      <c r="UWZ71" s="146"/>
      <c r="UXA71" s="146"/>
      <c r="UXB71" s="146"/>
      <c r="UXC71" s="146"/>
      <c r="UXD71" s="146"/>
      <c r="UXE71" s="146"/>
      <c r="UXF71" s="146"/>
      <c r="UXG71" s="146"/>
      <c r="UXH71" s="146"/>
      <c r="UXI71" s="146"/>
      <c r="UXJ71" s="146"/>
      <c r="UXK71" s="146"/>
      <c r="UXL71" s="146"/>
      <c r="UXM71" s="146"/>
      <c r="UXN71" s="146"/>
      <c r="UXO71" s="146"/>
      <c r="UXP71" s="146"/>
      <c r="UXQ71" s="146"/>
      <c r="UXR71" s="146"/>
      <c r="UXS71" s="146"/>
      <c r="UXT71" s="146"/>
      <c r="UXU71" s="146"/>
      <c r="UXV71" s="146"/>
      <c r="UXW71" s="146"/>
      <c r="UXX71" s="146"/>
      <c r="UXY71" s="146"/>
      <c r="UXZ71" s="146"/>
      <c r="UYA71" s="146"/>
      <c r="UYB71" s="146"/>
      <c r="UYC71" s="146"/>
      <c r="UYD71" s="146"/>
      <c r="UYE71" s="146"/>
      <c r="UYF71" s="146"/>
      <c r="UYG71" s="146"/>
      <c r="UYH71" s="146"/>
      <c r="UYI71" s="146"/>
      <c r="UYJ71" s="146"/>
      <c r="UYK71" s="146"/>
      <c r="UYL71" s="146"/>
      <c r="UYM71" s="146"/>
      <c r="UYN71" s="146"/>
      <c r="UYO71" s="146"/>
      <c r="UYP71" s="146"/>
      <c r="UYQ71" s="146"/>
      <c r="UYR71" s="146"/>
      <c r="UYS71" s="146"/>
      <c r="UYT71" s="146"/>
      <c r="UYU71" s="146"/>
      <c r="UYV71" s="146"/>
      <c r="UYW71" s="146"/>
      <c r="UYX71" s="146"/>
      <c r="UYY71" s="146"/>
      <c r="UYZ71" s="146"/>
      <c r="UZA71" s="146"/>
      <c r="UZB71" s="146"/>
      <c r="UZC71" s="146"/>
      <c r="UZD71" s="146"/>
      <c r="UZE71" s="146"/>
      <c r="UZF71" s="146"/>
      <c r="UZG71" s="146"/>
      <c r="UZH71" s="146"/>
      <c r="UZI71" s="146"/>
      <c r="UZJ71" s="146"/>
      <c r="UZK71" s="146"/>
      <c r="UZL71" s="146"/>
      <c r="UZM71" s="146"/>
      <c r="UZN71" s="146"/>
      <c r="UZO71" s="146"/>
      <c r="UZP71" s="146"/>
      <c r="UZQ71" s="146"/>
      <c r="UZR71" s="146"/>
      <c r="UZS71" s="146"/>
      <c r="UZT71" s="146"/>
      <c r="UZU71" s="146"/>
      <c r="UZV71" s="146"/>
      <c r="UZW71" s="146"/>
      <c r="UZX71" s="146"/>
      <c r="UZY71" s="146"/>
      <c r="UZZ71" s="146"/>
      <c r="VAA71" s="146"/>
      <c r="VAB71" s="146"/>
      <c r="VAC71" s="146"/>
      <c r="VAD71" s="146"/>
      <c r="VAE71" s="146"/>
      <c r="VAF71" s="146"/>
      <c r="VAG71" s="146"/>
      <c r="VAH71" s="146"/>
      <c r="VAI71" s="146"/>
      <c r="VAJ71" s="146"/>
      <c r="VAK71" s="146"/>
      <c r="VAL71" s="146"/>
      <c r="VAM71" s="146"/>
      <c r="VAN71" s="146"/>
      <c r="VAO71" s="146"/>
      <c r="VAP71" s="146"/>
      <c r="VAQ71" s="146"/>
      <c r="VAR71" s="146"/>
      <c r="VAS71" s="146"/>
      <c r="VAT71" s="146"/>
      <c r="VAU71" s="146"/>
      <c r="VAV71" s="146"/>
      <c r="VAW71" s="146"/>
      <c r="VAX71" s="146"/>
      <c r="VAY71" s="146"/>
      <c r="VAZ71" s="146"/>
      <c r="VBA71" s="146"/>
      <c r="VBB71" s="146"/>
      <c r="VBC71" s="146"/>
      <c r="VBD71" s="146"/>
      <c r="VBE71" s="146"/>
      <c r="VBF71" s="146"/>
      <c r="VBG71" s="146"/>
      <c r="VBH71" s="146"/>
      <c r="VBI71" s="146"/>
      <c r="VBJ71" s="146"/>
      <c r="VBK71" s="146"/>
      <c r="VBL71" s="146"/>
      <c r="VBM71" s="146"/>
      <c r="VBN71" s="146"/>
      <c r="VBO71" s="146"/>
      <c r="VBP71" s="146"/>
      <c r="VBQ71" s="146"/>
      <c r="VBR71" s="146"/>
      <c r="VBS71" s="146"/>
      <c r="VBT71" s="146"/>
      <c r="VBU71" s="146"/>
      <c r="VBV71" s="146"/>
      <c r="VBW71" s="146"/>
      <c r="VBX71" s="146"/>
      <c r="VBY71" s="146"/>
      <c r="VBZ71" s="146"/>
      <c r="VCA71" s="146"/>
      <c r="VCB71" s="146"/>
      <c r="VCC71" s="146"/>
      <c r="VCD71" s="146"/>
      <c r="VCE71" s="146"/>
      <c r="VCF71" s="146"/>
      <c r="VCG71" s="146"/>
      <c r="VCH71" s="146"/>
      <c r="VCI71" s="146"/>
      <c r="VCJ71" s="146"/>
      <c r="VCK71" s="146"/>
      <c r="VCL71" s="146"/>
      <c r="VCM71" s="146"/>
      <c r="VCN71" s="146"/>
      <c r="VCO71" s="146"/>
      <c r="VCP71" s="146"/>
      <c r="VCQ71" s="146"/>
      <c r="VCR71" s="146"/>
      <c r="VCS71" s="146"/>
      <c r="VCT71" s="146"/>
      <c r="VCU71" s="146"/>
      <c r="VCV71" s="146"/>
      <c r="VCW71" s="146"/>
      <c r="VCX71" s="146"/>
      <c r="VCY71" s="146"/>
      <c r="VCZ71" s="146"/>
      <c r="VDA71" s="146"/>
      <c r="VDB71" s="146"/>
      <c r="VDC71" s="146"/>
      <c r="VDD71" s="146"/>
      <c r="VDE71" s="146"/>
      <c r="VDF71" s="146"/>
      <c r="VDG71" s="146"/>
      <c r="VDH71" s="146"/>
      <c r="VDI71" s="146"/>
      <c r="VDJ71" s="146"/>
      <c r="VDK71" s="146"/>
      <c r="VDL71" s="146"/>
      <c r="VDM71" s="146"/>
      <c r="VDN71" s="146"/>
      <c r="VDO71" s="146"/>
      <c r="VDP71" s="146"/>
      <c r="VDQ71" s="146"/>
      <c r="VDR71" s="146"/>
      <c r="VDS71" s="146"/>
      <c r="VDT71" s="146"/>
      <c r="VDU71" s="146"/>
      <c r="VDV71" s="146"/>
      <c r="VDW71" s="146"/>
      <c r="VDX71" s="146"/>
      <c r="VDY71" s="146"/>
      <c r="VDZ71" s="146"/>
      <c r="VEA71" s="146"/>
      <c r="VEB71" s="146"/>
      <c r="VEC71" s="146"/>
      <c r="VED71" s="146"/>
      <c r="VEE71" s="146"/>
      <c r="VEF71" s="146"/>
      <c r="VEG71" s="146"/>
      <c r="VEH71" s="146"/>
      <c r="VEI71" s="146"/>
      <c r="VEJ71" s="146"/>
      <c r="VEK71" s="146"/>
      <c r="VEL71" s="146"/>
      <c r="VEM71" s="146"/>
      <c r="VEN71" s="146"/>
      <c r="VEO71" s="146"/>
      <c r="VEP71" s="146"/>
      <c r="VEQ71" s="146"/>
      <c r="VER71" s="146"/>
      <c r="VES71" s="146"/>
      <c r="VET71" s="146"/>
      <c r="VEU71" s="146"/>
      <c r="VEV71" s="146"/>
      <c r="VEW71" s="146"/>
      <c r="VEX71" s="146"/>
      <c r="VEY71" s="146"/>
      <c r="VEZ71" s="146"/>
      <c r="VFA71" s="146"/>
      <c r="VFB71" s="146"/>
      <c r="VFC71" s="146"/>
      <c r="VFD71" s="146"/>
      <c r="VFE71" s="146"/>
      <c r="VFF71" s="146"/>
      <c r="VFG71" s="146"/>
      <c r="VFH71" s="146"/>
      <c r="VFI71" s="146"/>
      <c r="VFJ71" s="146"/>
      <c r="VFK71" s="146"/>
      <c r="VFL71" s="146"/>
      <c r="VFM71" s="146"/>
      <c r="VFN71" s="146"/>
      <c r="VFO71" s="146"/>
      <c r="VFP71" s="146"/>
      <c r="VFQ71" s="146"/>
      <c r="VFR71" s="146"/>
      <c r="VFS71" s="146"/>
      <c r="VFT71" s="146"/>
      <c r="VFU71" s="146"/>
      <c r="VFV71" s="146"/>
      <c r="VFW71" s="146"/>
      <c r="VFX71" s="146"/>
      <c r="VFY71" s="146"/>
      <c r="VFZ71" s="146"/>
      <c r="VGA71" s="146"/>
      <c r="VGB71" s="146"/>
      <c r="VGC71" s="146"/>
      <c r="VGD71" s="146"/>
      <c r="VGE71" s="146"/>
      <c r="VGF71" s="146"/>
      <c r="VGG71" s="146"/>
      <c r="VGH71" s="146"/>
      <c r="VGI71" s="146"/>
      <c r="VGJ71" s="146"/>
      <c r="VGK71" s="146"/>
      <c r="VGL71" s="146"/>
      <c r="VGM71" s="146"/>
      <c r="VGN71" s="146"/>
      <c r="VGO71" s="146"/>
      <c r="VGP71" s="146"/>
      <c r="VGQ71" s="146"/>
      <c r="VGR71" s="146"/>
      <c r="VGS71" s="146"/>
      <c r="VGT71" s="146"/>
      <c r="VGU71" s="146"/>
      <c r="VGV71" s="146"/>
      <c r="VGW71" s="146"/>
      <c r="VGX71" s="146"/>
      <c r="VGY71" s="146"/>
      <c r="VGZ71" s="146"/>
      <c r="VHA71" s="146"/>
      <c r="VHB71" s="146"/>
      <c r="VHC71" s="146"/>
      <c r="VHD71" s="146"/>
      <c r="VHE71" s="146"/>
      <c r="VHF71" s="146"/>
      <c r="VHG71" s="146"/>
      <c r="VHH71" s="146"/>
      <c r="VHI71" s="146"/>
      <c r="VHJ71" s="146"/>
      <c r="VHK71" s="146"/>
      <c r="VHL71" s="146"/>
      <c r="VHM71" s="146"/>
      <c r="VHN71" s="146"/>
      <c r="VHO71" s="146"/>
      <c r="VHP71" s="146"/>
      <c r="VHQ71" s="146"/>
      <c r="VHR71" s="146"/>
      <c r="VHS71" s="146"/>
      <c r="VHT71" s="146"/>
      <c r="VHU71" s="146"/>
      <c r="VHV71" s="146"/>
      <c r="VHW71" s="146"/>
      <c r="VHX71" s="146"/>
      <c r="VHY71" s="146"/>
      <c r="VHZ71" s="146"/>
      <c r="VIA71" s="146"/>
      <c r="VIB71" s="146"/>
      <c r="VIC71" s="146"/>
      <c r="VID71" s="146"/>
      <c r="VIE71" s="146"/>
      <c r="VIF71" s="146"/>
      <c r="VIG71" s="146"/>
      <c r="VIH71" s="146"/>
      <c r="VII71" s="146"/>
      <c r="VIJ71" s="146"/>
      <c r="VIK71" s="146"/>
      <c r="VIL71" s="146"/>
      <c r="VIM71" s="146"/>
      <c r="VIN71" s="146"/>
      <c r="VIO71" s="146"/>
      <c r="VIP71" s="146"/>
      <c r="VIQ71" s="146"/>
      <c r="VIR71" s="146"/>
      <c r="VIS71" s="146"/>
      <c r="VIT71" s="146"/>
      <c r="VIU71" s="146"/>
      <c r="VIV71" s="146"/>
      <c r="VIW71" s="146"/>
      <c r="VIX71" s="146"/>
      <c r="VIY71" s="146"/>
      <c r="VIZ71" s="146"/>
      <c r="VJA71" s="146"/>
      <c r="VJB71" s="146"/>
      <c r="VJC71" s="146"/>
      <c r="VJD71" s="146"/>
      <c r="VJE71" s="146"/>
      <c r="VJF71" s="146"/>
      <c r="VJG71" s="146"/>
      <c r="VJH71" s="146"/>
      <c r="VJI71" s="146"/>
      <c r="VJJ71" s="146"/>
      <c r="VJK71" s="146"/>
      <c r="VJL71" s="146"/>
      <c r="VJM71" s="146"/>
      <c r="VJN71" s="146"/>
      <c r="VJO71" s="146"/>
      <c r="VJP71" s="146"/>
      <c r="VJQ71" s="146"/>
      <c r="VJR71" s="146"/>
      <c r="VJS71" s="146"/>
      <c r="VJT71" s="146"/>
      <c r="VJU71" s="146"/>
      <c r="VJV71" s="146"/>
      <c r="VJW71" s="146"/>
      <c r="VJX71" s="146"/>
      <c r="VJY71" s="146"/>
      <c r="VJZ71" s="146"/>
      <c r="VKA71" s="146"/>
      <c r="VKB71" s="146"/>
      <c r="VKC71" s="146"/>
      <c r="VKD71" s="146"/>
      <c r="VKE71" s="146"/>
      <c r="VKF71" s="146"/>
      <c r="VKG71" s="146"/>
      <c r="VKH71" s="146"/>
      <c r="VKI71" s="146"/>
      <c r="VKJ71" s="146"/>
      <c r="VKK71" s="146"/>
      <c r="VKL71" s="146"/>
      <c r="VKM71" s="146"/>
      <c r="VKN71" s="146"/>
      <c r="VKO71" s="146"/>
      <c r="VKP71" s="146"/>
      <c r="VKQ71" s="146"/>
      <c r="VKR71" s="146"/>
      <c r="VKS71" s="146"/>
      <c r="VKT71" s="146"/>
      <c r="VKU71" s="146"/>
      <c r="VKV71" s="146"/>
      <c r="VKW71" s="146"/>
      <c r="VKX71" s="146"/>
      <c r="VKY71" s="146"/>
      <c r="VKZ71" s="146"/>
      <c r="VLA71" s="146"/>
      <c r="VLB71" s="146"/>
      <c r="VLC71" s="146"/>
      <c r="VLD71" s="146"/>
      <c r="VLE71" s="146"/>
      <c r="VLF71" s="146"/>
      <c r="VLG71" s="146"/>
      <c r="VLH71" s="146"/>
      <c r="VLI71" s="146"/>
      <c r="VLJ71" s="146"/>
      <c r="VLK71" s="146"/>
      <c r="VLL71" s="146"/>
      <c r="VLM71" s="146"/>
      <c r="VLN71" s="146"/>
      <c r="VLO71" s="146"/>
      <c r="VLP71" s="146"/>
      <c r="VLQ71" s="146"/>
      <c r="VLR71" s="146"/>
      <c r="VLS71" s="146"/>
      <c r="VLT71" s="146"/>
      <c r="VLU71" s="146"/>
      <c r="VLV71" s="146"/>
      <c r="VLW71" s="146"/>
      <c r="VLX71" s="146"/>
      <c r="VLY71" s="146"/>
      <c r="VLZ71" s="146"/>
      <c r="VMA71" s="146"/>
      <c r="VMB71" s="146"/>
      <c r="VMC71" s="146"/>
      <c r="VMD71" s="146"/>
      <c r="VME71" s="146"/>
      <c r="VMF71" s="146"/>
      <c r="VMG71" s="146"/>
      <c r="VMH71" s="146"/>
      <c r="VMI71" s="146"/>
      <c r="VMJ71" s="146"/>
      <c r="VMK71" s="146"/>
      <c r="VML71" s="146"/>
      <c r="VMM71" s="146"/>
      <c r="VMN71" s="146"/>
      <c r="VMO71" s="146"/>
      <c r="VMP71" s="146"/>
      <c r="VMQ71" s="146"/>
      <c r="VMR71" s="146"/>
      <c r="VMS71" s="146"/>
      <c r="VMT71" s="146"/>
      <c r="VMU71" s="146"/>
      <c r="VMV71" s="146"/>
      <c r="VMW71" s="146"/>
      <c r="VMX71" s="146"/>
      <c r="VMY71" s="146"/>
      <c r="VMZ71" s="146"/>
      <c r="VNA71" s="146"/>
      <c r="VNB71" s="146"/>
      <c r="VNC71" s="146"/>
      <c r="VND71" s="146"/>
      <c r="VNE71" s="146"/>
      <c r="VNF71" s="146"/>
      <c r="VNG71" s="146"/>
      <c r="VNH71" s="146"/>
      <c r="VNI71" s="146"/>
      <c r="VNJ71" s="146"/>
      <c r="VNK71" s="146"/>
      <c r="VNL71" s="146"/>
      <c r="VNM71" s="146"/>
      <c r="VNN71" s="146"/>
      <c r="VNO71" s="146"/>
      <c r="VNP71" s="146"/>
      <c r="VNQ71" s="146"/>
      <c r="VNR71" s="146"/>
      <c r="VNS71" s="146"/>
      <c r="VNT71" s="146"/>
      <c r="VNU71" s="146"/>
      <c r="VNV71" s="146"/>
      <c r="VNW71" s="146"/>
      <c r="VNX71" s="146"/>
      <c r="VNY71" s="146"/>
      <c r="VNZ71" s="146"/>
      <c r="VOA71" s="146"/>
      <c r="VOB71" s="146"/>
      <c r="VOC71" s="146"/>
      <c r="VOD71" s="146"/>
      <c r="VOE71" s="146"/>
      <c r="VOF71" s="146"/>
      <c r="VOG71" s="146"/>
      <c r="VOH71" s="146"/>
      <c r="VOI71" s="146"/>
      <c r="VOJ71" s="146"/>
      <c r="VOK71" s="146"/>
      <c r="VOL71" s="146"/>
      <c r="VOM71" s="146"/>
      <c r="VON71" s="146"/>
      <c r="VOO71" s="146"/>
      <c r="VOP71" s="146"/>
      <c r="VOQ71" s="146"/>
      <c r="VOR71" s="146"/>
      <c r="VOS71" s="146"/>
      <c r="VOT71" s="146"/>
      <c r="VOU71" s="146"/>
      <c r="VOV71" s="146"/>
      <c r="VOW71" s="146"/>
      <c r="VOX71" s="146"/>
      <c r="VOY71" s="146"/>
      <c r="VOZ71" s="146"/>
      <c r="VPA71" s="146"/>
      <c r="VPB71" s="146"/>
      <c r="VPC71" s="146"/>
      <c r="VPD71" s="146"/>
      <c r="VPE71" s="146"/>
      <c r="VPF71" s="146"/>
      <c r="VPG71" s="146"/>
      <c r="VPH71" s="146"/>
      <c r="VPI71" s="146"/>
      <c r="VPJ71" s="146"/>
      <c r="VPK71" s="146"/>
      <c r="VPL71" s="146"/>
      <c r="VPM71" s="146"/>
      <c r="VPN71" s="146"/>
      <c r="VPO71" s="146"/>
      <c r="VPP71" s="146"/>
      <c r="VPQ71" s="146"/>
      <c r="VPR71" s="146"/>
      <c r="VPS71" s="146"/>
      <c r="VPT71" s="146"/>
      <c r="VPU71" s="146"/>
      <c r="VPV71" s="146"/>
      <c r="VPW71" s="146"/>
      <c r="VPX71" s="146"/>
      <c r="VPY71" s="146"/>
      <c r="VPZ71" s="146"/>
      <c r="VQA71" s="146"/>
      <c r="VQB71" s="146"/>
      <c r="VQC71" s="146"/>
      <c r="VQD71" s="146"/>
      <c r="VQE71" s="146"/>
      <c r="VQF71" s="146"/>
      <c r="VQG71" s="146"/>
      <c r="VQH71" s="146"/>
      <c r="VQI71" s="146"/>
      <c r="VQJ71" s="146"/>
      <c r="VQK71" s="146"/>
      <c r="VQL71" s="146"/>
      <c r="VQM71" s="146"/>
      <c r="VQN71" s="146"/>
      <c r="VQO71" s="146"/>
      <c r="VQP71" s="146"/>
      <c r="VQQ71" s="146"/>
      <c r="VQR71" s="146"/>
      <c r="VQS71" s="146"/>
      <c r="VQT71" s="146"/>
      <c r="VQU71" s="146"/>
      <c r="VQV71" s="146"/>
      <c r="VQW71" s="146"/>
      <c r="VQX71" s="146"/>
      <c r="VQY71" s="146"/>
      <c r="VQZ71" s="146"/>
      <c r="VRA71" s="146"/>
      <c r="VRB71" s="146"/>
      <c r="VRC71" s="146"/>
      <c r="VRD71" s="146"/>
      <c r="VRE71" s="146"/>
      <c r="VRF71" s="146"/>
      <c r="VRG71" s="146"/>
      <c r="VRH71" s="146"/>
      <c r="VRI71" s="146"/>
      <c r="VRJ71" s="146"/>
      <c r="VRK71" s="146"/>
      <c r="VRL71" s="146"/>
      <c r="VRM71" s="146"/>
      <c r="VRN71" s="146"/>
      <c r="VRO71" s="146"/>
      <c r="VRP71" s="146"/>
      <c r="VRQ71" s="146"/>
      <c r="VRR71" s="146"/>
      <c r="VRS71" s="146"/>
      <c r="VRT71" s="146"/>
      <c r="VRU71" s="146"/>
      <c r="VRV71" s="146"/>
      <c r="VRW71" s="146"/>
      <c r="VRX71" s="146"/>
      <c r="VRY71" s="146"/>
      <c r="VRZ71" s="146"/>
      <c r="VSA71" s="146"/>
      <c r="VSB71" s="146"/>
      <c r="VSC71" s="146"/>
      <c r="VSD71" s="146"/>
      <c r="VSE71" s="146"/>
      <c r="VSF71" s="146"/>
      <c r="VSG71" s="146"/>
      <c r="VSH71" s="146"/>
      <c r="VSI71" s="146"/>
      <c r="VSJ71" s="146"/>
      <c r="VSK71" s="146"/>
      <c r="VSL71" s="146"/>
      <c r="VSM71" s="146"/>
      <c r="VSN71" s="146"/>
      <c r="VSO71" s="146"/>
      <c r="VSP71" s="146"/>
      <c r="VSQ71" s="146"/>
      <c r="VSR71" s="146"/>
      <c r="VSS71" s="146"/>
      <c r="VST71" s="146"/>
      <c r="VSU71" s="146"/>
      <c r="VSV71" s="146"/>
      <c r="VSW71" s="146"/>
      <c r="VSX71" s="146"/>
      <c r="VSY71" s="146"/>
      <c r="VSZ71" s="146"/>
      <c r="VTA71" s="146"/>
      <c r="VTB71" s="146"/>
      <c r="VTC71" s="146"/>
      <c r="VTD71" s="146"/>
      <c r="VTE71" s="146"/>
      <c r="VTF71" s="146"/>
      <c r="VTG71" s="146"/>
      <c r="VTH71" s="146"/>
      <c r="VTI71" s="146"/>
      <c r="VTJ71" s="146"/>
      <c r="VTK71" s="146"/>
      <c r="VTL71" s="146"/>
      <c r="VTM71" s="146"/>
      <c r="VTN71" s="146"/>
      <c r="VTO71" s="146"/>
      <c r="VTP71" s="146"/>
      <c r="VTQ71" s="146"/>
      <c r="VTR71" s="146"/>
      <c r="VTS71" s="146"/>
      <c r="VTT71" s="146"/>
      <c r="VTU71" s="146"/>
      <c r="VTV71" s="146"/>
      <c r="VTW71" s="146"/>
      <c r="VTX71" s="146"/>
      <c r="VTY71" s="146"/>
      <c r="VTZ71" s="146"/>
      <c r="VUA71" s="146"/>
      <c r="VUB71" s="146"/>
      <c r="VUC71" s="146"/>
      <c r="VUD71" s="146"/>
      <c r="VUE71" s="146"/>
      <c r="VUF71" s="146"/>
      <c r="VUG71" s="146"/>
      <c r="VUH71" s="146"/>
      <c r="VUI71" s="146"/>
      <c r="VUJ71" s="146"/>
      <c r="VUK71" s="146"/>
      <c r="VUL71" s="146"/>
      <c r="VUM71" s="146"/>
      <c r="VUN71" s="146"/>
      <c r="VUO71" s="146"/>
      <c r="VUP71" s="146"/>
      <c r="VUQ71" s="146"/>
      <c r="VUR71" s="146"/>
      <c r="VUS71" s="146"/>
      <c r="VUT71" s="146"/>
      <c r="VUU71" s="146"/>
      <c r="VUV71" s="146"/>
      <c r="VUW71" s="146"/>
      <c r="VUX71" s="146"/>
      <c r="VUY71" s="146"/>
      <c r="VUZ71" s="146"/>
      <c r="VVA71" s="146"/>
      <c r="VVB71" s="146"/>
      <c r="VVC71" s="146"/>
      <c r="VVD71" s="146"/>
      <c r="VVE71" s="146"/>
      <c r="VVF71" s="146"/>
      <c r="VVG71" s="146"/>
      <c r="VVH71" s="146"/>
      <c r="VVI71" s="146"/>
      <c r="VVJ71" s="146"/>
      <c r="VVK71" s="146"/>
      <c r="VVL71" s="146"/>
      <c r="VVM71" s="146"/>
      <c r="VVN71" s="146"/>
      <c r="VVO71" s="146"/>
      <c r="VVP71" s="146"/>
      <c r="VVQ71" s="146"/>
      <c r="VVR71" s="146"/>
      <c r="VVS71" s="146"/>
      <c r="VVT71" s="146"/>
      <c r="VVU71" s="146"/>
      <c r="VVV71" s="146"/>
      <c r="VVW71" s="146"/>
      <c r="VVX71" s="146"/>
      <c r="VVY71" s="146"/>
      <c r="VVZ71" s="146"/>
      <c r="VWA71" s="146"/>
      <c r="VWB71" s="146"/>
      <c r="VWC71" s="146"/>
      <c r="VWD71" s="146"/>
      <c r="VWE71" s="146"/>
      <c r="VWF71" s="146"/>
      <c r="VWG71" s="146"/>
      <c r="VWH71" s="146"/>
      <c r="VWI71" s="146"/>
      <c r="VWJ71" s="146"/>
      <c r="VWK71" s="146"/>
      <c r="VWL71" s="146"/>
      <c r="VWM71" s="146"/>
      <c r="VWN71" s="146"/>
      <c r="VWO71" s="146"/>
      <c r="VWP71" s="146"/>
      <c r="VWQ71" s="146"/>
      <c r="VWR71" s="146"/>
      <c r="VWS71" s="146"/>
      <c r="VWT71" s="146"/>
      <c r="VWU71" s="146"/>
      <c r="VWV71" s="146"/>
      <c r="VWW71" s="146"/>
      <c r="VWX71" s="146"/>
      <c r="VWY71" s="146"/>
      <c r="VWZ71" s="146"/>
      <c r="VXA71" s="146"/>
      <c r="VXB71" s="146"/>
      <c r="VXC71" s="146"/>
      <c r="VXD71" s="146"/>
      <c r="VXE71" s="146"/>
      <c r="VXF71" s="146"/>
      <c r="VXG71" s="146"/>
      <c r="VXH71" s="146"/>
      <c r="VXI71" s="146"/>
      <c r="VXJ71" s="146"/>
      <c r="VXK71" s="146"/>
      <c r="VXL71" s="146"/>
      <c r="VXM71" s="146"/>
      <c r="VXN71" s="146"/>
      <c r="VXO71" s="146"/>
      <c r="VXP71" s="146"/>
      <c r="VXQ71" s="146"/>
      <c r="VXR71" s="146"/>
      <c r="VXS71" s="146"/>
      <c r="VXT71" s="146"/>
      <c r="VXU71" s="146"/>
      <c r="VXV71" s="146"/>
      <c r="VXW71" s="146"/>
      <c r="VXX71" s="146"/>
      <c r="VXY71" s="146"/>
      <c r="VXZ71" s="146"/>
      <c r="VYA71" s="146"/>
      <c r="VYB71" s="146"/>
      <c r="VYC71" s="146"/>
      <c r="VYD71" s="146"/>
      <c r="VYE71" s="146"/>
      <c r="VYF71" s="146"/>
      <c r="VYG71" s="146"/>
      <c r="VYH71" s="146"/>
      <c r="VYI71" s="146"/>
      <c r="VYJ71" s="146"/>
      <c r="VYK71" s="146"/>
      <c r="VYL71" s="146"/>
      <c r="VYM71" s="146"/>
      <c r="VYN71" s="146"/>
      <c r="VYO71" s="146"/>
      <c r="VYP71" s="146"/>
      <c r="VYQ71" s="146"/>
      <c r="VYR71" s="146"/>
      <c r="VYS71" s="146"/>
      <c r="VYT71" s="146"/>
      <c r="VYU71" s="146"/>
      <c r="VYV71" s="146"/>
      <c r="VYW71" s="146"/>
      <c r="VYX71" s="146"/>
      <c r="VYY71" s="146"/>
      <c r="VYZ71" s="146"/>
      <c r="VZA71" s="146"/>
      <c r="VZB71" s="146"/>
      <c r="VZC71" s="146"/>
      <c r="VZD71" s="146"/>
      <c r="VZE71" s="146"/>
      <c r="VZF71" s="146"/>
      <c r="VZG71" s="146"/>
      <c r="VZH71" s="146"/>
      <c r="VZI71" s="146"/>
      <c r="VZJ71" s="146"/>
      <c r="VZK71" s="146"/>
      <c r="VZL71" s="146"/>
      <c r="VZM71" s="146"/>
      <c r="VZN71" s="146"/>
      <c r="VZO71" s="146"/>
      <c r="VZP71" s="146"/>
      <c r="VZQ71" s="146"/>
      <c r="VZR71" s="146"/>
      <c r="VZS71" s="146"/>
      <c r="VZT71" s="146"/>
      <c r="VZU71" s="146"/>
      <c r="VZV71" s="146"/>
      <c r="VZW71" s="146"/>
      <c r="VZX71" s="146"/>
      <c r="VZY71" s="146"/>
      <c r="VZZ71" s="146"/>
      <c r="WAA71" s="146"/>
      <c r="WAB71" s="146"/>
      <c r="WAC71" s="146"/>
      <c r="WAD71" s="146"/>
      <c r="WAE71" s="146"/>
      <c r="WAF71" s="146"/>
      <c r="WAG71" s="146"/>
      <c r="WAH71" s="146"/>
      <c r="WAI71" s="146"/>
      <c r="WAJ71" s="146"/>
      <c r="WAK71" s="146"/>
      <c r="WAL71" s="146"/>
      <c r="WAM71" s="146"/>
      <c r="WAN71" s="146"/>
      <c r="WAO71" s="146"/>
      <c r="WAP71" s="146"/>
      <c r="WAQ71" s="146"/>
      <c r="WAR71" s="146"/>
      <c r="WAS71" s="146"/>
      <c r="WAT71" s="146"/>
      <c r="WAU71" s="146"/>
      <c r="WAV71" s="146"/>
      <c r="WAW71" s="146"/>
      <c r="WAX71" s="146"/>
      <c r="WAY71" s="146"/>
      <c r="WAZ71" s="146"/>
      <c r="WBA71" s="146"/>
      <c r="WBB71" s="146"/>
      <c r="WBC71" s="146"/>
      <c r="WBD71" s="146"/>
      <c r="WBE71" s="146"/>
      <c r="WBF71" s="146"/>
      <c r="WBG71" s="146"/>
      <c r="WBH71" s="146"/>
      <c r="WBI71" s="146"/>
      <c r="WBJ71" s="146"/>
      <c r="WBK71" s="146"/>
      <c r="WBL71" s="146"/>
      <c r="WBM71" s="146"/>
      <c r="WBN71" s="146"/>
      <c r="WBO71" s="146"/>
      <c r="WBP71" s="146"/>
      <c r="WBQ71" s="146"/>
      <c r="WBR71" s="146"/>
      <c r="WBS71" s="146"/>
      <c r="WBT71" s="146"/>
      <c r="WBU71" s="146"/>
      <c r="WBV71" s="146"/>
      <c r="WBW71" s="146"/>
      <c r="WBX71" s="146"/>
      <c r="WBY71" s="146"/>
      <c r="WBZ71" s="146"/>
      <c r="WCA71" s="146"/>
      <c r="WCB71" s="146"/>
      <c r="WCC71" s="146"/>
      <c r="WCD71" s="146"/>
      <c r="WCE71" s="146"/>
      <c r="WCF71" s="146"/>
      <c r="WCG71" s="146"/>
      <c r="WCH71" s="146"/>
      <c r="WCI71" s="146"/>
      <c r="WCJ71" s="146"/>
      <c r="WCK71" s="146"/>
      <c r="WCL71" s="146"/>
      <c r="WCM71" s="146"/>
      <c r="WCN71" s="146"/>
      <c r="WCO71" s="146"/>
      <c r="WCP71" s="146"/>
      <c r="WCQ71" s="146"/>
      <c r="WCR71" s="146"/>
      <c r="WCS71" s="146"/>
      <c r="WCT71" s="146"/>
      <c r="WCU71" s="146"/>
      <c r="WCV71" s="146"/>
      <c r="WCW71" s="146"/>
      <c r="WCX71" s="146"/>
      <c r="WCY71" s="146"/>
      <c r="WCZ71" s="146"/>
      <c r="WDA71" s="146"/>
      <c r="WDB71" s="146"/>
      <c r="WDC71" s="146"/>
      <c r="WDD71" s="146"/>
      <c r="WDE71" s="146"/>
      <c r="WDF71" s="146"/>
      <c r="WDG71" s="146"/>
      <c r="WDH71" s="146"/>
      <c r="WDI71" s="146"/>
      <c r="WDJ71" s="146"/>
      <c r="WDK71" s="146"/>
      <c r="WDL71" s="146"/>
      <c r="WDM71" s="146"/>
      <c r="WDN71" s="146"/>
      <c r="WDO71" s="146"/>
      <c r="WDP71" s="146"/>
      <c r="WDQ71" s="146"/>
      <c r="WDR71" s="146"/>
      <c r="WDS71" s="146"/>
      <c r="WDT71" s="146"/>
      <c r="WDU71" s="146"/>
      <c r="WDV71" s="146"/>
      <c r="WDW71" s="146"/>
      <c r="WDX71" s="146"/>
      <c r="WDY71" s="146"/>
      <c r="WDZ71" s="146"/>
      <c r="WEA71" s="146"/>
      <c r="WEB71" s="146"/>
      <c r="WEC71" s="146"/>
      <c r="WED71" s="146"/>
      <c r="WEE71" s="146"/>
      <c r="WEF71" s="146"/>
      <c r="WEG71" s="146"/>
      <c r="WEH71" s="146"/>
      <c r="WEI71" s="146"/>
      <c r="WEJ71" s="146"/>
      <c r="WEK71" s="146"/>
      <c r="WEL71" s="146"/>
      <c r="WEM71" s="146"/>
      <c r="WEN71" s="146"/>
      <c r="WEO71" s="146"/>
      <c r="WEP71" s="146"/>
      <c r="WEQ71" s="146"/>
      <c r="WER71" s="146"/>
      <c r="WES71" s="146"/>
      <c r="WET71" s="146"/>
      <c r="WEU71" s="146"/>
      <c r="WEV71" s="146"/>
      <c r="WEW71" s="146"/>
      <c r="WEX71" s="146"/>
      <c r="WEY71" s="146"/>
      <c r="WEZ71" s="146"/>
      <c r="WFA71" s="146"/>
      <c r="WFB71" s="146"/>
      <c r="WFC71" s="146"/>
      <c r="WFD71" s="146"/>
      <c r="WFE71" s="146"/>
      <c r="WFF71" s="146"/>
      <c r="WFG71" s="146"/>
      <c r="WFH71" s="146"/>
      <c r="WFI71" s="146"/>
      <c r="WFJ71" s="146"/>
      <c r="WFK71" s="146"/>
      <c r="WFL71" s="146"/>
      <c r="WFM71" s="146"/>
      <c r="WFN71" s="146"/>
      <c r="WFO71" s="146"/>
      <c r="WFP71" s="146"/>
      <c r="WFQ71" s="146"/>
      <c r="WFR71" s="146"/>
      <c r="WFS71" s="146"/>
      <c r="WFT71" s="146"/>
      <c r="WFU71" s="146"/>
      <c r="WFV71" s="146"/>
      <c r="WFW71" s="146"/>
      <c r="WFX71" s="146"/>
      <c r="WFY71" s="146"/>
      <c r="WFZ71" s="146"/>
      <c r="WGA71" s="146"/>
      <c r="WGB71" s="146"/>
      <c r="WGC71" s="146"/>
      <c r="WGD71" s="146"/>
      <c r="WGE71" s="146"/>
      <c r="WGF71" s="146"/>
      <c r="WGG71" s="146"/>
      <c r="WGH71" s="146"/>
      <c r="WGI71" s="146"/>
      <c r="WGJ71" s="146"/>
      <c r="WGK71" s="146"/>
      <c r="WGL71" s="146"/>
      <c r="WGM71" s="146"/>
      <c r="WGN71" s="146"/>
      <c r="WGO71" s="146"/>
      <c r="WGP71" s="146"/>
      <c r="WGQ71" s="146"/>
      <c r="WGR71" s="146"/>
      <c r="WGS71" s="146"/>
      <c r="WGT71" s="146"/>
      <c r="WGU71" s="146"/>
      <c r="WGV71" s="146"/>
      <c r="WGW71" s="146"/>
      <c r="WGX71" s="146"/>
      <c r="WGY71" s="146"/>
      <c r="WGZ71" s="146"/>
      <c r="WHA71" s="146"/>
      <c r="WHB71" s="146"/>
      <c r="WHC71" s="146"/>
      <c r="WHD71" s="146"/>
      <c r="WHE71" s="146"/>
      <c r="WHF71" s="146"/>
      <c r="WHG71" s="146"/>
      <c r="WHH71" s="146"/>
      <c r="WHI71" s="146"/>
      <c r="WHJ71" s="146"/>
      <c r="WHK71" s="146"/>
      <c r="WHL71" s="146"/>
      <c r="WHM71" s="146"/>
      <c r="WHN71" s="146"/>
      <c r="WHO71" s="146"/>
      <c r="WHP71" s="146"/>
      <c r="WHQ71" s="146"/>
      <c r="WHR71" s="146"/>
      <c r="WHS71" s="146"/>
      <c r="WHT71" s="146"/>
      <c r="WHU71" s="146"/>
      <c r="WHV71" s="146"/>
      <c r="WHW71" s="146"/>
      <c r="WHX71" s="146"/>
      <c r="WHY71" s="146"/>
      <c r="WHZ71" s="146"/>
      <c r="WIA71" s="146"/>
      <c r="WIB71" s="146"/>
      <c r="WIC71" s="146"/>
      <c r="WID71" s="146"/>
      <c r="WIE71" s="146"/>
      <c r="WIF71" s="146"/>
      <c r="WIG71" s="146"/>
      <c r="WIH71" s="146"/>
      <c r="WII71" s="146"/>
      <c r="WIJ71" s="146"/>
      <c r="WIK71" s="146"/>
      <c r="WIL71" s="146"/>
      <c r="WIM71" s="146"/>
      <c r="WIN71" s="146"/>
      <c r="WIO71" s="146"/>
      <c r="WIP71" s="146"/>
      <c r="WIQ71" s="146"/>
      <c r="WIR71" s="146"/>
      <c r="WIS71" s="146"/>
      <c r="WIT71" s="146"/>
      <c r="WIU71" s="146"/>
      <c r="WIV71" s="146"/>
      <c r="WIW71" s="146"/>
      <c r="WIX71" s="146"/>
      <c r="WIY71" s="146"/>
      <c r="WIZ71" s="146"/>
      <c r="WJA71" s="146"/>
      <c r="WJB71" s="146"/>
      <c r="WJC71" s="146"/>
      <c r="WJD71" s="146"/>
      <c r="WJE71" s="146"/>
      <c r="WJF71" s="146"/>
      <c r="WJG71" s="146"/>
      <c r="WJH71" s="146"/>
      <c r="WJI71" s="146"/>
      <c r="WJJ71" s="146"/>
      <c r="WJK71" s="146"/>
      <c r="WJL71" s="146"/>
      <c r="WJM71" s="146"/>
      <c r="WJN71" s="146"/>
      <c r="WJO71" s="146"/>
      <c r="WJP71" s="146"/>
      <c r="WJQ71" s="146"/>
      <c r="WJR71" s="146"/>
      <c r="WJS71" s="146"/>
      <c r="WJT71" s="146"/>
      <c r="WJU71" s="146"/>
      <c r="WJV71" s="146"/>
      <c r="WJW71" s="146"/>
      <c r="WJX71" s="146"/>
      <c r="WJY71" s="146"/>
      <c r="WJZ71" s="146"/>
      <c r="WKA71" s="146"/>
      <c r="WKB71" s="146"/>
      <c r="WKC71" s="146"/>
      <c r="WKD71" s="146"/>
      <c r="WKE71" s="146"/>
      <c r="WKF71" s="146"/>
      <c r="WKG71" s="146"/>
      <c r="WKH71" s="146"/>
      <c r="WKI71" s="146"/>
      <c r="WKJ71" s="146"/>
      <c r="WKK71" s="146"/>
      <c r="WKL71" s="146"/>
      <c r="WKM71" s="146"/>
      <c r="WKN71" s="146"/>
      <c r="WKO71" s="146"/>
      <c r="WKP71" s="146"/>
      <c r="WKQ71" s="146"/>
      <c r="WKR71" s="146"/>
      <c r="WKS71" s="146"/>
      <c r="WKT71" s="146"/>
      <c r="WKU71" s="146"/>
      <c r="WKV71" s="146"/>
      <c r="WKW71" s="146"/>
      <c r="WKX71" s="146"/>
      <c r="WKY71" s="146"/>
      <c r="WKZ71" s="146"/>
      <c r="WLA71" s="146"/>
      <c r="WLB71" s="146"/>
      <c r="WLC71" s="146"/>
      <c r="WLD71" s="146"/>
      <c r="WLE71" s="146"/>
      <c r="WLF71" s="146"/>
      <c r="WLG71" s="146"/>
      <c r="WLH71" s="146"/>
      <c r="WLI71" s="146"/>
      <c r="WLJ71" s="146"/>
      <c r="WLK71" s="146"/>
      <c r="WLL71" s="146"/>
      <c r="WLM71" s="146"/>
      <c r="WLN71" s="146"/>
      <c r="WLO71" s="146"/>
      <c r="WLP71" s="146"/>
      <c r="WLQ71" s="146"/>
      <c r="WLR71" s="146"/>
      <c r="WLS71" s="146"/>
      <c r="WLT71" s="146"/>
      <c r="WLU71" s="146"/>
      <c r="WLV71" s="146"/>
      <c r="WLW71" s="146"/>
      <c r="WLX71" s="146"/>
      <c r="WLY71" s="146"/>
      <c r="WLZ71" s="146"/>
      <c r="WMA71" s="146"/>
      <c r="WMB71" s="146"/>
      <c r="WMC71" s="146"/>
      <c r="WMD71" s="146"/>
      <c r="WME71" s="146"/>
      <c r="WMF71" s="146"/>
      <c r="WMG71" s="146"/>
      <c r="WMH71" s="146"/>
      <c r="WMI71" s="146"/>
      <c r="WMJ71" s="146"/>
      <c r="WMK71" s="146"/>
      <c r="WML71" s="146"/>
      <c r="WMM71" s="146"/>
      <c r="WMN71" s="146"/>
      <c r="WMO71" s="146"/>
      <c r="WMP71" s="146"/>
      <c r="WMQ71" s="146"/>
      <c r="WMR71" s="146"/>
      <c r="WMS71" s="146"/>
      <c r="WMT71" s="146"/>
      <c r="WMU71" s="146"/>
      <c r="WMV71" s="146"/>
      <c r="WMW71" s="146"/>
      <c r="WMX71" s="146"/>
      <c r="WMY71" s="146"/>
      <c r="WMZ71" s="146"/>
      <c r="WNA71" s="146"/>
      <c r="WNB71" s="146"/>
      <c r="WNC71" s="146"/>
      <c r="WND71" s="146"/>
      <c r="WNE71" s="146"/>
      <c r="WNF71" s="146"/>
      <c r="WNG71" s="146"/>
      <c r="WNH71" s="146"/>
      <c r="WNI71" s="146"/>
      <c r="WNJ71" s="146"/>
      <c r="WNK71" s="146"/>
      <c r="WNL71" s="146"/>
      <c r="WNM71" s="146"/>
      <c r="WNN71" s="146"/>
      <c r="WNO71" s="146"/>
      <c r="WNP71" s="146"/>
      <c r="WNQ71" s="146"/>
      <c r="WNR71" s="146"/>
      <c r="WNS71" s="146"/>
      <c r="WNT71" s="146"/>
      <c r="WNU71" s="146"/>
      <c r="WNV71" s="146"/>
      <c r="WNW71" s="146"/>
      <c r="WNX71" s="146"/>
      <c r="WNY71" s="146"/>
      <c r="WNZ71" s="146"/>
      <c r="WOA71" s="146"/>
      <c r="WOB71" s="146"/>
      <c r="WOC71" s="146"/>
      <c r="WOD71" s="146"/>
      <c r="WOE71" s="146"/>
      <c r="WOF71" s="146"/>
      <c r="WOG71" s="146"/>
      <c r="WOH71" s="146"/>
      <c r="WOI71" s="146"/>
      <c r="WOJ71" s="146"/>
      <c r="WOK71" s="146"/>
      <c r="WOL71" s="146"/>
      <c r="WOM71" s="146"/>
      <c r="WON71" s="146"/>
      <c r="WOO71" s="146"/>
      <c r="WOP71" s="146"/>
      <c r="WOQ71" s="146"/>
      <c r="WOR71" s="146"/>
      <c r="WOS71" s="146"/>
      <c r="WOT71" s="146"/>
      <c r="WOU71" s="146"/>
      <c r="WOV71" s="146"/>
      <c r="WOW71" s="146"/>
      <c r="WOX71" s="146"/>
      <c r="WOY71" s="146"/>
      <c r="WOZ71" s="146"/>
      <c r="WPA71" s="146"/>
      <c r="WPB71" s="146"/>
      <c r="WPC71" s="146"/>
      <c r="WPD71" s="146"/>
      <c r="WPE71" s="146"/>
      <c r="WPF71" s="146"/>
      <c r="WPG71" s="146"/>
      <c r="WPH71" s="146"/>
      <c r="WPI71" s="146"/>
      <c r="WPJ71" s="146"/>
      <c r="WPK71" s="146"/>
      <c r="WPL71" s="146"/>
      <c r="WPM71" s="146"/>
      <c r="WPN71" s="146"/>
      <c r="WPO71" s="146"/>
      <c r="WPP71" s="146"/>
      <c r="WPQ71" s="146"/>
      <c r="WPR71" s="146"/>
      <c r="WPS71" s="146"/>
      <c r="WPT71" s="146"/>
      <c r="WPU71" s="146"/>
      <c r="WPV71" s="146"/>
      <c r="WPW71" s="146"/>
      <c r="WPX71" s="146"/>
      <c r="WPY71" s="146"/>
      <c r="WPZ71" s="146"/>
      <c r="WQA71" s="146"/>
      <c r="WQB71" s="146"/>
      <c r="WQC71" s="146"/>
      <c r="WQD71" s="146"/>
      <c r="WQE71" s="146"/>
      <c r="WQF71" s="146"/>
      <c r="WQG71" s="146"/>
      <c r="WQH71" s="146"/>
      <c r="WQI71" s="146"/>
      <c r="WQJ71" s="146"/>
      <c r="WQK71" s="146"/>
      <c r="WQL71" s="146"/>
      <c r="WQM71" s="146"/>
      <c r="WQN71" s="146"/>
      <c r="WQO71" s="146"/>
      <c r="WQP71" s="146"/>
      <c r="WQQ71" s="146"/>
      <c r="WQR71" s="146"/>
      <c r="WQS71" s="146"/>
      <c r="WQT71" s="146"/>
      <c r="WQU71" s="146"/>
      <c r="WQV71" s="146"/>
      <c r="WQW71" s="146"/>
      <c r="WQX71" s="146"/>
      <c r="WQY71" s="146"/>
      <c r="WQZ71" s="146"/>
      <c r="WRA71" s="146"/>
      <c r="WRB71" s="146"/>
      <c r="WRC71" s="146"/>
      <c r="WRD71" s="146"/>
      <c r="WRE71" s="146"/>
      <c r="WRF71" s="146"/>
      <c r="WRG71" s="146"/>
      <c r="WRH71" s="146"/>
      <c r="WRI71" s="146"/>
      <c r="WRJ71" s="146"/>
      <c r="WRK71" s="146"/>
      <c r="WRL71" s="146"/>
      <c r="WRM71" s="146"/>
      <c r="WRN71" s="146"/>
      <c r="WRO71" s="146"/>
      <c r="WRP71" s="146"/>
      <c r="WRQ71" s="146"/>
      <c r="WRR71" s="146"/>
      <c r="WRS71" s="146"/>
      <c r="WRT71" s="146"/>
      <c r="WRU71" s="146"/>
      <c r="WRV71" s="146"/>
      <c r="WRW71" s="146"/>
      <c r="WRX71" s="146"/>
      <c r="WRY71" s="146"/>
      <c r="WRZ71" s="146"/>
      <c r="WSA71" s="146"/>
      <c r="WSB71" s="146"/>
      <c r="WSC71" s="146"/>
      <c r="WSD71" s="146"/>
      <c r="WSE71" s="146"/>
      <c r="WSF71" s="146"/>
      <c r="WSG71" s="146"/>
      <c r="WSH71" s="146"/>
      <c r="WSI71" s="146"/>
      <c r="WSJ71" s="146"/>
      <c r="WSK71" s="146"/>
      <c r="WSL71" s="146"/>
      <c r="WSM71" s="146"/>
      <c r="WSN71" s="146"/>
      <c r="WSO71" s="146"/>
      <c r="WSP71" s="146"/>
      <c r="WSQ71" s="146"/>
      <c r="WSR71" s="146"/>
      <c r="WSS71" s="146"/>
      <c r="WST71" s="146"/>
      <c r="WSU71" s="146"/>
      <c r="WSV71" s="146"/>
      <c r="WSW71" s="146"/>
      <c r="WSX71" s="146"/>
      <c r="WSY71" s="146"/>
      <c r="WSZ71" s="146"/>
      <c r="WTA71" s="146"/>
      <c r="WTB71" s="146"/>
      <c r="WTC71" s="146"/>
      <c r="WTD71" s="146"/>
      <c r="WTE71" s="146"/>
      <c r="WTF71" s="146"/>
      <c r="WTG71" s="146"/>
      <c r="WTH71" s="146"/>
      <c r="WTI71" s="146"/>
      <c r="WTJ71" s="146"/>
      <c r="WTK71" s="146"/>
      <c r="WTL71" s="146"/>
      <c r="WTM71" s="146"/>
      <c r="WTN71" s="146"/>
      <c r="WTO71" s="146"/>
      <c r="WTP71" s="146"/>
      <c r="WTQ71" s="146"/>
      <c r="WTR71" s="146"/>
      <c r="WTS71" s="146"/>
      <c r="WTT71" s="146"/>
      <c r="WTU71" s="146"/>
      <c r="WTV71" s="146"/>
      <c r="WTW71" s="146"/>
      <c r="WTX71" s="146"/>
      <c r="WTY71" s="146"/>
      <c r="WTZ71" s="146"/>
      <c r="WUA71" s="146"/>
      <c r="WUB71" s="146"/>
      <c r="WUC71" s="146"/>
      <c r="WUD71" s="146"/>
      <c r="WUE71" s="146"/>
      <c r="WUF71" s="146"/>
      <c r="WUG71" s="146"/>
      <c r="WUH71" s="146"/>
      <c r="WUI71" s="146"/>
      <c r="WUJ71" s="146"/>
      <c r="WUK71" s="146"/>
      <c r="WUL71" s="146"/>
      <c r="WUM71" s="146"/>
      <c r="WUN71" s="146"/>
      <c r="WUO71" s="146"/>
      <c r="WUP71" s="146"/>
      <c r="WUQ71" s="146"/>
      <c r="WUR71" s="146"/>
      <c r="WUS71" s="146"/>
      <c r="WUT71" s="146"/>
      <c r="WUU71" s="146"/>
      <c r="WUV71" s="146"/>
      <c r="WUW71" s="146"/>
      <c r="WUX71" s="146"/>
      <c r="WUY71" s="146"/>
      <c r="WUZ71" s="146"/>
      <c r="WVA71" s="146"/>
      <c r="WVB71" s="146"/>
      <c r="WVC71" s="146"/>
      <c r="WVD71" s="146"/>
      <c r="WVE71" s="146"/>
      <c r="WVF71" s="146"/>
      <c r="WVG71" s="146"/>
      <c r="WVH71" s="146"/>
      <c r="WVI71" s="146"/>
      <c r="WVJ71" s="146"/>
      <c r="WVK71" s="146"/>
      <c r="WVL71" s="146"/>
      <c r="WVM71" s="146"/>
      <c r="WVN71" s="146"/>
      <c r="WVO71" s="146"/>
      <c r="WVP71" s="146"/>
      <c r="WVQ71" s="146"/>
      <c r="WVR71" s="146"/>
      <c r="WVS71" s="146"/>
      <c r="WVT71" s="146"/>
      <c r="WVU71" s="146"/>
      <c r="WVV71" s="146"/>
      <c r="WVW71" s="146"/>
      <c r="WVX71" s="146"/>
      <c r="WVY71" s="146"/>
      <c r="WVZ71" s="146"/>
      <c r="WWA71" s="146"/>
      <c r="WWB71" s="146"/>
      <c r="WWC71" s="146"/>
      <c r="WWD71" s="146"/>
      <c r="WWE71" s="146"/>
      <c r="WWF71" s="146"/>
      <c r="WWG71" s="146"/>
      <c r="WWH71" s="146"/>
      <c r="WWI71" s="146"/>
      <c r="WWJ71" s="146"/>
      <c r="WWK71" s="146"/>
      <c r="WWL71" s="146"/>
      <c r="WWM71" s="146"/>
      <c r="WWN71" s="146"/>
      <c r="WWO71" s="146"/>
      <c r="WWP71" s="146"/>
      <c r="WWQ71" s="146"/>
      <c r="WWR71" s="146"/>
      <c r="WWS71" s="146"/>
      <c r="WWT71" s="146"/>
      <c r="WWU71" s="146"/>
      <c r="WWV71" s="146"/>
      <c r="WWW71" s="146"/>
      <c r="WWX71" s="146"/>
      <c r="WWY71" s="146"/>
      <c r="WWZ71" s="146"/>
      <c r="WXA71" s="146"/>
      <c r="WXB71" s="146"/>
      <c r="WXC71" s="146"/>
      <c r="WXD71" s="146"/>
      <c r="WXE71" s="146"/>
      <c r="WXF71" s="146"/>
      <c r="WXG71" s="146"/>
      <c r="WXH71" s="146"/>
      <c r="WXI71" s="146"/>
      <c r="WXJ71" s="146"/>
      <c r="WXK71" s="146"/>
      <c r="WXL71" s="146"/>
      <c r="WXM71" s="146"/>
      <c r="WXN71" s="146"/>
      <c r="WXO71" s="146"/>
      <c r="WXP71" s="146"/>
      <c r="WXQ71" s="146"/>
      <c r="WXR71" s="146"/>
      <c r="WXS71" s="146"/>
      <c r="WXT71" s="146"/>
      <c r="WXU71" s="146"/>
      <c r="WXV71" s="146"/>
      <c r="WXW71" s="146"/>
      <c r="WXX71" s="146"/>
      <c r="WXY71" s="146"/>
      <c r="WXZ71" s="146"/>
      <c r="WYA71" s="146"/>
      <c r="WYB71" s="146"/>
      <c r="WYC71" s="146"/>
      <c r="WYD71" s="146"/>
      <c r="WYE71" s="146"/>
      <c r="WYF71" s="146"/>
      <c r="WYG71" s="146"/>
      <c r="WYH71" s="146"/>
      <c r="WYI71" s="146"/>
      <c r="WYJ71" s="146"/>
      <c r="WYK71" s="146"/>
      <c r="WYL71" s="146"/>
      <c r="WYM71" s="146"/>
      <c r="WYN71" s="146"/>
      <c r="WYO71" s="146"/>
      <c r="WYP71" s="146"/>
      <c r="WYQ71" s="146"/>
      <c r="WYR71" s="146"/>
      <c r="WYS71" s="146"/>
      <c r="WYT71" s="146"/>
      <c r="WYU71" s="146"/>
      <c r="WYV71" s="146"/>
      <c r="WYW71" s="146"/>
      <c r="WYX71" s="146"/>
      <c r="WYY71" s="146"/>
      <c r="WYZ71" s="146"/>
      <c r="WZA71" s="146"/>
      <c r="WZB71" s="146"/>
      <c r="WZC71" s="146"/>
      <c r="WZD71" s="146"/>
      <c r="WZE71" s="146"/>
      <c r="WZF71" s="146"/>
      <c r="WZG71" s="146"/>
      <c r="WZH71" s="146"/>
      <c r="WZI71" s="146"/>
      <c r="WZJ71" s="146"/>
      <c r="WZK71" s="146"/>
      <c r="WZL71" s="146"/>
      <c r="WZM71" s="146"/>
      <c r="WZN71" s="146"/>
      <c r="WZO71" s="146"/>
      <c r="WZP71" s="146"/>
      <c r="WZQ71" s="146"/>
      <c r="WZR71" s="146"/>
      <c r="WZS71" s="146"/>
      <c r="WZT71" s="146"/>
      <c r="WZU71" s="146"/>
      <c r="WZV71" s="146"/>
      <c r="WZW71" s="146"/>
      <c r="WZX71" s="146"/>
      <c r="WZY71" s="146"/>
      <c r="WZZ71" s="146"/>
      <c r="XAA71" s="146"/>
      <c r="XAB71" s="146"/>
      <c r="XAC71" s="146"/>
      <c r="XAD71" s="146"/>
      <c r="XAE71" s="146"/>
      <c r="XAF71" s="146"/>
      <c r="XAG71" s="146"/>
      <c r="XAH71" s="146"/>
      <c r="XAI71" s="146"/>
      <c r="XAJ71" s="146"/>
      <c r="XAK71" s="146"/>
      <c r="XAL71" s="146"/>
      <c r="XAM71" s="146"/>
      <c r="XAN71" s="146"/>
      <c r="XAO71" s="146"/>
      <c r="XAP71" s="146"/>
      <c r="XAQ71" s="146"/>
      <c r="XAR71" s="146"/>
      <c r="XAS71" s="146"/>
      <c r="XAT71" s="146"/>
      <c r="XAU71" s="146"/>
      <c r="XAV71" s="146"/>
      <c r="XAW71" s="146"/>
      <c r="XAX71" s="146"/>
      <c r="XAY71" s="146"/>
      <c r="XAZ71" s="146"/>
      <c r="XBA71" s="146"/>
      <c r="XBB71" s="146"/>
      <c r="XBC71" s="146"/>
      <c r="XBD71" s="146"/>
      <c r="XBE71" s="146"/>
      <c r="XBF71" s="146"/>
      <c r="XBG71" s="146"/>
      <c r="XBH71" s="146"/>
      <c r="XBI71" s="146"/>
      <c r="XBJ71" s="146"/>
      <c r="XBK71" s="146"/>
      <c r="XBL71" s="146"/>
      <c r="XBM71" s="146"/>
      <c r="XBN71" s="146"/>
      <c r="XBO71" s="146"/>
      <c r="XBP71" s="146"/>
      <c r="XBQ71" s="146"/>
      <c r="XBR71" s="146"/>
      <c r="XBS71" s="146"/>
      <c r="XBT71" s="146"/>
      <c r="XBU71" s="146"/>
      <c r="XBV71" s="146"/>
      <c r="XBW71" s="146"/>
      <c r="XBX71" s="146"/>
      <c r="XBY71" s="146"/>
      <c r="XBZ71" s="146"/>
      <c r="XCA71" s="146"/>
      <c r="XCB71" s="146"/>
      <c r="XCC71" s="146"/>
      <c r="XCD71" s="146"/>
      <c r="XCE71" s="146"/>
      <c r="XCF71" s="146"/>
      <c r="XCG71" s="146"/>
      <c r="XCH71" s="146"/>
      <c r="XCI71" s="146"/>
      <c r="XCJ71" s="146"/>
      <c r="XCK71" s="146"/>
      <c r="XCL71" s="146"/>
      <c r="XCM71" s="146"/>
      <c r="XCN71" s="146"/>
      <c r="XCO71" s="146"/>
      <c r="XCP71" s="146"/>
      <c r="XCQ71" s="146"/>
      <c r="XCR71" s="146"/>
      <c r="XCS71" s="146"/>
      <c r="XCT71" s="146"/>
      <c r="XCU71" s="146"/>
      <c r="XCV71" s="146"/>
      <c r="XCW71" s="146"/>
      <c r="XCX71" s="146"/>
      <c r="XCY71" s="146"/>
      <c r="XCZ71" s="146"/>
      <c r="XDA71" s="146"/>
      <c r="XDB71" s="146"/>
      <c r="XDC71" s="146"/>
      <c r="XDD71" s="146"/>
      <c r="XDE71" s="146"/>
      <c r="XDF71" s="146"/>
      <c r="XDG71" s="146"/>
      <c r="XDH71" s="146"/>
      <c r="XDI71" s="146"/>
      <c r="XDJ71" s="146"/>
      <c r="XDK71" s="146"/>
      <c r="XDL71" s="146"/>
      <c r="XDM71" s="146"/>
      <c r="XDN71" s="146"/>
      <c r="XDO71" s="146"/>
      <c r="XDP71" s="146"/>
      <c r="XDQ71" s="146"/>
      <c r="XDR71" s="146"/>
      <c r="XDS71" s="146"/>
      <c r="XDT71" s="146"/>
      <c r="XDU71" s="146"/>
      <c r="XDV71" s="146"/>
      <c r="XDW71" s="146"/>
      <c r="XDX71" s="146"/>
      <c r="XDY71" s="146"/>
      <c r="XDZ71" s="146"/>
      <c r="XEA71" s="146"/>
      <c r="XEB71" s="146"/>
      <c r="XEC71" s="146"/>
      <c r="XED71" s="146"/>
      <c r="XEE71" s="146"/>
      <c r="XEF71" s="146"/>
      <c r="XEG71" s="146"/>
      <c r="XEH71" s="146"/>
      <c r="XEI71" s="146"/>
      <c r="XEJ71" s="146"/>
      <c r="XEK71" s="146"/>
      <c r="XEL71" s="146"/>
      <c r="XEM71" s="146"/>
      <c r="XEN71" s="146"/>
      <c r="XEO71" s="146"/>
      <c r="XEP71" s="146"/>
      <c r="XEQ71" s="146"/>
      <c r="XER71" s="146"/>
      <c r="XES71" s="146"/>
      <c r="XET71" s="146"/>
      <c r="XEU71" s="146"/>
      <c r="XEV71" s="146"/>
      <c r="XEW71" s="146"/>
      <c r="XEX71" s="146"/>
      <c r="XEY71" s="146"/>
      <c r="XEZ71" s="146"/>
      <c r="XFA71" s="146"/>
      <c r="XFB71" s="146"/>
    </row>
    <row r="72" spans="1:16382" s="153" customFormat="1" x14ac:dyDescent="0.25">
      <c r="A72" s="150" t="s">
        <v>887</v>
      </c>
      <c r="B72" s="150" t="s">
        <v>1602</v>
      </c>
      <c r="C72" s="150" t="s">
        <v>1892</v>
      </c>
      <c r="D72" s="151" t="str">
        <f>IF(MouserListTable[[#This Row],[Vendor]]=FilterSpecs!$A$8,MouserListTable[[#This Row],[Mouser SKU]], MouserListTable[[#This Row],[Supplier SKU]])</f>
        <v>474-KIT-11734</v>
      </c>
      <c r="E72" s="152">
        <f>MouserListTable[[#This Row],[Tot '#]]-MouserListTable[[#This Row],['# Initial]]</f>
        <v>0</v>
      </c>
      <c r="F72" s="152">
        <f>IF(AND(MouserListTable[[#This Row],[Tag]]&lt;&gt;FilterSpecs!$F$12, MouserListTable[[#This Row],[Tag]]&lt;&gt;FilterSpecs!$F$9), MouserListTable[[#This Row],['#/Unit]]*FilterSpecs!$B$3+MouserListTable[[#This Row],[Extra Initial]],0)</f>
        <v>0</v>
      </c>
      <c r="G72" s="147" t="s">
        <v>1182</v>
      </c>
      <c r="H72" s="150" t="s">
        <v>1183</v>
      </c>
      <c r="I72" s="150" t="s">
        <v>1184</v>
      </c>
      <c r="J72" s="150">
        <v>29.95</v>
      </c>
      <c r="K72" s="154">
        <v>29.95</v>
      </c>
      <c r="L72" s="150" t="s">
        <v>1896</v>
      </c>
      <c r="M72" s="151"/>
      <c r="N72" s="154">
        <f>MouserListTable[[#This Row],['# Initial]]*MouserListTable[[#This Row],[Price (USD)]]</f>
        <v>0</v>
      </c>
      <c r="O72" s="151" t="s">
        <v>1181</v>
      </c>
      <c r="P72" s="150">
        <f t="shared" si="0"/>
        <v>59</v>
      </c>
      <c r="Q72" s="150" t="s">
        <v>5</v>
      </c>
      <c r="R7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474-KIT-11734</v>
      </c>
      <c r="S72" s="157" t="str">
        <f>HYPERLINK("https://www.mouser.com/ProductDetail/" &amp;MouserListTable[[#This Row],[Mouser SKU]])</f>
        <v>https://www.mouser.com/ProductDetail/474-KIT-11734</v>
      </c>
      <c r="T72" s="152">
        <v>0</v>
      </c>
      <c r="U72" s="152">
        <v>0</v>
      </c>
      <c r="V72" s="152">
        <v>0</v>
      </c>
      <c r="W72" s="152">
        <f>MouserListTable[[#This Row],['#/Unit]]*FilterSpecs!$C$3+MouserListTable[[#This Row],[Extra]]</f>
        <v>0</v>
      </c>
      <c r="X72" s="152">
        <f>IF(MouserListTable[[#This Row],[Tag]]=FilterSpecs!$F$7,MouserListTable[[#This Row],['#/Unit]]*MouserListTable[[#This Row],[Price (USD)]],0)</f>
        <v>0</v>
      </c>
      <c r="Y72" s="152">
        <f>MouserListTable[[#This Row],[Tot '#]]*MouserListTable[[#This Row],[Price (USD)]]</f>
        <v>0</v>
      </c>
      <c r="Z72" s="146"/>
      <c r="AA72" s="146"/>
      <c r="AB72" s="146"/>
      <c r="AC72" s="146"/>
      <c r="AD72" s="146"/>
      <c r="AE72" s="146"/>
      <c r="AF72" s="146"/>
      <c r="AG72" s="146"/>
      <c r="AH72" s="146"/>
      <c r="AI72" s="146"/>
      <c r="AJ72" s="146"/>
      <c r="AK72" s="146"/>
      <c r="AL72" s="146"/>
      <c r="AM72" s="146"/>
      <c r="AN72" s="146"/>
      <c r="AO72" s="146"/>
      <c r="AP72" s="146"/>
      <c r="AQ72" s="146"/>
      <c r="AR72" s="146"/>
      <c r="AS72" s="146"/>
      <c r="AT72" s="146"/>
      <c r="AU72" s="146"/>
      <c r="AV72" s="146"/>
      <c r="AW72" s="146"/>
      <c r="AX72" s="146"/>
      <c r="AY72" s="146"/>
      <c r="AZ72" s="146"/>
      <c r="BA72" s="146"/>
      <c r="BB72" s="146"/>
      <c r="BC72" s="146"/>
      <c r="BD72" s="146"/>
      <c r="BE72" s="146"/>
      <c r="BF72" s="146"/>
      <c r="BG72" s="146"/>
      <c r="BH72" s="146"/>
      <c r="BI72" s="146"/>
      <c r="BJ72" s="146"/>
      <c r="BK72" s="146"/>
      <c r="BL72" s="146"/>
      <c r="BM72" s="146"/>
      <c r="BN72" s="146"/>
      <c r="BO72" s="146"/>
      <c r="BP72" s="146"/>
      <c r="BQ72" s="146"/>
      <c r="BR72" s="146"/>
      <c r="BS72" s="146"/>
      <c r="BT72" s="146"/>
      <c r="BU72" s="146"/>
      <c r="BV72" s="146"/>
      <c r="BW72" s="146"/>
      <c r="BX72" s="146"/>
      <c r="BY72" s="146"/>
      <c r="BZ72" s="146"/>
      <c r="CA72" s="146"/>
      <c r="CB72" s="146"/>
      <c r="CC72" s="146"/>
      <c r="CD72" s="146"/>
      <c r="CE72" s="146"/>
      <c r="CF72" s="146"/>
      <c r="CG72" s="146"/>
      <c r="CH72" s="146"/>
      <c r="CI72" s="146"/>
      <c r="CJ72" s="146"/>
      <c r="CK72" s="146"/>
      <c r="CL72" s="146"/>
      <c r="CM72" s="146"/>
      <c r="CN72" s="146"/>
      <c r="CO72" s="146"/>
      <c r="CP72" s="146"/>
      <c r="CQ72" s="146"/>
      <c r="CR72" s="146"/>
      <c r="CS72" s="146"/>
      <c r="CT72" s="146"/>
      <c r="CU72" s="146"/>
      <c r="CV72" s="146"/>
      <c r="CW72" s="146"/>
      <c r="CX72" s="146"/>
      <c r="CY72" s="146"/>
      <c r="CZ72" s="146"/>
      <c r="DA72" s="146"/>
      <c r="DB72" s="146"/>
      <c r="DC72" s="146"/>
      <c r="DD72" s="146"/>
      <c r="DE72" s="146"/>
      <c r="DF72" s="146"/>
      <c r="DG72" s="146"/>
      <c r="DH72" s="146"/>
      <c r="DI72" s="146"/>
      <c r="DJ72" s="146"/>
      <c r="DK72" s="146"/>
      <c r="DL72" s="146"/>
      <c r="DM72" s="146"/>
      <c r="DN72" s="146"/>
      <c r="DO72" s="146"/>
      <c r="DP72" s="146"/>
      <c r="DQ72" s="146"/>
      <c r="DR72" s="146"/>
      <c r="DS72" s="146"/>
      <c r="DT72" s="146"/>
      <c r="DU72" s="146"/>
      <c r="DV72" s="146"/>
      <c r="DW72" s="146"/>
      <c r="DX72" s="146"/>
      <c r="DY72" s="146"/>
      <c r="DZ72" s="146"/>
      <c r="EA72" s="146"/>
      <c r="EB72" s="146"/>
      <c r="EC72" s="146"/>
      <c r="ED72" s="146"/>
      <c r="EE72" s="146"/>
      <c r="EF72" s="146"/>
      <c r="EG72" s="146"/>
      <c r="EH72" s="146"/>
      <c r="EI72" s="146"/>
      <c r="EJ72" s="146"/>
      <c r="EK72" s="146"/>
      <c r="EL72" s="146"/>
      <c r="EM72" s="146"/>
      <c r="EN72" s="146"/>
      <c r="EO72" s="146"/>
      <c r="EP72" s="146"/>
      <c r="EQ72" s="146"/>
      <c r="ER72" s="146"/>
      <c r="ES72" s="146"/>
      <c r="ET72" s="146"/>
      <c r="EU72" s="146"/>
      <c r="EV72" s="146"/>
      <c r="EW72" s="146"/>
      <c r="EX72" s="146"/>
      <c r="EY72" s="146"/>
      <c r="EZ72" s="146"/>
      <c r="FA72" s="146"/>
      <c r="FB72" s="146"/>
      <c r="FC72" s="146"/>
      <c r="FD72" s="146"/>
      <c r="FE72" s="146"/>
      <c r="FF72" s="146"/>
      <c r="FG72" s="146"/>
      <c r="FH72" s="146"/>
      <c r="FI72" s="146"/>
      <c r="FJ72" s="146"/>
      <c r="FK72" s="146"/>
      <c r="FL72" s="146"/>
      <c r="FM72" s="146"/>
      <c r="FN72" s="146"/>
      <c r="FO72" s="146"/>
      <c r="FP72" s="146"/>
      <c r="FQ72" s="146"/>
      <c r="FR72" s="146"/>
      <c r="FS72" s="146"/>
      <c r="FT72" s="146"/>
      <c r="FU72" s="146"/>
      <c r="FV72" s="146"/>
      <c r="FW72" s="146"/>
      <c r="FX72" s="146"/>
      <c r="FY72" s="146"/>
      <c r="FZ72" s="146"/>
      <c r="GA72" s="146"/>
      <c r="GB72" s="146"/>
      <c r="GC72" s="146"/>
      <c r="GD72" s="146"/>
      <c r="GE72" s="146"/>
      <c r="GF72" s="146"/>
      <c r="GG72" s="146"/>
      <c r="GH72" s="146"/>
      <c r="GI72" s="146"/>
      <c r="GJ72" s="146"/>
      <c r="GK72" s="146"/>
      <c r="GL72" s="146"/>
      <c r="GM72" s="146"/>
      <c r="GN72" s="146"/>
      <c r="GO72" s="146"/>
      <c r="GP72" s="146"/>
      <c r="GQ72" s="146"/>
      <c r="GR72" s="146"/>
      <c r="GS72" s="146"/>
      <c r="GT72" s="146"/>
      <c r="GU72" s="146"/>
      <c r="GV72" s="146"/>
      <c r="GW72" s="146"/>
      <c r="GX72" s="146"/>
      <c r="GY72" s="146"/>
      <c r="GZ72" s="146"/>
      <c r="HA72" s="146"/>
      <c r="HB72" s="146"/>
      <c r="HC72" s="146"/>
      <c r="HD72" s="146"/>
      <c r="HE72" s="146"/>
      <c r="HF72" s="146"/>
      <c r="HG72" s="146"/>
      <c r="HH72" s="146"/>
      <c r="HI72" s="146"/>
      <c r="HJ72" s="146"/>
      <c r="HK72" s="146"/>
      <c r="HL72" s="146"/>
      <c r="HM72" s="146"/>
      <c r="HN72" s="146"/>
      <c r="HO72" s="146"/>
      <c r="HP72" s="146"/>
      <c r="HQ72" s="146"/>
      <c r="HR72" s="146"/>
      <c r="HS72" s="146"/>
      <c r="HT72" s="146"/>
      <c r="HU72" s="146"/>
      <c r="HV72" s="146"/>
      <c r="HW72" s="146"/>
      <c r="HX72" s="146"/>
      <c r="HY72" s="146"/>
      <c r="HZ72" s="146"/>
      <c r="IA72" s="146"/>
      <c r="IB72" s="146"/>
      <c r="IC72" s="146"/>
      <c r="ID72" s="146"/>
      <c r="IE72" s="146"/>
      <c r="IF72" s="146"/>
      <c r="IG72" s="146"/>
      <c r="IH72" s="146"/>
      <c r="II72" s="146"/>
      <c r="IJ72" s="146"/>
      <c r="IK72" s="146"/>
      <c r="IL72" s="146"/>
      <c r="IM72" s="146"/>
      <c r="IN72" s="146"/>
      <c r="IO72" s="146"/>
      <c r="IP72" s="146"/>
      <c r="IQ72" s="146"/>
      <c r="IR72" s="146"/>
      <c r="IS72" s="146"/>
      <c r="IT72" s="146"/>
      <c r="IU72" s="146"/>
      <c r="IV72" s="146"/>
      <c r="IW72" s="146"/>
      <c r="IX72" s="146"/>
      <c r="IY72" s="146"/>
      <c r="IZ72" s="146"/>
      <c r="JA72" s="146"/>
      <c r="JB72" s="146"/>
      <c r="JC72" s="146"/>
      <c r="JD72" s="146"/>
      <c r="JE72" s="146"/>
      <c r="JF72" s="146"/>
      <c r="JG72" s="146"/>
      <c r="JH72" s="146"/>
      <c r="JI72" s="146"/>
      <c r="JJ72" s="146"/>
      <c r="JK72" s="146"/>
      <c r="JL72" s="146"/>
      <c r="JM72" s="146"/>
      <c r="JN72" s="146"/>
      <c r="JO72" s="146"/>
      <c r="JP72" s="146"/>
      <c r="JQ72" s="146"/>
      <c r="JR72" s="146"/>
      <c r="JS72" s="146"/>
      <c r="JT72" s="146"/>
      <c r="JU72" s="146"/>
      <c r="JV72" s="146"/>
      <c r="JW72" s="146"/>
      <c r="JX72" s="146"/>
      <c r="JY72" s="146"/>
      <c r="JZ72" s="146"/>
      <c r="KA72" s="146"/>
      <c r="KB72" s="146"/>
      <c r="KC72" s="146"/>
      <c r="KD72" s="146"/>
      <c r="KE72" s="146"/>
      <c r="KF72" s="146"/>
      <c r="KG72" s="146"/>
      <c r="KH72" s="146"/>
      <c r="KI72" s="146"/>
      <c r="KJ72" s="146"/>
      <c r="KK72" s="146"/>
      <c r="KL72" s="146"/>
      <c r="KM72" s="146"/>
      <c r="KN72" s="146"/>
      <c r="KO72" s="146"/>
      <c r="KP72" s="146"/>
      <c r="KQ72" s="146"/>
      <c r="KR72" s="146"/>
      <c r="KS72" s="146"/>
      <c r="KT72" s="146"/>
      <c r="KU72" s="146"/>
      <c r="KV72" s="146"/>
      <c r="KW72" s="146"/>
      <c r="KX72" s="146"/>
      <c r="KY72" s="146"/>
      <c r="KZ72" s="146"/>
      <c r="LA72" s="146"/>
      <c r="LB72" s="146"/>
      <c r="LC72" s="146"/>
      <c r="LD72" s="146"/>
      <c r="LE72" s="146"/>
      <c r="LF72" s="146"/>
      <c r="LG72" s="146"/>
      <c r="LH72" s="146"/>
      <c r="LI72" s="146"/>
      <c r="LJ72" s="146"/>
      <c r="LK72" s="146"/>
      <c r="LL72" s="146"/>
      <c r="LM72" s="146"/>
      <c r="LN72" s="146"/>
      <c r="LO72" s="146"/>
      <c r="LP72" s="146"/>
      <c r="LQ72" s="146"/>
      <c r="LR72" s="146"/>
      <c r="LS72" s="146"/>
      <c r="LT72" s="146"/>
      <c r="LU72" s="146"/>
      <c r="LV72" s="146"/>
      <c r="LW72" s="146"/>
      <c r="LX72" s="146"/>
      <c r="LY72" s="146"/>
      <c r="LZ72" s="146"/>
      <c r="MA72" s="146"/>
      <c r="MB72" s="146"/>
      <c r="MC72" s="146"/>
      <c r="MD72" s="146"/>
      <c r="ME72" s="146"/>
      <c r="MF72" s="146"/>
      <c r="MG72" s="146"/>
      <c r="MH72" s="146"/>
      <c r="MI72" s="146"/>
      <c r="MJ72" s="146"/>
      <c r="MK72" s="146"/>
      <c r="ML72" s="146"/>
      <c r="MM72" s="146"/>
      <c r="MN72" s="146"/>
      <c r="MO72" s="146"/>
      <c r="MP72" s="146"/>
      <c r="MQ72" s="146"/>
      <c r="MR72" s="146"/>
      <c r="MS72" s="146"/>
      <c r="MT72" s="146"/>
      <c r="MU72" s="146"/>
      <c r="MV72" s="146"/>
      <c r="MW72" s="146"/>
      <c r="MX72" s="146"/>
      <c r="MY72" s="146"/>
      <c r="MZ72" s="146"/>
      <c r="NA72" s="146"/>
      <c r="NB72" s="146"/>
      <c r="NC72" s="146"/>
      <c r="ND72" s="146"/>
      <c r="NE72" s="146"/>
      <c r="NF72" s="146"/>
      <c r="NG72" s="146"/>
      <c r="NH72" s="146"/>
      <c r="NI72" s="146"/>
      <c r="NJ72" s="146"/>
      <c r="NK72" s="146"/>
      <c r="NL72" s="146"/>
      <c r="NM72" s="146"/>
      <c r="NN72" s="146"/>
      <c r="NO72" s="146"/>
      <c r="NP72" s="146"/>
      <c r="NQ72" s="146"/>
      <c r="NR72" s="146"/>
      <c r="NS72" s="146"/>
      <c r="NT72" s="146"/>
      <c r="NU72" s="146"/>
      <c r="NV72" s="146"/>
      <c r="NW72" s="146"/>
      <c r="NX72" s="146"/>
      <c r="NY72" s="146"/>
      <c r="NZ72" s="146"/>
      <c r="OA72" s="146"/>
      <c r="OB72" s="146"/>
      <c r="OC72" s="146"/>
      <c r="OD72" s="146"/>
      <c r="OE72" s="146"/>
      <c r="OF72" s="146"/>
      <c r="OG72" s="146"/>
      <c r="OH72" s="146"/>
      <c r="OI72" s="146"/>
      <c r="OJ72" s="146"/>
      <c r="OK72" s="146"/>
      <c r="OL72" s="146"/>
      <c r="OM72" s="146"/>
      <c r="ON72" s="146"/>
      <c r="OO72" s="146"/>
      <c r="OP72" s="146"/>
      <c r="OQ72" s="146"/>
      <c r="OR72" s="146"/>
      <c r="OS72" s="146"/>
      <c r="OT72" s="146"/>
      <c r="OU72" s="146"/>
      <c r="OV72" s="146"/>
      <c r="OW72" s="146"/>
      <c r="OX72" s="146"/>
      <c r="OY72" s="146"/>
      <c r="OZ72" s="146"/>
      <c r="PA72" s="146"/>
      <c r="PB72" s="146"/>
      <c r="PC72" s="146"/>
      <c r="PD72" s="146"/>
      <c r="PE72" s="146"/>
      <c r="PF72" s="146"/>
      <c r="PG72" s="146"/>
      <c r="PH72" s="146"/>
      <c r="PI72" s="146"/>
      <c r="PJ72" s="146"/>
      <c r="PK72" s="146"/>
      <c r="PL72" s="146"/>
      <c r="PM72" s="146"/>
      <c r="PN72" s="146"/>
      <c r="PO72" s="146"/>
      <c r="PP72" s="146"/>
      <c r="PQ72" s="146"/>
      <c r="PR72" s="146"/>
      <c r="PS72" s="146"/>
      <c r="PT72" s="146"/>
      <c r="PU72" s="146"/>
      <c r="PV72" s="146"/>
      <c r="PW72" s="146"/>
      <c r="PX72" s="146"/>
      <c r="PY72" s="146"/>
      <c r="PZ72" s="146"/>
      <c r="QA72" s="146"/>
      <c r="QB72" s="146"/>
      <c r="QC72" s="146"/>
      <c r="QD72" s="146"/>
      <c r="QE72" s="146"/>
      <c r="QF72" s="146"/>
      <c r="QG72" s="146"/>
      <c r="QH72" s="146"/>
      <c r="QI72" s="146"/>
      <c r="QJ72" s="146"/>
      <c r="QK72" s="146"/>
      <c r="QL72" s="146"/>
      <c r="QM72" s="146"/>
      <c r="QN72" s="146"/>
      <c r="QO72" s="146"/>
      <c r="QP72" s="146"/>
      <c r="QQ72" s="146"/>
      <c r="QR72" s="146"/>
      <c r="QS72" s="146"/>
      <c r="QT72" s="146"/>
      <c r="QU72" s="146"/>
      <c r="QV72" s="146"/>
      <c r="QW72" s="146"/>
      <c r="QX72" s="146"/>
      <c r="QY72" s="146"/>
      <c r="QZ72" s="146"/>
      <c r="RA72" s="146"/>
      <c r="RB72" s="146"/>
      <c r="RC72" s="146"/>
      <c r="RD72" s="146"/>
      <c r="RE72" s="146"/>
      <c r="RF72" s="146"/>
      <c r="RG72" s="146"/>
      <c r="RH72" s="146"/>
      <c r="RI72" s="146"/>
      <c r="RJ72" s="146"/>
      <c r="RK72" s="146"/>
      <c r="RL72" s="146"/>
      <c r="RM72" s="146"/>
      <c r="RN72" s="146"/>
      <c r="RO72" s="146"/>
      <c r="RP72" s="146"/>
      <c r="RQ72" s="146"/>
      <c r="RR72" s="146"/>
      <c r="RS72" s="146"/>
      <c r="RT72" s="146"/>
      <c r="RU72" s="146"/>
      <c r="RV72" s="146"/>
      <c r="RW72" s="146"/>
      <c r="RX72" s="146"/>
      <c r="RY72" s="146"/>
      <c r="RZ72" s="146"/>
      <c r="SA72" s="146"/>
      <c r="SB72" s="146"/>
      <c r="SC72" s="146"/>
      <c r="SD72" s="146"/>
      <c r="SE72" s="146"/>
      <c r="SF72" s="146"/>
      <c r="SG72" s="146"/>
      <c r="SH72" s="146"/>
      <c r="SI72" s="146"/>
      <c r="SJ72" s="146"/>
      <c r="SK72" s="146"/>
      <c r="SL72" s="146"/>
      <c r="SM72" s="146"/>
      <c r="SN72" s="146"/>
      <c r="SO72" s="146"/>
      <c r="SP72" s="146"/>
      <c r="SQ72" s="146"/>
      <c r="SR72" s="146"/>
      <c r="SS72" s="146"/>
      <c r="ST72" s="146"/>
      <c r="SU72" s="146"/>
      <c r="SV72" s="146"/>
      <c r="SW72" s="146"/>
      <c r="SX72" s="146"/>
      <c r="SY72" s="146"/>
      <c r="SZ72" s="146"/>
      <c r="TA72" s="146"/>
      <c r="TB72" s="146"/>
      <c r="TC72" s="146"/>
      <c r="TD72" s="146"/>
      <c r="TE72" s="146"/>
      <c r="TF72" s="146"/>
      <c r="TG72" s="146"/>
      <c r="TH72" s="146"/>
      <c r="TI72" s="146"/>
      <c r="TJ72" s="146"/>
      <c r="TK72" s="146"/>
      <c r="TL72" s="146"/>
      <c r="TM72" s="146"/>
      <c r="TN72" s="146"/>
      <c r="TO72" s="146"/>
      <c r="TP72" s="146"/>
      <c r="TQ72" s="146"/>
      <c r="TR72" s="146"/>
      <c r="TS72" s="146"/>
      <c r="TT72" s="146"/>
      <c r="TU72" s="146"/>
      <c r="TV72" s="146"/>
      <c r="TW72" s="146"/>
      <c r="TX72" s="146"/>
      <c r="TY72" s="146"/>
      <c r="TZ72" s="146"/>
      <c r="UA72" s="146"/>
      <c r="UB72" s="146"/>
      <c r="UC72" s="146"/>
      <c r="UD72" s="146"/>
      <c r="UE72" s="146"/>
      <c r="UF72" s="146"/>
      <c r="UG72" s="146"/>
      <c r="UH72" s="146"/>
      <c r="UI72" s="146"/>
      <c r="UJ72" s="146"/>
      <c r="UK72" s="146"/>
      <c r="UL72" s="146"/>
      <c r="UM72" s="146"/>
      <c r="UN72" s="146"/>
      <c r="UO72" s="146"/>
      <c r="UP72" s="146"/>
      <c r="UQ72" s="146"/>
      <c r="UR72" s="146"/>
      <c r="US72" s="146"/>
      <c r="UT72" s="146"/>
      <c r="UU72" s="146"/>
      <c r="UV72" s="146"/>
      <c r="UW72" s="146"/>
      <c r="UX72" s="146"/>
      <c r="UY72" s="146"/>
      <c r="UZ72" s="146"/>
      <c r="VA72" s="146"/>
      <c r="VB72" s="146"/>
      <c r="VC72" s="146"/>
      <c r="VD72" s="146"/>
      <c r="VE72" s="146"/>
      <c r="VF72" s="146"/>
      <c r="VG72" s="146"/>
      <c r="VH72" s="146"/>
      <c r="VI72" s="146"/>
      <c r="VJ72" s="146"/>
      <c r="VK72" s="146"/>
      <c r="VL72" s="146"/>
      <c r="VM72" s="146"/>
      <c r="VN72" s="146"/>
      <c r="VO72" s="146"/>
      <c r="VP72" s="146"/>
      <c r="VQ72" s="146"/>
      <c r="VR72" s="146"/>
      <c r="VS72" s="146"/>
      <c r="VT72" s="146"/>
      <c r="VU72" s="146"/>
      <c r="VV72" s="146"/>
      <c r="VW72" s="146"/>
      <c r="VX72" s="146"/>
      <c r="VY72" s="146"/>
      <c r="VZ72" s="146"/>
      <c r="WA72" s="146"/>
      <c r="WB72" s="146"/>
      <c r="WC72" s="146"/>
      <c r="WD72" s="146"/>
      <c r="WE72" s="146"/>
      <c r="WF72" s="146"/>
      <c r="WG72" s="146"/>
      <c r="WH72" s="146"/>
      <c r="WI72" s="146"/>
      <c r="WJ72" s="146"/>
      <c r="WK72" s="146"/>
      <c r="WL72" s="146"/>
      <c r="WM72" s="146"/>
      <c r="WN72" s="146"/>
      <c r="WO72" s="146"/>
      <c r="WP72" s="146"/>
      <c r="WQ72" s="146"/>
      <c r="WR72" s="146"/>
      <c r="WS72" s="146"/>
      <c r="WT72" s="146"/>
      <c r="WU72" s="146"/>
      <c r="WV72" s="146"/>
      <c r="WW72" s="146"/>
      <c r="WX72" s="146"/>
      <c r="WY72" s="146"/>
      <c r="WZ72" s="146"/>
      <c r="XA72" s="146"/>
      <c r="XB72" s="146"/>
      <c r="XC72" s="146"/>
      <c r="XD72" s="146"/>
      <c r="XE72" s="146"/>
      <c r="XF72" s="146"/>
      <c r="XG72" s="146"/>
      <c r="XH72" s="146"/>
      <c r="XI72" s="146"/>
      <c r="XJ72" s="146"/>
      <c r="XK72" s="146"/>
      <c r="XL72" s="146"/>
      <c r="XM72" s="146"/>
      <c r="XN72" s="146"/>
      <c r="XO72" s="146"/>
      <c r="XP72" s="146"/>
      <c r="XQ72" s="146"/>
      <c r="XR72" s="146"/>
      <c r="XS72" s="146"/>
      <c r="XT72" s="146"/>
      <c r="XU72" s="146"/>
      <c r="XV72" s="146"/>
      <c r="XW72" s="146"/>
      <c r="XX72" s="146"/>
      <c r="XY72" s="146"/>
      <c r="XZ72" s="146"/>
      <c r="YA72" s="146"/>
      <c r="YB72" s="146"/>
      <c r="YC72" s="146"/>
      <c r="YD72" s="146"/>
      <c r="YE72" s="146"/>
      <c r="YF72" s="146"/>
      <c r="YG72" s="146"/>
      <c r="YH72" s="146"/>
      <c r="YI72" s="146"/>
      <c r="YJ72" s="146"/>
      <c r="YK72" s="146"/>
      <c r="YL72" s="146"/>
      <c r="YM72" s="146"/>
      <c r="YN72" s="146"/>
      <c r="YO72" s="146"/>
      <c r="YP72" s="146"/>
      <c r="YQ72" s="146"/>
      <c r="YR72" s="146"/>
      <c r="YS72" s="146"/>
      <c r="YT72" s="146"/>
      <c r="YU72" s="146"/>
      <c r="YV72" s="146"/>
      <c r="YW72" s="146"/>
      <c r="YX72" s="146"/>
      <c r="YY72" s="146"/>
      <c r="YZ72" s="146"/>
      <c r="ZA72" s="146"/>
      <c r="ZB72" s="146"/>
      <c r="ZC72" s="146"/>
      <c r="ZD72" s="146"/>
      <c r="ZE72" s="146"/>
      <c r="ZF72" s="146"/>
      <c r="ZG72" s="146"/>
      <c r="ZH72" s="146"/>
      <c r="ZI72" s="146"/>
      <c r="ZJ72" s="146"/>
      <c r="ZK72" s="146"/>
      <c r="ZL72" s="146"/>
      <c r="ZM72" s="146"/>
      <c r="ZN72" s="146"/>
      <c r="ZO72" s="146"/>
      <c r="ZP72" s="146"/>
      <c r="ZQ72" s="146"/>
      <c r="ZR72" s="146"/>
      <c r="ZS72" s="146"/>
      <c r="ZT72" s="146"/>
      <c r="ZU72" s="146"/>
      <c r="ZV72" s="146"/>
      <c r="ZW72" s="146"/>
      <c r="ZX72" s="146"/>
      <c r="ZY72" s="146"/>
      <c r="ZZ72" s="146"/>
      <c r="AAA72" s="146"/>
      <c r="AAB72" s="146"/>
      <c r="AAC72" s="146"/>
      <c r="AAD72" s="146"/>
      <c r="AAE72" s="146"/>
      <c r="AAF72" s="146"/>
      <c r="AAG72" s="146"/>
      <c r="AAH72" s="146"/>
      <c r="AAI72" s="146"/>
      <c r="AAJ72" s="146"/>
      <c r="AAK72" s="146"/>
      <c r="AAL72" s="146"/>
      <c r="AAM72" s="146"/>
      <c r="AAN72" s="146"/>
      <c r="AAO72" s="146"/>
      <c r="AAP72" s="146"/>
      <c r="AAQ72" s="146"/>
      <c r="AAR72" s="146"/>
      <c r="AAS72" s="146"/>
      <c r="AAT72" s="146"/>
      <c r="AAU72" s="146"/>
      <c r="AAV72" s="146"/>
      <c r="AAW72" s="146"/>
      <c r="AAX72" s="146"/>
      <c r="AAY72" s="146"/>
      <c r="AAZ72" s="146"/>
      <c r="ABA72" s="146"/>
      <c r="ABB72" s="146"/>
      <c r="ABC72" s="146"/>
      <c r="ABD72" s="146"/>
      <c r="ABE72" s="146"/>
      <c r="ABF72" s="146"/>
      <c r="ABG72" s="146"/>
      <c r="ABH72" s="146"/>
      <c r="ABI72" s="146"/>
      <c r="ABJ72" s="146"/>
      <c r="ABK72" s="146"/>
      <c r="ABL72" s="146"/>
      <c r="ABM72" s="146"/>
      <c r="ABN72" s="146"/>
      <c r="ABO72" s="146"/>
      <c r="ABP72" s="146"/>
      <c r="ABQ72" s="146"/>
      <c r="ABR72" s="146"/>
      <c r="ABS72" s="146"/>
      <c r="ABT72" s="146"/>
      <c r="ABU72" s="146"/>
      <c r="ABV72" s="146"/>
      <c r="ABW72" s="146"/>
      <c r="ABX72" s="146"/>
      <c r="ABY72" s="146"/>
      <c r="ABZ72" s="146"/>
      <c r="ACA72" s="146"/>
      <c r="ACB72" s="146"/>
      <c r="ACC72" s="146"/>
      <c r="ACD72" s="146"/>
      <c r="ACE72" s="146"/>
      <c r="ACF72" s="146"/>
      <c r="ACG72" s="146"/>
      <c r="ACH72" s="146"/>
      <c r="ACI72" s="146"/>
      <c r="ACJ72" s="146"/>
      <c r="ACK72" s="146"/>
      <c r="ACL72" s="146"/>
      <c r="ACM72" s="146"/>
      <c r="ACN72" s="146"/>
      <c r="ACO72" s="146"/>
      <c r="ACP72" s="146"/>
      <c r="ACQ72" s="146"/>
      <c r="ACR72" s="146"/>
      <c r="ACS72" s="146"/>
      <c r="ACT72" s="146"/>
      <c r="ACU72" s="146"/>
      <c r="ACV72" s="146"/>
      <c r="ACW72" s="146"/>
      <c r="ACX72" s="146"/>
      <c r="ACY72" s="146"/>
      <c r="ACZ72" s="146"/>
      <c r="ADA72" s="146"/>
      <c r="ADB72" s="146"/>
      <c r="ADC72" s="146"/>
      <c r="ADD72" s="146"/>
      <c r="ADE72" s="146"/>
      <c r="ADF72" s="146"/>
      <c r="ADG72" s="146"/>
      <c r="ADH72" s="146"/>
      <c r="ADI72" s="146"/>
      <c r="ADJ72" s="146"/>
      <c r="ADK72" s="146"/>
      <c r="ADL72" s="146"/>
      <c r="ADM72" s="146"/>
      <c r="ADN72" s="146"/>
      <c r="ADO72" s="146"/>
      <c r="ADP72" s="146"/>
      <c r="ADQ72" s="146"/>
      <c r="ADR72" s="146"/>
      <c r="ADS72" s="146"/>
      <c r="ADT72" s="146"/>
      <c r="ADU72" s="146"/>
      <c r="ADV72" s="146"/>
      <c r="ADW72" s="146"/>
      <c r="ADX72" s="146"/>
      <c r="ADY72" s="146"/>
      <c r="ADZ72" s="146"/>
      <c r="AEA72" s="146"/>
      <c r="AEB72" s="146"/>
      <c r="AEC72" s="146"/>
      <c r="AED72" s="146"/>
      <c r="AEE72" s="146"/>
      <c r="AEF72" s="146"/>
      <c r="AEG72" s="146"/>
      <c r="AEH72" s="146"/>
      <c r="AEI72" s="146"/>
      <c r="AEJ72" s="146"/>
      <c r="AEK72" s="146"/>
      <c r="AEL72" s="146"/>
      <c r="AEM72" s="146"/>
      <c r="AEN72" s="146"/>
      <c r="AEO72" s="146"/>
      <c r="AEP72" s="146"/>
      <c r="AEQ72" s="146"/>
      <c r="AER72" s="146"/>
      <c r="AES72" s="146"/>
      <c r="AET72" s="146"/>
      <c r="AEU72" s="146"/>
      <c r="AEV72" s="146"/>
      <c r="AEW72" s="146"/>
      <c r="AEX72" s="146"/>
      <c r="AEY72" s="146"/>
      <c r="AEZ72" s="146"/>
      <c r="AFA72" s="146"/>
      <c r="AFB72" s="146"/>
      <c r="AFC72" s="146"/>
      <c r="AFD72" s="146"/>
      <c r="AFE72" s="146"/>
      <c r="AFF72" s="146"/>
      <c r="AFG72" s="146"/>
      <c r="AFH72" s="146"/>
      <c r="AFI72" s="146"/>
      <c r="AFJ72" s="146"/>
      <c r="AFK72" s="146"/>
      <c r="AFL72" s="146"/>
      <c r="AFM72" s="146"/>
      <c r="AFN72" s="146"/>
      <c r="AFO72" s="146"/>
      <c r="AFP72" s="146"/>
      <c r="AFQ72" s="146"/>
      <c r="AFR72" s="146"/>
      <c r="AFS72" s="146"/>
      <c r="AFT72" s="146"/>
      <c r="AFU72" s="146"/>
      <c r="AFV72" s="146"/>
      <c r="AFW72" s="146"/>
      <c r="AFX72" s="146"/>
      <c r="AFY72" s="146"/>
      <c r="AFZ72" s="146"/>
      <c r="AGA72" s="146"/>
      <c r="AGB72" s="146"/>
      <c r="AGC72" s="146"/>
      <c r="AGD72" s="146"/>
      <c r="AGE72" s="146"/>
      <c r="AGF72" s="146"/>
      <c r="AGG72" s="146"/>
      <c r="AGH72" s="146"/>
      <c r="AGI72" s="146"/>
      <c r="AGJ72" s="146"/>
      <c r="AGK72" s="146"/>
      <c r="AGL72" s="146"/>
      <c r="AGM72" s="146"/>
      <c r="AGN72" s="146"/>
      <c r="AGO72" s="146"/>
      <c r="AGP72" s="146"/>
      <c r="AGQ72" s="146"/>
      <c r="AGR72" s="146"/>
      <c r="AGS72" s="146"/>
      <c r="AGT72" s="146"/>
      <c r="AGU72" s="146"/>
      <c r="AGV72" s="146"/>
      <c r="AGW72" s="146"/>
      <c r="AGX72" s="146"/>
      <c r="AGY72" s="146"/>
      <c r="AGZ72" s="146"/>
      <c r="AHA72" s="146"/>
      <c r="AHB72" s="146"/>
      <c r="AHC72" s="146"/>
      <c r="AHD72" s="146"/>
      <c r="AHE72" s="146"/>
      <c r="AHF72" s="146"/>
      <c r="AHG72" s="146"/>
      <c r="AHH72" s="146"/>
      <c r="AHI72" s="146"/>
      <c r="AHJ72" s="146"/>
      <c r="AHK72" s="146"/>
      <c r="AHL72" s="146"/>
      <c r="AHM72" s="146"/>
      <c r="AHN72" s="146"/>
      <c r="AHO72" s="146"/>
      <c r="AHP72" s="146"/>
      <c r="AHQ72" s="146"/>
      <c r="AHR72" s="146"/>
      <c r="AHS72" s="146"/>
      <c r="AHT72" s="146"/>
      <c r="AHU72" s="146"/>
      <c r="AHV72" s="146"/>
      <c r="AHW72" s="146"/>
      <c r="AHX72" s="146"/>
      <c r="AHY72" s="146"/>
      <c r="AHZ72" s="146"/>
      <c r="AIA72" s="146"/>
      <c r="AIB72" s="146"/>
      <c r="AIC72" s="146"/>
      <c r="AID72" s="146"/>
      <c r="AIE72" s="146"/>
      <c r="AIF72" s="146"/>
      <c r="AIG72" s="146"/>
      <c r="AIH72" s="146"/>
      <c r="AII72" s="146"/>
      <c r="AIJ72" s="146"/>
      <c r="AIK72" s="146"/>
      <c r="AIL72" s="146"/>
      <c r="AIM72" s="146"/>
      <c r="AIN72" s="146"/>
      <c r="AIO72" s="146"/>
      <c r="AIP72" s="146"/>
      <c r="AIQ72" s="146"/>
      <c r="AIR72" s="146"/>
      <c r="AIS72" s="146"/>
      <c r="AIT72" s="146"/>
      <c r="AIU72" s="146"/>
      <c r="AIV72" s="146"/>
      <c r="AIW72" s="146"/>
      <c r="AIX72" s="146"/>
      <c r="AIY72" s="146"/>
      <c r="AIZ72" s="146"/>
      <c r="AJA72" s="146"/>
      <c r="AJB72" s="146"/>
      <c r="AJC72" s="146"/>
      <c r="AJD72" s="146"/>
      <c r="AJE72" s="146"/>
      <c r="AJF72" s="146"/>
      <c r="AJG72" s="146"/>
      <c r="AJH72" s="146"/>
      <c r="AJI72" s="146"/>
      <c r="AJJ72" s="146"/>
      <c r="AJK72" s="146"/>
      <c r="AJL72" s="146"/>
      <c r="AJM72" s="146"/>
      <c r="AJN72" s="146"/>
      <c r="AJO72" s="146"/>
      <c r="AJP72" s="146"/>
      <c r="AJQ72" s="146"/>
      <c r="AJR72" s="146"/>
      <c r="AJS72" s="146"/>
      <c r="AJT72" s="146"/>
      <c r="AJU72" s="146"/>
      <c r="AJV72" s="146"/>
      <c r="AJW72" s="146"/>
      <c r="AJX72" s="146"/>
      <c r="AJY72" s="146"/>
      <c r="AJZ72" s="146"/>
      <c r="AKA72" s="146"/>
      <c r="AKB72" s="146"/>
      <c r="AKC72" s="146"/>
      <c r="AKD72" s="146"/>
      <c r="AKE72" s="146"/>
      <c r="AKF72" s="146"/>
      <c r="AKG72" s="146"/>
      <c r="AKH72" s="146"/>
      <c r="AKI72" s="146"/>
      <c r="AKJ72" s="146"/>
      <c r="AKK72" s="146"/>
      <c r="AKL72" s="146"/>
      <c r="AKM72" s="146"/>
      <c r="AKN72" s="146"/>
      <c r="AKO72" s="146"/>
      <c r="AKP72" s="146"/>
      <c r="AKQ72" s="146"/>
      <c r="AKR72" s="146"/>
      <c r="AKS72" s="146"/>
      <c r="AKT72" s="146"/>
      <c r="AKU72" s="146"/>
      <c r="AKV72" s="146"/>
      <c r="AKW72" s="146"/>
      <c r="AKX72" s="146"/>
      <c r="AKY72" s="146"/>
      <c r="AKZ72" s="146"/>
      <c r="ALA72" s="146"/>
      <c r="ALB72" s="146"/>
      <c r="ALC72" s="146"/>
      <c r="ALD72" s="146"/>
      <c r="ALE72" s="146"/>
      <c r="ALF72" s="146"/>
      <c r="ALG72" s="146"/>
      <c r="ALH72" s="146"/>
      <c r="ALI72" s="146"/>
      <c r="ALJ72" s="146"/>
      <c r="ALK72" s="146"/>
      <c r="ALL72" s="146"/>
      <c r="ALM72" s="146"/>
      <c r="ALN72" s="146"/>
      <c r="ALO72" s="146"/>
      <c r="ALP72" s="146"/>
      <c r="ALQ72" s="146"/>
      <c r="ALR72" s="146"/>
      <c r="ALS72" s="146"/>
      <c r="ALT72" s="146"/>
      <c r="ALU72" s="146"/>
      <c r="ALV72" s="146"/>
      <c r="ALW72" s="146"/>
      <c r="ALX72" s="146"/>
      <c r="ALY72" s="146"/>
      <c r="ALZ72" s="146"/>
      <c r="AMA72" s="146"/>
      <c r="AMB72" s="146"/>
      <c r="AMC72" s="146"/>
      <c r="AMD72" s="146"/>
      <c r="AME72" s="146"/>
      <c r="AMF72" s="146"/>
      <c r="AMG72" s="146"/>
      <c r="AMH72" s="146"/>
      <c r="AMI72" s="146"/>
      <c r="AMJ72" s="146"/>
      <c r="AMK72" s="146"/>
      <c r="AML72" s="146"/>
      <c r="AMM72" s="146"/>
      <c r="AMN72" s="146"/>
      <c r="AMO72" s="146"/>
      <c r="AMP72" s="146"/>
      <c r="AMQ72" s="146"/>
      <c r="AMR72" s="146"/>
      <c r="AMS72" s="146"/>
      <c r="AMT72" s="146"/>
      <c r="AMU72" s="146"/>
      <c r="AMV72" s="146"/>
      <c r="AMW72" s="146"/>
      <c r="AMX72" s="146"/>
      <c r="AMY72" s="146"/>
      <c r="AMZ72" s="146"/>
      <c r="ANA72" s="146"/>
      <c r="ANB72" s="146"/>
      <c r="ANC72" s="146"/>
      <c r="AND72" s="146"/>
      <c r="ANE72" s="146"/>
      <c r="ANF72" s="146"/>
      <c r="ANG72" s="146"/>
      <c r="ANH72" s="146"/>
      <c r="ANI72" s="146"/>
      <c r="ANJ72" s="146"/>
      <c r="ANK72" s="146"/>
      <c r="ANL72" s="146"/>
      <c r="ANM72" s="146"/>
      <c r="ANN72" s="146"/>
      <c r="ANO72" s="146"/>
      <c r="ANP72" s="146"/>
      <c r="ANQ72" s="146"/>
      <c r="ANR72" s="146"/>
      <c r="ANS72" s="146"/>
      <c r="ANT72" s="146"/>
      <c r="ANU72" s="146"/>
      <c r="ANV72" s="146"/>
      <c r="ANW72" s="146"/>
      <c r="ANX72" s="146"/>
      <c r="ANY72" s="146"/>
      <c r="ANZ72" s="146"/>
      <c r="AOA72" s="146"/>
      <c r="AOB72" s="146"/>
      <c r="AOC72" s="146"/>
      <c r="AOD72" s="146"/>
      <c r="AOE72" s="146"/>
      <c r="AOF72" s="146"/>
      <c r="AOG72" s="146"/>
      <c r="AOH72" s="146"/>
      <c r="AOI72" s="146"/>
      <c r="AOJ72" s="146"/>
      <c r="AOK72" s="146"/>
      <c r="AOL72" s="146"/>
      <c r="AOM72" s="146"/>
      <c r="AON72" s="146"/>
      <c r="AOO72" s="146"/>
      <c r="AOP72" s="146"/>
      <c r="AOQ72" s="146"/>
      <c r="AOR72" s="146"/>
      <c r="AOS72" s="146"/>
      <c r="AOT72" s="146"/>
      <c r="AOU72" s="146"/>
      <c r="AOV72" s="146"/>
      <c r="AOW72" s="146"/>
      <c r="AOX72" s="146"/>
      <c r="AOY72" s="146"/>
      <c r="AOZ72" s="146"/>
      <c r="APA72" s="146"/>
      <c r="APB72" s="146"/>
      <c r="APC72" s="146"/>
      <c r="APD72" s="146"/>
      <c r="APE72" s="146"/>
      <c r="APF72" s="146"/>
      <c r="APG72" s="146"/>
      <c r="APH72" s="146"/>
      <c r="API72" s="146"/>
      <c r="APJ72" s="146"/>
      <c r="APK72" s="146"/>
      <c r="APL72" s="146"/>
      <c r="APM72" s="146"/>
      <c r="APN72" s="146"/>
      <c r="APO72" s="146"/>
      <c r="APP72" s="146"/>
      <c r="APQ72" s="146"/>
      <c r="APR72" s="146"/>
      <c r="APS72" s="146"/>
      <c r="APT72" s="146"/>
      <c r="APU72" s="146"/>
      <c r="APV72" s="146"/>
      <c r="APW72" s="146"/>
      <c r="APX72" s="146"/>
      <c r="APY72" s="146"/>
      <c r="APZ72" s="146"/>
      <c r="AQA72" s="146"/>
      <c r="AQB72" s="146"/>
      <c r="AQC72" s="146"/>
      <c r="AQD72" s="146"/>
      <c r="AQE72" s="146"/>
      <c r="AQF72" s="146"/>
      <c r="AQG72" s="146"/>
      <c r="AQH72" s="146"/>
      <c r="AQI72" s="146"/>
      <c r="AQJ72" s="146"/>
      <c r="AQK72" s="146"/>
      <c r="AQL72" s="146"/>
      <c r="AQM72" s="146"/>
      <c r="AQN72" s="146"/>
      <c r="AQO72" s="146"/>
      <c r="AQP72" s="146"/>
      <c r="AQQ72" s="146"/>
      <c r="AQR72" s="146"/>
      <c r="AQS72" s="146"/>
      <c r="AQT72" s="146"/>
      <c r="AQU72" s="146"/>
      <c r="AQV72" s="146"/>
      <c r="AQW72" s="146"/>
      <c r="AQX72" s="146"/>
      <c r="AQY72" s="146"/>
      <c r="AQZ72" s="146"/>
      <c r="ARA72" s="146"/>
      <c r="ARB72" s="146"/>
      <c r="ARC72" s="146"/>
      <c r="ARD72" s="146"/>
      <c r="ARE72" s="146"/>
      <c r="ARF72" s="146"/>
      <c r="ARG72" s="146"/>
      <c r="ARH72" s="146"/>
      <c r="ARI72" s="146"/>
      <c r="ARJ72" s="146"/>
      <c r="ARK72" s="146"/>
      <c r="ARL72" s="146"/>
      <c r="ARM72" s="146"/>
      <c r="ARN72" s="146"/>
      <c r="ARO72" s="146"/>
      <c r="ARP72" s="146"/>
      <c r="ARQ72" s="146"/>
      <c r="ARR72" s="146"/>
      <c r="ARS72" s="146"/>
      <c r="ART72" s="146"/>
      <c r="ARU72" s="146"/>
      <c r="ARV72" s="146"/>
      <c r="ARW72" s="146"/>
      <c r="ARX72" s="146"/>
      <c r="ARY72" s="146"/>
      <c r="ARZ72" s="146"/>
      <c r="ASA72" s="146"/>
      <c r="ASB72" s="146"/>
      <c r="ASC72" s="146"/>
      <c r="ASD72" s="146"/>
      <c r="ASE72" s="146"/>
      <c r="ASF72" s="146"/>
      <c r="ASG72" s="146"/>
      <c r="ASH72" s="146"/>
      <c r="ASI72" s="146"/>
      <c r="ASJ72" s="146"/>
      <c r="ASK72" s="146"/>
      <c r="ASL72" s="146"/>
      <c r="ASM72" s="146"/>
      <c r="ASN72" s="146"/>
      <c r="ASO72" s="146"/>
      <c r="ASP72" s="146"/>
      <c r="ASQ72" s="146"/>
      <c r="ASR72" s="146"/>
      <c r="ASS72" s="146"/>
      <c r="AST72" s="146"/>
      <c r="ASU72" s="146"/>
      <c r="ASV72" s="146"/>
      <c r="ASW72" s="146"/>
      <c r="ASX72" s="146"/>
      <c r="ASY72" s="146"/>
      <c r="ASZ72" s="146"/>
      <c r="ATA72" s="146"/>
      <c r="ATB72" s="146"/>
      <c r="ATC72" s="146"/>
      <c r="ATD72" s="146"/>
      <c r="ATE72" s="146"/>
      <c r="ATF72" s="146"/>
      <c r="ATG72" s="146"/>
      <c r="ATH72" s="146"/>
      <c r="ATI72" s="146"/>
      <c r="ATJ72" s="146"/>
      <c r="ATK72" s="146"/>
      <c r="ATL72" s="146"/>
      <c r="ATM72" s="146"/>
      <c r="ATN72" s="146"/>
      <c r="ATO72" s="146"/>
      <c r="ATP72" s="146"/>
      <c r="ATQ72" s="146"/>
      <c r="ATR72" s="146"/>
      <c r="ATS72" s="146"/>
      <c r="ATT72" s="146"/>
      <c r="ATU72" s="146"/>
      <c r="ATV72" s="146"/>
      <c r="ATW72" s="146"/>
      <c r="ATX72" s="146"/>
      <c r="ATY72" s="146"/>
      <c r="ATZ72" s="146"/>
      <c r="AUA72" s="146"/>
      <c r="AUB72" s="146"/>
      <c r="AUC72" s="146"/>
      <c r="AUD72" s="146"/>
      <c r="AUE72" s="146"/>
      <c r="AUF72" s="146"/>
      <c r="AUG72" s="146"/>
      <c r="AUH72" s="146"/>
      <c r="AUI72" s="146"/>
      <c r="AUJ72" s="146"/>
      <c r="AUK72" s="146"/>
      <c r="AUL72" s="146"/>
      <c r="AUM72" s="146"/>
      <c r="AUN72" s="146"/>
      <c r="AUO72" s="146"/>
      <c r="AUP72" s="146"/>
      <c r="AUQ72" s="146"/>
      <c r="AUR72" s="146"/>
      <c r="AUS72" s="146"/>
      <c r="AUT72" s="146"/>
      <c r="AUU72" s="146"/>
      <c r="AUV72" s="146"/>
      <c r="AUW72" s="146"/>
      <c r="AUX72" s="146"/>
      <c r="AUY72" s="146"/>
      <c r="AUZ72" s="146"/>
      <c r="AVA72" s="146"/>
      <c r="AVB72" s="146"/>
      <c r="AVC72" s="146"/>
      <c r="AVD72" s="146"/>
      <c r="AVE72" s="146"/>
      <c r="AVF72" s="146"/>
      <c r="AVG72" s="146"/>
      <c r="AVH72" s="146"/>
      <c r="AVI72" s="146"/>
      <c r="AVJ72" s="146"/>
      <c r="AVK72" s="146"/>
      <c r="AVL72" s="146"/>
      <c r="AVM72" s="146"/>
      <c r="AVN72" s="146"/>
      <c r="AVO72" s="146"/>
      <c r="AVP72" s="146"/>
      <c r="AVQ72" s="146"/>
      <c r="AVR72" s="146"/>
      <c r="AVS72" s="146"/>
      <c r="AVT72" s="146"/>
      <c r="AVU72" s="146"/>
      <c r="AVV72" s="146"/>
      <c r="AVW72" s="146"/>
      <c r="AVX72" s="146"/>
      <c r="AVY72" s="146"/>
      <c r="AVZ72" s="146"/>
      <c r="AWA72" s="146"/>
      <c r="AWB72" s="146"/>
      <c r="AWC72" s="146"/>
      <c r="AWD72" s="146"/>
      <c r="AWE72" s="146"/>
      <c r="AWF72" s="146"/>
      <c r="AWG72" s="146"/>
      <c r="AWH72" s="146"/>
      <c r="AWI72" s="146"/>
      <c r="AWJ72" s="146"/>
      <c r="AWK72" s="146"/>
      <c r="AWL72" s="146"/>
      <c r="AWM72" s="146"/>
      <c r="AWN72" s="146"/>
      <c r="AWO72" s="146"/>
      <c r="AWP72" s="146"/>
      <c r="AWQ72" s="146"/>
      <c r="AWR72" s="146"/>
      <c r="AWS72" s="146"/>
      <c r="AWT72" s="146"/>
      <c r="AWU72" s="146"/>
      <c r="AWV72" s="146"/>
      <c r="AWW72" s="146"/>
      <c r="AWX72" s="146"/>
      <c r="AWY72" s="146"/>
      <c r="AWZ72" s="146"/>
      <c r="AXA72" s="146"/>
      <c r="AXB72" s="146"/>
      <c r="AXC72" s="146"/>
      <c r="AXD72" s="146"/>
      <c r="AXE72" s="146"/>
      <c r="AXF72" s="146"/>
      <c r="AXG72" s="146"/>
      <c r="AXH72" s="146"/>
      <c r="AXI72" s="146"/>
      <c r="AXJ72" s="146"/>
      <c r="AXK72" s="146"/>
      <c r="AXL72" s="146"/>
      <c r="AXM72" s="146"/>
      <c r="AXN72" s="146"/>
      <c r="AXO72" s="146"/>
      <c r="AXP72" s="146"/>
      <c r="AXQ72" s="146"/>
      <c r="AXR72" s="146"/>
      <c r="AXS72" s="146"/>
      <c r="AXT72" s="146"/>
      <c r="AXU72" s="146"/>
      <c r="AXV72" s="146"/>
      <c r="AXW72" s="146"/>
      <c r="AXX72" s="146"/>
      <c r="AXY72" s="146"/>
      <c r="AXZ72" s="146"/>
      <c r="AYA72" s="146"/>
      <c r="AYB72" s="146"/>
      <c r="AYC72" s="146"/>
      <c r="AYD72" s="146"/>
      <c r="AYE72" s="146"/>
      <c r="AYF72" s="146"/>
      <c r="AYG72" s="146"/>
      <c r="AYH72" s="146"/>
      <c r="AYI72" s="146"/>
      <c r="AYJ72" s="146"/>
      <c r="AYK72" s="146"/>
      <c r="AYL72" s="146"/>
      <c r="AYM72" s="146"/>
      <c r="AYN72" s="146"/>
      <c r="AYO72" s="146"/>
      <c r="AYP72" s="146"/>
      <c r="AYQ72" s="146"/>
      <c r="AYR72" s="146"/>
      <c r="AYS72" s="146"/>
      <c r="AYT72" s="146"/>
      <c r="AYU72" s="146"/>
      <c r="AYV72" s="146"/>
      <c r="AYW72" s="146"/>
      <c r="AYX72" s="146"/>
      <c r="AYY72" s="146"/>
      <c r="AYZ72" s="146"/>
      <c r="AZA72" s="146"/>
      <c r="AZB72" s="146"/>
      <c r="AZC72" s="146"/>
      <c r="AZD72" s="146"/>
      <c r="AZE72" s="146"/>
      <c r="AZF72" s="146"/>
      <c r="AZG72" s="146"/>
      <c r="AZH72" s="146"/>
      <c r="AZI72" s="146"/>
      <c r="AZJ72" s="146"/>
      <c r="AZK72" s="146"/>
      <c r="AZL72" s="146"/>
      <c r="AZM72" s="146"/>
      <c r="AZN72" s="146"/>
      <c r="AZO72" s="146"/>
      <c r="AZP72" s="146"/>
      <c r="AZQ72" s="146"/>
      <c r="AZR72" s="146"/>
      <c r="AZS72" s="146"/>
      <c r="AZT72" s="146"/>
      <c r="AZU72" s="146"/>
      <c r="AZV72" s="146"/>
      <c r="AZW72" s="146"/>
      <c r="AZX72" s="146"/>
      <c r="AZY72" s="146"/>
      <c r="AZZ72" s="146"/>
      <c r="BAA72" s="146"/>
      <c r="BAB72" s="146"/>
      <c r="BAC72" s="146"/>
      <c r="BAD72" s="146"/>
      <c r="BAE72" s="146"/>
      <c r="BAF72" s="146"/>
      <c r="BAG72" s="146"/>
      <c r="BAH72" s="146"/>
      <c r="BAI72" s="146"/>
      <c r="BAJ72" s="146"/>
      <c r="BAK72" s="146"/>
      <c r="BAL72" s="146"/>
      <c r="BAM72" s="146"/>
      <c r="BAN72" s="146"/>
      <c r="BAO72" s="146"/>
      <c r="BAP72" s="146"/>
      <c r="BAQ72" s="146"/>
      <c r="BAR72" s="146"/>
      <c r="BAS72" s="146"/>
      <c r="BAT72" s="146"/>
      <c r="BAU72" s="146"/>
      <c r="BAV72" s="146"/>
      <c r="BAW72" s="146"/>
      <c r="BAX72" s="146"/>
      <c r="BAY72" s="146"/>
      <c r="BAZ72" s="146"/>
      <c r="BBA72" s="146"/>
      <c r="BBB72" s="146"/>
      <c r="BBC72" s="146"/>
      <c r="BBD72" s="146"/>
      <c r="BBE72" s="146"/>
      <c r="BBF72" s="146"/>
      <c r="BBG72" s="146"/>
      <c r="BBH72" s="146"/>
      <c r="BBI72" s="146"/>
      <c r="BBJ72" s="146"/>
      <c r="BBK72" s="146"/>
      <c r="BBL72" s="146"/>
      <c r="BBM72" s="146"/>
      <c r="BBN72" s="146"/>
      <c r="BBO72" s="146"/>
      <c r="BBP72" s="146"/>
      <c r="BBQ72" s="146"/>
      <c r="BBR72" s="146"/>
      <c r="BBS72" s="146"/>
      <c r="BBT72" s="146"/>
      <c r="BBU72" s="146"/>
      <c r="BBV72" s="146"/>
      <c r="BBW72" s="146"/>
      <c r="BBX72" s="146"/>
      <c r="BBY72" s="146"/>
      <c r="BBZ72" s="146"/>
      <c r="BCA72" s="146"/>
      <c r="BCB72" s="146"/>
      <c r="BCC72" s="146"/>
      <c r="BCD72" s="146"/>
      <c r="BCE72" s="146"/>
      <c r="BCF72" s="146"/>
      <c r="BCG72" s="146"/>
      <c r="BCH72" s="146"/>
      <c r="BCI72" s="146"/>
      <c r="BCJ72" s="146"/>
      <c r="BCK72" s="146"/>
      <c r="BCL72" s="146"/>
      <c r="BCM72" s="146"/>
      <c r="BCN72" s="146"/>
      <c r="BCO72" s="146"/>
      <c r="BCP72" s="146"/>
      <c r="BCQ72" s="146"/>
      <c r="BCR72" s="146"/>
      <c r="BCS72" s="146"/>
      <c r="BCT72" s="146"/>
      <c r="BCU72" s="146"/>
      <c r="BCV72" s="146"/>
      <c r="BCW72" s="146"/>
      <c r="BCX72" s="146"/>
      <c r="BCY72" s="146"/>
      <c r="BCZ72" s="146"/>
      <c r="BDA72" s="146"/>
      <c r="BDB72" s="146"/>
      <c r="BDC72" s="146"/>
      <c r="BDD72" s="146"/>
      <c r="BDE72" s="146"/>
      <c r="BDF72" s="146"/>
      <c r="BDG72" s="146"/>
      <c r="BDH72" s="146"/>
      <c r="BDI72" s="146"/>
      <c r="BDJ72" s="146"/>
      <c r="BDK72" s="146"/>
      <c r="BDL72" s="146"/>
      <c r="BDM72" s="146"/>
      <c r="BDN72" s="146"/>
      <c r="BDO72" s="146"/>
      <c r="BDP72" s="146"/>
      <c r="BDQ72" s="146"/>
      <c r="BDR72" s="146"/>
      <c r="BDS72" s="146"/>
      <c r="BDT72" s="146"/>
      <c r="BDU72" s="146"/>
      <c r="BDV72" s="146"/>
      <c r="BDW72" s="146"/>
      <c r="BDX72" s="146"/>
      <c r="BDY72" s="146"/>
      <c r="BDZ72" s="146"/>
      <c r="BEA72" s="146"/>
      <c r="BEB72" s="146"/>
      <c r="BEC72" s="146"/>
      <c r="BED72" s="146"/>
      <c r="BEE72" s="146"/>
      <c r="BEF72" s="146"/>
      <c r="BEG72" s="146"/>
      <c r="BEH72" s="146"/>
      <c r="BEI72" s="146"/>
      <c r="BEJ72" s="146"/>
      <c r="BEK72" s="146"/>
      <c r="BEL72" s="146"/>
      <c r="BEM72" s="146"/>
      <c r="BEN72" s="146"/>
      <c r="BEO72" s="146"/>
      <c r="BEP72" s="146"/>
      <c r="BEQ72" s="146"/>
      <c r="BER72" s="146"/>
      <c r="BES72" s="146"/>
      <c r="BET72" s="146"/>
      <c r="BEU72" s="146"/>
      <c r="BEV72" s="146"/>
      <c r="BEW72" s="146"/>
      <c r="BEX72" s="146"/>
      <c r="BEY72" s="146"/>
      <c r="BEZ72" s="146"/>
      <c r="BFA72" s="146"/>
      <c r="BFB72" s="146"/>
      <c r="BFC72" s="146"/>
      <c r="BFD72" s="146"/>
      <c r="BFE72" s="146"/>
      <c r="BFF72" s="146"/>
      <c r="BFG72" s="146"/>
      <c r="BFH72" s="146"/>
      <c r="BFI72" s="146"/>
      <c r="BFJ72" s="146"/>
      <c r="BFK72" s="146"/>
      <c r="BFL72" s="146"/>
      <c r="BFM72" s="146"/>
      <c r="BFN72" s="146"/>
      <c r="BFO72" s="146"/>
      <c r="BFP72" s="146"/>
      <c r="BFQ72" s="146"/>
      <c r="BFR72" s="146"/>
      <c r="BFS72" s="146"/>
      <c r="BFT72" s="146"/>
      <c r="BFU72" s="146"/>
      <c r="BFV72" s="146"/>
      <c r="BFW72" s="146"/>
      <c r="BFX72" s="146"/>
      <c r="BFY72" s="146"/>
      <c r="BFZ72" s="146"/>
      <c r="BGA72" s="146"/>
      <c r="BGB72" s="146"/>
      <c r="BGC72" s="146"/>
      <c r="BGD72" s="146"/>
      <c r="BGE72" s="146"/>
      <c r="BGF72" s="146"/>
      <c r="BGG72" s="146"/>
      <c r="BGH72" s="146"/>
      <c r="BGI72" s="146"/>
      <c r="BGJ72" s="146"/>
      <c r="BGK72" s="146"/>
      <c r="BGL72" s="146"/>
      <c r="BGM72" s="146"/>
      <c r="BGN72" s="146"/>
      <c r="BGO72" s="146"/>
      <c r="BGP72" s="146"/>
      <c r="BGQ72" s="146"/>
      <c r="BGR72" s="146"/>
      <c r="BGS72" s="146"/>
      <c r="BGT72" s="146"/>
      <c r="BGU72" s="146"/>
      <c r="BGV72" s="146"/>
      <c r="BGW72" s="146"/>
      <c r="BGX72" s="146"/>
      <c r="BGY72" s="146"/>
      <c r="BGZ72" s="146"/>
      <c r="BHA72" s="146"/>
      <c r="BHB72" s="146"/>
      <c r="BHC72" s="146"/>
      <c r="BHD72" s="146"/>
      <c r="BHE72" s="146"/>
      <c r="BHF72" s="146"/>
      <c r="BHG72" s="146"/>
      <c r="BHH72" s="146"/>
      <c r="BHI72" s="146"/>
      <c r="BHJ72" s="146"/>
      <c r="BHK72" s="146"/>
      <c r="BHL72" s="146"/>
      <c r="BHM72" s="146"/>
      <c r="BHN72" s="146"/>
      <c r="BHO72" s="146"/>
      <c r="BHP72" s="146"/>
      <c r="BHQ72" s="146"/>
      <c r="BHR72" s="146"/>
      <c r="BHS72" s="146"/>
      <c r="BHT72" s="146"/>
      <c r="BHU72" s="146"/>
      <c r="BHV72" s="146"/>
      <c r="BHW72" s="146"/>
      <c r="BHX72" s="146"/>
      <c r="BHY72" s="146"/>
      <c r="BHZ72" s="146"/>
      <c r="BIA72" s="146"/>
      <c r="BIB72" s="146"/>
      <c r="BIC72" s="146"/>
      <c r="BID72" s="146"/>
      <c r="BIE72" s="146"/>
      <c r="BIF72" s="146"/>
      <c r="BIG72" s="146"/>
      <c r="BIH72" s="146"/>
      <c r="BII72" s="146"/>
      <c r="BIJ72" s="146"/>
      <c r="BIK72" s="146"/>
      <c r="BIL72" s="146"/>
      <c r="BIM72" s="146"/>
      <c r="BIN72" s="146"/>
      <c r="BIO72" s="146"/>
      <c r="BIP72" s="146"/>
      <c r="BIQ72" s="146"/>
      <c r="BIR72" s="146"/>
      <c r="BIS72" s="146"/>
      <c r="BIT72" s="146"/>
      <c r="BIU72" s="146"/>
      <c r="BIV72" s="146"/>
      <c r="BIW72" s="146"/>
      <c r="BIX72" s="146"/>
      <c r="BIY72" s="146"/>
      <c r="BIZ72" s="146"/>
      <c r="BJA72" s="146"/>
      <c r="BJB72" s="146"/>
      <c r="BJC72" s="146"/>
      <c r="BJD72" s="146"/>
      <c r="BJE72" s="146"/>
      <c r="BJF72" s="146"/>
      <c r="BJG72" s="146"/>
      <c r="BJH72" s="146"/>
      <c r="BJI72" s="146"/>
      <c r="BJJ72" s="146"/>
      <c r="BJK72" s="146"/>
      <c r="BJL72" s="146"/>
      <c r="BJM72" s="146"/>
      <c r="BJN72" s="146"/>
      <c r="BJO72" s="146"/>
      <c r="BJP72" s="146"/>
      <c r="BJQ72" s="146"/>
      <c r="BJR72" s="146"/>
      <c r="BJS72" s="146"/>
      <c r="BJT72" s="146"/>
      <c r="BJU72" s="146"/>
      <c r="BJV72" s="146"/>
      <c r="BJW72" s="146"/>
      <c r="BJX72" s="146"/>
      <c r="BJY72" s="146"/>
      <c r="BJZ72" s="146"/>
      <c r="BKA72" s="146"/>
      <c r="BKB72" s="146"/>
      <c r="BKC72" s="146"/>
      <c r="BKD72" s="146"/>
      <c r="BKE72" s="146"/>
      <c r="BKF72" s="146"/>
      <c r="BKG72" s="146"/>
      <c r="BKH72" s="146"/>
      <c r="BKI72" s="146"/>
      <c r="BKJ72" s="146"/>
      <c r="BKK72" s="146"/>
      <c r="BKL72" s="146"/>
      <c r="BKM72" s="146"/>
      <c r="BKN72" s="146"/>
      <c r="BKO72" s="146"/>
      <c r="BKP72" s="146"/>
      <c r="BKQ72" s="146"/>
      <c r="BKR72" s="146"/>
      <c r="BKS72" s="146"/>
      <c r="BKT72" s="146"/>
      <c r="BKU72" s="146"/>
      <c r="BKV72" s="146"/>
      <c r="BKW72" s="146"/>
      <c r="BKX72" s="146"/>
      <c r="BKY72" s="146"/>
      <c r="BKZ72" s="146"/>
      <c r="BLA72" s="146"/>
      <c r="BLB72" s="146"/>
      <c r="BLC72" s="146"/>
      <c r="BLD72" s="146"/>
      <c r="BLE72" s="146"/>
      <c r="BLF72" s="146"/>
      <c r="BLG72" s="146"/>
      <c r="BLH72" s="146"/>
      <c r="BLI72" s="146"/>
      <c r="BLJ72" s="146"/>
      <c r="BLK72" s="146"/>
      <c r="BLL72" s="146"/>
      <c r="BLM72" s="146"/>
      <c r="BLN72" s="146"/>
      <c r="BLO72" s="146"/>
      <c r="BLP72" s="146"/>
      <c r="BLQ72" s="146"/>
      <c r="BLR72" s="146"/>
      <c r="BLS72" s="146"/>
      <c r="BLT72" s="146"/>
      <c r="BLU72" s="146"/>
      <c r="BLV72" s="146"/>
      <c r="BLW72" s="146"/>
      <c r="BLX72" s="146"/>
      <c r="BLY72" s="146"/>
      <c r="BLZ72" s="146"/>
      <c r="BMA72" s="146"/>
      <c r="BMB72" s="146"/>
      <c r="BMC72" s="146"/>
      <c r="BMD72" s="146"/>
      <c r="BME72" s="146"/>
      <c r="BMF72" s="146"/>
      <c r="BMG72" s="146"/>
      <c r="BMH72" s="146"/>
      <c r="BMI72" s="146"/>
      <c r="BMJ72" s="146"/>
      <c r="BMK72" s="146"/>
      <c r="BML72" s="146"/>
      <c r="BMM72" s="146"/>
      <c r="BMN72" s="146"/>
      <c r="BMO72" s="146"/>
      <c r="BMP72" s="146"/>
      <c r="BMQ72" s="146"/>
      <c r="BMR72" s="146"/>
      <c r="BMS72" s="146"/>
      <c r="BMT72" s="146"/>
      <c r="BMU72" s="146"/>
      <c r="BMV72" s="146"/>
      <c r="BMW72" s="146"/>
      <c r="BMX72" s="146"/>
      <c r="BMY72" s="146"/>
      <c r="BMZ72" s="146"/>
      <c r="BNA72" s="146"/>
      <c r="BNB72" s="146"/>
      <c r="BNC72" s="146"/>
      <c r="BND72" s="146"/>
      <c r="BNE72" s="146"/>
      <c r="BNF72" s="146"/>
      <c r="BNG72" s="146"/>
      <c r="BNH72" s="146"/>
      <c r="BNI72" s="146"/>
      <c r="BNJ72" s="146"/>
      <c r="BNK72" s="146"/>
      <c r="BNL72" s="146"/>
      <c r="BNM72" s="146"/>
      <c r="BNN72" s="146"/>
      <c r="BNO72" s="146"/>
      <c r="BNP72" s="146"/>
      <c r="BNQ72" s="146"/>
      <c r="BNR72" s="146"/>
      <c r="BNS72" s="146"/>
      <c r="BNT72" s="146"/>
      <c r="BNU72" s="146"/>
      <c r="BNV72" s="146"/>
      <c r="BNW72" s="146"/>
      <c r="BNX72" s="146"/>
      <c r="BNY72" s="146"/>
      <c r="BNZ72" s="146"/>
      <c r="BOA72" s="146"/>
      <c r="BOB72" s="146"/>
      <c r="BOC72" s="146"/>
      <c r="BOD72" s="146"/>
      <c r="BOE72" s="146"/>
      <c r="BOF72" s="146"/>
      <c r="BOG72" s="146"/>
      <c r="BOH72" s="146"/>
      <c r="BOI72" s="146"/>
      <c r="BOJ72" s="146"/>
      <c r="BOK72" s="146"/>
      <c r="BOL72" s="146"/>
      <c r="BOM72" s="146"/>
      <c r="BON72" s="146"/>
      <c r="BOO72" s="146"/>
      <c r="BOP72" s="146"/>
      <c r="BOQ72" s="146"/>
      <c r="BOR72" s="146"/>
      <c r="BOS72" s="146"/>
      <c r="BOT72" s="146"/>
      <c r="BOU72" s="146"/>
      <c r="BOV72" s="146"/>
      <c r="BOW72" s="146"/>
      <c r="BOX72" s="146"/>
      <c r="BOY72" s="146"/>
      <c r="BOZ72" s="146"/>
      <c r="BPA72" s="146"/>
      <c r="BPB72" s="146"/>
      <c r="BPC72" s="146"/>
      <c r="BPD72" s="146"/>
      <c r="BPE72" s="146"/>
      <c r="BPF72" s="146"/>
      <c r="BPG72" s="146"/>
      <c r="BPH72" s="146"/>
      <c r="BPI72" s="146"/>
      <c r="BPJ72" s="146"/>
      <c r="BPK72" s="146"/>
      <c r="BPL72" s="146"/>
      <c r="BPM72" s="146"/>
      <c r="BPN72" s="146"/>
      <c r="BPO72" s="146"/>
      <c r="BPP72" s="146"/>
      <c r="BPQ72" s="146"/>
      <c r="BPR72" s="146"/>
      <c r="BPS72" s="146"/>
      <c r="BPT72" s="146"/>
      <c r="BPU72" s="146"/>
      <c r="BPV72" s="146"/>
      <c r="BPW72" s="146"/>
      <c r="BPX72" s="146"/>
      <c r="BPY72" s="146"/>
      <c r="BPZ72" s="146"/>
      <c r="BQA72" s="146"/>
      <c r="BQB72" s="146"/>
      <c r="BQC72" s="146"/>
      <c r="BQD72" s="146"/>
      <c r="BQE72" s="146"/>
      <c r="BQF72" s="146"/>
      <c r="BQG72" s="146"/>
      <c r="BQH72" s="146"/>
      <c r="BQI72" s="146"/>
      <c r="BQJ72" s="146"/>
      <c r="BQK72" s="146"/>
      <c r="BQL72" s="146"/>
      <c r="BQM72" s="146"/>
      <c r="BQN72" s="146"/>
      <c r="BQO72" s="146"/>
      <c r="BQP72" s="146"/>
      <c r="BQQ72" s="146"/>
      <c r="BQR72" s="146"/>
      <c r="BQS72" s="146"/>
      <c r="BQT72" s="146"/>
      <c r="BQU72" s="146"/>
      <c r="BQV72" s="146"/>
      <c r="BQW72" s="146"/>
      <c r="BQX72" s="146"/>
      <c r="BQY72" s="146"/>
      <c r="BQZ72" s="146"/>
      <c r="BRA72" s="146"/>
      <c r="BRB72" s="146"/>
      <c r="BRC72" s="146"/>
      <c r="BRD72" s="146"/>
      <c r="BRE72" s="146"/>
      <c r="BRF72" s="146"/>
      <c r="BRG72" s="146"/>
      <c r="BRH72" s="146"/>
      <c r="BRI72" s="146"/>
      <c r="BRJ72" s="146"/>
      <c r="BRK72" s="146"/>
      <c r="BRL72" s="146"/>
      <c r="BRM72" s="146"/>
      <c r="BRN72" s="146"/>
      <c r="BRO72" s="146"/>
      <c r="BRP72" s="146"/>
      <c r="BRQ72" s="146"/>
      <c r="BRR72" s="146"/>
      <c r="BRS72" s="146"/>
      <c r="BRT72" s="146"/>
      <c r="BRU72" s="146"/>
      <c r="BRV72" s="146"/>
      <c r="BRW72" s="146"/>
      <c r="BRX72" s="146"/>
      <c r="BRY72" s="146"/>
      <c r="BRZ72" s="146"/>
      <c r="BSA72" s="146"/>
      <c r="BSB72" s="146"/>
      <c r="BSC72" s="146"/>
      <c r="BSD72" s="146"/>
      <c r="BSE72" s="146"/>
      <c r="BSF72" s="146"/>
      <c r="BSG72" s="146"/>
      <c r="BSH72" s="146"/>
      <c r="BSI72" s="146"/>
      <c r="BSJ72" s="146"/>
      <c r="BSK72" s="146"/>
      <c r="BSL72" s="146"/>
      <c r="BSM72" s="146"/>
      <c r="BSN72" s="146"/>
      <c r="BSO72" s="146"/>
      <c r="BSP72" s="146"/>
      <c r="BSQ72" s="146"/>
      <c r="BSR72" s="146"/>
      <c r="BSS72" s="146"/>
      <c r="BST72" s="146"/>
      <c r="BSU72" s="146"/>
      <c r="BSV72" s="146"/>
      <c r="BSW72" s="146"/>
      <c r="BSX72" s="146"/>
      <c r="BSY72" s="146"/>
      <c r="BSZ72" s="146"/>
      <c r="BTA72" s="146"/>
      <c r="BTB72" s="146"/>
      <c r="BTC72" s="146"/>
      <c r="BTD72" s="146"/>
      <c r="BTE72" s="146"/>
      <c r="BTF72" s="146"/>
      <c r="BTG72" s="146"/>
      <c r="BTH72" s="146"/>
      <c r="BTI72" s="146"/>
      <c r="BTJ72" s="146"/>
      <c r="BTK72" s="146"/>
      <c r="BTL72" s="146"/>
      <c r="BTM72" s="146"/>
      <c r="BTN72" s="146"/>
      <c r="BTO72" s="146"/>
      <c r="BTP72" s="146"/>
      <c r="BTQ72" s="146"/>
      <c r="BTR72" s="146"/>
      <c r="BTS72" s="146"/>
      <c r="BTT72" s="146"/>
      <c r="BTU72" s="146"/>
      <c r="BTV72" s="146"/>
      <c r="BTW72" s="146"/>
      <c r="BTX72" s="146"/>
      <c r="BTY72" s="146"/>
      <c r="BTZ72" s="146"/>
      <c r="BUA72" s="146"/>
      <c r="BUB72" s="146"/>
      <c r="BUC72" s="146"/>
      <c r="BUD72" s="146"/>
      <c r="BUE72" s="146"/>
      <c r="BUF72" s="146"/>
      <c r="BUG72" s="146"/>
      <c r="BUH72" s="146"/>
      <c r="BUI72" s="146"/>
      <c r="BUJ72" s="146"/>
      <c r="BUK72" s="146"/>
      <c r="BUL72" s="146"/>
      <c r="BUM72" s="146"/>
      <c r="BUN72" s="146"/>
      <c r="BUO72" s="146"/>
      <c r="BUP72" s="146"/>
      <c r="BUQ72" s="146"/>
      <c r="BUR72" s="146"/>
      <c r="BUS72" s="146"/>
      <c r="BUT72" s="146"/>
      <c r="BUU72" s="146"/>
      <c r="BUV72" s="146"/>
      <c r="BUW72" s="146"/>
      <c r="BUX72" s="146"/>
      <c r="BUY72" s="146"/>
      <c r="BUZ72" s="146"/>
      <c r="BVA72" s="146"/>
      <c r="BVB72" s="146"/>
      <c r="BVC72" s="146"/>
      <c r="BVD72" s="146"/>
      <c r="BVE72" s="146"/>
      <c r="BVF72" s="146"/>
      <c r="BVG72" s="146"/>
      <c r="BVH72" s="146"/>
      <c r="BVI72" s="146"/>
      <c r="BVJ72" s="146"/>
      <c r="BVK72" s="146"/>
      <c r="BVL72" s="146"/>
      <c r="BVM72" s="146"/>
      <c r="BVN72" s="146"/>
      <c r="BVO72" s="146"/>
      <c r="BVP72" s="146"/>
      <c r="BVQ72" s="146"/>
      <c r="BVR72" s="146"/>
      <c r="BVS72" s="146"/>
      <c r="BVT72" s="146"/>
      <c r="BVU72" s="146"/>
      <c r="BVV72" s="146"/>
      <c r="BVW72" s="146"/>
      <c r="BVX72" s="146"/>
      <c r="BVY72" s="146"/>
      <c r="BVZ72" s="146"/>
      <c r="BWA72" s="146"/>
      <c r="BWB72" s="146"/>
      <c r="BWC72" s="146"/>
      <c r="BWD72" s="146"/>
      <c r="BWE72" s="146"/>
      <c r="BWF72" s="146"/>
      <c r="BWG72" s="146"/>
      <c r="BWH72" s="146"/>
      <c r="BWI72" s="146"/>
      <c r="BWJ72" s="146"/>
      <c r="BWK72" s="146"/>
      <c r="BWL72" s="146"/>
      <c r="BWM72" s="146"/>
      <c r="BWN72" s="146"/>
      <c r="BWO72" s="146"/>
      <c r="BWP72" s="146"/>
      <c r="BWQ72" s="146"/>
      <c r="BWR72" s="146"/>
      <c r="BWS72" s="146"/>
      <c r="BWT72" s="146"/>
      <c r="BWU72" s="146"/>
      <c r="BWV72" s="146"/>
      <c r="BWW72" s="146"/>
      <c r="BWX72" s="146"/>
      <c r="BWY72" s="146"/>
      <c r="BWZ72" s="146"/>
      <c r="BXA72" s="146"/>
      <c r="BXB72" s="146"/>
      <c r="BXC72" s="146"/>
      <c r="BXD72" s="146"/>
      <c r="BXE72" s="146"/>
      <c r="BXF72" s="146"/>
      <c r="BXG72" s="146"/>
      <c r="BXH72" s="146"/>
      <c r="BXI72" s="146"/>
      <c r="BXJ72" s="146"/>
      <c r="BXK72" s="146"/>
      <c r="BXL72" s="146"/>
      <c r="BXM72" s="146"/>
      <c r="BXN72" s="146"/>
      <c r="BXO72" s="146"/>
      <c r="BXP72" s="146"/>
      <c r="BXQ72" s="146"/>
      <c r="BXR72" s="146"/>
      <c r="BXS72" s="146"/>
      <c r="BXT72" s="146"/>
      <c r="BXU72" s="146"/>
      <c r="BXV72" s="146"/>
      <c r="BXW72" s="146"/>
      <c r="BXX72" s="146"/>
      <c r="BXY72" s="146"/>
      <c r="BXZ72" s="146"/>
      <c r="BYA72" s="146"/>
      <c r="BYB72" s="146"/>
      <c r="BYC72" s="146"/>
      <c r="BYD72" s="146"/>
      <c r="BYE72" s="146"/>
      <c r="BYF72" s="146"/>
      <c r="BYG72" s="146"/>
      <c r="BYH72" s="146"/>
      <c r="BYI72" s="146"/>
      <c r="BYJ72" s="146"/>
      <c r="BYK72" s="146"/>
      <c r="BYL72" s="146"/>
      <c r="BYM72" s="146"/>
      <c r="BYN72" s="146"/>
      <c r="BYO72" s="146"/>
      <c r="BYP72" s="146"/>
      <c r="BYQ72" s="146"/>
      <c r="BYR72" s="146"/>
      <c r="BYS72" s="146"/>
      <c r="BYT72" s="146"/>
      <c r="BYU72" s="146"/>
      <c r="BYV72" s="146"/>
      <c r="BYW72" s="146"/>
      <c r="BYX72" s="146"/>
      <c r="BYY72" s="146"/>
      <c r="BYZ72" s="146"/>
      <c r="BZA72" s="146"/>
      <c r="BZB72" s="146"/>
      <c r="BZC72" s="146"/>
      <c r="BZD72" s="146"/>
      <c r="BZE72" s="146"/>
      <c r="BZF72" s="146"/>
      <c r="BZG72" s="146"/>
      <c r="BZH72" s="146"/>
      <c r="BZI72" s="146"/>
      <c r="BZJ72" s="146"/>
      <c r="BZK72" s="146"/>
      <c r="BZL72" s="146"/>
      <c r="BZM72" s="146"/>
      <c r="BZN72" s="146"/>
      <c r="BZO72" s="146"/>
      <c r="BZP72" s="146"/>
      <c r="BZQ72" s="146"/>
      <c r="BZR72" s="146"/>
      <c r="BZS72" s="146"/>
      <c r="BZT72" s="146"/>
      <c r="BZU72" s="146"/>
      <c r="BZV72" s="146"/>
      <c r="BZW72" s="146"/>
      <c r="BZX72" s="146"/>
      <c r="BZY72" s="146"/>
      <c r="BZZ72" s="146"/>
      <c r="CAA72" s="146"/>
      <c r="CAB72" s="146"/>
      <c r="CAC72" s="146"/>
      <c r="CAD72" s="146"/>
      <c r="CAE72" s="146"/>
      <c r="CAF72" s="146"/>
      <c r="CAG72" s="146"/>
      <c r="CAH72" s="146"/>
      <c r="CAI72" s="146"/>
      <c r="CAJ72" s="146"/>
      <c r="CAK72" s="146"/>
      <c r="CAL72" s="146"/>
      <c r="CAM72" s="146"/>
      <c r="CAN72" s="146"/>
      <c r="CAO72" s="146"/>
      <c r="CAP72" s="146"/>
      <c r="CAQ72" s="146"/>
      <c r="CAR72" s="146"/>
      <c r="CAS72" s="146"/>
      <c r="CAT72" s="146"/>
      <c r="CAU72" s="146"/>
      <c r="CAV72" s="146"/>
      <c r="CAW72" s="146"/>
      <c r="CAX72" s="146"/>
      <c r="CAY72" s="146"/>
      <c r="CAZ72" s="146"/>
      <c r="CBA72" s="146"/>
      <c r="CBB72" s="146"/>
      <c r="CBC72" s="146"/>
      <c r="CBD72" s="146"/>
      <c r="CBE72" s="146"/>
      <c r="CBF72" s="146"/>
      <c r="CBG72" s="146"/>
      <c r="CBH72" s="146"/>
      <c r="CBI72" s="146"/>
      <c r="CBJ72" s="146"/>
      <c r="CBK72" s="146"/>
      <c r="CBL72" s="146"/>
      <c r="CBM72" s="146"/>
      <c r="CBN72" s="146"/>
      <c r="CBO72" s="146"/>
      <c r="CBP72" s="146"/>
      <c r="CBQ72" s="146"/>
      <c r="CBR72" s="146"/>
      <c r="CBS72" s="146"/>
      <c r="CBT72" s="146"/>
      <c r="CBU72" s="146"/>
      <c r="CBV72" s="146"/>
      <c r="CBW72" s="146"/>
      <c r="CBX72" s="146"/>
      <c r="CBY72" s="146"/>
      <c r="CBZ72" s="146"/>
      <c r="CCA72" s="146"/>
      <c r="CCB72" s="146"/>
      <c r="CCC72" s="146"/>
      <c r="CCD72" s="146"/>
      <c r="CCE72" s="146"/>
      <c r="CCF72" s="146"/>
      <c r="CCG72" s="146"/>
      <c r="CCH72" s="146"/>
      <c r="CCI72" s="146"/>
      <c r="CCJ72" s="146"/>
      <c r="CCK72" s="146"/>
      <c r="CCL72" s="146"/>
      <c r="CCM72" s="146"/>
      <c r="CCN72" s="146"/>
      <c r="CCO72" s="146"/>
      <c r="CCP72" s="146"/>
      <c r="CCQ72" s="146"/>
      <c r="CCR72" s="146"/>
      <c r="CCS72" s="146"/>
      <c r="CCT72" s="146"/>
      <c r="CCU72" s="146"/>
      <c r="CCV72" s="146"/>
      <c r="CCW72" s="146"/>
      <c r="CCX72" s="146"/>
      <c r="CCY72" s="146"/>
      <c r="CCZ72" s="146"/>
      <c r="CDA72" s="146"/>
      <c r="CDB72" s="146"/>
      <c r="CDC72" s="146"/>
      <c r="CDD72" s="146"/>
      <c r="CDE72" s="146"/>
      <c r="CDF72" s="146"/>
      <c r="CDG72" s="146"/>
      <c r="CDH72" s="146"/>
      <c r="CDI72" s="146"/>
      <c r="CDJ72" s="146"/>
      <c r="CDK72" s="146"/>
      <c r="CDL72" s="146"/>
      <c r="CDM72" s="146"/>
      <c r="CDN72" s="146"/>
      <c r="CDO72" s="146"/>
      <c r="CDP72" s="146"/>
      <c r="CDQ72" s="146"/>
      <c r="CDR72" s="146"/>
      <c r="CDS72" s="146"/>
      <c r="CDT72" s="146"/>
      <c r="CDU72" s="146"/>
      <c r="CDV72" s="146"/>
      <c r="CDW72" s="146"/>
      <c r="CDX72" s="146"/>
      <c r="CDY72" s="146"/>
      <c r="CDZ72" s="146"/>
      <c r="CEA72" s="146"/>
      <c r="CEB72" s="146"/>
      <c r="CEC72" s="146"/>
      <c r="CED72" s="146"/>
      <c r="CEE72" s="146"/>
      <c r="CEF72" s="146"/>
      <c r="CEG72" s="146"/>
      <c r="CEH72" s="146"/>
      <c r="CEI72" s="146"/>
      <c r="CEJ72" s="146"/>
      <c r="CEK72" s="146"/>
      <c r="CEL72" s="146"/>
      <c r="CEM72" s="146"/>
      <c r="CEN72" s="146"/>
      <c r="CEO72" s="146"/>
      <c r="CEP72" s="146"/>
      <c r="CEQ72" s="146"/>
      <c r="CER72" s="146"/>
      <c r="CES72" s="146"/>
      <c r="CET72" s="146"/>
      <c r="CEU72" s="146"/>
      <c r="CEV72" s="146"/>
      <c r="CEW72" s="146"/>
      <c r="CEX72" s="146"/>
      <c r="CEY72" s="146"/>
      <c r="CEZ72" s="146"/>
      <c r="CFA72" s="146"/>
      <c r="CFB72" s="146"/>
      <c r="CFC72" s="146"/>
      <c r="CFD72" s="146"/>
      <c r="CFE72" s="146"/>
      <c r="CFF72" s="146"/>
      <c r="CFG72" s="146"/>
      <c r="CFH72" s="146"/>
      <c r="CFI72" s="146"/>
      <c r="CFJ72" s="146"/>
      <c r="CFK72" s="146"/>
      <c r="CFL72" s="146"/>
      <c r="CFM72" s="146"/>
      <c r="CFN72" s="146"/>
      <c r="CFO72" s="146"/>
      <c r="CFP72" s="146"/>
      <c r="CFQ72" s="146"/>
      <c r="CFR72" s="146"/>
      <c r="CFS72" s="146"/>
      <c r="CFT72" s="146"/>
      <c r="CFU72" s="146"/>
      <c r="CFV72" s="146"/>
      <c r="CFW72" s="146"/>
      <c r="CFX72" s="146"/>
      <c r="CFY72" s="146"/>
      <c r="CFZ72" s="146"/>
      <c r="CGA72" s="146"/>
      <c r="CGB72" s="146"/>
      <c r="CGC72" s="146"/>
      <c r="CGD72" s="146"/>
      <c r="CGE72" s="146"/>
      <c r="CGF72" s="146"/>
      <c r="CGG72" s="146"/>
      <c r="CGH72" s="146"/>
      <c r="CGI72" s="146"/>
      <c r="CGJ72" s="146"/>
      <c r="CGK72" s="146"/>
      <c r="CGL72" s="146"/>
      <c r="CGM72" s="146"/>
      <c r="CGN72" s="146"/>
      <c r="CGO72" s="146"/>
      <c r="CGP72" s="146"/>
      <c r="CGQ72" s="146"/>
      <c r="CGR72" s="146"/>
      <c r="CGS72" s="146"/>
      <c r="CGT72" s="146"/>
      <c r="CGU72" s="146"/>
      <c r="CGV72" s="146"/>
      <c r="CGW72" s="146"/>
      <c r="CGX72" s="146"/>
      <c r="CGY72" s="146"/>
      <c r="CGZ72" s="146"/>
      <c r="CHA72" s="146"/>
      <c r="CHB72" s="146"/>
      <c r="CHC72" s="146"/>
      <c r="CHD72" s="146"/>
      <c r="CHE72" s="146"/>
      <c r="CHF72" s="146"/>
      <c r="CHG72" s="146"/>
      <c r="CHH72" s="146"/>
      <c r="CHI72" s="146"/>
      <c r="CHJ72" s="146"/>
      <c r="CHK72" s="146"/>
      <c r="CHL72" s="146"/>
      <c r="CHM72" s="146"/>
      <c r="CHN72" s="146"/>
      <c r="CHO72" s="146"/>
      <c r="CHP72" s="146"/>
      <c r="CHQ72" s="146"/>
      <c r="CHR72" s="146"/>
      <c r="CHS72" s="146"/>
      <c r="CHT72" s="146"/>
      <c r="CHU72" s="146"/>
      <c r="CHV72" s="146"/>
      <c r="CHW72" s="146"/>
      <c r="CHX72" s="146"/>
      <c r="CHY72" s="146"/>
      <c r="CHZ72" s="146"/>
      <c r="CIA72" s="146"/>
      <c r="CIB72" s="146"/>
      <c r="CIC72" s="146"/>
      <c r="CID72" s="146"/>
      <c r="CIE72" s="146"/>
      <c r="CIF72" s="146"/>
      <c r="CIG72" s="146"/>
      <c r="CIH72" s="146"/>
      <c r="CII72" s="146"/>
      <c r="CIJ72" s="146"/>
      <c r="CIK72" s="146"/>
      <c r="CIL72" s="146"/>
      <c r="CIM72" s="146"/>
      <c r="CIN72" s="146"/>
      <c r="CIO72" s="146"/>
      <c r="CIP72" s="146"/>
      <c r="CIQ72" s="146"/>
      <c r="CIR72" s="146"/>
      <c r="CIS72" s="146"/>
      <c r="CIT72" s="146"/>
      <c r="CIU72" s="146"/>
      <c r="CIV72" s="146"/>
      <c r="CIW72" s="146"/>
      <c r="CIX72" s="146"/>
      <c r="CIY72" s="146"/>
      <c r="CIZ72" s="146"/>
      <c r="CJA72" s="146"/>
      <c r="CJB72" s="146"/>
      <c r="CJC72" s="146"/>
      <c r="CJD72" s="146"/>
      <c r="CJE72" s="146"/>
      <c r="CJF72" s="146"/>
      <c r="CJG72" s="146"/>
      <c r="CJH72" s="146"/>
      <c r="CJI72" s="146"/>
      <c r="CJJ72" s="146"/>
      <c r="CJK72" s="146"/>
      <c r="CJL72" s="146"/>
      <c r="CJM72" s="146"/>
      <c r="CJN72" s="146"/>
      <c r="CJO72" s="146"/>
      <c r="CJP72" s="146"/>
      <c r="CJQ72" s="146"/>
      <c r="CJR72" s="146"/>
      <c r="CJS72" s="146"/>
      <c r="CJT72" s="146"/>
      <c r="CJU72" s="146"/>
      <c r="CJV72" s="146"/>
      <c r="CJW72" s="146"/>
      <c r="CJX72" s="146"/>
      <c r="CJY72" s="146"/>
      <c r="CJZ72" s="146"/>
      <c r="CKA72" s="146"/>
      <c r="CKB72" s="146"/>
      <c r="CKC72" s="146"/>
      <c r="CKD72" s="146"/>
      <c r="CKE72" s="146"/>
      <c r="CKF72" s="146"/>
      <c r="CKG72" s="146"/>
      <c r="CKH72" s="146"/>
      <c r="CKI72" s="146"/>
      <c r="CKJ72" s="146"/>
      <c r="CKK72" s="146"/>
      <c r="CKL72" s="146"/>
      <c r="CKM72" s="146"/>
      <c r="CKN72" s="146"/>
      <c r="CKO72" s="146"/>
      <c r="CKP72" s="146"/>
      <c r="CKQ72" s="146"/>
      <c r="CKR72" s="146"/>
      <c r="CKS72" s="146"/>
      <c r="CKT72" s="146"/>
      <c r="CKU72" s="146"/>
      <c r="CKV72" s="146"/>
      <c r="CKW72" s="146"/>
      <c r="CKX72" s="146"/>
      <c r="CKY72" s="146"/>
      <c r="CKZ72" s="146"/>
      <c r="CLA72" s="146"/>
      <c r="CLB72" s="146"/>
      <c r="CLC72" s="146"/>
      <c r="CLD72" s="146"/>
      <c r="CLE72" s="146"/>
      <c r="CLF72" s="146"/>
      <c r="CLG72" s="146"/>
      <c r="CLH72" s="146"/>
      <c r="CLI72" s="146"/>
      <c r="CLJ72" s="146"/>
      <c r="CLK72" s="146"/>
      <c r="CLL72" s="146"/>
      <c r="CLM72" s="146"/>
      <c r="CLN72" s="146"/>
      <c r="CLO72" s="146"/>
      <c r="CLP72" s="146"/>
      <c r="CLQ72" s="146"/>
      <c r="CLR72" s="146"/>
      <c r="CLS72" s="146"/>
      <c r="CLT72" s="146"/>
      <c r="CLU72" s="146"/>
      <c r="CLV72" s="146"/>
      <c r="CLW72" s="146"/>
      <c r="CLX72" s="146"/>
      <c r="CLY72" s="146"/>
      <c r="CLZ72" s="146"/>
      <c r="CMA72" s="146"/>
      <c r="CMB72" s="146"/>
      <c r="CMC72" s="146"/>
      <c r="CMD72" s="146"/>
      <c r="CME72" s="146"/>
      <c r="CMF72" s="146"/>
      <c r="CMG72" s="146"/>
      <c r="CMH72" s="146"/>
      <c r="CMI72" s="146"/>
      <c r="CMJ72" s="146"/>
      <c r="CMK72" s="146"/>
      <c r="CML72" s="146"/>
      <c r="CMM72" s="146"/>
      <c r="CMN72" s="146"/>
      <c r="CMO72" s="146"/>
      <c r="CMP72" s="146"/>
      <c r="CMQ72" s="146"/>
      <c r="CMR72" s="146"/>
      <c r="CMS72" s="146"/>
      <c r="CMT72" s="146"/>
      <c r="CMU72" s="146"/>
      <c r="CMV72" s="146"/>
      <c r="CMW72" s="146"/>
      <c r="CMX72" s="146"/>
      <c r="CMY72" s="146"/>
      <c r="CMZ72" s="146"/>
      <c r="CNA72" s="146"/>
      <c r="CNB72" s="146"/>
      <c r="CNC72" s="146"/>
      <c r="CND72" s="146"/>
      <c r="CNE72" s="146"/>
      <c r="CNF72" s="146"/>
      <c r="CNG72" s="146"/>
      <c r="CNH72" s="146"/>
      <c r="CNI72" s="146"/>
      <c r="CNJ72" s="146"/>
      <c r="CNK72" s="146"/>
      <c r="CNL72" s="146"/>
      <c r="CNM72" s="146"/>
      <c r="CNN72" s="146"/>
      <c r="CNO72" s="146"/>
      <c r="CNP72" s="146"/>
      <c r="CNQ72" s="146"/>
      <c r="CNR72" s="146"/>
      <c r="CNS72" s="146"/>
      <c r="CNT72" s="146"/>
      <c r="CNU72" s="146"/>
      <c r="CNV72" s="146"/>
      <c r="CNW72" s="146"/>
      <c r="CNX72" s="146"/>
      <c r="CNY72" s="146"/>
      <c r="CNZ72" s="146"/>
      <c r="COA72" s="146"/>
      <c r="COB72" s="146"/>
      <c r="COC72" s="146"/>
      <c r="COD72" s="146"/>
      <c r="COE72" s="146"/>
      <c r="COF72" s="146"/>
      <c r="COG72" s="146"/>
      <c r="COH72" s="146"/>
      <c r="COI72" s="146"/>
      <c r="COJ72" s="146"/>
      <c r="COK72" s="146"/>
      <c r="COL72" s="146"/>
      <c r="COM72" s="146"/>
      <c r="CON72" s="146"/>
      <c r="COO72" s="146"/>
      <c r="COP72" s="146"/>
      <c r="COQ72" s="146"/>
      <c r="COR72" s="146"/>
      <c r="COS72" s="146"/>
      <c r="COT72" s="146"/>
      <c r="COU72" s="146"/>
      <c r="COV72" s="146"/>
      <c r="COW72" s="146"/>
      <c r="COX72" s="146"/>
      <c r="COY72" s="146"/>
      <c r="COZ72" s="146"/>
      <c r="CPA72" s="146"/>
      <c r="CPB72" s="146"/>
      <c r="CPC72" s="146"/>
      <c r="CPD72" s="146"/>
      <c r="CPE72" s="146"/>
      <c r="CPF72" s="146"/>
      <c r="CPG72" s="146"/>
      <c r="CPH72" s="146"/>
      <c r="CPI72" s="146"/>
      <c r="CPJ72" s="146"/>
      <c r="CPK72" s="146"/>
      <c r="CPL72" s="146"/>
      <c r="CPM72" s="146"/>
      <c r="CPN72" s="146"/>
      <c r="CPO72" s="146"/>
      <c r="CPP72" s="146"/>
      <c r="CPQ72" s="146"/>
      <c r="CPR72" s="146"/>
      <c r="CPS72" s="146"/>
      <c r="CPT72" s="146"/>
      <c r="CPU72" s="146"/>
      <c r="CPV72" s="146"/>
      <c r="CPW72" s="146"/>
      <c r="CPX72" s="146"/>
      <c r="CPY72" s="146"/>
      <c r="CPZ72" s="146"/>
      <c r="CQA72" s="146"/>
      <c r="CQB72" s="146"/>
      <c r="CQC72" s="146"/>
      <c r="CQD72" s="146"/>
      <c r="CQE72" s="146"/>
      <c r="CQF72" s="146"/>
      <c r="CQG72" s="146"/>
      <c r="CQH72" s="146"/>
      <c r="CQI72" s="146"/>
      <c r="CQJ72" s="146"/>
      <c r="CQK72" s="146"/>
      <c r="CQL72" s="146"/>
      <c r="CQM72" s="146"/>
      <c r="CQN72" s="146"/>
      <c r="CQO72" s="146"/>
      <c r="CQP72" s="146"/>
      <c r="CQQ72" s="146"/>
      <c r="CQR72" s="146"/>
      <c r="CQS72" s="146"/>
      <c r="CQT72" s="146"/>
      <c r="CQU72" s="146"/>
      <c r="CQV72" s="146"/>
      <c r="CQW72" s="146"/>
      <c r="CQX72" s="146"/>
      <c r="CQY72" s="146"/>
      <c r="CQZ72" s="146"/>
      <c r="CRA72" s="146"/>
      <c r="CRB72" s="146"/>
      <c r="CRC72" s="146"/>
      <c r="CRD72" s="146"/>
      <c r="CRE72" s="146"/>
      <c r="CRF72" s="146"/>
      <c r="CRG72" s="146"/>
      <c r="CRH72" s="146"/>
      <c r="CRI72" s="146"/>
      <c r="CRJ72" s="146"/>
      <c r="CRK72" s="146"/>
      <c r="CRL72" s="146"/>
      <c r="CRM72" s="146"/>
      <c r="CRN72" s="146"/>
      <c r="CRO72" s="146"/>
      <c r="CRP72" s="146"/>
      <c r="CRQ72" s="146"/>
      <c r="CRR72" s="146"/>
      <c r="CRS72" s="146"/>
      <c r="CRT72" s="146"/>
      <c r="CRU72" s="146"/>
      <c r="CRV72" s="146"/>
      <c r="CRW72" s="146"/>
      <c r="CRX72" s="146"/>
      <c r="CRY72" s="146"/>
      <c r="CRZ72" s="146"/>
      <c r="CSA72" s="146"/>
      <c r="CSB72" s="146"/>
      <c r="CSC72" s="146"/>
      <c r="CSD72" s="146"/>
      <c r="CSE72" s="146"/>
      <c r="CSF72" s="146"/>
      <c r="CSG72" s="146"/>
      <c r="CSH72" s="146"/>
      <c r="CSI72" s="146"/>
      <c r="CSJ72" s="146"/>
      <c r="CSK72" s="146"/>
      <c r="CSL72" s="146"/>
      <c r="CSM72" s="146"/>
      <c r="CSN72" s="146"/>
      <c r="CSO72" s="146"/>
      <c r="CSP72" s="146"/>
      <c r="CSQ72" s="146"/>
      <c r="CSR72" s="146"/>
      <c r="CSS72" s="146"/>
      <c r="CST72" s="146"/>
      <c r="CSU72" s="146"/>
      <c r="CSV72" s="146"/>
      <c r="CSW72" s="146"/>
      <c r="CSX72" s="146"/>
      <c r="CSY72" s="146"/>
      <c r="CSZ72" s="146"/>
      <c r="CTA72" s="146"/>
      <c r="CTB72" s="146"/>
      <c r="CTC72" s="146"/>
      <c r="CTD72" s="146"/>
      <c r="CTE72" s="146"/>
      <c r="CTF72" s="146"/>
      <c r="CTG72" s="146"/>
      <c r="CTH72" s="146"/>
      <c r="CTI72" s="146"/>
      <c r="CTJ72" s="146"/>
      <c r="CTK72" s="146"/>
      <c r="CTL72" s="146"/>
      <c r="CTM72" s="146"/>
      <c r="CTN72" s="146"/>
      <c r="CTO72" s="146"/>
      <c r="CTP72" s="146"/>
      <c r="CTQ72" s="146"/>
      <c r="CTR72" s="146"/>
      <c r="CTS72" s="146"/>
      <c r="CTT72" s="146"/>
      <c r="CTU72" s="146"/>
      <c r="CTV72" s="146"/>
      <c r="CTW72" s="146"/>
      <c r="CTX72" s="146"/>
      <c r="CTY72" s="146"/>
      <c r="CTZ72" s="146"/>
      <c r="CUA72" s="146"/>
      <c r="CUB72" s="146"/>
      <c r="CUC72" s="146"/>
      <c r="CUD72" s="146"/>
      <c r="CUE72" s="146"/>
      <c r="CUF72" s="146"/>
      <c r="CUG72" s="146"/>
      <c r="CUH72" s="146"/>
      <c r="CUI72" s="146"/>
      <c r="CUJ72" s="146"/>
      <c r="CUK72" s="146"/>
      <c r="CUL72" s="146"/>
      <c r="CUM72" s="146"/>
      <c r="CUN72" s="146"/>
      <c r="CUO72" s="146"/>
      <c r="CUP72" s="146"/>
      <c r="CUQ72" s="146"/>
      <c r="CUR72" s="146"/>
      <c r="CUS72" s="146"/>
      <c r="CUT72" s="146"/>
      <c r="CUU72" s="146"/>
      <c r="CUV72" s="146"/>
      <c r="CUW72" s="146"/>
      <c r="CUX72" s="146"/>
      <c r="CUY72" s="146"/>
      <c r="CUZ72" s="146"/>
      <c r="CVA72" s="146"/>
      <c r="CVB72" s="146"/>
      <c r="CVC72" s="146"/>
      <c r="CVD72" s="146"/>
      <c r="CVE72" s="146"/>
      <c r="CVF72" s="146"/>
      <c r="CVG72" s="146"/>
      <c r="CVH72" s="146"/>
      <c r="CVI72" s="146"/>
      <c r="CVJ72" s="146"/>
      <c r="CVK72" s="146"/>
      <c r="CVL72" s="146"/>
      <c r="CVM72" s="146"/>
      <c r="CVN72" s="146"/>
      <c r="CVO72" s="146"/>
      <c r="CVP72" s="146"/>
      <c r="CVQ72" s="146"/>
      <c r="CVR72" s="146"/>
      <c r="CVS72" s="146"/>
      <c r="CVT72" s="146"/>
      <c r="CVU72" s="146"/>
      <c r="CVV72" s="146"/>
      <c r="CVW72" s="146"/>
      <c r="CVX72" s="146"/>
      <c r="CVY72" s="146"/>
      <c r="CVZ72" s="146"/>
      <c r="CWA72" s="146"/>
      <c r="CWB72" s="146"/>
      <c r="CWC72" s="146"/>
      <c r="CWD72" s="146"/>
      <c r="CWE72" s="146"/>
      <c r="CWF72" s="146"/>
      <c r="CWG72" s="146"/>
      <c r="CWH72" s="146"/>
      <c r="CWI72" s="146"/>
      <c r="CWJ72" s="146"/>
      <c r="CWK72" s="146"/>
      <c r="CWL72" s="146"/>
      <c r="CWM72" s="146"/>
      <c r="CWN72" s="146"/>
      <c r="CWO72" s="146"/>
      <c r="CWP72" s="146"/>
      <c r="CWQ72" s="146"/>
      <c r="CWR72" s="146"/>
      <c r="CWS72" s="146"/>
      <c r="CWT72" s="146"/>
      <c r="CWU72" s="146"/>
      <c r="CWV72" s="146"/>
      <c r="CWW72" s="146"/>
      <c r="CWX72" s="146"/>
      <c r="CWY72" s="146"/>
      <c r="CWZ72" s="146"/>
      <c r="CXA72" s="146"/>
      <c r="CXB72" s="146"/>
      <c r="CXC72" s="146"/>
      <c r="CXD72" s="146"/>
      <c r="CXE72" s="146"/>
      <c r="CXF72" s="146"/>
      <c r="CXG72" s="146"/>
      <c r="CXH72" s="146"/>
      <c r="CXI72" s="146"/>
      <c r="CXJ72" s="146"/>
      <c r="CXK72" s="146"/>
      <c r="CXL72" s="146"/>
      <c r="CXM72" s="146"/>
      <c r="CXN72" s="146"/>
      <c r="CXO72" s="146"/>
      <c r="CXP72" s="146"/>
      <c r="CXQ72" s="146"/>
      <c r="CXR72" s="146"/>
      <c r="CXS72" s="146"/>
      <c r="CXT72" s="146"/>
      <c r="CXU72" s="146"/>
      <c r="CXV72" s="146"/>
      <c r="CXW72" s="146"/>
      <c r="CXX72" s="146"/>
      <c r="CXY72" s="146"/>
      <c r="CXZ72" s="146"/>
      <c r="CYA72" s="146"/>
      <c r="CYB72" s="146"/>
      <c r="CYC72" s="146"/>
      <c r="CYD72" s="146"/>
      <c r="CYE72" s="146"/>
      <c r="CYF72" s="146"/>
      <c r="CYG72" s="146"/>
      <c r="CYH72" s="146"/>
      <c r="CYI72" s="146"/>
      <c r="CYJ72" s="146"/>
      <c r="CYK72" s="146"/>
      <c r="CYL72" s="146"/>
      <c r="CYM72" s="146"/>
      <c r="CYN72" s="146"/>
      <c r="CYO72" s="146"/>
      <c r="CYP72" s="146"/>
      <c r="CYQ72" s="146"/>
      <c r="CYR72" s="146"/>
      <c r="CYS72" s="146"/>
      <c r="CYT72" s="146"/>
      <c r="CYU72" s="146"/>
      <c r="CYV72" s="146"/>
      <c r="CYW72" s="146"/>
      <c r="CYX72" s="146"/>
      <c r="CYY72" s="146"/>
      <c r="CYZ72" s="146"/>
      <c r="CZA72" s="146"/>
      <c r="CZB72" s="146"/>
      <c r="CZC72" s="146"/>
      <c r="CZD72" s="146"/>
      <c r="CZE72" s="146"/>
      <c r="CZF72" s="146"/>
      <c r="CZG72" s="146"/>
      <c r="CZH72" s="146"/>
      <c r="CZI72" s="146"/>
      <c r="CZJ72" s="146"/>
      <c r="CZK72" s="146"/>
      <c r="CZL72" s="146"/>
      <c r="CZM72" s="146"/>
      <c r="CZN72" s="146"/>
      <c r="CZO72" s="146"/>
      <c r="CZP72" s="146"/>
      <c r="CZQ72" s="146"/>
      <c r="CZR72" s="146"/>
      <c r="CZS72" s="146"/>
      <c r="CZT72" s="146"/>
      <c r="CZU72" s="146"/>
      <c r="CZV72" s="146"/>
      <c r="CZW72" s="146"/>
      <c r="CZX72" s="146"/>
      <c r="CZY72" s="146"/>
      <c r="CZZ72" s="146"/>
      <c r="DAA72" s="146"/>
      <c r="DAB72" s="146"/>
      <c r="DAC72" s="146"/>
      <c r="DAD72" s="146"/>
      <c r="DAE72" s="146"/>
      <c r="DAF72" s="146"/>
      <c r="DAG72" s="146"/>
      <c r="DAH72" s="146"/>
      <c r="DAI72" s="146"/>
      <c r="DAJ72" s="146"/>
      <c r="DAK72" s="146"/>
      <c r="DAL72" s="146"/>
      <c r="DAM72" s="146"/>
      <c r="DAN72" s="146"/>
      <c r="DAO72" s="146"/>
      <c r="DAP72" s="146"/>
      <c r="DAQ72" s="146"/>
      <c r="DAR72" s="146"/>
      <c r="DAS72" s="146"/>
      <c r="DAT72" s="146"/>
      <c r="DAU72" s="146"/>
      <c r="DAV72" s="146"/>
      <c r="DAW72" s="146"/>
      <c r="DAX72" s="146"/>
      <c r="DAY72" s="146"/>
      <c r="DAZ72" s="146"/>
      <c r="DBA72" s="146"/>
      <c r="DBB72" s="146"/>
      <c r="DBC72" s="146"/>
      <c r="DBD72" s="146"/>
      <c r="DBE72" s="146"/>
      <c r="DBF72" s="146"/>
      <c r="DBG72" s="146"/>
      <c r="DBH72" s="146"/>
      <c r="DBI72" s="146"/>
      <c r="DBJ72" s="146"/>
      <c r="DBK72" s="146"/>
      <c r="DBL72" s="146"/>
      <c r="DBM72" s="146"/>
      <c r="DBN72" s="146"/>
      <c r="DBO72" s="146"/>
      <c r="DBP72" s="146"/>
      <c r="DBQ72" s="146"/>
      <c r="DBR72" s="146"/>
      <c r="DBS72" s="146"/>
      <c r="DBT72" s="146"/>
      <c r="DBU72" s="146"/>
      <c r="DBV72" s="146"/>
      <c r="DBW72" s="146"/>
      <c r="DBX72" s="146"/>
      <c r="DBY72" s="146"/>
      <c r="DBZ72" s="146"/>
      <c r="DCA72" s="146"/>
      <c r="DCB72" s="146"/>
      <c r="DCC72" s="146"/>
      <c r="DCD72" s="146"/>
      <c r="DCE72" s="146"/>
      <c r="DCF72" s="146"/>
      <c r="DCG72" s="146"/>
      <c r="DCH72" s="146"/>
      <c r="DCI72" s="146"/>
      <c r="DCJ72" s="146"/>
      <c r="DCK72" s="146"/>
      <c r="DCL72" s="146"/>
      <c r="DCM72" s="146"/>
      <c r="DCN72" s="146"/>
      <c r="DCO72" s="146"/>
      <c r="DCP72" s="146"/>
      <c r="DCQ72" s="146"/>
      <c r="DCR72" s="146"/>
      <c r="DCS72" s="146"/>
      <c r="DCT72" s="146"/>
      <c r="DCU72" s="146"/>
      <c r="DCV72" s="146"/>
      <c r="DCW72" s="146"/>
      <c r="DCX72" s="146"/>
      <c r="DCY72" s="146"/>
      <c r="DCZ72" s="146"/>
      <c r="DDA72" s="146"/>
      <c r="DDB72" s="146"/>
      <c r="DDC72" s="146"/>
      <c r="DDD72" s="146"/>
      <c r="DDE72" s="146"/>
      <c r="DDF72" s="146"/>
      <c r="DDG72" s="146"/>
      <c r="DDH72" s="146"/>
      <c r="DDI72" s="146"/>
      <c r="DDJ72" s="146"/>
      <c r="DDK72" s="146"/>
      <c r="DDL72" s="146"/>
      <c r="DDM72" s="146"/>
      <c r="DDN72" s="146"/>
      <c r="DDO72" s="146"/>
      <c r="DDP72" s="146"/>
      <c r="DDQ72" s="146"/>
      <c r="DDR72" s="146"/>
      <c r="DDS72" s="146"/>
      <c r="DDT72" s="146"/>
      <c r="DDU72" s="146"/>
      <c r="DDV72" s="146"/>
      <c r="DDW72" s="146"/>
      <c r="DDX72" s="146"/>
      <c r="DDY72" s="146"/>
      <c r="DDZ72" s="146"/>
      <c r="DEA72" s="146"/>
      <c r="DEB72" s="146"/>
      <c r="DEC72" s="146"/>
      <c r="DED72" s="146"/>
      <c r="DEE72" s="146"/>
      <c r="DEF72" s="146"/>
      <c r="DEG72" s="146"/>
      <c r="DEH72" s="146"/>
      <c r="DEI72" s="146"/>
      <c r="DEJ72" s="146"/>
      <c r="DEK72" s="146"/>
      <c r="DEL72" s="146"/>
      <c r="DEM72" s="146"/>
      <c r="DEN72" s="146"/>
      <c r="DEO72" s="146"/>
      <c r="DEP72" s="146"/>
      <c r="DEQ72" s="146"/>
      <c r="DER72" s="146"/>
      <c r="DES72" s="146"/>
      <c r="DET72" s="146"/>
      <c r="DEU72" s="146"/>
      <c r="DEV72" s="146"/>
      <c r="DEW72" s="146"/>
      <c r="DEX72" s="146"/>
      <c r="DEY72" s="146"/>
      <c r="DEZ72" s="146"/>
      <c r="DFA72" s="146"/>
      <c r="DFB72" s="146"/>
      <c r="DFC72" s="146"/>
      <c r="DFD72" s="146"/>
      <c r="DFE72" s="146"/>
      <c r="DFF72" s="146"/>
      <c r="DFG72" s="146"/>
      <c r="DFH72" s="146"/>
      <c r="DFI72" s="146"/>
      <c r="DFJ72" s="146"/>
      <c r="DFK72" s="146"/>
      <c r="DFL72" s="146"/>
      <c r="DFM72" s="146"/>
      <c r="DFN72" s="146"/>
      <c r="DFO72" s="146"/>
      <c r="DFP72" s="146"/>
      <c r="DFQ72" s="146"/>
      <c r="DFR72" s="146"/>
      <c r="DFS72" s="146"/>
      <c r="DFT72" s="146"/>
      <c r="DFU72" s="146"/>
      <c r="DFV72" s="146"/>
      <c r="DFW72" s="146"/>
      <c r="DFX72" s="146"/>
      <c r="DFY72" s="146"/>
      <c r="DFZ72" s="146"/>
      <c r="DGA72" s="146"/>
      <c r="DGB72" s="146"/>
      <c r="DGC72" s="146"/>
      <c r="DGD72" s="146"/>
      <c r="DGE72" s="146"/>
      <c r="DGF72" s="146"/>
      <c r="DGG72" s="146"/>
      <c r="DGH72" s="146"/>
      <c r="DGI72" s="146"/>
      <c r="DGJ72" s="146"/>
      <c r="DGK72" s="146"/>
      <c r="DGL72" s="146"/>
      <c r="DGM72" s="146"/>
      <c r="DGN72" s="146"/>
      <c r="DGO72" s="146"/>
      <c r="DGP72" s="146"/>
      <c r="DGQ72" s="146"/>
      <c r="DGR72" s="146"/>
      <c r="DGS72" s="146"/>
      <c r="DGT72" s="146"/>
      <c r="DGU72" s="146"/>
      <c r="DGV72" s="146"/>
      <c r="DGW72" s="146"/>
      <c r="DGX72" s="146"/>
      <c r="DGY72" s="146"/>
      <c r="DGZ72" s="146"/>
      <c r="DHA72" s="146"/>
      <c r="DHB72" s="146"/>
      <c r="DHC72" s="146"/>
      <c r="DHD72" s="146"/>
      <c r="DHE72" s="146"/>
      <c r="DHF72" s="146"/>
      <c r="DHG72" s="146"/>
      <c r="DHH72" s="146"/>
      <c r="DHI72" s="146"/>
      <c r="DHJ72" s="146"/>
      <c r="DHK72" s="146"/>
      <c r="DHL72" s="146"/>
      <c r="DHM72" s="146"/>
      <c r="DHN72" s="146"/>
      <c r="DHO72" s="146"/>
      <c r="DHP72" s="146"/>
      <c r="DHQ72" s="146"/>
      <c r="DHR72" s="146"/>
      <c r="DHS72" s="146"/>
      <c r="DHT72" s="146"/>
      <c r="DHU72" s="146"/>
      <c r="DHV72" s="146"/>
      <c r="DHW72" s="146"/>
      <c r="DHX72" s="146"/>
      <c r="DHY72" s="146"/>
      <c r="DHZ72" s="146"/>
      <c r="DIA72" s="146"/>
      <c r="DIB72" s="146"/>
      <c r="DIC72" s="146"/>
      <c r="DID72" s="146"/>
      <c r="DIE72" s="146"/>
      <c r="DIF72" s="146"/>
      <c r="DIG72" s="146"/>
      <c r="DIH72" s="146"/>
      <c r="DII72" s="146"/>
      <c r="DIJ72" s="146"/>
      <c r="DIK72" s="146"/>
      <c r="DIL72" s="146"/>
      <c r="DIM72" s="146"/>
      <c r="DIN72" s="146"/>
      <c r="DIO72" s="146"/>
      <c r="DIP72" s="146"/>
      <c r="DIQ72" s="146"/>
      <c r="DIR72" s="146"/>
      <c r="DIS72" s="146"/>
      <c r="DIT72" s="146"/>
      <c r="DIU72" s="146"/>
      <c r="DIV72" s="146"/>
      <c r="DIW72" s="146"/>
      <c r="DIX72" s="146"/>
      <c r="DIY72" s="146"/>
      <c r="DIZ72" s="146"/>
      <c r="DJA72" s="146"/>
      <c r="DJB72" s="146"/>
      <c r="DJC72" s="146"/>
      <c r="DJD72" s="146"/>
      <c r="DJE72" s="146"/>
      <c r="DJF72" s="146"/>
      <c r="DJG72" s="146"/>
      <c r="DJH72" s="146"/>
      <c r="DJI72" s="146"/>
      <c r="DJJ72" s="146"/>
      <c r="DJK72" s="146"/>
      <c r="DJL72" s="146"/>
      <c r="DJM72" s="146"/>
      <c r="DJN72" s="146"/>
      <c r="DJO72" s="146"/>
      <c r="DJP72" s="146"/>
      <c r="DJQ72" s="146"/>
      <c r="DJR72" s="146"/>
      <c r="DJS72" s="146"/>
      <c r="DJT72" s="146"/>
      <c r="DJU72" s="146"/>
      <c r="DJV72" s="146"/>
      <c r="DJW72" s="146"/>
      <c r="DJX72" s="146"/>
      <c r="DJY72" s="146"/>
      <c r="DJZ72" s="146"/>
      <c r="DKA72" s="146"/>
      <c r="DKB72" s="146"/>
      <c r="DKC72" s="146"/>
      <c r="DKD72" s="146"/>
      <c r="DKE72" s="146"/>
      <c r="DKF72" s="146"/>
      <c r="DKG72" s="146"/>
      <c r="DKH72" s="146"/>
      <c r="DKI72" s="146"/>
      <c r="DKJ72" s="146"/>
      <c r="DKK72" s="146"/>
      <c r="DKL72" s="146"/>
      <c r="DKM72" s="146"/>
      <c r="DKN72" s="146"/>
      <c r="DKO72" s="146"/>
      <c r="DKP72" s="146"/>
      <c r="DKQ72" s="146"/>
      <c r="DKR72" s="146"/>
      <c r="DKS72" s="146"/>
      <c r="DKT72" s="146"/>
      <c r="DKU72" s="146"/>
      <c r="DKV72" s="146"/>
      <c r="DKW72" s="146"/>
      <c r="DKX72" s="146"/>
      <c r="DKY72" s="146"/>
      <c r="DKZ72" s="146"/>
      <c r="DLA72" s="146"/>
      <c r="DLB72" s="146"/>
      <c r="DLC72" s="146"/>
      <c r="DLD72" s="146"/>
      <c r="DLE72" s="146"/>
      <c r="DLF72" s="146"/>
      <c r="DLG72" s="146"/>
      <c r="DLH72" s="146"/>
      <c r="DLI72" s="146"/>
      <c r="DLJ72" s="146"/>
      <c r="DLK72" s="146"/>
      <c r="DLL72" s="146"/>
      <c r="DLM72" s="146"/>
      <c r="DLN72" s="146"/>
      <c r="DLO72" s="146"/>
      <c r="DLP72" s="146"/>
      <c r="DLQ72" s="146"/>
      <c r="DLR72" s="146"/>
      <c r="DLS72" s="146"/>
      <c r="DLT72" s="146"/>
      <c r="DLU72" s="146"/>
      <c r="DLV72" s="146"/>
      <c r="DLW72" s="146"/>
      <c r="DLX72" s="146"/>
      <c r="DLY72" s="146"/>
      <c r="DLZ72" s="146"/>
      <c r="DMA72" s="146"/>
      <c r="DMB72" s="146"/>
      <c r="DMC72" s="146"/>
      <c r="DMD72" s="146"/>
      <c r="DME72" s="146"/>
      <c r="DMF72" s="146"/>
      <c r="DMG72" s="146"/>
      <c r="DMH72" s="146"/>
      <c r="DMI72" s="146"/>
      <c r="DMJ72" s="146"/>
      <c r="DMK72" s="146"/>
      <c r="DML72" s="146"/>
      <c r="DMM72" s="146"/>
      <c r="DMN72" s="146"/>
      <c r="DMO72" s="146"/>
      <c r="DMP72" s="146"/>
      <c r="DMQ72" s="146"/>
      <c r="DMR72" s="146"/>
      <c r="DMS72" s="146"/>
      <c r="DMT72" s="146"/>
      <c r="DMU72" s="146"/>
      <c r="DMV72" s="146"/>
      <c r="DMW72" s="146"/>
      <c r="DMX72" s="146"/>
      <c r="DMY72" s="146"/>
      <c r="DMZ72" s="146"/>
      <c r="DNA72" s="146"/>
      <c r="DNB72" s="146"/>
      <c r="DNC72" s="146"/>
      <c r="DND72" s="146"/>
      <c r="DNE72" s="146"/>
      <c r="DNF72" s="146"/>
      <c r="DNG72" s="146"/>
      <c r="DNH72" s="146"/>
      <c r="DNI72" s="146"/>
      <c r="DNJ72" s="146"/>
      <c r="DNK72" s="146"/>
      <c r="DNL72" s="146"/>
      <c r="DNM72" s="146"/>
      <c r="DNN72" s="146"/>
      <c r="DNO72" s="146"/>
      <c r="DNP72" s="146"/>
      <c r="DNQ72" s="146"/>
      <c r="DNR72" s="146"/>
      <c r="DNS72" s="146"/>
      <c r="DNT72" s="146"/>
      <c r="DNU72" s="146"/>
      <c r="DNV72" s="146"/>
      <c r="DNW72" s="146"/>
      <c r="DNX72" s="146"/>
      <c r="DNY72" s="146"/>
      <c r="DNZ72" s="146"/>
      <c r="DOA72" s="146"/>
      <c r="DOB72" s="146"/>
      <c r="DOC72" s="146"/>
      <c r="DOD72" s="146"/>
      <c r="DOE72" s="146"/>
      <c r="DOF72" s="146"/>
      <c r="DOG72" s="146"/>
      <c r="DOH72" s="146"/>
      <c r="DOI72" s="146"/>
      <c r="DOJ72" s="146"/>
      <c r="DOK72" s="146"/>
      <c r="DOL72" s="146"/>
      <c r="DOM72" s="146"/>
      <c r="DON72" s="146"/>
      <c r="DOO72" s="146"/>
      <c r="DOP72" s="146"/>
      <c r="DOQ72" s="146"/>
      <c r="DOR72" s="146"/>
      <c r="DOS72" s="146"/>
      <c r="DOT72" s="146"/>
      <c r="DOU72" s="146"/>
      <c r="DOV72" s="146"/>
      <c r="DOW72" s="146"/>
      <c r="DOX72" s="146"/>
      <c r="DOY72" s="146"/>
      <c r="DOZ72" s="146"/>
      <c r="DPA72" s="146"/>
      <c r="DPB72" s="146"/>
      <c r="DPC72" s="146"/>
      <c r="DPD72" s="146"/>
      <c r="DPE72" s="146"/>
      <c r="DPF72" s="146"/>
      <c r="DPG72" s="146"/>
      <c r="DPH72" s="146"/>
      <c r="DPI72" s="146"/>
      <c r="DPJ72" s="146"/>
      <c r="DPK72" s="146"/>
      <c r="DPL72" s="146"/>
      <c r="DPM72" s="146"/>
      <c r="DPN72" s="146"/>
      <c r="DPO72" s="146"/>
      <c r="DPP72" s="146"/>
      <c r="DPQ72" s="146"/>
      <c r="DPR72" s="146"/>
      <c r="DPS72" s="146"/>
      <c r="DPT72" s="146"/>
      <c r="DPU72" s="146"/>
      <c r="DPV72" s="146"/>
      <c r="DPW72" s="146"/>
      <c r="DPX72" s="146"/>
      <c r="DPY72" s="146"/>
      <c r="DPZ72" s="146"/>
      <c r="DQA72" s="146"/>
      <c r="DQB72" s="146"/>
      <c r="DQC72" s="146"/>
      <c r="DQD72" s="146"/>
      <c r="DQE72" s="146"/>
      <c r="DQF72" s="146"/>
      <c r="DQG72" s="146"/>
      <c r="DQH72" s="146"/>
      <c r="DQI72" s="146"/>
      <c r="DQJ72" s="146"/>
      <c r="DQK72" s="146"/>
      <c r="DQL72" s="146"/>
      <c r="DQM72" s="146"/>
      <c r="DQN72" s="146"/>
      <c r="DQO72" s="146"/>
      <c r="DQP72" s="146"/>
      <c r="DQQ72" s="146"/>
      <c r="DQR72" s="146"/>
      <c r="DQS72" s="146"/>
      <c r="DQT72" s="146"/>
      <c r="DQU72" s="146"/>
      <c r="DQV72" s="146"/>
      <c r="DQW72" s="146"/>
      <c r="DQX72" s="146"/>
      <c r="DQY72" s="146"/>
      <c r="DQZ72" s="146"/>
      <c r="DRA72" s="146"/>
      <c r="DRB72" s="146"/>
      <c r="DRC72" s="146"/>
      <c r="DRD72" s="146"/>
      <c r="DRE72" s="146"/>
      <c r="DRF72" s="146"/>
      <c r="DRG72" s="146"/>
      <c r="DRH72" s="146"/>
      <c r="DRI72" s="146"/>
      <c r="DRJ72" s="146"/>
      <c r="DRK72" s="146"/>
      <c r="DRL72" s="146"/>
      <c r="DRM72" s="146"/>
      <c r="DRN72" s="146"/>
      <c r="DRO72" s="146"/>
      <c r="DRP72" s="146"/>
      <c r="DRQ72" s="146"/>
      <c r="DRR72" s="146"/>
      <c r="DRS72" s="146"/>
      <c r="DRT72" s="146"/>
      <c r="DRU72" s="146"/>
      <c r="DRV72" s="146"/>
      <c r="DRW72" s="146"/>
      <c r="DRX72" s="146"/>
      <c r="DRY72" s="146"/>
      <c r="DRZ72" s="146"/>
      <c r="DSA72" s="146"/>
      <c r="DSB72" s="146"/>
      <c r="DSC72" s="146"/>
      <c r="DSD72" s="146"/>
      <c r="DSE72" s="146"/>
      <c r="DSF72" s="146"/>
      <c r="DSG72" s="146"/>
      <c r="DSH72" s="146"/>
      <c r="DSI72" s="146"/>
      <c r="DSJ72" s="146"/>
      <c r="DSK72" s="146"/>
      <c r="DSL72" s="146"/>
      <c r="DSM72" s="146"/>
      <c r="DSN72" s="146"/>
      <c r="DSO72" s="146"/>
      <c r="DSP72" s="146"/>
      <c r="DSQ72" s="146"/>
      <c r="DSR72" s="146"/>
      <c r="DSS72" s="146"/>
      <c r="DST72" s="146"/>
      <c r="DSU72" s="146"/>
      <c r="DSV72" s="146"/>
      <c r="DSW72" s="146"/>
      <c r="DSX72" s="146"/>
      <c r="DSY72" s="146"/>
      <c r="DSZ72" s="146"/>
      <c r="DTA72" s="146"/>
      <c r="DTB72" s="146"/>
      <c r="DTC72" s="146"/>
      <c r="DTD72" s="146"/>
      <c r="DTE72" s="146"/>
      <c r="DTF72" s="146"/>
      <c r="DTG72" s="146"/>
      <c r="DTH72" s="146"/>
      <c r="DTI72" s="146"/>
      <c r="DTJ72" s="146"/>
      <c r="DTK72" s="146"/>
      <c r="DTL72" s="146"/>
      <c r="DTM72" s="146"/>
      <c r="DTN72" s="146"/>
      <c r="DTO72" s="146"/>
      <c r="DTP72" s="146"/>
      <c r="DTQ72" s="146"/>
      <c r="DTR72" s="146"/>
      <c r="DTS72" s="146"/>
      <c r="DTT72" s="146"/>
      <c r="DTU72" s="146"/>
      <c r="DTV72" s="146"/>
      <c r="DTW72" s="146"/>
      <c r="DTX72" s="146"/>
      <c r="DTY72" s="146"/>
      <c r="DTZ72" s="146"/>
      <c r="DUA72" s="146"/>
      <c r="DUB72" s="146"/>
      <c r="DUC72" s="146"/>
      <c r="DUD72" s="146"/>
      <c r="DUE72" s="146"/>
      <c r="DUF72" s="146"/>
      <c r="DUG72" s="146"/>
      <c r="DUH72" s="146"/>
      <c r="DUI72" s="146"/>
      <c r="DUJ72" s="146"/>
      <c r="DUK72" s="146"/>
      <c r="DUL72" s="146"/>
      <c r="DUM72" s="146"/>
      <c r="DUN72" s="146"/>
      <c r="DUO72" s="146"/>
      <c r="DUP72" s="146"/>
      <c r="DUQ72" s="146"/>
      <c r="DUR72" s="146"/>
      <c r="DUS72" s="146"/>
      <c r="DUT72" s="146"/>
      <c r="DUU72" s="146"/>
      <c r="DUV72" s="146"/>
      <c r="DUW72" s="146"/>
      <c r="DUX72" s="146"/>
      <c r="DUY72" s="146"/>
      <c r="DUZ72" s="146"/>
      <c r="DVA72" s="146"/>
      <c r="DVB72" s="146"/>
      <c r="DVC72" s="146"/>
      <c r="DVD72" s="146"/>
      <c r="DVE72" s="146"/>
      <c r="DVF72" s="146"/>
      <c r="DVG72" s="146"/>
      <c r="DVH72" s="146"/>
      <c r="DVI72" s="146"/>
      <c r="DVJ72" s="146"/>
      <c r="DVK72" s="146"/>
      <c r="DVL72" s="146"/>
      <c r="DVM72" s="146"/>
      <c r="DVN72" s="146"/>
      <c r="DVO72" s="146"/>
      <c r="DVP72" s="146"/>
      <c r="DVQ72" s="146"/>
      <c r="DVR72" s="146"/>
      <c r="DVS72" s="146"/>
      <c r="DVT72" s="146"/>
      <c r="DVU72" s="146"/>
      <c r="DVV72" s="146"/>
      <c r="DVW72" s="146"/>
      <c r="DVX72" s="146"/>
      <c r="DVY72" s="146"/>
      <c r="DVZ72" s="146"/>
      <c r="DWA72" s="146"/>
      <c r="DWB72" s="146"/>
      <c r="DWC72" s="146"/>
      <c r="DWD72" s="146"/>
      <c r="DWE72" s="146"/>
      <c r="DWF72" s="146"/>
      <c r="DWG72" s="146"/>
      <c r="DWH72" s="146"/>
      <c r="DWI72" s="146"/>
      <c r="DWJ72" s="146"/>
      <c r="DWK72" s="146"/>
      <c r="DWL72" s="146"/>
      <c r="DWM72" s="146"/>
      <c r="DWN72" s="146"/>
      <c r="DWO72" s="146"/>
      <c r="DWP72" s="146"/>
      <c r="DWQ72" s="146"/>
      <c r="DWR72" s="146"/>
      <c r="DWS72" s="146"/>
      <c r="DWT72" s="146"/>
      <c r="DWU72" s="146"/>
      <c r="DWV72" s="146"/>
      <c r="DWW72" s="146"/>
      <c r="DWX72" s="146"/>
      <c r="DWY72" s="146"/>
      <c r="DWZ72" s="146"/>
      <c r="DXA72" s="146"/>
      <c r="DXB72" s="146"/>
      <c r="DXC72" s="146"/>
      <c r="DXD72" s="146"/>
      <c r="DXE72" s="146"/>
      <c r="DXF72" s="146"/>
      <c r="DXG72" s="146"/>
      <c r="DXH72" s="146"/>
      <c r="DXI72" s="146"/>
      <c r="DXJ72" s="146"/>
      <c r="DXK72" s="146"/>
      <c r="DXL72" s="146"/>
      <c r="DXM72" s="146"/>
      <c r="DXN72" s="146"/>
      <c r="DXO72" s="146"/>
      <c r="DXP72" s="146"/>
      <c r="DXQ72" s="146"/>
      <c r="DXR72" s="146"/>
      <c r="DXS72" s="146"/>
      <c r="DXT72" s="146"/>
      <c r="DXU72" s="146"/>
      <c r="DXV72" s="146"/>
      <c r="DXW72" s="146"/>
      <c r="DXX72" s="146"/>
      <c r="DXY72" s="146"/>
      <c r="DXZ72" s="146"/>
      <c r="DYA72" s="146"/>
      <c r="DYB72" s="146"/>
      <c r="DYC72" s="146"/>
      <c r="DYD72" s="146"/>
      <c r="DYE72" s="146"/>
      <c r="DYF72" s="146"/>
      <c r="DYG72" s="146"/>
      <c r="DYH72" s="146"/>
      <c r="DYI72" s="146"/>
      <c r="DYJ72" s="146"/>
      <c r="DYK72" s="146"/>
      <c r="DYL72" s="146"/>
      <c r="DYM72" s="146"/>
      <c r="DYN72" s="146"/>
      <c r="DYO72" s="146"/>
      <c r="DYP72" s="146"/>
      <c r="DYQ72" s="146"/>
      <c r="DYR72" s="146"/>
      <c r="DYS72" s="146"/>
      <c r="DYT72" s="146"/>
      <c r="DYU72" s="146"/>
      <c r="DYV72" s="146"/>
      <c r="DYW72" s="146"/>
      <c r="DYX72" s="146"/>
      <c r="DYY72" s="146"/>
      <c r="DYZ72" s="146"/>
      <c r="DZA72" s="146"/>
      <c r="DZB72" s="146"/>
      <c r="DZC72" s="146"/>
      <c r="DZD72" s="146"/>
      <c r="DZE72" s="146"/>
      <c r="DZF72" s="146"/>
      <c r="DZG72" s="146"/>
      <c r="DZH72" s="146"/>
      <c r="DZI72" s="146"/>
      <c r="DZJ72" s="146"/>
      <c r="DZK72" s="146"/>
      <c r="DZL72" s="146"/>
      <c r="DZM72" s="146"/>
      <c r="DZN72" s="146"/>
      <c r="DZO72" s="146"/>
      <c r="DZP72" s="146"/>
      <c r="DZQ72" s="146"/>
      <c r="DZR72" s="146"/>
      <c r="DZS72" s="146"/>
      <c r="DZT72" s="146"/>
      <c r="DZU72" s="146"/>
      <c r="DZV72" s="146"/>
      <c r="DZW72" s="146"/>
      <c r="DZX72" s="146"/>
      <c r="DZY72" s="146"/>
      <c r="DZZ72" s="146"/>
      <c r="EAA72" s="146"/>
      <c r="EAB72" s="146"/>
      <c r="EAC72" s="146"/>
      <c r="EAD72" s="146"/>
      <c r="EAE72" s="146"/>
      <c r="EAF72" s="146"/>
      <c r="EAG72" s="146"/>
      <c r="EAH72" s="146"/>
      <c r="EAI72" s="146"/>
      <c r="EAJ72" s="146"/>
      <c r="EAK72" s="146"/>
      <c r="EAL72" s="146"/>
      <c r="EAM72" s="146"/>
      <c r="EAN72" s="146"/>
      <c r="EAO72" s="146"/>
      <c r="EAP72" s="146"/>
      <c r="EAQ72" s="146"/>
      <c r="EAR72" s="146"/>
      <c r="EAS72" s="146"/>
      <c r="EAT72" s="146"/>
      <c r="EAU72" s="146"/>
      <c r="EAV72" s="146"/>
      <c r="EAW72" s="146"/>
      <c r="EAX72" s="146"/>
      <c r="EAY72" s="146"/>
      <c r="EAZ72" s="146"/>
      <c r="EBA72" s="146"/>
      <c r="EBB72" s="146"/>
      <c r="EBC72" s="146"/>
      <c r="EBD72" s="146"/>
      <c r="EBE72" s="146"/>
      <c r="EBF72" s="146"/>
      <c r="EBG72" s="146"/>
      <c r="EBH72" s="146"/>
      <c r="EBI72" s="146"/>
      <c r="EBJ72" s="146"/>
      <c r="EBK72" s="146"/>
      <c r="EBL72" s="146"/>
      <c r="EBM72" s="146"/>
      <c r="EBN72" s="146"/>
      <c r="EBO72" s="146"/>
      <c r="EBP72" s="146"/>
      <c r="EBQ72" s="146"/>
      <c r="EBR72" s="146"/>
      <c r="EBS72" s="146"/>
      <c r="EBT72" s="146"/>
      <c r="EBU72" s="146"/>
      <c r="EBV72" s="146"/>
      <c r="EBW72" s="146"/>
      <c r="EBX72" s="146"/>
      <c r="EBY72" s="146"/>
      <c r="EBZ72" s="146"/>
      <c r="ECA72" s="146"/>
      <c r="ECB72" s="146"/>
      <c r="ECC72" s="146"/>
      <c r="ECD72" s="146"/>
      <c r="ECE72" s="146"/>
      <c r="ECF72" s="146"/>
      <c r="ECG72" s="146"/>
      <c r="ECH72" s="146"/>
      <c r="ECI72" s="146"/>
      <c r="ECJ72" s="146"/>
      <c r="ECK72" s="146"/>
      <c r="ECL72" s="146"/>
      <c r="ECM72" s="146"/>
      <c r="ECN72" s="146"/>
      <c r="ECO72" s="146"/>
      <c r="ECP72" s="146"/>
      <c r="ECQ72" s="146"/>
      <c r="ECR72" s="146"/>
      <c r="ECS72" s="146"/>
      <c r="ECT72" s="146"/>
      <c r="ECU72" s="146"/>
      <c r="ECV72" s="146"/>
      <c r="ECW72" s="146"/>
      <c r="ECX72" s="146"/>
      <c r="ECY72" s="146"/>
      <c r="ECZ72" s="146"/>
      <c r="EDA72" s="146"/>
      <c r="EDB72" s="146"/>
      <c r="EDC72" s="146"/>
      <c r="EDD72" s="146"/>
      <c r="EDE72" s="146"/>
      <c r="EDF72" s="146"/>
      <c r="EDG72" s="146"/>
      <c r="EDH72" s="146"/>
      <c r="EDI72" s="146"/>
      <c r="EDJ72" s="146"/>
      <c r="EDK72" s="146"/>
      <c r="EDL72" s="146"/>
      <c r="EDM72" s="146"/>
      <c r="EDN72" s="146"/>
      <c r="EDO72" s="146"/>
      <c r="EDP72" s="146"/>
      <c r="EDQ72" s="146"/>
      <c r="EDR72" s="146"/>
      <c r="EDS72" s="146"/>
      <c r="EDT72" s="146"/>
      <c r="EDU72" s="146"/>
      <c r="EDV72" s="146"/>
      <c r="EDW72" s="146"/>
      <c r="EDX72" s="146"/>
      <c r="EDY72" s="146"/>
      <c r="EDZ72" s="146"/>
      <c r="EEA72" s="146"/>
      <c r="EEB72" s="146"/>
      <c r="EEC72" s="146"/>
      <c r="EED72" s="146"/>
      <c r="EEE72" s="146"/>
      <c r="EEF72" s="146"/>
      <c r="EEG72" s="146"/>
      <c r="EEH72" s="146"/>
      <c r="EEI72" s="146"/>
      <c r="EEJ72" s="146"/>
      <c r="EEK72" s="146"/>
      <c r="EEL72" s="146"/>
      <c r="EEM72" s="146"/>
      <c r="EEN72" s="146"/>
      <c r="EEO72" s="146"/>
      <c r="EEP72" s="146"/>
      <c r="EEQ72" s="146"/>
      <c r="EER72" s="146"/>
      <c r="EES72" s="146"/>
      <c r="EET72" s="146"/>
      <c r="EEU72" s="146"/>
      <c r="EEV72" s="146"/>
      <c r="EEW72" s="146"/>
      <c r="EEX72" s="146"/>
      <c r="EEY72" s="146"/>
      <c r="EEZ72" s="146"/>
      <c r="EFA72" s="146"/>
      <c r="EFB72" s="146"/>
      <c r="EFC72" s="146"/>
      <c r="EFD72" s="146"/>
      <c r="EFE72" s="146"/>
      <c r="EFF72" s="146"/>
      <c r="EFG72" s="146"/>
      <c r="EFH72" s="146"/>
      <c r="EFI72" s="146"/>
      <c r="EFJ72" s="146"/>
      <c r="EFK72" s="146"/>
      <c r="EFL72" s="146"/>
      <c r="EFM72" s="146"/>
      <c r="EFN72" s="146"/>
      <c r="EFO72" s="146"/>
      <c r="EFP72" s="146"/>
      <c r="EFQ72" s="146"/>
      <c r="EFR72" s="146"/>
      <c r="EFS72" s="146"/>
      <c r="EFT72" s="146"/>
      <c r="EFU72" s="146"/>
      <c r="EFV72" s="146"/>
      <c r="EFW72" s="146"/>
      <c r="EFX72" s="146"/>
      <c r="EFY72" s="146"/>
      <c r="EFZ72" s="146"/>
      <c r="EGA72" s="146"/>
      <c r="EGB72" s="146"/>
      <c r="EGC72" s="146"/>
      <c r="EGD72" s="146"/>
      <c r="EGE72" s="146"/>
      <c r="EGF72" s="146"/>
      <c r="EGG72" s="146"/>
      <c r="EGH72" s="146"/>
      <c r="EGI72" s="146"/>
      <c r="EGJ72" s="146"/>
      <c r="EGK72" s="146"/>
      <c r="EGL72" s="146"/>
      <c r="EGM72" s="146"/>
      <c r="EGN72" s="146"/>
      <c r="EGO72" s="146"/>
      <c r="EGP72" s="146"/>
      <c r="EGQ72" s="146"/>
      <c r="EGR72" s="146"/>
      <c r="EGS72" s="146"/>
      <c r="EGT72" s="146"/>
      <c r="EGU72" s="146"/>
      <c r="EGV72" s="146"/>
      <c r="EGW72" s="146"/>
      <c r="EGX72" s="146"/>
      <c r="EGY72" s="146"/>
      <c r="EGZ72" s="146"/>
      <c r="EHA72" s="146"/>
      <c r="EHB72" s="146"/>
      <c r="EHC72" s="146"/>
      <c r="EHD72" s="146"/>
      <c r="EHE72" s="146"/>
      <c r="EHF72" s="146"/>
      <c r="EHG72" s="146"/>
      <c r="EHH72" s="146"/>
      <c r="EHI72" s="146"/>
      <c r="EHJ72" s="146"/>
      <c r="EHK72" s="146"/>
      <c r="EHL72" s="146"/>
      <c r="EHM72" s="146"/>
      <c r="EHN72" s="146"/>
      <c r="EHO72" s="146"/>
      <c r="EHP72" s="146"/>
      <c r="EHQ72" s="146"/>
      <c r="EHR72" s="146"/>
      <c r="EHS72" s="146"/>
      <c r="EHT72" s="146"/>
      <c r="EHU72" s="146"/>
      <c r="EHV72" s="146"/>
      <c r="EHW72" s="146"/>
      <c r="EHX72" s="146"/>
      <c r="EHY72" s="146"/>
      <c r="EHZ72" s="146"/>
      <c r="EIA72" s="146"/>
      <c r="EIB72" s="146"/>
      <c r="EIC72" s="146"/>
      <c r="EID72" s="146"/>
      <c r="EIE72" s="146"/>
      <c r="EIF72" s="146"/>
      <c r="EIG72" s="146"/>
      <c r="EIH72" s="146"/>
      <c r="EII72" s="146"/>
      <c r="EIJ72" s="146"/>
      <c r="EIK72" s="146"/>
      <c r="EIL72" s="146"/>
      <c r="EIM72" s="146"/>
      <c r="EIN72" s="146"/>
      <c r="EIO72" s="146"/>
      <c r="EIP72" s="146"/>
      <c r="EIQ72" s="146"/>
      <c r="EIR72" s="146"/>
      <c r="EIS72" s="146"/>
      <c r="EIT72" s="146"/>
      <c r="EIU72" s="146"/>
      <c r="EIV72" s="146"/>
      <c r="EIW72" s="146"/>
      <c r="EIX72" s="146"/>
      <c r="EIY72" s="146"/>
      <c r="EIZ72" s="146"/>
      <c r="EJA72" s="146"/>
      <c r="EJB72" s="146"/>
      <c r="EJC72" s="146"/>
      <c r="EJD72" s="146"/>
      <c r="EJE72" s="146"/>
      <c r="EJF72" s="146"/>
      <c r="EJG72" s="146"/>
      <c r="EJH72" s="146"/>
      <c r="EJI72" s="146"/>
      <c r="EJJ72" s="146"/>
      <c r="EJK72" s="146"/>
      <c r="EJL72" s="146"/>
      <c r="EJM72" s="146"/>
      <c r="EJN72" s="146"/>
      <c r="EJO72" s="146"/>
      <c r="EJP72" s="146"/>
      <c r="EJQ72" s="146"/>
      <c r="EJR72" s="146"/>
      <c r="EJS72" s="146"/>
      <c r="EJT72" s="146"/>
      <c r="EJU72" s="146"/>
      <c r="EJV72" s="146"/>
      <c r="EJW72" s="146"/>
      <c r="EJX72" s="146"/>
      <c r="EJY72" s="146"/>
      <c r="EJZ72" s="146"/>
      <c r="EKA72" s="146"/>
      <c r="EKB72" s="146"/>
      <c r="EKC72" s="146"/>
      <c r="EKD72" s="146"/>
      <c r="EKE72" s="146"/>
      <c r="EKF72" s="146"/>
      <c r="EKG72" s="146"/>
      <c r="EKH72" s="146"/>
      <c r="EKI72" s="146"/>
      <c r="EKJ72" s="146"/>
      <c r="EKK72" s="146"/>
      <c r="EKL72" s="146"/>
      <c r="EKM72" s="146"/>
      <c r="EKN72" s="146"/>
      <c r="EKO72" s="146"/>
      <c r="EKP72" s="146"/>
      <c r="EKQ72" s="146"/>
      <c r="EKR72" s="146"/>
      <c r="EKS72" s="146"/>
      <c r="EKT72" s="146"/>
      <c r="EKU72" s="146"/>
      <c r="EKV72" s="146"/>
      <c r="EKW72" s="146"/>
      <c r="EKX72" s="146"/>
      <c r="EKY72" s="146"/>
      <c r="EKZ72" s="146"/>
      <c r="ELA72" s="146"/>
      <c r="ELB72" s="146"/>
      <c r="ELC72" s="146"/>
      <c r="ELD72" s="146"/>
      <c r="ELE72" s="146"/>
      <c r="ELF72" s="146"/>
      <c r="ELG72" s="146"/>
      <c r="ELH72" s="146"/>
      <c r="ELI72" s="146"/>
      <c r="ELJ72" s="146"/>
      <c r="ELK72" s="146"/>
      <c r="ELL72" s="146"/>
      <c r="ELM72" s="146"/>
      <c r="ELN72" s="146"/>
      <c r="ELO72" s="146"/>
      <c r="ELP72" s="146"/>
      <c r="ELQ72" s="146"/>
      <c r="ELR72" s="146"/>
      <c r="ELS72" s="146"/>
      <c r="ELT72" s="146"/>
      <c r="ELU72" s="146"/>
      <c r="ELV72" s="146"/>
      <c r="ELW72" s="146"/>
      <c r="ELX72" s="146"/>
      <c r="ELY72" s="146"/>
      <c r="ELZ72" s="146"/>
      <c r="EMA72" s="146"/>
      <c r="EMB72" s="146"/>
      <c r="EMC72" s="146"/>
      <c r="EMD72" s="146"/>
      <c r="EME72" s="146"/>
      <c r="EMF72" s="146"/>
      <c r="EMG72" s="146"/>
      <c r="EMH72" s="146"/>
      <c r="EMI72" s="146"/>
      <c r="EMJ72" s="146"/>
      <c r="EMK72" s="146"/>
      <c r="EML72" s="146"/>
      <c r="EMM72" s="146"/>
      <c r="EMN72" s="146"/>
      <c r="EMO72" s="146"/>
      <c r="EMP72" s="146"/>
      <c r="EMQ72" s="146"/>
      <c r="EMR72" s="146"/>
      <c r="EMS72" s="146"/>
      <c r="EMT72" s="146"/>
      <c r="EMU72" s="146"/>
      <c r="EMV72" s="146"/>
      <c r="EMW72" s="146"/>
      <c r="EMX72" s="146"/>
      <c r="EMY72" s="146"/>
      <c r="EMZ72" s="146"/>
      <c r="ENA72" s="146"/>
      <c r="ENB72" s="146"/>
      <c r="ENC72" s="146"/>
      <c r="END72" s="146"/>
      <c r="ENE72" s="146"/>
      <c r="ENF72" s="146"/>
      <c r="ENG72" s="146"/>
      <c r="ENH72" s="146"/>
      <c r="ENI72" s="146"/>
      <c r="ENJ72" s="146"/>
      <c r="ENK72" s="146"/>
      <c r="ENL72" s="146"/>
      <c r="ENM72" s="146"/>
      <c r="ENN72" s="146"/>
      <c r="ENO72" s="146"/>
      <c r="ENP72" s="146"/>
      <c r="ENQ72" s="146"/>
      <c r="ENR72" s="146"/>
      <c r="ENS72" s="146"/>
      <c r="ENT72" s="146"/>
      <c r="ENU72" s="146"/>
      <c r="ENV72" s="146"/>
      <c r="ENW72" s="146"/>
      <c r="ENX72" s="146"/>
      <c r="ENY72" s="146"/>
      <c r="ENZ72" s="146"/>
      <c r="EOA72" s="146"/>
      <c r="EOB72" s="146"/>
      <c r="EOC72" s="146"/>
      <c r="EOD72" s="146"/>
      <c r="EOE72" s="146"/>
      <c r="EOF72" s="146"/>
      <c r="EOG72" s="146"/>
      <c r="EOH72" s="146"/>
      <c r="EOI72" s="146"/>
      <c r="EOJ72" s="146"/>
      <c r="EOK72" s="146"/>
      <c r="EOL72" s="146"/>
      <c r="EOM72" s="146"/>
      <c r="EON72" s="146"/>
      <c r="EOO72" s="146"/>
      <c r="EOP72" s="146"/>
      <c r="EOQ72" s="146"/>
      <c r="EOR72" s="146"/>
      <c r="EOS72" s="146"/>
      <c r="EOT72" s="146"/>
      <c r="EOU72" s="146"/>
      <c r="EOV72" s="146"/>
      <c r="EOW72" s="146"/>
      <c r="EOX72" s="146"/>
      <c r="EOY72" s="146"/>
      <c r="EOZ72" s="146"/>
      <c r="EPA72" s="146"/>
      <c r="EPB72" s="146"/>
      <c r="EPC72" s="146"/>
      <c r="EPD72" s="146"/>
      <c r="EPE72" s="146"/>
      <c r="EPF72" s="146"/>
      <c r="EPG72" s="146"/>
      <c r="EPH72" s="146"/>
      <c r="EPI72" s="146"/>
      <c r="EPJ72" s="146"/>
      <c r="EPK72" s="146"/>
      <c r="EPL72" s="146"/>
      <c r="EPM72" s="146"/>
      <c r="EPN72" s="146"/>
      <c r="EPO72" s="146"/>
      <c r="EPP72" s="146"/>
      <c r="EPQ72" s="146"/>
      <c r="EPR72" s="146"/>
      <c r="EPS72" s="146"/>
      <c r="EPT72" s="146"/>
      <c r="EPU72" s="146"/>
      <c r="EPV72" s="146"/>
      <c r="EPW72" s="146"/>
      <c r="EPX72" s="146"/>
      <c r="EPY72" s="146"/>
      <c r="EPZ72" s="146"/>
      <c r="EQA72" s="146"/>
      <c r="EQB72" s="146"/>
      <c r="EQC72" s="146"/>
      <c r="EQD72" s="146"/>
      <c r="EQE72" s="146"/>
      <c r="EQF72" s="146"/>
      <c r="EQG72" s="146"/>
      <c r="EQH72" s="146"/>
      <c r="EQI72" s="146"/>
      <c r="EQJ72" s="146"/>
      <c r="EQK72" s="146"/>
      <c r="EQL72" s="146"/>
      <c r="EQM72" s="146"/>
      <c r="EQN72" s="146"/>
      <c r="EQO72" s="146"/>
      <c r="EQP72" s="146"/>
      <c r="EQQ72" s="146"/>
      <c r="EQR72" s="146"/>
      <c r="EQS72" s="146"/>
      <c r="EQT72" s="146"/>
      <c r="EQU72" s="146"/>
      <c r="EQV72" s="146"/>
      <c r="EQW72" s="146"/>
      <c r="EQX72" s="146"/>
      <c r="EQY72" s="146"/>
      <c r="EQZ72" s="146"/>
      <c r="ERA72" s="146"/>
      <c r="ERB72" s="146"/>
      <c r="ERC72" s="146"/>
      <c r="ERD72" s="146"/>
      <c r="ERE72" s="146"/>
      <c r="ERF72" s="146"/>
      <c r="ERG72" s="146"/>
      <c r="ERH72" s="146"/>
      <c r="ERI72" s="146"/>
      <c r="ERJ72" s="146"/>
      <c r="ERK72" s="146"/>
      <c r="ERL72" s="146"/>
      <c r="ERM72" s="146"/>
      <c r="ERN72" s="146"/>
      <c r="ERO72" s="146"/>
      <c r="ERP72" s="146"/>
      <c r="ERQ72" s="146"/>
      <c r="ERR72" s="146"/>
      <c r="ERS72" s="146"/>
      <c r="ERT72" s="146"/>
      <c r="ERU72" s="146"/>
      <c r="ERV72" s="146"/>
      <c r="ERW72" s="146"/>
      <c r="ERX72" s="146"/>
      <c r="ERY72" s="146"/>
      <c r="ERZ72" s="146"/>
      <c r="ESA72" s="146"/>
      <c r="ESB72" s="146"/>
      <c r="ESC72" s="146"/>
      <c r="ESD72" s="146"/>
      <c r="ESE72" s="146"/>
      <c r="ESF72" s="146"/>
      <c r="ESG72" s="146"/>
      <c r="ESH72" s="146"/>
      <c r="ESI72" s="146"/>
      <c r="ESJ72" s="146"/>
      <c r="ESK72" s="146"/>
      <c r="ESL72" s="146"/>
      <c r="ESM72" s="146"/>
      <c r="ESN72" s="146"/>
      <c r="ESO72" s="146"/>
      <c r="ESP72" s="146"/>
      <c r="ESQ72" s="146"/>
      <c r="ESR72" s="146"/>
      <c r="ESS72" s="146"/>
      <c r="EST72" s="146"/>
      <c r="ESU72" s="146"/>
      <c r="ESV72" s="146"/>
      <c r="ESW72" s="146"/>
      <c r="ESX72" s="146"/>
      <c r="ESY72" s="146"/>
      <c r="ESZ72" s="146"/>
      <c r="ETA72" s="146"/>
      <c r="ETB72" s="146"/>
      <c r="ETC72" s="146"/>
      <c r="ETD72" s="146"/>
      <c r="ETE72" s="146"/>
      <c r="ETF72" s="146"/>
      <c r="ETG72" s="146"/>
      <c r="ETH72" s="146"/>
      <c r="ETI72" s="146"/>
      <c r="ETJ72" s="146"/>
      <c r="ETK72" s="146"/>
      <c r="ETL72" s="146"/>
      <c r="ETM72" s="146"/>
      <c r="ETN72" s="146"/>
      <c r="ETO72" s="146"/>
      <c r="ETP72" s="146"/>
      <c r="ETQ72" s="146"/>
      <c r="ETR72" s="146"/>
      <c r="ETS72" s="146"/>
      <c r="ETT72" s="146"/>
      <c r="ETU72" s="146"/>
      <c r="ETV72" s="146"/>
      <c r="ETW72" s="146"/>
      <c r="ETX72" s="146"/>
      <c r="ETY72" s="146"/>
      <c r="ETZ72" s="146"/>
      <c r="EUA72" s="146"/>
      <c r="EUB72" s="146"/>
      <c r="EUC72" s="146"/>
      <c r="EUD72" s="146"/>
      <c r="EUE72" s="146"/>
      <c r="EUF72" s="146"/>
      <c r="EUG72" s="146"/>
      <c r="EUH72" s="146"/>
      <c r="EUI72" s="146"/>
      <c r="EUJ72" s="146"/>
      <c r="EUK72" s="146"/>
      <c r="EUL72" s="146"/>
      <c r="EUM72" s="146"/>
      <c r="EUN72" s="146"/>
      <c r="EUO72" s="146"/>
      <c r="EUP72" s="146"/>
      <c r="EUQ72" s="146"/>
      <c r="EUR72" s="146"/>
      <c r="EUS72" s="146"/>
      <c r="EUT72" s="146"/>
      <c r="EUU72" s="146"/>
      <c r="EUV72" s="146"/>
      <c r="EUW72" s="146"/>
      <c r="EUX72" s="146"/>
      <c r="EUY72" s="146"/>
      <c r="EUZ72" s="146"/>
      <c r="EVA72" s="146"/>
      <c r="EVB72" s="146"/>
      <c r="EVC72" s="146"/>
      <c r="EVD72" s="146"/>
      <c r="EVE72" s="146"/>
      <c r="EVF72" s="146"/>
      <c r="EVG72" s="146"/>
      <c r="EVH72" s="146"/>
      <c r="EVI72" s="146"/>
      <c r="EVJ72" s="146"/>
      <c r="EVK72" s="146"/>
      <c r="EVL72" s="146"/>
      <c r="EVM72" s="146"/>
      <c r="EVN72" s="146"/>
      <c r="EVO72" s="146"/>
      <c r="EVP72" s="146"/>
      <c r="EVQ72" s="146"/>
      <c r="EVR72" s="146"/>
      <c r="EVS72" s="146"/>
      <c r="EVT72" s="146"/>
      <c r="EVU72" s="146"/>
      <c r="EVV72" s="146"/>
      <c r="EVW72" s="146"/>
      <c r="EVX72" s="146"/>
      <c r="EVY72" s="146"/>
      <c r="EVZ72" s="146"/>
      <c r="EWA72" s="146"/>
      <c r="EWB72" s="146"/>
      <c r="EWC72" s="146"/>
      <c r="EWD72" s="146"/>
      <c r="EWE72" s="146"/>
      <c r="EWF72" s="146"/>
      <c r="EWG72" s="146"/>
      <c r="EWH72" s="146"/>
      <c r="EWI72" s="146"/>
      <c r="EWJ72" s="146"/>
      <c r="EWK72" s="146"/>
      <c r="EWL72" s="146"/>
      <c r="EWM72" s="146"/>
      <c r="EWN72" s="146"/>
      <c r="EWO72" s="146"/>
      <c r="EWP72" s="146"/>
      <c r="EWQ72" s="146"/>
      <c r="EWR72" s="146"/>
      <c r="EWS72" s="146"/>
      <c r="EWT72" s="146"/>
      <c r="EWU72" s="146"/>
      <c r="EWV72" s="146"/>
      <c r="EWW72" s="146"/>
      <c r="EWX72" s="146"/>
      <c r="EWY72" s="146"/>
      <c r="EWZ72" s="146"/>
      <c r="EXA72" s="146"/>
      <c r="EXB72" s="146"/>
      <c r="EXC72" s="146"/>
      <c r="EXD72" s="146"/>
      <c r="EXE72" s="146"/>
      <c r="EXF72" s="146"/>
      <c r="EXG72" s="146"/>
      <c r="EXH72" s="146"/>
      <c r="EXI72" s="146"/>
      <c r="EXJ72" s="146"/>
      <c r="EXK72" s="146"/>
      <c r="EXL72" s="146"/>
      <c r="EXM72" s="146"/>
      <c r="EXN72" s="146"/>
      <c r="EXO72" s="146"/>
      <c r="EXP72" s="146"/>
      <c r="EXQ72" s="146"/>
      <c r="EXR72" s="146"/>
      <c r="EXS72" s="146"/>
      <c r="EXT72" s="146"/>
      <c r="EXU72" s="146"/>
      <c r="EXV72" s="146"/>
      <c r="EXW72" s="146"/>
      <c r="EXX72" s="146"/>
      <c r="EXY72" s="146"/>
      <c r="EXZ72" s="146"/>
      <c r="EYA72" s="146"/>
      <c r="EYB72" s="146"/>
      <c r="EYC72" s="146"/>
      <c r="EYD72" s="146"/>
      <c r="EYE72" s="146"/>
      <c r="EYF72" s="146"/>
      <c r="EYG72" s="146"/>
      <c r="EYH72" s="146"/>
      <c r="EYI72" s="146"/>
      <c r="EYJ72" s="146"/>
      <c r="EYK72" s="146"/>
      <c r="EYL72" s="146"/>
      <c r="EYM72" s="146"/>
      <c r="EYN72" s="146"/>
      <c r="EYO72" s="146"/>
      <c r="EYP72" s="146"/>
      <c r="EYQ72" s="146"/>
      <c r="EYR72" s="146"/>
      <c r="EYS72" s="146"/>
      <c r="EYT72" s="146"/>
      <c r="EYU72" s="146"/>
      <c r="EYV72" s="146"/>
      <c r="EYW72" s="146"/>
      <c r="EYX72" s="146"/>
      <c r="EYY72" s="146"/>
      <c r="EYZ72" s="146"/>
      <c r="EZA72" s="146"/>
      <c r="EZB72" s="146"/>
      <c r="EZC72" s="146"/>
      <c r="EZD72" s="146"/>
      <c r="EZE72" s="146"/>
      <c r="EZF72" s="146"/>
      <c r="EZG72" s="146"/>
      <c r="EZH72" s="146"/>
      <c r="EZI72" s="146"/>
      <c r="EZJ72" s="146"/>
      <c r="EZK72" s="146"/>
      <c r="EZL72" s="146"/>
      <c r="EZM72" s="146"/>
      <c r="EZN72" s="146"/>
      <c r="EZO72" s="146"/>
      <c r="EZP72" s="146"/>
      <c r="EZQ72" s="146"/>
      <c r="EZR72" s="146"/>
      <c r="EZS72" s="146"/>
      <c r="EZT72" s="146"/>
      <c r="EZU72" s="146"/>
      <c r="EZV72" s="146"/>
      <c r="EZW72" s="146"/>
      <c r="EZX72" s="146"/>
      <c r="EZY72" s="146"/>
      <c r="EZZ72" s="146"/>
      <c r="FAA72" s="146"/>
      <c r="FAB72" s="146"/>
      <c r="FAC72" s="146"/>
      <c r="FAD72" s="146"/>
      <c r="FAE72" s="146"/>
      <c r="FAF72" s="146"/>
      <c r="FAG72" s="146"/>
      <c r="FAH72" s="146"/>
      <c r="FAI72" s="146"/>
      <c r="FAJ72" s="146"/>
      <c r="FAK72" s="146"/>
      <c r="FAL72" s="146"/>
      <c r="FAM72" s="146"/>
      <c r="FAN72" s="146"/>
      <c r="FAO72" s="146"/>
      <c r="FAP72" s="146"/>
      <c r="FAQ72" s="146"/>
      <c r="FAR72" s="146"/>
      <c r="FAS72" s="146"/>
      <c r="FAT72" s="146"/>
      <c r="FAU72" s="146"/>
      <c r="FAV72" s="146"/>
      <c r="FAW72" s="146"/>
      <c r="FAX72" s="146"/>
      <c r="FAY72" s="146"/>
      <c r="FAZ72" s="146"/>
      <c r="FBA72" s="146"/>
      <c r="FBB72" s="146"/>
      <c r="FBC72" s="146"/>
      <c r="FBD72" s="146"/>
      <c r="FBE72" s="146"/>
      <c r="FBF72" s="146"/>
      <c r="FBG72" s="146"/>
      <c r="FBH72" s="146"/>
      <c r="FBI72" s="146"/>
      <c r="FBJ72" s="146"/>
      <c r="FBK72" s="146"/>
      <c r="FBL72" s="146"/>
      <c r="FBM72" s="146"/>
      <c r="FBN72" s="146"/>
      <c r="FBO72" s="146"/>
      <c r="FBP72" s="146"/>
      <c r="FBQ72" s="146"/>
      <c r="FBR72" s="146"/>
      <c r="FBS72" s="146"/>
      <c r="FBT72" s="146"/>
      <c r="FBU72" s="146"/>
      <c r="FBV72" s="146"/>
      <c r="FBW72" s="146"/>
      <c r="FBX72" s="146"/>
      <c r="FBY72" s="146"/>
      <c r="FBZ72" s="146"/>
      <c r="FCA72" s="146"/>
      <c r="FCB72" s="146"/>
      <c r="FCC72" s="146"/>
      <c r="FCD72" s="146"/>
      <c r="FCE72" s="146"/>
      <c r="FCF72" s="146"/>
      <c r="FCG72" s="146"/>
      <c r="FCH72" s="146"/>
      <c r="FCI72" s="146"/>
      <c r="FCJ72" s="146"/>
      <c r="FCK72" s="146"/>
      <c r="FCL72" s="146"/>
      <c r="FCM72" s="146"/>
      <c r="FCN72" s="146"/>
      <c r="FCO72" s="146"/>
      <c r="FCP72" s="146"/>
      <c r="FCQ72" s="146"/>
      <c r="FCR72" s="146"/>
      <c r="FCS72" s="146"/>
      <c r="FCT72" s="146"/>
      <c r="FCU72" s="146"/>
      <c r="FCV72" s="146"/>
      <c r="FCW72" s="146"/>
      <c r="FCX72" s="146"/>
      <c r="FCY72" s="146"/>
      <c r="FCZ72" s="146"/>
      <c r="FDA72" s="146"/>
      <c r="FDB72" s="146"/>
      <c r="FDC72" s="146"/>
      <c r="FDD72" s="146"/>
      <c r="FDE72" s="146"/>
      <c r="FDF72" s="146"/>
      <c r="FDG72" s="146"/>
      <c r="FDH72" s="146"/>
      <c r="FDI72" s="146"/>
      <c r="FDJ72" s="146"/>
      <c r="FDK72" s="146"/>
      <c r="FDL72" s="146"/>
      <c r="FDM72" s="146"/>
      <c r="FDN72" s="146"/>
      <c r="FDO72" s="146"/>
      <c r="FDP72" s="146"/>
      <c r="FDQ72" s="146"/>
      <c r="FDR72" s="146"/>
      <c r="FDS72" s="146"/>
      <c r="FDT72" s="146"/>
      <c r="FDU72" s="146"/>
      <c r="FDV72" s="146"/>
      <c r="FDW72" s="146"/>
      <c r="FDX72" s="146"/>
      <c r="FDY72" s="146"/>
      <c r="FDZ72" s="146"/>
      <c r="FEA72" s="146"/>
      <c r="FEB72" s="146"/>
      <c r="FEC72" s="146"/>
      <c r="FED72" s="146"/>
      <c r="FEE72" s="146"/>
      <c r="FEF72" s="146"/>
      <c r="FEG72" s="146"/>
      <c r="FEH72" s="146"/>
      <c r="FEI72" s="146"/>
      <c r="FEJ72" s="146"/>
      <c r="FEK72" s="146"/>
      <c r="FEL72" s="146"/>
      <c r="FEM72" s="146"/>
      <c r="FEN72" s="146"/>
      <c r="FEO72" s="146"/>
      <c r="FEP72" s="146"/>
      <c r="FEQ72" s="146"/>
      <c r="FER72" s="146"/>
      <c r="FES72" s="146"/>
      <c r="FET72" s="146"/>
      <c r="FEU72" s="146"/>
      <c r="FEV72" s="146"/>
      <c r="FEW72" s="146"/>
      <c r="FEX72" s="146"/>
      <c r="FEY72" s="146"/>
      <c r="FEZ72" s="146"/>
      <c r="FFA72" s="146"/>
      <c r="FFB72" s="146"/>
      <c r="FFC72" s="146"/>
      <c r="FFD72" s="146"/>
      <c r="FFE72" s="146"/>
      <c r="FFF72" s="146"/>
      <c r="FFG72" s="146"/>
      <c r="FFH72" s="146"/>
      <c r="FFI72" s="146"/>
      <c r="FFJ72" s="146"/>
      <c r="FFK72" s="146"/>
      <c r="FFL72" s="146"/>
      <c r="FFM72" s="146"/>
      <c r="FFN72" s="146"/>
      <c r="FFO72" s="146"/>
      <c r="FFP72" s="146"/>
      <c r="FFQ72" s="146"/>
      <c r="FFR72" s="146"/>
      <c r="FFS72" s="146"/>
      <c r="FFT72" s="146"/>
      <c r="FFU72" s="146"/>
      <c r="FFV72" s="146"/>
      <c r="FFW72" s="146"/>
      <c r="FFX72" s="146"/>
      <c r="FFY72" s="146"/>
      <c r="FFZ72" s="146"/>
      <c r="FGA72" s="146"/>
      <c r="FGB72" s="146"/>
      <c r="FGC72" s="146"/>
      <c r="FGD72" s="146"/>
      <c r="FGE72" s="146"/>
      <c r="FGF72" s="146"/>
      <c r="FGG72" s="146"/>
      <c r="FGH72" s="146"/>
      <c r="FGI72" s="146"/>
      <c r="FGJ72" s="146"/>
      <c r="FGK72" s="146"/>
      <c r="FGL72" s="146"/>
      <c r="FGM72" s="146"/>
      <c r="FGN72" s="146"/>
      <c r="FGO72" s="146"/>
      <c r="FGP72" s="146"/>
      <c r="FGQ72" s="146"/>
      <c r="FGR72" s="146"/>
      <c r="FGS72" s="146"/>
      <c r="FGT72" s="146"/>
      <c r="FGU72" s="146"/>
      <c r="FGV72" s="146"/>
      <c r="FGW72" s="146"/>
      <c r="FGX72" s="146"/>
      <c r="FGY72" s="146"/>
      <c r="FGZ72" s="146"/>
      <c r="FHA72" s="146"/>
      <c r="FHB72" s="146"/>
      <c r="FHC72" s="146"/>
      <c r="FHD72" s="146"/>
      <c r="FHE72" s="146"/>
      <c r="FHF72" s="146"/>
      <c r="FHG72" s="146"/>
      <c r="FHH72" s="146"/>
      <c r="FHI72" s="146"/>
      <c r="FHJ72" s="146"/>
      <c r="FHK72" s="146"/>
      <c r="FHL72" s="146"/>
      <c r="FHM72" s="146"/>
      <c r="FHN72" s="146"/>
      <c r="FHO72" s="146"/>
      <c r="FHP72" s="146"/>
      <c r="FHQ72" s="146"/>
      <c r="FHR72" s="146"/>
      <c r="FHS72" s="146"/>
      <c r="FHT72" s="146"/>
      <c r="FHU72" s="146"/>
      <c r="FHV72" s="146"/>
      <c r="FHW72" s="146"/>
      <c r="FHX72" s="146"/>
      <c r="FHY72" s="146"/>
      <c r="FHZ72" s="146"/>
      <c r="FIA72" s="146"/>
      <c r="FIB72" s="146"/>
      <c r="FIC72" s="146"/>
      <c r="FID72" s="146"/>
      <c r="FIE72" s="146"/>
      <c r="FIF72" s="146"/>
      <c r="FIG72" s="146"/>
      <c r="FIH72" s="146"/>
      <c r="FII72" s="146"/>
      <c r="FIJ72" s="146"/>
      <c r="FIK72" s="146"/>
      <c r="FIL72" s="146"/>
      <c r="FIM72" s="146"/>
      <c r="FIN72" s="146"/>
      <c r="FIO72" s="146"/>
      <c r="FIP72" s="146"/>
      <c r="FIQ72" s="146"/>
      <c r="FIR72" s="146"/>
      <c r="FIS72" s="146"/>
      <c r="FIT72" s="146"/>
      <c r="FIU72" s="146"/>
      <c r="FIV72" s="146"/>
      <c r="FIW72" s="146"/>
      <c r="FIX72" s="146"/>
      <c r="FIY72" s="146"/>
      <c r="FIZ72" s="146"/>
      <c r="FJA72" s="146"/>
      <c r="FJB72" s="146"/>
      <c r="FJC72" s="146"/>
      <c r="FJD72" s="146"/>
      <c r="FJE72" s="146"/>
      <c r="FJF72" s="146"/>
      <c r="FJG72" s="146"/>
      <c r="FJH72" s="146"/>
      <c r="FJI72" s="146"/>
      <c r="FJJ72" s="146"/>
      <c r="FJK72" s="146"/>
      <c r="FJL72" s="146"/>
      <c r="FJM72" s="146"/>
      <c r="FJN72" s="146"/>
      <c r="FJO72" s="146"/>
      <c r="FJP72" s="146"/>
      <c r="FJQ72" s="146"/>
      <c r="FJR72" s="146"/>
      <c r="FJS72" s="146"/>
      <c r="FJT72" s="146"/>
      <c r="FJU72" s="146"/>
      <c r="FJV72" s="146"/>
      <c r="FJW72" s="146"/>
      <c r="FJX72" s="146"/>
      <c r="FJY72" s="146"/>
      <c r="FJZ72" s="146"/>
      <c r="FKA72" s="146"/>
      <c r="FKB72" s="146"/>
      <c r="FKC72" s="146"/>
      <c r="FKD72" s="146"/>
      <c r="FKE72" s="146"/>
      <c r="FKF72" s="146"/>
      <c r="FKG72" s="146"/>
      <c r="FKH72" s="146"/>
      <c r="FKI72" s="146"/>
      <c r="FKJ72" s="146"/>
      <c r="FKK72" s="146"/>
      <c r="FKL72" s="146"/>
      <c r="FKM72" s="146"/>
      <c r="FKN72" s="146"/>
      <c r="FKO72" s="146"/>
      <c r="FKP72" s="146"/>
      <c r="FKQ72" s="146"/>
      <c r="FKR72" s="146"/>
      <c r="FKS72" s="146"/>
      <c r="FKT72" s="146"/>
      <c r="FKU72" s="146"/>
      <c r="FKV72" s="146"/>
      <c r="FKW72" s="146"/>
      <c r="FKX72" s="146"/>
      <c r="FKY72" s="146"/>
      <c r="FKZ72" s="146"/>
      <c r="FLA72" s="146"/>
      <c r="FLB72" s="146"/>
      <c r="FLC72" s="146"/>
      <c r="FLD72" s="146"/>
      <c r="FLE72" s="146"/>
      <c r="FLF72" s="146"/>
      <c r="FLG72" s="146"/>
      <c r="FLH72" s="146"/>
      <c r="FLI72" s="146"/>
      <c r="FLJ72" s="146"/>
      <c r="FLK72" s="146"/>
      <c r="FLL72" s="146"/>
      <c r="FLM72" s="146"/>
      <c r="FLN72" s="146"/>
      <c r="FLO72" s="146"/>
      <c r="FLP72" s="146"/>
      <c r="FLQ72" s="146"/>
      <c r="FLR72" s="146"/>
      <c r="FLS72" s="146"/>
      <c r="FLT72" s="146"/>
      <c r="FLU72" s="146"/>
      <c r="FLV72" s="146"/>
      <c r="FLW72" s="146"/>
      <c r="FLX72" s="146"/>
      <c r="FLY72" s="146"/>
      <c r="FLZ72" s="146"/>
      <c r="FMA72" s="146"/>
      <c r="FMB72" s="146"/>
      <c r="FMC72" s="146"/>
      <c r="FMD72" s="146"/>
      <c r="FME72" s="146"/>
      <c r="FMF72" s="146"/>
      <c r="FMG72" s="146"/>
      <c r="FMH72" s="146"/>
      <c r="FMI72" s="146"/>
      <c r="FMJ72" s="146"/>
      <c r="FMK72" s="146"/>
      <c r="FML72" s="146"/>
      <c r="FMM72" s="146"/>
      <c r="FMN72" s="146"/>
      <c r="FMO72" s="146"/>
      <c r="FMP72" s="146"/>
      <c r="FMQ72" s="146"/>
      <c r="FMR72" s="146"/>
      <c r="FMS72" s="146"/>
      <c r="FMT72" s="146"/>
      <c r="FMU72" s="146"/>
      <c r="FMV72" s="146"/>
      <c r="FMW72" s="146"/>
      <c r="FMX72" s="146"/>
      <c r="FMY72" s="146"/>
      <c r="FMZ72" s="146"/>
      <c r="FNA72" s="146"/>
      <c r="FNB72" s="146"/>
      <c r="FNC72" s="146"/>
      <c r="FND72" s="146"/>
      <c r="FNE72" s="146"/>
      <c r="FNF72" s="146"/>
      <c r="FNG72" s="146"/>
      <c r="FNH72" s="146"/>
      <c r="FNI72" s="146"/>
      <c r="FNJ72" s="146"/>
      <c r="FNK72" s="146"/>
      <c r="FNL72" s="146"/>
      <c r="FNM72" s="146"/>
      <c r="FNN72" s="146"/>
      <c r="FNO72" s="146"/>
      <c r="FNP72" s="146"/>
      <c r="FNQ72" s="146"/>
      <c r="FNR72" s="146"/>
      <c r="FNS72" s="146"/>
      <c r="FNT72" s="146"/>
      <c r="FNU72" s="146"/>
      <c r="FNV72" s="146"/>
      <c r="FNW72" s="146"/>
      <c r="FNX72" s="146"/>
      <c r="FNY72" s="146"/>
      <c r="FNZ72" s="146"/>
      <c r="FOA72" s="146"/>
      <c r="FOB72" s="146"/>
      <c r="FOC72" s="146"/>
      <c r="FOD72" s="146"/>
      <c r="FOE72" s="146"/>
      <c r="FOF72" s="146"/>
      <c r="FOG72" s="146"/>
      <c r="FOH72" s="146"/>
      <c r="FOI72" s="146"/>
      <c r="FOJ72" s="146"/>
      <c r="FOK72" s="146"/>
      <c r="FOL72" s="146"/>
      <c r="FOM72" s="146"/>
      <c r="FON72" s="146"/>
      <c r="FOO72" s="146"/>
      <c r="FOP72" s="146"/>
      <c r="FOQ72" s="146"/>
      <c r="FOR72" s="146"/>
      <c r="FOS72" s="146"/>
      <c r="FOT72" s="146"/>
      <c r="FOU72" s="146"/>
      <c r="FOV72" s="146"/>
      <c r="FOW72" s="146"/>
      <c r="FOX72" s="146"/>
      <c r="FOY72" s="146"/>
      <c r="FOZ72" s="146"/>
      <c r="FPA72" s="146"/>
      <c r="FPB72" s="146"/>
      <c r="FPC72" s="146"/>
      <c r="FPD72" s="146"/>
      <c r="FPE72" s="146"/>
      <c r="FPF72" s="146"/>
      <c r="FPG72" s="146"/>
      <c r="FPH72" s="146"/>
      <c r="FPI72" s="146"/>
      <c r="FPJ72" s="146"/>
      <c r="FPK72" s="146"/>
      <c r="FPL72" s="146"/>
      <c r="FPM72" s="146"/>
      <c r="FPN72" s="146"/>
      <c r="FPO72" s="146"/>
      <c r="FPP72" s="146"/>
      <c r="FPQ72" s="146"/>
      <c r="FPR72" s="146"/>
      <c r="FPS72" s="146"/>
      <c r="FPT72" s="146"/>
      <c r="FPU72" s="146"/>
      <c r="FPV72" s="146"/>
      <c r="FPW72" s="146"/>
      <c r="FPX72" s="146"/>
      <c r="FPY72" s="146"/>
      <c r="FPZ72" s="146"/>
      <c r="FQA72" s="146"/>
      <c r="FQB72" s="146"/>
      <c r="FQC72" s="146"/>
      <c r="FQD72" s="146"/>
      <c r="FQE72" s="146"/>
      <c r="FQF72" s="146"/>
      <c r="FQG72" s="146"/>
      <c r="FQH72" s="146"/>
      <c r="FQI72" s="146"/>
      <c r="FQJ72" s="146"/>
      <c r="FQK72" s="146"/>
      <c r="FQL72" s="146"/>
      <c r="FQM72" s="146"/>
      <c r="FQN72" s="146"/>
      <c r="FQO72" s="146"/>
      <c r="FQP72" s="146"/>
      <c r="FQQ72" s="146"/>
      <c r="FQR72" s="146"/>
      <c r="FQS72" s="146"/>
      <c r="FQT72" s="146"/>
      <c r="FQU72" s="146"/>
      <c r="FQV72" s="146"/>
      <c r="FQW72" s="146"/>
      <c r="FQX72" s="146"/>
      <c r="FQY72" s="146"/>
      <c r="FQZ72" s="146"/>
      <c r="FRA72" s="146"/>
      <c r="FRB72" s="146"/>
      <c r="FRC72" s="146"/>
      <c r="FRD72" s="146"/>
      <c r="FRE72" s="146"/>
      <c r="FRF72" s="146"/>
      <c r="FRG72" s="146"/>
      <c r="FRH72" s="146"/>
      <c r="FRI72" s="146"/>
      <c r="FRJ72" s="146"/>
      <c r="FRK72" s="146"/>
      <c r="FRL72" s="146"/>
      <c r="FRM72" s="146"/>
      <c r="FRN72" s="146"/>
      <c r="FRO72" s="146"/>
      <c r="FRP72" s="146"/>
      <c r="FRQ72" s="146"/>
      <c r="FRR72" s="146"/>
      <c r="FRS72" s="146"/>
      <c r="FRT72" s="146"/>
      <c r="FRU72" s="146"/>
      <c r="FRV72" s="146"/>
      <c r="FRW72" s="146"/>
      <c r="FRX72" s="146"/>
      <c r="FRY72" s="146"/>
      <c r="FRZ72" s="146"/>
      <c r="FSA72" s="146"/>
      <c r="FSB72" s="146"/>
      <c r="FSC72" s="146"/>
      <c r="FSD72" s="146"/>
      <c r="FSE72" s="146"/>
      <c r="FSF72" s="146"/>
      <c r="FSG72" s="146"/>
      <c r="FSH72" s="146"/>
      <c r="FSI72" s="146"/>
      <c r="FSJ72" s="146"/>
      <c r="FSK72" s="146"/>
      <c r="FSL72" s="146"/>
      <c r="FSM72" s="146"/>
      <c r="FSN72" s="146"/>
      <c r="FSO72" s="146"/>
      <c r="FSP72" s="146"/>
      <c r="FSQ72" s="146"/>
      <c r="FSR72" s="146"/>
      <c r="FSS72" s="146"/>
      <c r="FST72" s="146"/>
      <c r="FSU72" s="146"/>
      <c r="FSV72" s="146"/>
      <c r="FSW72" s="146"/>
      <c r="FSX72" s="146"/>
      <c r="FSY72" s="146"/>
      <c r="FSZ72" s="146"/>
      <c r="FTA72" s="146"/>
      <c r="FTB72" s="146"/>
      <c r="FTC72" s="146"/>
      <c r="FTD72" s="146"/>
      <c r="FTE72" s="146"/>
      <c r="FTF72" s="146"/>
      <c r="FTG72" s="146"/>
      <c r="FTH72" s="146"/>
      <c r="FTI72" s="146"/>
      <c r="FTJ72" s="146"/>
      <c r="FTK72" s="146"/>
      <c r="FTL72" s="146"/>
      <c r="FTM72" s="146"/>
      <c r="FTN72" s="146"/>
      <c r="FTO72" s="146"/>
      <c r="FTP72" s="146"/>
      <c r="FTQ72" s="146"/>
      <c r="FTR72" s="146"/>
      <c r="FTS72" s="146"/>
      <c r="FTT72" s="146"/>
      <c r="FTU72" s="146"/>
      <c r="FTV72" s="146"/>
      <c r="FTW72" s="146"/>
      <c r="FTX72" s="146"/>
      <c r="FTY72" s="146"/>
      <c r="FTZ72" s="146"/>
      <c r="FUA72" s="146"/>
      <c r="FUB72" s="146"/>
      <c r="FUC72" s="146"/>
      <c r="FUD72" s="146"/>
      <c r="FUE72" s="146"/>
      <c r="FUF72" s="146"/>
      <c r="FUG72" s="146"/>
      <c r="FUH72" s="146"/>
      <c r="FUI72" s="146"/>
      <c r="FUJ72" s="146"/>
      <c r="FUK72" s="146"/>
      <c r="FUL72" s="146"/>
      <c r="FUM72" s="146"/>
      <c r="FUN72" s="146"/>
      <c r="FUO72" s="146"/>
      <c r="FUP72" s="146"/>
      <c r="FUQ72" s="146"/>
      <c r="FUR72" s="146"/>
      <c r="FUS72" s="146"/>
      <c r="FUT72" s="146"/>
      <c r="FUU72" s="146"/>
      <c r="FUV72" s="146"/>
      <c r="FUW72" s="146"/>
      <c r="FUX72" s="146"/>
      <c r="FUY72" s="146"/>
      <c r="FUZ72" s="146"/>
      <c r="FVA72" s="146"/>
      <c r="FVB72" s="146"/>
      <c r="FVC72" s="146"/>
      <c r="FVD72" s="146"/>
      <c r="FVE72" s="146"/>
      <c r="FVF72" s="146"/>
      <c r="FVG72" s="146"/>
      <c r="FVH72" s="146"/>
      <c r="FVI72" s="146"/>
      <c r="FVJ72" s="146"/>
      <c r="FVK72" s="146"/>
      <c r="FVL72" s="146"/>
      <c r="FVM72" s="146"/>
      <c r="FVN72" s="146"/>
      <c r="FVO72" s="146"/>
      <c r="FVP72" s="146"/>
      <c r="FVQ72" s="146"/>
      <c r="FVR72" s="146"/>
      <c r="FVS72" s="146"/>
      <c r="FVT72" s="146"/>
      <c r="FVU72" s="146"/>
      <c r="FVV72" s="146"/>
      <c r="FVW72" s="146"/>
      <c r="FVX72" s="146"/>
      <c r="FVY72" s="146"/>
      <c r="FVZ72" s="146"/>
      <c r="FWA72" s="146"/>
      <c r="FWB72" s="146"/>
      <c r="FWC72" s="146"/>
      <c r="FWD72" s="146"/>
      <c r="FWE72" s="146"/>
      <c r="FWF72" s="146"/>
      <c r="FWG72" s="146"/>
      <c r="FWH72" s="146"/>
      <c r="FWI72" s="146"/>
      <c r="FWJ72" s="146"/>
      <c r="FWK72" s="146"/>
      <c r="FWL72" s="146"/>
      <c r="FWM72" s="146"/>
      <c r="FWN72" s="146"/>
      <c r="FWO72" s="146"/>
      <c r="FWP72" s="146"/>
      <c r="FWQ72" s="146"/>
      <c r="FWR72" s="146"/>
      <c r="FWS72" s="146"/>
      <c r="FWT72" s="146"/>
      <c r="FWU72" s="146"/>
      <c r="FWV72" s="146"/>
      <c r="FWW72" s="146"/>
      <c r="FWX72" s="146"/>
      <c r="FWY72" s="146"/>
      <c r="FWZ72" s="146"/>
      <c r="FXA72" s="146"/>
      <c r="FXB72" s="146"/>
      <c r="FXC72" s="146"/>
      <c r="FXD72" s="146"/>
      <c r="FXE72" s="146"/>
      <c r="FXF72" s="146"/>
      <c r="FXG72" s="146"/>
      <c r="FXH72" s="146"/>
      <c r="FXI72" s="146"/>
      <c r="FXJ72" s="146"/>
      <c r="FXK72" s="146"/>
      <c r="FXL72" s="146"/>
      <c r="FXM72" s="146"/>
      <c r="FXN72" s="146"/>
      <c r="FXO72" s="146"/>
      <c r="FXP72" s="146"/>
      <c r="FXQ72" s="146"/>
      <c r="FXR72" s="146"/>
      <c r="FXS72" s="146"/>
      <c r="FXT72" s="146"/>
      <c r="FXU72" s="146"/>
      <c r="FXV72" s="146"/>
      <c r="FXW72" s="146"/>
      <c r="FXX72" s="146"/>
      <c r="FXY72" s="146"/>
      <c r="FXZ72" s="146"/>
      <c r="FYA72" s="146"/>
      <c r="FYB72" s="146"/>
      <c r="FYC72" s="146"/>
      <c r="FYD72" s="146"/>
      <c r="FYE72" s="146"/>
      <c r="FYF72" s="146"/>
      <c r="FYG72" s="146"/>
      <c r="FYH72" s="146"/>
      <c r="FYI72" s="146"/>
      <c r="FYJ72" s="146"/>
      <c r="FYK72" s="146"/>
      <c r="FYL72" s="146"/>
      <c r="FYM72" s="146"/>
      <c r="FYN72" s="146"/>
      <c r="FYO72" s="146"/>
      <c r="FYP72" s="146"/>
      <c r="FYQ72" s="146"/>
      <c r="FYR72" s="146"/>
      <c r="FYS72" s="146"/>
      <c r="FYT72" s="146"/>
      <c r="FYU72" s="146"/>
      <c r="FYV72" s="146"/>
      <c r="FYW72" s="146"/>
      <c r="FYX72" s="146"/>
      <c r="FYY72" s="146"/>
      <c r="FYZ72" s="146"/>
      <c r="FZA72" s="146"/>
      <c r="FZB72" s="146"/>
      <c r="FZC72" s="146"/>
      <c r="FZD72" s="146"/>
      <c r="FZE72" s="146"/>
      <c r="FZF72" s="146"/>
      <c r="FZG72" s="146"/>
      <c r="FZH72" s="146"/>
      <c r="FZI72" s="146"/>
      <c r="FZJ72" s="146"/>
      <c r="FZK72" s="146"/>
      <c r="FZL72" s="146"/>
      <c r="FZM72" s="146"/>
      <c r="FZN72" s="146"/>
      <c r="FZO72" s="146"/>
      <c r="FZP72" s="146"/>
      <c r="FZQ72" s="146"/>
      <c r="FZR72" s="146"/>
      <c r="FZS72" s="146"/>
      <c r="FZT72" s="146"/>
      <c r="FZU72" s="146"/>
      <c r="FZV72" s="146"/>
      <c r="FZW72" s="146"/>
      <c r="FZX72" s="146"/>
      <c r="FZY72" s="146"/>
      <c r="FZZ72" s="146"/>
      <c r="GAA72" s="146"/>
      <c r="GAB72" s="146"/>
      <c r="GAC72" s="146"/>
      <c r="GAD72" s="146"/>
      <c r="GAE72" s="146"/>
      <c r="GAF72" s="146"/>
      <c r="GAG72" s="146"/>
      <c r="GAH72" s="146"/>
      <c r="GAI72" s="146"/>
      <c r="GAJ72" s="146"/>
      <c r="GAK72" s="146"/>
      <c r="GAL72" s="146"/>
      <c r="GAM72" s="146"/>
      <c r="GAN72" s="146"/>
      <c r="GAO72" s="146"/>
      <c r="GAP72" s="146"/>
      <c r="GAQ72" s="146"/>
      <c r="GAR72" s="146"/>
      <c r="GAS72" s="146"/>
      <c r="GAT72" s="146"/>
      <c r="GAU72" s="146"/>
      <c r="GAV72" s="146"/>
      <c r="GAW72" s="146"/>
      <c r="GAX72" s="146"/>
      <c r="GAY72" s="146"/>
      <c r="GAZ72" s="146"/>
      <c r="GBA72" s="146"/>
      <c r="GBB72" s="146"/>
      <c r="GBC72" s="146"/>
      <c r="GBD72" s="146"/>
      <c r="GBE72" s="146"/>
      <c r="GBF72" s="146"/>
      <c r="GBG72" s="146"/>
      <c r="GBH72" s="146"/>
      <c r="GBI72" s="146"/>
      <c r="GBJ72" s="146"/>
      <c r="GBK72" s="146"/>
      <c r="GBL72" s="146"/>
      <c r="GBM72" s="146"/>
      <c r="GBN72" s="146"/>
      <c r="GBO72" s="146"/>
      <c r="GBP72" s="146"/>
      <c r="GBQ72" s="146"/>
      <c r="GBR72" s="146"/>
      <c r="GBS72" s="146"/>
      <c r="GBT72" s="146"/>
      <c r="GBU72" s="146"/>
      <c r="GBV72" s="146"/>
      <c r="GBW72" s="146"/>
      <c r="GBX72" s="146"/>
      <c r="GBY72" s="146"/>
      <c r="GBZ72" s="146"/>
      <c r="GCA72" s="146"/>
      <c r="GCB72" s="146"/>
      <c r="GCC72" s="146"/>
      <c r="GCD72" s="146"/>
      <c r="GCE72" s="146"/>
      <c r="GCF72" s="146"/>
      <c r="GCG72" s="146"/>
      <c r="GCH72" s="146"/>
      <c r="GCI72" s="146"/>
      <c r="GCJ72" s="146"/>
      <c r="GCK72" s="146"/>
      <c r="GCL72" s="146"/>
      <c r="GCM72" s="146"/>
      <c r="GCN72" s="146"/>
      <c r="GCO72" s="146"/>
      <c r="GCP72" s="146"/>
      <c r="GCQ72" s="146"/>
      <c r="GCR72" s="146"/>
      <c r="GCS72" s="146"/>
      <c r="GCT72" s="146"/>
      <c r="GCU72" s="146"/>
      <c r="GCV72" s="146"/>
      <c r="GCW72" s="146"/>
      <c r="GCX72" s="146"/>
      <c r="GCY72" s="146"/>
      <c r="GCZ72" s="146"/>
      <c r="GDA72" s="146"/>
      <c r="GDB72" s="146"/>
      <c r="GDC72" s="146"/>
      <c r="GDD72" s="146"/>
      <c r="GDE72" s="146"/>
      <c r="GDF72" s="146"/>
      <c r="GDG72" s="146"/>
      <c r="GDH72" s="146"/>
      <c r="GDI72" s="146"/>
      <c r="GDJ72" s="146"/>
      <c r="GDK72" s="146"/>
      <c r="GDL72" s="146"/>
      <c r="GDM72" s="146"/>
      <c r="GDN72" s="146"/>
      <c r="GDO72" s="146"/>
      <c r="GDP72" s="146"/>
      <c r="GDQ72" s="146"/>
      <c r="GDR72" s="146"/>
      <c r="GDS72" s="146"/>
      <c r="GDT72" s="146"/>
      <c r="GDU72" s="146"/>
      <c r="GDV72" s="146"/>
      <c r="GDW72" s="146"/>
      <c r="GDX72" s="146"/>
      <c r="GDY72" s="146"/>
      <c r="GDZ72" s="146"/>
      <c r="GEA72" s="146"/>
      <c r="GEB72" s="146"/>
      <c r="GEC72" s="146"/>
      <c r="GED72" s="146"/>
      <c r="GEE72" s="146"/>
      <c r="GEF72" s="146"/>
      <c r="GEG72" s="146"/>
      <c r="GEH72" s="146"/>
      <c r="GEI72" s="146"/>
      <c r="GEJ72" s="146"/>
      <c r="GEK72" s="146"/>
      <c r="GEL72" s="146"/>
      <c r="GEM72" s="146"/>
      <c r="GEN72" s="146"/>
      <c r="GEO72" s="146"/>
      <c r="GEP72" s="146"/>
      <c r="GEQ72" s="146"/>
      <c r="GER72" s="146"/>
      <c r="GES72" s="146"/>
      <c r="GET72" s="146"/>
      <c r="GEU72" s="146"/>
      <c r="GEV72" s="146"/>
      <c r="GEW72" s="146"/>
      <c r="GEX72" s="146"/>
      <c r="GEY72" s="146"/>
      <c r="GEZ72" s="146"/>
      <c r="GFA72" s="146"/>
      <c r="GFB72" s="146"/>
      <c r="GFC72" s="146"/>
      <c r="GFD72" s="146"/>
      <c r="GFE72" s="146"/>
      <c r="GFF72" s="146"/>
      <c r="GFG72" s="146"/>
      <c r="GFH72" s="146"/>
      <c r="GFI72" s="146"/>
      <c r="GFJ72" s="146"/>
      <c r="GFK72" s="146"/>
      <c r="GFL72" s="146"/>
      <c r="GFM72" s="146"/>
      <c r="GFN72" s="146"/>
      <c r="GFO72" s="146"/>
      <c r="GFP72" s="146"/>
      <c r="GFQ72" s="146"/>
      <c r="GFR72" s="146"/>
      <c r="GFS72" s="146"/>
      <c r="GFT72" s="146"/>
      <c r="GFU72" s="146"/>
      <c r="GFV72" s="146"/>
      <c r="GFW72" s="146"/>
      <c r="GFX72" s="146"/>
      <c r="GFY72" s="146"/>
      <c r="GFZ72" s="146"/>
      <c r="GGA72" s="146"/>
      <c r="GGB72" s="146"/>
      <c r="GGC72" s="146"/>
      <c r="GGD72" s="146"/>
      <c r="GGE72" s="146"/>
      <c r="GGF72" s="146"/>
      <c r="GGG72" s="146"/>
      <c r="GGH72" s="146"/>
      <c r="GGI72" s="146"/>
      <c r="GGJ72" s="146"/>
      <c r="GGK72" s="146"/>
      <c r="GGL72" s="146"/>
      <c r="GGM72" s="146"/>
      <c r="GGN72" s="146"/>
      <c r="GGO72" s="146"/>
      <c r="GGP72" s="146"/>
      <c r="GGQ72" s="146"/>
      <c r="GGR72" s="146"/>
      <c r="GGS72" s="146"/>
      <c r="GGT72" s="146"/>
      <c r="GGU72" s="146"/>
      <c r="GGV72" s="146"/>
      <c r="GGW72" s="146"/>
      <c r="GGX72" s="146"/>
      <c r="GGY72" s="146"/>
      <c r="GGZ72" s="146"/>
      <c r="GHA72" s="146"/>
      <c r="GHB72" s="146"/>
      <c r="GHC72" s="146"/>
      <c r="GHD72" s="146"/>
      <c r="GHE72" s="146"/>
      <c r="GHF72" s="146"/>
      <c r="GHG72" s="146"/>
      <c r="GHH72" s="146"/>
      <c r="GHI72" s="146"/>
      <c r="GHJ72" s="146"/>
      <c r="GHK72" s="146"/>
      <c r="GHL72" s="146"/>
      <c r="GHM72" s="146"/>
      <c r="GHN72" s="146"/>
      <c r="GHO72" s="146"/>
      <c r="GHP72" s="146"/>
      <c r="GHQ72" s="146"/>
      <c r="GHR72" s="146"/>
      <c r="GHS72" s="146"/>
      <c r="GHT72" s="146"/>
      <c r="GHU72" s="146"/>
      <c r="GHV72" s="146"/>
      <c r="GHW72" s="146"/>
      <c r="GHX72" s="146"/>
      <c r="GHY72" s="146"/>
      <c r="GHZ72" s="146"/>
      <c r="GIA72" s="146"/>
      <c r="GIB72" s="146"/>
      <c r="GIC72" s="146"/>
      <c r="GID72" s="146"/>
      <c r="GIE72" s="146"/>
      <c r="GIF72" s="146"/>
      <c r="GIG72" s="146"/>
      <c r="GIH72" s="146"/>
      <c r="GII72" s="146"/>
      <c r="GIJ72" s="146"/>
      <c r="GIK72" s="146"/>
      <c r="GIL72" s="146"/>
      <c r="GIM72" s="146"/>
      <c r="GIN72" s="146"/>
      <c r="GIO72" s="146"/>
      <c r="GIP72" s="146"/>
      <c r="GIQ72" s="146"/>
      <c r="GIR72" s="146"/>
      <c r="GIS72" s="146"/>
      <c r="GIT72" s="146"/>
      <c r="GIU72" s="146"/>
      <c r="GIV72" s="146"/>
      <c r="GIW72" s="146"/>
      <c r="GIX72" s="146"/>
      <c r="GIY72" s="146"/>
      <c r="GIZ72" s="146"/>
      <c r="GJA72" s="146"/>
      <c r="GJB72" s="146"/>
      <c r="GJC72" s="146"/>
      <c r="GJD72" s="146"/>
      <c r="GJE72" s="146"/>
      <c r="GJF72" s="146"/>
      <c r="GJG72" s="146"/>
      <c r="GJH72" s="146"/>
      <c r="GJI72" s="146"/>
      <c r="GJJ72" s="146"/>
      <c r="GJK72" s="146"/>
      <c r="GJL72" s="146"/>
      <c r="GJM72" s="146"/>
      <c r="GJN72" s="146"/>
      <c r="GJO72" s="146"/>
      <c r="GJP72" s="146"/>
      <c r="GJQ72" s="146"/>
      <c r="GJR72" s="146"/>
      <c r="GJS72" s="146"/>
      <c r="GJT72" s="146"/>
      <c r="GJU72" s="146"/>
      <c r="GJV72" s="146"/>
      <c r="GJW72" s="146"/>
      <c r="GJX72" s="146"/>
      <c r="GJY72" s="146"/>
      <c r="GJZ72" s="146"/>
      <c r="GKA72" s="146"/>
      <c r="GKB72" s="146"/>
      <c r="GKC72" s="146"/>
      <c r="GKD72" s="146"/>
      <c r="GKE72" s="146"/>
      <c r="GKF72" s="146"/>
      <c r="GKG72" s="146"/>
      <c r="GKH72" s="146"/>
      <c r="GKI72" s="146"/>
      <c r="GKJ72" s="146"/>
      <c r="GKK72" s="146"/>
      <c r="GKL72" s="146"/>
      <c r="GKM72" s="146"/>
      <c r="GKN72" s="146"/>
      <c r="GKO72" s="146"/>
      <c r="GKP72" s="146"/>
      <c r="GKQ72" s="146"/>
      <c r="GKR72" s="146"/>
      <c r="GKS72" s="146"/>
      <c r="GKT72" s="146"/>
      <c r="GKU72" s="146"/>
      <c r="GKV72" s="146"/>
      <c r="GKW72" s="146"/>
      <c r="GKX72" s="146"/>
      <c r="GKY72" s="146"/>
      <c r="GKZ72" s="146"/>
      <c r="GLA72" s="146"/>
      <c r="GLB72" s="146"/>
      <c r="GLC72" s="146"/>
      <c r="GLD72" s="146"/>
      <c r="GLE72" s="146"/>
      <c r="GLF72" s="146"/>
      <c r="GLG72" s="146"/>
      <c r="GLH72" s="146"/>
      <c r="GLI72" s="146"/>
      <c r="GLJ72" s="146"/>
      <c r="GLK72" s="146"/>
      <c r="GLL72" s="146"/>
      <c r="GLM72" s="146"/>
      <c r="GLN72" s="146"/>
      <c r="GLO72" s="146"/>
      <c r="GLP72" s="146"/>
      <c r="GLQ72" s="146"/>
      <c r="GLR72" s="146"/>
      <c r="GLS72" s="146"/>
      <c r="GLT72" s="146"/>
      <c r="GLU72" s="146"/>
      <c r="GLV72" s="146"/>
      <c r="GLW72" s="146"/>
      <c r="GLX72" s="146"/>
      <c r="GLY72" s="146"/>
      <c r="GLZ72" s="146"/>
      <c r="GMA72" s="146"/>
      <c r="GMB72" s="146"/>
      <c r="GMC72" s="146"/>
      <c r="GMD72" s="146"/>
      <c r="GME72" s="146"/>
      <c r="GMF72" s="146"/>
      <c r="GMG72" s="146"/>
      <c r="GMH72" s="146"/>
      <c r="GMI72" s="146"/>
      <c r="GMJ72" s="146"/>
      <c r="GMK72" s="146"/>
      <c r="GML72" s="146"/>
      <c r="GMM72" s="146"/>
      <c r="GMN72" s="146"/>
      <c r="GMO72" s="146"/>
      <c r="GMP72" s="146"/>
      <c r="GMQ72" s="146"/>
      <c r="GMR72" s="146"/>
      <c r="GMS72" s="146"/>
      <c r="GMT72" s="146"/>
      <c r="GMU72" s="146"/>
      <c r="GMV72" s="146"/>
      <c r="GMW72" s="146"/>
      <c r="GMX72" s="146"/>
      <c r="GMY72" s="146"/>
      <c r="GMZ72" s="146"/>
      <c r="GNA72" s="146"/>
      <c r="GNB72" s="146"/>
      <c r="GNC72" s="146"/>
      <c r="GND72" s="146"/>
      <c r="GNE72" s="146"/>
      <c r="GNF72" s="146"/>
      <c r="GNG72" s="146"/>
      <c r="GNH72" s="146"/>
      <c r="GNI72" s="146"/>
      <c r="GNJ72" s="146"/>
      <c r="GNK72" s="146"/>
      <c r="GNL72" s="146"/>
      <c r="GNM72" s="146"/>
      <c r="GNN72" s="146"/>
      <c r="GNO72" s="146"/>
      <c r="GNP72" s="146"/>
      <c r="GNQ72" s="146"/>
      <c r="GNR72" s="146"/>
      <c r="GNS72" s="146"/>
      <c r="GNT72" s="146"/>
      <c r="GNU72" s="146"/>
      <c r="GNV72" s="146"/>
      <c r="GNW72" s="146"/>
      <c r="GNX72" s="146"/>
      <c r="GNY72" s="146"/>
      <c r="GNZ72" s="146"/>
      <c r="GOA72" s="146"/>
      <c r="GOB72" s="146"/>
      <c r="GOC72" s="146"/>
      <c r="GOD72" s="146"/>
      <c r="GOE72" s="146"/>
      <c r="GOF72" s="146"/>
      <c r="GOG72" s="146"/>
      <c r="GOH72" s="146"/>
      <c r="GOI72" s="146"/>
      <c r="GOJ72" s="146"/>
      <c r="GOK72" s="146"/>
      <c r="GOL72" s="146"/>
      <c r="GOM72" s="146"/>
      <c r="GON72" s="146"/>
      <c r="GOO72" s="146"/>
      <c r="GOP72" s="146"/>
      <c r="GOQ72" s="146"/>
      <c r="GOR72" s="146"/>
      <c r="GOS72" s="146"/>
      <c r="GOT72" s="146"/>
      <c r="GOU72" s="146"/>
      <c r="GOV72" s="146"/>
      <c r="GOW72" s="146"/>
      <c r="GOX72" s="146"/>
      <c r="GOY72" s="146"/>
      <c r="GOZ72" s="146"/>
      <c r="GPA72" s="146"/>
      <c r="GPB72" s="146"/>
      <c r="GPC72" s="146"/>
      <c r="GPD72" s="146"/>
      <c r="GPE72" s="146"/>
      <c r="GPF72" s="146"/>
      <c r="GPG72" s="146"/>
      <c r="GPH72" s="146"/>
      <c r="GPI72" s="146"/>
      <c r="GPJ72" s="146"/>
      <c r="GPK72" s="146"/>
      <c r="GPL72" s="146"/>
      <c r="GPM72" s="146"/>
      <c r="GPN72" s="146"/>
      <c r="GPO72" s="146"/>
      <c r="GPP72" s="146"/>
      <c r="GPQ72" s="146"/>
      <c r="GPR72" s="146"/>
      <c r="GPS72" s="146"/>
      <c r="GPT72" s="146"/>
      <c r="GPU72" s="146"/>
      <c r="GPV72" s="146"/>
      <c r="GPW72" s="146"/>
      <c r="GPX72" s="146"/>
      <c r="GPY72" s="146"/>
      <c r="GPZ72" s="146"/>
      <c r="GQA72" s="146"/>
      <c r="GQB72" s="146"/>
      <c r="GQC72" s="146"/>
      <c r="GQD72" s="146"/>
      <c r="GQE72" s="146"/>
      <c r="GQF72" s="146"/>
      <c r="GQG72" s="146"/>
      <c r="GQH72" s="146"/>
      <c r="GQI72" s="146"/>
      <c r="GQJ72" s="146"/>
      <c r="GQK72" s="146"/>
      <c r="GQL72" s="146"/>
      <c r="GQM72" s="146"/>
      <c r="GQN72" s="146"/>
      <c r="GQO72" s="146"/>
      <c r="GQP72" s="146"/>
      <c r="GQQ72" s="146"/>
      <c r="GQR72" s="146"/>
      <c r="GQS72" s="146"/>
      <c r="GQT72" s="146"/>
      <c r="GQU72" s="146"/>
      <c r="GQV72" s="146"/>
      <c r="GQW72" s="146"/>
      <c r="GQX72" s="146"/>
      <c r="GQY72" s="146"/>
      <c r="GQZ72" s="146"/>
      <c r="GRA72" s="146"/>
      <c r="GRB72" s="146"/>
      <c r="GRC72" s="146"/>
      <c r="GRD72" s="146"/>
      <c r="GRE72" s="146"/>
      <c r="GRF72" s="146"/>
      <c r="GRG72" s="146"/>
      <c r="GRH72" s="146"/>
      <c r="GRI72" s="146"/>
      <c r="GRJ72" s="146"/>
      <c r="GRK72" s="146"/>
      <c r="GRL72" s="146"/>
      <c r="GRM72" s="146"/>
      <c r="GRN72" s="146"/>
      <c r="GRO72" s="146"/>
      <c r="GRP72" s="146"/>
      <c r="GRQ72" s="146"/>
      <c r="GRR72" s="146"/>
      <c r="GRS72" s="146"/>
      <c r="GRT72" s="146"/>
      <c r="GRU72" s="146"/>
      <c r="GRV72" s="146"/>
      <c r="GRW72" s="146"/>
      <c r="GRX72" s="146"/>
      <c r="GRY72" s="146"/>
      <c r="GRZ72" s="146"/>
      <c r="GSA72" s="146"/>
      <c r="GSB72" s="146"/>
      <c r="GSC72" s="146"/>
      <c r="GSD72" s="146"/>
      <c r="GSE72" s="146"/>
      <c r="GSF72" s="146"/>
      <c r="GSG72" s="146"/>
      <c r="GSH72" s="146"/>
      <c r="GSI72" s="146"/>
      <c r="GSJ72" s="146"/>
      <c r="GSK72" s="146"/>
      <c r="GSL72" s="146"/>
      <c r="GSM72" s="146"/>
      <c r="GSN72" s="146"/>
      <c r="GSO72" s="146"/>
      <c r="GSP72" s="146"/>
      <c r="GSQ72" s="146"/>
      <c r="GSR72" s="146"/>
      <c r="GSS72" s="146"/>
      <c r="GST72" s="146"/>
      <c r="GSU72" s="146"/>
      <c r="GSV72" s="146"/>
      <c r="GSW72" s="146"/>
      <c r="GSX72" s="146"/>
      <c r="GSY72" s="146"/>
      <c r="GSZ72" s="146"/>
      <c r="GTA72" s="146"/>
      <c r="GTB72" s="146"/>
      <c r="GTC72" s="146"/>
      <c r="GTD72" s="146"/>
      <c r="GTE72" s="146"/>
      <c r="GTF72" s="146"/>
      <c r="GTG72" s="146"/>
      <c r="GTH72" s="146"/>
      <c r="GTI72" s="146"/>
      <c r="GTJ72" s="146"/>
      <c r="GTK72" s="146"/>
      <c r="GTL72" s="146"/>
      <c r="GTM72" s="146"/>
      <c r="GTN72" s="146"/>
      <c r="GTO72" s="146"/>
      <c r="GTP72" s="146"/>
      <c r="GTQ72" s="146"/>
      <c r="GTR72" s="146"/>
      <c r="GTS72" s="146"/>
      <c r="GTT72" s="146"/>
      <c r="GTU72" s="146"/>
      <c r="GTV72" s="146"/>
      <c r="GTW72" s="146"/>
      <c r="GTX72" s="146"/>
      <c r="GTY72" s="146"/>
      <c r="GTZ72" s="146"/>
      <c r="GUA72" s="146"/>
      <c r="GUB72" s="146"/>
      <c r="GUC72" s="146"/>
      <c r="GUD72" s="146"/>
      <c r="GUE72" s="146"/>
      <c r="GUF72" s="146"/>
      <c r="GUG72" s="146"/>
      <c r="GUH72" s="146"/>
      <c r="GUI72" s="146"/>
      <c r="GUJ72" s="146"/>
      <c r="GUK72" s="146"/>
      <c r="GUL72" s="146"/>
      <c r="GUM72" s="146"/>
      <c r="GUN72" s="146"/>
      <c r="GUO72" s="146"/>
      <c r="GUP72" s="146"/>
      <c r="GUQ72" s="146"/>
      <c r="GUR72" s="146"/>
      <c r="GUS72" s="146"/>
      <c r="GUT72" s="146"/>
      <c r="GUU72" s="146"/>
      <c r="GUV72" s="146"/>
      <c r="GUW72" s="146"/>
      <c r="GUX72" s="146"/>
      <c r="GUY72" s="146"/>
      <c r="GUZ72" s="146"/>
      <c r="GVA72" s="146"/>
      <c r="GVB72" s="146"/>
      <c r="GVC72" s="146"/>
      <c r="GVD72" s="146"/>
      <c r="GVE72" s="146"/>
      <c r="GVF72" s="146"/>
      <c r="GVG72" s="146"/>
      <c r="GVH72" s="146"/>
      <c r="GVI72" s="146"/>
      <c r="GVJ72" s="146"/>
      <c r="GVK72" s="146"/>
      <c r="GVL72" s="146"/>
      <c r="GVM72" s="146"/>
      <c r="GVN72" s="146"/>
      <c r="GVO72" s="146"/>
      <c r="GVP72" s="146"/>
      <c r="GVQ72" s="146"/>
      <c r="GVR72" s="146"/>
      <c r="GVS72" s="146"/>
      <c r="GVT72" s="146"/>
      <c r="GVU72" s="146"/>
      <c r="GVV72" s="146"/>
      <c r="GVW72" s="146"/>
      <c r="GVX72" s="146"/>
      <c r="GVY72" s="146"/>
      <c r="GVZ72" s="146"/>
      <c r="GWA72" s="146"/>
      <c r="GWB72" s="146"/>
      <c r="GWC72" s="146"/>
      <c r="GWD72" s="146"/>
      <c r="GWE72" s="146"/>
      <c r="GWF72" s="146"/>
      <c r="GWG72" s="146"/>
      <c r="GWH72" s="146"/>
      <c r="GWI72" s="146"/>
      <c r="GWJ72" s="146"/>
      <c r="GWK72" s="146"/>
      <c r="GWL72" s="146"/>
      <c r="GWM72" s="146"/>
      <c r="GWN72" s="146"/>
      <c r="GWO72" s="146"/>
      <c r="GWP72" s="146"/>
      <c r="GWQ72" s="146"/>
      <c r="GWR72" s="146"/>
      <c r="GWS72" s="146"/>
      <c r="GWT72" s="146"/>
      <c r="GWU72" s="146"/>
      <c r="GWV72" s="146"/>
      <c r="GWW72" s="146"/>
      <c r="GWX72" s="146"/>
      <c r="GWY72" s="146"/>
      <c r="GWZ72" s="146"/>
      <c r="GXA72" s="146"/>
      <c r="GXB72" s="146"/>
      <c r="GXC72" s="146"/>
      <c r="GXD72" s="146"/>
      <c r="GXE72" s="146"/>
      <c r="GXF72" s="146"/>
      <c r="GXG72" s="146"/>
      <c r="GXH72" s="146"/>
      <c r="GXI72" s="146"/>
      <c r="GXJ72" s="146"/>
      <c r="GXK72" s="146"/>
      <c r="GXL72" s="146"/>
      <c r="GXM72" s="146"/>
      <c r="GXN72" s="146"/>
      <c r="GXO72" s="146"/>
      <c r="GXP72" s="146"/>
      <c r="GXQ72" s="146"/>
      <c r="GXR72" s="146"/>
      <c r="GXS72" s="146"/>
      <c r="GXT72" s="146"/>
      <c r="GXU72" s="146"/>
      <c r="GXV72" s="146"/>
      <c r="GXW72" s="146"/>
      <c r="GXX72" s="146"/>
      <c r="GXY72" s="146"/>
      <c r="GXZ72" s="146"/>
      <c r="GYA72" s="146"/>
      <c r="GYB72" s="146"/>
      <c r="GYC72" s="146"/>
      <c r="GYD72" s="146"/>
      <c r="GYE72" s="146"/>
      <c r="GYF72" s="146"/>
      <c r="GYG72" s="146"/>
      <c r="GYH72" s="146"/>
      <c r="GYI72" s="146"/>
      <c r="GYJ72" s="146"/>
      <c r="GYK72" s="146"/>
      <c r="GYL72" s="146"/>
      <c r="GYM72" s="146"/>
      <c r="GYN72" s="146"/>
      <c r="GYO72" s="146"/>
      <c r="GYP72" s="146"/>
      <c r="GYQ72" s="146"/>
      <c r="GYR72" s="146"/>
      <c r="GYS72" s="146"/>
      <c r="GYT72" s="146"/>
      <c r="GYU72" s="146"/>
      <c r="GYV72" s="146"/>
      <c r="GYW72" s="146"/>
      <c r="GYX72" s="146"/>
      <c r="GYY72" s="146"/>
      <c r="GYZ72" s="146"/>
      <c r="GZA72" s="146"/>
      <c r="GZB72" s="146"/>
      <c r="GZC72" s="146"/>
      <c r="GZD72" s="146"/>
      <c r="GZE72" s="146"/>
      <c r="GZF72" s="146"/>
      <c r="GZG72" s="146"/>
      <c r="GZH72" s="146"/>
      <c r="GZI72" s="146"/>
      <c r="GZJ72" s="146"/>
      <c r="GZK72" s="146"/>
      <c r="GZL72" s="146"/>
      <c r="GZM72" s="146"/>
      <c r="GZN72" s="146"/>
      <c r="GZO72" s="146"/>
      <c r="GZP72" s="146"/>
      <c r="GZQ72" s="146"/>
      <c r="GZR72" s="146"/>
      <c r="GZS72" s="146"/>
      <c r="GZT72" s="146"/>
      <c r="GZU72" s="146"/>
      <c r="GZV72" s="146"/>
      <c r="GZW72" s="146"/>
      <c r="GZX72" s="146"/>
      <c r="GZY72" s="146"/>
      <c r="GZZ72" s="146"/>
      <c r="HAA72" s="146"/>
      <c r="HAB72" s="146"/>
      <c r="HAC72" s="146"/>
      <c r="HAD72" s="146"/>
      <c r="HAE72" s="146"/>
      <c r="HAF72" s="146"/>
      <c r="HAG72" s="146"/>
      <c r="HAH72" s="146"/>
      <c r="HAI72" s="146"/>
      <c r="HAJ72" s="146"/>
      <c r="HAK72" s="146"/>
      <c r="HAL72" s="146"/>
      <c r="HAM72" s="146"/>
      <c r="HAN72" s="146"/>
      <c r="HAO72" s="146"/>
      <c r="HAP72" s="146"/>
      <c r="HAQ72" s="146"/>
      <c r="HAR72" s="146"/>
      <c r="HAS72" s="146"/>
      <c r="HAT72" s="146"/>
      <c r="HAU72" s="146"/>
      <c r="HAV72" s="146"/>
      <c r="HAW72" s="146"/>
      <c r="HAX72" s="146"/>
      <c r="HAY72" s="146"/>
      <c r="HAZ72" s="146"/>
      <c r="HBA72" s="146"/>
      <c r="HBB72" s="146"/>
      <c r="HBC72" s="146"/>
      <c r="HBD72" s="146"/>
      <c r="HBE72" s="146"/>
      <c r="HBF72" s="146"/>
      <c r="HBG72" s="146"/>
      <c r="HBH72" s="146"/>
      <c r="HBI72" s="146"/>
      <c r="HBJ72" s="146"/>
      <c r="HBK72" s="146"/>
      <c r="HBL72" s="146"/>
      <c r="HBM72" s="146"/>
      <c r="HBN72" s="146"/>
      <c r="HBO72" s="146"/>
      <c r="HBP72" s="146"/>
      <c r="HBQ72" s="146"/>
      <c r="HBR72" s="146"/>
      <c r="HBS72" s="146"/>
      <c r="HBT72" s="146"/>
      <c r="HBU72" s="146"/>
      <c r="HBV72" s="146"/>
      <c r="HBW72" s="146"/>
      <c r="HBX72" s="146"/>
      <c r="HBY72" s="146"/>
      <c r="HBZ72" s="146"/>
      <c r="HCA72" s="146"/>
      <c r="HCB72" s="146"/>
      <c r="HCC72" s="146"/>
      <c r="HCD72" s="146"/>
      <c r="HCE72" s="146"/>
      <c r="HCF72" s="146"/>
      <c r="HCG72" s="146"/>
      <c r="HCH72" s="146"/>
      <c r="HCI72" s="146"/>
      <c r="HCJ72" s="146"/>
      <c r="HCK72" s="146"/>
      <c r="HCL72" s="146"/>
      <c r="HCM72" s="146"/>
      <c r="HCN72" s="146"/>
      <c r="HCO72" s="146"/>
      <c r="HCP72" s="146"/>
      <c r="HCQ72" s="146"/>
      <c r="HCR72" s="146"/>
      <c r="HCS72" s="146"/>
      <c r="HCT72" s="146"/>
      <c r="HCU72" s="146"/>
      <c r="HCV72" s="146"/>
      <c r="HCW72" s="146"/>
      <c r="HCX72" s="146"/>
      <c r="HCY72" s="146"/>
      <c r="HCZ72" s="146"/>
      <c r="HDA72" s="146"/>
      <c r="HDB72" s="146"/>
      <c r="HDC72" s="146"/>
      <c r="HDD72" s="146"/>
      <c r="HDE72" s="146"/>
      <c r="HDF72" s="146"/>
      <c r="HDG72" s="146"/>
      <c r="HDH72" s="146"/>
      <c r="HDI72" s="146"/>
      <c r="HDJ72" s="146"/>
      <c r="HDK72" s="146"/>
      <c r="HDL72" s="146"/>
      <c r="HDM72" s="146"/>
      <c r="HDN72" s="146"/>
      <c r="HDO72" s="146"/>
      <c r="HDP72" s="146"/>
      <c r="HDQ72" s="146"/>
      <c r="HDR72" s="146"/>
      <c r="HDS72" s="146"/>
      <c r="HDT72" s="146"/>
      <c r="HDU72" s="146"/>
      <c r="HDV72" s="146"/>
      <c r="HDW72" s="146"/>
      <c r="HDX72" s="146"/>
      <c r="HDY72" s="146"/>
      <c r="HDZ72" s="146"/>
      <c r="HEA72" s="146"/>
      <c r="HEB72" s="146"/>
      <c r="HEC72" s="146"/>
      <c r="HED72" s="146"/>
      <c r="HEE72" s="146"/>
      <c r="HEF72" s="146"/>
      <c r="HEG72" s="146"/>
      <c r="HEH72" s="146"/>
      <c r="HEI72" s="146"/>
      <c r="HEJ72" s="146"/>
      <c r="HEK72" s="146"/>
      <c r="HEL72" s="146"/>
      <c r="HEM72" s="146"/>
      <c r="HEN72" s="146"/>
      <c r="HEO72" s="146"/>
      <c r="HEP72" s="146"/>
      <c r="HEQ72" s="146"/>
      <c r="HER72" s="146"/>
      <c r="HES72" s="146"/>
      <c r="HET72" s="146"/>
      <c r="HEU72" s="146"/>
      <c r="HEV72" s="146"/>
      <c r="HEW72" s="146"/>
      <c r="HEX72" s="146"/>
      <c r="HEY72" s="146"/>
      <c r="HEZ72" s="146"/>
      <c r="HFA72" s="146"/>
      <c r="HFB72" s="146"/>
      <c r="HFC72" s="146"/>
      <c r="HFD72" s="146"/>
      <c r="HFE72" s="146"/>
      <c r="HFF72" s="146"/>
      <c r="HFG72" s="146"/>
      <c r="HFH72" s="146"/>
      <c r="HFI72" s="146"/>
      <c r="HFJ72" s="146"/>
      <c r="HFK72" s="146"/>
      <c r="HFL72" s="146"/>
      <c r="HFM72" s="146"/>
      <c r="HFN72" s="146"/>
      <c r="HFO72" s="146"/>
      <c r="HFP72" s="146"/>
      <c r="HFQ72" s="146"/>
      <c r="HFR72" s="146"/>
      <c r="HFS72" s="146"/>
      <c r="HFT72" s="146"/>
      <c r="HFU72" s="146"/>
      <c r="HFV72" s="146"/>
      <c r="HFW72" s="146"/>
      <c r="HFX72" s="146"/>
      <c r="HFY72" s="146"/>
      <c r="HFZ72" s="146"/>
      <c r="HGA72" s="146"/>
      <c r="HGB72" s="146"/>
      <c r="HGC72" s="146"/>
      <c r="HGD72" s="146"/>
      <c r="HGE72" s="146"/>
      <c r="HGF72" s="146"/>
      <c r="HGG72" s="146"/>
      <c r="HGH72" s="146"/>
      <c r="HGI72" s="146"/>
      <c r="HGJ72" s="146"/>
      <c r="HGK72" s="146"/>
      <c r="HGL72" s="146"/>
      <c r="HGM72" s="146"/>
      <c r="HGN72" s="146"/>
      <c r="HGO72" s="146"/>
      <c r="HGP72" s="146"/>
      <c r="HGQ72" s="146"/>
      <c r="HGR72" s="146"/>
      <c r="HGS72" s="146"/>
      <c r="HGT72" s="146"/>
      <c r="HGU72" s="146"/>
      <c r="HGV72" s="146"/>
      <c r="HGW72" s="146"/>
      <c r="HGX72" s="146"/>
      <c r="HGY72" s="146"/>
      <c r="HGZ72" s="146"/>
      <c r="HHA72" s="146"/>
      <c r="HHB72" s="146"/>
      <c r="HHC72" s="146"/>
      <c r="HHD72" s="146"/>
      <c r="HHE72" s="146"/>
      <c r="HHF72" s="146"/>
      <c r="HHG72" s="146"/>
      <c r="HHH72" s="146"/>
      <c r="HHI72" s="146"/>
      <c r="HHJ72" s="146"/>
      <c r="HHK72" s="146"/>
      <c r="HHL72" s="146"/>
      <c r="HHM72" s="146"/>
      <c r="HHN72" s="146"/>
      <c r="HHO72" s="146"/>
      <c r="HHP72" s="146"/>
      <c r="HHQ72" s="146"/>
      <c r="HHR72" s="146"/>
      <c r="HHS72" s="146"/>
      <c r="HHT72" s="146"/>
      <c r="HHU72" s="146"/>
      <c r="HHV72" s="146"/>
      <c r="HHW72" s="146"/>
      <c r="HHX72" s="146"/>
      <c r="HHY72" s="146"/>
      <c r="HHZ72" s="146"/>
      <c r="HIA72" s="146"/>
      <c r="HIB72" s="146"/>
      <c r="HIC72" s="146"/>
      <c r="HID72" s="146"/>
      <c r="HIE72" s="146"/>
      <c r="HIF72" s="146"/>
      <c r="HIG72" s="146"/>
      <c r="HIH72" s="146"/>
      <c r="HII72" s="146"/>
      <c r="HIJ72" s="146"/>
      <c r="HIK72" s="146"/>
      <c r="HIL72" s="146"/>
      <c r="HIM72" s="146"/>
      <c r="HIN72" s="146"/>
      <c r="HIO72" s="146"/>
      <c r="HIP72" s="146"/>
      <c r="HIQ72" s="146"/>
      <c r="HIR72" s="146"/>
      <c r="HIS72" s="146"/>
      <c r="HIT72" s="146"/>
      <c r="HIU72" s="146"/>
      <c r="HIV72" s="146"/>
      <c r="HIW72" s="146"/>
      <c r="HIX72" s="146"/>
      <c r="HIY72" s="146"/>
      <c r="HIZ72" s="146"/>
      <c r="HJA72" s="146"/>
      <c r="HJB72" s="146"/>
      <c r="HJC72" s="146"/>
      <c r="HJD72" s="146"/>
      <c r="HJE72" s="146"/>
      <c r="HJF72" s="146"/>
      <c r="HJG72" s="146"/>
      <c r="HJH72" s="146"/>
      <c r="HJI72" s="146"/>
      <c r="HJJ72" s="146"/>
      <c r="HJK72" s="146"/>
      <c r="HJL72" s="146"/>
      <c r="HJM72" s="146"/>
      <c r="HJN72" s="146"/>
      <c r="HJO72" s="146"/>
      <c r="HJP72" s="146"/>
      <c r="HJQ72" s="146"/>
      <c r="HJR72" s="146"/>
      <c r="HJS72" s="146"/>
      <c r="HJT72" s="146"/>
      <c r="HJU72" s="146"/>
      <c r="HJV72" s="146"/>
      <c r="HJW72" s="146"/>
      <c r="HJX72" s="146"/>
      <c r="HJY72" s="146"/>
      <c r="HJZ72" s="146"/>
      <c r="HKA72" s="146"/>
      <c r="HKB72" s="146"/>
      <c r="HKC72" s="146"/>
      <c r="HKD72" s="146"/>
      <c r="HKE72" s="146"/>
      <c r="HKF72" s="146"/>
      <c r="HKG72" s="146"/>
      <c r="HKH72" s="146"/>
      <c r="HKI72" s="146"/>
      <c r="HKJ72" s="146"/>
      <c r="HKK72" s="146"/>
      <c r="HKL72" s="146"/>
      <c r="HKM72" s="146"/>
      <c r="HKN72" s="146"/>
      <c r="HKO72" s="146"/>
      <c r="HKP72" s="146"/>
      <c r="HKQ72" s="146"/>
      <c r="HKR72" s="146"/>
      <c r="HKS72" s="146"/>
      <c r="HKT72" s="146"/>
      <c r="HKU72" s="146"/>
      <c r="HKV72" s="146"/>
      <c r="HKW72" s="146"/>
      <c r="HKX72" s="146"/>
      <c r="HKY72" s="146"/>
      <c r="HKZ72" s="146"/>
      <c r="HLA72" s="146"/>
      <c r="HLB72" s="146"/>
      <c r="HLC72" s="146"/>
      <c r="HLD72" s="146"/>
      <c r="HLE72" s="146"/>
      <c r="HLF72" s="146"/>
      <c r="HLG72" s="146"/>
      <c r="HLH72" s="146"/>
      <c r="HLI72" s="146"/>
      <c r="HLJ72" s="146"/>
      <c r="HLK72" s="146"/>
      <c r="HLL72" s="146"/>
      <c r="HLM72" s="146"/>
      <c r="HLN72" s="146"/>
      <c r="HLO72" s="146"/>
      <c r="HLP72" s="146"/>
      <c r="HLQ72" s="146"/>
      <c r="HLR72" s="146"/>
      <c r="HLS72" s="146"/>
      <c r="HLT72" s="146"/>
      <c r="HLU72" s="146"/>
      <c r="HLV72" s="146"/>
      <c r="HLW72" s="146"/>
      <c r="HLX72" s="146"/>
      <c r="HLY72" s="146"/>
      <c r="HLZ72" s="146"/>
      <c r="HMA72" s="146"/>
      <c r="HMB72" s="146"/>
      <c r="HMC72" s="146"/>
      <c r="HMD72" s="146"/>
      <c r="HME72" s="146"/>
      <c r="HMF72" s="146"/>
      <c r="HMG72" s="146"/>
      <c r="HMH72" s="146"/>
      <c r="HMI72" s="146"/>
      <c r="HMJ72" s="146"/>
      <c r="HMK72" s="146"/>
      <c r="HML72" s="146"/>
      <c r="HMM72" s="146"/>
      <c r="HMN72" s="146"/>
      <c r="HMO72" s="146"/>
      <c r="HMP72" s="146"/>
      <c r="HMQ72" s="146"/>
      <c r="HMR72" s="146"/>
      <c r="HMS72" s="146"/>
      <c r="HMT72" s="146"/>
      <c r="HMU72" s="146"/>
      <c r="HMV72" s="146"/>
      <c r="HMW72" s="146"/>
      <c r="HMX72" s="146"/>
      <c r="HMY72" s="146"/>
      <c r="HMZ72" s="146"/>
      <c r="HNA72" s="146"/>
      <c r="HNB72" s="146"/>
      <c r="HNC72" s="146"/>
      <c r="HND72" s="146"/>
      <c r="HNE72" s="146"/>
      <c r="HNF72" s="146"/>
      <c r="HNG72" s="146"/>
      <c r="HNH72" s="146"/>
      <c r="HNI72" s="146"/>
      <c r="HNJ72" s="146"/>
      <c r="HNK72" s="146"/>
      <c r="HNL72" s="146"/>
      <c r="HNM72" s="146"/>
      <c r="HNN72" s="146"/>
      <c r="HNO72" s="146"/>
      <c r="HNP72" s="146"/>
      <c r="HNQ72" s="146"/>
      <c r="HNR72" s="146"/>
      <c r="HNS72" s="146"/>
      <c r="HNT72" s="146"/>
      <c r="HNU72" s="146"/>
      <c r="HNV72" s="146"/>
      <c r="HNW72" s="146"/>
      <c r="HNX72" s="146"/>
      <c r="HNY72" s="146"/>
      <c r="HNZ72" s="146"/>
      <c r="HOA72" s="146"/>
      <c r="HOB72" s="146"/>
      <c r="HOC72" s="146"/>
      <c r="HOD72" s="146"/>
      <c r="HOE72" s="146"/>
      <c r="HOF72" s="146"/>
      <c r="HOG72" s="146"/>
      <c r="HOH72" s="146"/>
      <c r="HOI72" s="146"/>
      <c r="HOJ72" s="146"/>
      <c r="HOK72" s="146"/>
      <c r="HOL72" s="146"/>
      <c r="HOM72" s="146"/>
      <c r="HON72" s="146"/>
      <c r="HOO72" s="146"/>
      <c r="HOP72" s="146"/>
      <c r="HOQ72" s="146"/>
      <c r="HOR72" s="146"/>
      <c r="HOS72" s="146"/>
      <c r="HOT72" s="146"/>
      <c r="HOU72" s="146"/>
      <c r="HOV72" s="146"/>
      <c r="HOW72" s="146"/>
      <c r="HOX72" s="146"/>
      <c r="HOY72" s="146"/>
      <c r="HOZ72" s="146"/>
      <c r="HPA72" s="146"/>
      <c r="HPB72" s="146"/>
      <c r="HPC72" s="146"/>
      <c r="HPD72" s="146"/>
      <c r="HPE72" s="146"/>
      <c r="HPF72" s="146"/>
      <c r="HPG72" s="146"/>
      <c r="HPH72" s="146"/>
      <c r="HPI72" s="146"/>
      <c r="HPJ72" s="146"/>
      <c r="HPK72" s="146"/>
      <c r="HPL72" s="146"/>
      <c r="HPM72" s="146"/>
      <c r="HPN72" s="146"/>
      <c r="HPO72" s="146"/>
      <c r="HPP72" s="146"/>
      <c r="HPQ72" s="146"/>
      <c r="HPR72" s="146"/>
      <c r="HPS72" s="146"/>
      <c r="HPT72" s="146"/>
      <c r="HPU72" s="146"/>
      <c r="HPV72" s="146"/>
      <c r="HPW72" s="146"/>
      <c r="HPX72" s="146"/>
      <c r="HPY72" s="146"/>
      <c r="HPZ72" s="146"/>
      <c r="HQA72" s="146"/>
      <c r="HQB72" s="146"/>
      <c r="HQC72" s="146"/>
      <c r="HQD72" s="146"/>
      <c r="HQE72" s="146"/>
      <c r="HQF72" s="146"/>
      <c r="HQG72" s="146"/>
      <c r="HQH72" s="146"/>
      <c r="HQI72" s="146"/>
      <c r="HQJ72" s="146"/>
      <c r="HQK72" s="146"/>
      <c r="HQL72" s="146"/>
      <c r="HQM72" s="146"/>
      <c r="HQN72" s="146"/>
      <c r="HQO72" s="146"/>
      <c r="HQP72" s="146"/>
      <c r="HQQ72" s="146"/>
      <c r="HQR72" s="146"/>
      <c r="HQS72" s="146"/>
      <c r="HQT72" s="146"/>
      <c r="HQU72" s="146"/>
      <c r="HQV72" s="146"/>
      <c r="HQW72" s="146"/>
      <c r="HQX72" s="146"/>
      <c r="HQY72" s="146"/>
      <c r="HQZ72" s="146"/>
      <c r="HRA72" s="146"/>
      <c r="HRB72" s="146"/>
      <c r="HRC72" s="146"/>
      <c r="HRD72" s="146"/>
      <c r="HRE72" s="146"/>
      <c r="HRF72" s="146"/>
      <c r="HRG72" s="146"/>
      <c r="HRH72" s="146"/>
      <c r="HRI72" s="146"/>
      <c r="HRJ72" s="146"/>
      <c r="HRK72" s="146"/>
      <c r="HRL72" s="146"/>
      <c r="HRM72" s="146"/>
      <c r="HRN72" s="146"/>
      <c r="HRO72" s="146"/>
      <c r="HRP72" s="146"/>
      <c r="HRQ72" s="146"/>
      <c r="HRR72" s="146"/>
      <c r="HRS72" s="146"/>
      <c r="HRT72" s="146"/>
      <c r="HRU72" s="146"/>
      <c r="HRV72" s="146"/>
      <c r="HRW72" s="146"/>
      <c r="HRX72" s="146"/>
      <c r="HRY72" s="146"/>
      <c r="HRZ72" s="146"/>
      <c r="HSA72" s="146"/>
      <c r="HSB72" s="146"/>
      <c r="HSC72" s="146"/>
      <c r="HSD72" s="146"/>
      <c r="HSE72" s="146"/>
      <c r="HSF72" s="146"/>
      <c r="HSG72" s="146"/>
      <c r="HSH72" s="146"/>
      <c r="HSI72" s="146"/>
      <c r="HSJ72" s="146"/>
      <c r="HSK72" s="146"/>
      <c r="HSL72" s="146"/>
      <c r="HSM72" s="146"/>
      <c r="HSN72" s="146"/>
      <c r="HSO72" s="146"/>
      <c r="HSP72" s="146"/>
      <c r="HSQ72" s="146"/>
      <c r="HSR72" s="146"/>
      <c r="HSS72" s="146"/>
      <c r="HST72" s="146"/>
      <c r="HSU72" s="146"/>
      <c r="HSV72" s="146"/>
      <c r="HSW72" s="146"/>
      <c r="HSX72" s="146"/>
      <c r="HSY72" s="146"/>
      <c r="HSZ72" s="146"/>
      <c r="HTA72" s="146"/>
      <c r="HTB72" s="146"/>
      <c r="HTC72" s="146"/>
      <c r="HTD72" s="146"/>
      <c r="HTE72" s="146"/>
      <c r="HTF72" s="146"/>
      <c r="HTG72" s="146"/>
      <c r="HTH72" s="146"/>
      <c r="HTI72" s="146"/>
      <c r="HTJ72" s="146"/>
      <c r="HTK72" s="146"/>
      <c r="HTL72" s="146"/>
      <c r="HTM72" s="146"/>
      <c r="HTN72" s="146"/>
      <c r="HTO72" s="146"/>
      <c r="HTP72" s="146"/>
      <c r="HTQ72" s="146"/>
      <c r="HTR72" s="146"/>
      <c r="HTS72" s="146"/>
      <c r="HTT72" s="146"/>
      <c r="HTU72" s="146"/>
      <c r="HTV72" s="146"/>
      <c r="HTW72" s="146"/>
      <c r="HTX72" s="146"/>
      <c r="HTY72" s="146"/>
      <c r="HTZ72" s="146"/>
      <c r="HUA72" s="146"/>
      <c r="HUB72" s="146"/>
      <c r="HUC72" s="146"/>
      <c r="HUD72" s="146"/>
      <c r="HUE72" s="146"/>
      <c r="HUF72" s="146"/>
      <c r="HUG72" s="146"/>
      <c r="HUH72" s="146"/>
      <c r="HUI72" s="146"/>
      <c r="HUJ72" s="146"/>
      <c r="HUK72" s="146"/>
      <c r="HUL72" s="146"/>
      <c r="HUM72" s="146"/>
      <c r="HUN72" s="146"/>
      <c r="HUO72" s="146"/>
      <c r="HUP72" s="146"/>
      <c r="HUQ72" s="146"/>
      <c r="HUR72" s="146"/>
      <c r="HUS72" s="146"/>
      <c r="HUT72" s="146"/>
      <c r="HUU72" s="146"/>
      <c r="HUV72" s="146"/>
      <c r="HUW72" s="146"/>
      <c r="HUX72" s="146"/>
      <c r="HUY72" s="146"/>
      <c r="HUZ72" s="146"/>
      <c r="HVA72" s="146"/>
      <c r="HVB72" s="146"/>
      <c r="HVC72" s="146"/>
      <c r="HVD72" s="146"/>
      <c r="HVE72" s="146"/>
      <c r="HVF72" s="146"/>
      <c r="HVG72" s="146"/>
      <c r="HVH72" s="146"/>
      <c r="HVI72" s="146"/>
      <c r="HVJ72" s="146"/>
      <c r="HVK72" s="146"/>
      <c r="HVL72" s="146"/>
      <c r="HVM72" s="146"/>
      <c r="HVN72" s="146"/>
      <c r="HVO72" s="146"/>
      <c r="HVP72" s="146"/>
      <c r="HVQ72" s="146"/>
      <c r="HVR72" s="146"/>
      <c r="HVS72" s="146"/>
      <c r="HVT72" s="146"/>
      <c r="HVU72" s="146"/>
      <c r="HVV72" s="146"/>
      <c r="HVW72" s="146"/>
      <c r="HVX72" s="146"/>
      <c r="HVY72" s="146"/>
      <c r="HVZ72" s="146"/>
      <c r="HWA72" s="146"/>
      <c r="HWB72" s="146"/>
      <c r="HWC72" s="146"/>
      <c r="HWD72" s="146"/>
      <c r="HWE72" s="146"/>
      <c r="HWF72" s="146"/>
      <c r="HWG72" s="146"/>
      <c r="HWH72" s="146"/>
      <c r="HWI72" s="146"/>
      <c r="HWJ72" s="146"/>
      <c r="HWK72" s="146"/>
      <c r="HWL72" s="146"/>
      <c r="HWM72" s="146"/>
      <c r="HWN72" s="146"/>
      <c r="HWO72" s="146"/>
      <c r="HWP72" s="146"/>
      <c r="HWQ72" s="146"/>
      <c r="HWR72" s="146"/>
      <c r="HWS72" s="146"/>
      <c r="HWT72" s="146"/>
      <c r="HWU72" s="146"/>
      <c r="HWV72" s="146"/>
      <c r="HWW72" s="146"/>
      <c r="HWX72" s="146"/>
      <c r="HWY72" s="146"/>
      <c r="HWZ72" s="146"/>
      <c r="HXA72" s="146"/>
      <c r="HXB72" s="146"/>
      <c r="HXC72" s="146"/>
      <c r="HXD72" s="146"/>
      <c r="HXE72" s="146"/>
      <c r="HXF72" s="146"/>
      <c r="HXG72" s="146"/>
      <c r="HXH72" s="146"/>
      <c r="HXI72" s="146"/>
      <c r="HXJ72" s="146"/>
      <c r="HXK72" s="146"/>
      <c r="HXL72" s="146"/>
      <c r="HXM72" s="146"/>
      <c r="HXN72" s="146"/>
      <c r="HXO72" s="146"/>
      <c r="HXP72" s="146"/>
      <c r="HXQ72" s="146"/>
      <c r="HXR72" s="146"/>
      <c r="HXS72" s="146"/>
      <c r="HXT72" s="146"/>
      <c r="HXU72" s="146"/>
      <c r="HXV72" s="146"/>
      <c r="HXW72" s="146"/>
      <c r="HXX72" s="146"/>
      <c r="HXY72" s="146"/>
      <c r="HXZ72" s="146"/>
      <c r="HYA72" s="146"/>
      <c r="HYB72" s="146"/>
      <c r="HYC72" s="146"/>
      <c r="HYD72" s="146"/>
      <c r="HYE72" s="146"/>
      <c r="HYF72" s="146"/>
      <c r="HYG72" s="146"/>
      <c r="HYH72" s="146"/>
      <c r="HYI72" s="146"/>
      <c r="HYJ72" s="146"/>
      <c r="HYK72" s="146"/>
      <c r="HYL72" s="146"/>
      <c r="HYM72" s="146"/>
      <c r="HYN72" s="146"/>
      <c r="HYO72" s="146"/>
      <c r="HYP72" s="146"/>
      <c r="HYQ72" s="146"/>
      <c r="HYR72" s="146"/>
      <c r="HYS72" s="146"/>
      <c r="HYT72" s="146"/>
      <c r="HYU72" s="146"/>
      <c r="HYV72" s="146"/>
      <c r="HYW72" s="146"/>
      <c r="HYX72" s="146"/>
      <c r="HYY72" s="146"/>
      <c r="HYZ72" s="146"/>
      <c r="HZA72" s="146"/>
      <c r="HZB72" s="146"/>
      <c r="HZC72" s="146"/>
      <c r="HZD72" s="146"/>
      <c r="HZE72" s="146"/>
      <c r="HZF72" s="146"/>
      <c r="HZG72" s="146"/>
      <c r="HZH72" s="146"/>
      <c r="HZI72" s="146"/>
      <c r="HZJ72" s="146"/>
      <c r="HZK72" s="146"/>
      <c r="HZL72" s="146"/>
      <c r="HZM72" s="146"/>
      <c r="HZN72" s="146"/>
      <c r="HZO72" s="146"/>
      <c r="HZP72" s="146"/>
      <c r="HZQ72" s="146"/>
      <c r="HZR72" s="146"/>
      <c r="HZS72" s="146"/>
      <c r="HZT72" s="146"/>
      <c r="HZU72" s="146"/>
      <c r="HZV72" s="146"/>
      <c r="HZW72" s="146"/>
      <c r="HZX72" s="146"/>
      <c r="HZY72" s="146"/>
      <c r="HZZ72" s="146"/>
      <c r="IAA72" s="146"/>
      <c r="IAB72" s="146"/>
      <c r="IAC72" s="146"/>
      <c r="IAD72" s="146"/>
      <c r="IAE72" s="146"/>
      <c r="IAF72" s="146"/>
      <c r="IAG72" s="146"/>
      <c r="IAH72" s="146"/>
      <c r="IAI72" s="146"/>
      <c r="IAJ72" s="146"/>
      <c r="IAK72" s="146"/>
      <c r="IAL72" s="146"/>
      <c r="IAM72" s="146"/>
      <c r="IAN72" s="146"/>
      <c r="IAO72" s="146"/>
      <c r="IAP72" s="146"/>
      <c r="IAQ72" s="146"/>
      <c r="IAR72" s="146"/>
      <c r="IAS72" s="146"/>
      <c r="IAT72" s="146"/>
      <c r="IAU72" s="146"/>
      <c r="IAV72" s="146"/>
      <c r="IAW72" s="146"/>
      <c r="IAX72" s="146"/>
      <c r="IAY72" s="146"/>
      <c r="IAZ72" s="146"/>
      <c r="IBA72" s="146"/>
      <c r="IBB72" s="146"/>
      <c r="IBC72" s="146"/>
      <c r="IBD72" s="146"/>
      <c r="IBE72" s="146"/>
      <c r="IBF72" s="146"/>
      <c r="IBG72" s="146"/>
      <c r="IBH72" s="146"/>
      <c r="IBI72" s="146"/>
      <c r="IBJ72" s="146"/>
      <c r="IBK72" s="146"/>
      <c r="IBL72" s="146"/>
      <c r="IBM72" s="146"/>
      <c r="IBN72" s="146"/>
      <c r="IBO72" s="146"/>
      <c r="IBP72" s="146"/>
      <c r="IBQ72" s="146"/>
      <c r="IBR72" s="146"/>
      <c r="IBS72" s="146"/>
      <c r="IBT72" s="146"/>
      <c r="IBU72" s="146"/>
      <c r="IBV72" s="146"/>
      <c r="IBW72" s="146"/>
      <c r="IBX72" s="146"/>
      <c r="IBY72" s="146"/>
      <c r="IBZ72" s="146"/>
      <c r="ICA72" s="146"/>
      <c r="ICB72" s="146"/>
      <c r="ICC72" s="146"/>
      <c r="ICD72" s="146"/>
      <c r="ICE72" s="146"/>
      <c r="ICF72" s="146"/>
      <c r="ICG72" s="146"/>
      <c r="ICH72" s="146"/>
      <c r="ICI72" s="146"/>
      <c r="ICJ72" s="146"/>
      <c r="ICK72" s="146"/>
      <c r="ICL72" s="146"/>
      <c r="ICM72" s="146"/>
      <c r="ICN72" s="146"/>
      <c r="ICO72" s="146"/>
      <c r="ICP72" s="146"/>
      <c r="ICQ72" s="146"/>
      <c r="ICR72" s="146"/>
      <c r="ICS72" s="146"/>
      <c r="ICT72" s="146"/>
      <c r="ICU72" s="146"/>
      <c r="ICV72" s="146"/>
      <c r="ICW72" s="146"/>
      <c r="ICX72" s="146"/>
      <c r="ICY72" s="146"/>
      <c r="ICZ72" s="146"/>
      <c r="IDA72" s="146"/>
      <c r="IDB72" s="146"/>
      <c r="IDC72" s="146"/>
      <c r="IDD72" s="146"/>
      <c r="IDE72" s="146"/>
      <c r="IDF72" s="146"/>
      <c r="IDG72" s="146"/>
      <c r="IDH72" s="146"/>
      <c r="IDI72" s="146"/>
      <c r="IDJ72" s="146"/>
      <c r="IDK72" s="146"/>
      <c r="IDL72" s="146"/>
      <c r="IDM72" s="146"/>
      <c r="IDN72" s="146"/>
      <c r="IDO72" s="146"/>
      <c r="IDP72" s="146"/>
      <c r="IDQ72" s="146"/>
      <c r="IDR72" s="146"/>
      <c r="IDS72" s="146"/>
      <c r="IDT72" s="146"/>
      <c r="IDU72" s="146"/>
      <c r="IDV72" s="146"/>
      <c r="IDW72" s="146"/>
      <c r="IDX72" s="146"/>
      <c r="IDY72" s="146"/>
      <c r="IDZ72" s="146"/>
      <c r="IEA72" s="146"/>
      <c r="IEB72" s="146"/>
      <c r="IEC72" s="146"/>
      <c r="IED72" s="146"/>
      <c r="IEE72" s="146"/>
      <c r="IEF72" s="146"/>
      <c r="IEG72" s="146"/>
      <c r="IEH72" s="146"/>
      <c r="IEI72" s="146"/>
      <c r="IEJ72" s="146"/>
      <c r="IEK72" s="146"/>
      <c r="IEL72" s="146"/>
      <c r="IEM72" s="146"/>
      <c r="IEN72" s="146"/>
      <c r="IEO72" s="146"/>
      <c r="IEP72" s="146"/>
      <c r="IEQ72" s="146"/>
      <c r="IER72" s="146"/>
      <c r="IES72" s="146"/>
      <c r="IET72" s="146"/>
      <c r="IEU72" s="146"/>
      <c r="IEV72" s="146"/>
      <c r="IEW72" s="146"/>
      <c r="IEX72" s="146"/>
      <c r="IEY72" s="146"/>
      <c r="IEZ72" s="146"/>
      <c r="IFA72" s="146"/>
      <c r="IFB72" s="146"/>
      <c r="IFC72" s="146"/>
      <c r="IFD72" s="146"/>
      <c r="IFE72" s="146"/>
      <c r="IFF72" s="146"/>
      <c r="IFG72" s="146"/>
      <c r="IFH72" s="146"/>
      <c r="IFI72" s="146"/>
      <c r="IFJ72" s="146"/>
      <c r="IFK72" s="146"/>
      <c r="IFL72" s="146"/>
      <c r="IFM72" s="146"/>
      <c r="IFN72" s="146"/>
      <c r="IFO72" s="146"/>
      <c r="IFP72" s="146"/>
      <c r="IFQ72" s="146"/>
      <c r="IFR72" s="146"/>
      <c r="IFS72" s="146"/>
      <c r="IFT72" s="146"/>
      <c r="IFU72" s="146"/>
      <c r="IFV72" s="146"/>
      <c r="IFW72" s="146"/>
      <c r="IFX72" s="146"/>
      <c r="IFY72" s="146"/>
      <c r="IFZ72" s="146"/>
      <c r="IGA72" s="146"/>
      <c r="IGB72" s="146"/>
      <c r="IGC72" s="146"/>
      <c r="IGD72" s="146"/>
      <c r="IGE72" s="146"/>
      <c r="IGF72" s="146"/>
      <c r="IGG72" s="146"/>
      <c r="IGH72" s="146"/>
      <c r="IGI72" s="146"/>
      <c r="IGJ72" s="146"/>
      <c r="IGK72" s="146"/>
      <c r="IGL72" s="146"/>
      <c r="IGM72" s="146"/>
      <c r="IGN72" s="146"/>
      <c r="IGO72" s="146"/>
      <c r="IGP72" s="146"/>
      <c r="IGQ72" s="146"/>
      <c r="IGR72" s="146"/>
      <c r="IGS72" s="146"/>
      <c r="IGT72" s="146"/>
      <c r="IGU72" s="146"/>
      <c r="IGV72" s="146"/>
      <c r="IGW72" s="146"/>
      <c r="IGX72" s="146"/>
      <c r="IGY72" s="146"/>
      <c r="IGZ72" s="146"/>
      <c r="IHA72" s="146"/>
      <c r="IHB72" s="146"/>
      <c r="IHC72" s="146"/>
      <c r="IHD72" s="146"/>
      <c r="IHE72" s="146"/>
      <c r="IHF72" s="146"/>
      <c r="IHG72" s="146"/>
      <c r="IHH72" s="146"/>
      <c r="IHI72" s="146"/>
      <c r="IHJ72" s="146"/>
      <c r="IHK72" s="146"/>
      <c r="IHL72" s="146"/>
      <c r="IHM72" s="146"/>
      <c r="IHN72" s="146"/>
      <c r="IHO72" s="146"/>
      <c r="IHP72" s="146"/>
      <c r="IHQ72" s="146"/>
      <c r="IHR72" s="146"/>
      <c r="IHS72" s="146"/>
      <c r="IHT72" s="146"/>
      <c r="IHU72" s="146"/>
      <c r="IHV72" s="146"/>
      <c r="IHW72" s="146"/>
      <c r="IHX72" s="146"/>
      <c r="IHY72" s="146"/>
      <c r="IHZ72" s="146"/>
      <c r="IIA72" s="146"/>
      <c r="IIB72" s="146"/>
      <c r="IIC72" s="146"/>
      <c r="IID72" s="146"/>
      <c r="IIE72" s="146"/>
      <c r="IIF72" s="146"/>
      <c r="IIG72" s="146"/>
      <c r="IIH72" s="146"/>
      <c r="III72" s="146"/>
      <c r="IIJ72" s="146"/>
      <c r="IIK72" s="146"/>
      <c r="IIL72" s="146"/>
      <c r="IIM72" s="146"/>
      <c r="IIN72" s="146"/>
      <c r="IIO72" s="146"/>
      <c r="IIP72" s="146"/>
      <c r="IIQ72" s="146"/>
      <c r="IIR72" s="146"/>
      <c r="IIS72" s="146"/>
      <c r="IIT72" s="146"/>
      <c r="IIU72" s="146"/>
      <c r="IIV72" s="146"/>
      <c r="IIW72" s="146"/>
      <c r="IIX72" s="146"/>
      <c r="IIY72" s="146"/>
      <c r="IIZ72" s="146"/>
      <c r="IJA72" s="146"/>
      <c r="IJB72" s="146"/>
      <c r="IJC72" s="146"/>
      <c r="IJD72" s="146"/>
      <c r="IJE72" s="146"/>
      <c r="IJF72" s="146"/>
      <c r="IJG72" s="146"/>
      <c r="IJH72" s="146"/>
      <c r="IJI72" s="146"/>
      <c r="IJJ72" s="146"/>
      <c r="IJK72" s="146"/>
      <c r="IJL72" s="146"/>
      <c r="IJM72" s="146"/>
      <c r="IJN72" s="146"/>
      <c r="IJO72" s="146"/>
      <c r="IJP72" s="146"/>
      <c r="IJQ72" s="146"/>
      <c r="IJR72" s="146"/>
      <c r="IJS72" s="146"/>
      <c r="IJT72" s="146"/>
      <c r="IJU72" s="146"/>
      <c r="IJV72" s="146"/>
      <c r="IJW72" s="146"/>
      <c r="IJX72" s="146"/>
      <c r="IJY72" s="146"/>
      <c r="IJZ72" s="146"/>
      <c r="IKA72" s="146"/>
      <c r="IKB72" s="146"/>
      <c r="IKC72" s="146"/>
      <c r="IKD72" s="146"/>
      <c r="IKE72" s="146"/>
      <c r="IKF72" s="146"/>
      <c r="IKG72" s="146"/>
      <c r="IKH72" s="146"/>
      <c r="IKI72" s="146"/>
      <c r="IKJ72" s="146"/>
      <c r="IKK72" s="146"/>
      <c r="IKL72" s="146"/>
      <c r="IKM72" s="146"/>
      <c r="IKN72" s="146"/>
      <c r="IKO72" s="146"/>
      <c r="IKP72" s="146"/>
      <c r="IKQ72" s="146"/>
      <c r="IKR72" s="146"/>
      <c r="IKS72" s="146"/>
      <c r="IKT72" s="146"/>
      <c r="IKU72" s="146"/>
      <c r="IKV72" s="146"/>
      <c r="IKW72" s="146"/>
      <c r="IKX72" s="146"/>
      <c r="IKY72" s="146"/>
      <c r="IKZ72" s="146"/>
      <c r="ILA72" s="146"/>
      <c r="ILB72" s="146"/>
      <c r="ILC72" s="146"/>
      <c r="ILD72" s="146"/>
      <c r="ILE72" s="146"/>
      <c r="ILF72" s="146"/>
      <c r="ILG72" s="146"/>
      <c r="ILH72" s="146"/>
      <c r="ILI72" s="146"/>
      <c r="ILJ72" s="146"/>
      <c r="ILK72" s="146"/>
      <c r="ILL72" s="146"/>
      <c r="ILM72" s="146"/>
      <c r="ILN72" s="146"/>
      <c r="ILO72" s="146"/>
      <c r="ILP72" s="146"/>
      <c r="ILQ72" s="146"/>
      <c r="ILR72" s="146"/>
      <c r="ILS72" s="146"/>
      <c r="ILT72" s="146"/>
      <c r="ILU72" s="146"/>
      <c r="ILV72" s="146"/>
      <c r="ILW72" s="146"/>
      <c r="ILX72" s="146"/>
      <c r="ILY72" s="146"/>
      <c r="ILZ72" s="146"/>
      <c r="IMA72" s="146"/>
      <c r="IMB72" s="146"/>
      <c r="IMC72" s="146"/>
      <c r="IMD72" s="146"/>
      <c r="IME72" s="146"/>
      <c r="IMF72" s="146"/>
      <c r="IMG72" s="146"/>
      <c r="IMH72" s="146"/>
      <c r="IMI72" s="146"/>
      <c r="IMJ72" s="146"/>
      <c r="IMK72" s="146"/>
      <c r="IML72" s="146"/>
      <c r="IMM72" s="146"/>
      <c r="IMN72" s="146"/>
      <c r="IMO72" s="146"/>
      <c r="IMP72" s="146"/>
      <c r="IMQ72" s="146"/>
      <c r="IMR72" s="146"/>
      <c r="IMS72" s="146"/>
      <c r="IMT72" s="146"/>
      <c r="IMU72" s="146"/>
      <c r="IMV72" s="146"/>
      <c r="IMW72" s="146"/>
      <c r="IMX72" s="146"/>
      <c r="IMY72" s="146"/>
      <c r="IMZ72" s="146"/>
      <c r="INA72" s="146"/>
      <c r="INB72" s="146"/>
      <c r="INC72" s="146"/>
      <c r="IND72" s="146"/>
      <c r="INE72" s="146"/>
      <c r="INF72" s="146"/>
      <c r="ING72" s="146"/>
      <c r="INH72" s="146"/>
      <c r="INI72" s="146"/>
      <c r="INJ72" s="146"/>
      <c r="INK72" s="146"/>
      <c r="INL72" s="146"/>
      <c r="INM72" s="146"/>
      <c r="INN72" s="146"/>
      <c r="INO72" s="146"/>
      <c r="INP72" s="146"/>
      <c r="INQ72" s="146"/>
      <c r="INR72" s="146"/>
      <c r="INS72" s="146"/>
      <c r="INT72" s="146"/>
      <c r="INU72" s="146"/>
      <c r="INV72" s="146"/>
      <c r="INW72" s="146"/>
      <c r="INX72" s="146"/>
      <c r="INY72" s="146"/>
      <c r="INZ72" s="146"/>
      <c r="IOA72" s="146"/>
      <c r="IOB72" s="146"/>
      <c r="IOC72" s="146"/>
      <c r="IOD72" s="146"/>
      <c r="IOE72" s="146"/>
      <c r="IOF72" s="146"/>
      <c r="IOG72" s="146"/>
      <c r="IOH72" s="146"/>
      <c r="IOI72" s="146"/>
      <c r="IOJ72" s="146"/>
      <c r="IOK72" s="146"/>
      <c r="IOL72" s="146"/>
      <c r="IOM72" s="146"/>
      <c r="ION72" s="146"/>
      <c r="IOO72" s="146"/>
      <c r="IOP72" s="146"/>
      <c r="IOQ72" s="146"/>
      <c r="IOR72" s="146"/>
      <c r="IOS72" s="146"/>
      <c r="IOT72" s="146"/>
      <c r="IOU72" s="146"/>
      <c r="IOV72" s="146"/>
      <c r="IOW72" s="146"/>
      <c r="IOX72" s="146"/>
      <c r="IOY72" s="146"/>
      <c r="IOZ72" s="146"/>
      <c r="IPA72" s="146"/>
      <c r="IPB72" s="146"/>
      <c r="IPC72" s="146"/>
      <c r="IPD72" s="146"/>
      <c r="IPE72" s="146"/>
      <c r="IPF72" s="146"/>
      <c r="IPG72" s="146"/>
      <c r="IPH72" s="146"/>
      <c r="IPI72" s="146"/>
      <c r="IPJ72" s="146"/>
      <c r="IPK72" s="146"/>
      <c r="IPL72" s="146"/>
      <c r="IPM72" s="146"/>
      <c r="IPN72" s="146"/>
      <c r="IPO72" s="146"/>
      <c r="IPP72" s="146"/>
      <c r="IPQ72" s="146"/>
      <c r="IPR72" s="146"/>
      <c r="IPS72" s="146"/>
      <c r="IPT72" s="146"/>
      <c r="IPU72" s="146"/>
      <c r="IPV72" s="146"/>
      <c r="IPW72" s="146"/>
      <c r="IPX72" s="146"/>
      <c r="IPY72" s="146"/>
      <c r="IPZ72" s="146"/>
      <c r="IQA72" s="146"/>
      <c r="IQB72" s="146"/>
      <c r="IQC72" s="146"/>
      <c r="IQD72" s="146"/>
      <c r="IQE72" s="146"/>
      <c r="IQF72" s="146"/>
      <c r="IQG72" s="146"/>
      <c r="IQH72" s="146"/>
      <c r="IQI72" s="146"/>
      <c r="IQJ72" s="146"/>
      <c r="IQK72" s="146"/>
      <c r="IQL72" s="146"/>
      <c r="IQM72" s="146"/>
      <c r="IQN72" s="146"/>
      <c r="IQO72" s="146"/>
      <c r="IQP72" s="146"/>
      <c r="IQQ72" s="146"/>
      <c r="IQR72" s="146"/>
      <c r="IQS72" s="146"/>
      <c r="IQT72" s="146"/>
      <c r="IQU72" s="146"/>
      <c r="IQV72" s="146"/>
      <c r="IQW72" s="146"/>
      <c r="IQX72" s="146"/>
      <c r="IQY72" s="146"/>
      <c r="IQZ72" s="146"/>
      <c r="IRA72" s="146"/>
      <c r="IRB72" s="146"/>
      <c r="IRC72" s="146"/>
      <c r="IRD72" s="146"/>
      <c r="IRE72" s="146"/>
      <c r="IRF72" s="146"/>
      <c r="IRG72" s="146"/>
      <c r="IRH72" s="146"/>
      <c r="IRI72" s="146"/>
      <c r="IRJ72" s="146"/>
      <c r="IRK72" s="146"/>
      <c r="IRL72" s="146"/>
      <c r="IRM72" s="146"/>
      <c r="IRN72" s="146"/>
      <c r="IRO72" s="146"/>
      <c r="IRP72" s="146"/>
      <c r="IRQ72" s="146"/>
      <c r="IRR72" s="146"/>
      <c r="IRS72" s="146"/>
      <c r="IRT72" s="146"/>
      <c r="IRU72" s="146"/>
      <c r="IRV72" s="146"/>
      <c r="IRW72" s="146"/>
      <c r="IRX72" s="146"/>
      <c r="IRY72" s="146"/>
      <c r="IRZ72" s="146"/>
      <c r="ISA72" s="146"/>
      <c r="ISB72" s="146"/>
      <c r="ISC72" s="146"/>
      <c r="ISD72" s="146"/>
      <c r="ISE72" s="146"/>
      <c r="ISF72" s="146"/>
      <c r="ISG72" s="146"/>
      <c r="ISH72" s="146"/>
      <c r="ISI72" s="146"/>
      <c r="ISJ72" s="146"/>
      <c r="ISK72" s="146"/>
      <c r="ISL72" s="146"/>
      <c r="ISM72" s="146"/>
      <c r="ISN72" s="146"/>
      <c r="ISO72" s="146"/>
      <c r="ISP72" s="146"/>
      <c r="ISQ72" s="146"/>
      <c r="ISR72" s="146"/>
      <c r="ISS72" s="146"/>
      <c r="IST72" s="146"/>
      <c r="ISU72" s="146"/>
      <c r="ISV72" s="146"/>
      <c r="ISW72" s="146"/>
      <c r="ISX72" s="146"/>
      <c r="ISY72" s="146"/>
      <c r="ISZ72" s="146"/>
      <c r="ITA72" s="146"/>
      <c r="ITB72" s="146"/>
      <c r="ITC72" s="146"/>
      <c r="ITD72" s="146"/>
      <c r="ITE72" s="146"/>
      <c r="ITF72" s="146"/>
      <c r="ITG72" s="146"/>
      <c r="ITH72" s="146"/>
      <c r="ITI72" s="146"/>
      <c r="ITJ72" s="146"/>
      <c r="ITK72" s="146"/>
      <c r="ITL72" s="146"/>
      <c r="ITM72" s="146"/>
      <c r="ITN72" s="146"/>
      <c r="ITO72" s="146"/>
      <c r="ITP72" s="146"/>
      <c r="ITQ72" s="146"/>
      <c r="ITR72" s="146"/>
      <c r="ITS72" s="146"/>
      <c r="ITT72" s="146"/>
      <c r="ITU72" s="146"/>
      <c r="ITV72" s="146"/>
      <c r="ITW72" s="146"/>
      <c r="ITX72" s="146"/>
      <c r="ITY72" s="146"/>
      <c r="ITZ72" s="146"/>
      <c r="IUA72" s="146"/>
      <c r="IUB72" s="146"/>
      <c r="IUC72" s="146"/>
      <c r="IUD72" s="146"/>
      <c r="IUE72" s="146"/>
      <c r="IUF72" s="146"/>
      <c r="IUG72" s="146"/>
      <c r="IUH72" s="146"/>
      <c r="IUI72" s="146"/>
      <c r="IUJ72" s="146"/>
      <c r="IUK72" s="146"/>
      <c r="IUL72" s="146"/>
      <c r="IUM72" s="146"/>
      <c r="IUN72" s="146"/>
      <c r="IUO72" s="146"/>
      <c r="IUP72" s="146"/>
      <c r="IUQ72" s="146"/>
      <c r="IUR72" s="146"/>
      <c r="IUS72" s="146"/>
      <c r="IUT72" s="146"/>
      <c r="IUU72" s="146"/>
      <c r="IUV72" s="146"/>
      <c r="IUW72" s="146"/>
      <c r="IUX72" s="146"/>
      <c r="IUY72" s="146"/>
      <c r="IUZ72" s="146"/>
      <c r="IVA72" s="146"/>
      <c r="IVB72" s="146"/>
      <c r="IVC72" s="146"/>
      <c r="IVD72" s="146"/>
      <c r="IVE72" s="146"/>
      <c r="IVF72" s="146"/>
      <c r="IVG72" s="146"/>
      <c r="IVH72" s="146"/>
      <c r="IVI72" s="146"/>
      <c r="IVJ72" s="146"/>
      <c r="IVK72" s="146"/>
      <c r="IVL72" s="146"/>
      <c r="IVM72" s="146"/>
      <c r="IVN72" s="146"/>
      <c r="IVO72" s="146"/>
      <c r="IVP72" s="146"/>
      <c r="IVQ72" s="146"/>
      <c r="IVR72" s="146"/>
      <c r="IVS72" s="146"/>
      <c r="IVT72" s="146"/>
      <c r="IVU72" s="146"/>
      <c r="IVV72" s="146"/>
      <c r="IVW72" s="146"/>
      <c r="IVX72" s="146"/>
      <c r="IVY72" s="146"/>
      <c r="IVZ72" s="146"/>
      <c r="IWA72" s="146"/>
      <c r="IWB72" s="146"/>
      <c r="IWC72" s="146"/>
      <c r="IWD72" s="146"/>
      <c r="IWE72" s="146"/>
      <c r="IWF72" s="146"/>
      <c r="IWG72" s="146"/>
      <c r="IWH72" s="146"/>
      <c r="IWI72" s="146"/>
      <c r="IWJ72" s="146"/>
      <c r="IWK72" s="146"/>
      <c r="IWL72" s="146"/>
      <c r="IWM72" s="146"/>
      <c r="IWN72" s="146"/>
      <c r="IWO72" s="146"/>
      <c r="IWP72" s="146"/>
      <c r="IWQ72" s="146"/>
      <c r="IWR72" s="146"/>
      <c r="IWS72" s="146"/>
      <c r="IWT72" s="146"/>
      <c r="IWU72" s="146"/>
      <c r="IWV72" s="146"/>
      <c r="IWW72" s="146"/>
      <c r="IWX72" s="146"/>
      <c r="IWY72" s="146"/>
      <c r="IWZ72" s="146"/>
      <c r="IXA72" s="146"/>
      <c r="IXB72" s="146"/>
      <c r="IXC72" s="146"/>
      <c r="IXD72" s="146"/>
      <c r="IXE72" s="146"/>
      <c r="IXF72" s="146"/>
      <c r="IXG72" s="146"/>
      <c r="IXH72" s="146"/>
      <c r="IXI72" s="146"/>
      <c r="IXJ72" s="146"/>
      <c r="IXK72" s="146"/>
      <c r="IXL72" s="146"/>
      <c r="IXM72" s="146"/>
      <c r="IXN72" s="146"/>
      <c r="IXO72" s="146"/>
      <c r="IXP72" s="146"/>
      <c r="IXQ72" s="146"/>
      <c r="IXR72" s="146"/>
      <c r="IXS72" s="146"/>
      <c r="IXT72" s="146"/>
      <c r="IXU72" s="146"/>
      <c r="IXV72" s="146"/>
      <c r="IXW72" s="146"/>
      <c r="IXX72" s="146"/>
      <c r="IXY72" s="146"/>
      <c r="IXZ72" s="146"/>
      <c r="IYA72" s="146"/>
      <c r="IYB72" s="146"/>
      <c r="IYC72" s="146"/>
      <c r="IYD72" s="146"/>
      <c r="IYE72" s="146"/>
      <c r="IYF72" s="146"/>
      <c r="IYG72" s="146"/>
      <c r="IYH72" s="146"/>
      <c r="IYI72" s="146"/>
      <c r="IYJ72" s="146"/>
      <c r="IYK72" s="146"/>
      <c r="IYL72" s="146"/>
      <c r="IYM72" s="146"/>
      <c r="IYN72" s="146"/>
      <c r="IYO72" s="146"/>
      <c r="IYP72" s="146"/>
      <c r="IYQ72" s="146"/>
      <c r="IYR72" s="146"/>
      <c r="IYS72" s="146"/>
      <c r="IYT72" s="146"/>
      <c r="IYU72" s="146"/>
      <c r="IYV72" s="146"/>
      <c r="IYW72" s="146"/>
      <c r="IYX72" s="146"/>
      <c r="IYY72" s="146"/>
      <c r="IYZ72" s="146"/>
      <c r="IZA72" s="146"/>
      <c r="IZB72" s="146"/>
      <c r="IZC72" s="146"/>
      <c r="IZD72" s="146"/>
      <c r="IZE72" s="146"/>
      <c r="IZF72" s="146"/>
      <c r="IZG72" s="146"/>
      <c r="IZH72" s="146"/>
      <c r="IZI72" s="146"/>
      <c r="IZJ72" s="146"/>
      <c r="IZK72" s="146"/>
      <c r="IZL72" s="146"/>
      <c r="IZM72" s="146"/>
      <c r="IZN72" s="146"/>
      <c r="IZO72" s="146"/>
      <c r="IZP72" s="146"/>
      <c r="IZQ72" s="146"/>
      <c r="IZR72" s="146"/>
      <c r="IZS72" s="146"/>
      <c r="IZT72" s="146"/>
      <c r="IZU72" s="146"/>
      <c r="IZV72" s="146"/>
      <c r="IZW72" s="146"/>
      <c r="IZX72" s="146"/>
      <c r="IZY72" s="146"/>
      <c r="IZZ72" s="146"/>
      <c r="JAA72" s="146"/>
      <c r="JAB72" s="146"/>
      <c r="JAC72" s="146"/>
      <c r="JAD72" s="146"/>
      <c r="JAE72" s="146"/>
      <c r="JAF72" s="146"/>
      <c r="JAG72" s="146"/>
      <c r="JAH72" s="146"/>
      <c r="JAI72" s="146"/>
      <c r="JAJ72" s="146"/>
      <c r="JAK72" s="146"/>
      <c r="JAL72" s="146"/>
      <c r="JAM72" s="146"/>
      <c r="JAN72" s="146"/>
      <c r="JAO72" s="146"/>
      <c r="JAP72" s="146"/>
      <c r="JAQ72" s="146"/>
      <c r="JAR72" s="146"/>
      <c r="JAS72" s="146"/>
      <c r="JAT72" s="146"/>
      <c r="JAU72" s="146"/>
      <c r="JAV72" s="146"/>
      <c r="JAW72" s="146"/>
      <c r="JAX72" s="146"/>
      <c r="JAY72" s="146"/>
      <c r="JAZ72" s="146"/>
      <c r="JBA72" s="146"/>
      <c r="JBB72" s="146"/>
      <c r="JBC72" s="146"/>
      <c r="JBD72" s="146"/>
      <c r="JBE72" s="146"/>
      <c r="JBF72" s="146"/>
      <c r="JBG72" s="146"/>
      <c r="JBH72" s="146"/>
      <c r="JBI72" s="146"/>
      <c r="JBJ72" s="146"/>
      <c r="JBK72" s="146"/>
      <c r="JBL72" s="146"/>
      <c r="JBM72" s="146"/>
      <c r="JBN72" s="146"/>
      <c r="JBO72" s="146"/>
      <c r="JBP72" s="146"/>
      <c r="JBQ72" s="146"/>
      <c r="JBR72" s="146"/>
      <c r="JBS72" s="146"/>
      <c r="JBT72" s="146"/>
      <c r="JBU72" s="146"/>
      <c r="JBV72" s="146"/>
      <c r="JBW72" s="146"/>
      <c r="JBX72" s="146"/>
      <c r="JBY72" s="146"/>
      <c r="JBZ72" s="146"/>
      <c r="JCA72" s="146"/>
      <c r="JCB72" s="146"/>
      <c r="JCC72" s="146"/>
      <c r="JCD72" s="146"/>
      <c r="JCE72" s="146"/>
      <c r="JCF72" s="146"/>
      <c r="JCG72" s="146"/>
      <c r="JCH72" s="146"/>
      <c r="JCI72" s="146"/>
      <c r="JCJ72" s="146"/>
      <c r="JCK72" s="146"/>
      <c r="JCL72" s="146"/>
      <c r="JCM72" s="146"/>
      <c r="JCN72" s="146"/>
      <c r="JCO72" s="146"/>
      <c r="JCP72" s="146"/>
      <c r="JCQ72" s="146"/>
      <c r="JCR72" s="146"/>
      <c r="JCS72" s="146"/>
      <c r="JCT72" s="146"/>
      <c r="JCU72" s="146"/>
      <c r="JCV72" s="146"/>
      <c r="JCW72" s="146"/>
      <c r="JCX72" s="146"/>
      <c r="JCY72" s="146"/>
      <c r="JCZ72" s="146"/>
      <c r="JDA72" s="146"/>
      <c r="JDB72" s="146"/>
      <c r="JDC72" s="146"/>
      <c r="JDD72" s="146"/>
      <c r="JDE72" s="146"/>
      <c r="JDF72" s="146"/>
      <c r="JDG72" s="146"/>
      <c r="JDH72" s="146"/>
      <c r="JDI72" s="146"/>
      <c r="JDJ72" s="146"/>
      <c r="JDK72" s="146"/>
      <c r="JDL72" s="146"/>
      <c r="JDM72" s="146"/>
      <c r="JDN72" s="146"/>
      <c r="JDO72" s="146"/>
      <c r="JDP72" s="146"/>
      <c r="JDQ72" s="146"/>
      <c r="JDR72" s="146"/>
      <c r="JDS72" s="146"/>
      <c r="JDT72" s="146"/>
      <c r="JDU72" s="146"/>
      <c r="JDV72" s="146"/>
      <c r="JDW72" s="146"/>
      <c r="JDX72" s="146"/>
      <c r="JDY72" s="146"/>
      <c r="JDZ72" s="146"/>
      <c r="JEA72" s="146"/>
      <c r="JEB72" s="146"/>
      <c r="JEC72" s="146"/>
      <c r="JED72" s="146"/>
      <c r="JEE72" s="146"/>
      <c r="JEF72" s="146"/>
      <c r="JEG72" s="146"/>
      <c r="JEH72" s="146"/>
      <c r="JEI72" s="146"/>
      <c r="JEJ72" s="146"/>
      <c r="JEK72" s="146"/>
      <c r="JEL72" s="146"/>
      <c r="JEM72" s="146"/>
      <c r="JEN72" s="146"/>
      <c r="JEO72" s="146"/>
      <c r="JEP72" s="146"/>
      <c r="JEQ72" s="146"/>
      <c r="JER72" s="146"/>
      <c r="JES72" s="146"/>
      <c r="JET72" s="146"/>
      <c r="JEU72" s="146"/>
      <c r="JEV72" s="146"/>
      <c r="JEW72" s="146"/>
      <c r="JEX72" s="146"/>
      <c r="JEY72" s="146"/>
      <c r="JEZ72" s="146"/>
      <c r="JFA72" s="146"/>
      <c r="JFB72" s="146"/>
      <c r="JFC72" s="146"/>
      <c r="JFD72" s="146"/>
      <c r="JFE72" s="146"/>
      <c r="JFF72" s="146"/>
      <c r="JFG72" s="146"/>
      <c r="JFH72" s="146"/>
      <c r="JFI72" s="146"/>
      <c r="JFJ72" s="146"/>
      <c r="JFK72" s="146"/>
      <c r="JFL72" s="146"/>
      <c r="JFM72" s="146"/>
      <c r="JFN72" s="146"/>
      <c r="JFO72" s="146"/>
      <c r="JFP72" s="146"/>
      <c r="JFQ72" s="146"/>
      <c r="JFR72" s="146"/>
      <c r="JFS72" s="146"/>
      <c r="JFT72" s="146"/>
      <c r="JFU72" s="146"/>
      <c r="JFV72" s="146"/>
      <c r="JFW72" s="146"/>
      <c r="JFX72" s="146"/>
      <c r="JFY72" s="146"/>
      <c r="JFZ72" s="146"/>
      <c r="JGA72" s="146"/>
      <c r="JGB72" s="146"/>
      <c r="JGC72" s="146"/>
      <c r="JGD72" s="146"/>
      <c r="JGE72" s="146"/>
      <c r="JGF72" s="146"/>
      <c r="JGG72" s="146"/>
      <c r="JGH72" s="146"/>
      <c r="JGI72" s="146"/>
      <c r="JGJ72" s="146"/>
      <c r="JGK72" s="146"/>
      <c r="JGL72" s="146"/>
      <c r="JGM72" s="146"/>
      <c r="JGN72" s="146"/>
      <c r="JGO72" s="146"/>
      <c r="JGP72" s="146"/>
      <c r="JGQ72" s="146"/>
      <c r="JGR72" s="146"/>
      <c r="JGS72" s="146"/>
      <c r="JGT72" s="146"/>
      <c r="JGU72" s="146"/>
      <c r="JGV72" s="146"/>
      <c r="JGW72" s="146"/>
      <c r="JGX72" s="146"/>
      <c r="JGY72" s="146"/>
      <c r="JGZ72" s="146"/>
      <c r="JHA72" s="146"/>
      <c r="JHB72" s="146"/>
      <c r="JHC72" s="146"/>
      <c r="JHD72" s="146"/>
      <c r="JHE72" s="146"/>
      <c r="JHF72" s="146"/>
      <c r="JHG72" s="146"/>
      <c r="JHH72" s="146"/>
      <c r="JHI72" s="146"/>
      <c r="JHJ72" s="146"/>
      <c r="JHK72" s="146"/>
      <c r="JHL72" s="146"/>
      <c r="JHM72" s="146"/>
      <c r="JHN72" s="146"/>
      <c r="JHO72" s="146"/>
      <c r="JHP72" s="146"/>
      <c r="JHQ72" s="146"/>
      <c r="JHR72" s="146"/>
      <c r="JHS72" s="146"/>
      <c r="JHT72" s="146"/>
      <c r="JHU72" s="146"/>
      <c r="JHV72" s="146"/>
      <c r="JHW72" s="146"/>
      <c r="JHX72" s="146"/>
      <c r="JHY72" s="146"/>
      <c r="JHZ72" s="146"/>
      <c r="JIA72" s="146"/>
      <c r="JIB72" s="146"/>
      <c r="JIC72" s="146"/>
      <c r="JID72" s="146"/>
      <c r="JIE72" s="146"/>
      <c r="JIF72" s="146"/>
      <c r="JIG72" s="146"/>
      <c r="JIH72" s="146"/>
      <c r="JII72" s="146"/>
      <c r="JIJ72" s="146"/>
      <c r="JIK72" s="146"/>
      <c r="JIL72" s="146"/>
      <c r="JIM72" s="146"/>
      <c r="JIN72" s="146"/>
      <c r="JIO72" s="146"/>
      <c r="JIP72" s="146"/>
      <c r="JIQ72" s="146"/>
      <c r="JIR72" s="146"/>
      <c r="JIS72" s="146"/>
      <c r="JIT72" s="146"/>
      <c r="JIU72" s="146"/>
      <c r="JIV72" s="146"/>
      <c r="JIW72" s="146"/>
      <c r="JIX72" s="146"/>
      <c r="JIY72" s="146"/>
      <c r="JIZ72" s="146"/>
      <c r="JJA72" s="146"/>
      <c r="JJB72" s="146"/>
      <c r="JJC72" s="146"/>
      <c r="JJD72" s="146"/>
      <c r="JJE72" s="146"/>
      <c r="JJF72" s="146"/>
      <c r="JJG72" s="146"/>
      <c r="JJH72" s="146"/>
      <c r="JJI72" s="146"/>
      <c r="JJJ72" s="146"/>
      <c r="JJK72" s="146"/>
      <c r="JJL72" s="146"/>
      <c r="JJM72" s="146"/>
      <c r="JJN72" s="146"/>
      <c r="JJO72" s="146"/>
      <c r="JJP72" s="146"/>
      <c r="JJQ72" s="146"/>
      <c r="JJR72" s="146"/>
      <c r="JJS72" s="146"/>
      <c r="JJT72" s="146"/>
      <c r="JJU72" s="146"/>
      <c r="JJV72" s="146"/>
      <c r="JJW72" s="146"/>
      <c r="JJX72" s="146"/>
      <c r="JJY72" s="146"/>
      <c r="JJZ72" s="146"/>
      <c r="JKA72" s="146"/>
      <c r="JKB72" s="146"/>
      <c r="JKC72" s="146"/>
      <c r="JKD72" s="146"/>
      <c r="JKE72" s="146"/>
      <c r="JKF72" s="146"/>
      <c r="JKG72" s="146"/>
      <c r="JKH72" s="146"/>
      <c r="JKI72" s="146"/>
      <c r="JKJ72" s="146"/>
      <c r="JKK72" s="146"/>
      <c r="JKL72" s="146"/>
      <c r="JKM72" s="146"/>
      <c r="JKN72" s="146"/>
      <c r="JKO72" s="146"/>
      <c r="JKP72" s="146"/>
      <c r="JKQ72" s="146"/>
      <c r="JKR72" s="146"/>
      <c r="JKS72" s="146"/>
      <c r="JKT72" s="146"/>
      <c r="JKU72" s="146"/>
      <c r="JKV72" s="146"/>
      <c r="JKW72" s="146"/>
      <c r="JKX72" s="146"/>
      <c r="JKY72" s="146"/>
      <c r="JKZ72" s="146"/>
      <c r="JLA72" s="146"/>
      <c r="JLB72" s="146"/>
      <c r="JLC72" s="146"/>
      <c r="JLD72" s="146"/>
      <c r="JLE72" s="146"/>
      <c r="JLF72" s="146"/>
      <c r="JLG72" s="146"/>
      <c r="JLH72" s="146"/>
      <c r="JLI72" s="146"/>
      <c r="JLJ72" s="146"/>
      <c r="JLK72" s="146"/>
      <c r="JLL72" s="146"/>
      <c r="JLM72" s="146"/>
      <c r="JLN72" s="146"/>
      <c r="JLO72" s="146"/>
      <c r="JLP72" s="146"/>
      <c r="JLQ72" s="146"/>
      <c r="JLR72" s="146"/>
      <c r="JLS72" s="146"/>
      <c r="JLT72" s="146"/>
      <c r="JLU72" s="146"/>
      <c r="JLV72" s="146"/>
      <c r="JLW72" s="146"/>
      <c r="JLX72" s="146"/>
      <c r="JLY72" s="146"/>
      <c r="JLZ72" s="146"/>
      <c r="JMA72" s="146"/>
      <c r="JMB72" s="146"/>
      <c r="JMC72" s="146"/>
      <c r="JMD72" s="146"/>
      <c r="JME72" s="146"/>
      <c r="JMF72" s="146"/>
      <c r="JMG72" s="146"/>
      <c r="JMH72" s="146"/>
      <c r="JMI72" s="146"/>
      <c r="JMJ72" s="146"/>
      <c r="JMK72" s="146"/>
      <c r="JML72" s="146"/>
      <c r="JMM72" s="146"/>
      <c r="JMN72" s="146"/>
      <c r="JMO72" s="146"/>
      <c r="JMP72" s="146"/>
      <c r="JMQ72" s="146"/>
      <c r="JMR72" s="146"/>
      <c r="JMS72" s="146"/>
      <c r="JMT72" s="146"/>
      <c r="JMU72" s="146"/>
      <c r="JMV72" s="146"/>
      <c r="JMW72" s="146"/>
      <c r="JMX72" s="146"/>
      <c r="JMY72" s="146"/>
      <c r="JMZ72" s="146"/>
      <c r="JNA72" s="146"/>
      <c r="JNB72" s="146"/>
      <c r="JNC72" s="146"/>
      <c r="JND72" s="146"/>
      <c r="JNE72" s="146"/>
      <c r="JNF72" s="146"/>
      <c r="JNG72" s="146"/>
      <c r="JNH72" s="146"/>
      <c r="JNI72" s="146"/>
      <c r="JNJ72" s="146"/>
      <c r="JNK72" s="146"/>
      <c r="JNL72" s="146"/>
      <c r="JNM72" s="146"/>
      <c r="JNN72" s="146"/>
      <c r="JNO72" s="146"/>
      <c r="JNP72" s="146"/>
      <c r="JNQ72" s="146"/>
      <c r="JNR72" s="146"/>
      <c r="JNS72" s="146"/>
      <c r="JNT72" s="146"/>
      <c r="JNU72" s="146"/>
      <c r="JNV72" s="146"/>
      <c r="JNW72" s="146"/>
      <c r="JNX72" s="146"/>
      <c r="JNY72" s="146"/>
      <c r="JNZ72" s="146"/>
      <c r="JOA72" s="146"/>
      <c r="JOB72" s="146"/>
      <c r="JOC72" s="146"/>
      <c r="JOD72" s="146"/>
      <c r="JOE72" s="146"/>
      <c r="JOF72" s="146"/>
      <c r="JOG72" s="146"/>
      <c r="JOH72" s="146"/>
      <c r="JOI72" s="146"/>
      <c r="JOJ72" s="146"/>
      <c r="JOK72" s="146"/>
      <c r="JOL72" s="146"/>
      <c r="JOM72" s="146"/>
      <c r="JON72" s="146"/>
      <c r="JOO72" s="146"/>
      <c r="JOP72" s="146"/>
      <c r="JOQ72" s="146"/>
      <c r="JOR72" s="146"/>
      <c r="JOS72" s="146"/>
      <c r="JOT72" s="146"/>
      <c r="JOU72" s="146"/>
      <c r="JOV72" s="146"/>
      <c r="JOW72" s="146"/>
      <c r="JOX72" s="146"/>
      <c r="JOY72" s="146"/>
      <c r="JOZ72" s="146"/>
      <c r="JPA72" s="146"/>
      <c r="JPB72" s="146"/>
      <c r="JPC72" s="146"/>
      <c r="JPD72" s="146"/>
      <c r="JPE72" s="146"/>
      <c r="JPF72" s="146"/>
      <c r="JPG72" s="146"/>
      <c r="JPH72" s="146"/>
      <c r="JPI72" s="146"/>
      <c r="JPJ72" s="146"/>
      <c r="JPK72" s="146"/>
      <c r="JPL72" s="146"/>
      <c r="JPM72" s="146"/>
      <c r="JPN72" s="146"/>
      <c r="JPO72" s="146"/>
      <c r="JPP72" s="146"/>
      <c r="JPQ72" s="146"/>
      <c r="JPR72" s="146"/>
      <c r="JPS72" s="146"/>
      <c r="JPT72" s="146"/>
      <c r="JPU72" s="146"/>
      <c r="JPV72" s="146"/>
      <c r="JPW72" s="146"/>
      <c r="JPX72" s="146"/>
      <c r="JPY72" s="146"/>
      <c r="JPZ72" s="146"/>
      <c r="JQA72" s="146"/>
      <c r="JQB72" s="146"/>
      <c r="JQC72" s="146"/>
      <c r="JQD72" s="146"/>
      <c r="JQE72" s="146"/>
      <c r="JQF72" s="146"/>
      <c r="JQG72" s="146"/>
      <c r="JQH72" s="146"/>
      <c r="JQI72" s="146"/>
      <c r="JQJ72" s="146"/>
      <c r="JQK72" s="146"/>
      <c r="JQL72" s="146"/>
      <c r="JQM72" s="146"/>
      <c r="JQN72" s="146"/>
      <c r="JQO72" s="146"/>
      <c r="JQP72" s="146"/>
      <c r="JQQ72" s="146"/>
      <c r="JQR72" s="146"/>
      <c r="JQS72" s="146"/>
      <c r="JQT72" s="146"/>
      <c r="JQU72" s="146"/>
      <c r="JQV72" s="146"/>
      <c r="JQW72" s="146"/>
      <c r="JQX72" s="146"/>
      <c r="JQY72" s="146"/>
      <c r="JQZ72" s="146"/>
      <c r="JRA72" s="146"/>
      <c r="JRB72" s="146"/>
      <c r="JRC72" s="146"/>
      <c r="JRD72" s="146"/>
      <c r="JRE72" s="146"/>
      <c r="JRF72" s="146"/>
      <c r="JRG72" s="146"/>
      <c r="JRH72" s="146"/>
      <c r="JRI72" s="146"/>
      <c r="JRJ72" s="146"/>
      <c r="JRK72" s="146"/>
      <c r="JRL72" s="146"/>
      <c r="JRM72" s="146"/>
      <c r="JRN72" s="146"/>
      <c r="JRO72" s="146"/>
      <c r="JRP72" s="146"/>
      <c r="JRQ72" s="146"/>
      <c r="JRR72" s="146"/>
      <c r="JRS72" s="146"/>
      <c r="JRT72" s="146"/>
      <c r="JRU72" s="146"/>
      <c r="JRV72" s="146"/>
      <c r="JRW72" s="146"/>
      <c r="JRX72" s="146"/>
      <c r="JRY72" s="146"/>
      <c r="JRZ72" s="146"/>
      <c r="JSA72" s="146"/>
      <c r="JSB72" s="146"/>
      <c r="JSC72" s="146"/>
      <c r="JSD72" s="146"/>
      <c r="JSE72" s="146"/>
      <c r="JSF72" s="146"/>
      <c r="JSG72" s="146"/>
      <c r="JSH72" s="146"/>
      <c r="JSI72" s="146"/>
      <c r="JSJ72" s="146"/>
      <c r="JSK72" s="146"/>
      <c r="JSL72" s="146"/>
      <c r="JSM72" s="146"/>
      <c r="JSN72" s="146"/>
      <c r="JSO72" s="146"/>
      <c r="JSP72" s="146"/>
      <c r="JSQ72" s="146"/>
      <c r="JSR72" s="146"/>
      <c r="JSS72" s="146"/>
      <c r="JST72" s="146"/>
      <c r="JSU72" s="146"/>
      <c r="JSV72" s="146"/>
      <c r="JSW72" s="146"/>
      <c r="JSX72" s="146"/>
      <c r="JSY72" s="146"/>
      <c r="JSZ72" s="146"/>
      <c r="JTA72" s="146"/>
      <c r="JTB72" s="146"/>
      <c r="JTC72" s="146"/>
      <c r="JTD72" s="146"/>
      <c r="JTE72" s="146"/>
      <c r="JTF72" s="146"/>
      <c r="JTG72" s="146"/>
      <c r="JTH72" s="146"/>
      <c r="JTI72" s="146"/>
      <c r="JTJ72" s="146"/>
      <c r="JTK72" s="146"/>
      <c r="JTL72" s="146"/>
      <c r="JTM72" s="146"/>
      <c r="JTN72" s="146"/>
      <c r="JTO72" s="146"/>
      <c r="JTP72" s="146"/>
      <c r="JTQ72" s="146"/>
      <c r="JTR72" s="146"/>
      <c r="JTS72" s="146"/>
      <c r="JTT72" s="146"/>
      <c r="JTU72" s="146"/>
      <c r="JTV72" s="146"/>
      <c r="JTW72" s="146"/>
      <c r="JTX72" s="146"/>
      <c r="JTY72" s="146"/>
      <c r="JTZ72" s="146"/>
      <c r="JUA72" s="146"/>
      <c r="JUB72" s="146"/>
      <c r="JUC72" s="146"/>
      <c r="JUD72" s="146"/>
      <c r="JUE72" s="146"/>
      <c r="JUF72" s="146"/>
      <c r="JUG72" s="146"/>
      <c r="JUH72" s="146"/>
      <c r="JUI72" s="146"/>
      <c r="JUJ72" s="146"/>
      <c r="JUK72" s="146"/>
      <c r="JUL72" s="146"/>
      <c r="JUM72" s="146"/>
      <c r="JUN72" s="146"/>
      <c r="JUO72" s="146"/>
      <c r="JUP72" s="146"/>
      <c r="JUQ72" s="146"/>
      <c r="JUR72" s="146"/>
      <c r="JUS72" s="146"/>
      <c r="JUT72" s="146"/>
      <c r="JUU72" s="146"/>
      <c r="JUV72" s="146"/>
      <c r="JUW72" s="146"/>
      <c r="JUX72" s="146"/>
      <c r="JUY72" s="146"/>
      <c r="JUZ72" s="146"/>
      <c r="JVA72" s="146"/>
      <c r="JVB72" s="146"/>
      <c r="JVC72" s="146"/>
      <c r="JVD72" s="146"/>
      <c r="JVE72" s="146"/>
      <c r="JVF72" s="146"/>
      <c r="JVG72" s="146"/>
      <c r="JVH72" s="146"/>
      <c r="JVI72" s="146"/>
      <c r="JVJ72" s="146"/>
      <c r="JVK72" s="146"/>
      <c r="JVL72" s="146"/>
      <c r="JVM72" s="146"/>
      <c r="JVN72" s="146"/>
      <c r="JVO72" s="146"/>
      <c r="JVP72" s="146"/>
      <c r="JVQ72" s="146"/>
      <c r="JVR72" s="146"/>
      <c r="JVS72" s="146"/>
      <c r="JVT72" s="146"/>
      <c r="JVU72" s="146"/>
      <c r="JVV72" s="146"/>
      <c r="JVW72" s="146"/>
      <c r="JVX72" s="146"/>
      <c r="JVY72" s="146"/>
      <c r="JVZ72" s="146"/>
      <c r="JWA72" s="146"/>
      <c r="JWB72" s="146"/>
      <c r="JWC72" s="146"/>
      <c r="JWD72" s="146"/>
      <c r="JWE72" s="146"/>
      <c r="JWF72" s="146"/>
      <c r="JWG72" s="146"/>
      <c r="JWH72" s="146"/>
      <c r="JWI72" s="146"/>
      <c r="JWJ72" s="146"/>
      <c r="JWK72" s="146"/>
      <c r="JWL72" s="146"/>
      <c r="JWM72" s="146"/>
      <c r="JWN72" s="146"/>
      <c r="JWO72" s="146"/>
      <c r="JWP72" s="146"/>
      <c r="JWQ72" s="146"/>
      <c r="JWR72" s="146"/>
      <c r="JWS72" s="146"/>
      <c r="JWT72" s="146"/>
      <c r="JWU72" s="146"/>
      <c r="JWV72" s="146"/>
      <c r="JWW72" s="146"/>
      <c r="JWX72" s="146"/>
      <c r="JWY72" s="146"/>
      <c r="JWZ72" s="146"/>
      <c r="JXA72" s="146"/>
      <c r="JXB72" s="146"/>
      <c r="JXC72" s="146"/>
      <c r="JXD72" s="146"/>
      <c r="JXE72" s="146"/>
      <c r="JXF72" s="146"/>
      <c r="JXG72" s="146"/>
      <c r="JXH72" s="146"/>
      <c r="JXI72" s="146"/>
      <c r="JXJ72" s="146"/>
      <c r="JXK72" s="146"/>
      <c r="JXL72" s="146"/>
      <c r="JXM72" s="146"/>
      <c r="JXN72" s="146"/>
      <c r="JXO72" s="146"/>
      <c r="JXP72" s="146"/>
      <c r="JXQ72" s="146"/>
      <c r="JXR72" s="146"/>
      <c r="JXS72" s="146"/>
      <c r="JXT72" s="146"/>
      <c r="JXU72" s="146"/>
      <c r="JXV72" s="146"/>
      <c r="JXW72" s="146"/>
      <c r="JXX72" s="146"/>
      <c r="JXY72" s="146"/>
      <c r="JXZ72" s="146"/>
      <c r="JYA72" s="146"/>
      <c r="JYB72" s="146"/>
      <c r="JYC72" s="146"/>
      <c r="JYD72" s="146"/>
      <c r="JYE72" s="146"/>
      <c r="JYF72" s="146"/>
      <c r="JYG72" s="146"/>
      <c r="JYH72" s="146"/>
      <c r="JYI72" s="146"/>
      <c r="JYJ72" s="146"/>
      <c r="JYK72" s="146"/>
      <c r="JYL72" s="146"/>
      <c r="JYM72" s="146"/>
      <c r="JYN72" s="146"/>
      <c r="JYO72" s="146"/>
      <c r="JYP72" s="146"/>
      <c r="JYQ72" s="146"/>
      <c r="JYR72" s="146"/>
      <c r="JYS72" s="146"/>
      <c r="JYT72" s="146"/>
      <c r="JYU72" s="146"/>
      <c r="JYV72" s="146"/>
      <c r="JYW72" s="146"/>
      <c r="JYX72" s="146"/>
      <c r="JYY72" s="146"/>
      <c r="JYZ72" s="146"/>
      <c r="JZA72" s="146"/>
      <c r="JZB72" s="146"/>
      <c r="JZC72" s="146"/>
      <c r="JZD72" s="146"/>
      <c r="JZE72" s="146"/>
      <c r="JZF72" s="146"/>
      <c r="JZG72" s="146"/>
      <c r="JZH72" s="146"/>
      <c r="JZI72" s="146"/>
      <c r="JZJ72" s="146"/>
      <c r="JZK72" s="146"/>
      <c r="JZL72" s="146"/>
      <c r="JZM72" s="146"/>
      <c r="JZN72" s="146"/>
      <c r="JZO72" s="146"/>
      <c r="JZP72" s="146"/>
      <c r="JZQ72" s="146"/>
      <c r="JZR72" s="146"/>
      <c r="JZS72" s="146"/>
      <c r="JZT72" s="146"/>
      <c r="JZU72" s="146"/>
      <c r="JZV72" s="146"/>
      <c r="JZW72" s="146"/>
      <c r="JZX72" s="146"/>
      <c r="JZY72" s="146"/>
      <c r="JZZ72" s="146"/>
      <c r="KAA72" s="146"/>
      <c r="KAB72" s="146"/>
      <c r="KAC72" s="146"/>
      <c r="KAD72" s="146"/>
      <c r="KAE72" s="146"/>
      <c r="KAF72" s="146"/>
      <c r="KAG72" s="146"/>
      <c r="KAH72" s="146"/>
      <c r="KAI72" s="146"/>
      <c r="KAJ72" s="146"/>
      <c r="KAK72" s="146"/>
      <c r="KAL72" s="146"/>
      <c r="KAM72" s="146"/>
      <c r="KAN72" s="146"/>
      <c r="KAO72" s="146"/>
      <c r="KAP72" s="146"/>
      <c r="KAQ72" s="146"/>
      <c r="KAR72" s="146"/>
      <c r="KAS72" s="146"/>
      <c r="KAT72" s="146"/>
      <c r="KAU72" s="146"/>
      <c r="KAV72" s="146"/>
      <c r="KAW72" s="146"/>
      <c r="KAX72" s="146"/>
      <c r="KAY72" s="146"/>
      <c r="KAZ72" s="146"/>
      <c r="KBA72" s="146"/>
      <c r="KBB72" s="146"/>
      <c r="KBC72" s="146"/>
      <c r="KBD72" s="146"/>
      <c r="KBE72" s="146"/>
      <c r="KBF72" s="146"/>
      <c r="KBG72" s="146"/>
      <c r="KBH72" s="146"/>
      <c r="KBI72" s="146"/>
      <c r="KBJ72" s="146"/>
      <c r="KBK72" s="146"/>
      <c r="KBL72" s="146"/>
      <c r="KBM72" s="146"/>
      <c r="KBN72" s="146"/>
      <c r="KBO72" s="146"/>
      <c r="KBP72" s="146"/>
      <c r="KBQ72" s="146"/>
      <c r="KBR72" s="146"/>
      <c r="KBS72" s="146"/>
      <c r="KBT72" s="146"/>
      <c r="KBU72" s="146"/>
      <c r="KBV72" s="146"/>
      <c r="KBW72" s="146"/>
      <c r="KBX72" s="146"/>
      <c r="KBY72" s="146"/>
      <c r="KBZ72" s="146"/>
      <c r="KCA72" s="146"/>
      <c r="KCB72" s="146"/>
      <c r="KCC72" s="146"/>
      <c r="KCD72" s="146"/>
      <c r="KCE72" s="146"/>
      <c r="KCF72" s="146"/>
      <c r="KCG72" s="146"/>
      <c r="KCH72" s="146"/>
      <c r="KCI72" s="146"/>
      <c r="KCJ72" s="146"/>
      <c r="KCK72" s="146"/>
      <c r="KCL72" s="146"/>
      <c r="KCM72" s="146"/>
      <c r="KCN72" s="146"/>
      <c r="KCO72" s="146"/>
      <c r="KCP72" s="146"/>
      <c r="KCQ72" s="146"/>
      <c r="KCR72" s="146"/>
      <c r="KCS72" s="146"/>
      <c r="KCT72" s="146"/>
      <c r="KCU72" s="146"/>
      <c r="KCV72" s="146"/>
      <c r="KCW72" s="146"/>
      <c r="KCX72" s="146"/>
      <c r="KCY72" s="146"/>
      <c r="KCZ72" s="146"/>
      <c r="KDA72" s="146"/>
      <c r="KDB72" s="146"/>
      <c r="KDC72" s="146"/>
      <c r="KDD72" s="146"/>
      <c r="KDE72" s="146"/>
      <c r="KDF72" s="146"/>
      <c r="KDG72" s="146"/>
      <c r="KDH72" s="146"/>
      <c r="KDI72" s="146"/>
      <c r="KDJ72" s="146"/>
      <c r="KDK72" s="146"/>
      <c r="KDL72" s="146"/>
      <c r="KDM72" s="146"/>
      <c r="KDN72" s="146"/>
      <c r="KDO72" s="146"/>
      <c r="KDP72" s="146"/>
      <c r="KDQ72" s="146"/>
      <c r="KDR72" s="146"/>
      <c r="KDS72" s="146"/>
      <c r="KDT72" s="146"/>
      <c r="KDU72" s="146"/>
      <c r="KDV72" s="146"/>
      <c r="KDW72" s="146"/>
      <c r="KDX72" s="146"/>
      <c r="KDY72" s="146"/>
      <c r="KDZ72" s="146"/>
      <c r="KEA72" s="146"/>
      <c r="KEB72" s="146"/>
      <c r="KEC72" s="146"/>
      <c r="KED72" s="146"/>
      <c r="KEE72" s="146"/>
      <c r="KEF72" s="146"/>
      <c r="KEG72" s="146"/>
      <c r="KEH72" s="146"/>
      <c r="KEI72" s="146"/>
      <c r="KEJ72" s="146"/>
      <c r="KEK72" s="146"/>
      <c r="KEL72" s="146"/>
      <c r="KEM72" s="146"/>
      <c r="KEN72" s="146"/>
      <c r="KEO72" s="146"/>
      <c r="KEP72" s="146"/>
      <c r="KEQ72" s="146"/>
      <c r="KER72" s="146"/>
      <c r="KES72" s="146"/>
      <c r="KET72" s="146"/>
      <c r="KEU72" s="146"/>
      <c r="KEV72" s="146"/>
      <c r="KEW72" s="146"/>
      <c r="KEX72" s="146"/>
      <c r="KEY72" s="146"/>
      <c r="KEZ72" s="146"/>
      <c r="KFA72" s="146"/>
      <c r="KFB72" s="146"/>
      <c r="KFC72" s="146"/>
      <c r="KFD72" s="146"/>
      <c r="KFE72" s="146"/>
      <c r="KFF72" s="146"/>
      <c r="KFG72" s="146"/>
      <c r="KFH72" s="146"/>
      <c r="KFI72" s="146"/>
      <c r="KFJ72" s="146"/>
      <c r="KFK72" s="146"/>
      <c r="KFL72" s="146"/>
      <c r="KFM72" s="146"/>
      <c r="KFN72" s="146"/>
      <c r="KFO72" s="146"/>
      <c r="KFP72" s="146"/>
      <c r="KFQ72" s="146"/>
      <c r="KFR72" s="146"/>
      <c r="KFS72" s="146"/>
      <c r="KFT72" s="146"/>
      <c r="KFU72" s="146"/>
      <c r="KFV72" s="146"/>
      <c r="KFW72" s="146"/>
      <c r="KFX72" s="146"/>
      <c r="KFY72" s="146"/>
      <c r="KFZ72" s="146"/>
      <c r="KGA72" s="146"/>
      <c r="KGB72" s="146"/>
      <c r="KGC72" s="146"/>
      <c r="KGD72" s="146"/>
      <c r="KGE72" s="146"/>
      <c r="KGF72" s="146"/>
      <c r="KGG72" s="146"/>
      <c r="KGH72" s="146"/>
      <c r="KGI72" s="146"/>
      <c r="KGJ72" s="146"/>
      <c r="KGK72" s="146"/>
      <c r="KGL72" s="146"/>
      <c r="KGM72" s="146"/>
      <c r="KGN72" s="146"/>
      <c r="KGO72" s="146"/>
      <c r="KGP72" s="146"/>
      <c r="KGQ72" s="146"/>
      <c r="KGR72" s="146"/>
      <c r="KGS72" s="146"/>
      <c r="KGT72" s="146"/>
      <c r="KGU72" s="146"/>
      <c r="KGV72" s="146"/>
      <c r="KGW72" s="146"/>
      <c r="KGX72" s="146"/>
      <c r="KGY72" s="146"/>
      <c r="KGZ72" s="146"/>
      <c r="KHA72" s="146"/>
      <c r="KHB72" s="146"/>
      <c r="KHC72" s="146"/>
      <c r="KHD72" s="146"/>
      <c r="KHE72" s="146"/>
      <c r="KHF72" s="146"/>
      <c r="KHG72" s="146"/>
      <c r="KHH72" s="146"/>
      <c r="KHI72" s="146"/>
      <c r="KHJ72" s="146"/>
      <c r="KHK72" s="146"/>
      <c r="KHL72" s="146"/>
      <c r="KHM72" s="146"/>
      <c r="KHN72" s="146"/>
      <c r="KHO72" s="146"/>
      <c r="KHP72" s="146"/>
      <c r="KHQ72" s="146"/>
      <c r="KHR72" s="146"/>
      <c r="KHS72" s="146"/>
      <c r="KHT72" s="146"/>
      <c r="KHU72" s="146"/>
      <c r="KHV72" s="146"/>
      <c r="KHW72" s="146"/>
      <c r="KHX72" s="146"/>
      <c r="KHY72" s="146"/>
      <c r="KHZ72" s="146"/>
      <c r="KIA72" s="146"/>
      <c r="KIB72" s="146"/>
      <c r="KIC72" s="146"/>
      <c r="KID72" s="146"/>
      <c r="KIE72" s="146"/>
      <c r="KIF72" s="146"/>
      <c r="KIG72" s="146"/>
      <c r="KIH72" s="146"/>
      <c r="KII72" s="146"/>
      <c r="KIJ72" s="146"/>
      <c r="KIK72" s="146"/>
      <c r="KIL72" s="146"/>
      <c r="KIM72" s="146"/>
      <c r="KIN72" s="146"/>
      <c r="KIO72" s="146"/>
      <c r="KIP72" s="146"/>
      <c r="KIQ72" s="146"/>
      <c r="KIR72" s="146"/>
      <c r="KIS72" s="146"/>
      <c r="KIT72" s="146"/>
      <c r="KIU72" s="146"/>
      <c r="KIV72" s="146"/>
      <c r="KIW72" s="146"/>
      <c r="KIX72" s="146"/>
      <c r="KIY72" s="146"/>
      <c r="KIZ72" s="146"/>
      <c r="KJA72" s="146"/>
      <c r="KJB72" s="146"/>
      <c r="KJC72" s="146"/>
      <c r="KJD72" s="146"/>
      <c r="KJE72" s="146"/>
      <c r="KJF72" s="146"/>
      <c r="KJG72" s="146"/>
      <c r="KJH72" s="146"/>
      <c r="KJI72" s="146"/>
      <c r="KJJ72" s="146"/>
      <c r="KJK72" s="146"/>
      <c r="KJL72" s="146"/>
      <c r="KJM72" s="146"/>
      <c r="KJN72" s="146"/>
      <c r="KJO72" s="146"/>
      <c r="KJP72" s="146"/>
      <c r="KJQ72" s="146"/>
      <c r="KJR72" s="146"/>
      <c r="KJS72" s="146"/>
      <c r="KJT72" s="146"/>
      <c r="KJU72" s="146"/>
      <c r="KJV72" s="146"/>
      <c r="KJW72" s="146"/>
      <c r="KJX72" s="146"/>
      <c r="KJY72" s="146"/>
      <c r="KJZ72" s="146"/>
      <c r="KKA72" s="146"/>
      <c r="KKB72" s="146"/>
      <c r="KKC72" s="146"/>
      <c r="KKD72" s="146"/>
      <c r="KKE72" s="146"/>
      <c r="KKF72" s="146"/>
      <c r="KKG72" s="146"/>
      <c r="KKH72" s="146"/>
      <c r="KKI72" s="146"/>
      <c r="KKJ72" s="146"/>
      <c r="KKK72" s="146"/>
      <c r="KKL72" s="146"/>
      <c r="KKM72" s="146"/>
      <c r="KKN72" s="146"/>
      <c r="KKO72" s="146"/>
      <c r="KKP72" s="146"/>
      <c r="KKQ72" s="146"/>
      <c r="KKR72" s="146"/>
      <c r="KKS72" s="146"/>
      <c r="KKT72" s="146"/>
      <c r="KKU72" s="146"/>
      <c r="KKV72" s="146"/>
      <c r="KKW72" s="146"/>
      <c r="KKX72" s="146"/>
      <c r="KKY72" s="146"/>
      <c r="KKZ72" s="146"/>
      <c r="KLA72" s="146"/>
      <c r="KLB72" s="146"/>
      <c r="KLC72" s="146"/>
      <c r="KLD72" s="146"/>
      <c r="KLE72" s="146"/>
      <c r="KLF72" s="146"/>
      <c r="KLG72" s="146"/>
      <c r="KLH72" s="146"/>
      <c r="KLI72" s="146"/>
      <c r="KLJ72" s="146"/>
      <c r="KLK72" s="146"/>
      <c r="KLL72" s="146"/>
      <c r="KLM72" s="146"/>
      <c r="KLN72" s="146"/>
      <c r="KLO72" s="146"/>
      <c r="KLP72" s="146"/>
      <c r="KLQ72" s="146"/>
      <c r="KLR72" s="146"/>
      <c r="KLS72" s="146"/>
      <c r="KLT72" s="146"/>
      <c r="KLU72" s="146"/>
      <c r="KLV72" s="146"/>
      <c r="KLW72" s="146"/>
      <c r="KLX72" s="146"/>
      <c r="KLY72" s="146"/>
      <c r="KLZ72" s="146"/>
      <c r="KMA72" s="146"/>
      <c r="KMB72" s="146"/>
      <c r="KMC72" s="146"/>
      <c r="KMD72" s="146"/>
      <c r="KME72" s="146"/>
      <c r="KMF72" s="146"/>
      <c r="KMG72" s="146"/>
      <c r="KMH72" s="146"/>
      <c r="KMI72" s="146"/>
      <c r="KMJ72" s="146"/>
      <c r="KMK72" s="146"/>
      <c r="KML72" s="146"/>
      <c r="KMM72" s="146"/>
      <c r="KMN72" s="146"/>
      <c r="KMO72" s="146"/>
      <c r="KMP72" s="146"/>
      <c r="KMQ72" s="146"/>
      <c r="KMR72" s="146"/>
      <c r="KMS72" s="146"/>
      <c r="KMT72" s="146"/>
      <c r="KMU72" s="146"/>
      <c r="KMV72" s="146"/>
      <c r="KMW72" s="146"/>
      <c r="KMX72" s="146"/>
      <c r="KMY72" s="146"/>
      <c r="KMZ72" s="146"/>
      <c r="KNA72" s="146"/>
      <c r="KNB72" s="146"/>
      <c r="KNC72" s="146"/>
      <c r="KND72" s="146"/>
      <c r="KNE72" s="146"/>
      <c r="KNF72" s="146"/>
      <c r="KNG72" s="146"/>
      <c r="KNH72" s="146"/>
      <c r="KNI72" s="146"/>
      <c r="KNJ72" s="146"/>
      <c r="KNK72" s="146"/>
      <c r="KNL72" s="146"/>
      <c r="KNM72" s="146"/>
      <c r="KNN72" s="146"/>
      <c r="KNO72" s="146"/>
      <c r="KNP72" s="146"/>
      <c r="KNQ72" s="146"/>
      <c r="KNR72" s="146"/>
      <c r="KNS72" s="146"/>
      <c r="KNT72" s="146"/>
      <c r="KNU72" s="146"/>
      <c r="KNV72" s="146"/>
      <c r="KNW72" s="146"/>
      <c r="KNX72" s="146"/>
      <c r="KNY72" s="146"/>
      <c r="KNZ72" s="146"/>
      <c r="KOA72" s="146"/>
      <c r="KOB72" s="146"/>
      <c r="KOC72" s="146"/>
      <c r="KOD72" s="146"/>
      <c r="KOE72" s="146"/>
      <c r="KOF72" s="146"/>
      <c r="KOG72" s="146"/>
      <c r="KOH72" s="146"/>
      <c r="KOI72" s="146"/>
      <c r="KOJ72" s="146"/>
      <c r="KOK72" s="146"/>
      <c r="KOL72" s="146"/>
      <c r="KOM72" s="146"/>
      <c r="KON72" s="146"/>
      <c r="KOO72" s="146"/>
      <c r="KOP72" s="146"/>
      <c r="KOQ72" s="146"/>
      <c r="KOR72" s="146"/>
      <c r="KOS72" s="146"/>
      <c r="KOT72" s="146"/>
      <c r="KOU72" s="146"/>
      <c r="KOV72" s="146"/>
      <c r="KOW72" s="146"/>
      <c r="KOX72" s="146"/>
      <c r="KOY72" s="146"/>
      <c r="KOZ72" s="146"/>
      <c r="KPA72" s="146"/>
      <c r="KPB72" s="146"/>
      <c r="KPC72" s="146"/>
      <c r="KPD72" s="146"/>
      <c r="KPE72" s="146"/>
      <c r="KPF72" s="146"/>
      <c r="KPG72" s="146"/>
      <c r="KPH72" s="146"/>
      <c r="KPI72" s="146"/>
      <c r="KPJ72" s="146"/>
      <c r="KPK72" s="146"/>
      <c r="KPL72" s="146"/>
      <c r="KPM72" s="146"/>
      <c r="KPN72" s="146"/>
      <c r="KPO72" s="146"/>
      <c r="KPP72" s="146"/>
      <c r="KPQ72" s="146"/>
      <c r="KPR72" s="146"/>
      <c r="KPS72" s="146"/>
      <c r="KPT72" s="146"/>
      <c r="KPU72" s="146"/>
      <c r="KPV72" s="146"/>
      <c r="KPW72" s="146"/>
      <c r="KPX72" s="146"/>
      <c r="KPY72" s="146"/>
      <c r="KPZ72" s="146"/>
      <c r="KQA72" s="146"/>
      <c r="KQB72" s="146"/>
      <c r="KQC72" s="146"/>
      <c r="KQD72" s="146"/>
      <c r="KQE72" s="146"/>
      <c r="KQF72" s="146"/>
      <c r="KQG72" s="146"/>
      <c r="KQH72" s="146"/>
      <c r="KQI72" s="146"/>
      <c r="KQJ72" s="146"/>
      <c r="KQK72" s="146"/>
      <c r="KQL72" s="146"/>
      <c r="KQM72" s="146"/>
      <c r="KQN72" s="146"/>
      <c r="KQO72" s="146"/>
      <c r="KQP72" s="146"/>
      <c r="KQQ72" s="146"/>
      <c r="KQR72" s="146"/>
      <c r="KQS72" s="146"/>
      <c r="KQT72" s="146"/>
      <c r="KQU72" s="146"/>
      <c r="KQV72" s="146"/>
      <c r="KQW72" s="146"/>
      <c r="KQX72" s="146"/>
      <c r="KQY72" s="146"/>
      <c r="KQZ72" s="146"/>
      <c r="KRA72" s="146"/>
      <c r="KRB72" s="146"/>
      <c r="KRC72" s="146"/>
      <c r="KRD72" s="146"/>
      <c r="KRE72" s="146"/>
      <c r="KRF72" s="146"/>
      <c r="KRG72" s="146"/>
      <c r="KRH72" s="146"/>
      <c r="KRI72" s="146"/>
      <c r="KRJ72" s="146"/>
      <c r="KRK72" s="146"/>
      <c r="KRL72" s="146"/>
      <c r="KRM72" s="146"/>
      <c r="KRN72" s="146"/>
      <c r="KRO72" s="146"/>
      <c r="KRP72" s="146"/>
      <c r="KRQ72" s="146"/>
      <c r="KRR72" s="146"/>
      <c r="KRS72" s="146"/>
      <c r="KRT72" s="146"/>
      <c r="KRU72" s="146"/>
      <c r="KRV72" s="146"/>
      <c r="KRW72" s="146"/>
      <c r="KRX72" s="146"/>
      <c r="KRY72" s="146"/>
      <c r="KRZ72" s="146"/>
      <c r="KSA72" s="146"/>
      <c r="KSB72" s="146"/>
      <c r="KSC72" s="146"/>
      <c r="KSD72" s="146"/>
      <c r="KSE72" s="146"/>
      <c r="KSF72" s="146"/>
      <c r="KSG72" s="146"/>
      <c r="KSH72" s="146"/>
      <c r="KSI72" s="146"/>
      <c r="KSJ72" s="146"/>
      <c r="KSK72" s="146"/>
      <c r="KSL72" s="146"/>
      <c r="KSM72" s="146"/>
      <c r="KSN72" s="146"/>
      <c r="KSO72" s="146"/>
      <c r="KSP72" s="146"/>
      <c r="KSQ72" s="146"/>
      <c r="KSR72" s="146"/>
      <c r="KSS72" s="146"/>
      <c r="KST72" s="146"/>
      <c r="KSU72" s="146"/>
      <c r="KSV72" s="146"/>
      <c r="KSW72" s="146"/>
      <c r="KSX72" s="146"/>
      <c r="KSY72" s="146"/>
      <c r="KSZ72" s="146"/>
      <c r="KTA72" s="146"/>
      <c r="KTB72" s="146"/>
      <c r="KTC72" s="146"/>
      <c r="KTD72" s="146"/>
      <c r="KTE72" s="146"/>
      <c r="KTF72" s="146"/>
      <c r="KTG72" s="146"/>
      <c r="KTH72" s="146"/>
      <c r="KTI72" s="146"/>
      <c r="KTJ72" s="146"/>
      <c r="KTK72" s="146"/>
      <c r="KTL72" s="146"/>
      <c r="KTM72" s="146"/>
      <c r="KTN72" s="146"/>
      <c r="KTO72" s="146"/>
      <c r="KTP72" s="146"/>
      <c r="KTQ72" s="146"/>
      <c r="KTR72" s="146"/>
      <c r="KTS72" s="146"/>
      <c r="KTT72" s="146"/>
      <c r="KTU72" s="146"/>
      <c r="KTV72" s="146"/>
      <c r="KTW72" s="146"/>
      <c r="KTX72" s="146"/>
      <c r="KTY72" s="146"/>
      <c r="KTZ72" s="146"/>
      <c r="KUA72" s="146"/>
      <c r="KUB72" s="146"/>
      <c r="KUC72" s="146"/>
      <c r="KUD72" s="146"/>
      <c r="KUE72" s="146"/>
      <c r="KUF72" s="146"/>
      <c r="KUG72" s="146"/>
      <c r="KUH72" s="146"/>
      <c r="KUI72" s="146"/>
      <c r="KUJ72" s="146"/>
      <c r="KUK72" s="146"/>
      <c r="KUL72" s="146"/>
      <c r="KUM72" s="146"/>
      <c r="KUN72" s="146"/>
      <c r="KUO72" s="146"/>
      <c r="KUP72" s="146"/>
      <c r="KUQ72" s="146"/>
      <c r="KUR72" s="146"/>
      <c r="KUS72" s="146"/>
      <c r="KUT72" s="146"/>
      <c r="KUU72" s="146"/>
      <c r="KUV72" s="146"/>
      <c r="KUW72" s="146"/>
      <c r="KUX72" s="146"/>
      <c r="KUY72" s="146"/>
      <c r="KUZ72" s="146"/>
      <c r="KVA72" s="146"/>
      <c r="KVB72" s="146"/>
      <c r="KVC72" s="146"/>
      <c r="KVD72" s="146"/>
      <c r="KVE72" s="146"/>
      <c r="KVF72" s="146"/>
      <c r="KVG72" s="146"/>
      <c r="KVH72" s="146"/>
      <c r="KVI72" s="146"/>
      <c r="KVJ72" s="146"/>
      <c r="KVK72" s="146"/>
      <c r="KVL72" s="146"/>
      <c r="KVM72" s="146"/>
      <c r="KVN72" s="146"/>
      <c r="KVO72" s="146"/>
      <c r="KVP72" s="146"/>
      <c r="KVQ72" s="146"/>
      <c r="KVR72" s="146"/>
      <c r="KVS72" s="146"/>
      <c r="KVT72" s="146"/>
      <c r="KVU72" s="146"/>
      <c r="KVV72" s="146"/>
      <c r="KVW72" s="146"/>
      <c r="KVX72" s="146"/>
      <c r="KVY72" s="146"/>
      <c r="KVZ72" s="146"/>
      <c r="KWA72" s="146"/>
      <c r="KWB72" s="146"/>
      <c r="KWC72" s="146"/>
      <c r="KWD72" s="146"/>
      <c r="KWE72" s="146"/>
      <c r="KWF72" s="146"/>
      <c r="KWG72" s="146"/>
      <c r="KWH72" s="146"/>
      <c r="KWI72" s="146"/>
      <c r="KWJ72" s="146"/>
      <c r="KWK72" s="146"/>
      <c r="KWL72" s="146"/>
      <c r="KWM72" s="146"/>
      <c r="KWN72" s="146"/>
      <c r="KWO72" s="146"/>
      <c r="KWP72" s="146"/>
      <c r="KWQ72" s="146"/>
      <c r="KWR72" s="146"/>
      <c r="KWS72" s="146"/>
      <c r="KWT72" s="146"/>
      <c r="KWU72" s="146"/>
      <c r="KWV72" s="146"/>
      <c r="KWW72" s="146"/>
      <c r="KWX72" s="146"/>
      <c r="KWY72" s="146"/>
      <c r="KWZ72" s="146"/>
      <c r="KXA72" s="146"/>
      <c r="KXB72" s="146"/>
      <c r="KXC72" s="146"/>
      <c r="KXD72" s="146"/>
      <c r="KXE72" s="146"/>
      <c r="KXF72" s="146"/>
      <c r="KXG72" s="146"/>
      <c r="KXH72" s="146"/>
      <c r="KXI72" s="146"/>
      <c r="KXJ72" s="146"/>
      <c r="KXK72" s="146"/>
      <c r="KXL72" s="146"/>
      <c r="KXM72" s="146"/>
      <c r="KXN72" s="146"/>
      <c r="KXO72" s="146"/>
      <c r="KXP72" s="146"/>
      <c r="KXQ72" s="146"/>
      <c r="KXR72" s="146"/>
      <c r="KXS72" s="146"/>
      <c r="KXT72" s="146"/>
      <c r="KXU72" s="146"/>
      <c r="KXV72" s="146"/>
      <c r="KXW72" s="146"/>
      <c r="KXX72" s="146"/>
      <c r="KXY72" s="146"/>
      <c r="KXZ72" s="146"/>
      <c r="KYA72" s="146"/>
      <c r="KYB72" s="146"/>
      <c r="KYC72" s="146"/>
      <c r="KYD72" s="146"/>
      <c r="KYE72" s="146"/>
      <c r="KYF72" s="146"/>
      <c r="KYG72" s="146"/>
      <c r="KYH72" s="146"/>
      <c r="KYI72" s="146"/>
      <c r="KYJ72" s="146"/>
      <c r="KYK72" s="146"/>
      <c r="KYL72" s="146"/>
      <c r="KYM72" s="146"/>
      <c r="KYN72" s="146"/>
      <c r="KYO72" s="146"/>
      <c r="KYP72" s="146"/>
      <c r="KYQ72" s="146"/>
      <c r="KYR72" s="146"/>
      <c r="KYS72" s="146"/>
      <c r="KYT72" s="146"/>
      <c r="KYU72" s="146"/>
      <c r="KYV72" s="146"/>
      <c r="KYW72" s="146"/>
      <c r="KYX72" s="146"/>
      <c r="KYY72" s="146"/>
      <c r="KYZ72" s="146"/>
      <c r="KZA72" s="146"/>
      <c r="KZB72" s="146"/>
      <c r="KZC72" s="146"/>
      <c r="KZD72" s="146"/>
      <c r="KZE72" s="146"/>
      <c r="KZF72" s="146"/>
      <c r="KZG72" s="146"/>
      <c r="KZH72" s="146"/>
      <c r="KZI72" s="146"/>
      <c r="KZJ72" s="146"/>
      <c r="KZK72" s="146"/>
      <c r="KZL72" s="146"/>
      <c r="KZM72" s="146"/>
      <c r="KZN72" s="146"/>
      <c r="KZO72" s="146"/>
      <c r="KZP72" s="146"/>
      <c r="KZQ72" s="146"/>
      <c r="KZR72" s="146"/>
      <c r="KZS72" s="146"/>
      <c r="KZT72" s="146"/>
      <c r="KZU72" s="146"/>
      <c r="KZV72" s="146"/>
      <c r="KZW72" s="146"/>
      <c r="KZX72" s="146"/>
      <c r="KZY72" s="146"/>
      <c r="KZZ72" s="146"/>
      <c r="LAA72" s="146"/>
      <c r="LAB72" s="146"/>
      <c r="LAC72" s="146"/>
      <c r="LAD72" s="146"/>
      <c r="LAE72" s="146"/>
      <c r="LAF72" s="146"/>
      <c r="LAG72" s="146"/>
      <c r="LAH72" s="146"/>
      <c r="LAI72" s="146"/>
      <c r="LAJ72" s="146"/>
      <c r="LAK72" s="146"/>
      <c r="LAL72" s="146"/>
      <c r="LAM72" s="146"/>
      <c r="LAN72" s="146"/>
      <c r="LAO72" s="146"/>
      <c r="LAP72" s="146"/>
      <c r="LAQ72" s="146"/>
      <c r="LAR72" s="146"/>
      <c r="LAS72" s="146"/>
      <c r="LAT72" s="146"/>
      <c r="LAU72" s="146"/>
      <c r="LAV72" s="146"/>
      <c r="LAW72" s="146"/>
      <c r="LAX72" s="146"/>
      <c r="LAY72" s="146"/>
      <c r="LAZ72" s="146"/>
      <c r="LBA72" s="146"/>
      <c r="LBB72" s="146"/>
      <c r="LBC72" s="146"/>
      <c r="LBD72" s="146"/>
      <c r="LBE72" s="146"/>
      <c r="LBF72" s="146"/>
      <c r="LBG72" s="146"/>
      <c r="LBH72" s="146"/>
      <c r="LBI72" s="146"/>
      <c r="LBJ72" s="146"/>
      <c r="LBK72" s="146"/>
      <c r="LBL72" s="146"/>
      <c r="LBM72" s="146"/>
      <c r="LBN72" s="146"/>
      <c r="LBO72" s="146"/>
      <c r="LBP72" s="146"/>
      <c r="LBQ72" s="146"/>
      <c r="LBR72" s="146"/>
      <c r="LBS72" s="146"/>
      <c r="LBT72" s="146"/>
      <c r="LBU72" s="146"/>
      <c r="LBV72" s="146"/>
      <c r="LBW72" s="146"/>
      <c r="LBX72" s="146"/>
      <c r="LBY72" s="146"/>
      <c r="LBZ72" s="146"/>
      <c r="LCA72" s="146"/>
      <c r="LCB72" s="146"/>
      <c r="LCC72" s="146"/>
      <c r="LCD72" s="146"/>
      <c r="LCE72" s="146"/>
      <c r="LCF72" s="146"/>
      <c r="LCG72" s="146"/>
      <c r="LCH72" s="146"/>
      <c r="LCI72" s="146"/>
      <c r="LCJ72" s="146"/>
      <c r="LCK72" s="146"/>
      <c r="LCL72" s="146"/>
      <c r="LCM72" s="146"/>
      <c r="LCN72" s="146"/>
      <c r="LCO72" s="146"/>
      <c r="LCP72" s="146"/>
      <c r="LCQ72" s="146"/>
      <c r="LCR72" s="146"/>
      <c r="LCS72" s="146"/>
      <c r="LCT72" s="146"/>
      <c r="LCU72" s="146"/>
      <c r="LCV72" s="146"/>
      <c r="LCW72" s="146"/>
      <c r="LCX72" s="146"/>
      <c r="LCY72" s="146"/>
      <c r="LCZ72" s="146"/>
      <c r="LDA72" s="146"/>
      <c r="LDB72" s="146"/>
      <c r="LDC72" s="146"/>
      <c r="LDD72" s="146"/>
      <c r="LDE72" s="146"/>
      <c r="LDF72" s="146"/>
      <c r="LDG72" s="146"/>
      <c r="LDH72" s="146"/>
      <c r="LDI72" s="146"/>
      <c r="LDJ72" s="146"/>
      <c r="LDK72" s="146"/>
      <c r="LDL72" s="146"/>
      <c r="LDM72" s="146"/>
      <c r="LDN72" s="146"/>
      <c r="LDO72" s="146"/>
      <c r="LDP72" s="146"/>
      <c r="LDQ72" s="146"/>
      <c r="LDR72" s="146"/>
      <c r="LDS72" s="146"/>
      <c r="LDT72" s="146"/>
      <c r="LDU72" s="146"/>
      <c r="LDV72" s="146"/>
      <c r="LDW72" s="146"/>
      <c r="LDX72" s="146"/>
      <c r="LDY72" s="146"/>
      <c r="LDZ72" s="146"/>
      <c r="LEA72" s="146"/>
      <c r="LEB72" s="146"/>
      <c r="LEC72" s="146"/>
      <c r="LED72" s="146"/>
      <c r="LEE72" s="146"/>
      <c r="LEF72" s="146"/>
      <c r="LEG72" s="146"/>
      <c r="LEH72" s="146"/>
      <c r="LEI72" s="146"/>
      <c r="LEJ72" s="146"/>
      <c r="LEK72" s="146"/>
      <c r="LEL72" s="146"/>
      <c r="LEM72" s="146"/>
      <c r="LEN72" s="146"/>
      <c r="LEO72" s="146"/>
      <c r="LEP72" s="146"/>
      <c r="LEQ72" s="146"/>
      <c r="LER72" s="146"/>
      <c r="LES72" s="146"/>
      <c r="LET72" s="146"/>
      <c r="LEU72" s="146"/>
      <c r="LEV72" s="146"/>
      <c r="LEW72" s="146"/>
      <c r="LEX72" s="146"/>
      <c r="LEY72" s="146"/>
      <c r="LEZ72" s="146"/>
      <c r="LFA72" s="146"/>
      <c r="LFB72" s="146"/>
      <c r="LFC72" s="146"/>
      <c r="LFD72" s="146"/>
      <c r="LFE72" s="146"/>
      <c r="LFF72" s="146"/>
      <c r="LFG72" s="146"/>
      <c r="LFH72" s="146"/>
      <c r="LFI72" s="146"/>
      <c r="LFJ72" s="146"/>
      <c r="LFK72" s="146"/>
      <c r="LFL72" s="146"/>
      <c r="LFM72" s="146"/>
      <c r="LFN72" s="146"/>
      <c r="LFO72" s="146"/>
      <c r="LFP72" s="146"/>
      <c r="LFQ72" s="146"/>
      <c r="LFR72" s="146"/>
      <c r="LFS72" s="146"/>
      <c r="LFT72" s="146"/>
      <c r="LFU72" s="146"/>
      <c r="LFV72" s="146"/>
      <c r="LFW72" s="146"/>
      <c r="LFX72" s="146"/>
      <c r="LFY72" s="146"/>
      <c r="LFZ72" s="146"/>
      <c r="LGA72" s="146"/>
      <c r="LGB72" s="146"/>
      <c r="LGC72" s="146"/>
      <c r="LGD72" s="146"/>
      <c r="LGE72" s="146"/>
      <c r="LGF72" s="146"/>
      <c r="LGG72" s="146"/>
      <c r="LGH72" s="146"/>
      <c r="LGI72" s="146"/>
      <c r="LGJ72" s="146"/>
      <c r="LGK72" s="146"/>
      <c r="LGL72" s="146"/>
      <c r="LGM72" s="146"/>
      <c r="LGN72" s="146"/>
      <c r="LGO72" s="146"/>
      <c r="LGP72" s="146"/>
      <c r="LGQ72" s="146"/>
      <c r="LGR72" s="146"/>
      <c r="LGS72" s="146"/>
      <c r="LGT72" s="146"/>
      <c r="LGU72" s="146"/>
      <c r="LGV72" s="146"/>
      <c r="LGW72" s="146"/>
      <c r="LGX72" s="146"/>
      <c r="LGY72" s="146"/>
      <c r="LGZ72" s="146"/>
      <c r="LHA72" s="146"/>
      <c r="LHB72" s="146"/>
      <c r="LHC72" s="146"/>
      <c r="LHD72" s="146"/>
      <c r="LHE72" s="146"/>
      <c r="LHF72" s="146"/>
      <c r="LHG72" s="146"/>
      <c r="LHH72" s="146"/>
      <c r="LHI72" s="146"/>
      <c r="LHJ72" s="146"/>
      <c r="LHK72" s="146"/>
      <c r="LHL72" s="146"/>
      <c r="LHM72" s="146"/>
      <c r="LHN72" s="146"/>
      <c r="LHO72" s="146"/>
      <c r="LHP72" s="146"/>
      <c r="LHQ72" s="146"/>
      <c r="LHR72" s="146"/>
      <c r="LHS72" s="146"/>
      <c r="LHT72" s="146"/>
      <c r="LHU72" s="146"/>
      <c r="LHV72" s="146"/>
      <c r="LHW72" s="146"/>
      <c r="LHX72" s="146"/>
      <c r="LHY72" s="146"/>
      <c r="LHZ72" s="146"/>
      <c r="LIA72" s="146"/>
      <c r="LIB72" s="146"/>
      <c r="LIC72" s="146"/>
      <c r="LID72" s="146"/>
      <c r="LIE72" s="146"/>
      <c r="LIF72" s="146"/>
      <c r="LIG72" s="146"/>
      <c r="LIH72" s="146"/>
      <c r="LII72" s="146"/>
      <c r="LIJ72" s="146"/>
      <c r="LIK72" s="146"/>
      <c r="LIL72" s="146"/>
      <c r="LIM72" s="146"/>
      <c r="LIN72" s="146"/>
      <c r="LIO72" s="146"/>
      <c r="LIP72" s="146"/>
      <c r="LIQ72" s="146"/>
      <c r="LIR72" s="146"/>
      <c r="LIS72" s="146"/>
      <c r="LIT72" s="146"/>
      <c r="LIU72" s="146"/>
      <c r="LIV72" s="146"/>
      <c r="LIW72" s="146"/>
      <c r="LIX72" s="146"/>
      <c r="LIY72" s="146"/>
      <c r="LIZ72" s="146"/>
      <c r="LJA72" s="146"/>
      <c r="LJB72" s="146"/>
      <c r="LJC72" s="146"/>
      <c r="LJD72" s="146"/>
      <c r="LJE72" s="146"/>
      <c r="LJF72" s="146"/>
      <c r="LJG72" s="146"/>
      <c r="LJH72" s="146"/>
      <c r="LJI72" s="146"/>
      <c r="LJJ72" s="146"/>
      <c r="LJK72" s="146"/>
      <c r="LJL72" s="146"/>
      <c r="LJM72" s="146"/>
      <c r="LJN72" s="146"/>
      <c r="LJO72" s="146"/>
      <c r="LJP72" s="146"/>
      <c r="LJQ72" s="146"/>
      <c r="LJR72" s="146"/>
      <c r="LJS72" s="146"/>
      <c r="LJT72" s="146"/>
      <c r="LJU72" s="146"/>
      <c r="LJV72" s="146"/>
      <c r="LJW72" s="146"/>
      <c r="LJX72" s="146"/>
      <c r="LJY72" s="146"/>
      <c r="LJZ72" s="146"/>
      <c r="LKA72" s="146"/>
      <c r="LKB72" s="146"/>
      <c r="LKC72" s="146"/>
      <c r="LKD72" s="146"/>
      <c r="LKE72" s="146"/>
      <c r="LKF72" s="146"/>
      <c r="LKG72" s="146"/>
      <c r="LKH72" s="146"/>
      <c r="LKI72" s="146"/>
      <c r="LKJ72" s="146"/>
      <c r="LKK72" s="146"/>
      <c r="LKL72" s="146"/>
      <c r="LKM72" s="146"/>
      <c r="LKN72" s="146"/>
      <c r="LKO72" s="146"/>
      <c r="LKP72" s="146"/>
      <c r="LKQ72" s="146"/>
      <c r="LKR72" s="146"/>
      <c r="LKS72" s="146"/>
      <c r="LKT72" s="146"/>
      <c r="LKU72" s="146"/>
      <c r="LKV72" s="146"/>
      <c r="LKW72" s="146"/>
      <c r="LKX72" s="146"/>
      <c r="LKY72" s="146"/>
      <c r="LKZ72" s="146"/>
      <c r="LLA72" s="146"/>
      <c r="LLB72" s="146"/>
      <c r="LLC72" s="146"/>
      <c r="LLD72" s="146"/>
      <c r="LLE72" s="146"/>
      <c r="LLF72" s="146"/>
      <c r="LLG72" s="146"/>
      <c r="LLH72" s="146"/>
      <c r="LLI72" s="146"/>
      <c r="LLJ72" s="146"/>
      <c r="LLK72" s="146"/>
      <c r="LLL72" s="146"/>
      <c r="LLM72" s="146"/>
      <c r="LLN72" s="146"/>
      <c r="LLO72" s="146"/>
      <c r="LLP72" s="146"/>
      <c r="LLQ72" s="146"/>
      <c r="LLR72" s="146"/>
      <c r="LLS72" s="146"/>
      <c r="LLT72" s="146"/>
      <c r="LLU72" s="146"/>
      <c r="LLV72" s="146"/>
      <c r="LLW72" s="146"/>
      <c r="LLX72" s="146"/>
      <c r="LLY72" s="146"/>
      <c r="LLZ72" s="146"/>
      <c r="LMA72" s="146"/>
      <c r="LMB72" s="146"/>
      <c r="LMC72" s="146"/>
      <c r="LMD72" s="146"/>
      <c r="LME72" s="146"/>
      <c r="LMF72" s="146"/>
      <c r="LMG72" s="146"/>
      <c r="LMH72" s="146"/>
      <c r="LMI72" s="146"/>
      <c r="LMJ72" s="146"/>
      <c r="LMK72" s="146"/>
      <c r="LML72" s="146"/>
      <c r="LMM72" s="146"/>
      <c r="LMN72" s="146"/>
      <c r="LMO72" s="146"/>
      <c r="LMP72" s="146"/>
      <c r="LMQ72" s="146"/>
      <c r="LMR72" s="146"/>
      <c r="LMS72" s="146"/>
      <c r="LMT72" s="146"/>
      <c r="LMU72" s="146"/>
      <c r="LMV72" s="146"/>
      <c r="LMW72" s="146"/>
      <c r="LMX72" s="146"/>
      <c r="LMY72" s="146"/>
      <c r="LMZ72" s="146"/>
      <c r="LNA72" s="146"/>
      <c r="LNB72" s="146"/>
      <c r="LNC72" s="146"/>
      <c r="LND72" s="146"/>
      <c r="LNE72" s="146"/>
      <c r="LNF72" s="146"/>
      <c r="LNG72" s="146"/>
      <c r="LNH72" s="146"/>
      <c r="LNI72" s="146"/>
      <c r="LNJ72" s="146"/>
      <c r="LNK72" s="146"/>
      <c r="LNL72" s="146"/>
      <c r="LNM72" s="146"/>
      <c r="LNN72" s="146"/>
      <c r="LNO72" s="146"/>
      <c r="LNP72" s="146"/>
      <c r="LNQ72" s="146"/>
      <c r="LNR72" s="146"/>
      <c r="LNS72" s="146"/>
      <c r="LNT72" s="146"/>
      <c r="LNU72" s="146"/>
      <c r="LNV72" s="146"/>
      <c r="LNW72" s="146"/>
      <c r="LNX72" s="146"/>
      <c r="LNY72" s="146"/>
      <c r="LNZ72" s="146"/>
      <c r="LOA72" s="146"/>
      <c r="LOB72" s="146"/>
      <c r="LOC72" s="146"/>
      <c r="LOD72" s="146"/>
      <c r="LOE72" s="146"/>
      <c r="LOF72" s="146"/>
      <c r="LOG72" s="146"/>
      <c r="LOH72" s="146"/>
      <c r="LOI72" s="146"/>
      <c r="LOJ72" s="146"/>
      <c r="LOK72" s="146"/>
      <c r="LOL72" s="146"/>
      <c r="LOM72" s="146"/>
      <c r="LON72" s="146"/>
      <c r="LOO72" s="146"/>
      <c r="LOP72" s="146"/>
      <c r="LOQ72" s="146"/>
      <c r="LOR72" s="146"/>
      <c r="LOS72" s="146"/>
      <c r="LOT72" s="146"/>
      <c r="LOU72" s="146"/>
      <c r="LOV72" s="146"/>
      <c r="LOW72" s="146"/>
      <c r="LOX72" s="146"/>
      <c r="LOY72" s="146"/>
      <c r="LOZ72" s="146"/>
      <c r="LPA72" s="146"/>
      <c r="LPB72" s="146"/>
      <c r="LPC72" s="146"/>
      <c r="LPD72" s="146"/>
      <c r="LPE72" s="146"/>
      <c r="LPF72" s="146"/>
      <c r="LPG72" s="146"/>
      <c r="LPH72" s="146"/>
      <c r="LPI72" s="146"/>
      <c r="LPJ72" s="146"/>
      <c r="LPK72" s="146"/>
      <c r="LPL72" s="146"/>
      <c r="LPM72" s="146"/>
      <c r="LPN72" s="146"/>
      <c r="LPO72" s="146"/>
      <c r="LPP72" s="146"/>
      <c r="LPQ72" s="146"/>
      <c r="LPR72" s="146"/>
      <c r="LPS72" s="146"/>
      <c r="LPT72" s="146"/>
      <c r="LPU72" s="146"/>
      <c r="LPV72" s="146"/>
      <c r="LPW72" s="146"/>
      <c r="LPX72" s="146"/>
      <c r="LPY72" s="146"/>
      <c r="LPZ72" s="146"/>
      <c r="LQA72" s="146"/>
      <c r="LQB72" s="146"/>
      <c r="LQC72" s="146"/>
      <c r="LQD72" s="146"/>
      <c r="LQE72" s="146"/>
      <c r="LQF72" s="146"/>
      <c r="LQG72" s="146"/>
      <c r="LQH72" s="146"/>
      <c r="LQI72" s="146"/>
      <c r="LQJ72" s="146"/>
      <c r="LQK72" s="146"/>
      <c r="LQL72" s="146"/>
      <c r="LQM72" s="146"/>
      <c r="LQN72" s="146"/>
      <c r="LQO72" s="146"/>
      <c r="LQP72" s="146"/>
      <c r="LQQ72" s="146"/>
      <c r="LQR72" s="146"/>
      <c r="LQS72" s="146"/>
      <c r="LQT72" s="146"/>
      <c r="LQU72" s="146"/>
      <c r="LQV72" s="146"/>
      <c r="LQW72" s="146"/>
      <c r="LQX72" s="146"/>
      <c r="LQY72" s="146"/>
      <c r="LQZ72" s="146"/>
      <c r="LRA72" s="146"/>
      <c r="LRB72" s="146"/>
      <c r="LRC72" s="146"/>
      <c r="LRD72" s="146"/>
      <c r="LRE72" s="146"/>
      <c r="LRF72" s="146"/>
      <c r="LRG72" s="146"/>
      <c r="LRH72" s="146"/>
      <c r="LRI72" s="146"/>
      <c r="LRJ72" s="146"/>
      <c r="LRK72" s="146"/>
      <c r="LRL72" s="146"/>
      <c r="LRM72" s="146"/>
      <c r="LRN72" s="146"/>
      <c r="LRO72" s="146"/>
      <c r="LRP72" s="146"/>
      <c r="LRQ72" s="146"/>
      <c r="LRR72" s="146"/>
      <c r="LRS72" s="146"/>
      <c r="LRT72" s="146"/>
      <c r="LRU72" s="146"/>
      <c r="LRV72" s="146"/>
      <c r="LRW72" s="146"/>
      <c r="LRX72" s="146"/>
      <c r="LRY72" s="146"/>
      <c r="LRZ72" s="146"/>
      <c r="LSA72" s="146"/>
      <c r="LSB72" s="146"/>
      <c r="LSC72" s="146"/>
      <c r="LSD72" s="146"/>
      <c r="LSE72" s="146"/>
      <c r="LSF72" s="146"/>
      <c r="LSG72" s="146"/>
      <c r="LSH72" s="146"/>
      <c r="LSI72" s="146"/>
      <c r="LSJ72" s="146"/>
      <c r="LSK72" s="146"/>
      <c r="LSL72" s="146"/>
      <c r="LSM72" s="146"/>
      <c r="LSN72" s="146"/>
      <c r="LSO72" s="146"/>
      <c r="LSP72" s="146"/>
      <c r="LSQ72" s="146"/>
      <c r="LSR72" s="146"/>
      <c r="LSS72" s="146"/>
      <c r="LST72" s="146"/>
      <c r="LSU72" s="146"/>
      <c r="LSV72" s="146"/>
      <c r="LSW72" s="146"/>
      <c r="LSX72" s="146"/>
      <c r="LSY72" s="146"/>
      <c r="LSZ72" s="146"/>
      <c r="LTA72" s="146"/>
      <c r="LTB72" s="146"/>
      <c r="LTC72" s="146"/>
      <c r="LTD72" s="146"/>
      <c r="LTE72" s="146"/>
      <c r="LTF72" s="146"/>
      <c r="LTG72" s="146"/>
      <c r="LTH72" s="146"/>
      <c r="LTI72" s="146"/>
      <c r="LTJ72" s="146"/>
      <c r="LTK72" s="146"/>
      <c r="LTL72" s="146"/>
      <c r="LTM72" s="146"/>
      <c r="LTN72" s="146"/>
      <c r="LTO72" s="146"/>
      <c r="LTP72" s="146"/>
      <c r="LTQ72" s="146"/>
      <c r="LTR72" s="146"/>
      <c r="LTS72" s="146"/>
      <c r="LTT72" s="146"/>
      <c r="LTU72" s="146"/>
      <c r="LTV72" s="146"/>
      <c r="LTW72" s="146"/>
      <c r="LTX72" s="146"/>
      <c r="LTY72" s="146"/>
      <c r="LTZ72" s="146"/>
      <c r="LUA72" s="146"/>
      <c r="LUB72" s="146"/>
      <c r="LUC72" s="146"/>
      <c r="LUD72" s="146"/>
      <c r="LUE72" s="146"/>
      <c r="LUF72" s="146"/>
      <c r="LUG72" s="146"/>
      <c r="LUH72" s="146"/>
      <c r="LUI72" s="146"/>
      <c r="LUJ72" s="146"/>
      <c r="LUK72" s="146"/>
      <c r="LUL72" s="146"/>
      <c r="LUM72" s="146"/>
      <c r="LUN72" s="146"/>
      <c r="LUO72" s="146"/>
      <c r="LUP72" s="146"/>
      <c r="LUQ72" s="146"/>
      <c r="LUR72" s="146"/>
      <c r="LUS72" s="146"/>
      <c r="LUT72" s="146"/>
      <c r="LUU72" s="146"/>
      <c r="LUV72" s="146"/>
      <c r="LUW72" s="146"/>
      <c r="LUX72" s="146"/>
      <c r="LUY72" s="146"/>
      <c r="LUZ72" s="146"/>
      <c r="LVA72" s="146"/>
      <c r="LVB72" s="146"/>
      <c r="LVC72" s="146"/>
      <c r="LVD72" s="146"/>
      <c r="LVE72" s="146"/>
      <c r="LVF72" s="146"/>
      <c r="LVG72" s="146"/>
      <c r="LVH72" s="146"/>
      <c r="LVI72" s="146"/>
      <c r="LVJ72" s="146"/>
      <c r="LVK72" s="146"/>
      <c r="LVL72" s="146"/>
      <c r="LVM72" s="146"/>
      <c r="LVN72" s="146"/>
      <c r="LVO72" s="146"/>
      <c r="LVP72" s="146"/>
      <c r="LVQ72" s="146"/>
      <c r="LVR72" s="146"/>
      <c r="LVS72" s="146"/>
      <c r="LVT72" s="146"/>
      <c r="LVU72" s="146"/>
      <c r="LVV72" s="146"/>
      <c r="LVW72" s="146"/>
      <c r="LVX72" s="146"/>
      <c r="LVY72" s="146"/>
      <c r="LVZ72" s="146"/>
      <c r="LWA72" s="146"/>
      <c r="LWB72" s="146"/>
      <c r="LWC72" s="146"/>
      <c r="LWD72" s="146"/>
      <c r="LWE72" s="146"/>
      <c r="LWF72" s="146"/>
      <c r="LWG72" s="146"/>
      <c r="LWH72" s="146"/>
      <c r="LWI72" s="146"/>
      <c r="LWJ72" s="146"/>
      <c r="LWK72" s="146"/>
      <c r="LWL72" s="146"/>
      <c r="LWM72" s="146"/>
      <c r="LWN72" s="146"/>
      <c r="LWO72" s="146"/>
      <c r="LWP72" s="146"/>
      <c r="LWQ72" s="146"/>
      <c r="LWR72" s="146"/>
      <c r="LWS72" s="146"/>
      <c r="LWT72" s="146"/>
      <c r="LWU72" s="146"/>
      <c r="LWV72" s="146"/>
      <c r="LWW72" s="146"/>
      <c r="LWX72" s="146"/>
      <c r="LWY72" s="146"/>
      <c r="LWZ72" s="146"/>
      <c r="LXA72" s="146"/>
      <c r="LXB72" s="146"/>
      <c r="LXC72" s="146"/>
      <c r="LXD72" s="146"/>
      <c r="LXE72" s="146"/>
      <c r="LXF72" s="146"/>
      <c r="LXG72" s="146"/>
      <c r="LXH72" s="146"/>
      <c r="LXI72" s="146"/>
      <c r="LXJ72" s="146"/>
      <c r="LXK72" s="146"/>
      <c r="LXL72" s="146"/>
      <c r="LXM72" s="146"/>
      <c r="LXN72" s="146"/>
      <c r="LXO72" s="146"/>
      <c r="LXP72" s="146"/>
      <c r="LXQ72" s="146"/>
      <c r="LXR72" s="146"/>
      <c r="LXS72" s="146"/>
      <c r="LXT72" s="146"/>
      <c r="LXU72" s="146"/>
      <c r="LXV72" s="146"/>
      <c r="LXW72" s="146"/>
      <c r="LXX72" s="146"/>
      <c r="LXY72" s="146"/>
      <c r="LXZ72" s="146"/>
      <c r="LYA72" s="146"/>
      <c r="LYB72" s="146"/>
      <c r="LYC72" s="146"/>
      <c r="LYD72" s="146"/>
      <c r="LYE72" s="146"/>
      <c r="LYF72" s="146"/>
      <c r="LYG72" s="146"/>
      <c r="LYH72" s="146"/>
      <c r="LYI72" s="146"/>
      <c r="LYJ72" s="146"/>
      <c r="LYK72" s="146"/>
      <c r="LYL72" s="146"/>
      <c r="LYM72" s="146"/>
      <c r="LYN72" s="146"/>
      <c r="LYO72" s="146"/>
      <c r="LYP72" s="146"/>
      <c r="LYQ72" s="146"/>
      <c r="LYR72" s="146"/>
      <c r="LYS72" s="146"/>
      <c r="LYT72" s="146"/>
      <c r="LYU72" s="146"/>
      <c r="LYV72" s="146"/>
      <c r="LYW72" s="146"/>
      <c r="LYX72" s="146"/>
      <c r="LYY72" s="146"/>
      <c r="LYZ72" s="146"/>
      <c r="LZA72" s="146"/>
      <c r="LZB72" s="146"/>
      <c r="LZC72" s="146"/>
      <c r="LZD72" s="146"/>
      <c r="LZE72" s="146"/>
      <c r="LZF72" s="146"/>
      <c r="LZG72" s="146"/>
      <c r="LZH72" s="146"/>
      <c r="LZI72" s="146"/>
      <c r="LZJ72" s="146"/>
      <c r="LZK72" s="146"/>
      <c r="LZL72" s="146"/>
      <c r="LZM72" s="146"/>
      <c r="LZN72" s="146"/>
      <c r="LZO72" s="146"/>
      <c r="LZP72" s="146"/>
      <c r="LZQ72" s="146"/>
      <c r="LZR72" s="146"/>
      <c r="LZS72" s="146"/>
      <c r="LZT72" s="146"/>
      <c r="LZU72" s="146"/>
      <c r="LZV72" s="146"/>
      <c r="LZW72" s="146"/>
      <c r="LZX72" s="146"/>
      <c r="LZY72" s="146"/>
      <c r="LZZ72" s="146"/>
      <c r="MAA72" s="146"/>
      <c r="MAB72" s="146"/>
      <c r="MAC72" s="146"/>
      <c r="MAD72" s="146"/>
      <c r="MAE72" s="146"/>
      <c r="MAF72" s="146"/>
      <c r="MAG72" s="146"/>
      <c r="MAH72" s="146"/>
      <c r="MAI72" s="146"/>
      <c r="MAJ72" s="146"/>
      <c r="MAK72" s="146"/>
      <c r="MAL72" s="146"/>
      <c r="MAM72" s="146"/>
      <c r="MAN72" s="146"/>
      <c r="MAO72" s="146"/>
      <c r="MAP72" s="146"/>
      <c r="MAQ72" s="146"/>
      <c r="MAR72" s="146"/>
      <c r="MAS72" s="146"/>
      <c r="MAT72" s="146"/>
      <c r="MAU72" s="146"/>
      <c r="MAV72" s="146"/>
      <c r="MAW72" s="146"/>
      <c r="MAX72" s="146"/>
      <c r="MAY72" s="146"/>
      <c r="MAZ72" s="146"/>
      <c r="MBA72" s="146"/>
      <c r="MBB72" s="146"/>
      <c r="MBC72" s="146"/>
      <c r="MBD72" s="146"/>
      <c r="MBE72" s="146"/>
      <c r="MBF72" s="146"/>
      <c r="MBG72" s="146"/>
      <c r="MBH72" s="146"/>
      <c r="MBI72" s="146"/>
      <c r="MBJ72" s="146"/>
      <c r="MBK72" s="146"/>
      <c r="MBL72" s="146"/>
      <c r="MBM72" s="146"/>
      <c r="MBN72" s="146"/>
      <c r="MBO72" s="146"/>
      <c r="MBP72" s="146"/>
      <c r="MBQ72" s="146"/>
      <c r="MBR72" s="146"/>
      <c r="MBS72" s="146"/>
      <c r="MBT72" s="146"/>
      <c r="MBU72" s="146"/>
      <c r="MBV72" s="146"/>
      <c r="MBW72" s="146"/>
      <c r="MBX72" s="146"/>
      <c r="MBY72" s="146"/>
      <c r="MBZ72" s="146"/>
      <c r="MCA72" s="146"/>
      <c r="MCB72" s="146"/>
      <c r="MCC72" s="146"/>
      <c r="MCD72" s="146"/>
      <c r="MCE72" s="146"/>
      <c r="MCF72" s="146"/>
      <c r="MCG72" s="146"/>
      <c r="MCH72" s="146"/>
      <c r="MCI72" s="146"/>
      <c r="MCJ72" s="146"/>
      <c r="MCK72" s="146"/>
      <c r="MCL72" s="146"/>
      <c r="MCM72" s="146"/>
      <c r="MCN72" s="146"/>
      <c r="MCO72" s="146"/>
      <c r="MCP72" s="146"/>
      <c r="MCQ72" s="146"/>
      <c r="MCR72" s="146"/>
      <c r="MCS72" s="146"/>
      <c r="MCT72" s="146"/>
      <c r="MCU72" s="146"/>
      <c r="MCV72" s="146"/>
      <c r="MCW72" s="146"/>
      <c r="MCX72" s="146"/>
      <c r="MCY72" s="146"/>
      <c r="MCZ72" s="146"/>
      <c r="MDA72" s="146"/>
      <c r="MDB72" s="146"/>
      <c r="MDC72" s="146"/>
      <c r="MDD72" s="146"/>
      <c r="MDE72" s="146"/>
      <c r="MDF72" s="146"/>
      <c r="MDG72" s="146"/>
      <c r="MDH72" s="146"/>
      <c r="MDI72" s="146"/>
      <c r="MDJ72" s="146"/>
      <c r="MDK72" s="146"/>
      <c r="MDL72" s="146"/>
      <c r="MDM72" s="146"/>
      <c r="MDN72" s="146"/>
      <c r="MDO72" s="146"/>
      <c r="MDP72" s="146"/>
      <c r="MDQ72" s="146"/>
      <c r="MDR72" s="146"/>
      <c r="MDS72" s="146"/>
      <c r="MDT72" s="146"/>
      <c r="MDU72" s="146"/>
      <c r="MDV72" s="146"/>
      <c r="MDW72" s="146"/>
      <c r="MDX72" s="146"/>
      <c r="MDY72" s="146"/>
      <c r="MDZ72" s="146"/>
      <c r="MEA72" s="146"/>
      <c r="MEB72" s="146"/>
      <c r="MEC72" s="146"/>
      <c r="MED72" s="146"/>
      <c r="MEE72" s="146"/>
      <c r="MEF72" s="146"/>
      <c r="MEG72" s="146"/>
      <c r="MEH72" s="146"/>
      <c r="MEI72" s="146"/>
      <c r="MEJ72" s="146"/>
      <c r="MEK72" s="146"/>
      <c r="MEL72" s="146"/>
      <c r="MEM72" s="146"/>
      <c r="MEN72" s="146"/>
      <c r="MEO72" s="146"/>
      <c r="MEP72" s="146"/>
      <c r="MEQ72" s="146"/>
      <c r="MER72" s="146"/>
      <c r="MES72" s="146"/>
      <c r="MET72" s="146"/>
      <c r="MEU72" s="146"/>
      <c r="MEV72" s="146"/>
      <c r="MEW72" s="146"/>
      <c r="MEX72" s="146"/>
      <c r="MEY72" s="146"/>
      <c r="MEZ72" s="146"/>
      <c r="MFA72" s="146"/>
      <c r="MFB72" s="146"/>
      <c r="MFC72" s="146"/>
      <c r="MFD72" s="146"/>
      <c r="MFE72" s="146"/>
      <c r="MFF72" s="146"/>
      <c r="MFG72" s="146"/>
      <c r="MFH72" s="146"/>
      <c r="MFI72" s="146"/>
      <c r="MFJ72" s="146"/>
      <c r="MFK72" s="146"/>
      <c r="MFL72" s="146"/>
      <c r="MFM72" s="146"/>
      <c r="MFN72" s="146"/>
      <c r="MFO72" s="146"/>
      <c r="MFP72" s="146"/>
      <c r="MFQ72" s="146"/>
      <c r="MFR72" s="146"/>
      <c r="MFS72" s="146"/>
      <c r="MFT72" s="146"/>
      <c r="MFU72" s="146"/>
      <c r="MFV72" s="146"/>
      <c r="MFW72" s="146"/>
      <c r="MFX72" s="146"/>
      <c r="MFY72" s="146"/>
      <c r="MFZ72" s="146"/>
      <c r="MGA72" s="146"/>
      <c r="MGB72" s="146"/>
      <c r="MGC72" s="146"/>
      <c r="MGD72" s="146"/>
      <c r="MGE72" s="146"/>
      <c r="MGF72" s="146"/>
      <c r="MGG72" s="146"/>
      <c r="MGH72" s="146"/>
      <c r="MGI72" s="146"/>
      <c r="MGJ72" s="146"/>
      <c r="MGK72" s="146"/>
      <c r="MGL72" s="146"/>
      <c r="MGM72" s="146"/>
      <c r="MGN72" s="146"/>
      <c r="MGO72" s="146"/>
      <c r="MGP72" s="146"/>
      <c r="MGQ72" s="146"/>
      <c r="MGR72" s="146"/>
      <c r="MGS72" s="146"/>
      <c r="MGT72" s="146"/>
      <c r="MGU72" s="146"/>
      <c r="MGV72" s="146"/>
      <c r="MGW72" s="146"/>
      <c r="MGX72" s="146"/>
      <c r="MGY72" s="146"/>
      <c r="MGZ72" s="146"/>
      <c r="MHA72" s="146"/>
      <c r="MHB72" s="146"/>
      <c r="MHC72" s="146"/>
      <c r="MHD72" s="146"/>
      <c r="MHE72" s="146"/>
      <c r="MHF72" s="146"/>
      <c r="MHG72" s="146"/>
      <c r="MHH72" s="146"/>
      <c r="MHI72" s="146"/>
      <c r="MHJ72" s="146"/>
      <c r="MHK72" s="146"/>
      <c r="MHL72" s="146"/>
      <c r="MHM72" s="146"/>
      <c r="MHN72" s="146"/>
      <c r="MHO72" s="146"/>
      <c r="MHP72" s="146"/>
      <c r="MHQ72" s="146"/>
      <c r="MHR72" s="146"/>
      <c r="MHS72" s="146"/>
      <c r="MHT72" s="146"/>
      <c r="MHU72" s="146"/>
      <c r="MHV72" s="146"/>
      <c r="MHW72" s="146"/>
      <c r="MHX72" s="146"/>
      <c r="MHY72" s="146"/>
      <c r="MHZ72" s="146"/>
      <c r="MIA72" s="146"/>
      <c r="MIB72" s="146"/>
      <c r="MIC72" s="146"/>
      <c r="MID72" s="146"/>
      <c r="MIE72" s="146"/>
      <c r="MIF72" s="146"/>
      <c r="MIG72" s="146"/>
      <c r="MIH72" s="146"/>
      <c r="MII72" s="146"/>
      <c r="MIJ72" s="146"/>
      <c r="MIK72" s="146"/>
      <c r="MIL72" s="146"/>
      <c r="MIM72" s="146"/>
      <c r="MIN72" s="146"/>
      <c r="MIO72" s="146"/>
      <c r="MIP72" s="146"/>
      <c r="MIQ72" s="146"/>
      <c r="MIR72" s="146"/>
      <c r="MIS72" s="146"/>
      <c r="MIT72" s="146"/>
      <c r="MIU72" s="146"/>
      <c r="MIV72" s="146"/>
      <c r="MIW72" s="146"/>
      <c r="MIX72" s="146"/>
      <c r="MIY72" s="146"/>
      <c r="MIZ72" s="146"/>
      <c r="MJA72" s="146"/>
      <c r="MJB72" s="146"/>
      <c r="MJC72" s="146"/>
      <c r="MJD72" s="146"/>
      <c r="MJE72" s="146"/>
      <c r="MJF72" s="146"/>
      <c r="MJG72" s="146"/>
      <c r="MJH72" s="146"/>
      <c r="MJI72" s="146"/>
      <c r="MJJ72" s="146"/>
      <c r="MJK72" s="146"/>
      <c r="MJL72" s="146"/>
      <c r="MJM72" s="146"/>
      <c r="MJN72" s="146"/>
      <c r="MJO72" s="146"/>
      <c r="MJP72" s="146"/>
      <c r="MJQ72" s="146"/>
      <c r="MJR72" s="146"/>
      <c r="MJS72" s="146"/>
      <c r="MJT72" s="146"/>
      <c r="MJU72" s="146"/>
      <c r="MJV72" s="146"/>
      <c r="MJW72" s="146"/>
      <c r="MJX72" s="146"/>
      <c r="MJY72" s="146"/>
      <c r="MJZ72" s="146"/>
      <c r="MKA72" s="146"/>
      <c r="MKB72" s="146"/>
      <c r="MKC72" s="146"/>
      <c r="MKD72" s="146"/>
      <c r="MKE72" s="146"/>
      <c r="MKF72" s="146"/>
      <c r="MKG72" s="146"/>
      <c r="MKH72" s="146"/>
      <c r="MKI72" s="146"/>
      <c r="MKJ72" s="146"/>
      <c r="MKK72" s="146"/>
      <c r="MKL72" s="146"/>
      <c r="MKM72" s="146"/>
      <c r="MKN72" s="146"/>
      <c r="MKO72" s="146"/>
      <c r="MKP72" s="146"/>
      <c r="MKQ72" s="146"/>
      <c r="MKR72" s="146"/>
      <c r="MKS72" s="146"/>
      <c r="MKT72" s="146"/>
      <c r="MKU72" s="146"/>
      <c r="MKV72" s="146"/>
      <c r="MKW72" s="146"/>
      <c r="MKX72" s="146"/>
      <c r="MKY72" s="146"/>
      <c r="MKZ72" s="146"/>
      <c r="MLA72" s="146"/>
      <c r="MLB72" s="146"/>
      <c r="MLC72" s="146"/>
      <c r="MLD72" s="146"/>
      <c r="MLE72" s="146"/>
      <c r="MLF72" s="146"/>
      <c r="MLG72" s="146"/>
      <c r="MLH72" s="146"/>
      <c r="MLI72" s="146"/>
      <c r="MLJ72" s="146"/>
      <c r="MLK72" s="146"/>
      <c r="MLL72" s="146"/>
      <c r="MLM72" s="146"/>
      <c r="MLN72" s="146"/>
      <c r="MLO72" s="146"/>
      <c r="MLP72" s="146"/>
      <c r="MLQ72" s="146"/>
      <c r="MLR72" s="146"/>
      <c r="MLS72" s="146"/>
      <c r="MLT72" s="146"/>
      <c r="MLU72" s="146"/>
      <c r="MLV72" s="146"/>
      <c r="MLW72" s="146"/>
      <c r="MLX72" s="146"/>
      <c r="MLY72" s="146"/>
      <c r="MLZ72" s="146"/>
      <c r="MMA72" s="146"/>
      <c r="MMB72" s="146"/>
      <c r="MMC72" s="146"/>
      <c r="MMD72" s="146"/>
      <c r="MME72" s="146"/>
      <c r="MMF72" s="146"/>
      <c r="MMG72" s="146"/>
      <c r="MMH72" s="146"/>
      <c r="MMI72" s="146"/>
      <c r="MMJ72" s="146"/>
      <c r="MMK72" s="146"/>
      <c r="MML72" s="146"/>
      <c r="MMM72" s="146"/>
      <c r="MMN72" s="146"/>
      <c r="MMO72" s="146"/>
      <c r="MMP72" s="146"/>
      <c r="MMQ72" s="146"/>
      <c r="MMR72" s="146"/>
      <c r="MMS72" s="146"/>
      <c r="MMT72" s="146"/>
      <c r="MMU72" s="146"/>
      <c r="MMV72" s="146"/>
      <c r="MMW72" s="146"/>
      <c r="MMX72" s="146"/>
      <c r="MMY72" s="146"/>
      <c r="MMZ72" s="146"/>
      <c r="MNA72" s="146"/>
      <c r="MNB72" s="146"/>
      <c r="MNC72" s="146"/>
      <c r="MND72" s="146"/>
      <c r="MNE72" s="146"/>
      <c r="MNF72" s="146"/>
      <c r="MNG72" s="146"/>
      <c r="MNH72" s="146"/>
      <c r="MNI72" s="146"/>
      <c r="MNJ72" s="146"/>
      <c r="MNK72" s="146"/>
      <c r="MNL72" s="146"/>
      <c r="MNM72" s="146"/>
      <c r="MNN72" s="146"/>
      <c r="MNO72" s="146"/>
      <c r="MNP72" s="146"/>
      <c r="MNQ72" s="146"/>
      <c r="MNR72" s="146"/>
      <c r="MNS72" s="146"/>
      <c r="MNT72" s="146"/>
      <c r="MNU72" s="146"/>
      <c r="MNV72" s="146"/>
      <c r="MNW72" s="146"/>
      <c r="MNX72" s="146"/>
      <c r="MNY72" s="146"/>
      <c r="MNZ72" s="146"/>
      <c r="MOA72" s="146"/>
      <c r="MOB72" s="146"/>
      <c r="MOC72" s="146"/>
      <c r="MOD72" s="146"/>
      <c r="MOE72" s="146"/>
      <c r="MOF72" s="146"/>
      <c r="MOG72" s="146"/>
      <c r="MOH72" s="146"/>
      <c r="MOI72" s="146"/>
      <c r="MOJ72" s="146"/>
      <c r="MOK72" s="146"/>
      <c r="MOL72" s="146"/>
      <c r="MOM72" s="146"/>
      <c r="MON72" s="146"/>
      <c r="MOO72" s="146"/>
      <c r="MOP72" s="146"/>
      <c r="MOQ72" s="146"/>
      <c r="MOR72" s="146"/>
      <c r="MOS72" s="146"/>
      <c r="MOT72" s="146"/>
      <c r="MOU72" s="146"/>
      <c r="MOV72" s="146"/>
      <c r="MOW72" s="146"/>
      <c r="MOX72" s="146"/>
      <c r="MOY72" s="146"/>
      <c r="MOZ72" s="146"/>
      <c r="MPA72" s="146"/>
      <c r="MPB72" s="146"/>
      <c r="MPC72" s="146"/>
      <c r="MPD72" s="146"/>
      <c r="MPE72" s="146"/>
      <c r="MPF72" s="146"/>
      <c r="MPG72" s="146"/>
      <c r="MPH72" s="146"/>
      <c r="MPI72" s="146"/>
      <c r="MPJ72" s="146"/>
      <c r="MPK72" s="146"/>
      <c r="MPL72" s="146"/>
      <c r="MPM72" s="146"/>
      <c r="MPN72" s="146"/>
      <c r="MPO72" s="146"/>
      <c r="MPP72" s="146"/>
      <c r="MPQ72" s="146"/>
      <c r="MPR72" s="146"/>
      <c r="MPS72" s="146"/>
      <c r="MPT72" s="146"/>
      <c r="MPU72" s="146"/>
      <c r="MPV72" s="146"/>
      <c r="MPW72" s="146"/>
      <c r="MPX72" s="146"/>
      <c r="MPY72" s="146"/>
      <c r="MPZ72" s="146"/>
      <c r="MQA72" s="146"/>
      <c r="MQB72" s="146"/>
      <c r="MQC72" s="146"/>
      <c r="MQD72" s="146"/>
      <c r="MQE72" s="146"/>
      <c r="MQF72" s="146"/>
      <c r="MQG72" s="146"/>
      <c r="MQH72" s="146"/>
      <c r="MQI72" s="146"/>
      <c r="MQJ72" s="146"/>
      <c r="MQK72" s="146"/>
      <c r="MQL72" s="146"/>
      <c r="MQM72" s="146"/>
      <c r="MQN72" s="146"/>
      <c r="MQO72" s="146"/>
      <c r="MQP72" s="146"/>
      <c r="MQQ72" s="146"/>
      <c r="MQR72" s="146"/>
      <c r="MQS72" s="146"/>
      <c r="MQT72" s="146"/>
      <c r="MQU72" s="146"/>
      <c r="MQV72" s="146"/>
      <c r="MQW72" s="146"/>
      <c r="MQX72" s="146"/>
      <c r="MQY72" s="146"/>
      <c r="MQZ72" s="146"/>
      <c r="MRA72" s="146"/>
      <c r="MRB72" s="146"/>
      <c r="MRC72" s="146"/>
      <c r="MRD72" s="146"/>
      <c r="MRE72" s="146"/>
      <c r="MRF72" s="146"/>
      <c r="MRG72" s="146"/>
      <c r="MRH72" s="146"/>
      <c r="MRI72" s="146"/>
      <c r="MRJ72" s="146"/>
      <c r="MRK72" s="146"/>
      <c r="MRL72" s="146"/>
      <c r="MRM72" s="146"/>
      <c r="MRN72" s="146"/>
      <c r="MRO72" s="146"/>
      <c r="MRP72" s="146"/>
      <c r="MRQ72" s="146"/>
      <c r="MRR72" s="146"/>
      <c r="MRS72" s="146"/>
      <c r="MRT72" s="146"/>
      <c r="MRU72" s="146"/>
      <c r="MRV72" s="146"/>
      <c r="MRW72" s="146"/>
      <c r="MRX72" s="146"/>
      <c r="MRY72" s="146"/>
      <c r="MRZ72" s="146"/>
      <c r="MSA72" s="146"/>
      <c r="MSB72" s="146"/>
      <c r="MSC72" s="146"/>
      <c r="MSD72" s="146"/>
      <c r="MSE72" s="146"/>
      <c r="MSF72" s="146"/>
      <c r="MSG72" s="146"/>
      <c r="MSH72" s="146"/>
      <c r="MSI72" s="146"/>
      <c r="MSJ72" s="146"/>
      <c r="MSK72" s="146"/>
      <c r="MSL72" s="146"/>
      <c r="MSM72" s="146"/>
      <c r="MSN72" s="146"/>
      <c r="MSO72" s="146"/>
      <c r="MSP72" s="146"/>
      <c r="MSQ72" s="146"/>
      <c r="MSR72" s="146"/>
      <c r="MSS72" s="146"/>
      <c r="MST72" s="146"/>
      <c r="MSU72" s="146"/>
      <c r="MSV72" s="146"/>
      <c r="MSW72" s="146"/>
      <c r="MSX72" s="146"/>
      <c r="MSY72" s="146"/>
      <c r="MSZ72" s="146"/>
      <c r="MTA72" s="146"/>
      <c r="MTB72" s="146"/>
      <c r="MTC72" s="146"/>
      <c r="MTD72" s="146"/>
      <c r="MTE72" s="146"/>
      <c r="MTF72" s="146"/>
      <c r="MTG72" s="146"/>
      <c r="MTH72" s="146"/>
      <c r="MTI72" s="146"/>
      <c r="MTJ72" s="146"/>
      <c r="MTK72" s="146"/>
      <c r="MTL72" s="146"/>
      <c r="MTM72" s="146"/>
      <c r="MTN72" s="146"/>
      <c r="MTO72" s="146"/>
      <c r="MTP72" s="146"/>
      <c r="MTQ72" s="146"/>
      <c r="MTR72" s="146"/>
      <c r="MTS72" s="146"/>
      <c r="MTT72" s="146"/>
      <c r="MTU72" s="146"/>
      <c r="MTV72" s="146"/>
      <c r="MTW72" s="146"/>
      <c r="MTX72" s="146"/>
      <c r="MTY72" s="146"/>
      <c r="MTZ72" s="146"/>
      <c r="MUA72" s="146"/>
      <c r="MUB72" s="146"/>
      <c r="MUC72" s="146"/>
      <c r="MUD72" s="146"/>
      <c r="MUE72" s="146"/>
      <c r="MUF72" s="146"/>
      <c r="MUG72" s="146"/>
      <c r="MUH72" s="146"/>
      <c r="MUI72" s="146"/>
      <c r="MUJ72" s="146"/>
      <c r="MUK72" s="146"/>
      <c r="MUL72" s="146"/>
      <c r="MUM72" s="146"/>
      <c r="MUN72" s="146"/>
      <c r="MUO72" s="146"/>
      <c r="MUP72" s="146"/>
      <c r="MUQ72" s="146"/>
      <c r="MUR72" s="146"/>
      <c r="MUS72" s="146"/>
      <c r="MUT72" s="146"/>
      <c r="MUU72" s="146"/>
      <c r="MUV72" s="146"/>
      <c r="MUW72" s="146"/>
      <c r="MUX72" s="146"/>
      <c r="MUY72" s="146"/>
      <c r="MUZ72" s="146"/>
      <c r="MVA72" s="146"/>
      <c r="MVB72" s="146"/>
      <c r="MVC72" s="146"/>
      <c r="MVD72" s="146"/>
      <c r="MVE72" s="146"/>
      <c r="MVF72" s="146"/>
      <c r="MVG72" s="146"/>
      <c r="MVH72" s="146"/>
      <c r="MVI72" s="146"/>
      <c r="MVJ72" s="146"/>
      <c r="MVK72" s="146"/>
      <c r="MVL72" s="146"/>
      <c r="MVM72" s="146"/>
      <c r="MVN72" s="146"/>
      <c r="MVO72" s="146"/>
      <c r="MVP72" s="146"/>
      <c r="MVQ72" s="146"/>
      <c r="MVR72" s="146"/>
      <c r="MVS72" s="146"/>
      <c r="MVT72" s="146"/>
      <c r="MVU72" s="146"/>
      <c r="MVV72" s="146"/>
      <c r="MVW72" s="146"/>
      <c r="MVX72" s="146"/>
      <c r="MVY72" s="146"/>
      <c r="MVZ72" s="146"/>
      <c r="MWA72" s="146"/>
      <c r="MWB72" s="146"/>
      <c r="MWC72" s="146"/>
      <c r="MWD72" s="146"/>
      <c r="MWE72" s="146"/>
      <c r="MWF72" s="146"/>
      <c r="MWG72" s="146"/>
      <c r="MWH72" s="146"/>
      <c r="MWI72" s="146"/>
      <c r="MWJ72" s="146"/>
      <c r="MWK72" s="146"/>
      <c r="MWL72" s="146"/>
      <c r="MWM72" s="146"/>
      <c r="MWN72" s="146"/>
      <c r="MWO72" s="146"/>
      <c r="MWP72" s="146"/>
      <c r="MWQ72" s="146"/>
      <c r="MWR72" s="146"/>
      <c r="MWS72" s="146"/>
      <c r="MWT72" s="146"/>
      <c r="MWU72" s="146"/>
      <c r="MWV72" s="146"/>
      <c r="MWW72" s="146"/>
      <c r="MWX72" s="146"/>
      <c r="MWY72" s="146"/>
      <c r="MWZ72" s="146"/>
      <c r="MXA72" s="146"/>
      <c r="MXB72" s="146"/>
      <c r="MXC72" s="146"/>
      <c r="MXD72" s="146"/>
      <c r="MXE72" s="146"/>
      <c r="MXF72" s="146"/>
      <c r="MXG72" s="146"/>
      <c r="MXH72" s="146"/>
      <c r="MXI72" s="146"/>
      <c r="MXJ72" s="146"/>
      <c r="MXK72" s="146"/>
      <c r="MXL72" s="146"/>
      <c r="MXM72" s="146"/>
      <c r="MXN72" s="146"/>
      <c r="MXO72" s="146"/>
      <c r="MXP72" s="146"/>
      <c r="MXQ72" s="146"/>
      <c r="MXR72" s="146"/>
      <c r="MXS72" s="146"/>
      <c r="MXT72" s="146"/>
      <c r="MXU72" s="146"/>
      <c r="MXV72" s="146"/>
      <c r="MXW72" s="146"/>
      <c r="MXX72" s="146"/>
      <c r="MXY72" s="146"/>
      <c r="MXZ72" s="146"/>
      <c r="MYA72" s="146"/>
      <c r="MYB72" s="146"/>
      <c r="MYC72" s="146"/>
      <c r="MYD72" s="146"/>
      <c r="MYE72" s="146"/>
      <c r="MYF72" s="146"/>
      <c r="MYG72" s="146"/>
      <c r="MYH72" s="146"/>
      <c r="MYI72" s="146"/>
      <c r="MYJ72" s="146"/>
      <c r="MYK72" s="146"/>
      <c r="MYL72" s="146"/>
      <c r="MYM72" s="146"/>
      <c r="MYN72" s="146"/>
      <c r="MYO72" s="146"/>
      <c r="MYP72" s="146"/>
      <c r="MYQ72" s="146"/>
      <c r="MYR72" s="146"/>
      <c r="MYS72" s="146"/>
      <c r="MYT72" s="146"/>
      <c r="MYU72" s="146"/>
      <c r="MYV72" s="146"/>
      <c r="MYW72" s="146"/>
      <c r="MYX72" s="146"/>
      <c r="MYY72" s="146"/>
      <c r="MYZ72" s="146"/>
      <c r="MZA72" s="146"/>
      <c r="MZB72" s="146"/>
      <c r="MZC72" s="146"/>
      <c r="MZD72" s="146"/>
      <c r="MZE72" s="146"/>
      <c r="MZF72" s="146"/>
      <c r="MZG72" s="146"/>
      <c r="MZH72" s="146"/>
      <c r="MZI72" s="146"/>
      <c r="MZJ72" s="146"/>
      <c r="MZK72" s="146"/>
      <c r="MZL72" s="146"/>
      <c r="MZM72" s="146"/>
      <c r="MZN72" s="146"/>
      <c r="MZO72" s="146"/>
      <c r="MZP72" s="146"/>
      <c r="MZQ72" s="146"/>
      <c r="MZR72" s="146"/>
      <c r="MZS72" s="146"/>
      <c r="MZT72" s="146"/>
      <c r="MZU72" s="146"/>
      <c r="MZV72" s="146"/>
      <c r="MZW72" s="146"/>
      <c r="MZX72" s="146"/>
      <c r="MZY72" s="146"/>
      <c r="MZZ72" s="146"/>
      <c r="NAA72" s="146"/>
      <c r="NAB72" s="146"/>
      <c r="NAC72" s="146"/>
      <c r="NAD72" s="146"/>
      <c r="NAE72" s="146"/>
      <c r="NAF72" s="146"/>
      <c r="NAG72" s="146"/>
      <c r="NAH72" s="146"/>
      <c r="NAI72" s="146"/>
      <c r="NAJ72" s="146"/>
      <c r="NAK72" s="146"/>
      <c r="NAL72" s="146"/>
      <c r="NAM72" s="146"/>
      <c r="NAN72" s="146"/>
      <c r="NAO72" s="146"/>
      <c r="NAP72" s="146"/>
      <c r="NAQ72" s="146"/>
      <c r="NAR72" s="146"/>
      <c r="NAS72" s="146"/>
      <c r="NAT72" s="146"/>
      <c r="NAU72" s="146"/>
      <c r="NAV72" s="146"/>
      <c r="NAW72" s="146"/>
      <c r="NAX72" s="146"/>
      <c r="NAY72" s="146"/>
      <c r="NAZ72" s="146"/>
      <c r="NBA72" s="146"/>
      <c r="NBB72" s="146"/>
      <c r="NBC72" s="146"/>
      <c r="NBD72" s="146"/>
      <c r="NBE72" s="146"/>
      <c r="NBF72" s="146"/>
      <c r="NBG72" s="146"/>
      <c r="NBH72" s="146"/>
      <c r="NBI72" s="146"/>
      <c r="NBJ72" s="146"/>
      <c r="NBK72" s="146"/>
      <c r="NBL72" s="146"/>
      <c r="NBM72" s="146"/>
      <c r="NBN72" s="146"/>
      <c r="NBO72" s="146"/>
      <c r="NBP72" s="146"/>
      <c r="NBQ72" s="146"/>
      <c r="NBR72" s="146"/>
      <c r="NBS72" s="146"/>
      <c r="NBT72" s="146"/>
      <c r="NBU72" s="146"/>
      <c r="NBV72" s="146"/>
      <c r="NBW72" s="146"/>
      <c r="NBX72" s="146"/>
      <c r="NBY72" s="146"/>
      <c r="NBZ72" s="146"/>
      <c r="NCA72" s="146"/>
      <c r="NCB72" s="146"/>
      <c r="NCC72" s="146"/>
      <c r="NCD72" s="146"/>
      <c r="NCE72" s="146"/>
      <c r="NCF72" s="146"/>
      <c r="NCG72" s="146"/>
      <c r="NCH72" s="146"/>
      <c r="NCI72" s="146"/>
      <c r="NCJ72" s="146"/>
      <c r="NCK72" s="146"/>
      <c r="NCL72" s="146"/>
      <c r="NCM72" s="146"/>
      <c r="NCN72" s="146"/>
      <c r="NCO72" s="146"/>
      <c r="NCP72" s="146"/>
      <c r="NCQ72" s="146"/>
      <c r="NCR72" s="146"/>
      <c r="NCS72" s="146"/>
      <c r="NCT72" s="146"/>
      <c r="NCU72" s="146"/>
      <c r="NCV72" s="146"/>
      <c r="NCW72" s="146"/>
      <c r="NCX72" s="146"/>
      <c r="NCY72" s="146"/>
      <c r="NCZ72" s="146"/>
      <c r="NDA72" s="146"/>
      <c r="NDB72" s="146"/>
      <c r="NDC72" s="146"/>
      <c r="NDD72" s="146"/>
      <c r="NDE72" s="146"/>
      <c r="NDF72" s="146"/>
      <c r="NDG72" s="146"/>
      <c r="NDH72" s="146"/>
      <c r="NDI72" s="146"/>
      <c r="NDJ72" s="146"/>
      <c r="NDK72" s="146"/>
      <c r="NDL72" s="146"/>
      <c r="NDM72" s="146"/>
      <c r="NDN72" s="146"/>
      <c r="NDO72" s="146"/>
      <c r="NDP72" s="146"/>
      <c r="NDQ72" s="146"/>
      <c r="NDR72" s="146"/>
      <c r="NDS72" s="146"/>
      <c r="NDT72" s="146"/>
      <c r="NDU72" s="146"/>
      <c r="NDV72" s="146"/>
      <c r="NDW72" s="146"/>
      <c r="NDX72" s="146"/>
      <c r="NDY72" s="146"/>
      <c r="NDZ72" s="146"/>
      <c r="NEA72" s="146"/>
      <c r="NEB72" s="146"/>
      <c r="NEC72" s="146"/>
      <c r="NED72" s="146"/>
      <c r="NEE72" s="146"/>
      <c r="NEF72" s="146"/>
      <c r="NEG72" s="146"/>
      <c r="NEH72" s="146"/>
      <c r="NEI72" s="146"/>
      <c r="NEJ72" s="146"/>
      <c r="NEK72" s="146"/>
      <c r="NEL72" s="146"/>
      <c r="NEM72" s="146"/>
      <c r="NEN72" s="146"/>
      <c r="NEO72" s="146"/>
      <c r="NEP72" s="146"/>
      <c r="NEQ72" s="146"/>
      <c r="NER72" s="146"/>
      <c r="NES72" s="146"/>
      <c r="NET72" s="146"/>
      <c r="NEU72" s="146"/>
      <c r="NEV72" s="146"/>
      <c r="NEW72" s="146"/>
      <c r="NEX72" s="146"/>
      <c r="NEY72" s="146"/>
      <c r="NEZ72" s="146"/>
      <c r="NFA72" s="146"/>
      <c r="NFB72" s="146"/>
      <c r="NFC72" s="146"/>
      <c r="NFD72" s="146"/>
      <c r="NFE72" s="146"/>
      <c r="NFF72" s="146"/>
      <c r="NFG72" s="146"/>
      <c r="NFH72" s="146"/>
      <c r="NFI72" s="146"/>
      <c r="NFJ72" s="146"/>
      <c r="NFK72" s="146"/>
      <c r="NFL72" s="146"/>
      <c r="NFM72" s="146"/>
      <c r="NFN72" s="146"/>
      <c r="NFO72" s="146"/>
      <c r="NFP72" s="146"/>
      <c r="NFQ72" s="146"/>
      <c r="NFR72" s="146"/>
      <c r="NFS72" s="146"/>
      <c r="NFT72" s="146"/>
      <c r="NFU72" s="146"/>
      <c r="NFV72" s="146"/>
      <c r="NFW72" s="146"/>
      <c r="NFX72" s="146"/>
      <c r="NFY72" s="146"/>
      <c r="NFZ72" s="146"/>
      <c r="NGA72" s="146"/>
      <c r="NGB72" s="146"/>
      <c r="NGC72" s="146"/>
      <c r="NGD72" s="146"/>
      <c r="NGE72" s="146"/>
      <c r="NGF72" s="146"/>
      <c r="NGG72" s="146"/>
      <c r="NGH72" s="146"/>
      <c r="NGI72" s="146"/>
      <c r="NGJ72" s="146"/>
      <c r="NGK72" s="146"/>
      <c r="NGL72" s="146"/>
      <c r="NGM72" s="146"/>
      <c r="NGN72" s="146"/>
      <c r="NGO72" s="146"/>
      <c r="NGP72" s="146"/>
      <c r="NGQ72" s="146"/>
      <c r="NGR72" s="146"/>
      <c r="NGS72" s="146"/>
      <c r="NGT72" s="146"/>
      <c r="NGU72" s="146"/>
      <c r="NGV72" s="146"/>
      <c r="NGW72" s="146"/>
      <c r="NGX72" s="146"/>
      <c r="NGY72" s="146"/>
      <c r="NGZ72" s="146"/>
      <c r="NHA72" s="146"/>
      <c r="NHB72" s="146"/>
      <c r="NHC72" s="146"/>
      <c r="NHD72" s="146"/>
      <c r="NHE72" s="146"/>
      <c r="NHF72" s="146"/>
      <c r="NHG72" s="146"/>
      <c r="NHH72" s="146"/>
      <c r="NHI72" s="146"/>
      <c r="NHJ72" s="146"/>
      <c r="NHK72" s="146"/>
      <c r="NHL72" s="146"/>
      <c r="NHM72" s="146"/>
      <c r="NHN72" s="146"/>
      <c r="NHO72" s="146"/>
      <c r="NHP72" s="146"/>
      <c r="NHQ72" s="146"/>
      <c r="NHR72" s="146"/>
      <c r="NHS72" s="146"/>
      <c r="NHT72" s="146"/>
      <c r="NHU72" s="146"/>
      <c r="NHV72" s="146"/>
      <c r="NHW72" s="146"/>
      <c r="NHX72" s="146"/>
      <c r="NHY72" s="146"/>
      <c r="NHZ72" s="146"/>
      <c r="NIA72" s="146"/>
      <c r="NIB72" s="146"/>
      <c r="NIC72" s="146"/>
      <c r="NID72" s="146"/>
      <c r="NIE72" s="146"/>
      <c r="NIF72" s="146"/>
      <c r="NIG72" s="146"/>
      <c r="NIH72" s="146"/>
      <c r="NII72" s="146"/>
      <c r="NIJ72" s="146"/>
      <c r="NIK72" s="146"/>
      <c r="NIL72" s="146"/>
      <c r="NIM72" s="146"/>
      <c r="NIN72" s="146"/>
      <c r="NIO72" s="146"/>
      <c r="NIP72" s="146"/>
      <c r="NIQ72" s="146"/>
      <c r="NIR72" s="146"/>
      <c r="NIS72" s="146"/>
      <c r="NIT72" s="146"/>
      <c r="NIU72" s="146"/>
      <c r="NIV72" s="146"/>
      <c r="NIW72" s="146"/>
      <c r="NIX72" s="146"/>
      <c r="NIY72" s="146"/>
      <c r="NIZ72" s="146"/>
      <c r="NJA72" s="146"/>
      <c r="NJB72" s="146"/>
      <c r="NJC72" s="146"/>
      <c r="NJD72" s="146"/>
      <c r="NJE72" s="146"/>
      <c r="NJF72" s="146"/>
      <c r="NJG72" s="146"/>
      <c r="NJH72" s="146"/>
      <c r="NJI72" s="146"/>
      <c r="NJJ72" s="146"/>
      <c r="NJK72" s="146"/>
      <c r="NJL72" s="146"/>
      <c r="NJM72" s="146"/>
      <c r="NJN72" s="146"/>
      <c r="NJO72" s="146"/>
      <c r="NJP72" s="146"/>
      <c r="NJQ72" s="146"/>
      <c r="NJR72" s="146"/>
      <c r="NJS72" s="146"/>
      <c r="NJT72" s="146"/>
      <c r="NJU72" s="146"/>
      <c r="NJV72" s="146"/>
      <c r="NJW72" s="146"/>
      <c r="NJX72" s="146"/>
      <c r="NJY72" s="146"/>
      <c r="NJZ72" s="146"/>
      <c r="NKA72" s="146"/>
      <c r="NKB72" s="146"/>
      <c r="NKC72" s="146"/>
      <c r="NKD72" s="146"/>
      <c r="NKE72" s="146"/>
      <c r="NKF72" s="146"/>
      <c r="NKG72" s="146"/>
      <c r="NKH72" s="146"/>
      <c r="NKI72" s="146"/>
      <c r="NKJ72" s="146"/>
      <c r="NKK72" s="146"/>
      <c r="NKL72" s="146"/>
      <c r="NKM72" s="146"/>
      <c r="NKN72" s="146"/>
      <c r="NKO72" s="146"/>
      <c r="NKP72" s="146"/>
      <c r="NKQ72" s="146"/>
      <c r="NKR72" s="146"/>
      <c r="NKS72" s="146"/>
      <c r="NKT72" s="146"/>
      <c r="NKU72" s="146"/>
      <c r="NKV72" s="146"/>
      <c r="NKW72" s="146"/>
      <c r="NKX72" s="146"/>
      <c r="NKY72" s="146"/>
      <c r="NKZ72" s="146"/>
      <c r="NLA72" s="146"/>
      <c r="NLB72" s="146"/>
      <c r="NLC72" s="146"/>
      <c r="NLD72" s="146"/>
      <c r="NLE72" s="146"/>
      <c r="NLF72" s="146"/>
      <c r="NLG72" s="146"/>
      <c r="NLH72" s="146"/>
      <c r="NLI72" s="146"/>
      <c r="NLJ72" s="146"/>
      <c r="NLK72" s="146"/>
      <c r="NLL72" s="146"/>
      <c r="NLM72" s="146"/>
      <c r="NLN72" s="146"/>
      <c r="NLO72" s="146"/>
      <c r="NLP72" s="146"/>
      <c r="NLQ72" s="146"/>
      <c r="NLR72" s="146"/>
      <c r="NLS72" s="146"/>
      <c r="NLT72" s="146"/>
      <c r="NLU72" s="146"/>
      <c r="NLV72" s="146"/>
      <c r="NLW72" s="146"/>
      <c r="NLX72" s="146"/>
      <c r="NLY72" s="146"/>
      <c r="NLZ72" s="146"/>
      <c r="NMA72" s="146"/>
      <c r="NMB72" s="146"/>
      <c r="NMC72" s="146"/>
      <c r="NMD72" s="146"/>
      <c r="NME72" s="146"/>
      <c r="NMF72" s="146"/>
      <c r="NMG72" s="146"/>
      <c r="NMH72" s="146"/>
      <c r="NMI72" s="146"/>
      <c r="NMJ72" s="146"/>
      <c r="NMK72" s="146"/>
      <c r="NML72" s="146"/>
      <c r="NMM72" s="146"/>
      <c r="NMN72" s="146"/>
      <c r="NMO72" s="146"/>
      <c r="NMP72" s="146"/>
      <c r="NMQ72" s="146"/>
      <c r="NMR72" s="146"/>
      <c r="NMS72" s="146"/>
      <c r="NMT72" s="146"/>
      <c r="NMU72" s="146"/>
      <c r="NMV72" s="146"/>
      <c r="NMW72" s="146"/>
      <c r="NMX72" s="146"/>
      <c r="NMY72" s="146"/>
      <c r="NMZ72" s="146"/>
      <c r="NNA72" s="146"/>
      <c r="NNB72" s="146"/>
      <c r="NNC72" s="146"/>
      <c r="NND72" s="146"/>
      <c r="NNE72" s="146"/>
      <c r="NNF72" s="146"/>
      <c r="NNG72" s="146"/>
      <c r="NNH72" s="146"/>
      <c r="NNI72" s="146"/>
      <c r="NNJ72" s="146"/>
      <c r="NNK72" s="146"/>
      <c r="NNL72" s="146"/>
      <c r="NNM72" s="146"/>
      <c r="NNN72" s="146"/>
      <c r="NNO72" s="146"/>
      <c r="NNP72" s="146"/>
      <c r="NNQ72" s="146"/>
      <c r="NNR72" s="146"/>
      <c r="NNS72" s="146"/>
      <c r="NNT72" s="146"/>
      <c r="NNU72" s="146"/>
      <c r="NNV72" s="146"/>
      <c r="NNW72" s="146"/>
      <c r="NNX72" s="146"/>
      <c r="NNY72" s="146"/>
      <c r="NNZ72" s="146"/>
      <c r="NOA72" s="146"/>
      <c r="NOB72" s="146"/>
      <c r="NOC72" s="146"/>
      <c r="NOD72" s="146"/>
      <c r="NOE72" s="146"/>
      <c r="NOF72" s="146"/>
      <c r="NOG72" s="146"/>
      <c r="NOH72" s="146"/>
      <c r="NOI72" s="146"/>
      <c r="NOJ72" s="146"/>
      <c r="NOK72" s="146"/>
      <c r="NOL72" s="146"/>
      <c r="NOM72" s="146"/>
      <c r="NON72" s="146"/>
      <c r="NOO72" s="146"/>
      <c r="NOP72" s="146"/>
      <c r="NOQ72" s="146"/>
      <c r="NOR72" s="146"/>
      <c r="NOS72" s="146"/>
      <c r="NOT72" s="146"/>
      <c r="NOU72" s="146"/>
      <c r="NOV72" s="146"/>
      <c r="NOW72" s="146"/>
      <c r="NOX72" s="146"/>
      <c r="NOY72" s="146"/>
      <c r="NOZ72" s="146"/>
      <c r="NPA72" s="146"/>
      <c r="NPB72" s="146"/>
      <c r="NPC72" s="146"/>
      <c r="NPD72" s="146"/>
      <c r="NPE72" s="146"/>
      <c r="NPF72" s="146"/>
      <c r="NPG72" s="146"/>
      <c r="NPH72" s="146"/>
      <c r="NPI72" s="146"/>
      <c r="NPJ72" s="146"/>
      <c r="NPK72" s="146"/>
      <c r="NPL72" s="146"/>
      <c r="NPM72" s="146"/>
      <c r="NPN72" s="146"/>
      <c r="NPO72" s="146"/>
      <c r="NPP72" s="146"/>
      <c r="NPQ72" s="146"/>
      <c r="NPR72" s="146"/>
      <c r="NPS72" s="146"/>
      <c r="NPT72" s="146"/>
      <c r="NPU72" s="146"/>
      <c r="NPV72" s="146"/>
      <c r="NPW72" s="146"/>
      <c r="NPX72" s="146"/>
      <c r="NPY72" s="146"/>
      <c r="NPZ72" s="146"/>
      <c r="NQA72" s="146"/>
      <c r="NQB72" s="146"/>
      <c r="NQC72" s="146"/>
      <c r="NQD72" s="146"/>
      <c r="NQE72" s="146"/>
      <c r="NQF72" s="146"/>
      <c r="NQG72" s="146"/>
      <c r="NQH72" s="146"/>
      <c r="NQI72" s="146"/>
      <c r="NQJ72" s="146"/>
      <c r="NQK72" s="146"/>
      <c r="NQL72" s="146"/>
      <c r="NQM72" s="146"/>
      <c r="NQN72" s="146"/>
      <c r="NQO72" s="146"/>
      <c r="NQP72" s="146"/>
      <c r="NQQ72" s="146"/>
      <c r="NQR72" s="146"/>
      <c r="NQS72" s="146"/>
      <c r="NQT72" s="146"/>
      <c r="NQU72" s="146"/>
      <c r="NQV72" s="146"/>
      <c r="NQW72" s="146"/>
      <c r="NQX72" s="146"/>
      <c r="NQY72" s="146"/>
      <c r="NQZ72" s="146"/>
      <c r="NRA72" s="146"/>
      <c r="NRB72" s="146"/>
      <c r="NRC72" s="146"/>
      <c r="NRD72" s="146"/>
      <c r="NRE72" s="146"/>
      <c r="NRF72" s="146"/>
      <c r="NRG72" s="146"/>
      <c r="NRH72" s="146"/>
      <c r="NRI72" s="146"/>
      <c r="NRJ72" s="146"/>
      <c r="NRK72" s="146"/>
      <c r="NRL72" s="146"/>
      <c r="NRM72" s="146"/>
      <c r="NRN72" s="146"/>
      <c r="NRO72" s="146"/>
      <c r="NRP72" s="146"/>
      <c r="NRQ72" s="146"/>
      <c r="NRR72" s="146"/>
      <c r="NRS72" s="146"/>
      <c r="NRT72" s="146"/>
      <c r="NRU72" s="146"/>
      <c r="NRV72" s="146"/>
      <c r="NRW72" s="146"/>
      <c r="NRX72" s="146"/>
      <c r="NRY72" s="146"/>
      <c r="NRZ72" s="146"/>
      <c r="NSA72" s="146"/>
      <c r="NSB72" s="146"/>
      <c r="NSC72" s="146"/>
      <c r="NSD72" s="146"/>
      <c r="NSE72" s="146"/>
      <c r="NSF72" s="146"/>
      <c r="NSG72" s="146"/>
      <c r="NSH72" s="146"/>
      <c r="NSI72" s="146"/>
      <c r="NSJ72" s="146"/>
      <c r="NSK72" s="146"/>
      <c r="NSL72" s="146"/>
      <c r="NSM72" s="146"/>
      <c r="NSN72" s="146"/>
      <c r="NSO72" s="146"/>
      <c r="NSP72" s="146"/>
      <c r="NSQ72" s="146"/>
      <c r="NSR72" s="146"/>
      <c r="NSS72" s="146"/>
      <c r="NST72" s="146"/>
      <c r="NSU72" s="146"/>
      <c r="NSV72" s="146"/>
      <c r="NSW72" s="146"/>
      <c r="NSX72" s="146"/>
      <c r="NSY72" s="146"/>
      <c r="NSZ72" s="146"/>
      <c r="NTA72" s="146"/>
      <c r="NTB72" s="146"/>
      <c r="NTC72" s="146"/>
      <c r="NTD72" s="146"/>
      <c r="NTE72" s="146"/>
      <c r="NTF72" s="146"/>
      <c r="NTG72" s="146"/>
      <c r="NTH72" s="146"/>
      <c r="NTI72" s="146"/>
      <c r="NTJ72" s="146"/>
      <c r="NTK72" s="146"/>
      <c r="NTL72" s="146"/>
      <c r="NTM72" s="146"/>
      <c r="NTN72" s="146"/>
      <c r="NTO72" s="146"/>
      <c r="NTP72" s="146"/>
      <c r="NTQ72" s="146"/>
      <c r="NTR72" s="146"/>
      <c r="NTS72" s="146"/>
      <c r="NTT72" s="146"/>
      <c r="NTU72" s="146"/>
      <c r="NTV72" s="146"/>
      <c r="NTW72" s="146"/>
      <c r="NTX72" s="146"/>
      <c r="NTY72" s="146"/>
      <c r="NTZ72" s="146"/>
      <c r="NUA72" s="146"/>
      <c r="NUB72" s="146"/>
      <c r="NUC72" s="146"/>
      <c r="NUD72" s="146"/>
      <c r="NUE72" s="146"/>
      <c r="NUF72" s="146"/>
      <c r="NUG72" s="146"/>
      <c r="NUH72" s="146"/>
      <c r="NUI72" s="146"/>
      <c r="NUJ72" s="146"/>
      <c r="NUK72" s="146"/>
      <c r="NUL72" s="146"/>
      <c r="NUM72" s="146"/>
      <c r="NUN72" s="146"/>
      <c r="NUO72" s="146"/>
      <c r="NUP72" s="146"/>
      <c r="NUQ72" s="146"/>
      <c r="NUR72" s="146"/>
      <c r="NUS72" s="146"/>
      <c r="NUT72" s="146"/>
      <c r="NUU72" s="146"/>
      <c r="NUV72" s="146"/>
      <c r="NUW72" s="146"/>
      <c r="NUX72" s="146"/>
      <c r="NUY72" s="146"/>
      <c r="NUZ72" s="146"/>
      <c r="NVA72" s="146"/>
      <c r="NVB72" s="146"/>
      <c r="NVC72" s="146"/>
      <c r="NVD72" s="146"/>
      <c r="NVE72" s="146"/>
      <c r="NVF72" s="146"/>
      <c r="NVG72" s="146"/>
      <c r="NVH72" s="146"/>
      <c r="NVI72" s="146"/>
      <c r="NVJ72" s="146"/>
      <c r="NVK72" s="146"/>
      <c r="NVL72" s="146"/>
      <c r="NVM72" s="146"/>
      <c r="NVN72" s="146"/>
      <c r="NVO72" s="146"/>
      <c r="NVP72" s="146"/>
      <c r="NVQ72" s="146"/>
      <c r="NVR72" s="146"/>
      <c r="NVS72" s="146"/>
      <c r="NVT72" s="146"/>
      <c r="NVU72" s="146"/>
      <c r="NVV72" s="146"/>
      <c r="NVW72" s="146"/>
      <c r="NVX72" s="146"/>
      <c r="NVY72" s="146"/>
      <c r="NVZ72" s="146"/>
      <c r="NWA72" s="146"/>
      <c r="NWB72" s="146"/>
      <c r="NWC72" s="146"/>
      <c r="NWD72" s="146"/>
      <c r="NWE72" s="146"/>
      <c r="NWF72" s="146"/>
      <c r="NWG72" s="146"/>
      <c r="NWH72" s="146"/>
      <c r="NWI72" s="146"/>
      <c r="NWJ72" s="146"/>
      <c r="NWK72" s="146"/>
      <c r="NWL72" s="146"/>
      <c r="NWM72" s="146"/>
      <c r="NWN72" s="146"/>
      <c r="NWO72" s="146"/>
      <c r="NWP72" s="146"/>
      <c r="NWQ72" s="146"/>
      <c r="NWR72" s="146"/>
      <c r="NWS72" s="146"/>
      <c r="NWT72" s="146"/>
      <c r="NWU72" s="146"/>
      <c r="NWV72" s="146"/>
      <c r="NWW72" s="146"/>
      <c r="NWX72" s="146"/>
      <c r="NWY72" s="146"/>
      <c r="NWZ72" s="146"/>
      <c r="NXA72" s="146"/>
      <c r="NXB72" s="146"/>
      <c r="NXC72" s="146"/>
      <c r="NXD72" s="146"/>
      <c r="NXE72" s="146"/>
      <c r="NXF72" s="146"/>
      <c r="NXG72" s="146"/>
      <c r="NXH72" s="146"/>
      <c r="NXI72" s="146"/>
      <c r="NXJ72" s="146"/>
      <c r="NXK72" s="146"/>
      <c r="NXL72" s="146"/>
      <c r="NXM72" s="146"/>
      <c r="NXN72" s="146"/>
      <c r="NXO72" s="146"/>
      <c r="NXP72" s="146"/>
      <c r="NXQ72" s="146"/>
      <c r="NXR72" s="146"/>
      <c r="NXS72" s="146"/>
      <c r="NXT72" s="146"/>
      <c r="NXU72" s="146"/>
      <c r="NXV72" s="146"/>
      <c r="NXW72" s="146"/>
      <c r="NXX72" s="146"/>
      <c r="NXY72" s="146"/>
      <c r="NXZ72" s="146"/>
      <c r="NYA72" s="146"/>
      <c r="NYB72" s="146"/>
      <c r="NYC72" s="146"/>
      <c r="NYD72" s="146"/>
      <c r="NYE72" s="146"/>
      <c r="NYF72" s="146"/>
      <c r="NYG72" s="146"/>
      <c r="NYH72" s="146"/>
      <c r="NYI72" s="146"/>
      <c r="NYJ72" s="146"/>
      <c r="NYK72" s="146"/>
      <c r="NYL72" s="146"/>
      <c r="NYM72" s="146"/>
      <c r="NYN72" s="146"/>
      <c r="NYO72" s="146"/>
      <c r="NYP72" s="146"/>
      <c r="NYQ72" s="146"/>
      <c r="NYR72" s="146"/>
      <c r="NYS72" s="146"/>
      <c r="NYT72" s="146"/>
      <c r="NYU72" s="146"/>
      <c r="NYV72" s="146"/>
      <c r="NYW72" s="146"/>
      <c r="NYX72" s="146"/>
      <c r="NYY72" s="146"/>
      <c r="NYZ72" s="146"/>
      <c r="NZA72" s="146"/>
      <c r="NZB72" s="146"/>
      <c r="NZC72" s="146"/>
      <c r="NZD72" s="146"/>
      <c r="NZE72" s="146"/>
      <c r="NZF72" s="146"/>
      <c r="NZG72" s="146"/>
      <c r="NZH72" s="146"/>
      <c r="NZI72" s="146"/>
      <c r="NZJ72" s="146"/>
      <c r="NZK72" s="146"/>
      <c r="NZL72" s="146"/>
      <c r="NZM72" s="146"/>
      <c r="NZN72" s="146"/>
      <c r="NZO72" s="146"/>
      <c r="NZP72" s="146"/>
      <c r="NZQ72" s="146"/>
      <c r="NZR72" s="146"/>
      <c r="NZS72" s="146"/>
      <c r="NZT72" s="146"/>
      <c r="NZU72" s="146"/>
      <c r="NZV72" s="146"/>
      <c r="NZW72" s="146"/>
      <c r="NZX72" s="146"/>
      <c r="NZY72" s="146"/>
      <c r="NZZ72" s="146"/>
      <c r="OAA72" s="146"/>
      <c r="OAB72" s="146"/>
      <c r="OAC72" s="146"/>
      <c r="OAD72" s="146"/>
      <c r="OAE72" s="146"/>
      <c r="OAF72" s="146"/>
      <c r="OAG72" s="146"/>
      <c r="OAH72" s="146"/>
      <c r="OAI72" s="146"/>
      <c r="OAJ72" s="146"/>
      <c r="OAK72" s="146"/>
      <c r="OAL72" s="146"/>
      <c r="OAM72" s="146"/>
      <c r="OAN72" s="146"/>
      <c r="OAO72" s="146"/>
      <c r="OAP72" s="146"/>
      <c r="OAQ72" s="146"/>
      <c r="OAR72" s="146"/>
      <c r="OAS72" s="146"/>
      <c r="OAT72" s="146"/>
      <c r="OAU72" s="146"/>
      <c r="OAV72" s="146"/>
      <c r="OAW72" s="146"/>
      <c r="OAX72" s="146"/>
      <c r="OAY72" s="146"/>
      <c r="OAZ72" s="146"/>
      <c r="OBA72" s="146"/>
      <c r="OBB72" s="146"/>
      <c r="OBC72" s="146"/>
      <c r="OBD72" s="146"/>
      <c r="OBE72" s="146"/>
      <c r="OBF72" s="146"/>
      <c r="OBG72" s="146"/>
      <c r="OBH72" s="146"/>
      <c r="OBI72" s="146"/>
      <c r="OBJ72" s="146"/>
      <c r="OBK72" s="146"/>
      <c r="OBL72" s="146"/>
      <c r="OBM72" s="146"/>
      <c r="OBN72" s="146"/>
      <c r="OBO72" s="146"/>
      <c r="OBP72" s="146"/>
      <c r="OBQ72" s="146"/>
      <c r="OBR72" s="146"/>
      <c r="OBS72" s="146"/>
      <c r="OBT72" s="146"/>
      <c r="OBU72" s="146"/>
      <c r="OBV72" s="146"/>
      <c r="OBW72" s="146"/>
      <c r="OBX72" s="146"/>
      <c r="OBY72" s="146"/>
      <c r="OBZ72" s="146"/>
      <c r="OCA72" s="146"/>
      <c r="OCB72" s="146"/>
      <c r="OCC72" s="146"/>
      <c r="OCD72" s="146"/>
      <c r="OCE72" s="146"/>
      <c r="OCF72" s="146"/>
      <c r="OCG72" s="146"/>
      <c r="OCH72" s="146"/>
      <c r="OCI72" s="146"/>
      <c r="OCJ72" s="146"/>
      <c r="OCK72" s="146"/>
      <c r="OCL72" s="146"/>
      <c r="OCM72" s="146"/>
      <c r="OCN72" s="146"/>
      <c r="OCO72" s="146"/>
      <c r="OCP72" s="146"/>
      <c r="OCQ72" s="146"/>
      <c r="OCR72" s="146"/>
      <c r="OCS72" s="146"/>
      <c r="OCT72" s="146"/>
      <c r="OCU72" s="146"/>
      <c r="OCV72" s="146"/>
      <c r="OCW72" s="146"/>
      <c r="OCX72" s="146"/>
      <c r="OCY72" s="146"/>
      <c r="OCZ72" s="146"/>
      <c r="ODA72" s="146"/>
      <c r="ODB72" s="146"/>
      <c r="ODC72" s="146"/>
      <c r="ODD72" s="146"/>
      <c r="ODE72" s="146"/>
      <c r="ODF72" s="146"/>
      <c r="ODG72" s="146"/>
      <c r="ODH72" s="146"/>
      <c r="ODI72" s="146"/>
      <c r="ODJ72" s="146"/>
      <c r="ODK72" s="146"/>
      <c r="ODL72" s="146"/>
      <c r="ODM72" s="146"/>
      <c r="ODN72" s="146"/>
      <c r="ODO72" s="146"/>
      <c r="ODP72" s="146"/>
      <c r="ODQ72" s="146"/>
      <c r="ODR72" s="146"/>
      <c r="ODS72" s="146"/>
      <c r="ODT72" s="146"/>
      <c r="ODU72" s="146"/>
      <c r="ODV72" s="146"/>
      <c r="ODW72" s="146"/>
      <c r="ODX72" s="146"/>
      <c r="ODY72" s="146"/>
      <c r="ODZ72" s="146"/>
      <c r="OEA72" s="146"/>
      <c r="OEB72" s="146"/>
      <c r="OEC72" s="146"/>
      <c r="OED72" s="146"/>
      <c r="OEE72" s="146"/>
      <c r="OEF72" s="146"/>
      <c r="OEG72" s="146"/>
      <c r="OEH72" s="146"/>
      <c r="OEI72" s="146"/>
      <c r="OEJ72" s="146"/>
      <c r="OEK72" s="146"/>
      <c r="OEL72" s="146"/>
      <c r="OEM72" s="146"/>
      <c r="OEN72" s="146"/>
      <c r="OEO72" s="146"/>
      <c r="OEP72" s="146"/>
      <c r="OEQ72" s="146"/>
      <c r="OER72" s="146"/>
      <c r="OES72" s="146"/>
      <c r="OET72" s="146"/>
      <c r="OEU72" s="146"/>
      <c r="OEV72" s="146"/>
      <c r="OEW72" s="146"/>
      <c r="OEX72" s="146"/>
      <c r="OEY72" s="146"/>
      <c r="OEZ72" s="146"/>
      <c r="OFA72" s="146"/>
      <c r="OFB72" s="146"/>
      <c r="OFC72" s="146"/>
      <c r="OFD72" s="146"/>
      <c r="OFE72" s="146"/>
      <c r="OFF72" s="146"/>
      <c r="OFG72" s="146"/>
      <c r="OFH72" s="146"/>
      <c r="OFI72" s="146"/>
      <c r="OFJ72" s="146"/>
      <c r="OFK72" s="146"/>
      <c r="OFL72" s="146"/>
      <c r="OFM72" s="146"/>
      <c r="OFN72" s="146"/>
      <c r="OFO72" s="146"/>
      <c r="OFP72" s="146"/>
      <c r="OFQ72" s="146"/>
      <c r="OFR72" s="146"/>
      <c r="OFS72" s="146"/>
      <c r="OFT72" s="146"/>
      <c r="OFU72" s="146"/>
      <c r="OFV72" s="146"/>
      <c r="OFW72" s="146"/>
      <c r="OFX72" s="146"/>
      <c r="OFY72" s="146"/>
      <c r="OFZ72" s="146"/>
      <c r="OGA72" s="146"/>
      <c r="OGB72" s="146"/>
      <c r="OGC72" s="146"/>
      <c r="OGD72" s="146"/>
      <c r="OGE72" s="146"/>
      <c r="OGF72" s="146"/>
      <c r="OGG72" s="146"/>
      <c r="OGH72" s="146"/>
      <c r="OGI72" s="146"/>
      <c r="OGJ72" s="146"/>
      <c r="OGK72" s="146"/>
      <c r="OGL72" s="146"/>
      <c r="OGM72" s="146"/>
      <c r="OGN72" s="146"/>
      <c r="OGO72" s="146"/>
      <c r="OGP72" s="146"/>
      <c r="OGQ72" s="146"/>
      <c r="OGR72" s="146"/>
      <c r="OGS72" s="146"/>
      <c r="OGT72" s="146"/>
      <c r="OGU72" s="146"/>
      <c r="OGV72" s="146"/>
      <c r="OGW72" s="146"/>
      <c r="OGX72" s="146"/>
      <c r="OGY72" s="146"/>
      <c r="OGZ72" s="146"/>
      <c r="OHA72" s="146"/>
      <c r="OHB72" s="146"/>
      <c r="OHC72" s="146"/>
      <c r="OHD72" s="146"/>
      <c r="OHE72" s="146"/>
      <c r="OHF72" s="146"/>
      <c r="OHG72" s="146"/>
      <c r="OHH72" s="146"/>
      <c r="OHI72" s="146"/>
      <c r="OHJ72" s="146"/>
      <c r="OHK72" s="146"/>
      <c r="OHL72" s="146"/>
      <c r="OHM72" s="146"/>
      <c r="OHN72" s="146"/>
      <c r="OHO72" s="146"/>
      <c r="OHP72" s="146"/>
      <c r="OHQ72" s="146"/>
      <c r="OHR72" s="146"/>
      <c r="OHS72" s="146"/>
      <c r="OHT72" s="146"/>
      <c r="OHU72" s="146"/>
      <c r="OHV72" s="146"/>
      <c r="OHW72" s="146"/>
      <c r="OHX72" s="146"/>
      <c r="OHY72" s="146"/>
      <c r="OHZ72" s="146"/>
      <c r="OIA72" s="146"/>
      <c r="OIB72" s="146"/>
      <c r="OIC72" s="146"/>
      <c r="OID72" s="146"/>
      <c r="OIE72" s="146"/>
      <c r="OIF72" s="146"/>
      <c r="OIG72" s="146"/>
      <c r="OIH72" s="146"/>
      <c r="OII72" s="146"/>
      <c r="OIJ72" s="146"/>
      <c r="OIK72" s="146"/>
      <c r="OIL72" s="146"/>
      <c r="OIM72" s="146"/>
      <c r="OIN72" s="146"/>
      <c r="OIO72" s="146"/>
      <c r="OIP72" s="146"/>
      <c r="OIQ72" s="146"/>
      <c r="OIR72" s="146"/>
      <c r="OIS72" s="146"/>
      <c r="OIT72" s="146"/>
      <c r="OIU72" s="146"/>
      <c r="OIV72" s="146"/>
      <c r="OIW72" s="146"/>
      <c r="OIX72" s="146"/>
      <c r="OIY72" s="146"/>
      <c r="OIZ72" s="146"/>
      <c r="OJA72" s="146"/>
      <c r="OJB72" s="146"/>
      <c r="OJC72" s="146"/>
      <c r="OJD72" s="146"/>
      <c r="OJE72" s="146"/>
      <c r="OJF72" s="146"/>
      <c r="OJG72" s="146"/>
      <c r="OJH72" s="146"/>
      <c r="OJI72" s="146"/>
      <c r="OJJ72" s="146"/>
      <c r="OJK72" s="146"/>
      <c r="OJL72" s="146"/>
      <c r="OJM72" s="146"/>
      <c r="OJN72" s="146"/>
      <c r="OJO72" s="146"/>
      <c r="OJP72" s="146"/>
      <c r="OJQ72" s="146"/>
      <c r="OJR72" s="146"/>
      <c r="OJS72" s="146"/>
      <c r="OJT72" s="146"/>
      <c r="OJU72" s="146"/>
      <c r="OJV72" s="146"/>
      <c r="OJW72" s="146"/>
      <c r="OJX72" s="146"/>
      <c r="OJY72" s="146"/>
      <c r="OJZ72" s="146"/>
      <c r="OKA72" s="146"/>
      <c r="OKB72" s="146"/>
      <c r="OKC72" s="146"/>
      <c r="OKD72" s="146"/>
      <c r="OKE72" s="146"/>
      <c r="OKF72" s="146"/>
      <c r="OKG72" s="146"/>
      <c r="OKH72" s="146"/>
      <c r="OKI72" s="146"/>
      <c r="OKJ72" s="146"/>
      <c r="OKK72" s="146"/>
      <c r="OKL72" s="146"/>
      <c r="OKM72" s="146"/>
      <c r="OKN72" s="146"/>
      <c r="OKO72" s="146"/>
      <c r="OKP72" s="146"/>
      <c r="OKQ72" s="146"/>
      <c r="OKR72" s="146"/>
      <c r="OKS72" s="146"/>
      <c r="OKT72" s="146"/>
      <c r="OKU72" s="146"/>
      <c r="OKV72" s="146"/>
      <c r="OKW72" s="146"/>
      <c r="OKX72" s="146"/>
      <c r="OKY72" s="146"/>
      <c r="OKZ72" s="146"/>
      <c r="OLA72" s="146"/>
      <c r="OLB72" s="146"/>
      <c r="OLC72" s="146"/>
      <c r="OLD72" s="146"/>
      <c r="OLE72" s="146"/>
      <c r="OLF72" s="146"/>
      <c r="OLG72" s="146"/>
      <c r="OLH72" s="146"/>
      <c r="OLI72" s="146"/>
      <c r="OLJ72" s="146"/>
      <c r="OLK72" s="146"/>
      <c r="OLL72" s="146"/>
      <c r="OLM72" s="146"/>
      <c r="OLN72" s="146"/>
      <c r="OLO72" s="146"/>
      <c r="OLP72" s="146"/>
      <c r="OLQ72" s="146"/>
      <c r="OLR72" s="146"/>
      <c r="OLS72" s="146"/>
      <c r="OLT72" s="146"/>
      <c r="OLU72" s="146"/>
      <c r="OLV72" s="146"/>
      <c r="OLW72" s="146"/>
      <c r="OLX72" s="146"/>
      <c r="OLY72" s="146"/>
      <c r="OLZ72" s="146"/>
      <c r="OMA72" s="146"/>
      <c r="OMB72" s="146"/>
      <c r="OMC72" s="146"/>
      <c r="OMD72" s="146"/>
      <c r="OME72" s="146"/>
      <c r="OMF72" s="146"/>
      <c r="OMG72" s="146"/>
      <c r="OMH72" s="146"/>
      <c r="OMI72" s="146"/>
      <c r="OMJ72" s="146"/>
      <c r="OMK72" s="146"/>
      <c r="OML72" s="146"/>
      <c r="OMM72" s="146"/>
      <c r="OMN72" s="146"/>
      <c r="OMO72" s="146"/>
      <c r="OMP72" s="146"/>
      <c r="OMQ72" s="146"/>
      <c r="OMR72" s="146"/>
      <c r="OMS72" s="146"/>
      <c r="OMT72" s="146"/>
      <c r="OMU72" s="146"/>
      <c r="OMV72" s="146"/>
      <c r="OMW72" s="146"/>
      <c r="OMX72" s="146"/>
      <c r="OMY72" s="146"/>
      <c r="OMZ72" s="146"/>
      <c r="ONA72" s="146"/>
      <c r="ONB72" s="146"/>
      <c r="ONC72" s="146"/>
      <c r="OND72" s="146"/>
      <c r="ONE72" s="146"/>
      <c r="ONF72" s="146"/>
      <c r="ONG72" s="146"/>
      <c r="ONH72" s="146"/>
      <c r="ONI72" s="146"/>
      <c r="ONJ72" s="146"/>
      <c r="ONK72" s="146"/>
      <c r="ONL72" s="146"/>
      <c r="ONM72" s="146"/>
      <c r="ONN72" s="146"/>
      <c r="ONO72" s="146"/>
      <c r="ONP72" s="146"/>
      <c r="ONQ72" s="146"/>
      <c r="ONR72" s="146"/>
      <c r="ONS72" s="146"/>
      <c r="ONT72" s="146"/>
      <c r="ONU72" s="146"/>
      <c r="ONV72" s="146"/>
      <c r="ONW72" s="146"/>
      <c r="ONX72" s="146"/>
      <c r="ONY72" s="146"/>
      <c r="ONZ72" s="146"/>
      <c r="OOA72" s="146"/>
      <c r="OOB72" s="146"/>
      <c r="OOC72" s="146"/>
      <c r="OOD72" s="146"/>
      <c r="OOE72" s="146"/>
      <c r="OOF72" s="146"/>
      <c r="OOG72" s="146"/>
      <c r="OOH72" s="146"/>
      <c r="OOI72" s="146"/>
      <c r="OOJ72" s="146"/>
      <c r="OOK72" s="146"/>
      <c r="OOL72" s="146"/>
      <c r="OOM72" s="146"/>
      <c r="OON72" s="146"/>
      <c r="OOO72" s="146"/>
      <c r="OOP72" s="146"/>
      <c r="OOQ72" s="146"/>
      <c r="OOR72" s="146"/>
      <c r="OOS72" s="146"/>
      <c r="OOT72" s="146"/>
      <c r="OOU72" s="146"/>
      <c r="OOV72" s="146"/>
      <c r="OOW72" s="146"/>
      <c r="OOX72" s="146"/>
      <c r="OOY72" s="146"/>
      <c r="OOZ72" s="146"/>
      <c r="OPA72" s="146"/>
      <c r="OPB72" s="146"/>
      <c r="OPC72" s="146"/>
      <c r="OPD72" s="146"/>
      <c r="OPE72" s="146"/>
      <c r="OPF72" s="146"/>
      <c r="OPG72" s="146"/>
      <c r="OPH72" s="146"/>
      <c r="OPI72" s="146"/>
      <c r="OPJ72" s="146"/>
      <c r="OPK72" s="146"/>
      <c r="OPL72" s="146"/>
      <c r="OPM72" s="146"/>
      <c r="OPN72" s="146"/>
      <c r="OPO72" s="146"/>
      <c r="OPP72" s="146"/>
      <c r="OPQ72" s="146"/>
      <c r="OPR72" s="146"/>
      <c r="OPS72" s="146"/>
      <c r="OPT72" s="146"/>
      <c r="OPU72" s="146"/>
      <c r="OPV72" s="146"/>
      <c r="OPW72" s="146"/>
      <c r="OPX72" s="146"/>
      <c r="OPY72" s="146"/>
      <c r="OPZ72" s="146"/>
      <c r="OQA72" s="146"/>
      <c r="OQB72" s="146"/>
      <c r="OQC72" s="146"/>
      <c r="OQD72" s="146"/>
      <c r="OQE72" s="146"/>
      <c r="OQF72" s="146"/>
      <c r="OQG72" s="146"/>
      <c r="OQH72" s="146"/>
      <c r="OQI72" s="146"/>
      <c r="OQJ72" s="146"/>
      <c r="OQK72" s="146"/>
      <c r="OQL72" s="146"/>
      <c r="OQM72" s="146"/>
      <c r="OQN72" s="146"/>
      <c r="OQO72" s="146"/>
      <c r="OQP72" s="146"/>
      <c r="OQQ72" s="146"/>
      <c r="OQR72" s="146"/>
      <c r="OQS72" s="146"/>
      <c r="OQT72" s="146"/>
      <c r="OQU72" s="146"/>
      <c r="OQV72" s="146"/>
      <c r="OQW72" s="146"/>
      <c r="OQX72" s="146"/>
      <c r="OQY72" s="146"/>
      <c r="OQZ72" s="146"/>
      <c r="ORA72" s="146"/>
      <c r="ORB72" s="146"/>
      <c r="ORC72" s="146"/>
      <c r="ORD72" s="146"/>
      <c r="ORE72" s="146"/>
      <c r="ORF72" s="146"/>
      <c r="ORG72" s="146"/>
      <c r="ORH72" s="146"/>
      <c r="ORI72" s="146"/>
      <c r="ORJ72" s="146"/>
      <c r="ORK72" s="146"/>
      <c r="ORL72" s="146"/>
      <c r="ORM72" s="146"/>
      <c r="ORN72" s="146"/>
      <c r="ORO72" s="146"/>
      <c r="ORP72" s="146"/>
      <c r="ORQ72" s="146"/>
      <c r="ORR72" s="146"/>
      <c r="ORS72" s="146"/>
      <c r="ORT72" s="146"/>
      <c r="ORU72" s="146"/>
      <c r="ORV72" s="146"/>
      <c r="ORW72" s="146"/>
      <c r="ORX72" s="146"/>
      <c r="ORY72" s="146"/>
      <c r="ORZ72" s="146"/>
      <c r="OSA72" s="146"/>
      <c r="OSB72" s="146"/>
      <c r="OSC72" s="146"/>
      <c r="OSD72" s="146"/>
      <c r="OSE72" s="146"/>
      <c r="OSF72" s="146"/>
      <c r="OSG72" s="146"/>
      <c r="OSH72" s="146"/>
      <c r="OSI72" s="146"/>
      <c r="OSJ72" s="146"/>
      <c r="OSK72" s="146"/>
      <c r="OSL72" s="146"/>
      <c r="OSM72" s="146"/>
      <c r="OSN72" s="146"/>
      <c r="OSO72" s="146"/>
      <c r="OSP72" s="146"/>
      <c r="OSQ72" s="146"/>
      <c r="OSR72" s="146"/>
      <c r="OSS72" s="146"/>
      <c r="OST72" s="146"/>
      <c r="OSU72" s="146"/>
      <c r="OSV72" s="146"/>
      <c r="OSW72" s="146"/>
      <c r="OSX72" s="146"/>
      <c r="OSY72" s="146"/>
      <c r="OSZ72" s="146"/>
      <c r="OTA72" s="146"/>
      <c r="OTB72" s="146"/>
      <c r="OTC72" s="146"/>
      <c r="OTD72" s="146"/>
      <c r="OTE72" s="146"/>
      <c r="OTF72" s="146"/>
      <c r="OTG72" s="146"/>
      <c r="OTH72" s="146"/>
      <c r="OTI72" s="146"/>
      <c r="OTJ72" s="146"/>
      <c r="OTK72" s="146"/>
      <c r="OTL72" s="146"/>
      <c r="OTM72" s="146"/>
      <c r="OTN72" s="146"/>
      <c r="OTO72" s="146"/>
      <c r="OTP72" s="146"/>
      <c r="OTQ72" s="146"/>
      <c r="OTR72" s="146"/>
      <c r="OTS72" s="146"/>
      <c r="OTT72" s="146"/>
      <c r="OTU72" s="146"/>
      <c r="OTV72" s="146"/>
      <c r="OTW72" s="146"/>
      <c r="OTX72" s="146"/>
      <c r="OTY72" s="146"/>
      <c r="OTZ72" s="146"/>
      <c r="OUA72" s="146"/>
      <c r="OUB72" s="146"/>
      <c r="OUC72" s="146"/>
      <c r="OUD72" s="146"/>
      <c r="OUE72" s="146"/>
      <c r="OUF72" s="146"/>
      <c r="OUG72" s="146"/>
      <c r="OUH72" s="146"/>
      <c r="OUI72" s="146"/>
      <c r="OUJ72" s="146"/>
      <c r="OUK72" s="146"/>
      <c r="OUL72" s="146"/>
      <c r="OUM72" s="146"/>
      <c r="OUN72" s="146"/>
      <c r="OUO72" s="146"/>
      <c r="OUP72" s="146"/>
      <c r="OUQ72" s="146"/>
      <c r="OUR72" s="146"/>
      <c r="OUS72" s="146"/>
      <c r="OUT72" s="146"/>
      <c r="OUU72" s="146"/>
      <c r="OUV72" s="146"/>
      <c r="OUW72" s="146"/>
      <c r="OUX72" s="146"/>
      <c r="OUY72" s="146"/>
      <c r="OUZ72" s="146"/>
      <c r="OVA72" s="146"/>
      <c r="OVB72" s="146"/>
      <c r="OVC72" s="146"/>
      <c r="OVD72" s="146"/>
      <c r="OVE72" s="146"/>
      <c r="OVF72" s="146"/>
      <c r="OVG72" s="146"/>
      <c r="OVH72" s="146"/>
      <c r="OVI72" s="146"/>
      <c r="OVJ72" s="146"/>
      <c r="OVK72" s="146"/>
      <c r="OVL72" s="146"/>
      <c r="OVM72" s="146"/>
      <c r="OVN72" s="146"/>
      <c r="OVO72" s="146"/>
      <c r="OVP72" s="146"/>
      <c r="OVQ72" s="146"/>
      <c r="OVR72" s="146"/>
      <c r="OVS72" s="146"/>
      <c r="OVT72" s="146"/>
      <c r="OVU72" s="146"/>
      <c r="OVV72" s="146"/>
      <c r="OVW72" s="146"/>
      <c r="OVX72" s="146"/>
      <c r="OVY72" s="146"/>
      <c r="OVZ72" s="146"/>
      <c r="OWA72" s="146"/>
      <c r="OWB72" s="146"/>
      <c r="OWC72" s="146"/>
      <c r="OWD72" s="146"/>
      <c r="OWE72" s="146"/>
      <c r="OWF72" s="146"/>
      <c r="OWG72" s="146"/>
      <c r="OWH72" s="146"/>
      <c r="OWI72" s="146"/>
      <c r="OWJ72" s="146"/>
      <c r="OWK72" s="146"/>
      <c r="OWL72" s="146"/>
      <c r="OWM72" s="146"/>
      <c r="OWN72" s="146"/>
      <c r="OWO72" s="146"/>
      <c r="OWP72" s="146"/>
      <c r="OWQ72" s="146"/>
      <c r="OWR72" s="146"/>
      <c r="OWS72" s="146"/>
      <c r="OWT72" s="146"/>
      <c r="OWU72" s="146"/>
      <c r="OWV72" s="146"/>
      <c r="OWW72" s="146"/>
      <c r="OWX72" s="146"/>
      <c r="OWY72" s="146"/>
      <c r="OWZ72" s="146"/>
      <c r="OXA72" s="146"/>
      <c r="OXB72" s="146"/>
      <c r="OXC72" s="146"/>
      <c r="OXD72" s="146"/>
      <c r="OXE72" s="146"/>
      <c r="OXF72" s="146"/>
      <c r="OXG72" s="146"/>
      <c r="OXH72" s="146"/>
      <c r="OXI72" s="146"/>
      <c r="OXJ72" s="146"/>
      <c r="OXK72" s="146"/>
      <c r="OXL72" s="146"/>
      <c r="OXM72" s="146"/>
      <c r="OXN72" s="146"/>
      <c r="OXO72" s="146"/>
      <c r="OXP72" s="146"/>
      <c r="OXQ72" s="146"/>
      <c r="OXR72" s="146"/>
      <c r="OXS72" s="146"/>
      <c r="OXT72" s="146"/>
      <c r="OXU72" s="146"/>
      <c r="OXV72" s="146"/>
      <c r="OXW72" s="146"/>
      <c r="OXX72" s="146"/>
      <c r="OXY72" s="146"/>
      <c r="OXZ72" s="146"/>
      <c r="OYA72" s="146"/>
      <c r="OYB72" s="146"/>
      <c r="OYC72" s="146"/>
      <c r="OYD72" s="146"/>
      <c r="OYE72" s="146"/>
      <c r="OYF72" s="146"/>
      <c r="OYG72" s="146"/>
      <c r="OYH72" s="146"/>
      <c r="OYI72" s="146"/>
      <c r="OYJ72" s="146"/>
      <c r="OYK72" s="146"/>
      <c r="OYL72" s="146"/>
      <c r="OYM72" s="146"/>
      <c r="OYN72" s="146"/>
      <c r="OYO72" s="146"/>
      <c r="OYP72" s="146"/>
      <c r="OYQ72" s="146"/>
      <c r="OYR72" s="146"/>
      <c r="OYS72" s="146"/>
      <c r="OYT72" s="146"/>
      <c r="OYU72" s="146"/>
      <c r="OYV72" s="146"/>
      <c r="OYW72" s="146"/>
      <c r="OYX72" s="146"/>
      <c r="OYY72" s="146"/>
      <c r="OYZ72" s="146"/>
      <c r="OZA72" s="146"/>
      <c r="OZB72" s="146"/>
      <c r="OZC72" s="146"/>
      <c r="OZD72" s="146"/>
      <c r="OZE72" s="146"/>
      <c r="OZF72" s="146"/>
      <c r="OZG72" s="146"/>
      <c r="OZH72" s="146"/>
      <c r="OZI72" s="146"/>
      <c r="OZJ72" s="146"/>
      <c r="OZK72" s="146"/>
      <c r="OZL72" s="146"/>
      <c r="OZM72" s="146"/>
      <c r="OZN72" s="146"/>
      <c r="OZO72" s="146"/>
      <c r="OZP72" s="146"/>
      <c r="OZQ72" s="146"/>
      <c r="OZR72" s="146"/>
      <c r="OZS72" s="146"/>
      <c r="OZT72" s="146"/>
      <c r="OZU72" s="146"/>
      <c r="OZV72" s="146"/>
      <c r="OZW72" s="146"/>
      <c r="OZX72" s="146"/>
      <c r="OZY72" s="146"/>
      <c r="OZZ72" s="146"/>
      <c r="PAA72" s="146"/>
      <c r="PAB72" s="146"/>
      <c r="PAC72" s="146"/>
      <c r="PAD72" s="146"/>
      <c r="PAE72" s="146"/>
      <c r="PAF72" s="146"/>
      <c r="PAG72" s="146"/>
      <c r="PAH72" s="146"/>
      <c r="PAI72" s="146"/>
      <c r="PAJ72" s="146"/>
      <c r="PAK72" s="146"/>
      <c r="PAL72" s="146"/>
      <c r="PAM72" s="146"/>
      <c r="PAN72" s="146"/>
      <c r="PAO72" s="146"/>
      <c r="PAP72" s="146"/>
      <c r="PAQ72" s="146"/>
      <c r="PAR72" s="146"/>
      <c r="PAS72" s="146"/>
      <c r="PAT72" s="146"/>
      <c r="PAU72" s="146"/>
      <c r="PAV72" s="146"/>
      <c r="PAW72" s="146"/>
      <c r="PAX72" s="146"/>
      <c r="PAY72" s="146"/>
      <c r="PAZ72" s="146"/>
      <c r="PBA72" s="146"/>
      <c r="PBB72" s="146"/>
      <c r="PBC72" s="146"/>
      <c r="PBD72" s="146"/>
      <c r="PBE72" s="146"/>
      <c r="PBF72" s="146"/>
      <c r="PBG72" s="146"/>
      <c r="PBH72" s="146"/>
      <c r="PBI72" s="146"/>
      <c r="PBJ72" s="146"/>
      <c r="PBK72" s="146"/>
      <c r="PBL72" s="146"/>
      <c r="PBM72" s="146"/>
      <c r="PBN72" s="146"/>
      <c r="PBO72" s="146"/>
      <c r="PBP72" s="146"/>
      <c r="PBQ72" s="146"/>
      <c r="PBR72" s="146"/>
      <c r="PBS72" s="146"/>
      <c r="PBT72" s="146"/>
      <c r="PBU72" s="146"/>
      <c r="PBV72" s="146"/>
      <c r="PBW72" s="146"/>
      <c r="PBX72" s="146"/>
      <c r="PBY72" s="146"/>
      <c r="PBZ72" s="146"/>
      <c r="PCA72" s="146"/>
      <c r="PCB72" s="146"/>
      <c r="PCC72" s="146"/>
      <c r="PCD72" s="146"/>
      <c r="PCE72" s="146"/>
      <c r="PCF72" s="146"/>
      <c r="PCG72" s="146"/>
      <c r="PCH72" s="146"/>
      <c r="PCI72" s="146"/>
      <c r="PCJ72" s="146"/>
      <c r="PCK72" s="146"/>
      <c r="PCL72" s="146"/>
      <c r="PCM72" s="146"/>
      <c r="PCN72" s="146"/>
      <c r="PCO72" s="146"/>
      <c r="PCP72" s="146"/>
      <c r="PCQ72" s="146"/>
      <c r="PCR72" s="146"/>
      <c r="PCS72" s="146"/>
      <c r="PCT72" s="146"/>
      <c r="PCU72" s="146"/>
      <c r="PCV72" s="146"/>
      <c r="PCW72" s="146"/>
      <c r="PCX72" s="146"/>
      <c r="PCY72" s="146"/>
      <c r="PCZ72" s="146"/>
      <c r="PDA72" s="146"/>
      <c r="PDB72" s="146"/>
      <c r="PDC72" s="146"/>
      <c r="PDD72" s="146"/>
      <c r="PDE72" s="146"/>
      <c r="PDF72" s="146"/>
      <c r="PDG72" s="146"/>
      <c r="PDH72" s="146"/>
      <c r="PDI72" s="146"/>
      <c r="PDJ72" s="146"/>
      <c r="PDK72" s="146"/>
      <c r="PDL72" s="146"/>
      <c r="PDM72" s="146"/>
      <c r="PDN72" s="146"/>
      <c r="PDO72" s="146"/>
      <c r="PDP72" s="146"/>
      <c r="PDQ72" s="146"/>
      <c r="PDR72" s="146"/>
      <c r="PDS72" s="146"/>
      <c r="PDT72" s="146"/>
      <c r="PDU72" s="146"/>
      <c r="PDV72" s="146"/>
      <c r="PDW72" s="146"/>
      <c r="PDX72" s="146"/>
      <c r="PDY72" s="146"/>
      <c r="PDZ72" s="146"/>
      <c r="PEA72" s="146"/>
      <c r="PEB72" s="146"/>
      <c r="PEC72" s="146"/>
      <c r="PED72" s="146"/>
      <c r="PEE72" s="146"/>
      <c r="PEF72" s="146"/>
      <c r="PEG72" s="146"/>
      <c r="PEH72" s="146"/>
      <c r="PEI72" s="146"/>
      <c r="PEJ72" s="146"/>
      <c r="PEK72" s="146"/>
      <c r="PEL72" s="146"/>
      <c r="PEM72" s="146"/>
      <c r="PEN72" s="146"/>
      <c r="PEO72" s="146"/>
      <c r="PEP72" s="146"/>
      <c r="PEQ72" s="146"/>
      <c r="PER72" s="146"/>
      <c r="PES72" s="146"/>
      <c r="PET72" s="146"/>
      <c r="PEU72" s="146"/>
      <c r="PEV72" s="146"/>
      <c r="PEW72" s="146"/>
      <c r="PEX72" s="146"/>
      <c r="PEY72" s="146"/>
      <c r="PEZ72" s="146"/>
      <c r="PFA72" s="146"/>
      <c r="PFB72" s="146"/>
      <c r="PFC72" s="146"/>
      <c r="PFD72" s="146"/>
      <c r="PFE72" s="146"/>
      <c r="PFF72" s="146"/>
      <c r="PFG72" s="146"/>
      <c r="PFH72" s="146"/>
      <c r="PFI72" s="146"/>
      <c r="PFJ72" s="146"/>
      <c r="PFK72" s="146"/>
      <c r="PFL72" s="146"/>
      <c r="PFM72" s="146"/>
      <c r="PFN72" s="146"/>
      <c r="PFO72" s="146"/>
      <c r="PFP72" s="146"/>
      <c r="PFQ72" s="146"/>
      <c r="PFR72" s="146"/>
      <c r="PFS72" s="146"/>
      <c r="PFT72" s="146"/>
      <c r="PFU72" s="146"/>
      <c r="PFV72" s="146"/>
      <c r="PFW72" s="146"/>
      <c r="PFX72" s="146"/>
      <c r="PFY72" s="146"/>
      <c r="PFZ72" s="146"/>
      <c r="PGA72" s="146"/>
      <c r="PGB72" s="146"/>
      <c r="PGC72" s="146"/>
      <c r="PGD72" s="146"/>
      <c r="PGE72" s="146"/>
      <c r="PGF72" s="146"/>
      <c r="PGG72" s="146"/>
      <c r="PGH72" s="146"/>
      <c r="PGI72" s="146"/>
      <c r="PGJ72" s="146"/>
      <c r="PGK72" s="146"/>
      <c r="PGL72" s="146"/>
      <c r="PGM72" s="146"/>
      <c r="PGN72" s="146"/>
      <c r="PGO72" s="146"/>
      <c r="PGP72" s="146"/>
      <c r="PGQ72" s="146"/>
      <c r="PGR72" s="146"/>
      <c r="PGS72" s="146"/>
      <c r="PGT72" s="146"/>
      <c r="PGU72" s="146"/>
      <c r="PGV72" s="146"/>
      <c r="PGW72" s="146"/>
      <c r="PGX72" s="146"/>
      <c r="PGY72" s="146"/>
      <c r="PGZ72" s="146"/>
      <c r="PHA72" s="146"/>
      <c r="PHB72" s="146"/>
      <c r="PHC72" s="146"/>
      <c r="PHD72" s="146"/>
      <c r="PHE72" s="146"/>
      <c r="PHF72" s="146"/>
      <c r="PHG72" s="146"/>
      <c r="PHH72" s="146"/>
      <c r="PHI72" s="146"/>
      <c r="PHJ72" s="146"/>
      <c r="PHK72" s="146"/>
      <c r="PHL72" s="146"/>
      <c r="PHM72" s="146"/>
      <c r="PHN72" s="146"/>
      <c r="PHO72" s="146"/>
      <c r="PHP72" s="146"/>
      <c r="PHQ72" s="146"/>
      <c r="PHR72" s="146"/>
      <c r="PHS72" s="146"/>
      <c r="PHT72" s="146"/>
      <c r="PHU72" s="146"/>
      <c r="PHV72" s="146"/>
      <c r="PHW72" s="146"/>
      <c r="PHX72" s="146"/>
      <c r="PHY72" s="146"/>
      <c r="PHZ72" s="146"/>
      <c r="PIA72" s="146"/>
      <c r="PIB72" s="146"/>
      <c r="PIC72" s="146"/>
      <c r="PID72" s="146"/>
      <c r="PIE72" s="146"/>
      <c r="PIF72" s="146"/>
      <c r="PIG72" s="146"/>
      <c r="PIH72" s="146"/>
      <c r="PII72" s="146"/>
      <c r="PIJ72" s="146"/>
      <c r="PIK72" s="146"/>
      <c r="PIL72" s="146"/>
      <c r="PIM72" s="146"/>
      <c r="PIN72" s="146"/>
      <c r="PIO72" s="146"/>
      <c r="PIP72" s="146"/>
      <c r="PIQ72" s="146"/>
      <c r="PIR72" s="146"/>
      <c r="PIS72" s="146"/>
      <c r="PIT72" s="146"/>
      <c r="PIU72" s="146"/>
      <c r="PIV72" s="146"/>
      <c r="PIW72" s="146"/>
      <c r="PIX72" s="146"/>
      <c r="PIY72" s="146"/>
      <c r="PIZ72" s="146"/>
      <c r="PJA72" s="146"/>
      <c r="PJB72" s="146"/>
      <c r="PJC72" s="146"/>
      <c r="PJD72" s="146"/>
      <c r="PJE72" s="146"/>
      <c r="PJF72" s="146"/>
      <c r="PJG72" s="146"/>
      <c r="PJH72" s="146"/>
      <c r="PJI72" s="146"/>
      <c r="PJJ72" s="146"/>
      <c r="PJK72" s="146"/>
      <c r="PJL72" s="146"/>
      <c r="PJM72" s="146"/>
      <c r="PJN72" s="146"/>
      <c r="PJO72" s="146"/>
      <c r="PJP72" s="146"/>
      <c r="PJQ72" s="146"/>
      <c r="PJR72" s="146"/>
      <c r="PJS72" s="146"/>
      <c r="PJT72" s="146"/>
      <c r="PJU72" s="146"/>
      <c r="PJV72" s="146"/>
      <c r="PJW72" s="146"/>
      <c r="PJX72" s="146"/>
      <c r="PJY72" s="146"/>
      <c r="PJZ72" s="146"/>
      <c r="PKA72" s="146"/>
      <c r="PKB72" s="146"/>
      <c r="PKC72" s="146"/>
      <c r="PKD72" s="146"/>
      <c r="PKE72" s="146"/>
      <c r="PKF72" s="146"/>
      <c r="PKG72" s="146"/>
      <c r="PKH72" s="146"/>
      <c r="PKI72" s="146"/>
      <c r="PKJ72" s="146"/>
      <c r="PKK72" s="146"/>
      <c r="PKL72" s="146"/>
      <c r="PKM72" s="146"/>
      <c r="PKN72" s="146"/>
      <c r="PKO72" s="146"/>
      <c r="PKP72" s="146"/>
      <c r="PKQ72" s="146"/>
      <c r="PKR72" s="146"/>
      <c r="PKS72" s="146"/>
      <c r="PKT72" s="146"/>
      <c r="PKU72" s="146"/>
      <c r="PKV72" s="146"/>
      <c r="PKW72" s="146"/>
      <c r="PKX72" s="146"/>
      <c r="PKY72" s="146"/>
      <c r="PKZ72" s="146"/>
      <c r="PLA72" s="146"/>
      <c r="PLB72" s="146"/>
      <c r="PLC72" s="146"/>
      <c r="PLD72" s="146"/>
      <c r="PLE72" s="146"/>
      <c r="PLF72" s="146"/>
      <c r="PLG72" s="146"/>
      <c r="PLH72" s="146"/>
      <c r="PLI72" s="146"/>
      <c r="PLJ72" s="146"/>
      <c r="PLK72" s="146"/>
      <c r="PLL72" s="146"/>
      <c r="PLM72" s="146"/>
      <c r="PLN72" s="146"/>
      <c r="PLO72" s="146"/>
      <c r="PLP72" s="146"/>
      <c r="PLQ72" s="146"/>
      <c r="PLR72" s="146"/>
      <c r="PLS72" s="146"/>
      <c r="PLT72" s="146"/>
      <c r="PLU72" s="146"/>
      <c r="PLV72" s="146"/>
      <c r="PLW72" s="146"/>
      <c r="PLX72" s="146"/>
      <c r="PLY72" s="146"/>
      <c r="PLZ72" s="146"/>
      <c r="PMA72" s="146"/>
      <c r="PMB72" s="146"/>
      <c r="PMC72" s="146"/>
      <c r="PMD72" s="146"/>
      <c r="PME72" s="146"/>
      <c r="PMF72" s="146"/>
      <c r="PMG72" s="146"/>
      <c r="PMH72" s="146"/>
      <c r="PMI72" s="146"/>
      <c r="PMJ72" s="146"/>
      <c r="PMK72" s="146"/>
      <c r="PML72" s="146"/>
      <c r="PMM72" s="146"/>
      <c r="PMN72" s="146"/>
      <c r="PMO72" s="146"/>
      <c r="PMP72" s="146"/>
      <c r="PMQ72" s="146"/>
      <c r="PMR72" s="146"/>
      <c r="PMS72" s="146"/>
      <c r="PMT72" s="146"/>
      <c r="PMU72" s="146"/>
      <c r="PMV72" s="146"/>
      <c r="PMW72" s="146"/>
      <c r="PMX72" s="146"/>
      <c r="PMY72" s="146"/>
      <c r="PMZ72" s="146"/>
      <c r="PNA72" s="146"/>
      <c r="PNB72" s="146"/>
      <c r="PNC72" s="146"/>
      <c r="PND72" s="146"/>
      <c r="PNE72" s="146"/>
      <c r="PNF72" s="146"/>
      <c r="PNG72" s="146"/>
      <c r="PNH72" s="146"/>
      <c r="PNI72" s="146"/>
      <c r="PNJ72" s="146"/>
      <c r="PNK72" s="146"/>
      <c r="PNL72" s="146"/>
      <c r="PNM72" s="146"/>
      <c r="PNN72" s="146"/>
      <c r="PNO72" s="146"/>
      <c r="PNP72" s="146"/>
      <c r="PNQ72" s="146"/>
      <c r="PNR72" s="146"/>
      <c r="PNS72" s="146"/>
      <c r="PNT72" s="146"/>
      <c r="PNU72" s="146"/>
      <c r="PNV72" s="146"/>
      <c r="PNW72" s="146"/>
      <c r="PNX72" s="146"/>
      <c r="PNY72" s="146"/>
      <c r="PNZ72" s="146"/>
      <c r="POA72" s="146"/>
      <c r="POB72" s="146"/>
      <c r="POC72" s="146"/>
      <c r="POD72" s="146"/>
      <c r="POE72" s="146"/>
      <c r="POF72" s="146"/>
      <c r="POG72" s="146"/>
      <c r="POH72" s="146"/>
      <c r="POI72" s="146"/>
      <c r="POJ72" s="146"/>
      <c r="POK72" s="146"/>
      <c r="POL72" s="146"/>
      <c r="POM72" s="146"/>
      <c r="PON72" s="146"/>
      <c r="POO72" s="146"/>
      <c r="POP72" s="146"/>
      <c r="POQ72" s="146"/>
      <c r="POR72" s="146"/>
      <c r="POS72" s="146"/>
      <c r="POT72" s="146"/>
      <c r="POU72" s="146"/>
      <c r="POV72" s="146"/>
      <c r="POW72" s="146"/>
      <c r="POX72" s="146"/>
      <c r="POY72" s="146"/>
      <c r="POZ72" s="146"/>
      <c r="PPA72" s="146"/>
      <c r="PPB72" s="146"/>
      <c r="PPC72" s="146"/>
      <c r="PPD72" s="146"/>
      <c r="PPE72" s="146"/>
      <c r="PPF72" s="146"/>
      <c r="PPG72" s="146"/>
      <c r="PPH72" s="146"/>
      <c r="PPI72" s="146"/>
      <c r="PPJ72" s="146"/>
      <c r="PPK72" s="146"/>
      <c r="PPL72" s="146"/>
      <c r="PPM72" s="146"/>
      <c r="PPN72" s="146"/>
      <c r="PPO72" s="146"/>
      <c r="PPP72" s="146"/>
      <c r="PPQ72" s="146"/>
      <c r="PPR72" s="146"/>
      <c r="PPS72" s="146"/>
      <c r="PPT72" s="146"/>
      <c r="PPU72" s="146"/>
      <c r="PPV72" s="146"/>
      <c r="PPW72" s="146"/>
      <c r="PPX72" s="146"/>
      <c r="PPY72" s="146"/>
      <c r="PPZ72" s="146"/>
      <c r="PQA72" s="146"/>
      <c r="PQB72" s="146"/>
      <c r="PQC72" s="146"/>
      <c r="PQD72" s="146"/>
      <c r="PQE72" s="146"/>
      <c r="PQF72" s="146"/>
      <c r="PQG72" s="146"/>
      <c r="PQH72" s="146"/>
      <c r="PQI72" s="146"/>
      <c r="PQJ72" s="146"/>
      <c r="PQK72" s="146"/>
      <c r="PQL72" s="146"/>
      <c r="PQM72" s="146"/>
      <c r="PQN72" s="146"/>
      <c r="PQO72" s="146"/>
      <c r="PQP72" s="146"/>
      <c r="PQQ72" s="146"/>
      <c r="PQR72" s="146"/>
      <c r="PQS72" s="146"/>
      <c r="PQT72" s="146"/>
      <c r="PQU72" s="146"/>
      <c r="PQV72" s="146"/>
      <c r="PQW72" s="146"/>
      <c r="PQX72" s="146"/>
      <c r="PQY72" s="146"/>
      <c r="PQZ72" s="146"/>
      <c r="PRA72" s="146"/>
      <c r="PRB72" s="146"/>
      <c r="PRC72" s="146"/>
      <c r="PRD72" s="146"/>
      <c r="PRE72" s="146"/>
      <c r="PRF72" s="146"/>
      <c r="PRG72" s="146"/>
      <c r="PRH72" s="146"/>
      <c r="PRI72" s="146"/>
      <c r="PRJ72" s="146"/>
      <c r="PRK72" s="146"/>
      <c r="PRL72" s="146"/>
      <c r="PRM72" s="146"/>
      <c r="PRN72" s="146"/>
      <c r="PRO72" s="146"/>
      <c r="PRP72" s="146"/>
      <c r="PRQ72" s="146"/>
      <c r="PRR72" s="146"/>
      <c r="PRS72" s="146"/>
      <c r="PRT72" s="146"/>
      <c r="PRU72" s="146"/>
      <c r="PRV72" s="146"/>
      <c r="PRW72" s="146"/>
      <c r="PRX72" s="146"/>
      <c r="PRY72" s="146"/>
      <c r="PRZ72" s="146"/>
      <c r="PSA72" s="146"/>
      <c r="PSB72" s="146"/>
      <c r="PSC72" s="146"/>
      <c r="PSD72" s="146"/>
      <c r="PSE72" s="146"/>
      <c r="PSF72" s="146"/>
      <c r="PSG72" s="146"/>
      <c r="PSH72" s="146"/>
      <c r="PSI72" s="146"/>
      <c r="PSJ72" s="146"/>
      <c r="PSK72" s="146"/>
      <c r="PSL72" s="146"/>
      <c r="PSM72" s="146"/>
      <c r="PSN72" s="146"/>
      <c r="PSO72" s="146"/>
      <c r="PSP72" s="146"/>
      <c r="PSQ72" s="146"/>
      <c r="PSR72" s="146"/>
      <c r="PSS72" s="146"/>
      <c r="PST72" s="146"/>
      <c r="PSU72" s="146"/>
      <c r="PSV72" s="146"/>
      <c r="PSW72" s="146"/>
      <c r="PSX72" s="146"/>
      <c r="PSY72" s="146"/>
      <c r="PSZ72" s="146"/>
      <c r="PTA72" s="146"/>
      <c r="PTB72" s="146"/>
      <c r="PTC72" s="146"/>
      <c r="PTD72" s="146"/>
      <c r="PTE72" s="146"/>
      <c r="PTF72" s="146"/>
      <c r="PTG72" s="146"/>
      <c r="PTH72" s="146"/>
      <c r="PTI72" s="146"/>
      <c r="PTJ72" s="146"/>
      <c r="PTK72" s="146"/>
      <c r="PTL72" s="146"/>
      <c r="PTM72" s="146"/>
      <c r="PTN72" s="146"/>
      <c r="PTO72" s="146"/>
      <c r="PTP72" s="146"/>
      <c r="PTQ72" s="146"/>
      <c r="PTR72" s="146"/>
      <c r="PTS72" s="146"/>
      <c r="PTT72" s="146"/>
      <c r="PTU72" s="146"/>
      <c r="PTV72" s="146"/>
      <c r="PTW72" s="146"/>
      <c r="PTX72" s="146"/>
      <c r="PTY72" s="146"/>
      <c r="PTZ72" s="146"/>
      <c r="PUA72" s="146"/>
      <c r="PUB72" s="146"/>
      <c r="PUC72" s="146"/>
      <c r="PUD72" s="146"/>
      <c r="PUE72" s="146"/>
      <c r="PUF72" s="146"/>
      <c r="PUG72" s="146"/>
      <c r="PUH72" s="146"/>
      <c r="PUI72" s="146"/>
      <c r="PUJ72" s="146"/>
      <c r="PUK72" s="146"/>
      <c r="PUL72" s="146"/>
      <c r="PUM72" s="146"/>
      <c r="PUN72" s="146"/>
      <c r="PUO72" s="146"/>
      <c r="PUP72" s="146"/>
      <c r="PUQ72" s="146"/>
      <c r="PUR72" s="146"/>
      <c r="PUS72" s="146"/>
      <c r="PUT72" s="146"/>
      <c r="PUU72" s="146"/>
      <c r="PUV72" s="146"/>
      <c r="PUW72" s="146"/>
      <c r="PUX72" s="146"/>
      <c r="PUY72" s="146"/>
      <c r="PUZ72" s="146"/>
      <c r="PVA72" s="146"/>
      <c r="PVB72" s="146"/>
      <c r="PVC72" s="146"/>
      <c r="PVD72" s="146"/>
      <c r="PVE72" s="146"/>
      <c r="PVF72" s="146"/>
      <c r="PVG72" s="146"/>
      <c r="PVH72" s="146"/>
      <c r="PVI72" s="146"/>
      <c r="PVJ72" s="146"/>
      <c r="PVK72" s="146"/>
      <c r="PVL72" s="146"/>
      <c r="PVM72" s="146"/>
      <c r="PVN72" s="146"/>
      <c r="PVO72" s="146"/>
      <c r="PVP72" s="146"/>
      <c r="PVQ72" s="146"/>
      <c r="PVR72" s="146"/>
      <c r="PVS72" s="146"/>
      <c r="PVT72" s="146"/>
      <c r="PVU72" s="146"/>
      <c r="PVV72" s="146"/>
      <c r="PVW72" s="146"/>
      <c r="PVX72" s="146"/>
      <c r="PVY72" s="146"/>
      <c r="PVZ72" s="146"/>
      <c r="PWA72" s="146"/>
      <c r="PWB72" s="146"/>
      <c r="PWC72" s="146"/>
      <c r="PWD72" s="146"/>
      <c r="PWE72" s="146"/>
      <c r="PWF72" s="146"/>
      <c r="PWG72" s="146"/>
      <c r="PWH72" s="146"/>
      <c r="PWI72" s="146"/>
      <c r="PWJ72" s="146"/>
      <c r="PWK72" s="146"/>
      <c r="PWL72" s="146"/>
      <c r="PWM72" s="146"/>
      <c r="PWN72" s="146"/>
      <c r="PWO72" s="146"/>
      <c r="PWP72" s="146"/>
      <c r="PWQ72" s="146"/>
      <c r="PWR72" s="146"/>
      <c r="PWS72" s="146"/>
      <c r="PWT72" s="146"/>
      <c r="PWU72" s="146"/>
      <c r="PWV72" s="146"/>
      <c r="PWW72" s="146"/>
      <c r="PWX72" s="146"/>
      <c r="PWY72" s="146"/>
      <c r="PWZ72" s="146"/>
      <c r="PXA72" s="146"/>
      <c r="PXB72" s="146"/>
      <c r="PXC72" s="146"/>
      <c r="PXD72" s="146"/>
      <c r="PXE72" s="146"/>
      <c r="PXF72" s="146"/>
      <c r="PXG72" s="146"/>
      <c r="PXH72" s="146"/>
      <c r="PXI72" s="146"/>
      <c r="PXJ72" s="146"/>
      <c r="PXK72" s="146"/>
      <c r="PXL72" s="146"/>
      <c r="PXM72" s="146"/>
      <c r="PXN72" s="146"/>
      <c r="PXO72" s="146"/>
      <c r="PXP72" s="146"/>
      <c r="PXQ72" s="146"/>
      <c r="PXR72" s="146"/>
      <c r="PXS72" s="146"/>
      <c r="PXT72" s="146"/>
      <c r="PXU72" s="146"/>
      <c r="PXV72" s="146"/>
      <c r="PXW72" s="146"/>
      <c r="PXX72" s="146"/>
      <c r="PXY72" s="146"/>
      <c r="PXZ72" s="146"/>
      <c r="PYA72" s="146"/>
      <c r="PYB72" s="146"/>
      <c r="PYC72" s="146"/>
      <c r="PYD72" s="146"/>
      <c r="PYE72" s="146"/>
      <c r="PYF72" s="146"/>
      <c r="PYG72" s="146"/>
      <c r="PYH72" s="146"/>
      <c r="PYI72" s="146"/>
      <c r="PYJ72" s="146"/>
      <c r="PYK72" s="146"/>
      <c r="PYL72" s="146"/>
      <c r="PYM72" s="146"/>
      <c r="PYN72" s="146"/>
      <c r="PYO72" s="146"/>
      <c r="PYP72" s="146"/>
      <c r="PYQ72" s="146"/>
      <c r="PYR72" s="146"/>
      <c r="PYS72" s="146"/>
      <c r="PYT72" s="146"/>
      <c r="PYU72" s="146"/>
      <c r="PYV72" s="146"/>
      <c r="PYW72" s="146"/>
      <c r="PYX72" s="146"/>
      <c r="PYY72" s="146"/>
      <c r="PYZ72" s="146"/>
      <c r="PZA72" s="146"/>
      <c r="PZB72" s="146"/>
      <c r="PZC72" s="146"/>
      <c r="PZD72" s="146"/>
      <c r="PZE72" s="146"/>
      <c r="PZF72" s="146"/>
      <c r="PZG72" s="146"/>
      <c r="PZH72" s="146"/>
      <c r="PZI72" s="146"/>
      <c r="PZJ72" s="146"/>
      <c r="PZK72" s="146"/>
      <c r="PZL72" s="146"/>
      <c r="PZM72" s="146"/>
      <c r="PZN72" s="146"/>
      <c r="PZO72" s="146"/>
      <c r="PZP72" s="146"/>
      <c r="PZQ72" s="146"/>
      <c r="PZR72" s="146"/>
      <c r="PZS72" s="146"/>
      <c r="PZT72" s="146"/>
      <c r="PZU72" s="146"/>
      <c r="PZV72" s="146"/>
      <c r="PZW72" s="146"/>
      <c r="PZX72" s="146"/>
      <c r="PZY72" s="146"/>
      <c r="PZZ72" s="146"/>
      <c r="QAA72" s="146"/>
      <c r="QAB72" s="146"/>
      <c r="QAC72" s="146"/>
      <c r="QAD72" s="146"/>
      <c r="QAE72" s="146"/>
      <c r="QAF72" s="146"/>
      <c r="QAG72" s="146"/>
      <c r="QAH72" s="146"/>
      <c r="QAI72" s="146"/>
      <c r="QAJ72" s="146"/>
      <c r="QAK72" s="146"/>
      <c r="QAL72" s="146"/>
      <c r="QAM72" s="146"/>
      <c r="QAN72" s="146"/>
      <c r="QAO72" s="146"/>
      <c r="QAP72" s="146"/>
      <c r="QAQ72" s="146"/>
      <c r="QAR72" s="146"/>
      <c r="QAS72" s="146"/>
      <c r="QAT72" s="146"/>
      <c r="QAU72" s="146"/>
      <c r="QAV72" s="146"/>
      <c r="QAW72" s="146"/>
      <c r="QAX72" s="146"/>
      <c r="QAY72" s="146"/>
      <c r="QAZ72" s="146"/>
      <c r="QBA72" s="146"/>
      <c r="QBB72" s="146"/>
      <c r="QBC72" s="146"/>
      <c r="QBD72" s="146"/>
      <c r="QBE72" s="146"/>
      <c r="QBF72" s="146"/>
      <c r="QBG72" s="146"/>
      <c r="QBH72" s="146"/>
      <c r="QBI72" s="146"/>
      <c r="QBJ72" s="146"/>
      <c r="QBK72" s="146"/>
      <c r="QBL72" s="146"/>
      <c r="QBM72" s="146"/>
      <c r="QBN72" s="146"/>
      <c r="QBO72" s="146"/>
      <c r="QBP72" s="146"/>
      <c r="QBQ72" s="146"/>
      <c r="QBR72" s="146"/>
      <c r="QBS72" s="146"/>
      <c r="QBT72" s="146"/>
      <c r="QBU72" s="146"/>
      <c r="QBV72" s="146"/>
      <c r="QBW72" s="146"/>
      <c r="QBX72" s="146"/>
      <c r="QBY72" s="146"/>
      <c r="QBZ72" s="146"/>
      <c r="QCA72" s="146"/>
      <c r="QCB72" s="146"/>
      <c r="QCC72" s="146"/>
      <c r="QCD72" s="146"/>
      <c r="QCE72" s="146"/>
      <c r="QCF72" s="146"/>
      <c r="QCG72" s="146"/>
      <c r="QCH72" s="146"/>
      <c r="QCI72" s="146"/>
      <c r="QCJ72" s="146"/>
      <c r="QCK72" s="146"/>
      <c r="QCL72" s="146"/>
      <c r="QCM72" s="146"/>
      <c r="QCN72" s="146"/>
      <c r="QCO72" s="146"/>
      <c r="QCP72" s="146"/>
      <c r="QCQ72" s="146"/>
      <c r="QCR72" s="146"/>
      <c r="QCS72" s="146"/>
      <c r="QCT72" s="146"/>
      <c r="QCU72" s="146"/>
      <c r="QCV72" s="146"/>
      <c r="QCW72" s="146"/>
      <c r="QCX72" s="146"/>
      <c r="QCY72" s="146"/>
      <c r="QCZ72" s="146"/>
      <c r="QDA72" s="146"/>
      <c r="QDB72" s="146"/>
      <c r="QDC72" s="146"/>
      <c r="QDD72" s="146"/>
      <c r="QDE72" s="146"/>
      <c r="QDF72" s="146"/>
      <c r="QDG72" s="146"/>
      <c r="QDH72" s="146"/>
      <c r="QDI72" s="146"/>
      <c r="QDJ72" s="146"/>
      <c r="QDK72" s="146"/>
      <c r="QDL72" s="146"/>
      <c r="QDM72" s="146"/>
      <c r="QDN72" s="146"/>
      <c r="QDO72" s="146"/>
      <c r="QDP72" s="146"/>
      <c r="QDQ72" s="146"/>
      <c r="QDR72" s="146"/>
      <c r="QDS72" s="146"/>
      <c r="QDT72" s="146"/>
      <c r="QDU72" s="146"/>
      <c r="QDV72" s="146"/>
      <c r="QDW72" s="146"/>
      <c r="QDX72" s="146"/>
      <c r="QDY72" s="146"/>
      <c r="QDZ72" s="146"/>
      <c r="QEA72" s="146"/>
      <c r="QEB72" s="146"/>
      <c r="QEC72" s="146"/>
      <c r="QED72" s="146"/>
      <c r="QEE72" s="146"/>
      <c r="QEF72" s="146"/>
      <c r="QEG72" s="146"/>
      <c r="QEH72" s="146"/>
      <c r="QEI72" s="146"/>
      <c r="QEJ72" s="146"/>
      <c r="QEK72" s="146"/>
      <c r="QEL72" s="146"/>
      <c r="QEM72" s="146"/>
      <c r="QEN72" s="146"/>
      <c r="QEO72" s="146"/>
      <c r="QEP72" s="146"/>
      <c r="QEQ72" s="146"/>
      <c r="QER72" s="146"/>
      <c r="QES72" s="146"/>
      <c r="QET72" s="146"/>
      <c r="QEU72" s="146"/>
      <c r="QEV72" s="146"/>
      <c r="QEW72" s="146"/>
      <c r="QEX72" s="146"/>
      <c r="QEY72" s="146"/>
      <c r="QEZ72" s="146"/>
      <c r="QFA72" s="146"/>
      <c r="QFB72" s="146"/>
      <c r="QFC72" s="146"/>
      <c r="QFD72" s="146"/>
      <c r="QFE72" s="146"/>
      <c r="QFF72" s="146"/>
      <c r="QFG72" s="146"/>
      <c r="QFH72" s="146"/>
      <c r="QFI72" s="146"/>
      <c r="QFJ72" s="146"/>
      <c r="QFK72" s="146"/>
      <c r="QFL72" s="146"/>
      <c r="QFM72" s="146"/>
      <c r="QFN72" s="146"/>
      <c r="QFO72" s="146"/>
      <c r="QFP72" s="146"/>
      <c r="QFQ72" s="146"/>
      <c r="QFR72" s="146"/>
      <c r="QFS72" s="146"/>
      <c r="QFT72" s="146"/>
      <c r="QFU72" s="146"/>
      <c r="QFV72" s="146"/>
      <c r="QFW72" s="146"/>
      <c r="QFX72" s="146"/>
      <c r="QFY72" s="146"/>
      <c r="QFZ72" s="146"/>
      <c r="QGA72" s="146"/>
      <c r="QGB72" s="146"/>
      <c r="QGC72" s="146"/>
      <c r="QGD72" s="146"/>
      <c r="QGE72" s="146"/>
      <c r="QGF72" s="146"/>
      <c r="QGG72" s="146"/>
      <c r="QGH72" s="146"/>
      <c r="QGI72" s="146"/>
      <c r="QGJ72" s="146"/>
      <c r="QGK72" s="146"/>
      <c r="QGL72" s="146"/>
      <c r="QGM72" s="146"/>
      <c r="QGN72" s="146"/>
      <c r="QGO72" s="146"/>
      <c r="QGP72" s="146"/>
      <c r="QGQ72" s="146"/>
      <c r="QGR72" s="146"/>
      <c r="QGS72" s="146"/>
      <c r="QGT72" s="146"/>
      <c r="QGU72" s="146"/>
      <c r="QGV72" s="146"/>
      <c r="QGW72" s="146"/>
      <c r="QGX72" s="146"/>
      <c r="QGY72" s="146"/>
      <c r="QGZ72" s="146"/>
      <c r="QHA72" s="146"/>
      <c r="QHB72" s="146"/>
      <c r="QHC72" s="146"/>
      <c r="QHD72" s="146"/>
      <c r="QHE72" s="146"/>
      <c r="QHF72" s="146"/>
      <c r="QHG72" s="146"/>
      <c r="QHH72" s="146"/>
      <c r="QHI72" s="146"/>
      <c r="QHJ72" s="146"/>
      <c r="QHK72" s="146"/>
      <c r="QHL72" s="146"/>
      <c r="QHM72" s="146"/>
      <c r="QHN72" s="146"/>
      <c r="QHO72" s="146"/>
      <c r="QHP72" s="146"/>
      <c r="QHQ72" s="146"/>
      <c r="QHR72" s="146"/>
      <c r="QHS72" s="146"/>
      <c r="QHT72" s="146"/>
      <c r="QHU72" s="146"/>
      <c r="QHV72" s="146"/>
      <c r="QHW72" s="146"/>
      <c r="QHX72" s="146"/>
      <c r="QHY72" s="146"/>
      <c r="QHZ72" s="146"/>
      <c r="QIA72" s="146"/>
      <c r="QIB72" s="146"/>
      <c r="QIC72" s="146"/>
      <c r="QID72" s="146"/>
      <c r="QIE72" s="146"/>
      <c r="QIF72" s="146"/>
      <c r="QIG72" s="146"/>
      <c r="QIH72" s="146"/>
      <c r="QII72" s="146"/>
      <c r="QIJ72" s="146"/>
      <c r="QIK72" s="146"/>
      <c r="QIL72" s="146"/>
      <c r="QIM72" s="146"/>
      <c r="QIN72" s="146"/>
      <c r="QIO72" s="146"/>
      <c r="QIP72" s="146"/>
      <c r="QIQ72" s="146"/>
      <c r="QIR72" s="146"/>
      <c r="QIS72" s="146"/>
      <c r="QIT72" s="146"/>
      <c r="QIU72" s="146"/>
      <c r="QIV72" s="146"/>
      <c r="QIW72" s="146"/>
      <c r="QIX72" s="146"/>
      <c r="QIY72" s="146"/>
      <c r="QIZ72" s="146"/>
      <c r="QJA72" s="146"/>
      <c r="QJB72" s="146"/>
      <c r="QJC72" s="146"/>
      <c r="QJD72" s="146"/>
      <c r="QJE72" s="146"/>
      <c r="QJF72" s="146"/>
      <c r="QJG72" s="146"/>
      <c r="QJH72" s="146"/>
      <c r="QJI72" s="146"/>
      <c r="QJJ72" s="146"/>
      <c r="QJK72" s="146"/>
      <c r="QJL72" s="146"/>
      <c r="QJM72" s="146"/>
      <c r="QJN72" s="146"/>
      <c r="QJO72" s="146"/>
      <c r="QJP72" s="146"/>
      <c r="QJQ72" s="146"/>
      <c r="QJR72" s="146"/>
      <c r="QJS72" s="146"/>
      <c r="QJT72" s="146"/>
      <c r="QJU72" s="146"/>
      <c r="QJV72" s="146"/>
      <c r="QJW72" s="146"/>
      <c r="QJX72" s="146"/>
      <c r="QJY72" s="146"/>
      <c r="QJZ72" s="146"/>
      <c r="QKA72" s="146"/>
      <c r="QKB72" s="146"/>
      <c r="QKC72" s="146"/>
      <c r="QKD72" s="146"/>
      <c r="QKE72" s="146"/>
      <c r="QKF72" s="146"/>
      <c r="QKG72" s="146"/>
      <c r="QKH72" s="146"/>
      <c r="QKI72" s="146"/>
      <c r="QKJ72" s="146"/>
      <c r="QKK72" s="146"/>
      <c r="QKL72" s="146"/>
      <c r="QKM72" s="146"/>
      <c r="QKN72" s="146"/>
      <c r="QKO72" s="146"/>
      <c r="QKP72" s="146"/>
      <c r="QKQ72" s="146"/>
      <c r="QKR72" s="146"/>
      <c r="QKS72" s="146"/>
      <c r="QKT72" s="146"/>
      <c r="QKU72" s="146"/>
      <c r="QKV72" s="146"/>
      <c r="QKW72" s="146"/>
      <c r="QKX72" s="146"/>
      <c r="QKY72" s="146"/>
      <c r="QKZ72" s="146"/>
      <c r="QLA72" s="146"/>
      <c r="QLB72" s="146"/>
      <c r="QLC72" s="146"/>
      <c r="QLD72" s="146"/>
      <c r="QLE72" s="146"/>
      <c r="QLF72" s="146"/>
      <c r="QLG72" s="146"/>
      <c r="QLH72" s="146"/>
      <c r="QLI72" s="146"/>
      <c r="QLJ72" s="146"/>
      <c r="QLK72" s="146"/>
      <c r="QLL72" s="146"/>
      <c r="QLM72" s="146"/>
      <c r="QLN72" s="146"/>
      <c r="QLO72" s="146"/>
      <c r="QLP72" s="146"/>
      <c r="QLQ72" s="146"/>
      <c r="QLR72" s="146"/>
      <c r="QLS72" s="146"/>
      <c r="QLT72" s="146"/>
      <c r="QLU72" s="146"/>
      <c r="QLV72" s="146"/>
      <c r="QLW72" s="146"/>
      <c r="QLX72" s="146"/>
      <c r="QLY72" s="146"/>
      <c r="QLZ72" s="146"/>
      <c r="QMA72" s="146"/>
      <c r="QMB72" s="146"/>
      <c r="QMC72" s="146"/>
      <c r="QMD72" s="146"/>
      <c r="QME72" s="146"/>
      <c r="QMF72" s="146"/>
      <c r="QMG72" s="146"/>
      <c r="QMH72" s="146"/>
      <c r="QMI72" s="146"/>
      <c r="QMJ72" s="146"/>
      <c r="QMK72" s="146"/>
      <c r="QML72" s="146"/>
      <c r="QMM72" s="146"/>
      <c r="QMN72" s="146"/>
      <c r="QMO72" s="146"/>
      <c r="QMP72" s="146"/>
      <c r="QMQ72" s="146"/>
      <c r="QMR72" s="146"/>
      <c r="QMS72" s="146"/>
      <c r="QMT72" s="146"/>
      <c r="QMU72" s="146"/>
      <c r="QMV72" s="146"/>
      <c r="QMW72" s="146"/>
      <c r="QMX72" s="146"/>
      <c r="QMY72" s="146"/>
      <c r="QMZ72" s="146"/>
      <c r="QNA72" s="146"/>
      <c r="QNB72" s="146"/>
      <c r="QNC72" s="146"/>
      <c r="QND72" s="146"/>
      <c r="QNE72" s="146"/>
      <c r="QNF72" s="146"/>
      <c r="QNG72" s="146"/>
      <c r="QNH72" s="146"/>
      <c r="QNI72" s="146"/>
      <c r="QNJ72" s="146"/>
      <c r="QNK72" s="146"/>
      <c r="QNL72" s="146"/>
      <c r="QNM72" s="146"/>
      <c r="QNN72" s="146"/>
      <c r="QNO72" s="146"/>
      <c r="QNP72" s="146"/>
      <c r="QNQ72" s="146"/>
      <c r="QNR72" s="146"/>
      <c r="QNS72" s="146"/>
      <c r="QNT72" s="146"/>
      <c r="QNU72" s="146"/>
      <c r="QNV72" s="146"/>
      <c r="QNW72" s="146"/>
      <c r="QNX72" s="146"/>
      <c r="QNY72" s="146"/>
      <c r="QNZ72" s="146"/>
      <c r="QOA72" s="146"/>
      <c r="QOB72" s="146"/>
      <c r="QOC72" s="146"/>
      <c r="QOD72" s="146"/>
      <c r="QOE72" s="146"/>
      <c r="QOF72" s="146"/>
      <c r="QOG72" s="146"/>
      <c r="QOH72" s="146"/>
      <c r="QOI72" s="146"/>
      <c r="QOJ72" s="146"/>
      <c r="QOK72" s="146"/>
      <c r="QOL72" s="146"/>
      <c r="QOM72" s="146"/>
      <c r="QON72" s="146"/>
      <c r="QOO72" s="146"/>
      <c r="QOP72" s="146"/>
      <c r="QOQ72" s="146"/>
      <c r="QOR72" s="146"/>
      <c r="QOS72" s="146"/>
      <c r="QOT72" s="146"/>
      <c r="QOU72" s="146"/>
      <c r="QOV72" s="146"/>
      <c r="QOW72" s="146"/>
      <c r="QOX72" s="146"/>
      <c r="QOY72" s="146"/>
      <c r="QOZ72" s="146"/>
      <c r="QPA72" s="146"/>
      <c r="QPB72" s="146"/>
      <c r="QPC72" s="146"/>
      <c r="QPD72" s="146"/>
      <c r="QPE72" s="146"/>
      <c r="QPF72" s="146"/>
      <c r="QPG72" s="146"/>
      <c r="QPH72" s="146"/>
      <c r="QPI72" s="146"/>
      <c r="QPJ72" s="146"/>
      <c r="QPK72" s="146"/>
      <c r="QPL72" s="146"/>
      <c r="QPM72" s="146"/>
      <c r="QPN72" s="146"/>
      <c r="QPO72" s="146"/>
      <c r="QPP72" s="146"/>
      <c r="QPQ72" s="146"/>
      <c r="QPR72" s="146"/>
      <c r="QPS72" s="146"/>
      <c r="QPT72" s="146"/>
      <c r="QPU72" s="146"/>
      <c r="QPV72" s="146"/>
      <c r="QPW72" s="146"/>
      <c r="QPX72" s="146"/>
      <c r="QPY72" s="146"/>
      <c r="QPZ72" s="146"/>
      <c r="QQA72" s="146"/>
      <c r="QQB72" s="146"/>
      <c r="QQC72" s="146"/>
      <c r="QQD72" s="146"/>
      <c r="QQE72" s="146"/>
      <c r="QQF72" s="146"/>
      <c r="QQG72" s="146"/>
      <c r="QQH72" s="146"/>
      <c r="QQI72" s="146"/>
      <c r="QQJ72" s="146"/>
      <c r="QQK72" s="146"/>
      <c r="QQL72" s="146"/>
      <c r="QQM72" s="146"/>
      <c r="QQN72" s="146"/>
      <c r="QQO72" s="146"/>
      <c r="QQP72" s="146"/>
      <c r="QQQ72" s="146"/>
      <c r="QQR72" s="146"/>
      <c r="QQS72" s="146"/>
      <c r="QQT72" s="146"/>
      <c r="QQU72" s="146"/>
      <c r="QQV72" s="146"/>
      <c r="QQW72" s="146"/>
      <c r="QQX72" s="146"/>
      <c r="QQY72" s="146"/>
      <c r="QQZ72" s="146"/>
      <c r="QRA72" s="146"/>
      <c r="QRB72" s="146"/>
      <c r="QRC72" s="146"/>
      <c r="QRD72" s="146"/>
      <c r="QRE72" s="146"/>
      <c r="QRF72" s="146"/>
      <c r="QRG72" s="146"/>
      <c r="QRH72" s="146"/>
      <c r="QRI72" s="146"/>
      <c r="QRJ72" s="146"/>
      <c r="QRK72" s="146"/>
      <c r="QRL72" s="146"/>
      <c r="QRM72" s="146"/>
      <c r="QRN72" s="146"/>
      <c r="QRO72" s="146"/>
      <c r="QRP72" s="146"/>
      <c r="QRQ72" s="146"/>
      <c r="QRR72" s="146"/>
      <c r="QRS72" s="146"/>
      <c r="QRT72" s="146"/>
      <c r="QRU72" s="146"/>
      <c r="QRV72" s="146"/>
      <c r="QRW72" s="146"/>
      <c r="QRX72" s="146"/>
      <c r="QRY72" s="146"/>
      <c r="QRZ72" s="146"/>
      <c r="QSA72" s="146"/>
      <c r="QSB72" s="146"/>
      <c r="QSC72" s="146"/>
      <c r="QSD72" s="146"/>
      <c r="QSE72" s="146"/>
      <c r="QSF72" s="146"/>
      <c r="QSG72" s="146"/>
      <c r="QSH72" s="146"/>
      <c r="QSI72" s="146"/>
      <c r="QSJ72" s="146"/>
      <c r="QSK72" s="146"/>
      <c r="QSL72" s="146"/>
      <c r="QSM72" s="146"/>
      <c r="QSN72" s="146"/>
      <c r="QSO72" s="146"/>
      <c r="QSP72" s="146"/>
      <c r="QSQ72" s="146"/>
      <c r="QSR72" s="146"/>
      <c r="QSS72" s="146"/>
      <c r="QST72" s="146"/>
      <c r="QSU72" s="146"/>
      <c r="QSV72" s="146"/>
      <c r="QSW72" s="146"/>
      <c r="QSX72" s="146"/>
      <c r="QSY72" s="146"/>
      <c r="QSZ72" s="146"/>
      <c r="QTA72" s="146"/>
      <c r="QTB72" s="146"/>
      <c r="QTC72" s="146"/>
      <c r="QTD72" s="146"/>
      <c r="QTE72" s="146"/>
      <c r="QTF72" s="146"/>
      <c r="QTG72" s="146"/>
      <c r="QTH72" s="146"/>
      <c r="QTI72" s="146"/>
      <c r="QTJ72" s="146"/>
      <c r="QTK72" s="146"/>
      <c r="QTL72" s="146"/>
      <c r="QTM72" s="146"/>
      <c r="QTN72" s="146"/>
      <c r="QTO72" s="146"/>
      <c r="QTP72" s="146"/>
      <c r="QTQ72" s="146"/>
      <c r="QTR72" s="146"/>
      <c r="QTS72" s="146"/>
      <c r="QTT72" s="146"/>
      <c r="QTU72" s="146"/>
      <c r="QTV72" s="146"/>
      <c r="QTW72" s="146"/>
      <c r="QTX72" s="146"/>
      <c r="QTY72" s="146"/>
      <c r="QTZ72" s="146"/>
      <c r="QUA72" s="146"/>
      <c r="QUB72" s="146"/>
      <c r="QUC72" s="146"/>
      <c r="QUD72" s="146"/>
      <c r="QUE72" s="146"/>
      <c r="QUF72" s="146"/>
      <c r="QUG72" s="146"/>
      <c r="QUH72" s="146"/>
      <c r="QUI72" s="146"/>
      <c r="QUJ72" s="146"/>
      <c r="QUK72" s="146"/>
      <c r="QUL72" s="146"/>
      <c r="QUM72" s="146"/>
      <c r="QUN72" s="146"/>
      <c r="QUO72" s="146"/>
      <c r="QUP72" s="146"/>
      <c r="QUQ72" s="146"/>
      <c r="QUR72" s="146"/>
      <c r="QUS72" s="146"/>
      <c r="QUT72" s="146"/>
      <c r="QUU72" s="146"/>
      <c r="QUV72" s="146"/>
      <c r="QUW72" s="146"/>
      <c r="QUX72" s="146"/>
      <c r="QUY72" s="146"/>
      <c r="QUZ72" s="146"/>
      <c r="QVA72" s="146"/>
      <c r="QVB72" s="146"/>
      <c r="QVC72" s="146"/>
      <c r="QVD72" s="146"/>
      <c r="QVE72" s="146"/>
      <c r="QVF72" s="146"/>
      <c r="QVG72" s="146"/>
      <c r="QVH72" s="146"/>
      <c r="QVI72" s="146"/>
      <c r="QVJ72" s="146"/>
      <c r="QVK72" s="146"/>
      <c r="QVL72" s="146"/>
      <c r="QVM72" s="146"/>
      <c r="QVN72" s="146"/>
      <c r="QVO72" s="146"/>
      <c r="QVP72" s="146"/>
      <c r="QVQ72" s="146"/>
      <c r="QVR72" s="146"/>
      <c r="QVS72" s="146"/>
      <c r="QVT72" s="146"/>
      <c r="QVU72" s="146"/>
      <c r="QVV72" s="146"/>
      <c r="QVW72" s="146"/>
      <c r="QVX72" s="146"/>
      <c r="QVY72" s="146"/>
      <c r="QVZ72" s="146"/>
      <c r="QWA72" s="146"/>
      <c r="QWB72" s="146"/>
      <c r="QWC72" s="146"/>
      <c r="QWD72" s="146"/>
      <c r="QWE72" s="146"/>
      <c r="QWF72" s="146"/>
      <c r="QWG72" s="146"/>
      <c r="QWH72" s="146"/>
      <c r="QWI72" s="146"/>
      <c r="QWJ72" s="146"/>
      <c r="QWK72" s="146"/>
      <c r="QWL72" s="146"/>
      <c r="QWM72" s="146"/>
      <c r="QWN72" s="146"/>
      <c r="QWO72" s="146"/>
      <c r="QWP72" s="146"/>
      <c r="QWQ72" s="146"/>
      <c r="QWR72" s="146"/>
      <c r="QWS72" s="146"/>
      <c r="QWT72" s="146"/>
      <c r="QWU72" s="146"/>
      <c r="QWV72" s="146"/>
      <c r="QWW72" s="146"/>
      <c r="QWX72" s="146"/>
      <c r="QWY72" s="146"/>
      <c r="QWZ72" s="146"/>
      <c r="QXA72" s="146"/>
      <c r="QXB72" s="146"/>
      <c r="QXC72" s="146"/>
      <c r="QXD72" s="146"/>
      <c r="QXE72" s="146"/>
      <c r="QXF72" s="146"/>
      <c r="QXG72" s="146"/>
      <c r="QXH72" s="146"/>
      <c r="QXI72" s="146"/>
      <c r="QXJ72" s="146"/>
      <c r="QXK72" s="146"/>
      <c r="QXL72" s="146"/>
      <c r="QXM72" s="146"/>
      <c r="QXN72" s="146"/>
      <c r="QXO72" s="146"/>
      <c r="QXP72" s="146"/>
      <c r="QXQ72" s="146"/>
      <c r="QXR72" s="146"/>
      <c r="QXS72" s="146"/>
      <c r="QXT72" s="146"/>
      <c r="QXU72" s="146"/>
      <c r="QXV72" s="146"/>
      <c r="QXW72" s="146"/>
      <c r="QXX72" s="146"/>
      <c r="QXY72" s="146"/>
      <c r="QXZ72" s="146"/>
      <c r="QYA72" s="146"/>
      <c r="QYB72" s="146"/>
      <c r="QYC72" s="146"/>
      <c r="QYD72" s="146"/>
      <c r="QYE72" s="146"/>
      <c r="QYF72" s="146"/>
      <c r="QYG72" s="146"/>
      <c r="QYH72" s="146"/>
      <c r="QYI72" s="146"/>
      <c r="QYJ72" s="146"/>
      <c r="QYK72" s="146"/>
      <c r="QYL72" s="146"/>
      <c r="QYM72" s="146"/>
      <c r="QYN72" s="146"/>
      <c r="QYO72" s="146"/>
      <c r="QYP72" s="146"/>
      <c r="QYQ72" s="146"/>
      <c r="QYR72" s="146"/>
      <c r="QYS72" s="146"/>
      <c r="QYT72" s="146"/>
      <c r="QYU72" s="146"/>
      <c r="QYV72" s="146"/>
      <c r="QYW72" s="146"/>
      <c r="QYX72" s="146"/>
      <c r="QYY72" s="146"/>
      <c r="QYZ72" s="146"/>
      <c r="QZA72" s="146"/>
      <c r="QZB72" s="146"/>
      <c r="QZC72" s="146"/>
      <c r="QZD72" s="146"/>
      <c r="QZE72" s="146"/>
      <c r="QZF72" s="146"/>
      <c r="QZG72" s="146"/>
      <c r="QZH72" s="146"/>
      <c r="QZI72" s="146"/>
      <c r="QZJ72" s="146"/>
      <c r="QZK72" s="146"/>
      <c r="QZL72" s="146"/>
      <c r="QZM72" s="146"/>
      <c r="QZN72" s="146"/>
      <c r="QZO72" s="146"/>
      <c r="QZP72" s="146"/>
      <c r="QZQ72" s="146"/>
      <c r="QZR72" s="146"/>
      <c r="QZS72" s="146"/>
      <c r="QZT72" s="146"/>
      <c r="QZU72" s="146"/>
      <c r="QZV72" s="146"/>
      <c r="QZW72" s="146"/>
      <c r="QZX72" s="146"/>
      <c r="QZY72" s="146"/>
      <c r="QZZ72" s="146"/>
      <c r="RAA72" s="146"/>
      <c r="RAB72" s="146"/>
      <c r="RAC72" s="146"/>
      <c r="RAD72" s="146"/>
      <c r="RAE72" s="146"/>
      <c r="RAF72" s="146"/>
      <c r="RAG72" s="146"/>
      <c r="RAH72" s="146"/>
      <c r="RAI72" s="146"/>
      <c r="RAJ72" s="146"/>
      <c r="RAK72" s="146"/>
      <c r="RAL72" s="146"/>
      <c r="RAM72" s="146"/>
      <c r="RAN72" s="146"/>
      <c r="RAO72" s="146"/>
      <c r="RAP72" s="146"/>
      <c r="RAQ72" s="146"/>
      <c r="RAR72" s="146"/>
      <c r="RAS72" s="146"/>
      <c r="RAT72" s="146"/>
      <c r="RAU72" s="146"/>
      <c r="RAV72" s="146"/>
      <c r="RAW72" s="146"/>
      <c r="RAX72" s="146"/>
      <c r="RAY72" s="146"/>
      <c r="RAZ72" s="146"/>
      <c r="RBA72" s="146"/>
      <c r="RBB72" s="146"/>
      <c r="RBC72" s="146"/>
      <c r="RBD72" s="146"/>
      <c r="RBE72" s="146"/>
      <c r="RBF72" s="146"/>
      <c r="RBG72" s="146"/>
      <c r="RBH72" s="146"/>
      <c r="RBI72" s="146"/>
      <c r="RBJ72" s="146"/>
      <c r="RBK72" s="146"/>
      <c r="RBL72" s="146"/>
      <c r="RBM72" s="146"/>
      <c r="RBN72" s="146"/>
      <c r="RBO72" s="146"/>
      <c r="RBP72" s="146"/>
      <c r="RBQ72" s="146"/>
      <c r="RBR72" s="146"/>
      <c r="RBS72" s="146"/>
      <c r="RBT72" s="146"/>
      <c r="RBU72" s="146"/>
      <c r="RBV72" s="146"/>
      <c r="RBW72" s="146"/>
      <c r="RBX72" s="146"/>
      <c r="RBY72" s="146"/>
      <c r="RBZ72" s="146"/>
      <c r="RCA72" s="146"/>
      <c r="RCB72" s="146"/>
      <c r="RCC72" s="146"/>
      <c r="RCD72" s="146"/>
      <c r="RCE72" s="146"/>
      <c r="RCF72" s="146"/>
      <c r="RCG72" s="146"/>
      <c r="RCH72" s="146"/>
      <c r="RCI72" s="146"/>
      <c r="RCJ72" s="146"/>
      <c r="RCK72" s="146"/>
      <c r="RCL72" s="146"/>
      <c r="RCM72" s="146"/>
      <c r="RCN72" s="146"/>
      <c r="RCO72" s="146"/>
      <c r="RCP72" s="146"/>
      <c r="RCQ72" s="146"/>
      <c r="RCR72" s="146"/>
      <c r="RCS72" s="146"/>
      <c r="RCT72" s="146"/>
      <c r="RCU72" s="146"/>
      <c r="RCV72" s="146"/>
      <c r="RCW72" s="146"/>
      <c r="RCX72" s="146"/>
      <c r="RCY72" s="146"/>
      <c r="RCZ72" s="146"/>
      <c r="RDA72" s="146"/>
      <c r="RDB72" s="146"/>
      <c r="RDC72" s="146"/>
      <c r="RDD72" s="146"/>
      <c r="RDE72" s="146"/>
      <c r="RDF72" s="146"/>
      <c r="RDG72" s="146"/>
      <c r="RDH72" s="146"/>
      <c r="RDI72" s="146"/>
      <c r="RDJ72" s="146"/>
      <c r="RDK72" s="146"/>
      <c r="RDL72" s="146"/>
      <c r="RDM72" s="146"/>
      <c r="RDN72" s="146"/>
      <c r="RDO72" s="146"/>
      <c r="RDP72" s="146"/>
      <c r="RDQ72" s="146"/>
      <c r="RDR72" s="146"/>
      <c r="RDS72" s="146"/>
      <c r="RDT72" s="146"/>
      <c r="RDU72" s="146"/>
      <c r="RDV72" s="146"/>
      <c r="RDW72" s="146"/>
      <c r="RDX72" s="146"/>
      <c r="RDY72" s="146"/>
      <c r="RDZ72" s="146"/>
      <c r="REA72" s="146"/>
      <c r="REB72" s="146"/>
      <c r="REC72" s="146"/>
      <c r="RED72" s="146"/>
      <c r="REE72" s="146"/>
      <c r="REF72" s="146"/>
      <c r="REG72" s="146"/>
      <c r="REH72" s="146"/>
      <c r="REI72" s="146"/>
      <c r="REJ72" s="146"/>
      <c r="REK72" s="146"/>
      <c r="REL72" s="146"/>
      <c r="REM72" s="146"/>
      <c r="REN72" s="146"/>
      <c r="REO72" s="146"/>
      <c r="REP72" s="146"/>
      <c r="REQ72" s="146"/>
      <c r="RER72" s="146"/>
      <c r="RES72" s="146"/>
      <c r="RET72" s="146"/>
      <c r="REU72" s="146"/>
      <c r="REV72" s="146"/>
      <c r="REW72" s="146"/>
      <c r="REX72" s="146"/>
      <c r="REY72" s="146"/>
      <c r="REZ72" s="146"/>
      <c r="RFA72" s="146"/>
      <c r="RFB72" s="146"/>
      <c r="RFC72" s="146"/>
      <c r="RFD72" s="146"/>
      <c r="RFE72" s="146"/>
      <c r="RFF72" s="146"/>
      <c r="RFG72" s="146"/>
      <c r="RFH72" s="146"/>
      <c r="RFI72" s="146"/>
      <c r="RFJ72" s="146"/>
      <c r="RFK72" s="146"/>
      <c r="RFL72" s="146"/>
      <c r="RFM72" s="146"/>
      <c r="RFN72" s="146"/>
      <c r="RFO72" s="146"/>
      <c r="RFP72" s="146"/>
      <c r="RFQ72" s="146"/>
      <c r="RFR72" s="146"/>
      <c r="RFS72" s="146"/>
      <c r="RFT72" s="146"/>
      <c r="RFU72" s="146"/>
      <c r="RFV72" s="146"/>
      <c r="RFW72" s="146"/>
      <c r="RFX72" s="146"/>
      <c r="RFY72" s="146"/>
      <c r="RFZ72" s="146"/>
      <c r="RGA72" s="146"/>
      <c r="RGB72" s="146"/>
      <c r="RGC72" s="146"/>
      <c r="RGD72" s="146"/>
      <c r="RGE72" s="146"/>
      <c r="RGF72" s="146"/>
      <c r="RGG72" s="146"/>
      <c r="RGH72" s="146"/>
      <c r="RGI72" s="146"/>
      <c r="RGJ72" s="146"/>
      <c r="RGK72" s="146"/>
      <c r="RGL72" s="146"/>
      <c r="RGM72" s="146"/>
      <c r="RGN72" s="146"/>
      <c r="RGO72" s="146"/>
      <c r="RGP72" s="146"/>
      <c r="RGQ72" s="146"/>
      <c r="RGR72" s="146"/>
      <c r="RGS72" s="146"/>
      <c r="RGT72" s="146"/>
      <c r="RGU72" s="146"/>
      <c r="RGV72" s="146"/>
      <c r="RGW72" s="146"/>
      <c r="RGX72" s="146"/>
      <c r="RGY72" s="146"/>
      <c r="RGZ72" s="146"/>
      <c r="RHA72" s="146"/>
      <c r="RHB72" s="146"/>
      <c r="RHC72" s="146"/>
      <c r="RHD72" s="146"/>
      <c r="RHE72" s="146"/>
      <c r="RHF72" s="146"/>
      <c r="RHG72" s="146"/>
      <c r="RHH72" s="146"/>
      <c r="RHI72" s="146"/>
      <c r="RHJ72" s="146"/>
      <c r="RHK72" s="146"/>
      <c r="RHL72" s="146"/>
      <c r="RHM72" s="146"/>
      <c r="RHN72" s="146"/>
      <c r="RHO72" s="146"/>
      <c r="RHP72" s="146"/>
      <c r="RHQ72" s="146"/>
      <c r="RHR72" s="146"/>
      <c r="RHS72" s="146"/>
      <c r="RHT72" s="146"/>
      <c r="RHU72" s="146"/>
      <c r="RHV72" s="146"/>
      <c r="RHW72" s="146"/>
      <c r="RHX72" s="146"/>
      <c r="RHY72" s="146"/>
      <c r="RHZ72" s="146"/>
      <c r="RIA72" s="146"/>
      <c r="RIB72" s="146"/>
      <c r="RIC72" s="146"/>
      <c r="RID72" s="146"/>
      <c r="RIE72" s="146"/>
      <c r="RIF72" s="146"/>
      <c r="RIG72" s="146"/>
      <c r="RIH72" s="146"/>
      <c r="RII72" s="146"/>
      <c r="RIJ72" s="146"/>
      <c r="RIK72" s="146"/>
      <c r="RIL72" s="146"/>
      <c r="RIM72" s="146"/>
      <c r="RIN72" s="146"/>
      <c r="RIO72" s="146"/>
      <c r="RIP72" s="146"/>
      <c r="RIQ72" s="146"/>
      <c r="RIR72" s="146"/>
      <c r="RIS72" s="146"/>
      <c r="RIT72" s="146"/>
      <c r="RIU72" s="146"/>
      <c r="RIV72" s="146"/>
      <c r="RIW72" s="146"/>
      <c r="RIX72" s="146"/>
      <c r="RIY72" s="146"/>
      <c r="RIZ72" s="146"/>
      <c r="RJA72" s="146"/>
      <c r="RJB72" s="146"/>
      <c r="RJC72" s="146"/>
      <c r="RJD72" s="146"/>
      <c r="RJE72" s="146"/>
      <c r="RJF72" s="146"/>
      <c r="RJG72" s="146"/>
      <c r="RJH72" s="146"/>
      <c r="RJI72" s="146"/>
      <c r="RJJ72" s="146"/>
      <c r="RJK72" s="146"/>
      <c r="RJL72" s="146"/>
      <c r="RJM72" s="146"/>
      <c r="RJN72" s="146"/>
      <c r="RJO72" s="146"/>
      <c r="RJP72" s="146"/>
      <c r="RJQ72" s="146"/>
      <c r="RJR72" s="146"/>
      <c r="RJS72" s="146"/>
      <c r="RJT72" s="146"/>
      <c r="RJU72" s="146"/>
      <c r="RJV72" s="146"/>
      <c r="RJW72" s="146"/>
      <c r="RJX72" s="146"/>
      <c r="RJY72" s="146"/>
      <c r="RJZ72" s="146"/>
      <c r="RKA72" s="146"/>
      <c r="RKB72" s="146"/>
      <c r="RKC72" s="146"/>
      <c r="RKD72" s="146"/>
      <c r="RKE72" s="146"/>
      <c r="RKF72" s="146"/>
      <c r="RKG72" s="146"/>
      <c r="RKH72" s="146"/>
      <c r="RKI72" s="146"/>
      <c r="RKJ72" s="146"/>
      <c r="RKK72" s="146"/>
      <c r="RKL72" s="146"/>
      <c r="RKM72" s="146"/>
      <c r="RKN72" s="146"/>
      <c r="RKO72" s="146"/>
      <c r="RKP72" s="146"/>
      <c r="RKQ72" s="146"/>
      <c r="RKR72" s="146"/>
      <c r="RKS72" s="146"/>
      <c r="RKT72" s="146"/>
      <c r="RKU72" s="146"/>
      <c r="RKV72" s="146"/>
      <c r="RKW72" s="146"/>
      <c r="RKX72" s="146"/>
      <c r="RKY72" s="146"/>
      <c r="RKZ72" s="146"/>
      <c r="RLA72" s="146"/>
      <c r="RLB72" s="146"/>
      <c r="RLC72" s="146"/>
      <c r="RLD72" s="146"/>
      <c r="RLE72" s="146"/>
      <c r="RLF72" s="146"/>
      <c r="RLG72" s="146"/>
      <c r="RLH72" s="146"/>
      <c r="RLI72" s="146"/>
      <c r="RLJ72" s="146"/>
      <c r="RLK72" s="146"/>
      <c r="RLL72" s="146"/>
      <c r="RLM72" s="146"/>
      <c r="RLN72" s="146"/>
      <c r="RLO72" s="146"/>
      <c r="RLP72" s="146"/>
      <c r="RLQ72" s="146"/>
      <c r="RLR72" s="146"/>
      <c r="RLS72" s="146"/>
      <c r="RLT72" s="146"/>
      <c r="RLU72" s="146"/>
      <c r="RLV72" s="146"/>
      <c r="RLW72" s="146"/>
      <c r="RLX72" s="146"/>
      <c r="RLY72" s="146"/>
      <c r="RLZ72" s="146"/>
      <c r="RMA72" s="146"/>
      <c r="RMB72" s="146"/>
      <c r="RMC72" s="146"/>
      <c r="RMD72" s="146"/>
      <c r="RME72" s="146"/>
      <c r="RMF72" s="146"/>
      <c r="RMG72" s="146"/>
      <c r="RMH72" s="146"/>
      <c r="RMI72" s="146"/>
      <c r="RMJ72" s="146"/>
      <c r="RMK72" s="146"/>
      <c r="RML72" s="146"/>
      <c r="RMM72" s="146"/>
      <c r="RMN72" s="146"/>
      <c r="RMO72" s="146"/>
      <c r="RMP72" s="146"/>
      <c r="RMQ72" s="146"/>
      <c r="RMR72" s="146"/>
      <c r="RMS72" s="146"/>
      <c r="RMT72" s="146"/>
      <c r="RMU72" s="146"/>
      <c r="RMV72" s="146"/>
      <c r="RMW72" s="146"/>
      <c r="RMX72" s="146"/>
      <c r="RMY72" s="146"/>
      <c r="RMZ72" s="146"/>
      <c r="RNA72" s="146"/>
      <c r="RNB72" s="146"/>
      <c r="RNC72" s="146"/>
      <c r="RND72" s="146"/>
      <c r="RNE72" s="146"/>
      <c r="RNF72" s="146"/>
      <c r="RNG72" s="146"/>
      <c r="RNH72" s="146"/>
      <c r="RNI72" s="146"/>
      <c r="RNJ72" s="146"/>
      <c r="RNK72" s="146"/>
      <c r="RNL72" s="146"/>
      <c r="RNM72" s="146"/>
      <c r="RNN72" s="146"/>
      <c r="RNO72" s="146"/>
      <c r="RNP72" s="146"/>
      <c r="RNQ72" s="146"/>
      <c r="RNR72" s="146"/>
      <c r="RNS72" s="146"/>
      <c r="RNT72" s="146"/>
      <c r="RNU72" s="146"/>
      <c r="RNV72" s="146"/>
      <c r="RNW72" s="146"/>
      <c r="RNX72" s="146"/>
      <c r="RNY72" s="146"/>
      <c r="RNZ72" s="146"/>
      <c r="ROA72" s="146"/>
      <c r="ROB72" s="146"/>
      <c r="ROC72" s="146"/>
      <c r="ROD72" s="146"/>
      <c r="ROE72" s="146"/>
      <c r="ROF72" s="146"/>
      <c r="ROG72" s="146"/>
      <c r="ROH72" s="146"/>
      <c r="ROI72" s="146"/>
      <c r="ROJ72" s="146"/>
      <c r="ROK72" s="146"/>
      <c r="ROL72" s="146"/>
      <c r="ROM72" s="146"/>
      <c r="RON72" s="146"/>
      <c r="ROO72" s="146"/>
      <c r="ROP72" s="146"/>
      <c r="ROQ72" s="146"/>
      <c r="ROR72" s="146"/>
      <c r="ROS72" s="146"/>
      <c r="ROT72" s="146"/>
      <c r="ROU72" s="146"/>
      <c r="ROV72" s="146"/>
      <c r="ROW72" s="146"/>
      <c r="ROX72" s="146"/>
      <c r="ROY72" s="146"/>
      <c r="ROZ72" s="146"/>
      <c r="RPA72" s="146"/>
      <c r="RPB72" s="146"/>
      <c r="RPC72" s="146"/>
      <c r="RPD72" s="146"/>
      <c r="RPE72" s="146"/>
      <c r="RPF72" s="146"/>
      <c r="RPG72" s="146"/>
      <c r="RPH72" s="146"/>
      <c r="RPI72" s="146"/>
      <c r="RPJ72" s="146"/>
      <c r="RPK72" s="146"/>
      <c r="RPL72" s="146"/>
      <c r="RPM72" s="146"/>
      <c r="RPN72" s="146"/>
      <c r="RPO72" s="146"/>
      <c r="RPP72" s="146"/>
      <c r="RPQ72" s="146"/>
      <c r="RPR72" s="146"/>
      <c r="RPS72" s="146"/>
      <c r="RPT72" s="146"/>
      <c r="RPU72" s="146"/>
      <c r="RPV72" s="146"/>
      <c r="RPW72" s="146"/>
      <c r="RPX72" s="146"/>
      <c r="RPY72" s="146"/>
      <c r="RPZ72" s="146"/>
      <c r="RQA72" s="146"/>
      <c r="RQB72" s="146"/>
      <c r="RQC72" s="146"/>
      <c r="RQD72" s="146"/>
      <c r="RQE72" s="146"/>
      <c r="RQF72" s="146"/>
      <c r="RQG72" s="146"/>
      <c r="RQH72" s="146"/>
      <c r="RQI72" s="146"/>
      <c r="RQJ72" s="146"/>
      <c r="RQK72" s="146"/>
      <c r="RQL72" s="146"/>
      <c r="RQM72" s="146"/>
      <c r="RQN72" s="146"/>
      <c r="RQO72" s="146"/>
      <c r="RQP72" s="146"/>
      <c r="RQQ72" s="146"/>
      <c r="RQR72" s="146"/>
      <c r="RQS72" s="146"/>
      <c r="RQT72" s="146"/>
      <c r="RQU72" s="146"/>
      <c r="RQV72" s="146"/>
      <c r="RQW72" s="146"/>
      <c r="RQX72" s="146"/>
      <c r="RQY72" s="146"/>
      <c r="RQZ72" s="146"/>
      <c r="RRA72" s="146"/>
      <c r="RRB72" s="146"/>
      <c r="RRC72" s="146"/>
      <c r="RRD72" s="146"/>
      <c r="RRE72" s="146"/>
      <c r="RRF72" s="146"/>
      <c r="RRG72" s="146"/>
      <c r="RRH72" s="146"/>
      <c r="RRI72" s="146"/>
      <c r="RRJ72" s="146"/>
      <c r="RRK72" s="146"/>
      <c r="RRL72" s="146"/>
      <c r="RRM72" s="146"/>
      <c r="RRN72" s="146"/>
      <c r="RRO72" s="146"/>
      <c r="RRP72" s="146"/>
      <c r="RRQ72" s="146"/>
      <c r="RRR72" s="146"/>
      <c r="RRS72" s="146"/>
      <c r="RRT72" s="146"/>
      <c r="RRU72" s="146"/>
      <c r="RRV72" s="146"/>
      <c r="RRW72" s="146"/>
      <c r="RRX72" s="146"/>
      <c r="RRY72" s="146"/>
      <c r="RRZ72" s="146"/>
      <c r="RSA72" s="146"/>
      <c r="RSB72" s="146"/>
      <c r="RSC72" s="146"/>
      <c r="RSD72" s="146"/>
      <c r="RSE72" s="146"/>
      <c r="RSF72" s="146"/>
      <c r="RSG72" s="146"/>
      <c r="RSH72" s="146"/>
      <c r="RSI72" s="146"/>
      <c r="RSJ72" s="146"/>
      <c r="RSK72" s="146"/>
      <c r="RSL72" s="146"/>
      <c r="RSM72" s="146"/>
      <c r="RSN72" s="146"/>
      <c r="RSO72" s="146"/>
      <c r="RSP72" s="146"/>
      <c r="RSQ72" s="146"/>
      <c r="RSR72" s="146"/>
      <c r="RSS72" s="146"/>
      <c r="RST72" s="146"/>
      <c r="RSU72" s="146"/>
      <c r="RSV72" s="146"/>
      <c r="RSW72" s="146"/>
      <c r="RSX72" s="146"/>
      <c r="RSY72" s="146"/>
      <c r="RSZ72" s="146"/>
      <c r="RTA72" s="146"/>
      <c r="RTB72" s="146"/>
      <c r="RTC72" s="146"/>
      <c r="RTD72" s="146"/>
      <c r="RTE72" s="146"/>
      <c r="RTF72" s="146"/>
      <c r="RTG72" s="146"/>
      <c r="RTH72" s="146"/>
      <c r="RTI72" s="146"/>
      <c r="RTJ72" s="146"/>
      <c r="RTK72" s="146"/>
      <c r="RTL72" s="146"/>
      <c r="RTM72" s="146"/>
      <c r="RTN72" s="146"/>
      <c r="RTO72" s="146"/>
      <c r="RTP72" s="146"/>
      <c r="RTQ72" s="146"/>
      <c r="RTR72" s="146"/>
      <c r="RTS72" s="146"/>
      <c r="RTT72" s="146"/>
      <c r="RTU72" s="146"/>
      <c r="RTV72" s="146"/>
      <c r="RTW72" s="146"/>
      <c r="RTX72" s="146"/>
      <c r="RTY72" s="146"/>
      <c r="RTZ72" s="146"/>
      <c r="RUA72" s="146"/>
      <c r="RUB72" s="146"/>
      <c r="RUC72" s="146"/>
      <c r="RUD72" s="146"/>
      <c r="RUE72" s="146"/>
      <c r="RUF72" s="146"/>
      <c r="RUG72" s="146"/>
      <c r="RUH72" s="146"/>
      <c r="RUI72" s="146"/>
      <c r="RUJ72" s="146"/>
      <c r="RUK72" s="146"/>
      <c r="RUL72" s="146"/>
      <c r="RUM72" s="146"/>
      <c r="RUN72" s="146"/>
      <c r="RUO72" s="146"/>
      <c r="RUP72" s="146"/>
      <c r="RUQ72" s="146"/>
      <c r="RUR72" s="146"/>
      <c r="RUS72" s="146"/>
      <c r="RUT72" s="146"/>
      <c r="RUU72" s="146"/>
      <c r="RUV72" s="146"/>
      <c r="RUW72" s="146"/>
      <c r="RUX72" s="146"/>
      <c r="RUY72" s="146"/>
      <c r="RUZ72" s="146"/>
      <c r="RVA72" s="146"/>
      <c r="RVB72" s="146"/>
      <c r="RVC72" s="146"/>
      <c r="RVD72" s="146"/>
      <c r="RVE72" s="146"/>
      <c r="RVF72" s="146"/>
      <c r="RVG72" s="146"/>
      <c r="RVH72" s="146"/>
      <c r="RVI72" s="146"/>
      <c r="RVJ72" s="146"/>
      <c r="RVK72" s="146"/>
      <c r="RVL72" s="146"/>
      <c r="RVM72" s="146"/>
      <c r="RVN72" s="146"/>
      <c r="RVO72" s="146"/>
      <c r="RVP72" s="146"/>
      <c r="RVQ72" s="146"/>
      <c r="RVR72" s="146"/>
      <c r="RVS72" s="146"/>
      <c r="RVT72" s="146"/>
      <c r="RVU72" s="146"/>
      <c r="RVV72" s="146"/>
      <c r="RVW72" s="146"/>
      <c r="RVX72" s="146"/>
      <c r="RVY72" s="146"/>
      <c r="RVZ72" s="146"/>
      <c r="RWA72" s="146"/>
      <c r="RWB72" s="146"/>
      <c r="RWC72" s="146"/>
      <c r="RWD72" s="146"/>
      <c r="RWE72" s="146"/>
      <c r="RWF72" s="146"/>
      <c r="RWG72" s="146"/>
      <c r="RWH72" s="146"/>
      <c r="RWI72" s="146"/>
      <c r="RWJ72" s="146"/>
      <c r="RWK72" s="146"/>
      <c r="RWL72" s="146"/>
      <c r="RWM72" s="146"/>
      <c r="RWN72" s="146"/>
      <c r="RWO72" s="146"/>
      <c r="RWP72" s="146"/>
      <c r="RWQ72" s="146"/>
      <c r="RWR72" s="146"/>
      <c r="RWS72" s="146"/>
      <c r="RWT72" s="146"/>
      <c r="RWU72" s="146"/>
      <c r="RWV72" s="146"/>
      <c r="RWW72" s="146"/>
      <c r="RWX72" s="146"/>
      <c r="RWY72" s="146"/>
      <c r="RWZ72" s="146"/>
      <c r="RXA72" s="146"/>
      <c r="RXB72" s="146"/>
      <c r="RXC72" s="146"/>
      <c r="RXD72" s="146"/>
      <c r="RXE72" s="146"/>
      <c r="RXF72" s="146"/>
      <c r="RXG72" s="146"/>
      <c r="RXH72" s="146"/>
      <c r="RXI72" s="146"/>
      <c r="RXJ72" s="146"/>
      <c r="RXK72" s="146"/>
      <c r="RXL72" s="146"/>
      <c r="RXM72" s="146"/>
      <c r="RXN72" s="146"/>
      <c r="RXO72" s="146"/>
      <c r="RXP72" s="146"/>
      <c r="RXQ72" s="146"/>
      <c r="RXR72" s="146"/>
      <c r="RXS72" s="146"/>
      <c r="RXT72" s="146"/>
      <c r="RXU72" s="146"/>
      <c r="RXV72" s="146"/>
      <c r="RXW72" s="146"/>
      <c r="RXX72" s="146"/>
      <c r="RXY72" s="146"/>
      <c r="RXZ72" s="146"/>
      <c r="RYA72" s="146"/>
      <c r="RYB72" s="146"/>
      <c r="RYC72" s="146"/>
      <c r="RYD72" s="146"/>
      <c r="RYE72" s="146"/>
      <c r="RYF72" s="146"/>
      <c r="RYG72" s="146"/>
      <c r="RYH72" s="146"/>
      <c r="RYI72" s="146"/>
      <c r="RYJ72" s="146"/>
      <c r="RYK72" s="146"/>
      <c r="RYL72" s="146"/>
      <c r="RYM72" s="146"/>
      <c r="RYN72" s="146"/>
      <c r="RYO72" s="146"/>
      <c r="RYP72" s="146"/>
      <c r="RYQ72" s="146"/>
      <c r="RYR72" s="146"/>
      <c r="RYS72" s="146"/>
      <c r="RYT72" s="146"/>
      <c r="RYU72" s="146"/>
      <c r="RYV72" s="146"/>
      <c r="RYW72" s="146"/>
      <c r="RYX72" s="146"/>
      <c r="RYY72" s="146"/>
      <c r="RYZ72" s="146"/>
      <c r="RZA72" s="146"/>
      <c r="RZB72" s="146"/>
      <c r="RZC72" s="146"/>
      <c r="RZD72" s="146"/>
      <c r="RZE72" s="146"/>
      <c r="RZF72" s="146"/>
      <c r="RZG72" s="146"/>
      <c r="RZH72" s="146"/>
      <c r="RZI72" s="146"/>
      <c r="RZJ72" s="146"/>
      <c r="RZK72" s="146"/>
      <c r="RZL72" s="146"/>
      <c r="RZM72" s="146"/>
      <c r="RZN72" s="146"/>
      <c r="RZO72" s="146"/>
      <c r="RZP72" s="146"/>
      <c r="RZQ72" s="146"/>
      <c r="RZR72" s="146"/>
      <c r="RZS72" s="146"/>
      <c r="RZT72" s="146"/>
      <c r="RZU72" s="146"/>
      <c r="RZV72" s="146"/>
      <c r="RZW72" s="146"/>
      <c r="RZX72" s="146"/>
      <c r="RZY72" s="146"/>
      <c r="RZZ72" s="146"/>
      <c r="SAA72" s="146"/>
      <c r="SAB72" s="146"/>
      <c r="SAC72" s="146"/>
      <c r="SAD72" s="146"/>
      <c r="SAE72" s="146"/>
      <c r="SAF72" s="146"/>
      <c r="SAG72" s="146"/>
      <c r="SAH72" s="146"/>
      <c r="SAI72" s="146"/>
      <c r="SAJ72" s="146"/>
      <c r="SAK72" s="146"/>
      <c r="SAL72" s="146"/>
      <c r="SAM72" s="146"/>
      <c r="SAN72" s="146"/>
      <c r="SAO72" s="146"/>
      <c r="SAP72" s="146"/>
      <c r="SAQ72" s="146"/>
      <c r="SAR72" s="146"/>
      <c r="SAS72" s="146"/>
      <c r="SAT72" s="146"/>
      <c r="SAU72" s="146"/>
      <c r="SAV72" s="146"/>
      <c r="SAW72" s="146"/>
      <c r="SAX72" s="146"/>
      <c r="SAY72" s="146"/>
      <c r="SAZ72" s="146"/>
      <c r="SBA72" s="146"/>
      <c r="SBB72" s="146"/>
      <c r="SBC72" s="146"/>
      <c r="SBD72" s="146"/>
      <c r="SBE72" s="146"/>
      <c r="SBF72" s="146"/>
      <c r="SBG72" s="146"/>
      <c r="SBH72" s="146"/>
      <c r="SBI72" s="146"/>
      <c r="SBJ72" s="146"/>
      <c r="SBK72" s="146"/>
      <c r="SBL72" s="146"/>
      <c r="SBM72" s="146"/>
      <c r="SBN72" s="146"/>
      <c r="SBO72" s="146"/>
      <c r="SBP72" s="146"/>
      <c r="SBQ72" s="146"/>
      <c r="SBR72" s="146"/>
      <c r="SBS72" s="146"/>
      <c r="SBT72" s="146"/>
      <c r="SBU72" s="146"/>
      <c r="SBV72" s="146"/>
      <c r="SBW72" s="146"/>
      <c r="SBX72" s="146"/>
      <c r="SBY72" s="146"/>
      <c r="SBZ72" s="146"/>
      <c r="SCA72" s="146"/>
      <c r="SCB72" s="146"/>
      <c r="SCC72" s="146"/>
      <c r="SCD72" s="146"/>
      <c r="SCE72" s="146"/>
      <c r="SCF72" s="146"/>
      <c r="SCG72" s="146"/>
      <c r="SCH72" s="146"/>
      <c r="SCI72" s="146"/>
      <c r="SCJ72" s="146"/>
      <c r="SCK72" s="146"/>
      <c r="SCL72" s="146"/>
      <c r="SCM72" s="146"/>
      <c r="SCN72" s="146"/>
      <c r="SCO72" s="146"/>
      <c r="SCP72" s="146"/>
      <c r="SCQ72" s="146"/>
      <c r="SCR72" s="146"/>
      <c r="SCS72" s="146"/>
      <c r="SCT72" s="146"/>
      <c r="SCU72" s="146"/>
      <c r="SCV72" s="146"/>
      <c r="SCW72" s="146"/>
      <c r="SCX72" s="146"/>
      <c r="SCY72" s="146"/>
      <c r="SCZ72" s="146"/>
      <c r="SDA72" s="146"/>
      <c r="SDB72" s="146"/>
      <c r="SDC72" s="146"/>
      <c r="SDD72" s="146"/>
      <c r="SDE72" s="146"/>
      <c r="SDF72" s="146"/>
      <c r="SDG72" s="146"/>
      <c r="SDH72" s="146"/>
      <c r="SDI72" s="146"/>
      <c r="SDJ72" s="146"/>
      <c r="SDK72" s="146"/>
      <c r="SDL72" s="146"/>
      <c r="SDM72" s="146"/>
      <c r="SDN72" s="146"/>
      <c r="SDO72" s="146"/>
      <c r="SDP72" s="146"/>
      <c r="SDQ72" s="146"/>
      <c r="SDR72" s="146"/>
      <c r="SDS72" s="146"/>
      <c r="SDT72" s="146"/>
      <c r="SDU72" s="146"/>
      <c r="SDV72" s="146"/>
      <c r="SDW72" s="146"/>
      <c r="SDX72" s="146"/>
      <c r="SDY72" s="146"/>
      <c r="SDZ72" s="146"/>
      <c r="SEA72" s="146"/>
      <c r="SEB72" s="146"/>
      <c r="SEC72" s="146"/>
      <c r="SED72" s="146"/>
      <c r="SEE72" s="146"/>
      <c r="SEF72" s="146"/>
      <c r="SEG72" s="146"/>
      <c r="SEH72" s="146"/>
      <c r="SEI72" s="146"/>
      <c r="SEJ72" s="146"/>
      <c r="SEK72" s="146"/>
      <c r="SEL72" s="146"/>
      <c r="SEM72" s="146"/>
      <c r="SEN72" s="146"/>
      <c r="SEO72" s="146"/>
      <c r="SEP72" s="146"/>
      <c r="SEQ72" s="146"/>
      <c r="SER72" s="146"/>
      <c r="SES72" s="146"/>
      <c r="SET72" s="146"/>
      <c r="SEU72" s="146"/>
      <c r="SEV72" s="146"/>
      <c r="SEW72" s="146"/>
      <c r="SEX72" s="146"/>
      <c r="SEY72" s="146"/>
      <c r="SEZ72" s="146"/>
      <c r="SFA72" s="146"/>
      <c r="SFB72" s="146"/>
      <c r="SFC72" s="146"/>
      <c r="SFD72" s="146"/>
      <c r="SFE72" s="146"/>
      <c r="SFF72" s="146"/>
      <c r="SFG72" s="146"/>
      <c r="SFH72" s="146"/>
      <c r="SFI72" s="146"/>
      <c r="SFJ72" s="146"/>
      <c r="SFK72" s="146"/>
      <c r="SFL72" s="146"/>
      <c r="SFM72" s="146"/>
      <c r="SFN72" s="146"/>
      <c r="SFO72" s="146"/>
      <c r="SFP72" s="146"/>
      <c r="SFQ72" s="146"/>
      <c r="SFR72" s="146"/>
      <c r="SFS72" s="146"/>
      <c r="SFT72" s="146"/>
      <c r="SFU72" s="146"/>
      <c r="SFV72" s="146"/>
      <c r="SFW72" s="146"/>
      <c r="SFX72" s="146"/>
      <c r="SFY72" s="146"/>
      <c r="SFZ72" s="146"/>
      <c r="SGA72" s="146"/>
      <c r="SGB72" s="146"/>
      <c r="SGC72" s="146"/>
      <c r="SGD72" s="146"/>
      <c r="SGE72" s="146"/>
      <c r="SGF72" s="146"/>
      <c r="SGG72" s="146"/>
      <c r="SGH72" s="146"/>
      <c r="SGI72" s="146"/>
      <c r="SGJ72" s="146"/>
      <c r="SGK72" s="146"/>
      <c r="SGL72" s="146"/>
      <c r="SGM72" s="146"/>
      <c r="SGN72" s="146"/>
      <c r="SGO72" s="146"/>
      <c r="SGP72" s="146"/>
      <c r="SGQ72" s="146"/>
      <c r="SGR72" s="146"/>
      <c r="SGS72" s="146"/>
      <c r="SGT72" s="146"/>
      <c r="SGU72" s="146"/>
      <c r="SGV72" s="146"/>
      <c r="SGW72" s="146"/>
      <c r="SGX72" s="146"/>
      <c r="SGY72" s="146"/>
      <c r="SGZ72" s="146"/>
      <c r="SHA72" s="146"/>
      <c r="SHB72" s="146"/>
      <c r="SHC72" s="146"/>
      <c r="SHD72" s="146"/>
      <c r="SHE72" s="146"/>
      <c r="SHF72" s="146"/>
      <c r="SHG72" s="146"/>
      <c r="SHH72" s="146"/>
      <c r="SHI72" s="146"/>
      <c r="SHJ72" s="146"/>
      <c r="SHK72" s="146"/>
      <c r="SHL72" s="146"/>
      <c r="SHM72" s="146"/>
      <c r="SHN72" s="146"/>
      <c r="SHO72" s="146"/>
      <c r="SHP72" s="146"/>
      <c r="SHQ72" s="146"/>
      <c r="SHR72" s="146"/>
      <c r="SHS72" s="146"/>
      <c r="SHT72" s="146"/>
      <c r="SHU72" s="146"/>
      <c r="SHV72" s="146"/>
      <c r="SHW72" s="146"/>
      <c r="SHX72" s="146"/>
      <c r="SHY72" s="146"/>
      <c r="SHZ72" s="146"/>
      <c r="SIA72" s="146"/>
      <c r="SIB72" s="146"/>
      <c r="SIC72" s="146"/>
      <c r="SID72" s="146"/>
      <c r="SIE72" s="146"/>
      <c r="SIF72" s="146"/>
      <c r="SIG72" s="146"/>
      <c r="SIH72" s="146"/>
      <c r="SII72" s="146"/>
      <c r="SIJ72" s="146"/>
      <c r="SIK72" s="146"/>
      <c r="SIL72" s="146"/>
      <c r="SIM72" s="146"/>
      <c r="SIN72" s="146"/>
      <c r="SIO72" s="146"/>
      <c r="SIP72" s="146"/>
      <c r="SIQ72" s="146"/>
      <c r="SIR72" s="146"/>
      <c r="SIS72" s="146"/>
      <c r="SIT72" s="146"/>
      <c r="SIU72" s="146"/>
      <c r="SIV72" s="146"/>
      <c r="SIW72" s="146"/>
      <c r="SIX72" s="146"/>
      <c r="SIY72" s="146"/>
      <c r="SIZ72" s="146"/>
      <c r="SJA72" s="146"/>
      <c r="SJB72" s="146"/>
      <c r="SJC72" s="146"/>
      <c r="SJD72" s="146"/>
      <c r="SJE72" s="146"/>
      <c r="SJF72" s="146"/>
      <c r="SJG72" s="146"/>
      <c r="SJH72" s="146"/>
      <c r="SJI72" s="146"/>
      <c r="SJJ72" s="146"/>
      <c r="SJK72" s="146"/>
      <c r="SJL72" s="146"/>
      <c r="SJM72" s="146"/>
      <c r="SJN72" s="146"/>
      <c r="SJO72" s="146"/>
      <c r="SJP72" s="146"/>
      <c r="SJQ72" s="146"/>
      <c r="SJR72" s="146"/>
      <c r="SJS72" s="146"/>
      <c r="SJT72" s="146"/>
      <c r="SJU72" s="146"/>
      <c r="SJV72" s="146"/>
      <c r="SJW72" s="146"/>
      <c r="SJX72" s="146"/>
      <c r="SJY72" s="146"/>
      <c r="SJZ72" s="146"/>
      <c r="SKA72" s="146"/>
      <c r="SKB72" s="146"/>
      <c r="SKC72" s="146"/>
      <c r="SKD72" s="146"/>
      <c r="SKE72" s="146"/>
      <c r="SKF72" s="146"/>
      <c r="SKG72" s="146"/>
      <c r="SKH72" s="146"/>
      <c r="SKI72" s="146"/>
      <c r="SKJ72" s="146"/>
      <c r="SKK72" s="146"/>
      <c r="SKL72" s="146"/>
      <c r="SKM72" s="146"/>
      <c r="SKN72" s="146"/>
      <c r="SKO72" s="146"/>
      <c r="SKP72" s="146"/>
      <c r="SKQ72" s="146"/>
      <c r="SKR72" s="146"/>
      <c r="SKS72" s="146"/>
      <c r="SKT72" s="146"/>
      <c r="SKU72" s="146"/>
      <c r="SKV72" s="146"/>
      <c r="SKW72" s="146"/>
      <c r="SKX72" s="146"/>
      <c r="SKY72" s="146"/>
      <c r="SKZ72" s="146"/>
      <c r="SLA72" s="146"/>
      <c r="SLB72" s="146"/>
      <c r="SLC72" s="146"/>
      <c r="SLD72" s="146"/>
      <c r="SLE72" s="146"/>
      <c r="SLF72" s="146"/>
      <c r="SLG72" s="146"/>
      <c r="SLH72" s="146"/>
      <c r="SLI72" s="146"/>
      <c r="SLJ72" s="146"/>
      <c r="SLK72" s="146"/>
      <c r="SLL72" s="146"/>
      <c r="SLM72" s="146"/>
      <c r="SLN72" s="146"/>
      <c r="SLO72" s="146"/>
      <c r="SLP72" s="146"/>
      <c r="SLQ72" s="146"/>
      <c r="SLR72" s="146"/>
      <c r="SLS72" s="146"/>
      <c r="SLT72" s="146"/>
      <c r="SLU72" s="146"/>
      <c r="SLV72" s="146"/>
      <c r="SLW72" s="146"/>
      <c r="SLX72" s="146"/>
      <c r="SLY72" s="146"/>
      <c r="SLZ72" s="146"/>
      <c r="SMA72" s="146"/>
      <c r="SMB72" s="146"/>
      <c r="SMC72" s="146"/>
      <c r="SMD72" s="146"/>
      <c r="SME72" s="146"/>
      <c r="SMF72" s="146"/>
      <c r="SMG72" s="146"/>
      <c r="SMH72" s="146"/>
      <c r="SMI72" s="146"/>
      <c r="SMJ72" s="146"/>
      <c r="SMK72" s="146"/>
      <c r="SML72" s="146"/>
      <c r="SMM72" s="146"/>
      <c r="SMN72" s="146"/>
      <c r="SMO72" s="146"/>
      <c r="SMP72" s="146"/>
      <c r="SMQ72" s="146"/>
      <c r="SMR72" s="146"/>
      <c r="SMS72" s="146"/>
      <c r="SMT72" s="146"/>
      <c r="SMU72" s="146"/>
      <c r="SMV72" s="146"/>
      <c r="SMW72" s="146"/>
      <c r="SMX72" s="146"/>
      <c r="SMY72" s="146"/>
      <c r="SMZ72" s="146"/>
      <c r="SNA72" s="146"/>
      <c r="SNB72" s="146"/>
      <c r="SNC72" s="146"/>
      <c r="SND72" s="146"/>
      <c r="SNE72" s="146"/>
      <c r="SNF72" s="146"/>
      <c r="SNG72" s="146"/>
      <c r="SNH72" s="146"/>
      <c r="SNI72" s="146"/>
      <c r="SNJ72" s="146"/>
      <c r="SNK72" s="146"/>
      <c r="SNL72" s="146"/>
      <c r="SNM72" s="146"/>
      <c r="SNN72" s="146"/>
      <c r="SNO72" s="146"/>
      <c r="SNP72" s="146"/>
      <c r="SNQ72" s="146"/>
      <c r="SNR72" s="146"/>
      <c r="SNS72" s="146"/>
      <c r="SNT72" s="146"/>
      <c r="SNU72" s="146"/>
      <c r="SNV72" s="146"/>
      <c r="SNW72" s="146"/>
      <c r="SNX72" s="146"/>
      <c r="SNY72" s="146"/>
      <c r="SNZ72" s="146"/>
      <c r="SOA72" s="146"/>
      <c r="SOB72" s="146"/>
      <c r="SOC72" s="146"/>
      <c r="SOD72" s="146"/>
      <c r="SOE72" s="146"/>
      <c r="SOF72" s="146"/>
      <c r="SOG72" s="146"/>
      <c r="SOH72" s="146"/>
      <c r="SOI72" s="146"/>
      <c r="SOJ72" s="146"/>
      <c r="SOK72" s="146"/>
      <c r="SOL72" s="146"/>
      <c r="SOM72" s="146"/>
      <c r="SON72" s="146"/>
      <c r="SOO72" s="146"/>
      <c r="SOP72" s="146"/>
      <c r="SOQ72" s="146"/>
      <c r="SOR72" s="146"/>
      <c r="SOS72" s="146"/>
      <c r="SOT72" s="146"/>
      <c r="SOU72" s="146"/>
      <c r="SOV72" s="146"/>
      <c r="SOW72" s="146"/>
      <c r="SOX72" s="146"/>
      <c r="SOY72" s="146"/>
      <c r="SOZ72" s="146"/>
      <c r="SPA72" s="146"/>
      <c r="SPB72" s="146"/>
      <c r="SPC72" s="146"/>
      <c r="SPD72" s="146"/>
      <c r="SPE72" s="146"/>
      <c r="SPF72" s="146"/>
      <c r="SPG72" s="146"/>
      <c r="SPH72" s="146"/>
      <c r="SPI72" s="146"/>
      <c r="SPJ72" s="146"/>
      <c r="SPK72" s="146"/>
      <c r="SPL72" s="146"/>
      <c r="SPM72" s="146"/>
      <c r="SPN72" s="146"/>
      <c r="SPO72" s="146"/>
      <c r="SPP72" s="146"/>
      <c r="SPQ72" s="146"/>
      <c r="SPR72" s="146"/>
      <c r="SPS72" s="146"/>
      <c r="SPT72" s="146"/>
      <c r="SPU72" s="146"/>
      <c r="SPV72" s="146"/>
      <c r="SPW72" s="146"/>
      <c r="SPX72" s="146"/>
      <c r="SPY72" s="146"/>
      <c r="SPZ72" s="146"/>
      <c r="SQA72" s="146"/>
      <c r="SQB72" s="146"/>
      <c r="SQC72" s="146"/>
      <c r="SQD72" s="146"/>
      <c r="SQE72" s="146"/>
      <c r="SQF72" s="146"/>
      <c r="SQG72" s="146"/>
      <c r="SQH72" s="146"/>
      <c r="SQI72" s="146"/>
      <c r="SQJ72" s="146"/>
      <c r="SQK72" s="146"/>
      <c r="SQL72" s="146"/>
      <c r="SQM72" s="146"/>
      <c r="SQN72" s="146"/>
      <c r="SQO72" s="146"/>
      <c r="SQP72" s="146"/>
      <c r="SQQ72" s="146"/>
      <c r="SQR72" s="146"/>
      <c r="SQS72" s="146"/>
      <c r="SQT72" s="146"/>
      <c r="SQU72" s="146"/>
      <c r="SQV72" s="146"/>
      <c r="SQW72" s="146"/>
      <c r="SQX72" s="146"/>
      <c r="SQY72" s="146"/>
      <c r="SQZ72" s="146"/>
      <c r="SRA72" s="146"/>
      <c r="SRB72" s="146"/>
      <c r="SRC72" s="146"/>
      <c r="SRD72" s="146"/>
      <c r="SRE72" s="146"/>
      <c r="SRF72" s="146"/>
      <c r="SRG72" s="146"/>
      <c r="SRH72" s="146"/>
      <c r="SRI72" s="146"/>
      <c r="SRJ72" s="146"/>
      <c r="SRK72" s="146"/>
      <c r="SRL72" s="146"/>
      <c r="SRM72" s="146"/>
      <c r="SRN72" s="146"/>
      <c r="SRO72" s="146"/>
      <c r="SRP72" s="146"/>
      <c r="SRQ72" s="146"/>
      <c r="SRR72" s="146"/>
      <c r="SRS72" s="146"/>
      <c r="SRT72" s="146"/>
      <c r="SRU72" s="146"/>
      <c r="SRV72" s="146"/>
      <c r="SRW72" s="146"/>
      <c r="SRX72" s="146"/>
      <c r="SRY72" s="146"/>
      <c r="SRZ72" s="146"/>
      <c r="SSA72" s="146"/>
      <c r="SSB72" s="146"/>
      <c r="SSC72" s="146"/>
      <c r="SSD72" s="146"/>
      <c r="SSE72" s="146"/>
      <c r="SSF72" s="146"/>
      <c r="SSG72" s="146"/>
      <c r="SSH72" s="146"/>
      <c r="SSI72" s="146"/>
      <c r="SSJ72" s="146"/>
      <c r="SSK72" s="146"/>
      <c r="SSL72" s="146"/>
      <c r="SSM72" s="146"/>
      <c r="SSN72" s="146"/>
      <c r="SSO72" s="146"/>
      <c r="SSP72" s="146"/>
      <c r="SSQ72" s="146"/>
      <c r="SSR72" s="146"/>
      <c r="SSS72" s="146"/>
      <c r="SST72" s="146"/>
      <c r="SSU72" s="146"/>
      <c r="SSV72" s="146"/>
      <c r="SSW72" s="146"/>
      <c r="SSX72" s="146"/>
      <c r="SSY72" s="146"/>
      <c r="SSZ72" s="146"/>
      <c r="STA72" s="146"/>
      <c r="STB72" s="146"/>
      <c r="STC72" s="146"/>
      <c r="STD72" s="146"/>
      <c r="STE72" s="146"/>
      <c r="STF72" s="146"/>
      <c r="STG72" s="146"/>
      <c r="STH72" s="146"/>
      <c r="STI72" s="146"/>
      <c r="STJ72" s="146"/>
      <c r="STK72" s="146"/>
      <c r="STL72" s="146"/>
      <c r="STM72" s="146"/>
      <c r="STN72" s="146"/>
      <c r="STO72" s="146"/>
      <c r="STP72" s="146"/>
      <c r="STQ72" s="146"/>
      <c r="STR72" s="146"/>
      <c r="STS72" s="146"/>
      <c r="STT72" s="146"/>
      <c r="STU72" s="146"/>
      <c r="STV72" s="146"/>
      <c r="STW72" s="146"/>
      <c r="STX72" s="146"/>
      <c r="STY72" s="146"/>
      <c r="STZ72" s="146"/>
      <c r="SUA72" s="146"/>
      <c r="SUB72" s="146"/>
      <c r="SUC72" s="146"/>
      <c r="SUD72" s="146"/>
      <c r="SUE72" s="146"/>
      <c r="SUF72" s="146"/>
      <c r="SUG72" s="146"/>
      <c r="SUH72" s="146"/>
      <c r="SUI72" s="146"/>
      <c r="SUJ72" s="146"/>
      <c r="SUK72" s="146"/>
      <c r="SUL72" s="146"/>
      <c r="SUM72" s="146"/>
      <c r="SUN72" s="146"/>
      <c r="SUO72" s="146"/>
      <c r="SUP72" s="146"/>
      <c r="SUQ72" s="146"/>
      <c r="SUR72" s="146"/>
      <c r="SUS72" s="146"/>
      <c r="SUT72" s="146"/>
      <c r="SUU72" s="146"/>
      <c r="SUV72" s="146"/>
      <c r="SUW72" s="146"/>
      <c r="SUX72" s="146"/>
      <c r="SUY72" s="146"/>
      <c r="SUZ72" s="146"/>
      <c r="SVA72" s="146"/>
      <c r="SVB72" s="146"/>
      <c r="SVC72" s="146"/>
      <c r="SVD72" s="146"/>
      <c r="SVE72" s="146"/>
      <c r="SVF72" s="146"/>
      <c r="SVG72" s="146"/>
      <c r="SVH72" s="146"/>
      <c r="SVI72" s="146"/>
      <c r="SVJ72" s="146"/>
      <c r="SVK72" s="146"/>
      <c r="SVL72" s="146"/>
      <c r="SVM72" s="146"/>
      <c r="SVN72" s="146"/>
      <c r="SVO72" s="146"/>
      <c r="SVP72" s="146"/>
      <c r="SVQ72" s="146"/>
      <c r="SVR72" s="146"/>
      <c r="SVS72" s="146"/>
      <c r="SVT72" s="146"/>
      <c r="SVU72" s="146"/>
      <c r="SVV72" s="146"/>
      <c r="SVW72" s="146"/>
      <c r="SVX72" s="146"/>
      <c r="SVY72" s="146"/>
      <c r="SVZ72" s="146"/>
      <c r="SWA72" s="146"/>
      <c r="SWB72" s="146"/>
      <c r="SWC72" s="146"/>
      <c r="SWD72" s="146"/>
      <c r="SWE72" s="146"/>
      <c r="SWF72" s="146"/>
      <c r="SWG72" s="146"/>
      <c r="SWH72" s="146"/>
      <c r="SWI72" s="146"/>
      <c r="SWJ72" s="146"/>
      <c r="SWK72" s="146"/>
      <c r="SWL72" s="146"/>
      <c r="SWM72" s="146"/>
      <c r="SWN72" s="146"/>
      <c r="SWO72" s="146"/>
      <c r="SWP72" s="146"/>
      <c r="SWQ72" s="146"/>
      <c r="SWR72" s="146"/>
      <c r="SWS72" s="146"/>
      <c r="SWT72" s="146"/>
      <c r="SWU72" s="146"/>
      <c r="SWV72" s="146"/>
      <c r="SWW72" s="146"/>
      <c r="SWX72" s="146"/>
      <c r="SWY72" s="146"/>
      <c r="SWZ72" s="146"/>
      <c r="SXA72" s="146"/>
      <c r="SXB72" s="146"/>
      <c r="SXC72" s="146"/>
      <c r="SXD72" s="146"/>
      <c r="SXE72" s="146"/>
      <c r="SXF72" s="146"/>
      <c r="SXG72" s="146"/>
      <c r="SXH72" s="146"/>
      <c r="SXI72" s="146"/>
      <c r="SXJ72" s="146"/>
      <c r="SXK72" s="146"/>
      <c r="SXL72" s="146"/>
      <c r="SXM72" s="146"/>
      <c r="SXN72" s="146"/>
      <c r="SXO72" s="146"/>
      <c r="SXP72" s="146"/>
      <c r="SXQ72" s="146"/>
      <c r="SXR72" s="146"/>
      <c r="SXS72" s="146"/>
      <c r="SXT72" s="146"/>
      <c r="SXU72" s="146"/>
      <c r="SXV72" s="146"/>
      <c r="SXW72" s="146"/>
      <c r="SXX72" s="146"/>
      <c r="SXY72" s="146"/>
      <c r="SXZ72" s="146"/>
      <c r="SYA72" s="146"/>
      <c r="SYB72" s="146"/>
      <c r="SYC72" s="146"/>
      <c r="SYD72" s="146"/>
      <c r="SYE72" s="146"/>
      <c r="SYF72" s="146"/>
      <c r="SYG72" s="146"/>
      <c r="SYH72" s="146"/>
      <c r="SYI72" s="146"/>
      <c r="SYJ72" s="146"/>
      <c r="SYK72" s="146"/>
      <c r="SYL72" s="146"/>
      <c r="SYM72" s="146"/>
      <c r="SYN72" s="146"/>
      <c r="SYO72" s="146"/>
      <c r="SYP72" s="146"/>
      <c r="SYQ72" s="146"/>
      <c r="SYR72" s="146"/>
      <c r="SYS72" s="146"/>
      <c r="SYT72" s="146"/>
      <c r="SYU72" s="146"/>
      <c r="SYV72" s="146"/>
      <c r="SYW72" s="146"/>
      <c r="SYX72" s="146"/>
      <c r="SYY72" s="146"/>
      <c r="SYZ72" s="146"/>
      <c r="SZA72" s="146"/>
      <c r="SZB72" s="146"/>
      <c r="SZC72" s="146"/>
      <c r="SZD72" s="146"/>
      <c r="SZE72" s="146"/>
      <c r="SZF72" s="146"/>
      <c r="SZG72" s="146"/>
      <c r="SZH72" s="146"/>
      <c r="SZI72" s="146"/>
      <c r="SZJ72" s="146"/>
      <c r="SZK72" s="146"/>
      <c r="SZL72" s="146"/>
      <c r="SZM72" s="146"/>
      <c r="SZN72" s="146"/>
      <c r="SZO72" s="146"/>
      <c r="SZP72" s="146"/>
      <c r="SZQ72" s="146"/>
      <c r="SZR72" s="146"/>
      <c r="SZS72" s="146"/>
      <c r="SZT72" s="146"/>
      <c r="SZU72" s="146"/>
      <c r="SZV72" s="146"/>
      <c r="SZW72" s="146"/>
      <c r="SZX72" s="146"/>
      <c r="SZY72" s="146"/>
      <c r="SZZ72" s="146"/>
      <c r="TAA72" s="146"/>
      <c r="TAB72" s="146"/>
      <c r="TAC72" s="146"/>
      <c r="TAD72" s="146"/>
      <c r="TAE72" s="146"/>
      <c r="TAF72" s="146"/>
      <c r="TAG72" s="146"/>
      <c r="TAH72" s="146"/>
      <c r="TAI72" s="146"/>
      <c r="TAJ72" s="146"/>
      <c r="TAK72" s="146"/>
      <c r="TAL72" s="146"/>
      <c r="TAM72" s="146"/>
      <c r="TAN72" s="146"/>
      <c r="TAO72" s="146"/>
      <c r="TAP72" s="146"/>
      <c r="TAQ72" s="146"/>
      <c r="TAR72" s="146"/>
      <c r="TAS72" s="146"/>
      <c r="TAT72" s="146"/>
      <c r="TAU72" s="146"/>
      <c r="TAV72" s="146"/>
      <c r="TAW72" s="146"/>
      <c r="TAX72" s="146"/>
      <c r="TAY72" s="146"/>
      <c r="TAZ72" s="146"/>
      <c r="TBA72" s="146"/>
      <c r="TBB72" s="146"/>
      <c r="TBC72" s="146"/>
      <c r="TBD72" s="146"/>
      <c r="TBE72" s="146"/>
      <c r="TBF72" s="146"/>
      <c r="TBG72" s="146"/>
      <c r="TBH72" s="146"/>
      <c r="TBI72" s="146"/>
      <c r="TBJ72" s="146"/>
      <c r="TBK72" s="146"/>
      <c r="TBL72" s="146"/>
      <c r="TBM72" s="146"/>
      <c r="TBN72" s="146"/>
      <c r="TBO72" s="146"/>
      <c r="TBP72" s="146"/>
      <c r="TBQ72" s="146"/>
      <c r="TBR72" s="146"/>
      <c r="TBS72" s="146"/>
      <c r="TBT72" s="146"/>
      <c r="TBU72" s="146"/>
      <c r="TBV72" s="146"/>
      <c r="TBW72" s="146"/>
      <c r="TBX72" s="146"/>
      <c r="TBY72" s="146"/>
      <c r="TBZ72" s="146"/>
      <c r="TCA72" s="146"/>
      <c r="TCB72" s="146"/>
      <c r="TCC72" s="146"/>
      <c r="TCD72" s="146"/>
      <c r="TCE72" s="146"/>
      <c r="TCF72" s="146"/>
      <c r="TCG72" s="146"/>
      <c r="TCH72" s="146"/>
      <c r="TCI72" s="146"/>
      <c r="TCJ72" s="146"/>
      <c r="TCK72" s="146"/>
      <c r="TCL72" s="146"/>
      <c r="TCM72" s="146"/>
      <c r="TCN72" s="146"/>
      <c r="TCO72" s="146"/>
      <c r="TCP72" s="146"/>
      <c r="TCQ72" s="146"/>
      <c r="TCR72" s="146"/>
      <c r="TCS72" s="146"/>
      <c r="TCT72" s="146"/>
      <c r="TCU72" s="146"/>
      <c r="TCV72" s="146"/>
      <c r="TCW72" s="146"/>
      <c r="TCX72" s="146"/>
      <c r="TCY72" s="146"/>
      <c r="TCZ72" s="146"/>
      <c r="TDA72" s="146"/>
      <c r="TDB72" s="146"/>
      <c r="TDC72" s="146"/>
      <c r="TDD72" s="146"/>
      <c r="TDE72" s="146"/>
      <c r="TDF72" s="146"/>
      <c r="TDG72" s="146"/>
      <c r="TDH72" s="146"/>
      <c r="TDI72" s="146"/>
      <c r="TDJ72" s="146"/>
      <c r="TDK72" s="146"/>
      <c r="TDL72" s="146"/>
      <c r="TDM72" s="146"/>
      <c r="TDN72" s="146"/>
      <c r="TDO72" s="146"/>
      <c r="TDP72" s="146"/>
      <c r="TDQ72" s="146"/>
      <c r="TDR72" s="146"/>
      <c r="TDS72" s="146"/>
      <c r="TDT72" s="146"/>
      <c r="TDU72" s="146"/>
      <c r="TDV72" s="146"/>
      <c r="TDW72" s="146"/>
      <c r="TDX72" s="146"/>
      <c r="TDY72" s="146"/>
      <c r="TDZ72" s="146"/>
      <c r="TEA72" s="146"/>
      <c r="TEB72" s="146"/>
      <c r="TEC72" s="146"/>
      <c r="TED72" s="146"/>
      <c r="TEE72" s="146"/>
      <c r="TEF72" s="146"/>
      <c r="TEG72" s="146"/>
      <c r="TEH72" s="146"/>
      <c r="TEI72" s="146"/>
      <c r="TEJ72" s="146"/>
      <c r="TEK72" s="146"/>
      <c r="TEL72" s="146"/>
      <c r="TEM72" s="146"/>
      <c r="TEN72" s="146"/>
      <c r="TEO72" s="146"/>
      <c r="TEP72" s="146"/>
      <c r="TEQ72" s="146"/>
      <c r="TER72" s="146"/>
      <c r="TES72" s="146"/>
      <c r="TET72" s="146"/>
      <c r="TEU72" s="146"/>
      <c r="TEV72" s="146"/>
      <c r="TEW72" s="146"/>
      <c r="TEX72" s="146"/>
      <c r="TEY72" s="146"/>
      <c r="TEZ72" s="146"/>
      <c r="TFA72" s="146"/>
      <c r="TFB72" s="146"/>
      <c r="TFC72" s="146"/>
      <c r="TFD72" s="146"/>
      <c r="TFE72" s="146"/>
      <c r="TFF72" s="146"/>
      <c r="TFG72" s="146"/>
      <c r="TFH72" s="146"/>
      <c r="TFI72" s="146"/>
      <c r="TFJ72" s="146"/>
      <c r="TFK72" s="146"/>
      <c r="TFL72" s="146"/>
      <c r="TFM72" s="146"/>
      <c r="TFN72" s="146"/>
      <c r="TFO72" s="146"/>
      <c r="TFP72" s="146"/>
      <c r="TFQ72" s="146"/>
      <c r="TFR72" s="146"/>
      <c r="TFS72" s="146"/>
      <c r="TFT72" s="146"/>
      <c r="TFU72" s="146"/>
      <c r="TFV72" s="146"/>
      <c r="TFW72" s="146"/>
      <c r="TFX72" s="146"/>
      <c r="TFY72" s="146"/>
      <c r="TFZ72" s="146"/>
      <c r="TGA72" s="146"/>
      <c r="TGB72" s="146"/>
      <c r="TGC72" s="146"/>
      <c r="TGD72" s="146"/>
      <c r="TGE72" s="146"/>
      <c r="TGF72" s="146"/>
      <c r="TGG72" s="146"/>
      <c r="TGH72" s="146"/>
      <c r="TGI72" s="146"/>
      <c r="TGJ72" s="146"/>
      <c r="TGK72" s="146"/>
      <c r="TGL72" s="146"/>
      <c r="TGM72" s="146"/>
      <c r="TGN72" s="146"/>
      <c r="TGO72" s="146"/>
      <c r="TGP72" s="146"/>
      <c r="TGQ72" s="146"/>
      <c r="TGR72" s="146"/>
      <c r="TGS72" s="146"/>
      <c r="TGT72" s="146"/>
      <c r="TGU72" s="146"/>
      <c r="TGV72" s="146"/>
      <c r="TGW72" s="146"/>
      <c r="TGX72" s="146"/>
      <c r="TGY72" s="146"/>
      <c r="TGZ72" s="146"/>
      <c r="THA72" s="146"/>
      <c r="THB72" s="146"/>
      <c r="THC72" s="146"/>
      <c r="THD72" s="146"/>
      <c r="THE72" s="146"/>
      <c r="THF72" s="146"/>
      <c r="THG72" s="146"/>
      <c r="THH72" s="146"/>
      <c r="THI72" s="146"/>
      <c r="THJ72" s="146"/>
      <c r="THK72" s="146"/>
      <c r="THL72" s="146"/>
      <c r="THM72" s="146"/>
      <c r="THN72" s="146"/>
      <c r="THO72" s="146"/>
      <c r="THP72" s="146"/>
      <c r="THQ72" s="146"/>
      <c r="THR72" s="146"/>
      <c r="THS72" s="146"/>
      <c r="THT72" s="146"/>
      <c r="THU72" s="146"/>
      <c r="THV72" s="146"/>
      <c r="THW72" s="146"/>
      <c r="THX72" s="146"/>
      <c r="THY72" s="146"/>
      <c r="THZ72" s="146"/>
      <c r="TIA72" s="146"/>
      <c r="TIB72" s="146"/>
      <c r="TIC72" s="146"/>
      <c r="TID72" s="146"/>
      <c r="TIE72" s="146"/>
      <c r="TIF72" s="146"/>
      <c r="TIG72" s="146"/>
      <c r="TIH72" s="146"/>
      <c r="TII72" s="146"/>
      <c r="TIJ72" s="146"/>
      <c r="TIK72" s="146"/>
      <c r="TIL72" s="146"/>
      <c r="TIM72" s="146"/>
      <c r="TIN72" s="146"/>
      <c r="TIO72" s="146"/>
      <c r="TIP72" s="146"/>
      <c r="TIQ72" s="146"/>
      <c r="TIR72" s="146"/>
      <c r="TIS72" s="146"/>
      <c r="TIT72" s="146"/>
      <c r="TIU72" s="146"/>
      <c r="TIV72" s="146"/>
      <c r="TIW72" s="146"/>
      <c r="TIX72" s="146"/>
      <c r="TIY72" s="146"/>
      <c r="TIZ72" s="146"/>
      <c r="TJA72" s="146"/>
      <c r="TJB72" s="146"/>
      <c r="TJC72" s="146"/>
      <c r="TJD72" s="146"/>
      <c r="TJE72" s="146"/>
      <c r="TJF72" s="146"/>
      <c r="TJG72" s="146"/>
      <c r="TJH72" s="146"/>
      <c r="TJI72" s="146"/>
      <c r="TJJ72" s="146"/>
      <c r="TJK72" s="146"/>
      <c r="TJL72" s="146"/>
      <c r="TJM72" s="146"/>
      <c r="TJN72" s="146"/>
      <c r="TJO72" s="146"/>
      <c r="TJP72" s="146"/>
      <c r="TJQ72" s="146"/>
      <c r="TJR72" s="146"/>
      <c r="TJS72" s="146"/>
      <c r="TJT72" s="146"/>
      <c r="TJU72" s="146"/>
      <c r="TJV72" s="146"/>
      <c r="TJW72" s="146"/>
      <c r="TJX72" s="146"/>
      <c r="TJY72" s="146"/>
      <c r="TJZ72" s="146"/>
      <c r="TKA72" s="146"/>
      <c r="TKB72" s="146"/>
      <c r="TKC72" s="146"/>
      <c r="TKD72" s="146"/>
      <c r="TKE72" s="146"/>
      <c r="TKF72" s="146"/>
      <c r="TKG72" s="146"/>
      <c r="TKH72" s="146"/>
      <c r="TKI72" s="146"/>
      <c r="TKJ72" s="146"/>
      <c r="TKK72" s="146"/>
      <c r="TKL72" s="146"/>
      <c r="TKM72" s="146"/>
      <c r="TKN72" s="146"/>
      <c r="TKO72" s="146"/>
      <c r="TKP72" s="146"/>
      <c r="TKQ72" s="146"/>
      <c r="TKR72" s="146"/>
      <c r="TKS72" s="146"/>
      <c r="TKT72" s="146"/>
      <c r="TKU72" s="146"/>
      <c r="TKV72" s="146"/>
      <c r="TKW72" s="146"/>
      <c r="TKX72" s="146"/>
      <c r="TKY72" s="146"/>
      <c r="TKZ72" s="146"/>
      <c r="TLA72" s="146"/>
      <c r="TLB72" s="146"/>
      <c r="TLC72" s="146"/>
      <c r="TLD72" s="146"/>
      <c r="TLE72" s="146"/>
      <c r="TLF72" s="146"/>
      <c r="TLG72" s="146"/>
      <c r="TLH72" s="146"/>
      <c r="TLI72" s="146"/>
      <c r="TLJ72" s="146"/>
      <c r="TLK72" s="146"/>
      <c r="TLL72" s="146"/>
      <c r="TLM72" s="146"/>
      <c r="TLN72" s="146"/>
      <c r="TLO72" s="146"/>
      <c r="TLP72" s="146"/>
      <c r="TLQ72" s="146"/>
      <c r="TLR72" s="146"/>
      <c r="TLS72" s="146"/>
      <c r="TLT72" s="146"/>
      <c r="TLU72" s="146"/>
      <c r="TLV72" s="146"/>
      <c r="TLW72" s="146"/>
      <c r="TLX72" s="146"/>
      <c r="TLY72" s="146"/>
      <c r="TLZ72" s="146"/>
      <c r="TMA72" s="146"/>
      <c r="TMB72" s="146"/>
      <c r="TMC72" s="146"/>
      <c r="TMD72" s="146"/>
      <c r="TME72" s="146"/>
      <c r="TMF72" s="146"/>
      <c r="TMG72" s="146"/>
      <c r="TMH72" s="146"/>
      <c r="TMI72" s="146"/>
      <c r="TMJ72" s="146"/>
      <c r="TMK72" s="146"/>
      <c r="TML72" s="146"/>
      <c r="TMM72" s="146"/>
      <c r="TMN72" s="146"/>
      <c r="TMO72" s="146"/>
      <c r="TMP72" s="146"/>
      <c r="TMQ72" s="146"/>
      <c r="TMR72" s="146"/>
      <c r="TMS72" s="146"/>
      <c r="TMT72" s="146"/>
      <c r="TMU72" s="146"/>
      <c r="TMV72" s="146"/>
      <c r="TMW72" s="146"/>
      <c r="TMX72" s="146"/>
      <c r="TMY72" s="146"/>
      <c r="TMZ72" s="146"/>
      <c r="TNA72" s="146"/>
      <c r="TNB72" s="146"/>
      <c r="TNC72" s="146"/>
      <c r="TND72" s="146"/>
      <c r="TNE72" s="146"/>
      <c r="TNF72" s="146"/>
      <c r="TNG72" s="146"/>
      <c r="TNH72" s="146"/>
      <c r="TNI72" s="146"/>
      <c r="TNJ72" s="146"/>
      <c r="TNK72" s="146"/>
      <c r="TNL72" s="146"/>
      <c r="TNM72" s="146"/>
      <c r="TNN72" s="146"/>
      <c r="TNO72" s="146"/>
      <c r="TNP72" s="146"/>
      <c r="TNQ72" s="146"/>
      <c r="TNR72" s="146"/>
      <c r="TNS72" s="146"/>
      <c r="TNT72" s="146"/>
      <c r="TNU72" s="146"/>
      <c r="TNV72" s="146"/>
      <c r="TNW72" s="146"/>
      <c r="TNX72" s="146"/>
      <c r="TNY72" s="146"/>
      <c r="TNZ72" s="146"/>
      <c r="TOA72" s="146"/>
      <c r="TOB72" s="146"/>
      <c r="TOC72" s="146"/>
      <c r="TOD72" s="146"/>
      <c r="TOE72" s="146"/>
      <c r="TOF72" s="146"/>
      <c r="TOG72" s="146"/>
      <c r="TOH72" s="146"/>
      <c r="TOI72" s="146"/>
      <c r="TOJ72" s="146"/>
      <c r="TOK72" s="146"/>
      <c r="TOL72" s="146"/>
      <c r="TOM72" s="146"/>
      <c r="TON72" s="146"/>
      <c r="TOO72" s="146"/>
      <c r="TOP72" s="146"/>
      <c r="TOQ72" s="146"/>
      <c r="TOR72" s="146"/>
      <c r="TOS72" s="146"/>
      <c r="TOT72" s="146"/>
      <c r="TOU72" s="146"/>
      <c r="TOV72" s="146"/>
      <c r="TOW72" s="146"/>
      <c r="TOX72" s="146"/>
      <c r="TOY72" s="146"/>
      <c r="TOZ72" s="146"/>
      <c r="TPA72" s="146"/>
      <c r="TPB72" s="146"/>
      <c r="TPC72" s="146"/>
      <c r="TPD72" s="146"/>
      <c r="TPE72" s="146"/>
      <c r="TPF72" s="146"/>
      <c r="TPG72" s="146"/>
      <c r="TPH72" s="146"/>
      <c r="TPI72" s="146"/>
      <c r="TPJ72" s="146"/>
      <c r="TPK72" s="146"/>
      <c r="TPL72" s="146"/>
      <c r="TPM72" s="146"/>
      <c r="TPN72" s="146"/>
      <c r="TPO72" s="146"/>
      <c r="TPP72" s="146"/>
      <c r="TPQ72" s="146"/>
      <c r="TPR72" s="146"/>
      <c r="TPS72" s="146"/>
      <c r="TPT72" s="146"/>
      <c r="TPU72" s="146"/>
      <c r="TPV72" s="146"/>
      <c r="TPW72" s="146"/>
      <c r="TPX72" s="146"/>
      <c r="TPY72" s="146"/>
      <c r="TPZ72" s="146"/>
      <c r="TQA72" s="146"/>
      <c r="TQB72" s="146"/>
      <c r="TQC72" s="146"/>
      <c r="TQD72" s="146"/>
      <c r="TQE72" s="146"/>
      <c r="TQF72" s="146"/>
      <c r="TQG72" s="146"/>
      <c r="TQH72" s="146"/>
      <c r="TQI72" s="146"/>
      <c r="TQJ72" s="146"/>
      <c r="TQK72" s="146"/>
      <c r="TQL72" s="146"/>
      <c r="TQM72" s="146"/>
      <c r="TQN72" s="146"/>
      <c r="TQO72" s="146"/>
      <c r="TQP72" s="146"/>
      <c r="TQQ72" s="146"/>
      <c r="TQR72" s="146"/>
      <c r="TQS72" s="146"/>
      <c r="TQT72" s="146"/>
      <c r="TQU72" s="146"/>
      <c r="TQV72" s="146"/>
      <c r="TQW72" s="146"/>
      <c r="TQX72" s="146"/>
      <c r="TQY72" s="146"/>
      <c r="TQZ72" s="146"/>
      <c r="TRA72" s="146"/>
      <c r="TRB72" s="146"/>
      <c r="TRC72" s="146"/>
      <c r="TRD72" s="146"/>
      <c r="TRE72" s="146"/>
      <c r="TRF72" s="146"/>
      <c r="TRG72" s="146"/>
      <c r="TRH72" s="146"/>
      <c r="TRI72" s="146"/>
      <c r="TRJ72" s="146"/>
      <c r="TRK72" s="146"/>
      <c r="TRL72" s="146"/>
      <c r="TRM72" s="146"/>
      <c r="TRN72" s="146"/>
      <c r="TRO72" s="146"/>
      <c r="TRP72" s="146"/>
      <c r="TRQ72" s="146"/>
      <c r="TRR72" s="146"/>
      <c r="TRS72" s="146"/>
      <c r="TRT72" s="146"/>
      <c r="TRU72" s="146"/>
      <c r="TRV72" s="146"/>
      <c r="TRW72" s="146"/>
      <c r="TRX72" s="146"/>
      <c r="TRY72" s="146"/>
      <c r="TRZ72" s="146"/>
      <c r="TSA72" s="146"/>
      <c r="TSB72" s="146"/>
      <c r="TSC72" s="146"/>
      <c r="TSD72" s="146"/>
      <c r="TSE72" s="146"/>
      <c r="TSF72" s="146"/>
      <c r="TSG72" s="146"/>
      <c r="TSH72" s="146"/>
      <c r="TSI72" s="146"/>
      <c r="TSJ72" s="146"/>
      <c r="TSK72" s="146"/>
      <c r="TSL72" s="146"/>
      <c r="TSM72" s="146"/>
      <c r="TSN72" s="146"/>
      <c r="TSO72" s="146"/>
      <c r="TSP72" s="146"/>
      <c r="TSQ72" s="146"/>
      <c r="TSR72" s="146"/>
      <c r="TSS72" s="146"/>
      <c r="TST72" s="146"/>
      <c r="TSU72" s="146"/>
      <c r="TSV72" s="146"/>
      <c r="TSW72" s="146"/>
      <c r="TSX72" s="146"/>
      <c r="TSY72" s="146"/>
      <c r="TSZ72" s="146"/>
      <c r="TTA72" s="146"/>
      <c r="TTB72" s="146"/>
      <c r="TTC72" s="146"/>
      <c r="TTD72" s="146"/>
      <c r="TTE72" s="146"/>
      <c r="TTF72" s="146"/>
      <c r="TTG72" s="146"/>
      <c r="TTH72" s="146"/>
      <c r="TTI72" s="146"/>
      <c r="TTJ72" s="146"/>
      <c r="TTK72" s="146"/>
      <c r="TTL72" s="146"/>
      <c r="TTM72" s="146"/>
      <c r="TTN72" s="146"/>
      <c r="TTO72" s="146"/>
      <c r="TTP72" s="146"/>
      <c r="TTQ72" s="146"/>
      <c r="TTR72" s="146"/>
      <c r="TTS72" s="146"/>
      <c r="TTT72" s="146"/>
      <c r="TTU72" s="146"/>
      <c r="TTV72" s="146"/>
      <c r="TTW72" s="146"/>
      <c r="TTX72" s="146"/>
      <c r="TTY72" s="146"/>
      <c r="TTZ72" s="146"/>
      <c r="TUA72" s="146"/>
      <c r="TUB72" s="146"/>
      <c r="TUC72" s="146"/>
      <c r="TUD72" s="146"/>
      <c r="TUE72" s="146"/>
      <c r="TUF72" s="146"/>
      <c r="TUG72" s="146"/>
      <c r="TUH72" s="146"/>
      <c r="TUI72" s="146"/>
      <c r="TUJ72" s="146"/>
      <c r="TUK72" s="146"/>
      <c r="TUL72" s="146"/>
      <c r="TUM72" s="146"/>
      <c r="TUN72" s="146"/>
      <c r="TUO72" s="146"/>
      <c r="TUP72" s="146"/>
      <c r="TUQ72" s="146"/>
      <c r="TUR72" s="146"/>
      <c r="TUS72" s="146"/>
      <c r="TUT72" s="146"/>
      <c r="TUU72" s="146"/>
      <c r="TUV72" s="146"/>
      <c r="TUW72" s="146"/>
      <c r="TUX72" s="146"/>
      <c r="TUY72" s="146"/>
      <c r="TUZ72" s="146"/>
      <c r="TVA72" s="146"/>
      <c r="TVB72" s="146"/>
      <c r="TVC72" s="146"/>
      <c r="TVD72" s="146"/>
      <c r="TVE72" s="146"/>
      <c r="TVF72" s="146"/>
      <c r="TVG72" s="146"/>
      <c r="TVH72" s="146"/>
      <c r="TVI72" s="146"/>
      <c r="TVJ72" s="146"/>
      <c r="TVK72" s="146"/>
      <c r="TVL72" s="146"/>
      <c r="TVM72" s="146"/>
      <c r="TVN72" s="146"/>
      <c r="TVO72" s="146"/>
      <c r="TVP72" s="146"/>
      <c r="TVQ72" s="146"/>
      <c r="TVR72" s="146"/>
      <c r="TVS72" s="146"/>
      <c r="TVT72" s="146"/>
      <c r="TVU72" s="146"/>
      <c r="TVV72" s="146"/>
      <c r="TVW72" s="146"/>
      <c r="TVX72" s="146"/>
      <c r="TVY72" s="146"/>
      <c r="TVZ72" s="146"/>
      <c r="TWA72" s="146"/>
      <c r="TWB72" s="146"/>
      <c r="TWC72" s="146"/>
      <c r="TWD72" s="146"/>
      <c r="TWE72" s="146"/>
      <c r="TWF72" s="146"/>
      <c r="TWG72" s="146"/>
      <c r="TWH72" s="146"/>
      <c r="TWI72" s="146"/>
      <c r="TWJ72" s="146"/>
      <c r="TWK72" s="146"/>
      <c r="TWL72" s="146"/>
      <c r="TWM72" s="146"/>
      <c r="TWN72" s="146"/>
      <c r="TWO72" s="146"/>
      <c r="TWP72" s="146"/>
      <c r="TWQ72" s="146"/>
      <c r="TWR72" s="146"/>
      <c r="TWS72" s="146"/>
      <c r="TWT72" s="146"/>
      <c r="TWU72" s="146"/>
      <c r="TWV72" s="146"/>
      <c r="TWW72" s="146"/>
      <c r="TWX72" s="146"/>
      <c r="TWY72" s="146"/>
      <c r="TWZ72" s="146"/>
      <c r="TXA72" s="146"/>
      <c r="TXB72" s="146"/>
      <c r="TXC72" s="146"/>
      <c r="TXD72" s="146"/>
      <c r="TXE72" s="146"/>
      <c r="TXF72" s="146"/>
      <c r="TXG72" s="146"/>
      <c r="TXH72" s="146"/>
      <c r="TXI72" s="146"/>
      <c r="TXJ72" s="146"/>
      <c r="TXK72" s="146"/>
      <c r="TXL72" s="146"/>
      <c r="TXM72" s="146"/>
      <c r="TXN72" s="146"/>
      <c r="TXO72" s="146"/>
      <c r="TXP72" s="146"/>
      <c r="TXQ72" s="146"/>
      <c r="TXR72" s="146"/>
      <c r="TXS72" s="146"/>
      <c r="TXT72" s="146"/>
      <c r="TXU72" s="146"/>
      <c r="TXV72" s="146"/>
      <c r="TXW72" s="146"/>
      <c r="TXX72" s="146"/>
      <c r="TXY72" s="146"/>
      <c r="TXZ72" s="146"/>
      <c r="TYA72" s="146"/>
      <c r="TYB72" s="146"/>
      <c r="TYC72" s="146"/>
      <c r="TYD72" s="146"/>
      <c r="TYE72" s="146"/>
      <c r="TYF72" s="146"/>
      <c r="TYG72" s="146"/>
      <c r="TYH72" s="146"/>
      <c r="TYI72" s="146"/>
      <c r="TYJ72" s="146"/>
      <c r="TYK72" s="146"/>
      <c r="TYL72" s="146"/>
      <c r="TYM72" s="146"/>
      <c r="TYN72" s="146"/>
      <c r="TYO72" s="146"/>
      <c r="TYP72" s="146"/>
      <c r="TYQ72" s="146"/>
      <c r="TYR72" s="146"/>
      <c r="TYS72" s="146"/>
      <c r="TYT72" s="146"/>
      <c r="TYU72" s="146"/>
      <c r="TYV72" s="146"/>
      <c r="TYW72" s="146"/>
      <c r="TYX72" s="146"/>
      <c r="TYY72" s="146"/>
      <c r="TYZ72" s="146"/>
      <c r="TZA72" s="146"/>
      <c r="TZB72" s="146"/>
      <c r="TZC72" s="146"/>
      <c r="TZD72" s="146"/>
      <c r="TZE72" s="146"/>
      <c r="TZF72" s="146"/>
      <c r="TZG72" s="146"/>
      <c r="TZH72" s="146"/>
      <c r="TZI72" s="146"/>
      <c r="TZJ72" s="146"/>
      <c r="TZK72" s="146"/>
      <c r="TZL72" s="146"/>
      <c r="TZM72" s="146"/>
      <c r="TZN72" s="146"/>
      <c r="TZO72" s="146"/>
      <c r="TZP72" s="146"/>
      <c r="TZQ72" s="146"/>
      <c r="TZR72" s="146"/>
      <c r="TZS72" s="146"/>
      <c r="TZT72" s="146"/>
      <c r="TZU72" s="146"/>
      <c r="TZV72" s="146"/>
      <c r="TZW72" s="146"/>
      <c r="TZX72" s="146"/>
      <c r="TZY72" s="146"/>
      <c r="TZZ72" s="146"/>
      <c r="UAA72" s="146"/>
      <c r="UAB72" s="146"/>
      <c r="UAC72" s="146"/>
      <c r="UAD72" s="146"/>
      <c r="UAE72" s="146"/>
      <c r="UAF72" s="146"/>
      <c r="UAG72" s="146"/>
      <c r="UAH72" s="146"/>
      <c r="UAI72" s="146"/>
      <c r="UAJ72" s="146"/>
      <c r="UAK72" s="146"/>
      <c r="UAL72" s="146"/>
      <c r="UAM72" s="146"/>
      <c r="UAN72" s="146"/>
      <c r="UAO72" s="146"/>
      <c r="UAP72" s="146"/>
      <c r="UAQ72" s="146"/>
      <c r="UAR72" s="146"/>
      <c r="UAS72" s="146"/>
      <c r="UAT72" s="146"/>
      <c r="UAU72" s="146"/>
      <c r="UAV72" s="146"/>
      <c r="UAW72" s="146"/>
      <c r="UAX72" s="146"/>
      <c r="UAY72" s="146"/>
      <c r="UAZ72" s="146"/>
      <c r="UBA72" s="146"/>
      <c r="UBB72" s="146"/>
      <c r="UBC72" s="146"/>
      <c r="UBD72" s="146"/>
      <c r="UBE72" s="146"/>
      <c r="UBF72" s="146"/>
      <c r="UBG72" s="146"/>
      <c r="UBH72" s="146"/>
      <c r="UBI72" s="146"/>
      <c r="UBJ72" s="146"/>
      <c r="UBK72" s="146"/>
      <c r="UBL72" s="146"/>
      <c r="UBM72" s="146"/>
      <c r="UBN72" s="146"/>
      <c r="UBO72" s="146"/>
      <c r="UBP72" s="146"/>
      <c r="UBQ72" s="146"/>
      <c r="UBR72" s="146"/>
      <c r="UBS72" s="146"/>
      <c r="UBT72" s="146"/>
      <c r="UBU72" s="146"/>
      <c r="UBV72" s="146"/>
      <c r="UBW72" s="146"/>
      <c r="UBX72" s="146"/>
      <c r="UBY72" s="146"/>
      <c r="UBZ72" s="146"/>
      <c r="UCA72" s="146"/>
      <c r="UCB72" s="146"/>
      <c r="UCC72" s="146"/>
      <c r="UCD72" s="146"/>
      <c r="UCE72" s="146"/>
      <c r="UCF72" s="146"/>
      <c r="UCG72" s="146"/>
      <c r="UCH72" s="146"/>
      <c r="UCI72" s="146"/>
      <c r="UCJ72" s="146"/>
      <c r="UCK72" s="146"/>
      <c r="UCL72" s="146"/>
      <c r="UCM72" s="146"/>
      <c r="UCN72" s="146"/>
      <c r="UCO72" s="146"/>
      <c r="UCP72" s="146"/>
      <c r="UCQ72" s="146"/>
      <c r="UCR72" s="146"/>
      <c r="UCS72" s="146"/>
      <c r="UCT72" s="146"/>
      <c r="UCU72" s="146"/>
      <c r="UCV72" s="146"/>
      <c r="UCW72" s="146"/>
      <c r="UCX72" s="146"/>
      <c r="UCY72" s="146"/>
      <c r="UCZ72" s="146"/>
      <c r="UDA72" s="146"/>
      <c r="UDB72" s="146"/>
      <c r="UDC72" s="146"/>
      <c r="UDD72" s="146"/>
      <c r="UDE72" s="146"/>
      <c r="UDF72" s="146"/>
      <c r="UDG72" s="146"/>
      <c r="UDH72" s="146"/>
      <c r="UDI72" s="146"/>
      <c r="UDJ72" s="146"/>
      <c r="UDK72" s="146"/>
      <c r="UDL72" s="146"/>
      <c r="UDM72" s="146"/>
      <c r="UDN72" s="146"/>
      <c r="UDO72" s="146"/>
      <c r="UDP72" s="146"/>
      <c r="UDQ72" s="146"/>
      <c r="UDR72" s="146"/>
      <c r="UDS72" s="146"/>
      <c r="UDT72" s="146"/>
      <c r="UDU72" s="146"/>
      <c r="UDV72" s="146"/>
      <c r="UDW72" s="146"/>
      <c r="UDX72" s="146"/>
      <c r="UDY72" s="146"/>
      <c r="UDZ72" s="146"/>
      <c r="UEA72" s="146"/>
      <c r="UEB72" s="146"/>
      <c r="UEC72" s="146"/>
      <c r="UED72" s="146"/>
      <c r="UEE72" s="146"/>
      <c r="UEF72" s="146"/>
      <c r="UEG72" s="146"/>
      <c r="UEH72" s="146"/>
      <c r="UEI72" s="146"/>
      <c r="UEJ72" s="146"/>
      <c r="UEK72" s="146"/>
      <c r="UEL72" s="146"/>
      <c r="UEM72" s="146"/>
      <c r="UEN72" s="146"/>
      <c r="UEO72" s="146"/>
      <c r="UEP72" s="146"/>
      <c r="UEQ72" s="146"/>
      <c r="UER72" s="146"/>
      <c r="UES72" s="146"/>
      <c r="UET72" s="146"/>
      <c r="UEU72" s="146"/>
      <c r="UEV72" s="146"/>
      <c r="UEW72" s="146"/>
      <c r="UEX72" s="146"/>
      <c r="UEY72" s="146"/>
      <c r="UEZ72" s="146"/>
      <c r="UFA72" s="146"/>
      <c r="UFB72" s="146"/>
      <c r="UFC72" s="146"/>
      <c r="UFD72" s="146"/>
      <c r="UFE72" s="146"/>
      <c r="UFF72" s="146"/>
      <c r="UFG72" s="146"/>
      <c r="UFH72" s="146"/>
      <c r="UFI72" s="146"/>
      <c r="UFJ72" s="146"/>
      <c r="UFK72" s="146"/>
      <c r="UFL72" s="146"/>
      <c r="UFM72" s="146"/>
      <c r="UFN72" s="146"/>
      <c r="UFO72" s="146"/>
      <c r="UFP72" s="146"/>
      <c r="UFQ72" s="146"/>
      <c r="UFR72" s="146"/>
      <c r="UFS72" s="146"/>
      <c r="UFT72" s="146"/>
      <c r="UFU72" s="146"/>
      <c r="UFV72" s="146"/>
      <c r="UFW72" s="146"/>
      <c r="UFX72" s="146"/>
      <c r="UFY72" s="146"/>
      <c r="UFZ72" s="146"/>
      <c r="UGA72" s="146"/>
      <c r="UGB72" s="146"/>
      <c r="UGC72" s="146"/>
      <c r="UGD72" s="146"/>
      <c r="UGE72" s="146"/>
      <c r="UGF72" s="146"/>
      <c r="UGG72" s="146"/>
      <c r="UGH72" s="146"/>
      <c r="UGI72" s="146"/>
      <c r="UGJ72" s="146"/>
      <c r="UGK72" s="146"/>
      <c r="UGL72" s="146"/>
      <c r="UGM72" s="146"/>
      <c r="UGN72" s="146"/>
      <c r="UGO72" s="146"/>
      <c r="UGP72" s="146"/>
      <c r="UGQ72" s="146"/>
      <c r="UGR72" s="146"/>
      <c r="UGS72" s="146"/>
      <c r="UGT72" s="146"/>
      <c r="UGU72" s="146"/>
      <c r="UGV72" s="146"/>
      <c r="UGW72" s="146"/>
      <c r="UGX72" s="146"/>
      <c r="UGY72" s="146"/>
      <c r="UGZ72" s="146"/>
      <c r="UHA72" s="146"/>
      <c r="UHB72" s="146"/>
      <c r="UHC72" s="146"/>
      <c r="UHD72" s="146"/>
      <c r="UHE72" s="146"/>
      <c r="UHF72" s="146"/>
      <c r="UHG72" s="146"/>
      <c r="UHH72" s="146"/>
      <c r="UHI72" s="146"/>
      <c r="UHJ72" s="146"/>
      <c r="UHK72" s="146"/>
      <c r="UHL72" s="146"/>
      <c r="UHM72" s="146"/>
      <c r="UHN72" s="146"/>
      <c r="UHO72" s="146"/>
      <c r="UHP72" s="146"/>
      <c r="UHQ72" s="146"/>
      <c r="UHR72" s="146"/>
      <c r="UHS72" s="146"/>
      <c r="UHT72" s="146"/>
      <c r="UHU72" s="146"/>
      <c r="UHV72" s="146"/>
      <c r="UHW72" s="146"/>
      <c r="UHX72" s="146"/>
      <c r="UHY72" s="146"/>
      <c r="UHZ72" s="146"/>
      <c r="UIA72" s="146"/>
      <c r="UIB72" s="146"/>
      <c r="UIC72" s="146"/>
      <c r="UID72" s="146"/>
      <c r="UIE72" s="146"/>
      <c r="UIF72" s="146"/>
      <c r="UIG72" s="146"/>
      <c r="UIH72" s="146"/>
      <c r="UII72" s="146"/>
      <c r="UIJ72" s="146"/>
      <c r="UIK72" s="146"/>
      <c r="UIL72" s="146"/>
      <c r="UIM72" s="146"/>
      <c r="UIN72" s="146"/>
      <c r="UIO72" s="146"/>
      <c r="UIP72" s="146"/>
      <c r="UIQ72" s="146"/>
      <c r="UIR72" s="146"/>
      <c r="UIS72" s="146"/>
      <c r="UIT72" s="146"/>
      <c r="UIU72" s="146"/>
      <c r="UIV72" s="146"/>
      <c r="UIW72" s="146"/>
      <c r="UIX72" s="146"/>
      <c r="UIY72" s="146"/>
      <c r="UIZ72" s="146"/>
      <c r="UJA72" s="146"/>
      <c r="UJB72" s="146"/>
      <c r="UJC72" s="146"/>
      <c r="UJD72" s="146"/>
      <c r="UJE72" s="146"/>
      <c r="UJF72" s="146"/>
      <c r="UJG72" s="146"/>
      <c r="UJH72" s="146"/>
      <c r="UJI72" s="146"/>
      <c r="UJJ72" s="146"/>
      <c r="UJK72" s="146"/>
      <c r="UJL72" s="146"/>
      <c r="UJM72" s="146"/>
      <c r="UJN72" s="146"/>
      <c r="UJO72" s="146"/>
      <c r="UJP72" s="146"/>
      <c r="UJQ72" s="146"/>
      <c r="UJR72" s="146"/>
      <c r="UJS72" s="146"/>
      <c r="UJT72" s="146"/>
      <c r="UJU72" s="146"/>
      <c r="UJV72" s="146"/>
      <c r="UJW72" s="146"/>
      <c r="UJX72" s="146"/>
      <c r="UJY72" s="146"/>
      <c r="UJZ72" s="146"/>
      <c r="UKA72" s="146"/>
      <c r="UKB72" s="146"/>
      <c r="UKC72" s="146"/>
      <c r="UKD72" s="146"/>
      <c r="UKE72" s="146"/>
      <c r="UKF72" s="146"/>
      <c r="UKG72" s="146"/>
      <c r="UKH72" s="146"/>
      <c r="UKI72" s="146"/>
      <c r="UKJ72" s="146"/>
      <c r="UKK72" s="146"/>
      <c r="UKL72" s="146"/>
      <c r="UKM72" s="146"/>
      <c r="UKN72" s="146"/>
      <c r="UKO72" s="146"/>
      <c r="UKP72" s="146"/>
      <c r="UKQ72" s="146"/>
      <c r="UKR72" s="146"/>
      <c r="UKS72" s="146"/>
      <c r="UKT72" s="146"/>
      <c r="UKU72" s="146"/>
      <c r="UKV72" s="146"/>
      <c r="UKW72" s="146"/>
      <c r="UKX72" s="146"/>
      <c r="UKY72" s="146"/>
      <c r="UKZ72" s="146"/>
      <c r="ULA72" s="146"/>
      <c r="ULB72" s="146"/>
      <c r="ULC72" s="146"/>
      <c r="ULD72" s="146"/>
      <c r="ULE72" s="146"/>
      <c r="ULF72" s="146"/>
      <c r="ULG72" s="146"/>
      <c r="ULH72" s="146"/>
      <c r="ULI72" s="146"/>
      <c r="ULJ72" s="146"/>
      <c r="ULK72" s="146"/>
      <c r="ULL72" s="146"/>
      <c r="ULM72" s="146"/>
      <c r="ULN72" s="146"/>
      <c r="ULO72" s="146"/>
      <c r="ULP72" s="146"/>
      <c r="ULQ72" s="146"/>
      <c r="ULR72" s="146"/>
      <c r="ULS72" s="146"/>
      <c r="ULT72" s="146"/>
      <c r="ULU72" s="146"/>
      <c r="ULV72" s="146"/>
      <c r="ULW72" s="146"/>
      <c r="ULX72" s="146"/>
      <c r="ULY72" s="146"/>
      <c r="ULZ72" s="146"/>
      <c r="UMA72" s="146"/>
      <c r="UMB72" s="146"/>
      <c r="UMC72" s="146"/>
      <c r="UMD72" s="146"/>
      <c r="UME72" s="146"/>
      <c r="UMF72" s="146"/>
      <c r="UMG72" s="146"/>
      <c r="UMH72" s="146"/>
      <c r="UMI72" s="146"/>
      <c r="UMJ72" s="146"/>
      <c r="UMK72" s="146"/>
      <c r="UML72" s="146"/>
      <c r="UMM72" s="146"/>
      <c r="UMN72" s="146"/>
      <c r="UMO72" s="146"/>
      <c r="UMP72" s="146"/>
      <c r="UMQ72" s="146"/>
      <c r="UMR72" s="146"/>
      <c r="UMS72" s="146"/>
      <c r="UMT72" s="146"/>
      <c r="UMU72" s="146"/>
      <c r="UMV72" s="146"/>
      <c r="UMW72" s="146"/>
      <c r="UMX72" s="146"/>
      <c r="UMY72" s="146"/>
      <c r="UMZ72" s="146"/>
      <c r="UNA72" s="146"/>
      <c r="UNB72" s="146"/>
      <c r="UNC72" s="146"/>
      <c r="UND72" s="146"/>
      <c r="UNE72" s="146"/>
      <c r="UNF72" s="146"/>
      <c r="UNG72" s="146"/>
      <c r="UNH72" s="146"/>
      <c r="UNI72" s="146"/>
      <c r="UNJ72" s="146"/>
      <c r="UNK72" s="146"/>
      <c r="UNL72" s="146"/>
      <c r="UNM72" s="146"/>
      <c r="UNN72" s="146"/>
      <c r="UNO72" s="146"/>
      <c r="UNP72" s="146"/>
      <c r="UNQ72" s="146"/>
      <c r="UNR72" s="146"/>
      <c r="UNS72" s="146"/>
      <c r="UNT72" s="146"/>
      <c r="UNU72" s="146"/>
      <c r="UNV72" s="146"/>
      <c r="UNW72" s="146"/>
      <c r="UNX72" s="146"/>
      <c r="UNY72" s="146"/>
      <c r="UNZ72" s="146"/>
      <c r="UOA72" s="146"/>
      <c r="UOB72" s="146"/>
      <c r="UOC72" s="146"/>
      <c r="UOD72" s="146"/>
      <c r="UOE72" s="146"/>
      <c r="UOF72" s="146"/>
      <c r="UOG72" s="146"/>
      <c r="UOH72" s="146"/>
      <c r="UOI72" s="146"/>
      <c r="UOJ72" s="146"/>
      <c r="UOK72" s="146"/>
      <c r="UOL72" s="146"/>
      <c r="UOM72" s="146"/>
      <c r="UON72" s="146"/>
      <c r="UOO72" s="146"/>
      <c r="UOP72" s="146"/>
      <c r="UOQ72" s="146"/>
      <c r="UOR72" s="146"/>
      <c r="UOS72" s="146"/>
      <c r="UOT72" s="146"/>
      <c r="UOU72" s="146"/>
      <c r="UOV72" s="146"/>
      <c r="UOW72" s="146"/>
      <c r="UOX72" s="146"/>
      <c r="UOY72" s="146"/>
      <c r="UOZ72" s="146"/>
      <c r="UPA72" s="146"/>
      <c r="UPB72" s="146"/>
      <c r="UPC72" s="146"/>
      <c r="UPD72" s="146"/>
      <c r="UPE72" s="146"/>
      <c r="UPF72" s="146"/>
      <c r="UPG72" s="146"/>
      <c r="UPH72" s="146"/>
      <c r="UPI72" s="146"/>
      <c r="UPJ72" s="146"/>
      <c r="UPK72" s="146"/>
      <c r="UPL72" s="146"/>
      <c r="UPM72" s="146"/>
      <c r="UPN72" s="146"/>
      <c r="UPO72" s="146"/>
      <c r="UPP72" s="146"/>
      <c r="UPQ72" s="146"/>
      <c r="UPR72" s="146"/>
      <c r="UPS72" s="146"/>
      <c r="UPT72" s="146"/>
      <c r="UPU72" s="146"/>
      <c r="UPV72" s="146"/>
      <c r="UPW72" s="146"/>
      <c r="UPX72" s="146"/>
      <c r="UPY72" s="146"/>
      <c r="UPZ72" s="146"/>
      <c r="UQA72" s="146"/>
      <c r="UQB72" s="146"/>
      <c r="UQC72" s="146"/>
      <c r="UQD72" s="146"/>
      <c r="UQE72" s="146"/>
      <c r="UQF72" s="146"/>
      <c r="UQG72" s="146"/>
      <c r="UQH72" s="146"/>
      <c r="UQI72" s="146"/>
      <c r="UQJ72" s="146"/>
      <c r="UQK72" s="146"/>
      <c r="UQL72" s="146"/>
      <c r="UQM72" s="146"/>
      <c r="UQN72" s="146"/>
      <c r="UQO72" s="146"/>
      <c r="UQP72" s="146"/>
      <c r="UQQ72" s="146"/>
      <c r="UQR72" s="146"/>
      <c r="UQS72" s="146"/>
      <c r="UQT72" s="146"/>
      <c r="UQU72" s="146"/>
      <c r="UQV72" s="146"/>
      <c r="UQW72" s="146"/>
      <c r="UQX72" s="146"/>
      <c r="UQY72" s="146"/>
      <c r="UQZ72" s="146"/>
      <c r="URA72" s="146"/>
      <c r="URB72" s="146"/>
      <c r="URC72" s="146"/>
      <c r="URD72" s="146"/>
      <c r="URE72" s="146"/>
      <c r="URF72" s="146"/>
      <c r="URG72" s="146"/>
      <c r="URH72" s="146"/>
      <c r="URI72" s="146"/>
      <c r="URJ72" s="146"/>
      <c r="URK72" s="146"/>
      <c r="URL72" s="146"/>
      <c r="URM72" s="146"/>
      <c r="URN72" s="146"/>
      <c r="URO72" s="146"/>
      <c r="URP72" s="146"/>
      <c r="URQ72" s="146"/>
      <c r="URR72" s="146"/>
      <c r="URS72" s="146"/>
      <c r="URT72" s="146"/>
      <c r="URU72" s="146"/>
      <c r="URV72" s="146"/>
      <c r="URW72" s="146"/>
      <c r="URX72" s="146"/>
      <c r="URY72" s="146"/>
      <c r="URZ72" s="146"/>
      <c r="USA72" s="146"/>
      <c r="USB72" s="146"/>
      <c r="USC72" s="146"/>
      <c r="USD72" s="146"/>
      <c r="USE72" s="146"/>
      <c r="USF72" s="146"/>
      <c r="USG72" s="146"/>
      <c r="USH72" s="146"/>
      <c r="USI72" s="146"/>
      <c r="USJ72" s="146"/>
      <c r="USK72" s="146"/>
      <c r="USL72" s="146"/>
      <c r="USM72" s="146"/>
      <c r="USN72" s="146"/>
      <c r="USO72" s="146"/>
      <c r="USP72" s="146"/>
      <c r="USQ72" s="146"/>
      <c r="USR72" s="146"/>
      <c r="USS72" s="146"/>
      <c r="UST72" s="146"/>
      <c r="USU72" s="146"/>
      <c r="USV72" s="146"/>
      <c r="USW72" s="146"/>
      <c r="USX72" s="146"/>
      <c r="USY72" s="146"/>
      <c r="USZ72" s="146"/>
      <c r="UTA72" s="146"/>
      <c r="UTB72" s="146"/>
      <c r="UTC72" s="146"/>
      <c r="UTD72" s="146"/>
      <c r="UTE72" s="146"/>
      <c r="UTF72" s="146"/>
      <c r="UTG72" s="146"/>
      <c r="UTH72" s="146"/>
      <c r="UTI72" s="146"/>
      <c r="UTJ72" s="146"/>
      <c r="UTK72" s="146"/>
      <c r="UTL72" s="146"/>
      <c r="UTM72" s="146"/>
      <c r="UTN72" s="146"/>
      <c r="UTO72" s="146"/>
      <c r="UTP72" s="146"/>
      <c r="UTQ72" s="146"/>
      <c r="UTR72" s="146"/>
      <c r="UTS72" s="146"/>
      <c r="UTT72" s="146"/>
      <c r="UTU72" s="146"/>
      <c r="UTV72" s="146"/>
      <c r="UTW72" s="146"/>
      <c r="UTX72" s="146"/>
      <c r="UTY72" s="146"/>
      <c r="UTZ72" s="146"/>
      <c r="UUA72" s="146"/>
      <c r="UUB72" s="146"/>
      <c r="UUC72" s="146"/>
      <c r="UUD72" s="146"/>
      <c r="UUE72" s="146"/>
      <c r="UUF72" s="146"/>
      <c r="UUG72" s="146"/>
      <c r="UUH72" s="146"/>
      <c r="UUI72" s="146"/>
      <c r="UUJ72" s="146"/>
      <c r="UUK72" s="146"/>
      <c r="UUL72" s="146"/>
      <c r="UUM72" s="146"/>
      <c r="UUN72" s="146"/>
      <c r="UUO72" s="146"/>
      <c r="UUP72" s="146"/>
      <c r="UUQ72" s="146"/>
      <c r="UUR72" s="146"/>
      <c r="UUS72" s="146"/>
      <c r="UUT72" s="146"/>
      <c r="UUU72" s="146"/>
      <c r="UUV72" s="146"/>
      <c r="UUW72" s="146"/>
      <c r="UUX72" s="146"/>
      <c r="UUY72" s="146"/>
      <c r="UUZ72" s="146"/>
      <c r="UVA72" s="146"/>
      <c r="UVB72" s="146"/>
      <c r="UVC72" s="146"/>
      <c r="UVD72" s="146"/>
      <c r="UVE72" s="146"/>
      <c r="UVF72" s="146"/>
      <c r="UVG72" s="146"/>
      <c r="UVH72" s="146"/>
      <c r="UVI72" s="146"/>
      <c r="UVJ72" s="146"/>
      <c r="UVK72" s="146"/>
      <c r="UVL72" s="146"/>
      <c r="UVM72" s="146"/>
      <c r="UVN72" s="146"/>
      <c r="UVO72" s="146"/>
      <c r="UVP72" s="146"/>
      <c r="UVQ72" s="146"/>
      <c r="UVR72" s="146"/>
      <c r="UVS72" s="146"/>
      <c r="UVT72" s="146"/>
      <c r="UVU72" s="146"/>
      <c r="UVV72" s="146"/>
      <c r="UVW72" s="146"/>
      <c r="UVX72" s="146"/>
      <c r="UVY72" s="146"/>
      <c r="UVZ72" s="146"/>
      <c r="UWA72" s="146"/>
      <c r="UWB72" s="146"/>
      <c r="UWC72" s="146"/>
      <c r="UWD72" s="146"/>
      <c r="UWE72" s="146"/>
      <c r="UWF72" s="146"/>
      <c r="UWG72" s="146"/>
      <c r="UWH72" s="146"/>
      <c r="UWI72" s="146"/>
      <c r="UWJ72" s="146"/>
      <c r="UWK72" s="146"/>
      <c r="UWL72" s="146"/>
      <c r="UWM72" s="146"/>
      <c r="UWN72" s="146"/>
      <c r="UWO72" s="146"/>
      <c r="UWP72" s="146"/>
      <c r="UWQ72" s="146"/>
      <c r="UWR72" s="146"/>
      <c r="UWS72" s="146"/>
      <c r="UWT72" s="146"/>
      <c r="UWU72" s="146"/>
      <c r="UWV72" s="146"/>
      <c r="UWW72" s="146"/>
      <c r="UWX72" s="146"/>
      <c r="UWY72" s="146"/>
      <c r="UWZ72" s="146"/>
      <c r="UXA72" s="146"/>
      <c r="UXB72" s="146"/>
      <c r="UXC72" s="146"/>
      <c r="UXD72" s="146"/>
      <c r="UXE72" s="146"/>
      <c r="UXF72" s="146"/>
      <c r="UXG72" s="146"/>
      <c r="UXH72" s="146"/>
      <c r="UXI72" s="146"/>
      <c r="UXJ72" s="146"/>
      <c r="UXK72" s="146"/>
      <c r="UXL72" s="146"/>
      <c r="UXM72" s="146"/>
      <c r="UXN72" s="146"/>
      <c r="UXO72" s="146"/>
      <c r="UXP72" s="146"/>
      <c r="UXQ72" s="146"/>
      <c r="UXR72" s="146"/>
      <c r="UXS72" s="146"/>
      <c r="UXT72" s="146"/>
      <c r="UXU72" s="146"/>
      <c r="UXV72" s="146"/>
      <c r="UXW72" s="146"/>
      <c r="UXX72" s="146"/>
      <c r="UXY72" s="146"/>
      <c r="UXZ72" s="146"/>
      <c r="UYA72" s="146"/>
      <c r="UYB72" s="146"/>
      <c r="UYC72" s="146"/>
      <c r="UYD72" s="146"/>
      <c r="UYE72" s="146"/>
      <c r="UYF72" s="146"/>
      <c r="UYG72" s="146"/>
      <c r="UYH72" s="146"/>
      <c r="UYI72" s="146"/>
      <c r="UYJ72" s="146"/>
      <c r="UYK72" s="146"/>
      <c r="UYL72" s="146"/>
      <c r="UYM72" s="146"/>
      <c r="UYN72" s="146"/>
      <c r="UYO72" s="146"/>
      <c r="UYP72" s="146"/>
      <c r="UYQ72" s="146"/>
      <c r="UYR72" s="146"/>
      <c r="UYS72" s="146"/>
      <c r="UYT72" s="146"/>
      <c r="UYU72" s="146"/>
      <c r="UYV72" s="146"/>
      <c r="UYW72" s="146"/>
      <c r="UYX72" s="146"/>
      <c r="UYY72" s="146"/>
      <c r="UYZ72" s="146"/>
      <c r="UZA72" s="146"/>
      <c r="UZB72" s="146"/>
      <c r="UZC72" s="146"/>
      <c r="UZD72" s="146"/>
      <c r="UZE72" s="146"/>
      <c r="UZF72" s="146"/>
      <c r="UZG72" s="146"/>
      <c r="UZH72" s="146"/>
      <c r="UZI72" s="146"/>
      <c r="UZJ72" s="146"/>
      <c r="UZK72" s="146"/>
      <c r="UZL72" s="146"/>
      <c r="UZM72" s="146"/>
      <c r="UZN72" s="146"/>
      <c r="UZO72" s="146"/>
      <c r="UZP72" s="146"/>
      <c r="UZQ72" s="146"/>
      <c r="UZR72" s="146"/>
      <c r="UZS72" s="146"/>
      <c r="UZT72" s="146"/>
      <c r="UZU72" s="146"/>
      <c r="UZV72" s="146"/>
      <c r="UZW72" s="146"/>
      <c r="UZX72" s="146"/>
      <c r="UZY72" s="146"/>
      <c r="UZZ72" s="146"/>
      <c r="VAA72" s="146"/>
      <c r="VAB72" s="146"/>
      <c r="VAC72" s="146"/>
      <c r="VAD72" s="146"/>
      <c r="VAE72" s="146"/>
      <c r="VAF72" s="146"/>
      <c r="VAG72" s="146"/>
      <c r="VAH72" s="146"/>
      <c r="VAI72" s="146"/>
      <c r="VAJ72" s="146"/>
      <c r="VAK72" s="146"/>
      <c r="VAL72" s="146"/>
      <c r="VAM72" s="146"/>
      <c r="VAN72" s="146"/>
      <c r="VAO72" s="146"/>
      <c r="VAP72" s="146"/>
      <c r="VAQ72" s="146"/>
      <c r="VAR72" s="146"/>
      <c r="VAS72" s="146"/>
      <c r="VAT72" s="146"/>
      <c r="VAU72" s="146"/>
      <c r="VAV72" s="146"/>
      <c r="VAW72" s="146"/>
      <c r="VAX72" s="146"/>
      <c r="VAY72" s="146"/>
      <c r="VAZ72" s="146"/>
      <c r="VBA72" s="146"/>
      <c r="VBB72" s="146"/>
      <c r="VBC72" s="146"/>
      <c r="VBD72" s="146"/>
      <c r="VBE72" s="146"/>
      <c r="VBF72" s="146"/>
      <c r="VBG72" s="146"/>
      <c r="VBH72" s="146"/>
      <c r="VBI72" s="146"/>
      <c r="VBJ72" s="146"/>
      <c r="VBK72" s="146"/>
      <c r="VBL72" s="146"/>
      <c r="VBM72" s="146"/>
      <c r="VBN72" s="146"/>
      <c r="VBO72" s="146"/>
      <c r="VBP72" s="146"/>
      <c r="VBQ72" s="146"/>
      <c r="VBR72" s="146"/>
      <c r="VBS72" s="146"/>
      <c r="VBT72" s="146"/>
      <c r="VBU72" s="146"/>
      <c r="VBV72" s="146"/>
      <c r="VBW72" s="146"/>
      <c r="VBX72" s="146"/>
      <c r="VBY72" s="146"/>
      <c r="VBZ72" s="146"/>
      <c r="VCA72" s="146"/>
      <c r="VCB72" s="146"/>
      <c r="VCC72" s="146"/>
      <c r="VCD72" s="146"/>
      <c r="VCE72" s="146"/>
      <c r="VCF72" s="146"/>
      <c r="VCG72" s="146"/>
      <c r="VCH72" s="146"/>
      <c r="VCI72" s="146"/>
      <c r="VCJ72" s="146"/>
      <c r="VCK72" s="146"/>
      <c r="VCL72" s="146"/>
      <c r="VCM72" s="146"/>
      <c r="VCN72" s="146"/>
      <c r="VCO72" s="146"/>
      <c r="VCP72" s="146"/>
      <c r="VCQ72" s="146"/>
      <c r="VCR72" s="146"/>
      <c r="VCS72" s="146"/>
      <c r="VCT72" s="146"/>
      <c r="VCU72" s="146"/>
      <c r="VCV72" s="146"/>
      <c r="VCW72" s="146"/>
      <c r="VCX72" s="146"/>
      <c r="VCY72" s="146"/>
      <c r="VCZ72" s="146"/>
      <c r="VDA72" s="146"/>
      <c r="VDB72" s="146"/>
      <c r="VDC72" s="146"/>
      <c r="VDD72" s="146"/>
      <c r="VDE72" s="146"/>
      <c r="VDF72" s="146"/>
      <c r="VDG72" s="146"/>
      <c r="VDH72" s="146"/>
      <c r="VDI72" s="146"/>
      <c r="VDJ72" s="146"/>
      <c r="VDK72" s="146"/>
      <c r="VDL72" s="146"/>
      <c r="VDM72" s="146"/>
      <c r="VDN72" s="146"/>
      <c r="VDO72" s="146"/>
      <c r="VDP72" s="146"/>
      <c r="VDQ72" s="146"/>
      <c r="VDR72" s="146"/>
      <c r="VDS72" s="146"/>
      <c r="VDT72" s="146"/>
      <c r="VDU72" s="146"/>
      <c r="VDV72" s="146"/>
      <c r="VDW72" s="146"/>
      <c r="VDX72" s="146"/>
      <c r="VDY72" s="146"/>
      <c r="VDZ72" s="146"/>
      <c r="VEA72" s="146"/>
      <c r="VEB72" s="146"/>
      <c r="VEC72" s="146"/>
      <c r="VED72" s="146"/>
      <c r="VEE72" s="146"/>
      <c r="VEF72" s="146"/>
      <c r="VEG72" s="146"/>
      <c r="VEH72" s="146"/>
      <c r="VEI72" s="146"/>
      <c r="VEJ72" s="146"/>
      <c r="VEK72" s="146"/>
      <c r="VEL72" s="146"/>
      <c r="VEM72" s="146"/>
      <c r="VEN72" s="146"/>
      <c r="VEO72" s="146"/>
      <c r="VEP72" s="146"/>
      <c r="VEQ72" s="146"/>
      <c r="VER72" s="146"/>
      <c r="VES72" s="146"/>
      <c r="VET72" s="146"/>
      <c r="VEU72" s="146"/>
      <c r="VEV72" s="146"/>
      <c r="VEW72" s="146"/>
      <c r="VEX72" s="146"/>
      <c r="VEY72" s="146"/>
      <c r="VEZ72" s="146"/>
      <c r="VFA72" s="146"/>
      <c r="VFB72" s="146"/>
      <c r="VFC72" s="146"/>
      <c r="VFD72" s="146"/>
      <c r="VFE72" s="146"/>
      <c r="VFF72" s="146"/>
      <c r="VFG72" s="146"/>
      <c r="VFH72" s="146"/>
      <c r="VFI72" s="146"/>
      <c r="VFJ72" s="146"/>
      <c r="VFK72" s="146"/>
      <c r="VFL72" s="146"/>
      <c r="VFM72" s="146"/>
      <c r="VFN72" s="146"/>
      <c r="VFO72" s="146"/>
      <c r="VFP72" s="146"/>
      <c r="VFQ72" s="146"/>
      <c r="VFR72" s="146"/>
      <c r="VFS72" s="146"/>
      <c r="VFT72" s="146"/>
      <c r="VFU72" s="146"/>
      <c r="VFV72" s="146"/>
      <c r="VFW72" s="146"/>
      <c r="VFX72" s="146"/>
      <c r="VFY72" s="146"/>
      <c r="VFZ72" s="146"/>
      <c r="VGA72" s="146"/>
      <c r="VGB72" s="146"/>
      <c r="VGC72" s="146"/>
      <c r="VGD72" s="146"/>
      <c r="VGE72" s="146"/>
      <c r="VGF72" s="146"/>
      <c r="VGG72" s="146"/>
      <c r="VGH72" s="146"/>
      <c r="VGI72" s="146"/>
      <c r="VGJ72" s="146"/>
      <c r="VGK72" s="146"/>
      <c r="VGL72" s="146"/>
      <c r="VGM72" s="146"/>
      <c r="VGN72" s="146"/>
      <c r="VGO72" s="146"/>
      <c r="VGP72" s="146"/>
      <c r="VGQ72" s="146"/>
      <c r="VGR72" s="146"/>
      <c r="VGS72" s="146"/>
      <c r="VGT72" s="146"/>
      <c r="VGU72" s="146"/>
      <c r="VGV72" s="146"/>
      <c r="VGW72" s="146"/>
      <c r="VGX72" s="146"/>
      <c r="VGY72" s="146"/>
      <c r="VGZ72" s="146"/>
      <c r="VHA72" s="146"/>
      <c r="VHB72" s="146"/>
      <c r="VHC72" s="146"/>
      <c r="VHD72" s="146"/>
      <c r="VHE72" s="146"/>
      <c r="VHF72" s="146"/>
      <c r="VHG72" s="146"/>
      <c r="VHH72" s="146"/>
      <c r="VHI72" s="146"/>
      <c r="VHJ72" s="146"/>
      <c r="VHK72" s="146"/>
      <c r="VHL72" s="146"/>
      <c r="VHM72" s="146"/>
      <c r="VHN72" s="146"/>
      <c r="VHO72" s="146"/>
      <c r="VHP72" s="146"/>
      <c r="VHQ72" s="146"/>
      <c r="VHR72" s="146"/>
      <c r="VHS72" s="146"/>
      <c r="VHT72" s="146"/>
      <c r="VHU72" s="146"/>
      <c r="VHV72" s="146"/>
      <c r="VHW72" s="146"/>
      <c r="VHX72" s="146"/>
      <c r="VHY72" s="146"/>
      <c r="VHZ72" s="146"/>
      <c r="VIA72" s="146"/>
      <c r="VIB72" s="146"/>
      <c r="VIC72" s="146"/>
      <c r="VID72" s="146"/>
      <c r="VIE72" s="146"/>
      <c r="VIF72" s="146"/>
      <c r="VIG72" s="146"/>
      <c r="VIH72" s="146"/>
      <c r="VII72" s="146"/>
      <c r="VIJ72" s="146"/>
      <c r="VIK72" s="146"/>
      <c r="VIL72" s="146"/>
      <c r="VIM72" s="146"/>
      <c r="VIN72" s="146"/>
      <c r="VIO72" s="146"/>
      <c r="VIP72" s="146"/>
      <c r="VIQ72" s="146"/>
      <c r="VIR72" s="146"/>
      <c r="VIS72" s="146"/>
      <c r="VIT72" s="146"/>
      <c r="VIU72" s="146"/>
      <c r="VIV72" s="146"/>
      <c r="VIW72" s="146"/>
      <c r="VIX72" s="146"/>
      <c r="VIY72" s="146"/>
      <c r="VIZ72" s="146"/>
      <c r="VJA72" s="146"/>
      <c r="VJB72" s="146"/>
      <c r="VJC72" s="146"/>
      <c r="VJD72" s="146"/>
      <c r="VJE72" s="146"/>
      <c r="VJF72" s="146"/>
      <c r="VJG72" s="146"/>
      <c r="VJH72" s="146"/>
      <c r="VJI72" s="146"/>
      <c r="VJJ72" s="146"/>
      <c r="VJK72" s="146"/>
      <c r="VJL72" s="146"/>
      <c r="VJM72" s="146"/>
      <c r="VJN72" s="146"/>
      <c r="VJO72" s="146"/>
      <c r="VJP72" s="146"/>
      <c r="VJQ72" s="146"/>
      <c r="VJR72" s="146"/>
      <c r="VJS72" s="146"/>
      <c r="VJT72" s="146"/>
      <c r="VJU72" s="146"/>
      <c r="VJV72" s="146"/>
      <c r="VJW72" s="146"/>
      <c r="VJX72" s="146"/>
      <c r="VJY72" s="146"/>
      <c r="VJZ72" s="146"/>
      <c r="VKA72" s="146"/>
      <c r="VKB72" s="146"/>
      <c r="VKC72" s="146"/>
      <c r="VKD72" s="146"/>
      <c r="VKE72" s="146"/>
      <c r="VKF72" s="146"/>
      <c r="VKG72" s="146"/>
      <c r="VKH72" s="146"/>
      <c r="VKI72" s="146"/>
      <c r="VKJ72" s="146"/>
      <c r="VKK72" s="146"/>
      <c r="VKL72" s="146"/>
      <c r="VKM72" s="146"/>
      <c r="VKN72" s="146"/>
      <c r="VKO72" s="146"/>
      <c r="VKP72" s="146"/>
      <c r="VKQ72" s="146"/>
      <c r="VKR72" s="146"/>
      <c r="VKS72" s="146"/>
      <c r="VKT72" s="146"/>
      <c r="VKU72" s="146"/>
      <c r="VKV72" s="146"/>
      <c r="VKW72" s="146"/>
      <c r="VKX72" s="146"/>
      <c r="VKY72" s="146"/>
      <c r="VKZ72" s="146"/>
      <c r="VLA72" s="146"/>
      <c r="VLB72" s="146"/>
      <c r="VLC72" s="146"/>
      <c r="VLD72" s="146"/>
      <c r="VLE72" s="146"/>
      <c r="VLF72" s="146"/>
      <c r="VLG72" s="146"/>
      <c r="VLH72" s="146"/>
      <c r="VLI72" s="146"/>
      <c r="VLJ72" s="146"/>
      <c r="VLK72" s="146"/>
      <c r="VLL72" s="146"/>
      <c r="VLM72" s="146"/>
      <c r="VLN72" s="146"/>
      <c r="VLO72" s="146"/>
      <c r="VLP72" s="146"/>
      <c r="VLQ72" s="146"/>
      <c r="VLR72" s="146"/>
      <c r="VLS72" s="146"/>
      <c r="VLT72" s="146"/>
      <c r="VLU72" s="146"/>
      <c r="VLV72" s="146"/>
      <c r="VLW72" s="146"/>
      <c r="VLX72" s="146"/>
      <c r="VLY72" s="146"/>
      <c r="VLZ72" s="146"/>
      <c r="VMA72" s="146"/>
      <c r="VMB72" s="146"/>
      <c r="VMC72" s="146"/>
      <c r="VMD72" s="146"/>
      <c r="VME72" s="146"/>
      <c r="VMF72" s="146"/>
      <c r="VMG72" s="146"/>
      <c r="VMH72" s="146"/>
      <c r="VMI72" s="146"/>
      <c r="VMJ72" s="146"/>
      <c r="VMK72" s="146"/>
      <c r="VML72" s="146"/>
      <c r="VMM72" s="146"/>
      <c r="VMN72" s="146"/>
      <c r="VMO72" s="146"/>
      <c r="VMP72" s="146"/>
      <c r="VMQ72" s="146"/>
      <c r="VMR72" s="146"/>
      <c r="VMS72" s="146"/>
      <c r="VMT72" s="146"/>
      <c r="VMU72" s="146"/>
      <c r="VMV72" s="146"/>
      <c r="VMW72" s="146"/>
      <c r="VMX72" s="146"/>
      <c r="VMY72" s="146"/>
      <c r="VMZ72" s="146"/>
      <c r="VNA72" s="146"/>
      <c r="VNB72" s="146"/>
      <c r="VNC72" s="146"/>
      <c r="VND72" s="146"/>
      <c r="VNE72" s="146"/>
      <c r="VNF72" s="146"/>
      <c r="VNG72" s="146"/>
      <c r="VNH72" s="146"/>
      <c r="VNI72" s="146"/>
      <c r="VNJ72" s="146"/>
      <c r="VNK72" s="146"/>
      <c r="VNL72" s="146"/>
      <c r="VNM72" s="146"/>
      <c r="VNN72" s="146"/>
      <c r="VNO72" s="146"/>
      <c r="VNP72" s="146"/>
      <c r="VNQ72" s="146"/>
      <c r="VNR72" s="146"/>
      <c r="VNS72" s="146"/>
      <c r="VNT72" s="146"/>
      <c r="VNU72" s="146"/>
      <c r="VNV72" s="146"/>
      <c r="VNW72" s="146"/>
      <c r="VNX72" s="146"/>
      <c r="VNY72" s="146"/>
      <c r="VNZ72" s="146"/>
      <c r="VOA72" s="146"/>
      <c r="VOB72" s="146"/>
      <c r="VOC72" s="146"/>
      <c r="VOD72" s="146"/>
      <c r="VOE72" s="146"/>
      <c r="VOF72" s="146"/>
      <c r="VOG72" s="146"/>
      <c r="VOH72" s="146"/>
      <c r="VOI72" s="146"/>
      <c r="VOJ72" s="146"/>
      <c r="VOK72" s="146"/>
      <c r="VOL72" s="146"/>
      <c r="VOM72" s="146"/>
      <c r="VON72" s="146"/>
      <c r="VOO72" s="146"/>
      <c r="VOP72" s="146"/>
      <c r="VOQ72" s="146"/>
      <c r="VOR72" s="146"/>
      <c r="VOS72" s="146"/>
      <c r="VOT72" s="146"/>
      <c r="VOU72" s="146"/>
      <c r="VOV72" s="146"/>
      <c r="VOW72" s="146"/>
      <c r="VOX72" s="146"/>
      <c r="VOY72" s="146"/>
      <c r="VOZ72" s="146"/>
      <c r="VPA72" s="146"/>
      <c r="VPB72" s="146"/>
      <c r="VPC72" s="146"/>
      <c r="VPD72" s="146"/>
      <c r="VPE72" s="146"/>
      <c r="VPF72" s="146"/>
      <c r="VPG72" s="146"/>
      <c r="VPH72" s="146"/>
      <c r="VPI72" s="146"/>
      <c r="VPJ72" s="146"/>
      <c r="VPK72" s="146"/>
      <c r="VPL72" s="146"/>
      <c r="VPM72" s="146"/>
      <c r="VPN72" s="146"/>
      <c r="VPO72" s="146"/>
      <c r="VPP72" s="146"/>
      <c r="VPQ72" s="146"/>
      <c r="VPR72" s="146"/>
      <c r="VPS72" s="146"/>
      <c r="VPT72" s="146"/>
      <c r="VPU72" s="146"/>
      <c r="VPV72" s="146"/>
      <c r="VPW72" s="146"/>
      <c r="VPX72" s="146"/>
      <c r="VPY72" s="146"/>
      <c r="VPZ72" s="146"/>
      <c r="VQA72" s="146"/>
      <c r="VQB72" s="146"/>
      <c r="VQC72" s="146"/>
      <c r="VQD72" s="146"/>
      <c r="VQE72" s="146"/>
      <c r="VQF72" s="146"/>
      <c r="VQG72" s="146"/>
      <c r="VQH72" s="146"/>
      <c r="VQI72" s="146"/>
      <c r="VQJ72" s="146"/>
      <c r="VQK72" s="146"/>
      <c r="VQL72" s="146"/>
      <c r="VQM72" s="146"/>
      <c r="VQN72" s="146"/>
      <c r="VQO72" s="146"/>
      <c r="VQP72" s="146"/>
      <c r="VQQ72" s="146"/>
      <c r="VQR72" s="146"/>
      <c r="VQS72" s="146"/>
      <c r="VQT72" s="146"/>
      <c r="VQU72" s="146"/>
      <c r="VQV72" s="146"/>
      <c r="VQW72" s="146"/>
      <c r="VQX72" s="146"/>
      <c r="VQY72" s="146"/>
      <c r="VQZ72" s="146"/>
      <c r="VRA72" s="146"/>
      <c r="VRB72" s="146"/>
      <c r="VRC72" s="146"/>
      <c r="VRD72" s="146"/>
      <c r="VRE72" s="146"/>
      <c r="VRF72" s="146"/>
      <c r="VRG72" s="146"/>
      <c r="VRH72" s="146"/>
      <c r="VRI72" s="146"/>
      <c r="VRJ72" s="146"/>
      <c r="VRK72" s="146"/>
      <c r="VRL72" s="146"/>
      <c r="VRM72" s="146"/>
      <c r="VRN72" s="146"/>
      <c r="VRO72" s="146"/>
      <c r="VRP72" s="146"/>
      <c r="VRQ72" s="146"/>
      <c r="VRR72" s="146"/>
      <c r="VRS72" s="146"/>
      <c r="VRT72" s="146"/>
      <c r="VRU72" s="146"/>
      <c r="VRV72" s="146"/>
      <c r="VRW72" s="146"/>
      <c r="VRX72" s="146"/>
      <c r="VRY72" s="146"/>
      <c r="VRZ72" s="146"/>
      <c r="VSA72" s="146"/>
      <c r="VSB72" s="146"/>
      <c r="VSC72" s="146"/>
      <c r="VSD72" s="146"/>
      <c r="VSE72" s="146"/>
      <c r="VSF72" s="146"/>
      <c r="VSG72" s="146"/>
      <c r="VSH72" s="146"/>
      <c r="VSI72" s="146"/>
      <c r="VSJ72" s="146"/>
      <c r="VSK72" s="146"/>
      <c r="VSL72" s="146"/>
      <c r="VSM72" s="146"/>
      <c r="VSN72" s="146"/>
      <c r="VSO72" s="146"/>
      <c r="VSP72" s="146"/>
      <c r="VSQ72" s="146"/>
      <c r="VSR72" s="146"/>
      <c r="VSS72" s="146"/>
      <c r="VST72" s="146"/>
      <c r="VSU72" s="146"/>
      <c r="VSV72" s="146"/>
      <c r="VSW72" s="146"/>
      <c r="VSX72" s="146"/>
      <c r="VSY72" s="146"/>
      <c r="VSZ72" s="146"/>
      <c r="VTA72" s="146"/>
      <c r="VTB72" s="146"/>
      <c r="VTC72" s="146"/>
      <c r="VTD72" s="146"/>
      <c r="VTE72" s="146"/>
      <c r="VTF72" s="146"/>
      <c r="VTG72" s="146"/>
      <c r="VTH72" s="146"/>
      <c r="VTI72" s="146"/>
      <c r="VTJ72" s="146"/>
      <c r="VTK72" s="146"/>
      <c r="VTL72" s="146"/>
      <c r="VTM72" s="146"/>
      <c r="VTN72" s="146"/>
      <c r="VTO72" s="146"/>
      <c r="VTP72" s="146"/>
      <c r="VTQ72" s="146"/>
      <c r="VTR72" s="146"/>
      <c r="VTS72" s="146"/>
      <c r="VTT72" s="146"/>
      <c r="VTU72" s="146"/>
      <c r="VTV72" s="146"/>
      <c r="VTW72" s="146"/>
      <c r="VTX72" s="146"/>
      <c r="VTY72" s="146"/>
      <c r="VTZ72" s="146"/>
      <c r="VUA72" s="146"/>
      <c r="VUB72" s="146"/>
      <c r="VUC72" s="146"/>
      <c r="VUD72" s="146"/>
      <c r="VUE72" s="146"/>
      <c r="VUF72" s="146"/>
      <c r="VUG72" s="146"/>
      <c r="VUH72" s="146"/>
      <c r="VUI72" s="146"/>
      <c r="VUJ72" s="146"/>
      <c r="VUK72" s="146"/>
      <c r="VUL72" s="146"/>
      <c r="VUM72" s="146"/>
      <c r="VUN72" s="146"/>
      <c r="VUO72" s="146"/>
      <c r="VUP72" s="146"/>
      <c r="VUQ72" s="146"/>
      <c r="VUR72" s="146"/>
      <c r="VUS72" s="146"/>
      <c r="VUT72" s="146"/>
      <c r="VUU72" s="146"/>
      <c r="VUV72" s="146"/>
      <c r="VUW72" s="146"/>
      <c r="VUX72" s="146"/>
      <c r="VUY72" s="146"/>
      <c r="VUZ72" s="146"/>
      <c r="VVA72" s="146"/>
      <c r="VVB72" s="146"/>
      <c r="VVC72" s="146"/>
      <c r="VVD72" s="146"/>
      <c r="VVE72" s="146"/>
      <c r="VVF72" s="146"/>
      <c r="VVG72" s="146"/>
      <c r="VVH72" s="146"/>
      <c r="VVI72" s="146"/>
      <c r="VVJ72" s="146"/>
      <c r="VVK72" s="146"/>
      <c r="VVL72" s="146"/>
      <c r="VVM72" s="146"/>
      <c r="VVN72" s="146"/>
      <c r="VVO72" s="146"/>
      <c r="VVP72" s="146"/>
      <c r="VVQ72" s="146"/>
      <c r="VVR72" s="146"/>
      <c r="VVS72" s="146"/>
      <c r="VVT72" s="146"/>
      <c r="VVU72" s="146"/>
      <c r="VVV72" s="146"/>
      <c r="VVW72" s="146"/>
      <c r="VVX72" s="146"/>
      <c r="VVY72" s="146"/>
      <c r="VVZ72" s="146"/>
      <c r="VWA72" s="146"/>
      <c r="VWB72" s="146"/>
      <c r="VWC72" s="146"/>
      <c r="VWD72" s="146"/>
      <c r="VWE72" s="146"/>
      <c r="VWF72" s="146"/>
      <c r="VWG72" s="146"/>
      <c r="VWH72" s="146"/>
      <c r="VWI72" s="146"/>
      <c r="VWJ72" s="146"/>
      <c r="VWK72" s="146"/>
      <c r="VWL72" s="146"/>
      <c r="VWM72" s="146"/>
      <c r="VWN72" s="146"/>
      <c r="VWO72" s="146"/>
      <c r="VWP72" s="146"/>
      <c r="VWQ72" s="146"/>
      <c r="VWR72" s="146"/>
      <c r="VWS72" s="146"/>
      <c r="VWT72" s="146"/>
      <c r="VWU72" s="146"/>
      <c r="VWV72" s="146"/>
      <c r="VWW72" s="146"/>
      <c r="VWX72" s="146"/>
      <c r="VWY72" s="146"/>
      <c r="VWZ72" s="146"/>
      <c r="VXA72" s="146"/>
      <c r="VXB72" s="146"/>
      <c r="VXC72" s="146"/>
      <c r="VXD72" s="146"/>
      <c r="VXE72" s="146"/>
      <c r="VXF72" s="146"/>
      <c r="VXG72" s="146"/>
      <c r="VXH72" s="146"/>
      <c r="VXI72" s="146"/>
      <c r="VXJ72" s="146"/>
      <c r="VXK72" s="146"/>
      <c r="VXL72" s="146"/>
      <c r="VXM72" s="146"/>
      <c r="VXN72" s="146"/>
      <c r="VXO72" s="146"/>
      <c r="VXP72" s="146"/>
      <c r="VXQ72" s="146"/>
      <c r="VXR72" s="146"/>
      <c r="VXS72" s="146"/>
      <c r="VXT72" s="146"/>
      <c r="VXU72" s="146"/>
      <c r="VXV72" s="146"/>
      <c r="VXW72" s="146"/>
      <c r="VXX72" s="146"/>
      <c r="VXY72" s="146"/>
      <c r="VXZ72" s="146"/>
      <c r="VYA72" s="146"/>
      <c r="VYB72" s="146"/>
      <c r="VYC72" s="146"/>
      <c r="VYD72" s="146"/>
      <c r="VYE72" s="146"/>
      <c r="VYF72" s="146"/>
      <c r="VYG72" s="146"/>
      <c r="VYH72" s="146"/>
      <c r="VYI72" s="146"/>
      <c r="VYJ72" s="146"/>
      <c r="VYK72" s="146"/>
      <c r="VYL72" s="146"/>
      <c r="VYM72" s="146"/>
      <c r="VYN72" s="146"/>
      <c r="VYO72" s="146"/>
      <c r="VYP72" s="146"/>
      <c r="VYQ72" s="146"/>
      <c r="VYR72" s="146"/>
      <c r="VYS72" s="146"/>
      <c r="VYT72" s="146"/>
      <c r="VYU72" s="146"/>
      <c r="VYV72" s="146"/>
      <c r="VYW72" s="146"/>
      <c r="VYX72" s="146"/>
      <c r="VYY72" s="146"/>
      <c r="VYZ72" s="146"/>
      <c r="VZA72" s="146"/>
      <c r="VZB72" s="146"/>
      <c r="VZC72" s="146"/>
      <c r="VZD72" s="146"/>
      <c r="VZE72" s="146"/>
      <c r="VZF72" s="146"/>
      <c r="VZG72" s="146"/>
      <c r="VZH72" s="146"/>
      <c r="VZI72" s="146"/>
      <c r="VZJ72" s="146"/>
      <c r="VZK72" s="146"/>
      <c r="VZL72" s="146"/>
      <c r="VZM72" s="146"/>
      <c r="VZN72" s="146"/>
      <c r="VZO72" s="146"/>
      <c r="VZP72" s="146"/>
      <c r="VZQ72" s="146"/>
      <c r="VZR72" s="146"/>
      <c r="VZS72" s="146"/>
      <c r="VZT72" s="146"/>
      <c r="VZU72" s="146"/>
      <c r="VZV72" s="146"/>
      <c r="VZW72" s="146"/>
      <c r="VZX72" s="146"/>
      <c r="VZY72" s="146"/>
      <c r="VZZ72" s="146"/>
      <c r="WAA72" s="146"/>
      <c r="WAB72" s="146"/>
      <c r="WAC72" s="146"/>
      <c r="WAD72" s="146"/>
      <c r="WAE72" s="146"/>
      <c r="WAF72" s="146"/>
      <c r="WAG72" s="146"/>
      <c r="WAH72" s="146"/>
      <c r="WAI72" s="146"/>
      <c r="WAJ72" s="146"/>
      <c r="WAK72" s="146"/>
      <c r="WAL72" s="146"/>
      <c r="WAM72" s="146"/>
      <c r="WAN72" s="146"/>
      <c r="WAO72" s="146"/>
      <c r="WAP72" s="146"/>
      <c r="WAQ72" s="146"/>
      <c r="WAR72" s="146"/>
      <c r="WAS72" s="146"/>
      <c r="WAT72" s="146"/>
      <c r="WAU72" s="146"/>
      <c r="WAV72" s="146"/>
      <c r="WAW72" s="146"/>
      <c r="WAX72" s="146"/>
      <c r="WAY72" s="146"/>
      <c r="WAZ72" s="146"/>
      <c r="WBA72" s="146"/>
      <c r="WBB72" s="146"/>
      <c r="WBC72" s="146"/>
      <c r="WBD72" s="146"/>
      <c r="WBE72" s="146"/>
      <c r="WBF72" s="146"/>
      <c r="WBG72" s="146"/>
      <c r="WBH72" s="146"/>
      <c r="WBI72" s="146"/>
      <c r="WBJ72" s="146"/>
      <c r="WBK72" s="146"/>
      <c r="WBL72" s="146"/>
      <c r="WBM72" s="146"/>
      <c r="WBN72" s="146"/>
      <c r="WBO72" s="146"/>
      <c r="WBP72" s="146"/>
      <c r="WBQ72" s="146"/>
      <c r="WBR72" s="146"/>
      <c r="WBS72" s="146"/>
      <c r="WBT72" s="146"/>
      <c r="WBU72" s="146"/>
      <c r="WBV72" s="146"/>
      <c r="WBW72" s="146"/>
      <c r="WBX72" s="146"/>
      <c r="WBY72" s="146"/>
      <c r="WBZ72" s="146"/>
      <c r="WCA72" s="146"/>
      <c r="WCB72" s="146"/>
      <c r="WCC72" s="146"/>
      <c r="WCD72" s="146"/>
      <c r="WCE72" s="146"/>
      <c r="WCF72" s="146"/>
      <c r="WCG72" s="146"/>
      <c r="WCH72" s="146"/>
      <c r="WCI72" s="146"/>
      <c r="WCJ72" s="146"/>
      <c r="WCK72" s="146"/>
      <c r="WCL72" s="146"/>
      <c r="WCM72" s="146"/>
      <c r="WCN72" s="146"/>
      <c r="WCO72" s="146"/>
      <c r="WCP72" s="146"/>
      <c r="WCQ72" s="146"/>
      <c r="WCR72" s="146"/>
      <c r="WCS72" s="146"/>
      <c r="WCT72" s="146"/>
      <c r="WCU72" s="146"/>
      <c r="WCV72" s="146"/>
      <c r="WCW72" s="146"/>
      <c r="WCX72" s="146"/>
      <c r="WCY72" s="146"/>
      <c r="WCZ72" s="146"/>
      <c r="WDA72" s="146"/>
      <c r="WDB72" s="146"/>
      <c r="WDC72" s="146"/>
      <c r="WDD72" s="146"/>
      <c r="WDE72" s="146"/>
      <c r="WDF72" s="146"/>
      <c r="WDG72" s="146"/>
      <c r="WDH72" s="146"/>
      <c r="WDI72" s="146"/>
      <c r="WDJ72" s="146"/>
      <c r="WDK72" s="146"/>
      <c r="WDL72" s="146"/>
      <c r="WDM72" s="146"/>
      <c r="WDN72" s="146"/>
      <c r="WDO72" s="146"/>
      <c r="WDP72" s="146"/>
      <c r="WDQ72" s="146"/>
      <c r="WDR72" s="146"/>
      <c r="WDS72" s="146"/>
      <c r="WDT72" s="146"/>
      <c r="WDU72" s="146"/>
      <c r="WDV72" s="146"/>
      <c r="WDW72" s="146"/>
      <c r="WDX72" s="146"/>
      <c r="WDY72" s="146"/>
      <c r="WDZ72" s="146"/>
      <c r="WEA72" s="146"/>
      <c r="WEB72" s="146"/>
      <c r="WEC72" s="146"/>
      <c r="WED72" s="146"/>
      <c r="WEE72" s="146"/>
      <c r="WEF72" s="146"/>
      <c r="WEG72" s="146"/>
      <c r="WEH72" s="146"/>
      <c r="WEI72" s="146"/>
      <c r="WEJ72" s="146"/>
      <c r="WEK72" s="146"/>
      <c r="WEL72" s="146"/>
      <c r="WEM72" s="146"/>
      <c r="WEN72" s="146"/>
      <c r="WEO72" s="146"/>
      <c r="WEP72" s="146"/>
      <c r="WEQ72" s="146"/>
      <c r="WER72" s="146"/>
      <c r="WES72" s="146"/>
      <c r="WET72" s="146"/>
      <c r="WEU72" s="146"/>
      <c r="WEV72" s="146"/>
      <c r="WEW72" s="146"/>
      <c r="WEX72" s="146"/>
      <c r="WEY72" s="146"/>
      <c r="WEZ72" s="146"/>
      <c r="WFA72" s="146"/>
      <c r="WFB72" s="146"/>
      <c r="WFC72" s="146"/>
      <c r="WFD72" s="146"/>
      <c r="WFE72" s="146"/>
      <c r="WFF72" s="146"/>
      <c r="WFG72" s="146"/>
      <c r="WFH72" s="146"/>
      <c r="WFI72" s="146"/>
      <c r="WFJ72" s="146"/>
      <c r="WFK72" s="146"/>
      <c r="WFL72" s="146"/>
      <c r="WFM72" s="146"/>
      <c r="WFN72" s="146"/>
      <c r="WFO72" s="146"/>
      <c r="WFP72" s="146"/>
      <c r="WFQ72" s="146"/>
      <c r="WFR72" s="146"/>
      <c r="WFS72" s="146"/>
      <c r="WFT72" s="146"/>
      <c r="WFU72" s="146"/>
      <c r="WFV72" s="146"/>
      <c r="WFW72" s="146"/>
      <c r="WFX72" s="146"/>
      <c r="WFY72" s="146"/>
      <c r="WFZ72" s="146"/>
      <c r="WGA72" s="146"/>
      <c r="WGB72" s="146"/>
      <c r="WGC72" s="146"/>
      <c r="WGD72" s="146"/>
      <c r="WGE72" s="146"/>
      <c r="WGF72" s="146"/>
      <c r="WGG72" s="146"/>
      <c r="WGH72" s="146"/>
      <c r="WGI72" s="146"/>
      <c r="WGJ72" s="146"/>
      <c r="WGK72" s="146"/>
      <c r="WGL72" s="146"/>
      <c r="WGM72" s="146"/>
      <c r="WGN72" s="146"/>
      <c r="WGO72" s="146"/>
      <c r="WGP72" s="146"/>
      <c r="WGQ72" s="146"/>
      <c r="WGR72" s="146"/>
      <c r="WGS72" s="146"/>
      <c r="WGT72" s="146"/>
      <c r="WGU72" s="146"/>
      <c r="WGV72" s="146"/>
      <c r="WGW72" s="146"/>
      <c r="WGX72" s="146"/>
      <c r="WGY72" s="146"/>
      <c r="WGZ72" s="146"/>
      <c r="WHA72" s="146"/>
      <c r="WHB72" s="146"/>
      <c r="WHC72" s="146"/>
      <c r="WHD72" s="146"/>
      <c r="WHE72" s="146"/>
      <c r="WHF72" s="146"/>
      <c r="WHG72" s="146"/>
      <c r="WHH72" s="146"/>
      <c r="WHI72" s="146"/>
      <c r="WHJ72" s="146"/>
      <c r="WHK72" s="146"/>
      <c r="WHL72" s="146"/>
      <c r="WHM72" s="146"/>
      <c r="WHN72" s="146"/>
      <c r="WHO72" s="146"/>
      <c r="WHP72" s="146"/>
      <c r="WHQ72" s="146"/>
      <c r="WHR72" s="146"/>
      <c r="WHS72" s="146"/>
      <c r="WHT72" s="146"/>
      <c r="WHU72" s="146"/>
      <c r="WHV72" s="146"/>
      <c r="WHW72" s="146"/>
      <c r="WHX72" s="146"/>
      <c r="WHY72" s="146"/>
      <c r="WHZ72" s="146"/>
      <c r="WIA72" s="146"/>
      <c r="WIB72" s="146"/>
      <c r="WIC72" s="146"/>
      <c r="WID72" s="146"/>
      <c r="WIE72" s="146"/>
      <c r="WIF72" s="146"/>
      <c r="WIG72" s="146"/>
      <c r="WIH72" s="146"/>
      <c r="WII72" s="146"/>
      <c r="WIJ72" s="146"/>
      <c r="WIK72" s="146"/>
      <c r="WIL72" s="146"/>
      <c r="WIM72" s="146"/>
      <c r="WIN72" s="146"/>
      <c r="WIO72" s="146"/>
      <c r="WIP72" s="146"/>
      <c r="WIQ72" s="146"/>
      <c r="WIR72" s="146"/>
      <c r="WIS72" s="146"/>
      <c r="WIT72" s="146"/>
      <c r="WIU72" s="146"/>
      <c r="WIV72" s="146"/>
      <c r="WIW72" s="146"/>
      <c r="WIX72" s="146"/>
      <c r="WIY72" s="146"/>
      <c r="WIZ72" s="146"/>
      <c r="WJA72" s="146"/>
      <c r="WJB72" s="146"/>
      <c r="WJC72" s="146"/>
      <c r="WJD72" s="146"/>
      <c r="WJE72" s="146"/>
      <c r="WJF72" s="146"/>
      <c r="WJG72" s="146"/>
      <c r="WJH72" s="146"/>
      <c r="WJI72" s="146"/>
      <c r="WJJ72" s="146"/>
      <c r="WJK72" s="146"/>
      <c r="WJL72" s="146"/>
      <c r="WJM72" s="146"/>
      <c r="WJN72" s="146"/>
      <c r="WJO72" s="146"/>
      <c r="WJP72" s="146"/>
      <c r="WJQ72" s="146"/>
      <c r="WJR72" s="146"/>
      <c r="WJS72" s="146"/>
      <c r="WJT72" s="146"/>
      <c r="WJU72" s="146"/>
      <c r="WJV72" s="146"/>
      <c r="WJW72" s="146"/>
      <c r="WJX72" s="146"/>
      <c r="WJY72" s="146"/>
      <c r="WJZ72" s="146"/>
      <c r="WKA72" s="146"/>
      <c r="WKB72" s="146"/>
      <c r="WKC72" s="146"/>
      <c r="WKD72" s="146"/>
      <c r="WKE72" s="146"/>
      <c r="WKF72" s="146"/>
      <c r="WKG72" s="146"/>
      <c r="WKH72" s="146"/>
      <c r="WKI72" s="146"/>
      <c r="WKJ72" s="146"/>
      <c r="WKK72" s="146"/>
      <c r="WKL72" s="146"/>
      <c r="WKM72" s="146"/>
      <c r="WKN72" s="146"/>
      <c r="WKO72" s="146"/>
      <c r="WKP72" s="146"/>
      <c r="WKQ72" s="146"/>
      <c r="WKR72" s="146"/>
      <c r="WKS72" s="146"/>
      <c r="WKT72" s="146"/>
      <c r="WKU72" s="146"/>
      <c r="WKV72" s="146"/>
      <c r="WKW72" s="146"/>
      <c r="WKX72" s="146"/>
      <c r="WKY72" s="146"/>
      <c r="WKZ72" s="146"/>
      <c r="WLA72" s="146"/>
      <c r="WLB72" s="146"/>
      <c r="WLC72" s="146"/>
      <c r="WLD72" s="146"/>
      <c r="WLE72" s="146"/>
      <c r="WLF72" s="146"/>
      <c r="WLG72" s="146"/>
      <c r="WLH72" s="146"/>
      <c r="WLI72" s="146"/>
      <c r="WLJ72" s="146"/>
      <c r="WLK72" s="146"/>
      <c r="WLL72" s="146"/>
      <c r="WLM72" s="146"/>
      <c r="WLN72" s="146"/>
      <c r="WLO72" s="146"/>
      <c r="WLP72" s="146"/>
      <c r="WLQ72" s="146"/>
      <c r="WLR72" s="146"/>
      <c r="WLS72" s="146"/>
      <c r="WLT72" s="146"/>
      <c r="WLU72" s="146"/>
      <c r="WLV72" s="146"/>
      <c r="WLW72" s="146"/>
      <c r="WLX72" s="146"/>
      <c r="WLY72" s="146"/>
      <c r="WLZ72" s="146"/>
      <c r="WMA72" s="146"/>
      <c r="WMB72" s="146"/>
      <c r="WMC72" s="146"/>
      <c r="WMD72" s="146"/>
      <c r="WME72" s="146"/>
      <c r="WMF72" s="146"/>
      <c r="WMG72" s="146"/>
      <c r="WMH72" s="146"/>
      <c r="WMI72" s="146"/>
      <c r="WMJ72" s="146"/>
      <c r="WMK72" s="146"/>
      <c r="WML72" s="146"/>
      <c r="WMM72" s="146"/>
      <c r="WMN72" s="146"/>
      <c r="WMO72" s="146"/>
      <c r="WMP72" s="146"/>
      <c r="WMQ72" s="146"/>
      <c r="WMR72" s="146"/>
      <c r="WMS72" s="146"/>
      <c r="WMT72" s="146"/>
      <c r="WMU72" s="146"/>
      <c r="WMV72" s="146"/>
      <c r="WMW72" s="146"/>
      <c r="WMX72" s="146"/>
      <c r="WMY72" s="146"/>
      <c r="WMZ72" s="146"/>
      <c r="WNA72" s="146"/>
      <c r="WNB72" s="146"/>
      <c r="WNC72" s="146"/>
      <c r="WND72" s="146"/>
      <c r="WNE72" s="146"/>
      <c r="WNF72" s="146"/>
      <c r="WNG72" s="146"/>
      <c r="WNH72" s="146"/>
      <c r="WNI72" s="146"/>
      <c r="WNJ72" s="146"/>
      <c r="WNK72" s="146"/>
      <c r="WNL72" s="146"/>
      <c r="WNM72" s="146"/>
      <c r="WNN72" s="146"/>
      <c r="WNO72" s="146"/>
      <c r="WNP72" s="146"/>
      <c r="WNQ72" s="146"/>
      <c r="WNR72" s="146"/>
      <c r="WNS72" s="146"/>
      <c r="WNT72" s="146"/>
      <c r="WNU72" s="146"/>
      <c r="WNV72" s="146"/>
      <c r="WNW72" s="146"/>
      <c r="WNX72" s="146"/>
      <c r="WNY72" s="146"/>
      <c r="WNZ72" s="146"/>
      <c r="WOA72" s="146"/>
      <c r="WOB72" s="146"/>
      <c r="WOC72" s="146"/>
      <c r="WOD72" s="146"/>
      <c r="WOE72" s="146"/>
      <c r="WOF72" s="146"/>
      <c r="WOG72" s="146"/>
      <c r="WOH72" s="146"/>
      <c r="WOI72" s="146"/>
      <c r="WOJ72" s="146"/>
      <c r="WOK72" s="146"/>
      <c r="WOL72" s="146"/>
      <c r="WOM72" s="146"/>
      <c r="WON72" s="146"/>
      <c r="WOO72" s="146"/>
      <c r="WOP72" s="146"/>
      <c r="WOQ72" s="146"/>
      <c r="WOR72" s="146"/>
      <c r="WOS72" s="146"/>
      <c r="WOT72" s="146"/>
      <c r="WOU72" s="146"/>
      <c r="WOV72" s="146"/>
      <c r="WOW72" s="146"/>
      <c r="WOX72" s="146"/>
      <c r="WOY72" s="146"/>
      <c r="WOZ72" s="146"/>
      <c r="WPA72" s="146"/>
      <c r="WPB72" s="146"/>
      <c r="WPC72" s="146"/>
      <c r="WPD72" s="146"/>
      <c r="WPE72" s="146"/>
      <c r="WPF72" s="146"/>
      <c r="WPG72" s="146"/>
      <c r="WPH72" s="146"/>
      <c r="WPI72" s="146"/>
      <c r="WPJ72" s="146"/>
      <c r="WPK72" s="146"/>
      <c r="WPL72" s="146"/>
      <c r="WPM72" s="146"/>
      <c r="WPN72" s="146"/>
      <c r="WPO72" s="146"/>
      <c r="WPP72" s="146"/>
      <c r="WPQ72" s="146"/>
      <c r="WPR72" s="146"/>
      <c r="WPS72" s="146"/>
      <c r="WPT72" s="146"/>
      <c r="WPU72" s="146"/>
      <c r="WPV72" s="146"/>
      <c r="WPW72" s="146"/>
      <c r="WPX72" s="146"/>
      <c r="WPY72" s="146"/>
      <c r="WPZ72" s="146"/>
      <c r="WQA72" s="146"/>
      <c r="WQB72" s="146"/>
      <c r="WQC72" s="146"/>
      <c r="WQD72" s="146"/>
      <c r="WQE72" s="146"/>
      <c r="WQF72" s="146"/>
      <c r="WQG72" s="146"/>
      <c r="WQH72" s="146"/>
      <c r="WQI72" s="146"/>
      <c r="WQJ72" s="146"/>
      <c r="WQK72" s="146"/>
      <c r="WQL72" s="146"/>
      <c r="WQM72" s="146"/>
      <c r="WQN72" s="146"/>
      <c r="WQO72" s="146"/>
      <c r="WQP72" s="146"/>
      <c r="WQQ72" s="146"/>
      <c r="WQR72" s="146"/>
      <c r="WQS72" s="146"/>
      <c r="WQT72" s="146"/>
      <c r="WQU72" s="146"/>
      <c r="WQV72" s="146"/>
      <c r="WQW72" s="146"/>
      <c r="WQX72" s="146"/>
      <c r="WQY72" s="146"/>
      <c r="WQZ72" s="146"/>
      <c r="WRA72" s="146"/>
      <c r="WRB72" s="146"/>
      <c r="WRC72" s="146"/>
      <c r="WRD72" s="146"/>
      <c r="WRE72" s="146"/>
      <c r="WRF72" s="146"/>
      <c r="WRG72" s="146"/>
      <c r="WRH72" s="146"/>
      <c r="WRI72" s="146"/>
      <c r="WRJ72" s="146"/>
      <c r="WRK72" s="146"/>
      <c r="WRL72" s="146"/>
      <c r="WRM72" s="146"/>
      <c r="WRN72" s="146"/>
      <c r="WRO72" s="146"/>
      <c r="WRP72" s="146"/>
      <c r="WRQ72" s="146"/>
      <c r="WRR72" s="146"/>
      <c r="WRS72" s="146"/>
      <c r="WRT72" s="146"/>
      <c r="WRU72" s="146"/>
      <c r="WRV72" s="146"/>
      <c r="WRW72" s="146"/>
      <c r="WRX72" s="146"/>
      <c r="WRY72" s="146"/>
      <c r="WRZ72" s="146"/>
      <c r="WSA72" s="146"/>
      <c r="WSB72" s="146"/>
      <c r="WSC72" s="146"/>
      <c r="WSD72" s="146"/>
      <c r="WSE72" s="146"/>
      <c r="WSF72" s="146"/>
      <c r="WSG72" s="146"/>
      <c r="WSH72" s="146"/>
      <c r="WSI72" s="146"/>
      <c r="WSJ72" s="146"/>
      <c r="WSK72" s="146"/>
      <c r="WSL72" s="146"/>
      <c r="WSM72" s="146"/>
      <c r="WSN72" s="146"/>
      <c r="WSO72" s="146"/>
      <c r="WSP72" s="146"/>
      <c r="WSQ72" s="146"/>
      <c r="WSR72" s="146"/>
      <c r="WSS72" s="146"/>
      <c r="WST72" s="146"/>
      <c r="WSU72" s="146"/>
      <c r="WSV72" s="146"/>
      <c r="WSW72" s="146"/>
      <c r="WSX72" s="146"/>
      <c r="WSY72" s="146"/>
      <c r="WSZ72" s="146"/>
      <c r="WTA72" s="146"/>
      <c r="WTB72" s="146"/>
      <c r="WTC72" s="146"/>
      <c r="WTD72" s="146"/>
      <c r="WTE72" s="146"/>
      <c r="WTF72" s="146"/>
      <c r="WTG72" s="146"/>
      <c r="WTH72" s="146"/>
      <c r="WTI72" s="146"/>
      <c r="WTJ72" s="146"/>
      <c r="WTK72" s="146"/>
      <c r="WTL72" s="146"/>
      <c r="WTM72" s="146"/>
      <c r="WTN72" s="146"/>
      <c r="WTO72" s="146"/>
      <c r="WTP72" s="146"/>
      <c r="WTQ72" s="146"/>
      <c r="WTR72" s="146"/>
      <c r="WTS72" s="146"/>
      <c r="WTT72" s="146"/>
      <c r="WTU72" s="146"/>
      <c r="WTV72" s="146"/>
      <c r="WTW72" s="146"/>
      <c r="WTX72" s="146"/>
      <c r="WTY72" s="146"/>
      <c r="WTZ72" s="146"/>
      <c r="WUA72" s="146"/>
      <c r="WUB72" s="146"/>
      <c r="WUC72" s="146"/>
      <c r="WUD72" s="146"/>
      <c r="WUE72" s="146"/>
      <c r="WUF72" s="146"/>
      <c r="WUG72" s="146"/>
      <c r="WUH72" s="146"/>
      <c r="WUI72" s="146"/>
      <c r="WUJ72" s="146"/>
      <c r="WUK72" s="146"/>
      <c r="WUL72" s="146"/>
      <c r="WUM72" s="146"/>
      <c r="WUN72" s="146"/>
      <c r="WUO72" s="146"/>
      <c r="WUP72" s="146"/>
      <c r="WUQ72" s="146"/>
      <c r="WUR72" s="146"/>
      <c r="WUS72" s="146"/>
      <c r="WUT72" s="146"/>
      <c r="WUU72" s="146"/>
      <c r="WUV72" s="146"/>
      <c r="WUW72" s="146"/>
      <c r="WUX72" s="146"/>
      <c r="WUY72" s="146"/>
      <c r="WUZ72" s="146"/>
      <c r="WVA72" s="146"/>
      <c r="WVB72" s="146"/>
      <c r="WVC72" s="146"/>
      <c r="WVD72" s="146"/>
      <c r="WVE72" s="146"/>
      <c r="WVF72" s="146"/>
      <c r="WVG72" s="146"/>
      <c r="WVH72" s="146"/>
      <c r="WVI72" s="146"/>
      <c r="WVJ72" s="146"/>
      <c r="WVK72" s="146"/>
      <c r="WVL72" s="146"/>
      <c r="WVM72" s="146"/>
      <c r="WVN72" s="146"/>
      <c r="WVO72" s="146"/>
      <c r="WVP72" s="146"/>
      <c r="WVQ72" s="146"/>
      <c r="WVR72" s="146"/>
      <c r="WVS72" s="146"/>
      <c r="WVT72" s="146"/>
      <c r="WVU72" s="146"/>
      <c r="WVV72" s="146"/>
      <c r="WVW72" s="146"/>
      <c r="WVX72" s="146"/>
      <c r="WVY72" s="146"/>
      <c r="WVZ72" s="146"/>
      <c r="WWA72" s="146"/>
      <c r="WWB72" s="146"/>
      <c r="WWC72" s="146"/>
      <c r="WWD72" s="146"/>
      <c r="WWE72" s="146"/>
      <c r="WWF72" s="146"/>
      <c r="WWG72" s="146"/>
      <c r="WWH72" s="146"/>
      <c r="WWI72" s="146"/>
      <c r="WWJ72" s="146"/>
      <c r="WWK72" s="146"/>
      <c r="WWL72" s="146"/>
      <c r="WWM72" s="146"/>
      <c r="WWN72" s="146"/>
      <c r="WWO72" s="146"/>
      <c r="WWP72" s="146"/>
      <c r="WWQ72" s="146"/>
      <c r="WWR72" s="146"/>
      <c r="WWS72" s="146"/>
      <c r="WWT72" s="146"/>
      <c r="WWU72" s="146"/>
      <c r="WWV72" s="146"/>
      <c r="WWW72" s="146"/>
      <c r="WWX72" s="146"/>
      <c r="WWY72" s="146"/>
      <c r="WWZ72" s="146"/>
      <c r="WXA72" s="146"/>
      <c r="WXB72" s="146"/>
      <c r="WXC72" s="146"/>
      <c r="WXD72" s="146"/>
      <c r="WXE72" s="146"/>
      <c r="WXF72" s="146"/>
      <c r="WXG72" s="146"/>
      <c r="WXH72" s="146"/>
      <c r="WXI72" s="146"/>
      <c r="WXJ72" s="146"/>
      <c r="WXK72" s="146"/>
      <c r="WXL72" s="146"/>
      <c r="WXM72" s="146"/>
      <c r="WXN72" s="146"/>
      <c r="WXO72" s="146"/>
      <c r="WXP72" s="146"/>
      <c r="WXQ72" s="146"/>
      <c r="WXR72" s="146"/>
      <c r="WXS72" s="146"/>
      <c r="WXT72" s="146"/>
      <c r="WXU72" s="146"/>
      <c r="WXV72" s="146"/>
      <c r="WXW72" s="146"/>
      <c r="WXX72" s="146"/>
      <c r="WXY72" s="146"/>
      <c r="WXZ72" s="146"/>
      <c r="WYA72" s="146"/>
      <c r="WYB72" s="146"/>
      <c r="WYC72" s="146"/>
      <c r="WYD72" s="146"/>
      <c r="WYE72" s="146"/>
      <c r="WYF72" s="146"/>
      <c r="WYG72" s="146"/>
      <c r="WYH72" s="146"/>
      <c r="WYI72" s="146"/>
      <c r="WYJ72" s="146"/>
      <c r="WYK72" s="146"/>
      <c r="WYL72" s="146"/>
      <c r="WYM72" s="146"/>
      <c r="WYN72" s="146"/>
      <c r="WYO72" s="146"/>
      <c r="WYP72" s="146"/>
      <c r="WYQ72" s="146"/>
      <c r="WYR72" s="146"/>
      <c r="WYS72" s="146"/>
      <c r="WYT72" s="146"/>
      <c r="WYU72" s="146"/>
      <c r="WYV72" s="146"/>
      <c r="WYW72" s="146"/>
      <c r="WYX72" s="146"/>
      <c r="WYY72" s="146"/>
      <c r="WYZ72" s="146"/>
      <c r="WZA72" s="146"/>
      <c r="WZB72" s="146"/>
      <c r="WZC72" s="146"/>
      <c r="WZD72" s="146"/>
      <c r="WZE72" s="146"/>
      <c r="WZF72" s="146"/>
      <c r="WZG72" s="146"/>
      <c r="WZH72" s="146"/>
      <c r="WZI72" s="146"/>
      <c r="WZJ72" s="146"/>
      <c r="WZK72" s="146"/>
      <c r="WZL72" s="146"/>
      <c r="WZM72" s="146"/>
      <c r="WZN72" s="146"/>
      <c r="WZO72" s="146"/>
      <c r="WZP72" s="146"/>
      <c r="WZQ72" s="146"/>
      <c r="WZR72" s="146"/>
      <c r="WZS72" s="146"/>
      <c r="WZT72" s="146"/>
      <c r="WZU72" s="146"/>
      <c r="WZV72" s="146"/>
      <c r="WZW72" s="146"/>
      <c r="WZX72" s="146"/>
      <c r="WZY72" s="146"/>
      <c r="WZZ72" s="146"/>
      <c r="XAA72" s="146"/>
      <c r="XAB72" s="146"/>
      <c r="XAC72" s="146"/>
      <c r="XAD72" s="146"/>
      <c r="XAE72" s="146"/>
      <c r="XAF72" s="146"/>
      <c r="XAG72" s="146"/>
      <c r="XAH72" s="146"/>
      <c r="XAI72" s="146"/>
      <c r="XAJ72" s="146"/>
      <c r="XAK72" s="146"/>
      <c r="XAL72" s="146"/>
      <c r="XAM72" s="146"/>
      <c r="XAN72" s="146"/>
      <c r="XAO72" s="146"/>
      <c r="XAP72" s="146"/>
      <c r="XAQ72" s="146"/>
      <c r="XAR72" s="146"/>
      <c r="XAS72" s="146"/>
      <c r="XAT72" s="146"/>
      <c r="XAU72" s="146"/>
      <c r="XAV72" s="146"/>
      <c r="XAW72" s="146"/>
      <c r="XAX72" s="146"/>
      <c r="XAY72" s="146"/>
      <c r="XAZ72" s="146"/>
      <c r="XBA72" s="146"/>
      <c r="XBB72" s="146"/>
      <c r="XBC72" s="146"/>
      <c r="XBD72" s="146"/>
      <c r="XBE72" s="146"/>
      <c r="XBF72" s="146"/>
      <c r="XBG72" s="146"/>
      <c r="XBH72" s="146"/>
      <c r="XBI72" s="146"/>
      <c r="XBJ72" s="146"/>
      <c r="XBK72" s="146"/>
      <c r="XBL72" s="146"/>
      <c r="XBM72" s="146"/>
      <c r="XBN72" s="146"/>
      <c r="XBO72" s="146"/>
      <c r="XBP72" s="146"/>
      <c r="XBQ72" s="146"/>
      <c r="XBR72" s="146"/>
      <c r="XBS72" s="146"/>
      <c r="XBT72" s="146"/>
      <c r="XBU72" s="146"/>
      <c r="XBV72" s="146"/>
      <c r="XBW72" s="146"/>
      <c r="XBX72" s="146"/>
      <c r="XBY72" s="146"/>
      <c r="XBZ72" s="146"/>
      <c r="XCA72" s="146"/>
      <c r="XCB72" s="146"/>
      <c r="XCC72" s="146"/>
      <c r="XCD72" s="146"/>
      <c r="XCE72" s="146"/>
      <c r="XCF72" s="146"/>
      <c r="XCG72" s="146"/>
      <c r="XCH72" s="146"/>
      <c r="XCI72" s="146"/>
      <c r="XCJ72" s="146"/>
      <c r="XCK72" s="146"/>
      <c r="XCL72" s="146"/>
      <c r="XCM72" s="146"/>
      <c r="XCN72" s="146"/>
      <c r="XCO72" s="146"/>
      <c r="XCP72" s="146"/>
      <c r="XCQ72" s="146"/>
      <c r="XCR72" s="146"/>
      <c r="XCS72" s="146"/>
      <c r="XCT72" s="146"/>
      <c r="XCU72" s="146"/>
      <c r="XCV72" s="146"/>
      <c r="XCW72" s="146"/>
      <c r="XCX72" s="146"/>
      <c r="XCY72" s="146"/>
      <c r="XCZ72" s="146"/>
      <c r="XDA72" s="146"/>
      <c r="XDB72" s="146"/>
      <c r="XDC72" s="146"/>
      <c r="XDD72" s="146"/>
      <c r="XDE72" s="146"/>
      <c r="XDF72" s="146"/>
      <c r="XDG72" s="146"/>
      <c r="XDH72" s="146"/>
      <c r="XDI72" s="146"/>
      <c r="XDJ72" s="146"/>
      <c r="XDK72" s="146"/>
      <c r="XDL72" s="146"/>
      <c r="XDM72" s="146"/>
      <c r="XDN72" s="146"/>
      <c r="XDO72" s="146"/>
      <c r="XDP72" s="146"/>
      <c r="XDQ72" s="146"/>
      <c r="XDR72" s="146"/>
      <c r="XDS72" s="146"/>
      <c r="XDT72" s="146"/>
      <c r="XDU72" s="146"/>
      <c r="XDV72" s="146"/>
      <c r="XDW72" s="146"/>
      <c r="XDX72" s="146"/>
      <c r="XDY72" s="146"/>
      <c r="XDZ72" s="146"/>
      <c r="XEA72" s="146"/>
      <c r="XEB72" s="146"/>
      <c r="XEC72" s="146"/>
      <c r="XED72" s="146"/>
      <c r="XEE72" s="146"/>
      <c r="XEF72" s="146"/>
      <c r="XEG72" s="146"/>
      <c r="XEH72" s="146"/>
      <c r="XEI72" s="146"/>
      <c r="XEJ72" s="146"/>
      <c r="XEK72" s="146"/>
      <c r="XEL72" s="146"/>
      <c r="XEM72" s="146"/>
      <c r="XEN72" s="146"/>
      <c r="XEO72" s="146"/>
      <c r="XEP72" s="146"/>
      <c r="XEQ72" s="146"/>
      <c r="XER72" s="146"/>
      <c r="XES72" s="146"/>
      <c r="XET72" s="146"/>
      <c r="XEU72" s="146"/>
      <c r="XEV72" s="146"/>
      <c r="XEW72" s="146"/>
      <c r="XEX72" s="146"/>
      <c r="XEY72" s="146"/>
      <c r="XEZ72" s="146"/>
      <c r="XFA72" s="146"/>
      <c r="XFB72" s="146"/>
    </row>
    <row r="73" spans="1:16382" s="106" customFormat="1" x14ac:dyDescent="0.25">
      <c r="A73" s="97" t="s">
        <v>887</v>
      </c>
      <c r="B73" s="97" t="s">
        <v>2015</v>
      </c>
      <c r="C73" s="78" t="s">
        <v>1892</v>
      </c>
      <c r="D73" s="81" t="str">
        <f>IF(MouserListTable[[#This Row],[Vendor]]=FilterSpecs!$A$8,MouserListTable[[#This Row],[Mouser SKU]], MouserListTable[[#This Row],[Supplier SKU]])</f>
        <v>474-TOL-12889</v>
      </c>
      <c r="E73" s="94">
        <f>MouserListTable[[#This Row],[Tot '#]]-MouserListTable[[#This Row],['# Initial]]</f>
        <v>0</v>
      </c>
      <c r="F73" s="94">
        <f>IF(AND(MouserListTable[[#This Row],[Tag]]&lt;&gt;FilterSpecs!$F$12, MouserListTable[[#This Row],[Tag]]&lt;&gt;FilterSpecs!$F$9), MouserListTable[[#This Row],['#/Unit]]*FilterSpecs!$B$3+MouserListTable[[#This Row],[Extra Initial]],0)</f>
        <v>0</v>
      </c>
      <c r="G73" s="78" t="s">
        <v>785</v>
      </c>
      <c r="H73" s="150" t="s">
        <v>786</v>
      </c>
      <c r="I73" s="78" t="s">
        <v>787</v>
      </c>
      <c r="J73" s="78">
        <v>1</v>
      </c>
      <c r="K73" s="117">
        <v>5.95</v>
      </c>
      <c r="L73" s="78" t="s">
        <v>1897</v>
      </c>
      <c r="N73" s="154">
        <f>MouserListTable[[#This Row],['# Initial]]*MouserListTable[[#This Row],[Price (USD)]]</f>
        <v>0</v>
      </c>
      <c r="O73" s="81" t="s">
        <v>784</v>
      </c>
      <c r="P73" s="150">
        <f t="shared" si="0"/>
        <v>60</v>
      </c>
      <c r="Q73" s="78" t="s">
        <v>5</v>
      </c>
      <c r="R73"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474-TOL-12889</v>
      </c>
      <c r="S73" s="133" t="str">
        <f>HYPERLINK("https://www.mouser.com/ProductDetail/" &amp;MouserListTable[[#This Row],[Mouser SKU]])</f>
        <v>https://www.mouser.com/ProductDetail/474-TOL-12889</v>
      </c>
      <c r="T73" s="94">
        <v>0</v>
      </c>
      <c r="U73" s="94">
        <v>0</v>
      </c>
      <c r="V73" s="94">
        <v>0</v>
      </c>
      <c r="W73" s="94">
        <f>MouserListTable[[#This Row],['#/Unit]]*FilterSpecs!$C$3+MouserListTable[[#This Row],[Extra]]</f>
        <v>0</v>
      </c>
      <c r="X73" s="94">
        <f>IF(MouserListTable[[#This Row],[Tag]]=FilterSpecs!$F$7,MouserListTable[[#This Row],['#/Unit]]*MouserListTable[[#This Row],[Price (USD)]],0)</f>
        <v>0</v>
      </c>
      <c r="Y73" s="94">
        <f>MouserListTable[[#This Row],[Tot '#]]*MouserListTable[[#This Row],[Price (USD)]]</f>
        <v>0</v>
      </c>
      <c r="Z73"/>
    </row>
    <row r="74" spans="1:16382" s="106" customFormat="1" x14ac:dyDescent="0.25">
      <c r="A74" s="97" t="s">
        <v>887</v>
      </c>
      <c r="B74" s="97" t="s">
        <v>2015</v>
      </c>
      <c r="C74" s="78" t="s">
        <v>1892</v>
      </c>
      <c r="D74" s="81" t="str">
        <f>IF(MouserListTable[[#This Row],[Vendor]]=FilterSpecs!$A$8,MouserListTable[[#This Row],[Mouser SKU]], MouserListTable[[#This Row],[Supplier SKU]])</f>
        <v>474-TOL-09442</v>
      </c>
      <c r="E74" s="94">
        <f>MouserListTable[[#This Row],[Tot '#]]-MouserListTable[[#This Row],['# Initial]]</f>
        <v>0</v>
      </c>
      <c r="F74" s="94">
        <f>IF(AND(MouserListTable[[#This Row],[Tag]]&lt;&gt;FilterSpecs!$F$12, MouserListTable[[#This Row],[Tag]]&lt;&gt;FilterSpecs!$F$9), MouserListTable[[#This Row],['#/Unit]]*FilterSpecs!$B$3+MouserListTable[[#This Row],[Extra Initial]],0)</f>
        <v>0</v>
      </c>
      <c r="G74" s="78" t="s">
        <v>1766</v>
      </c>
      <c r="H74" s="150" t="s">
        <v>1767</v>
      </c>
      <c r="I74" s="78" t="s">
        <v>1768</v>
      </c>
      <c r="J74" s="78">
        <v>1</v>
      </c>
      <c r="K74" s="117">
        <v>5.95</v>
      </c>
      <c r="L74" s="78" t="s">
        <v>1899</v>
      </c>
      <c r="N74" s="154">
        <f>MouserListTable[[#This Row],['# Initial]]*MouserListTable[[#This Row],[Price (USD)]]</f>
        <v>0</v>
      </c>
      <c r="O74" s="81" t="s">
        <v>1765</v>
      </c>
      <c r="P74" s="150">
        <f t="shared" si="0"/>
        <v>61</v>
      </c>
      <c r="Q74" s="78" t="s">
        <v>5</v>
      </c>
      <c r="R74"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474-TOL-09442</v>
      </c>
      <c r="S74" s="133" t="str">
        <f>HYPERLINK("https://www.mouser.com/ProductDetail/" &amp;MouserListTable[[#This Row],[Mouser SKU]])</f>
        <v>https://www.mouser.com/ProductDetail/474-TOL-09442</v>
      </c>
      <c r="T74" s="94">
        <v>0</v>
      </c>
      <c r="U74" s="94">
        <v>0</v>
      </c>
      <c r="V74" s="94">
        <v>0</v>
      </c>
      <c r="W74" s="94">
        <f>MouserListTable[[#This Row],['#/Unit]]*FilterSpecs!$C$3+MouserListTable[[#This Row],[Extra]]</f>
        <v>0</v>
      </c>
      <c r="X74" s="94">
        <f>IF(MouserListTable[[#This Row],[Tag]]=FilterSpecs!$F$7,MouserListTable[[#This Row],['#/Unit]]*MouserListTable[[#This Row],[Price (USD)]],0)</f>
        <v>0</v>
      </c>
      <c r="Y74" s="94">
        <f>MouserListTable[[#This Row],[Tot '#]]*MouserListTable[[#This Row],[Price (USD)]]</f>
        <v>0</v>
      </c>
      <c r="Z74"/>
    </row>
    <row r="75" spans="1:16382" s="106" customFormat="1" x14ac:dyDescent="0.25">
      <c r="A75" s="97" t="s">
        <v>887</v>
      </c>
      <c r="B75" s="97" t="s">
        <v>2015</v>
      </c>
      <c r="C75" s="78" t="s">
        <v>1892</v>
      </c>
      <c r="D75" s="81" t="str">
        <f>IF(MouserListTable[[#This Row],[Vendor]]=FilterSpecs!$A$8,MouserListTable[[#This Row],[Mouser SKU]], MouserListTable[[#This Row],[Supplier SKU]])</f>
        <v>485-276</v>
      </c>
      <c r="E75" s="94">
        <f>MouserListTable[[#This Row],[Tot '#]]-MouserListTable[[#This Row],['# Initial]]</f>
        <v>0</v>
      </c>
      <c r="F75" s="94">
        <f>IF(AND(MouserListTable[[#This Row],[Tag]]&lt;&gt;FilterSpecs!$F$12, MouserListTable[[#This Row],[Tag]]&lt;&gt;FilterSpecs!$F$9), MouserListTable[[#This Row],['#/Unit]]*FilterSpecs!$B$3+MouserListTable[[#This Row],[Extra Initial]],0)</f>
        <v>0</v>
      </c>
      <c r="G75" s="78"/>
      <c r="H75" s="150"/>
      <c r="I75" s="78" t="s">
        <v>2259</v>
      </c>
      <c r="J75" s="78"/>
      <c r="K75" s="117">
        <v>7.95</v>
      </c>
      <c r="L75" s="78" t="s">
        <v>1896</v>
      </c>
      <c r="N75" s="154">
        <f>MouserListTable[[#This Row],['# Initial]]*MouserListTable[[#This Row],[Price (USD)]]</f>
        <v>0</v>
      </c>
      <c r="O75" s="81" t="s">
        <v>2258</v>
      </c>
      <c r="P75" s="150">
        <f t="shared" si="0"/>
        <v>62</v>
      </c>
      <c r="Q75" s="78" t="s">
        <v>1884</v>
      </c>
      <c r="R75"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485-276</v>
      </c>
      <c r="S75" s="133" t="str">
        <f>HYPERLINK("https://www.mouser.com/ProductDetail/" &amp;MouserListTable[[#This Row],[Mouser SKU]])</f>
        <v>https://www.mouser.com/ProductDetail/485-276</v>
      </c>
      <c r="T75" s="94">
        <v>0</v>
      </c>
      <c r="U75" s="94">
        <v>0</v>
      </c>
      <c r="V75" s="94">
        <v>0</v>
      </c>
      <c r="W75" s="94">
        <f>MouserListTable[[#This Row],['#/Unit]]*FilterSpecs!$C$3+MouserListTable[[#This Row],[Extra]]</f>
        <v>0</v>
      </c>
      <c r="X75" s="94">
        <f>IF(MouserListTable[[#This Row],[Tag]]=FilterSpecs!$F$7,MouserListTable[[#This Row],['#/Unit]]*MouserListTable[[#This Row],[Price (USD)]],0)</f>
        <v>0</v>
      </c>
      <c r="Y75" s="94">
        <f>MouserListTable[[#This Row],[Tot '#]]*MouserListTable[[#This Row],[Price (USD)]]</f>
        <v>0</v>
      </c>
      <c r="Z75"/>
    </row>
    <row r="76" spans="1:16382" s="106" customFormat="1" x14ac:dyDescent="0.25">
      <c r="A76" s="97" t="s">
        <v>887</v>
      </c>
      <c r="B76" s="97" t="s">
        <v>2015</v>
      </c>
      <c r="C76" s="78" t="s">
        <v>1892</v>
      </c>
      <c r="D76" s="81" t="str">
        <f>IF(MouserListTable[[#This Row],[Vendor]]=FilterSpecs!$A$8,MouserListTable[[#This Row],[Mouser SKU]], MouserListTable[[#This Row],[Supplier SKU]])</f>
        <v>485-1448</v>
      </c>
      <c r="E76" s="94">
        <f>MouserListTable[[#This Row],[Tot '#]]-MouserListTable[[#This Row],['# Initial]]</f>
        <v>0</v>
      </c>
      <c r="F76" s="94">
        <f>IF(AND(MouserListTable[[#This Row],[Tag]]&lt;&gt;FilterSpecs!$F$12, MouserListTable[[#This Row],[Tag]]&lt;&gt;FilterSpecs!$F$9), MouserListTable[[#This Row],['#/Unit]]*FilterSpecs!$B$3+MouserListTable[[#This Row],[Extra Initial]],0)</f>
        <v>0</v>
      </c>
      <c r="G76" s="78"/>
      <c r="H76" s="150"/>
      <c r="I76" s="78" t="s">
        <v>2261</v>
      </c>
      <c r="J76" s="78"/>
      <c r="K76" s="117">
        <v>14.95</v>
      </c>
      <c r="L76" s="78" t="s">
        <v>1896</v>
      </c>
      <c r="N76" s="154">
        <f>MouserListTable[[#This Row],['# Initial]]*MouserListTable[[#This Row],[Price (USD)]]</f>
        <v>0</v>
      </c>
      <c r="O76" s="81" t="s">
        <v>2260</v>
      </c>
      <c r="P76" s="150">
        <f t="shared" si="0"/>
        <v>63</v>
      </c>
      <c r="Q76" s="78" t="s">
        <v>1884</v>
      </c>
      <c r="R76"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485-1448</v>
      </c>
      <c r="S76" s="133" t="str">
        <f>HYPERLINK("https://www.mouser.com/ProductDetail/" &amp;MouserListTable[[#This Row],[Mouser SKU]])</f>
        <v>https://www.mouser.com/ProductDetail/485-1448</v>
      </c>
      <c r="T76" s="94">
        <v>0</v>
      </c>
      <c r="U76" s="94">
        <v>0</v>
      </c>
      <c r="V76" s="94">
        <v>0</v>
      </c>
      <c r="W76" s="94">
        <f>MouserListTable[[#This Row],['#/Unit]]*FilterSpecs!$C$3+MouserListTable[[#This Row],[Extra]]</f>
        <v>0</v>
      </c>
      <c r="X76" s="94">
        <f>IF(MouserListTable[[#This Row],[Tag]]=FilterSpecs!$F$7,MouserListTable[[#This Row],['#/Unit]]*MouserListTable[[#This Row],[Price (USD)]],0)</f>
        <v>0</v>
      </c>
      <c r="Y76" s="94">
        <f>MouserListTable[[#This Row],[Tot '#]]*MouserListTable[[#This Row],[Price (USD)]]</f>
        <v>0</v>
      </c>
      <c r="Z76"/>
    </row>
    <row r="77" spans="1:16382" s="106" customFormat="1" x14ac:dyDescent="0.25">
      <c r="A77" s="78" t="s">
        <v>887</v>
      </c>
      <c r="B77" s="78" t="s">
        <v>2018</v>
      </c>
      <c r="C77" s="78" t="s">
        <v>1892</v>
      </c>
      <c r="D77" s="81" t="str">
        <f>IF(MouserListTable[[#This Row],[Vendor]]=FilterSpecs!$A$8,MouserListTable[[#This Row],[Mouser SKU]], MouserListTable[[#This Row],[Supplier SKU]])</f>
        <v>474-COM-11707</v>
      </c>
      <c r="E77" s="94">
        <f>MouserListTable[[#This Row],[Tot '#]]-MouserListTable[[#This Row],['# Initial]]</f>
        <v>0</v>
      </c>
      <c r="F77" s="94">
        <f>IF(AND(MouserListTable[[#This Row],[Tag]]&lt;&gt;FilterSpecs!$F$12, MouserListTable[[#This Row],[Tag]]&lt;&gt;FilterSpecs!$F$9), MouserListTable[[#This Row],['#/Unit]]*FilterSpecs!$B$3+MouserListTable[[#This Row],[Extra Initial]],0)</f>
        <v>5</v>
      </c>
      <c r="G77" s="78" t="s">
        <v>381</v>
      </c>
      <c r="H77" s="150" t="s">
        <v>382</v>
      </c>
      <c r="I77" s="78" t="s">
        <v>383</v>
      </c>
      <c r="J77" s="78"/>
      <c r="K77" s="117">
        <v>1.95</v>
      </c>
      <c r="L77" s="78" t="s">
        <v>1897</v>
      </c>
      <c r="M77" s="81"/>
      <c r="N77" s="154">
        <f>MouserListTable[[#This Row],['# Initial]]*MouserListTable[[#This Row],[Price (USD)]]</f>
        <v>9.75</v>
      </c>
      <c r="O77" s="81" t="s">
        <v>380</v>
      </c>
      <c r="P77" s="150">
        <f t="shared" si="0"/>
        <v>64</v>
      </c>
      <c r="Q77" s="78" t="s">
        <v>5</v>
      </c>
      <c r="R77"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474-COM-11707</v>
      </c>
      <c r="S77" s="133" t="str">
        <f>HYPERLINK("https://www.mouser.com/ProductDetail/" &amp;MouserListTable[[#This Row],[Mouser SKU]])</f>
        <v>https://www.mouser.com/ProductDetail/474-COM-11707</v>
      </c>
      <c r="T77" s="94">
        <v>1</v>
      </c>
      <c r="U77" s="94">
        <v>0</v>
      </c>
      <c r="V77" s="94">
        <v>0</v>
      </c>
      <c r="W77" s="94">
        <f>MouserListTable[[#This Row],['#/Unit]]*FilterSpecs!$C$3+MouserListTable[[#This Row],[Extra]]</f>
        <v>5</v>
      </c>
      <c r="X77" s="94">
        <f>IF(MouserListTable[[#This Row],[Tag]]=FilterSpecs!$F$7,MouserListTable[[#This Row],['#/Unit]]*MouserListTable[[#This Row],[Price (USD)]],0)</f>
        <v>1.95</v>
      </c>
      <c r="Y77" s="94">
        <f>MouserListTable[[#This Row],[Tot '#]]*MouserListTable[[#This Row],[Price (USD)]]</f>
        <v>9.75</v>
      </c>
      <c r="Z77"/>
    </row>
    <row r="78" spans="1:16382" s="106" customFormat="1" x14ac:dyDescent="0.25">
      <c r="A78" s="78" t="s">
        <v>887</v>
      </c>
      <c r="B78" s="78" t="s">
        <v>2018</v>
      </c>
      <c r="C78" s="78" t="s">
        <v>1892</v>
      </c>
      <c r="D78" s="81" t="str">
        <f>IF(MouserListTable[[#This Row],[Vendor]]=FilterSpecs!$A$8,MouserListTable[[#This Row],[Mouser SKU]], MouserListTable[[#This Row],[Supplier SKU]])</f>
        <v>474-TOL-08734</v>
      </c>
      <c r="E78" s="94">
        <f>MouserListTable[[#This Row],[Tot '#]]-MouserListTable[[#This Row],['# Initial]]</f>
        <v>0</v>
      </c>
      <c r="F78" s="94">
        <f>IF(AND(MouserListTable[[#This Row],[Tag]]&lt;&gt;FilterSpecs!$F$12, MouserListTable[[#This Row],[Tag]]&lt;&gt;FilterSpecs!$F$9), MouserListTable[[#This Row],['#/Unit]]*FilterSpecs!$B$3+MouserListTable[[#This Row],[Extra Initial]],0)</f>
        <v>5</v>
      </c>
      <c r="G78" s="78" t="s">
        <v>797</v>
      </c>
      <c r="H78" s="150" t="s">
        <v>798</v>
      </c>
      <c r="I78" s="78" t="s">
        <v>799</v>
      </c>
      <c r="J78" s="78">
        <v>1</v>
      </c>
      <c r="K78" s="117">
        <v>2.95</v>
      </c>
      <c r="L78" s="78" t="s">
        <v>1897</v>
      </c>
      <c r="M78" s="81"/>
      <c r="N78" s="154">
        <f>MouserListTable[[#This Row],['# Initial]]*MouserListTable[[#This Row],[Price (USD)]]</f>
        <v>14.75</v>
      </c>
      <c r="O78" s="81" t="s">
        <v>796</v>
      </c>
      <c r="P78" s="150">
        <f t="shared" si="0"/>
        <v>65</v>
      </c>
      <c r="Q78" s="78" t="s">
        <v>5</v>
      </c>
      <c r="R78"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474-TOL-08734</v>
      </c>
      <c r="S78" s="133" t="str">
        <f>HYPERLINK("https://www.mouser.com/ProductDetail/" &amp;MouserListTable[[#This Row],[Mouser SKU]])</f>
        <v>https://www.mouser.com/ProductDetail/474-TOL-08734</v>
      </c>
      <c r="T78" s="94">
        <v>1</v>
      </c>
      <c r="U78" s="94">
        <v>0</v>
      </c>
      <c r="V78" s="94">
        <v>0</v>
      </c>
      <c r="W78" s="94">
        <f>MouserListTable[[#This Row],['#/Unit]]*FilterSpecs!$C$3+MouserListTable[[#This Row],[Extra]]</f>
        <v>5</v>
      </c>
      <c r="X78" s="94">
        <f>IF(MouserListTable[[#This Row],[Tag]]=FilterSpecs!$F$7,MouserListTable[[#This Row],['#/Unit]]*MouserListTable[[#This Row],[Price (USD)]],0)</f>
        <v>2.95</v>
      </c>
      <c r="Y78" s="94">
        <f>MouserListTable[[#This Row],[Tot '#]]*MouserListTable[[#This Row],[Price (USD)]]</f>
        <v>14.75</v>
      </c>
      <c r="Z78"/>
    </row>
    <row r="79" spans="1:16382" s="106" customFormat="1" x14ac:dyDescent="0.25">
      <c r="A79" s="78" t="s">
        <v>887</v>
      </c>
      <c r="B79" s="78" t="s">
        <v>2018</v>
      </c>
      <c r="C79" s="78" t="s">
        <v>1892</v>
      </c>
      <c r="D79" s="81" t="str">
        <f>IF(MouserListTable[[#This Row],[Vendor]]=FilterSpecs!$A$8,MouserListTable[[#This Row],[Mouser SKU]], MouserListTable[[#This Row],[Supplier SKU]])</f>
        <v>474-TOL-08639</v>
      </c>
      <c r="E79" s="94">
        <f>MouserListTable[[#This Row],[Tot '#]]-MouserListTable[[#This Row],['# Initial]]</f>
        <v>0</v>
      </c>
      <c r="F79" s="94">
        <f>IF(AND(MouserListTable[[#This Row],[Tag]]&lt;&gt;FilterSpecs!$F$12, MouserListTable[[#This Row],[Tag]]&lt;&gt;FilterSpecs!$F$9), MouserListTable[[#This Row],['#/Unit]]*FilterSpecs!$B$3+MouserListTable[[#This Row],[Extra Initial]],0)</f>
        <v>5</v>
      </c>
      <c r="G79" s="78" t="s">
        <v>455</v>
      </c>
      <c r="H79" s="150" t="s">
        <v>456</v>
      </c>
      <c r="I79" s="78" t="s">
        <v>457</v>
      </c>
      <c r="J79" s="78">
        <v>1</v>
      </c>
      <c r="K79" s="117">
        <v>2.95</v>
      </c>
      <c r="L79" s="78" t="s">
        <v>1897</v>
      </c>
      <c r="M79" s="81"/>
      <c r="N79" s="154">
        <f>MouserListTable[[#This Row],['# Initial]]*MouserListTable[[#This Row],[Price (USD)]]</f>
        <v>14.75</v>
      </c>
      <c r="O79" s="81" t="s">
        <v>454</v>
      </c>
      <c r="P79" s="150">
        <f t="shared" si="0"/>
        <v>66</v>
      </c>
      <c r="Q79" s="78" t="s">
        <v>5</v>
      </c>
      <c r="R79"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474-TOL-08639</v>
      </c>
      <c r="S79" s="133" t="str">
        <f>HYPERLINK("https://www.mouser.com/ProductDetail/" &amp;MouserListTable[[#This Row],[Mouser SKU]])</f>
        <v>https://www.mouser.com/ProductDetail/474-TOL-08639</v>
      </c>
      <c r="T79" s="94">
        <v>1</v>
      </c>
      <c r="U79" s="94">
        <v>0</v>
      </c>
      <c r="V79" s="94">
        <v>0</v>
      </c>
      <c r="W79" s="94">
        <f>MouserListTable[[#This Row],['#/Unit]]*FilterSpecs!$C$3+MouserListTable[[#This Row],[Extra]]</f>
        <v>5</v>
      </c>
      <c r="X79" s="94">
        <f>IF(MouserListTable[[#This Row],[Tag]]=FilterSpecs!$F$7,MouserListTable[[#This Row],['#/Unit]]*MouserListTable[[#This Row],[Price (USD)]],0)</f>
        <v>2.95</v>
      </c>
      <c r="Y79" s="94">
        <f>MouserListTable[[#This Row],[Tot '#]]*MouserListTable[[#This Row],[Price (USD)]]</f>
        <v>14.75</v>
      </c>
      <c r="Z79"/>
    </row>
    <row r="80" spans="1:16382" s="106" customFormat="1" x14ac:dyDescent="0.25">
      <c r="A80" s="78" t="s">
        <v>887</v>
      </c>
      <c r="B80" s="78" t="s">
        <v>2018</v>
      </c>
      <c r="C80" s="78" t="s">
        <v>1892</v>
      </c>
      <c r="D80" s="81" t="str">
        <f>IF(MouserListTable[[#This Row],[Vendor]]=FilterSpecs!$A$8,MouserListTable[[#This Row],[Mouser SKU]], MouserListTable[[#This Row],[Supplier SKU]])</f>
        <v>474-COM-11705</v>
      </c>
      <c r="E80" s="94">
        <f>MouserListTable[[#This Row],[Tot '#]]-MouserListTable[[#This Row],['# Initial]]</f>
        <v>0</v>
      </c>
      <c r="F80" s="94">
        <f>IF(AND(MouserListTable[[#This Row],[Tag]]&lt;&gt;FilterSpecs!$F$12, MouserListTable[[#This Row],[Tag]]&lt;&gt;FilterSpecs!$F$9), MouserListTable[[#This Row],['#/Unit]]*FilterSpecs!$B$3+MouserListTable[[#This Row],[Extra Initial]],0)</f>
        <v>5</v>
      </c>
      <c r="G80" s="78" t="s">
        <v>805</v>
      </c>
      <c r="H80" s="150" t="s">
        <v>806</v>
      </c>
      <c r="I80" s="78" t="s">
        <v>807</v>
      </c>
      <c r="J80" s="78"/>
      <c r="K80" s="117">
        <v>2.5</v>
      </c>
      <c r="L80" s="81" t="s">
        <v>1897</v>
      </c>
      <c r="M80" s="81"/>
      <c r="N80" s="154">
        <f>MouserListTable[[#This Row],['# Initial]]*MouserListTable[[#This Row],[Price (USD)]]</f>
        <v>12.5</v>
      </c>
      <c r="O80" s="81" t="s">
        <v>804</v>
      </c>
      <c r="P80" s="150">
        <f t="shared" si="0"/>
        <v>67</v>
      </c>
      <c r="Q80" s="78" t="s">
        <v>5</v>
      </c>
      <c r="R80"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474-COM-11705</v>
      </c>
      <c r="S80" s="133" t="str">
        <f>HYPERLINK("https://www.mouser.com/ProductDetail/" &amp;MouserListTable[[#This Row],[Mouser SKU]])</f>
        <v>https://www.mouser.com/ProductDetail/474-COM-11705</v>
      </c>
      <c r="T80" s="94">
        <v>1</v>
      </c>
      <c r="U80" s="94">
        <v>0</v>
      </c>
      <c r="V80" s="94">
        <v>0</v>
      </c>
      <c r="W80" s="94">
        <f>MouserListTable[[#This Row],['#/Unit]]*FilterSpecs!$C$3+MouserListTable[[#This Row],[Extra]]</f>
        <v>5</v>
      </c>
      <c r="X80" s="94">
        <f>IF(MouserListTable[[#This Row],[Tag]]=FilterSpecs!$F$7,MouserListTable[[#This Row],['#/Unit]]*MouserListTable[[#This Row],[Price (USD)]],0)</f>
        <v>2.5</v>
      </c>
      <c r="Y80" s="94">
        <f>MouserListTable[[#This Row],[Tot '#]]*MouserListTable[[#This Row],[Price (USD)]]</f>
        <v>12.5</v>
      </c>
      <c r="Z80"/>
    </row>
    <row r="81" spans="1:26" s="106" customFormat="1" x14ac:dyDescent="0.25">
      <c r="A81" s="78" t="s">
        <v>887</v>
      </c>
      <c r="B81" s="78" t="s">
        <v>2018</v>
      </c>
      <c r="C81" s="78" t="s">
        <v>1892</v>
      </c>
      <c r="D81" s="81" t="str">
        <f>IF(MouserListTable[[#This Row],[Vendor]]=FilterSpecs!$A$8,MouserListTable[[#This Row],[Mouser SKU]], MouserListTable[[#This Row],[Supplier SKU]])</f>
        <v>485-327</v>
      </c>
      <c r="E81" s="94">
        <f>MouserListTable[[#This Row],[Tot '#]]-MouserListTable[[#This Row],['# Initial]]</f>
        <v>0</v>
      </c>
      <c r="F81" s="94">
        <f>IF(AND(MouserListTable[[#This Row],[Tag]]&lt;&gt;FilterSpecs!$F$12, MouserListTable[[#This Row],[Tag]]&lt;&gt;FilterSpecs!$F$9), MouserListTable[[#This Row],['#/Unit]]*FilterSpecs!$B$3+MouserListTable[[#This Row],[Extra Initial]],0)</f>
        <v>0</v>
      </c>
      <c r="G81" s="78"/>
      <c r="H81" s="150"/>
      <c r="I81" s="97" t="s">
        <v>2249</v>
      </c>
      <c r="K81" s="118">
        <v>2.95</v>
      </c>
      <c r="L81" s="97" t="s">
        <v>1896</v>
      </c>
      <c r="N81" s="154">
        <f>MouserListTable[[#This Row],['# Initial]]*MouserListTable[[#This Row],[Price (USD)]]</f>
        <v>0</v>
      </c>
      <c r="O81" s="81" t="s">
        <v>2248</v>
      </c>
      <c r="P81" s="150">
        <f t="shared" si="0"/>
        <v>68</v>
      </c>
      <c r="Q81" s="78" t="s">
        <v>1884</v>
      </c>
      <c r="R81"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485-327</v>
      </c>
      <c r="S81" s="133" t="str">
        <f>HYPERLINK("https://www.mouser.com/ProductDetail/" &amp;MouserListTable[[#This Row],[Mouser SKU]])</f>
        <v>https://www.mouser.com/ProductDetail/485-327</v>
      </c>
      <c r="T81" s="94">
        <v>0</v>
      </c>
      <c r="U81" s="94">
        <v>0</v>
      </c>
      <c r="V81" s="94">
        <v>0</v>
      </c>
      <c r="W81" s="94">
        <f>MouserListTable[[#This Row],['#/Unit]]*FilterSpecs!$C$3+MouserListTable[[#This Row],[Extra]]</f>
        <v>0</v>
      </c>
      <c r="X81" s="94">
        <f>IF(MouserListTable[[#This Row],[Tag]]=FilterSpecs!$F$7,MouserListTable[[#This Row],['#/Unit]]*MouserListTable[[#This Row],[Price (USD)]],0)</f>
        <v>0</v>
      </c>
      <c r="Y81" s="94">
        <f>MouserListTable[[#This Row],[Tot '#]]*MouserListTable[[#This Row],[Price (USD)]]</f>
        <v>0</v>
      </c>
      <c r="Z81"/>
    </row>
    <row r="82" spans="1:26" s="106" customFormat="1" x14ac:dyDescent="0.25">
      <c r="A82" s="78" t="s">
        <v>887</v>
      </c>
      <c r="B82" s="78" t="s">
        <v>2018</v>
      </c>
      <c r="C82" s="78" t="s">
        <v>1892</v>
      </c>
      <c r="D82" s="81" t="str">
        <f>IF(MouserListTable[[#This Row],[Vendor]]=FilterSpecs!$A$8,MouserListTable[[#This Row],[Mouser SKU]], MouserListTable[[#This Row],[Supplier SKU]])</f>
        <v>485-411</v>
      </c>
      <c r="E82" s="94">
        <f>MouserListTable[[#This Row],[Tot '#]]-MouserListTable[[#This Row],['# Initial]]</f>
        <v>1</v>
      </c>
      <c r="F82" s="94">
        <f>IF(AND(MouserListTable[[#This Row],[Tag]]&lt;&gt;FilterSpecs!$F$12, MouserListTable[[#This Row],[Tag]]&lt;&gt;FilterSpecs!$F$9), MouserListTable[[#This Row],['#/Unit]]*FilterSpecs!$B$3+MouserListTable[[#This Row],[Extra Initial]],0)</f>
        <v>0</v>
      </c>
      <c r="G82" s="78"/>
      <c r="H82" s="150"/>
      <c r="I82" s="78" t="s">
        <v>2251</v>
      </c>
      <c r="K82" s="117">
        <v>2.5</v>
      </c>
      <c r="L82" s="78" t="s">
        <v>1896</v>
      </c>
      <c r="M82" s="81"/>
      <c r="N82" s="154">
        <f>MouserListTable[[#This Row],['# Initial]]*MouserListTable[[#This Row],[Price (USD)]]</f>
        <v>0</v>
      </c>
      <c r="O82" s="81" t="s">
        <v>2250</v>
      </c>
      <c r="P82" s="150">
        <f t="shared" si="0"/>
        <v>69</v>
      </c>
      <c r="Q82" s="78" t="s">
        <v>1884</v>
      </c>
      <c r="R82"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485-411</v>
      </c>
      <c r="S82" s="133" t="str">
        <f>HYPERLINK("https://www.mouser.com/ProductDetail/" &amp;MouserListTable[[#This Row],[Mouser SKU]])</f>
        <v>https://www.mouser.com/ProductDetail/485-411</v>
      </c>
      <c r="T82" s="94">
        <v>0</v>
      </c>
      <c r="U82" s="94">
        <v>1</v>
      </c>
      <c r="V82" s="94">
        <v>0</v>
      </c>
      <c r="W82" s="94">
        <f>MouserListTable[[#This Row],['#/Unit]]*FilterSpecs!$C$3+MouserListTable[[#This Row],[Extra]]</f>
        <v>1</v>
      </c>
      <c r="X82" s="94">
        <f>IF(MouserListTable[[#This Row],[Tag]]=FilterSpecs!$F$7,MouserListTable[[#This Row],['#/Unit]]*MouserListTable[[#This Row],[Price (USD)]],0)</f>
        <v>0</v>
      </c>
      <c r="Y82" s="94">
        <f>MouserListTable[[#This Row],[Tot '#]]*MouserListTable[[#This Row],[Price (USD)]]</f>
        <v>2.5</v>
      </c>
      <c r="Z82"/>
    </row>
    <row r="83" spans="1:26" s="106" customFormat="1" x14ac:dyDescent="0.25">
      <c r="A83" s="78" t="s">
        <v>887</v>
      </c>
      <c r="B83" s="78" t="s">
        <v>2018</v>
      </c>
      <c r="C83" s="78" t="s">
        <v>1892</v>
      </c>
      <c r="D83" s="81" t="str">
        <f>IF(MouserListTable[[#This Row],[Vendor]]=FilterSpecs!$A$8,MouserListTable[[#This Row],[Mouser SKU]], MouserListTable[[#This Row],[Supplier SKU]])</f>
        <v>485-2897</v>
      </c>
      <c r="E83" s="94">
        <f>MouserListTable[[#This Row],[Tot '#]]-MouserListTable[[#This Row],['# Initial]]</f>
        <v>1</v>
      </c>
      <c r="F83" s="94">
        <f>IF(AND(MouserListTable[[#This Row],[Tag]]&lt;&gt;FilterSpecs!$F$12, MouserListTable[[#This Row],[Tag]]&lt;&gt;FilterSpecs!$F$9), MouserListTable[[#This Row],['#/Unit]]*FilterSpecs!$B$3+MouserListTable[[#This Row],[Extra Initial]],0)</f>
        <v>0</v>
      </c>
      <c r="G83" s="78"/>
      <c r="H83" s="150"/>
      <c r="I83" s="78" t="s">
        <v>2253</v>
      </c>
      <c r="K83" s="117">
        <v>0.95</v>
      </c>
      <c r="L83" s="78" t="s">
        <v>1896</v>
      </c>
      <c r="M83" s="81"/>
      <c r="N83" s="154">
        <f>MouserListTable[[#This Row],['# Initial]]*MouserListTable[[#This Row],[Price (USD)]]</f>
        <v>0</v>
      </c>
      <c r="O83" s="81" t="s">
        <v>2252</v>
      </c>
      <c r="P83" s="150">
        <f t="shared" si="0"/>
        <v>70</v>
      </c>
      <c r="Q83" s="78" t="s">
        <v>1884</v>
      </c>
      <c r="R83"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485-2897</v>
      </c>
      <c r="S83" s="133" t="str">
        <f>HYPERLINK("https://www.mouser.com/ProductDetail/" &amp;MouserListTable[[#This Row],[Mouser SKU]])</f>
        <v>https://www.mouser.com/ProductDetail/485-2897</v>
      </c>
      <c r="T83" s="94">
        <v>0</v>
      </c>
      <c r="U83" s="94">
        <v>1</v>
      </c>
      <c r="V83" s="94">
        <v>0</v>
      </c>
      <c r="W83" s="94">
        <f>MouserListTable[[#This Row],['#/Unit]]*FilterSpecs!$C$3+MouserListTable[[#This Row],[Extra]]</f>
        <v>1</v>
      </c>
      <c r="X83" s="94">
        <f>IF(MouserListTable[[#This Row],[Tag]]=FilterSpecs!$F$7,MouserListTable[[#This Row],['#/Unit]]*MouserListTable[[#This Row],[Price (USD)]],0)</f>
        <v>0</v>
      </c>
      <c r="Y83" s="94">
        <f>MouserListTable[[#This Row],[Tot '#]]*MouserListTable[[#This Row],[Price (USD)]]</f>
        <v>0.95</v>
      </c>
      <c r="Z83"/>
    </row>
    <row r="84" spans="1:26" s="106" customFormat="1" x14ac:dyDescent="0.25">
      <c r="A84" s="78" t="s">
        <v>887</v>
      </c>
      <c r="B84" s="78" t="s">
        <v>2018</v>
      </c>
      <c r="C84" s="78" t="s">
        <v>1892</v>
      </c>
      <c r="D84" s="81" t="str">
        <f>IF(MouserListTable[[#This Row],[Vendor]]=FilterSpecs!$A$8,MouserListTable[[#This Row],[Mouser SKU]], MouserListTable[[#This Row],[Supplier SKU]])</f>
        <v>485-2788</v>
      </c>
      <c r="E84" s="94">
        <f>MouserListTable[[#This Row],[Tot '#]]-MouserListTable[[#This Row],['# Initial]]</f>
        <v>1</v>
      </c>
      <c r="F84" s="94">
        <f>IF(AND(MouserListTable[[#This Row],[Tag]]&lt;&gt;FilterSpecs!$F$12, MouserListTable[[#This Row],[Tag]]&lt;&gt;FilterSpecs!$F$9), MouserListTable[[#This Row],['#/Unit]]*FilterSpecs!$B$3+MouserListTable[[#This Row],[Extra Initial]],0)</f>
        <v>0</v>
      </c>
      <c r="G84" s="78"/>
      <c r="H84" s="150"/>
      <c r="I84" s="78" t="s">
        <v>2255</v>
      </c>
      <c r="K84" s="117">
        <v>0.95</v>
      </c>
      <c r="L84" s="78" t="s">
        <v>1896</v>
      </c>
      <c r="M84" s="81"/>
      <c r="N84" s="154">
        <f>MouserListTable[[#This Row],['# Initial]]*MouserListTable[[#This Row],[Price (USD)]]</f>
        <v>0</v>
      </c>
      <c r="O84" s="81" t="s">
        <v>2254</v>
      </c>
      <c r="P84" s="150">
        <f t="shared" si="0"/>
        <v>71</v>
      </c>
      <c r="Q84" s="78" t="s">
        <v>1884</v>
      </c>
      <c r="R84"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485-2788</v>
      </c>
      <c r="S84" s="133" t="str">
        <f>HYPERLINK("https://www.mouser.com/ProductDetail/" &amp;MouserListTable[[#This Row],[Mouser SKU]])</f>
        <v>https://www.mouser.com/ProductDetail/485-2788</v>
      </c>
      <c r="T84" s="94">
        <v>0</v>
      </c>
      <c r="U84" s="94">
        <v>1</v>
      </c>
      <c r="V84" s="94">
        <v>0</v>
      </c>
      <c r="W84" s="94">
        <f>MouserListTable[[#This Row],['#/Unit]]*FilterSpecs!$C$3+MouserListTable[[#This Row],[Extra]]</f>
        <v>1</v>
      </c>
      <c r="X84" s="94">
        <f>IF(MouserListTable[[#This Row],[Tag]]=FilterSpecs!$F$7,MouserListTable[[#This Row],['#/Unit]]*MouserListTable[[#This Row],[Price (USD)]],0)</f>
        <v>0</v>
      </c>
      <c r="Y84" s="94">
        <f>MouserListTable[[#This Row],[Tot '#]]*MouserListTable[[#This Row],[Price (USD)]]</f>
        <v>0.95</v>
      </c>
      <c r="Z84"/>
    </row>
    <row r="85" spans="1:26" s="106" customFormat="1" x14ac:dyDescent="0.25">
      <c r="A85" s="78" t="s">
        <v>887</v>
      </c>
      <c r="B85" s="78" t="s">
        <v>2020</v>
      </c>
      <c r="C85" s="78" t="s">
        <v>1892</v>
      </c>
      <c r="D85" s="81" t="str">
        <f>IF(MouserListTable[[#This Row],[Vendor]]=FilterSpecs!$A$8,MouserListTable[[#This Row],[Mouser SKU]], MouserListTable[[#This Row],[Supplier SKU]])</f>
        <v>474-TOL-12890</v>
      </c>
      <c r="E85" s="94">
        <f>MouserListTable[[#This Row],[Tot '#]]-MouserListTable[[#This Row],['# Initial]]</f>
        <v>0</v>
      </c>
      <c r="F85" s="94">
        <f>IF(AND(MouserListTable[[#This Row],[Tag]]&lt;&gt;FilterSpecs!$F$12, MouserListTable[[#This Row],[Tag]]&lt;&gt;FilterSpecs!$F$9), MouserListTable[[#This Row],['#/Unit]]*FilterSpecs!$B$3+MouserListTable[[#This Row],[Extra Initial]],0)</f>
        <v>0</v>
      </c>
      <c r="G85" s="78" t="s">
        <v>1101</v>
      </c>
      <c r="H85" s="150" t="s">
        <v>1102</v>
      </c>
      <c r="I85" s="97" t="s">
        <v>1103</v>
      </c>
      <c r="J85" s="106">
        <v>1</v>
      </c>
      <c r="K85" s="118">
        <v>5.95</v>
      </c>
      <c r="L85" s="97" t="s">
        <v>1896</v>
      </c>
      <c r="N85" s="154">
        <f>MouserListTable[[#This Row],['# Initial]]*MouserListTable[[#This Row],[Price (USD)]]</f>
        <v>0</v>
      </c>
      <c r="O85" s="81" t="s">
        <v>1100</v>
      </c>
      <c r="P85" s="150">
        <f t="shared" si="0"/>
        <v>72</v>
      </c>
      <c r="Q85" s="78" t="s">
        <v>5</v>
      </c>
      <c r="R85"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474-TOL-12890</v>
      </c>
      <c r="S85" s="133" t="str">
        <f>HYPERLINK("https://www.mouser.com/ProductDetail/" &amp;MouserListTable[[#This Row],[Mouser SKU]])</f>
        <v>https://www.mouser.com/ProductDetail/474-TOL-12890</v>
      </c>
      <c r="T85" s="94">
        <v>0</v>
      </c>
      <c r="U85" s="94">
        <v>0</v>
      </c>
      <c r="V85" s="94">
        <v>0</v>
      </c>
      <c r="W85" s="94">
        <f>MouserListTable[[#This Row],['#/Unit]]*FilterSpecs!$C$3+MouserListTable[[#This Row],[Extra]]</f>
        <v>0</v>
      </c>
      <c r="X85" s="94">
        <f>IF(MouserListTable[[#This Row],[Tag]]=FilterSpecs!$F$7,MouserListTable[[#This Row],['#/Unit]]*MouserListTable[[#This Row],[Price (USD)]],0)</f>
        <v>0</v>
      </c>
      <c r="Y85" s="94">
        <f>MouserListTable[[#This Row],[Tot '#]]*MouserListTable[[#This Row],[Price (USD)]]</f>
        <v>0</v>
      </c>
      <c r="Z85"/>
    </row>
    <row r="86" spans="1:26" s="106" customFormat="1" x14ac:dyDescent="0.25">
      <c r="A86" s="78" t="s">
        <v>887</v>
      </c>
      <c r="B86" s="78" t="s">
        <v>2020</v>
      </c>
      <c r="C86" s="78" t="s">
        <v>1892</v>
      </c>
      <c r="D86" s="81" t="str">
        <f>IF(MouserListTable[[#This Row],[Vendor]]=FilterSpecs!$A$8,MouserListTable[[#This Row],[Mouser SKU]], MouserListTable[[#This Row],[Supplier SKU]])</f>
        <v>485-501</v>
      </c>
      <c r="E86" s="94">
        <f>MouserListTable[[#This Row],[Tot '#]]-MouserListTable[[#This Row],['# Initial]]</f>
        <v>0</v>
      </c>
      <c r="F86" s="94">
        <f>IF(AND(MouserListTable[[#This Row],[Tag]]&lt;&gt;FilterSpecs!$F$12, MouserListTable[[#This Row],[Tag]]&lt;&gt;FilterSpecs!$F$9), MouserListTable[[#This Row],['#/Unit]]*FilterSpecs!$B$3+MouserListTable[[#This Row],[Extra Initial]],0)</f>
        <v>0</v>
      </c>
      <c r="G86" s="78"/>
      <c r="H86" s="150"/>
      <c r="I86" s="97" t="s">
        <v>2289</v>
      </c>
      <c r="K86" s="118">
        <v>5.95</v>
      </c>
      <c r="L86" s="97" t="s">
        <v>1896</v>
      </c>
      <c r="N86" s="154">
        <f>MouserListTable[[#This Row],['# Initial]]*MouserListTable[[#This Row],[Price (USD)]]</f>
        <v>0</v>
      </c>
      <c r="O86" s="81" t="s">
        <v>2288</v>
      </c>
      <c r="P86" s="150">
        <f t="shared" si="0"/>
        <v>73</v>
      </c>
      <c r="Q86" s="78" t="s">
        <v>1884</v>
      </c>
      <c r="R86"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485-501</v>
      </c>
      <c r="S86" s="133" t="str">
        <f>HYPERLINK("https://www.mouser.com/ProductDetail/" &amp;MouserListTable[[#This Row],[Mouser SKU]])</f>
        <v>https://www.mouser.com/ProductDetail/485-501</v>
      </c>
      <c r="T86" s="94">
        <v>0</v>
      </c>
      <c r="U86" s="94">
        <v>0</v>
      </c>
      <c r="V86" s="94">
        <v>0</v>
      </c>
      <c r="W86" s="94">
        <f>MouserListTable[[#This Row],['#/Unit]]*FilterSpecs!$C$3+MouserListTable[[#This Row],[Extra]]</f>
        <v>0</v>
      </c>
      <c r="X86" s="94">
        <f>IF(MouserListTable[[#This Row],[Tag]]=FilterSpecs!$F$7,MouserListTable[[#This Row],['#/Unit]]*MouserListTable[[#This Row],[Price (USD)]],0)</f>
        <v>0</v>
      </c>
      <c r="Y86" s="94">
        <f>MouserListTable[[#This Row],[Tot '#]]*MouserListTable[[#This Row],[Price (USD)]]</f>
        <v>0</v>
      </c>
      <c r="Z86"/>
    </row>
    <row r="87" spans="1:26" s="106" customFormat="1" x14ac:dyDescent="0.25">
      <c r="A87" s="78" t="s">
        <v>887</v>
      </c>
      <c r="B87" s="78" t="s">
        <v>2020</v>
      </c>
      <c r="C87" s="78" t="s">
        <v>1892</v>
      </c>
      <c r="D87" s="81" t="str">
        <f>IF(MouserListTable[[#This Row],[Vendor]]=FilterSpecs!$A$8,MouserListTable[[#This Row],[Mouser SKU]], MouserListTable[[#This Row],[Supplier SKU]])</f>
        <v>485-1994</v>
      </c>
      <c r="E87" s="94">
        <f>MouserListTable[[#This Row],[Tot '#]]-MouserListTable[[#This Row],['# Initial]]</f>
        <v>0</v>
      </c>
      <c r="F87" s="94">
        <f>IF(AND(MouserListTable[[#This Row],[Tag]]&lt;&gt;FilterSpecs!$F$12, MouserListTable[[#This Row],[Tag]]&lt;&gt;FilterSpecs!$F$9), MouserListTable[[#This Row],['#/Unit]]*FilterSpecs!$B$3+MouserListTable[[#This Row],[Extra Initial]],0)</f>
        <v>5</v>
      </c>
      <c r="G87" s="78"/>
      <c r="H87" s="150"/>
      <c r="I87" s="78" t="s">
        <v>2291</v>
      </c>
      <c r="K87" s="117">
        <v>6.95</v>
      </c>
      <c r="L87" s="78" t="s">
        <v>1897</v>
      </c>
      <c r="M87" s="81"/>
      <c r="N87" s="154">
        <f>MouserListTable[[#This Row],['# Initial]]*MouserListTable[[#This Row],[Price (USD)]]</f>
        <v>34.75</v>
      </c>
      <c r="O87" s="81" t="s">
        <v>2290</v>
      </c>
      <c r="P87" s="150">
        <f t="shared" si="0"/>
        <v>74</v>
      </c>
      <c r="Q87" s="78" t="s">
        <v>1884</v>
      </c>
      <c r="R87"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485-1994</v>
      </c>
      <c r="S87" s="133" t="str">
        <f>HYPERLINK("https://www.mouser.com/ProductDetail/" &amp;MouserListTable[[#This Row],[Mouser SKU]])</f>
        <v>https://www.mouser.com/ProductDetail/485-1994</v>
      </c>
      <c r="T87" s="94">
        <v>1</v>
      </c>
      <c r="U87" s="94">
        <v>0</v>
      </c>
      <c r="V87" s="94">
        <v>0</v>
      </c>
      <c r="W87" s="94">
        <f>MouserListTable[[#This Row],['#/Unit]]*FilterSpecs!$C$3+MouserListTable[[#This Row],[Extra]]</f>
        <v>5</v>
      </c>
      <c r="X87" s="94">
        <f>IF(MouserListTable[[#This Row],[Tag]]=FilterSpecs!$F$7,MouserListTable[[#This Row],['#/Unit]]*MouserListTable[[#This Row],[Price (USD)]],0)</f>
        <v>6.95</v>
      </c>
      <c r="Y87" s="94">
        <f>MouserListTable[[#This Row],[Tot '#]]*MouserListTable[[#This Row],[Price (USD)]]</f>
        <v>34.75</v>
      </c>
      <c r="Z87"/>
    </row>
    <row r="88" spans="1:26" s="104" customFormat="1" x14ac:dyDescent="0.25">
      <c r="A88" s="78" t="s">
        <v>887</v>
      </c>
      <c r="B88" s="78" t="s">
        <v>2013</v>
      </c>
      <c r="C88" s="78" t="s">
        <v>1892</v>
      </c>
      <c r="D88" s="81" t="str">
        <f>IF(MouserListTable[[#This Row],[Vendor]]=FilterSpecs!$A$8,MouserListTable[[#This Row],[Mouser SKU]], MouserListTable[[#This Row],[Supplier SKU]])</f>
        <v>474-CAB-00512</v>
      </c>
      <c r="E88" s="94">
        <f>MouserListTable[[#This Row],[Tot '#]]-MouserListTable[[#This Row],['# Initial]]</f>
        <v>0</v>
      </c>
      <c r="F88" s="94">
        <f>IF(AND(MouserListTable[[#This Row],[Tag]]&lt;&gt;FilterSpecs!$F$12, MouserListTable[[#This Row],[Tag]]&lt;&gt;FilterSpecs!$F$9), MouserListTable[[#This Row],['#/Unit]]*FilterSpecs!$B$3+MouserListTable[[#This Row],[Extra Initial]],0)</f>
        <v>5</v>
      </c>
      <c r="G88" s="78" t="s">
        <v>2466</v>
      </c>
      <c r="H88" s="150" t="s">
        <v>2467</v>
      </c>
      <c r="I88" s="78" t="s">
        <v>2468</v>
      </c>
      <c r="J88" s="78">
        <v>1</v>
      </c>
      <c r="K88" s="117">
        <v>3.95</v>
      </c>
      <c r="L88" s="78" t="s">
        <v>1897</v>
      </c>
      <c r="M88" s="78"/>
      <c r="N88" s="154">
        <f>MouserListTable[[#This Row],['# Initial]]*MouserListTable[[#This Row],[Price (USD)]]</f>
        <v>19.75</v>
      </c>
      <c r="O88" s="81" t="s">
        <v>2465</v>
      </c>
      <c r="P88" s="150">
        <f t="shared" si="0"/>
        <v>75</v>
      </c>
      <c r="Q88" s="78" t="s">
        <v>5</v>
      </c>
      <c r="R88"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474-CAB-00512</v>
      </c>
      <c r="S88" s="133" t="str">
        <f>HYPERLINK("https://www.mouser.com/ProductDetail/" &amp;MouserListTable[[#This Row],[Mouser SKU]])</f>
        <v>https://www.mouser.com/ProductDetail/474-CAB-00512</v>
      </c>
      <c r="T88" s="94">
        <v>1</v>
      </c>
      <c r="U88" s="94">
        <v>0</v>
      </c>
      <c r="V88" s="94">
        <v>0</v>
      </c>
      <c r="W88" s="94">
        <f>MouserListTable[[#This Row],['#/Unit]]*FilterSpecs!$C$3+MouserListTable[[#This Row],[Extra]]</f>
        <v>5</v>
      </c>
      <c r="X88" s="94">
        <f>IF(MouserListTable[[#This Row],[Tag]]=FilterSpecs!$F$7,MouserListTable[[#This Row],['#/Unit]]*MouserListTable[[#This Row],[Price (USD)]],0)</f>
        <v>3.95</v>
      </c>
      <c r="Y88" s="94">
        <f>MouserListTable[[#This Row],[Tot '#]]*MouserListTable[[#This Row],[Price (USD)]]</f>
        <v>19.75</v>
      </c>
      <c r="Z88"/>
    </row>
    <row r="89" spans="1:26" s="104" customFormat="1" x14ac:dyDescent="0.25">
      <c r="A89" s="78" t="s">
        <v>887</v>
      </c>
      <c r="B89" s="78" t="s">
        <v>2013</v>
      </c>
      <c r="C89" s="78" t="s">
        <v>1892</v>
      </c>
      <c r="D89" s="81" t="str">
        <f>IF(MouserListTable[[#This Row],[Vendor]]=FilterSpecs!$A$8,MouserListTable[[#This Row],[Mouser SKU]], MouserListTable[[#This Row],[Supplier SKU]])</f>
        <v>474-CAB-11301</v>
      </c>
      <c r="E89" s="94">
        <f>MouserListTable[[#This Row],[Tot '#]]-MouserListTable[[#This Row],['# Initial]]</f>
        <v>0</v>
      </c>
      <c r="F89" s="94">
        <f>IF(AND(MouserListTable[[#This Row],[Tag]]&lt;&gt;FilterSpecs!$F$12, MouserListTable[[#This Row],[Tag]]&lt;&gt;FilterSpecs!$F$9), MouserListTable[[#This Row],['#/Unit]]*FilterSpecs!$B$3+MouserListTable[[#This Row],[Extra Initial]],0)</f>
        <v>5</v>
      </c>
      <c r="G89" s="78" t="s">
        <v>2470</v>
      </c>
      <c r="H89" s="150" t="s">
        <v>2471</v>
      </c>
      <c r="I89" s="78" t="s">
        <v>2472</v>
      </c>
      <c r="J89" s="78">
        <v>1</v>
      </c>
      <c r="K89" s="117">
        <v>3.95</v>
      </c>
      <c r="L89" s="78" t="s">
        <v>1897</v>
      </c>
      <c r="M89" s="78"/>
      <c r="N89" s="154">
        <f>MouserListTable[[#This Row],['# Initial]]*MouserListTable[[#This Row],[Price (USD)]]</f>
        <v>19.75</v>
      </c>
      <c r="O89" s="81" t="s">
        <v>2469</v>
      </c>
      <c r="P89" s="150">
        <f t="shared" si="0"/>
        <v>76</v>
      </c>
      <c r="Q89" s="78" t="s">
        <v>5</v>
      </c>
      <c r="R89"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474-CAB-11301</v>
      </c>
      <c r="S89" s="133" t="str">
        <f>HYPERLINK("https://www.mouser.com/ProductDetail/" &amp;MouserListTable[[#This Row],[Mouser SKU]])</f>
        <v>https://www.mouser.com/ProductDetail/474-CAB-11301</v>
      </c>
      <c r="T89" s="94">
        <v>1</v>
      </c>
      <c r="U89" s="94">
        <v>0</v>
      </c>
      <c r="V89" s="94">
        <v>0</v>
      </c>
      <c r="W89" s="94">
        <f>MouserListTable[[#This Row],['#/Unit]]*FilterSpecs!$C$3+MouserListTable[[#This Row],[Extra]]</f>
        <v>5</v>
      </c>
      <c r="X89" s="94">
        <f>IF(MouserListTable[[#This Row],[Tag]]=FilterSpecs!$F$7,MouserListTable[[#This Row],['#/Unit]]*MouserListTable[[#This Row],[Price (USD)]],0)</f>
        <v>3.95</v>
      </c>
      <c r="Y89" s="94">
        <f>MouserListTable[[#This Row],[Tot '#]]*MouserListTable[[#This Row],[Price (USD)]]</f>
        <v>19.75</v>
      </c>
      <c r="Z89"/>
    </row>
    <row r="90" spans="1:26" s="104" customFormat="1" x14ac:dyDescent="0.25">
      <c r="A90" s="97" t="s">
        <v>887</v>
      </c>
      <c r="B90" s="97" t="s">
        <v>2013</v>
      </c>
      <c r="C90" s="78" t="s">
        <v>1892</v>
      </c>
      <c r="D90" s="81" t="str">
        <f>IF(MouserListTable[[#This Row],[Vendor]]=FilterSpecs!$A$8,MouserListTable[[#This Row],[Mouser SKU]], MouserListTable[[#This Row],[Supplier SKU]])</f>
        <v>474-CAB-13243</v>
      </c>
      <c r="E90" s="94">
        <f>MouserListTable[[#This Row],[Tot '#]]-MouserListTable[[#This Row],['# Initial]]</f>
        <v>0</v>
      </c>
      <c r="F90" s="94">
        <f>IF(AND(MouserListTable[[#This Row],[Tag]]&lt;&gt;FilterSpecs!$F$12, MouserListTable[[#This Row],[Tag]]&lt;&gt;FilterSpecs!$F$9), MouserListTable[[#This Row],['#/Unit]]*FilterSpecs!$B$3+MouserListTable[[#This Row],[Extra Initial]],0)</f>
        <v>0</v>
      </c>
      <c r="G90" s="78" t="s">
        <v>2474</v>
      </c>
      <c r="H90" s="150" t="s">
        <v>2475</v>
      </c>
      <c r="I90" s="78" t="s">
        <v>2476</v>
      </c>
      <c r="J90" s="78">
        <v>1</v>
      </c>
      <c r="K90" s="117">
        <v>1.95</v>
      </c>
      <c r="L90" s="78" t="s">
        <v>1897</v>
      </c>
      <c r="M90" s="78"/>
      <c r="N90" s="154">
        <f>MouserListTable[[#This Row],['# Initial]]*MouserListTable[[#This Row],[Price (USD)]]</f>
        <v>0</v>
      </c>
      <c r="O90" s="81" t="s">
        <v>2473</v>
      </c>
      <c r="P90" s="150">
        <f t="shared" ref="P90:P153" si="1">IF($P89="List #",1,$P89+1)</f>
        <v>77</v>
      </c>
      <c r="Q90" s="78" t="s">
        <v>5</v>
      </c>
      <c r="R90"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474-CAB-13243</v>
      </c>
      <c r="S90" s="133" t="str">
        <f>HYPERLINK("https://www.mouser.com/ProductDetail/" &amp;MouserListTable[[#This Row],[Mouser SKU]])</f>
        <v>https://www.mouser.com/ProductDetail/474-CAB-13243</v>
      </c>
      <c r="T90" s="94">
        <v>0</v>
      </c>
      <c r="U90" s="94">
        <v>0</v>
      </c>
      <c r="V90" s="94">
        <v>0</v>
      </c>
      <c r="W90" s="94">
        <f>MouserListTable[[#This Row],['#/Unit]]*FilterSpecs!$C$3+MouserListTable[[#This Row],[Extra]]</f>
        <v>0</v>
      </c>
      <c r="X90" s="94">
        <f>IF(MouserListTable[[#This Row],[Tag]]=FilterSpecs!$F$7,MouserListTable[[#This Row],['#/Unit]]*MouserListTable[[#This Row],[Price (USD)]],0)</f>
        <v>0</v>
      </c>
      <c r="Y90" s="94">
        <f>MouserListTable[[#This Row],[Tot '#]]*MouserListTable[[#This Row],[Price (USD)]]</f>
        <v>0</v>
      </c>
      <c r="Z90"/>
    </row>
    <row r="91" spans="1:26" s="104" customFormat="1" x14ac:dyDescent="0.25">
      <c r="A91" s="78" t="s">
        <v>887</v>
      </c>
      <c r="B91" s="78" t="s">
        <v>2013</v>
      </c>
      <c r="C91" s="78" t="s">
        <v>1892</v>
      </c>
      <c r="D91" s="81" t="str">
        <f>IF(MouserListTable[[#This Row],[Vendor]]=FilterSpecs!$A$8,MouserListTable[[#This Row],[Mouser SKU]], MouserListTable[[#This Row],[Supplier SKU]])</f>
        <v>474-CAB-10177</v>
      </c>
      <c r="E91" s="94">
        <f>MouserListTable[[#This Row],[Tot '#]]-MouserListTable[[#This Row],['# Initial]]</f>
        <v>1</v>
      </c>
      <c r="F91" s="94">
        <f>IF(AND(MouserListTable[[#This Row],[Tag]]&lt;&gt;FilterSpecs!$F$12, MouserListTable[[#This Row],[Tag]]&lt;&gt;FilterSpecs!$F$9), MouserListTable[[#This Row],['#/Unit]]*FilterSpecs!$B$3+MouserListTable[[#This Row],[Extra Initial]],0)</f>
        <v>0</v>
      </c>
      <c r="G91" s="78" t="s">
        <v>2478</v>
      </c>
      <c r="H91" s="150" t="s">
        <v>2479</v>
      </c>
      <c r="I91" s="78" t="s">
        <v>2480</v>
      </c>
      <c r="J91" s="78">
        <v>1</v>
      </c>
      <c r="K91" s="117">
        <v>2.95</v>
      </c>
      <c r="L91" s="78" t="s">
        <v>1896</v>
      </c>
      <c r="M91" s="78"/>
      <c r="N91" s="154">
        <f>MouserListTable[[#This Row],['# Initial]]*MouserListTable[[#This Row],[Price (USD)]]</f>
        <v>0</v>
      </c>
      <c r="O91" s="81" t="s">
        <v>2477</v>
      </c>
      <c r="P91" s="150">
        <f t="shared" si="1"/>
        <v>78</v>
      </c>
      <c r="Q91" s="78" t="s">
        <v>5</v>
      </c>
      <c r="R91"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474-CAB-10177</v>
      </c>
      <c r="S91" s="133" t="str">
        <f>HYPERLINK("https://www.mouser.com/ProductDetail/" &amp;MouserListTable[[#This Row],[Mouser SKU]])</f>
        <v>https://www.mouser.com/ProductDetail/474-CAB-10177</v>
      </c>
      <c r="T91" s="94">
        <v>0</v>
      </c>
      <c r="U91" s="94">
        <v>1</v>
      </c>
      <c r="V91" s="94">
        <v>0</v>
      </c>
      <c r="W91" s="94">
        <f>MouserListTable[[#This Row],['#/Unit]]*FilterSpecs!$C$3+MouserListTable[[#This Row],[Extra]]</f>
        <v>1</v>
      </c>
      <c r="X91" s="94">
        <f>IF(MouserListTable[[#This Row],[Tag]]=FilterSpecs!$F$7,MouserListTable[[#This Row],['#/Unit]]*MouserListTable[[#This Row],[Price (USD)]],0)</f>
        <v>0</v>
      </c>
      <c r="Y91" s="94">
        <f>MouserListTable[[#This Row],[Tot '#]]*MouserListTable[[#This Row],[Price (USD)]]</f>
        <v>2.95</v>
      </c>
      <c r="Z91"/>
    </row>
    <row r="92" spans="1:26" s="104" customFormat="1" x14ac:dyDescent="0.25">
      <c r="A92" s="78" t="s">
        <v>887</v>
      </c>
      <c r="B92" s="78" t="s">
        <v>2013</v>
      </c>
      <c r="C92" s="78" t="s">
        <v>1892</v>
      </c>
      <c r="D92" s="81" t="str">
        <f>IF(MouserListTable[[#This Row],[Vendor]]=FilterSpecs!$A$8,MouserListTable[[#This Row],[Mouser SKU]], MouserListTable[[#This Row],[Supplier SKU]])</f>
        <v>474-CAB-10215</v>
      </c>
      <c r="E92" s="94">
        <f>MouserListTable[[#This Row],[Tot '#]]-MouserListTable[[#This Row],['# Initial]]</f>
        <v>0</v>
      </c>
      <c r="F92" s="94">
        <f>IF(AND(MouserListTable[[#This Row],[Tag]]&lt;&gt;FilterSpecs!$F$12, MouserListTable[[#This Row],[Tag]]&lt;&gt;FilterSpecs!$F$9), MouserListTable[[#This Row],['#/Unit]]*FilterSpecs!$B$3+MouserListTable[[#This Row],[Extra Initial]],0)</f>
        <v>5</v>
      </c>
      <c r="G92" s="78" t="s">
        <v>1494</v>
      </c>
      <c r="H92" s="150" t="s">
        <v>1495</v>
      </c>
      <c r="I92" s="78" t="s">
        <v>1496</v>
      </c>
      <c r="J92" s="78">
        <v>1</v>
      </c>
      <c r="K92" s="117">
        <v>4.95</v>
      </c>
      <c r="L92" s="78" t="s">
        <v>1897</v>
      </c>
      <c r="M92" s="78"/>
      <c r="N92" s="154">
        <f>MouserListTable[[#This Row],['# Initial]]*MouserListTable[[#This Row],[Price (USD)]]</f>
        <v>24.75</v>
      </c>
      <c r="O92" s="81" t="s">
        <v>1493</v>
      </c>
      <c r="P92" s="150">
        <f t="shared" si="1"/>
        <v>79</v>
      </c>
      <c r="Q92" s="78" t="s">
        <v>5</v>
      </c>
      <c r="R92"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474-CAB-10215</v>
      </c>
      <c r="S92" s="133" t="str">
        <f>HYPERLINK("https://www.mouser.com/ProductDetail/" &amp;MouserListTable[[#This Row],[Mouser SKU]])</f>
        <v>https://www.mouser.com/ProductDetail/474-CAB-10215</v>
      </c>
      <c r="T92" s="94">
        <v>1</v>
      </c>
      <c r="U92" s="94">
        <v>0</v>
      </c>
      <c r="V92" s="94">
        <v>0</v>
      </c>
      <c r="W92" s="94">
        <f>MouserListTable[[#This Row],['#/Unit]]*FilterSpecs!$C$3+MouserListTable[[#This Row],[Extra]]</f>
        <v>5</v>
      </c>
      <c r="X92" s="94">
        <f>IF(MouserListTable[[#This Row],[Tag]]=FilterSpecs!$F$7,MouserListTable[[#This Row],['#/Unit]]*MouserListTable[[#This Row],[Price (USD)]],0)</f>
        <v>4.95</v>
      </c>
      <c r="Y92" s="94">
        <f>MouserListTable[[#This Row],[Tot '#]]*MouserListTable[[#This Row],[Price (USD)]]</f>
        <v>24.75</v>
      </c>
      <c r="Z92"/>
    </row>
    <row r="93" spans="1:26" s="104" customFormat="1" x14ac:dyDescent="0.25">
      <c r="A93" s="97" t="s">
        <v>887</v>
      </c>
      <c r="B93" s="97" t="s">
        <v>2013</v>
      </c>
      <c r="C93" s="78" t="s">
        <v>1892</v>
      </c>
      <c r="D93" s="81" t="str">
        <f>IF(MouserListTable[[#This Row],[Vendor]]=FilterSpecs!$A$8,MouserListTable[[#This Row],[Mouser SKU]], MouserListTable[[#This Row],[Supplier SKU]])</f>
        <v>474-CAB-13244</v>
      </c>
      <c r="E93" s="94">
        <f>MouserListTable[[#This Row],[Tot '#]]-MouserListTable[[#This Row],['# Initial]]</f>
        <v>0</v>
      </c>
      <c r="F93" s="94">
        <f>IF(AND(MouserListTable[[#This Row],[Tag]]&lt;&gt;FilterSpecs!$F$12, MouserListTable[[#This Row],[Tag]]&lt;&gt;FilterSpecs!$F$9), MouserListTable[[#This Row],['#/Unit]]*FilterSpecs!$B$3+MouserListTable[[#This Row],[Extra Initial]],0)</f>
        <v>0</v>
      </c>
      <c r="G93" s="78" t="s">
        <v>1498</v>
      </c>
      <c r="H93" s="150" t="s">
        <v>1499</v>
      </c>
      <c r="I93" s="78" t="s">
        <v>1500</v>
      </c>
      <c r="J93" s="78">
        <v>1</v>
      </c>
      <c r="K93" s="117">
        <v>1.95</v>
      </c>
      <c r="L93" s="78" t="s">
        <v>1896</v>
      </c>
      <c r="M93" s="78"/>
      <c r="N93" s="154">
        <f>MouserListTable[[#This Row],['# Initial]]*MouserListTable[[#This Row],[Price (USD)]]</f>
        <v>0</v>
      </c>
      <c r="O93" s="81" t="s">
        <v>1497</v>
      </c>
      <c r="P93" s="150">
        <f t="shared" si="1"/>
        <v>80</v>
      </c>
      <c r="Q93" s="78" t="s">
        <v>5</v>
      </c>
      <c r="R93"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474-CAB-13244</v>
      </c>
      <c r="S93" s="133" t="str">
        <f>HYPERLINK("https://www.mouser.com/ProductDetail/" &amp;MouserListTable[[#This Row],[Mouser SKU]])</f>
        <v>https://www.mouser.com/ProductDetail/474-CAB-13244</v>
      </c>
      <c r="T93" s="94">
        <v>0</v>
      </c>
      <c r="U93" s="94">
        <v>0</v>
      </c>
      <c r="V93" s="94">
        <v>0</v>
      </c>
      <c r="W93" s="94">
        <f>MouserListTable[[#This Row],['#/Unit]]*FilterSpecs!$C$3+MouserListTable[[#This Row],[Extra]]</f>
        <v>0</v>
      </c>
      <c r="X93" s="94">
        <f>IF(MouserListTable[[#This Row],[Tag]]=FilterSpecs!$F$7,MouserListTable[[#This Row],['#/Unit]]*MouserListTable[[#This Row],[Price (USD)]],0)</f>
        <v>0</v>
      </c>
      <c r="Y93" s="94">
        <f>MouserListTable[[#This Row],[Tot '#]]*MouserListTable[[#This Row],[Price (USD)]]</f>
        <v>0</v>
      </c>
      <c r="Z93"/>
    </row>
    <row r="94" spans="1:26" s="106" customFormat="1" x14ac:dyDescent="0.25">
      <c r="A94" s="78" t="s">
        <v>887</v>
      </c>
      <c r="B94" s="78" t="s">
        <v>2013</v>
      </c>
      <c r="C94" s="78" t="s">
        <v>1892</v>
      </c>
      <c r="D94" s="81" t="str">
        <f>IF(MouserListTable[[#This Row],[Vendor]]=FilterSpecs!$A$8,MouserListTable[[#This Row],[Mouser SKU]], MouserListTable[[#This Row],[Supplier SKU]])</f>
        <v>474-CAB-11579</v>
      </c>
      <c r="E94" s="94">
        <f>MouserListTable[[#This Row],[Tot '#]]-MouserListTable[[#This Row],['# Initial]]</f>
        <v>1</v>
      </c>
      <c r="F94" s="94">
        <f>IF(AND(MouserListTable[[#This Row],[Tag]]&lt;&gt;FilterSpecs!$F$12, MouserListTable[[#This Row],[Tag]]&lt;&gt;FilterSpecs!$F$9), MouserListTable[[#This Row],['#/Unit]]*FilterSpecs!$B$3+MouserListTable[[#This Row],[Extra Initial]],0)</f>
        <v>0</v>
      </c>
      <c r="G94" s="78" t="s">
        <v>242</v>
      </c>
      <c r="H94" s="150" t="s">
        <v>243</v>
      </c>
      <c r="I94" s="78" t="s">
        <v>244</v>
      </c>
      <c r="J94" s="106">
        <v>1</v>
      </c>
      <c r="K94" s="117">
        <v>4.95</v>
      </c>
      <c r="L94" s="78" t="s">
        <v>1896</v>
      </c>
      <c r="M94" s="81"/>
      <c r="N94" s="154">
        <f>MouserListTable[[#This Row],['# Initial]]*MouserListTable[[#This Row],[Price (USD)]]</f>
        <v>0</v>
      </c>
      <c r="O94" s="81" t="s">
        <v>241</v>
      </c>
      <c r="P94" s="150">
        <f t="shared" si="1"/>
        <v>81</v>
      </c>
      <c r="Q94" s="78" t="s">
        <v>5</v>
      </c>
      <c r="R94"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474-CAB-11579</v>
      </c>
      <c r="S94" s="133" t="str">
        <f>HYPERLINK("https://www.mouser.com/ProductDetail/" &amp;MouserListTable[[#This Row],[Mouser SKU]])</f>
        <v>https://www.mouser.com/ProductDetail/474-CAB-11579</v>
      </c>
      <c r="T94" s="94">
        <v>0</v>
      </c>
      <c r="U94" s="94">
        <v>1</v>
      </c>
      <c r="V94" s="94">
        <v>0</v>
      </c>
      <c r="W94" s="94">
        <f>MouserListTable[[#This Row],['#/Unit]]*FilterSpecs!$C$3+MouserListTable[[#This Row],[Extra]]</f>
        <v>1</v>
      </c>
      <c r="X94" s="94">
        <f>IF(MouserListTable[[#This Row],[Tag]]=FilterSpecs!$F$7,MouserListTable[[#This Row],['#/Unit]]*MouserListTable[[#This Row],[Price (USD)]],0)</f>
        <v>0</v>
      </c>
      <c r="Y94" s="94">
        <f>MouserListTable[[#This Row],[Tot '#]]*MouserListTable[[#This Row],[Price (USD)]]</f>
        <v>4.95</v>
      </c>
      <c r="Z94"/>
    </row>
    <row r="95" spans="1:26" s="106" customFormat="1" x14ac:dyDescent="0.25">
      <c r="A95" s="78" t="s">
        <v>887</v>
      </c>
      <c r="B95" s="78" t="s">
        <v>2039</v>
      </c>
      <c r="C95" s="78" t="s">
        <v>1892</v>
      </c>
      <c r="D95" s="81" t="str">
        <f>IF(MouserListTable[[#This Row],[Vendor]]=FilterSpecs!$A$8,MouserListTable[[#This Row],[Mouser SKU]], MouserListTable[[#This Row],[Supplier SKU]])</f>
        <v>485-2727</v>
      </c>
      <c r="E95" s="94">
        <f>MouserListTable[[#This Row],[Tot '#]]-MouserListTable[[#This Row],['# Initial]]</f>
        <v>0</v>
      </c>
      <c r="F95" s="94">
        <f>IF(AND(MouserListTable[[#This Row],[Tag]]&lt;&gt;FilterSpecs!$F$12, MouserListTable[[#This Row],[Tag]]&lt;&gt;FilterSpecs!$F$9), MouserListTable[[#This Row],['#/Unit]]*FilterSpecs!$B$3+MouserListTable[[#This Row],[Extra Initial]],0)</f>
        <v>0</v>
      </c>
      <c r="G95" s="78"/>
      <c r="H95" s="150"/>
      <c r="I95" s="97" t="s">
        <v>2277</v>
      </c>
      <c r="K95" s="118">
        <v>1.95</v>
      </c>
      <c r="L95" s="97" t="s">
        <v>1896</v>
      </c>
      <c r="N95" s="154">
        <f>MouserListTable[[#This Row],['# Initial]]*MouserListTable[[#This Row],[Price (USD)]]</f>
        <v>0</v>
      </c>
      <c r="O95" s="81" t="s">
        <v>2276</v>
      </c>
      <c r="P95" s="150">
        <f t="shared" si="1"/>
        <v>82</v>
      </c>
      <c r="Q95" s="78" t="s">
        <v>1884</v>
      </c>
      <c r="R95"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485-2727</v>
      </c>
      <c r="S95" s="133" t="str">
        <f>HYPERLINK("https://www.mouser.com/ProductDetail/" &amp;MouserListTable[[#This Row],[Mouser SKU]])</f>
        <v>https://www.mouser.com/ProductDetail/485-2727</v>
      </c>
      <c r="T95" s="94">
        <v>0</v>
      </c>
      <c r="U95" s="94">
        <v>0</v>
      </c>
      <c r="V95" s="94">
        <v>0</v>
      </c>
      <c r="W95" s="94">
        <f>MouserListTable[[#This Row],['#/Unit]]*FilterSpecs!$C$3+MouserListTable[[#This Row],[Extra]]</f>
        <v>0</v>
      </c>
      <c r="X95" s="94">
        <f>IF(MouserListTable[[#This Row],[Tag]]=FilterSpecs!$F$7,MouserListTable[[#This Row],['#/Unit]]*MouserListTable[[#This Row],[Price (USD)]],0)</f>
        <v>0</v>
      </c>
      <c r="Y95" s="94">
        <f>MouserListTable[[#This Row],[Tot '#]]*MouserListTable[[#This Row],[Price (USD)]]</f>
        <v>0</v>
      </c>
      <c r="Z95"/>
    </row>
    <row r="96" spans="1:26" s="106" customFormat="1" x14ac:dyDescent="0.25">
      <c r="A96" s="78" t="s">
        <v>887</v>
      </c>
      <c r="B96" s="78" t="s">
        <v>2039</v>
      </c>
      <c r="C96" s="78" t="s">
        <v>1892</v>
      </c>
      <c r="D96" s="81" t="str">
        <f>IF(MouserListTable[[#This Row],[Vendor]]=FilterSpecs!$A$8,MouserListTable[[#This Row],[Mouser SKU]], MouserListTable[[#This Row],[Supplier SKU]])</f>
        <v>485-988</v>
      </c>
      <c r="E96" s="94">
        <f>MouserListTable[[#This Row],[Tot '#]]-MouserListTable[[#This Row],['# Initial]]</f>
        <v>0</v>
      </c>
      <c r="F96" s="94">
        <f>IF(AND(MouserListTable[[#This Row],[Tag]]&lt;&gt;FilterSpecs!$F$12, MouserListTable[[#This Row],[Tag]]&lt;&gt;FilterSpecs!$F$9), MouserListTable[[#This Row],['#/Unit]]*FilterSpecs!$B$3+MouserListTable[[#This Row],[Extra Initial]],0)</f>
        <v>0</v>
      </c>
      <c r="G96" s="78"/>
      <c r="H96" s="150"/>
      <c r="I96" s="97" t="s">
        <v>2279</v>
      </c>
      <c r="K96" s="118">
        <v>2.95</v>
      </c>
      <c r="L96" s="97" t="s">
        <v>1896</v>
      </c>
      <c r="N96" s="154">
        <f>MouserListTable[[#This Row],['# Initial]]*MouserListTable[[#This Row],[Price (USD)]]</f>
        <v>0</v>
      </c>
      <c r="O96" s="81" t="s">
        <v>2278</v>
      </c>
      <c r="P96" s="150">
        <f t="shared" si="1"/>
        <v>83</v>
      </c>
      <c r="Q96" s="78" t="s">
        <v>1884</v>
      </c>
      <c r="R96"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485-988</v>
      </c>
      <c r="S96" s="133" t="str">
        <f>HYPERLINK("https://www.mouser.com/ProductDetail/" &amp;MouserListTable[[#This Row],[Mouser SKU]])</f>
        <v>https://www.mouser.com/ProductDetail/485-988</v>
      </c>
      <c r="T96" s="94">
        <v>0</v>
      </c>
      <c r="U96" s="94">
        <v>0</v>
      </c>
      <c r="V96" s="94">
        <v>0</v>
      </c>
      <c r="W96" s="94">
        <f>MouserListTable[[#This Row],['#/Unit]]*FilterSpecs!$C$3+MouserListTable[[#This Row],[Extra]]</f>
        <v>0</v>
      </c>
      <c r="X96" s="94">
        <f>IF(MouserListTable[[#This Row],[Tag]]=FilterSpecs!$F$7,MouserListTable[[#This Row],['#/Unit]]*MouserListTable[[#This Row],[Price (USD)]],0)</f>
        <v>0</v>
      </c>
      <c r="Y96" s="94">
        <f>MouserListTable[[#This Row],[Tot '#]]*MouserListTable[[#This Row],[Price (USD)]]</f>
        <v>0</v>
      </c>
      <c r="Z96"/>
    </row>
    <row r="97" spans="1:26" s="106" customFormat="1" x14ac:dyDescent="0.25">
      <c r="A97" s="78" t="s">
        <v>887</v>
      </c>
      <c r="B97" s="78" t="s">
        <v>2039</v>
      </c>
      <c r="C97" s="78" t="s">
        <v>1892</v>
      </c>
      <c r="D97" s="81" t="str">
        <f>IF(MouserListTable[[#This Row],[Vendor]]=FilterSpecs!$A$8,MouserListTable[[#This Row],[Mouser SKU]], MouserListTable[[#This Row],[Supplier SKU]])</f>
        <v>485-2778</v>
      </c>
      <c r="E97" s="94">
        <f>MouserListTable[[#This Row],[Tot '#]]-MouserListTable[[#This Row],['# Initial]]</f>
        <v>2</v>
      </c>
      <c r="F97" s="94">
        <f>IF(AND(MouserListTable[[#This Row],[Tag]]&lt;&gt;FilterSpecs!$F$12, MouserListTable[[#This Row],[Tag]]&lt;&gt;FilterSpecs!$F$9), MouserListTable[[#This Row],['#/Unit]]*FilterSpecs!$B$3+MouserListTable[[#This Row],[Extra Initial]],0)</f>
        <v>0</v>
      </c>
      <c r="G97" s="78"/>
      <c r="H97" s="150"/>
      <c r="I97" s="78" t="s">
        <v>2281</v>
      </c>
      <c r="K97" s="117">
        <v>6.5</v>
      </c>
      <c r="L97" s="78" t="s">
        <v>1896</v>
      </c>
      <c r="M97" s="81"/>
      <c r="N97" s="154">
        <f>MouserListTable[[#This Row],['# Initial]]*MouserListTable[[#This Row],[Price (USD)]]</f>
        <v>0</v>
      </c>
      <c r="O97" s="81" t="s">
        <v>2280</v>
      </c>
      <c r="P97" s="150">
        <f t="shared" si="1"/>
        <v>84</v>
      </c>
      <c r="Q97" s="78" t="s">
        <v>1884</v>
      </c>
      <c r="R97"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485-2778</v>
      </c>
      <c r="S97" s="133" t="str">
        <f>HYPERLINK("https://www.mouser.com/ProductDetail/" &amp;MouserListTable[[#This Row],[Mouser SKU]])</f>
        <v>https://www.mouser.com/ProductDetail/485-2778</v>
      </c>
      <c r="T97" s="94">
        <v>0</v>
      </c>
      <c r="U97" s="94">
        <v>2</v>
      </c>
      <c r="V97" s="94">
        <v>0</v>
      </c>
      <c r="W97" s="94">
        <f>MouserListTable[[#This Row],['#/Unit]]*FilterSpecs!$C$3+MouserListTable[[#This Row],[Extra]]</f>
        <v>2</v>
      </c>
      <c r="X97" s="94">
        <f>IF(MouserListTable[[#This Row],[Tag]]=FilterSpecs!$F$7,MouserListTable[[#This Row],['#/Unit]]*MouserListTable[[#This Row],[Price (USD)]],0)</f>
        <v>0</v>
      </c>
      <c r="Y97" s="94">
        <f>MouserListTable[[#This Row],[Tot '#]]*MouserListTable[[#This Row],[Price (USD)]]</f>
        <v>13</v>
      </c>
      <c r="Z97"/>
    </row>
    <row r="98" spans="1:26" s="106" customFormat="1" x14ac:dyDescent="0.25">
      <c r="A98" s="78" t="s">
        <v>887</v>
      </c>
      <c r="B98" s="78" t="s">
        <v>2039</v>
      </c>
      <c r="C98" s="78" t="s">
        <v>1892</v>
      </c>
      <c r="D98" s="81" t="str">
        <f>IF(MouserListTable[[#This Row],[Vendor]]=FilterSpecs!$A$8,MouserListTable[[#This Row],[Mouser SKU]], MouserListTable[[#This Row],[Supplier SKU]])</f>
        <v>485-2777</v>
      </c>
      <c r="E98" s="94">
        <f>MouserListTable[[#This Row],[Tot '#]]-MouserListTable[[#This Row],['# Initial]]</f>
        <v>0</v>
      </c>
      <c r="F98" s="94">
        <f>IF(AND(MouserListTable[[#This Row],[Tag]]&lt;&gt;FilterSpecs!$F$12, MouserListTable[[#This Row],[Tag]]&lt;&gt;FilterSpecs!$F$9), MouserListTable[[#This Row],['#/Unit]]*FilterSpecs!$B$3+MouserListTable[[#This Row],[Extra Initial]],0)</f>
        <v>0</v>
      </c>
      <c r="G98" s="78"/>
      <c r="H98" s="150"/>
      <c r="I98" s="97" t="s">
        <v>2283</v>
      </c>
      <c r="K98" s="118">
        <v>6.5</v>
      </c>
      <c r="L98" s="97" t="s">
        <v>1896</v>
      </c>
      <c r="N98" s="154">
        <f>MouserListTable[[#This Row],['# Initial]]*MouserListTable[[#This Row],[Price (USD)]]</f>
        <v>0</v>
      </c>
      <c r="O98" s="81" t="s">
        <v>2282</v>
      </c>
      <c r="P98" s="150">
        <f t="shared" si="1"/>
        <v>85</v>
      </c>
      <c r="Q98" s="78" t="s">
        <v>1884</v>
      </c>
      <c r="R98"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485-2777</v>
      </c>
      <c r="S98" s="133" t="str">
        <f>HYPERLINK("https://www.mouser.com/ProductDetail/" &amp;MouserListTable[[#This Row],[Mouser SKU]])</f>
        <v>https://www.mouser.com/ProductDetail/485-2777</v>
      </c>
      <c r="T98" s="94">
        <v>0</v>
      </c>
      <c r="U98" s="94">
        <v>0</v>
      </c>
      <c r="V98" s="94">
        <v>0</v>
      </c>
      <c r="W98" s="94">
        <f>MouserListTable[[#This Row],['#/Unit]]*FilterSpecs!$C$3+MouserListTable[[#This Row],[Extra]]</f>
        <v>0</v>
      </c>
      <c r="X98" s="94">
        <f>IF(MouserListTable[[#This Row],[Tag]]=FilterSpecs!$F$7,MouserListTable[[#This Row],['#/Unit]]*MouserListTable[[#This Row],[Price (USD)]],0)</f>
        <v>0</v>
      </c>
      <c r="Y98" s="94">
        <f>MouserListTable[[#This Row],[Tot '#]]*MouserListTable[[#This Row],[Price (USD)]]</f>
        <v>0</v>
      </c>
      <c r="Z98"/>
    </row>
    <row r="99" spans="1:26" s="106" customFormat="1" x14ac:dyDescent="0.25">
      <c r="A99" s="78" t="s">
        <v>887</v>
      </c>
      <c r="B99" s="78" t="s">
        <v>2039</v>
      </c>
      <c r="C99" s="78" t="s">
        <v>1892</v>
      </c>
      <c r="D99" s="81" t="str">
        <f>IF(MouserListTable[[#This Row],[Vendor]]=FilterSpecs!$A$8,MouserListTable[[#This Row],[Mouser SKU]], MouserListTable[[#This Row],[Supplier SKU]])</f>
        <v>485-2697</v>
      </c>
      <c r="E99" s="94">
        <f>MouserListTable[[#This Row],[Tot '#]]-MouserListTable[[#This Row],['# Initial]]</f>
        <v>0</v>
      </c>
      <c r="F99" s="94">
        <f>IF(AND(MouserListTable[[#This Row],[Tag]]&lt;&gt;FilterSpecs!$F$12, MouserListTable[[#This Row],[Tag]]&lt;&gt;FilterSpecs!$F$9), MouserListTable[[#This Row],['#/Unit]]*FilterSpecs!$B$3+MouserListTable[[#This Row],[Extra Initial]],0)</f>
        <v>0</v>
      </c>
      <c r="G99" s="78"/>
      <c r="H99" s="150"/>
      <c r="I99" s="97" t="s">
        <v>2285</v>
      </c>
      <c r="K99" s="118">
        <v>2.75</v>
      </c>
      <c r="L99" s="97" t="s">
        <v>1896</v>
      </c>
      <c r="N99" s="154">
        <f>MouserListTable[[#This Row],['# Initial]]*MouserListTable[[#This Row],[Price (USD)]]</f>
        <v>0</v>
      </c>
      <c r="O99" s="81" t="s">
        <v>2284</v>
      </c>
      <c r="P99" s="150">
        <f t="shared" si="1"/>
        <v>86</v>
      </c>
      <c r="Q99" s="78" t="s">
        <v>1884</v>
      </c>
      <c r="R99"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485-2697</v>
      </c>
      <c r="S99" s="133" t="str">
        <f>HYPERLINK("https://www.mouser.com/ProductDetail/" &amp;MouserListTable[[#This Row],[Mouser SKU]])</f>
        <v>https://www.mouser.com/ProductDetail/485-2697</v>
      </c>
      <c r="T99" s="94">
        <v>0</v>
      </c>
      <c r="U99" s="94">
        <v>0</v>
      </c>
      <c r="V99" s="94">
        <v>0</v>
      </c>
      <c r="W99" s="94">
        <f>MouserListTable[[#This Row],['#/Unit]]*FilterSpecs!$C$3+MouserListTable[[#This Row],[Extra]]</f>
        <v>0</v>
      </c>
      <c r="X99" s="94">
        <f>IF(MouserListTable[[#This Row],[Tag]]=FilterSpecs!$F$7,MouserListTable[[#This Row],['#/Unit]]*MouserListTable[[#This Row],[Price (USD)]],0)</f>
        <v>0</v>
      </c>
      <c r="Y99" s="94">
        <f>MouserListTable[[#This Row],[Tot '#]]*MouserListTable[[#This Row],[Price (USD)]]</f>
        <v>0</v>
      </c>
      <c r="Z99"/>
    </row>
    <row r="100" spans="1:26" s="106" customFormat="1" x14ac:dyDescent="0.25">
      <c r="A100" s="78" t="s">
        <v>887</v>
      </c>
      <c r="B100" s="78" t="s">
        <v>2039</v>
      </c>
      <c r="C100" s="78" t="s">
        <v>1892</v>
      </c>
      <c r="D100" s="81" t="str">
        <f>IF(MouserListTable[[#This Row],[Vendor]]=FilterSpecs!$A$8,MouserListTable[[#This Row],[Mouser SKU]], MouserListTable[[#This Row],[Supplier SKU]])</f>
        <v>485-2789</v>
      </c>
      <c r="E100" s="94">
        <f>MouserListTable[[#This Row],[Tot '#]]-MouserListTable[[#This Row],['# Initial]]</f>
        <v>0</v>
      </c>
      <c r="F100" s="94">
        <f>IF(AND(MouserListTable[[#This Row],[Tag]]&lt;&gt;FilterSpecs!$F$12, MouserListTable[[#This Row],[Tag]]&lt;&gt;FilterSpecs!$F$9), MouserListTable[[#This Row],['#/Unit]]*FilterSpecs!$B$3+MouserListTable[[#This Row],[Extra Initial]],0)</f>
        <v>5</v>
      </c>
      <c r="G100" s="78"/>
      <c r="H100" s="150"/>
      <c r="I100" s="78" t="s">
        <v>2287</v>
      </c>
      <c r="K100" s="117">
        <v>1.95</v>
      </c>
      <c r="L100" s="78" t="s">
        <v>1897</v>
      </c>
      <c r="M100" s="81"/>
      <c r="N100" s="154">
        <f>MouserListTable[[#This Row],['# Initial]]*MouserListTable[[#This Row],[Price (USD)]]</f>
        <v>9.75</v>
      </c>
      <c r="O100" s="81" t="s">
        <v>2286</v>
      </c>
      <c r="P100" s="150">
        <f t="shared" si="1"/>
        <v>87</v>
      </c>
      <c r="Q100" s="78" t="s">
        <v>1884</v>
      </c>
      <c r="R100"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485-2789</v>
      </c>
      <c r="S100" s="133" t="str">
        <f>HYPERLINK("https://www.mouser.com/ProductDetail/" &amp;MouserListTable[[#This Row],[Mouser SKU]])</f>
        <v>https://www.mouser.com/ProductDetail/485-2789</v>
      </c>
      <c r="T100" s="94">
        <v>1</v>
      </c>
      <c r="U100" s="94">
        <v>0</v>
      </c>
      <c r="V100" s="94">
        <v>0</v>
      </c>
      <c r="W100" s="94">
        <f>MouserListTable[[#This Row],['#/Unit]]*FilterSpecs!$C$3+MouserListTable[[#This Row],[Extra]]</f>
        <v>5</v>
      </c>
      <c r="X100" s="94">
        <f>IF(MouserListTable[[#This Row],[Tag]]=FilterSpecs!$F$7,MouserListTable[[#This Row],['#/Unit]]*MouserListTable[[#This Row],[Price (USD)]],0)</f>
        <v>1.95</v>
      </c>
      <c r="Y100" s="94">
        <f>MouserListTable[[#This Row],[Tot '#]]*MouserListTable[[#This Row],[Price (USD)]]</f>
        <v>9.75</v>
      </c>
      <c r="Z100"/>
    </row>
    <row r="101" spans="1:26" s="106" customFormat="1" x14ac:dyDescent="0.25">
      <c r="A101" s="78" t="s">
        <v>887</v>
      </c>
      <c r="B101" s="78" t="s">
        <v>2016</v>
      </c>
      <c r="C101" s="78" t="s">
        <v>1892</v>
      </c>
      <c r="D101" s="81" t="str">
        <f>IF(MouserListTable[[#This Row],[Vendor]]=FilterSpecs!$A$8,MouserListTable[[#This Row],[Mouser SKU]], MouserListTable[[#This Row],[Supplier SKU]])</f>
        <v>474-DEV-13158</v>
      </c>
      <c r="E101" s="94">
        <f>MouserListTable[[#This Row],[Tot '#]]-MouserListTable[[#This Row],['# Initial]]</f>
        <v>0</v>
      </c>
      <c r="F101" s="94">
        <f>IF(AND(MouserListTable[[#This Row],[Tag]]&lt;&gt;FilterSpecs!$F$12, MouserListTable[[#This Row],[Tag]]&lt;&gt;FilterSpecs!$F$9), MouserListTable[[#This Row],['#/Unit]]*FilterSpecs!$B$3+MouserListTable[[#This Row],[Extra Initial]],0)</f>
        <v>5</v>
      </c>
      <c r="G101" s="78" t="s">
        <v>31</v>
      </c>
      <c r="H101" s="150" t="s">
        <v>32</v>
      </c>
      <c r="I101" s="78" t="s">
        <v>33</v>
      </c>
      <c r="J101" s="106">
        <v>1</v>
      </c>
      <c r="K101" s="117">
        <v>29.95</v>
      </c>
      <c r="L101" s="78" t="s">
        <v>1897</v>
      </c>
      <c r="M101" s="81"/>
      <c r="N101" s="154">
        <f>MouserListTable[[#This Row],['# Initial]]*MouserListTable[[#This Row],[Price (USD)]]</f>
        <v>149.75</v>
      </c>
      <c r="O101" s="81" t="s">
        <v>30</v>
      </c>
      <c r="P101" s="150">
        <f t="shared" si="1"/>
        <v>88</v>
      </c>
      <c r="Q101" s="78" t="s">
        <v>5</v>
      </c>
      <c r="R101"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474-DEV-13158</v>
      </c>
      <c r="S101" s="133" t="str">
        <f>HYPERLINK("https://www.mouser.com/ProductDetail/" &amp;MouserListTable[[#This Row],[Mouser SKU]])</f>
        <v>https://www.mouser.com/ProductDetail/474-DEV-13158</v>
      </c>
      <c r="T101" s="94">
        <v>1</v>
      </c>
      <c r="U101" s="94">
        <v>0</v>
      </c>
      <c r="V101" s="94">
        <v>0</v>
      </c>
      <c r="W101" s="94">
        <f>MouserListTable[[#This Row],['#/Unit]]*FilterSpecs!$C$3+MouserListTable[[#This Row],[Extra]]</f>
        <v>5</v>
      </c>
      <c r="X101" s="94">
        <f>IF(MouserListTable[[#This Row],[Tag]]=FilterSpecs!$F$7,MouserListTable[[#This Row],['#/Unit]]*MouserListTable[[#This Row],[Price (USD)]],0)</f>
        <v>29.95</v>
      </c>
      <c r="Y101" s="94">
        <f>MouserListTable[[#This Row],[Tot '#]]*MouserListTable[[#This Row],[Price (USD)]]</f>
        <v>149.75</v>
      </c>
      <c r="Z101"/>
    </row>
    <row r="102" spans="1:26" s="106" customFormat="1" x14ac:dyDescent="0.25">
      <c r="A102" s="78" t="s">
        <v>887</v>
      </c>
      <c r="B102" s="78" t="s">
        <v>2016</v>
      </c>
      <c r="C102" s="78" t="s">
        <v>1892</v>
      </c>
      <c r="D102" s="81" t="str">
        <f>IF(MouserListTable[[#This Row],[Vendor]]=FilterSpecs!$A$8,MouserListTable[[#This Row],[Mouser SKU]], MouserListTable[[#This Row],[Supplier SKU]])</f>
        <v>474-PRT-12711</v>
      </c>
      <c r="E102" s="94">
        <f>MouserListTable[[#This Row],[Tot '#]]-MouserListTable[[#This Row],['# Initial]]</f>
        <v>0</v>
      </c>
      <c r="F102" s="94">
        <f>IF(AND(MouserListTable[[#This Row],[Tag]]&lt;&gt;FilterSpecs!$F$12, MouserListTable[[#This Row],[Tag]]&lt;&gt;FilterSpecs!$F$9), MouserListTable[[#This Row],['#/Unit]]*FilterSpecs!$B$3+MouserListTable[[#This Row],[Extra Initial]],0)</f>
        <v>5</v>
      </c>
      <c r="G102" s="78" t="s">
        <v>35</v>
      </c>
      <c r="H102" s="150" t="s">
        <v>36</v>
      </c>
      <c r="I102" s="78" t="s">
        <v>37</v>
      </c>
      <c r="J102" s="106">
        <v>1</v>
      </c>
      <c r="K102" s="117">
        <v>14.95</v>
      </c>
      <c r="L102" s="78" t="s">
        <v>1897</v>
      </c>
      <c r="M102" s="81"/>
      <c r="N102" s="154">
        <f>MouserListTable[[#This Row],['# Initial]]*MouserListTable[[#This Row],[Price (USD)]]</f>
        <v>74.75</v>
      </c>
      <c r="O102" s="81" t="s">
        <v>34</v>
      </c>
      <c r="P102" s="150">
        <f t="shared" si="1"/>
        <v>89</v>
      </c>
      <c r="Q102" s="78" t="s">
        <v>5</v>
      </c>
      <c r="R102"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474-PRT-12711</v>
      </c>
      <c r="S102" s="133" t="str">
        <f>HYPERLINK("https://www.mouser.com/ProductDetail/" &amp;MouserListTable[[#This Row],[Mouser SKU]])</f>
        <v>https://www.mouser.com/ProductDetail/474-PRT-12711</v>
      </c>
      <c r="T102" s="94">
        <v>1</v>
      </c>
      <c r="U102" s="94">
        <v>0</v>
      </c>
      <c r="V102" s="94">
        <v>0</v>
      </c>
      <c r="W102" s="94">
        <f>MouserListTable[[#This Row],['#/Unit]]*FilterSpecs!$C$3+MouserListTable[[#This Row],[Extra]]</f>
        <v>5</v>
      </c>
      <c r="X102" s="94">
        <f>IF(MouserListTable[[#This Row],[Tag]]=FilterSpecs!$F$7,MouserListTable[[#This Row],['#/Unit]]*MouserListTable[[#This Row],[Price (USD)]],0)</f>
        <v>14.95</v>
      </c>
      <c r="Y102" s="94">
        <f>MouserListTable[[#This Row],[Tot '#]]*MouserListTable[[#This Row],[Price (USD)]]</f>
        <v>74.75</v>
      </c>
      <c r="Z102"/>
    </row>
    <row r="103" spans="1:26" s="106" customFormat="1" x14ac:dyDescent="0.25">
      <c r="A103" s="78" t="s">
        <v>887</v>
      </c>
      <c r="B103" s="78" t="s">
        <v>2016</v>
      </c>
      <c r="C103" s="78" t="s">
        <v>1892</v>
      </c>
      <c r="D103" s="81" t="str">
        <f>IF(MouserListTable[[#This Row],[Vendor]]=FilterSpecs!$A$8,MouserListTable[[#This Row],[Mouser SKU]], MouserListTable[[#This Row],[Supplier SKU]])</f>
        <v>474-PRT-13777</v>
      </c>
      <c r="E103" s="94">
        <f>MouserListTable[[#This Row],[Tot '#]]-MouserListTable[[#This Row],['# Initial]]</f>
        <v>1</v>
      </c>
      <c r="F103" s="94">
        <f>IF(AND(MouserListTable[[#This Row],[Tag]]&lt;&gt;FilterSpecs!$F$12, MouserListTable[[#This Row],[Tag]]&lt;&gt;FilterSpecs!$F$9), MouserListTable[[#This Row],['#/Unit]]*FilterSpecs!$B$3+MouserListTable[[#This Row],[Extra Initial]],0)</f>
        <v>0</v>
      </c>
      <c r="G103" s="78" t="s">
        <v>43</v>
      </c>
      <c r="H103" s="150" t="s">
        <v>44</v>
      </c>
      <c r="I103" s="78" t="s">
        <v>45</v>
      </c>
      <c r="J103" s="106">
        <v>1</v>
      </c>
      <c r="K103" s="117">
        <v>19.95</v>
      </c>
      <c r="L103" s="78" t="s">
        <v>1896</v>
      </c>
      <c r="M103" s="81"/>
      <c r="N103" s="154">
        <f>MouserListTable[[#This Row],['# Initial]]*MouserListTable[[#This Row],[Price (USD)]]</f>
        <v>0</v>
      </c>
      <c r="O103" s="81" t="s">
        <v>42</v>
      </c>
      <c r="P103" s="150">
        <f t="shared" si="1"/>
        <v>90</v>
      </c>
      <c r="Q103" s="78" t="s">
        <v>5</v>
      </c>
      <c r="R103"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474-PRT-13777</v>
      </c>
      <c r="S103" s="133" t="str">
        <f>HYPERLINK("https://www.mouser.com/ProductDetail/" &amp;MouserListTable[[#This Row],[Mouser SKU]])</f>
        <v>https://www.mouser.com/ProductDetail/474-PRT-13777</v>
      </c>
      <c r="T103" s="94">
        <v>0</v>
      </c>
      <c r="U103" s="94">
        <v>1</v>
      </c>
      <c r="V103" s="94">
        <v>0</v>
      </c>
      <c r="W103" s="94">
        <f>MouserListTable[[#This Row],['#/Unit]]*FilterSpecs!$C$3+MouserListTable[[#This Row],[Extra]]</f>
        <v>1</v>
      </c>
      <c r="X103" s="94">
        <f>IF(MouserListTable[[#This Row],[Tag]]=FilterSpecs!$F$7,MouserListTable[[#This Row],['#/Unit]]*MouserListTable[[#This Row],[Price (USD)]],0)</f>
        <v>0</v>
      </c>
      <c r="Y103" s="94">
        <f>MouserListTable[[#This Row],[Tot '#]]*MouserListTable[[#This Row],[Price (USD)]]</f>
        <v>19.95</v>
      </c>
      <c r="Z103"/>
    </row>
    <row r="104" spans="1:26" s="106" customFormat="1" x14ac:dyDescent="0.25">
      <c r="A104" s="78" t="s">
        <v>887</v>
      </c>
      <c r="B104" s="78" t="s">
        <v>2016</v>
      </c>
      <c r="C104" s="78" t="s">
        <v>1892</v>
      </c>
      <c r="D104" s="81" t="str">
        <f>IF(MouserListTable[[#This Row],[Vendor]]=FilterSpecs!$A$8,MouserListTable[[#This Row],[Mouser SKU]], MouserListTable[[#This Row],[Supplier SKU]])</f>
        <v>474-PRT-13856</v>
      </c>
      <c r="E104" s="94">
        <f>MouserListTable[[#This Row],[Tot '#]]-MouserListTable[[#This Row],['# Initial]]</f>
        <v>1</v>
      </c>
      <c r="F104" s="94">
        <f>IF(AND(MouserListTable[[#This Row],[Tag]]&lt;&gt;FilterSpecs!$F$12, MouserListTable[[#This Row],[Tag]]&lt;&gt;FilterSpecs!$F$9), MouserListTable[[#This Row],['#/Unit]]*FilterSpecs!$B$3+MouserListTable[[#This Row],[Extra Initial]],0)</f>
        <v>5</v>
      </c>
      <c r="G104" s="78" t="s">
        <v>47</v>
      </c>
      <c r="H104" s="150" t="s">
        <v>48</v>
      </c>
      <c r="I104" s="78" t="s">
        <v>49</v>
      </c>
      <c r="J104" s="106">
        <v>1</v>
      </c>
      <c r="K104" s="117">
        <v>29.95</v>
      </c>
      <c r="L104" s="78" t="s">
        <v>1897</v>
      </c>
      <c r="M104" s="81"/>
      <c r="N104" s="154">
        <f>MouserListTable[[#This Row],['# Initial]]*MouserListTable[[#This Row],[Price (USD)]]</f>
        <v>149.75</v>
      </c>
      <c r="O104" s="81" t="s">
        <v>46</v>
      </c>
      <c r="P104" s="150">
        <f t="shared" si="1"/>
        <v>91</v>
      </c>
      <c r="Q104" s="78" t="s">
        <v>5</v>
      </c>
      <c r="R104"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474-PRT-13856</v>
      </c>
      <c r="S104" s="133" t="str">
        <f>HYPERLINK("https://www.mouser.com/ProductDetail/" &amp;MouserListTable[[#This Row],[Mouser SKU]])</f>
        <v>https://www.mouser.com/ProductDetail/474-PRT-13856</v>
      </c>
      <c r="T104" s="94">
        <v>1</v>
      </c>
      <c r="U104" s="94">
        <v>1</v>
      </c>
      <c r="V104" s="94">
        <v>0</v>
      </c>
      <c r="W104" s="94">
        <f>MouserListTable[[#This Row],['#/Unit]]*FilterSpecs!$C$3+MouserListTable[[#This Row],[Extra]]</f>
        <v>6</v>
      </c>
      <c r="X104" s="94">
        <f>IF(MouserListTable[[#This Row],[Tag]]=FilterSpecs!$F$7,MouserListTable[[#This Row],['#/Unit]]*MouserListTable[[#This Row],[Price (USD)]],0)</f>
        <v>29.95</v>
      </c>
      <c r="Y104" s="94">
        <f>MouserListTable[[#This Row],[Tot '#]]*MouserListTable[[#This Row],[Price (USD)]]</f>
        <v>179.7</v>
      </c>
      <c r="Z104"/>
    </row>
    <row r="105" spans="1:26" s="106" customFormat="1" x14ac:dyDescent="0.25">
      <c r="A105" s="78" t="s">
        <v>887</v>
      </c>
      <c r="B105" s="78" t="s">
        <v>2016</v>
      </c>
      <c r="C105" s="78" t="s">
        <v>1892</v>
      </c>
      <c r="D105" s="81" t="str">
        <f>IF(MouserListTable[[#This Row],[Vendor]]=FilterSpecs!$A$8,MouserListTable[[#This Row],[Mouser SKU]], MouserListTable[[#This Row],[Supplier SKU]])</f>
        <v>474-PRT-13855</v>
      </c>
      <c r="E105" s="94">
        <f>MouserListTable[[#This Row],[Tot '#]]-MouserListTable[[#This Row],['# Initial]]</f>
        <v>2</v>
      </c>
      <c r="F105" s="94">
        <f>IF(AND(MouserListTable[[#This Row],[Tag]]&lt;&gt;FilterSpecs!$F$12, MouserListTable[[#This Row],[Tag]]&lt;&gt;FilterSpecs!$F$9), MouserListTable[[#This Row],['#/Unit]]*FilterSpecs!$B$3+MouserListTable[[#This Row],[Extra Initial]],0)</f>
        <v>0</v>
      </c>
      <c r="G105" s="78" t="s">
        <v>789</v>
      </c>
      <c r="H105" s="150" t="s">
        <v>790</v>
      </c>
      <c r="I105" s="78" t="s">
        <v>791</v>
      </c>
      <c r="J105" s="106">
        <v>1</v>
      </c>
      <c r="K105" s="117">
        <v>12.95</v>
      </c>
      <c r="L105" s="78" t="s">
        <v>1896</v>
      </c>
      <c r="M105" s="81"/>
      <c r="N105" s="154">
        <f>MouserListTable[[#This Row],['# Initial]]*MouserListTable[[#This Row],[Price (USD)]]</f>
        <v>0</v>
      </c>
      <c r="O105" s="81" t="s">
        <v>788</v>
      </c>
      <c r="P105" s="150">
        <f t="shared" si="1"/>
        <v>92</v>
      </c>
      <c r="Q105" s="78" t="s">
        <v>5</v>
      </c>
      <c r="R105"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474-PRT-13855</v>
      </c>
      <c r="S105" s="133" t="str">
        <f>HYPERLINK("https://www.mouser.com/ProductDetail/" &amp;MouserListTable[[#This Row],[Mouser SKU]])</f>
        <v>https://www.mouser.com/ProductDetail/474-PRT-13855</v>
      </c>
      <c r="T105" s="94">
        <v>0</v>
      </c>
      <c r="U105" s="94">
        <v>2</v>
      </c>
      <c r="V105" s="94">
        <v>0</v>
      </c>
      <c r="W105" s="94">
        <f>MouserListTable[[#This Row],['#/Unit]]*FilterSpecs!$C$3+MouserListTable[[#This Row],[Extra]]</f>
        <v>2</v>
      </c>
      <c r="X105" s="94">
        <f>IF(MouserListTable[[#This Row],[Tag]]=FilterSpecs!$F$7,MouserListTable[[#This Row],['#/Unit]]*MouserListTable[[#This Row],[Price (USD)]],0)</f>
        <v>0</v>
      </c>
      <c r="Y105" s="94">
        <f>MouserListTable[[#This Row],[Tot '#]]*MouserListTable[[#This Row],[Price (USD)]]</f>
        <v>25.9</v>
      </c>
      <c r="Z105"/>
    </row>
    <row r="106" spans="1:26" s="106" customFormat="1" x14ac:dyDescent="0.25">
      <c r="A106" s="78" t="s">
        <v>887</v>
      </c>
      <c r="B106" s="78" t="s">
        <v>2011</v>
      </c>
      <c r="C106" s="78" t="s">
        <v>1892</v>
      </c>
      <c r="D106" s="81" t="str">
        <f>IF(MouserListTable[[#This Row],[Vendor]]=FilterSpecs!$A$8,MouserListTable[[#This Row],[Mouser SKU]], MouserListTable[[#This Row],[Supplier SKU]])</f>
        <v>474-PRT-13032</v>
      </c>
      <c r="E106" s="94">
        <f>MouserListTable[[#This Row],[Tot '#]]-MouserListTable[[#This Row],['# Initial]]</f>
        <v>0</v>
      </c>
      <c r="F106" s="94">
        <f>IF(AND(MouserListTable[[#This Row],[Tag]]&lt;&gt;FilterSpecs!$F$12, MouserListTable[[#This Row],[Tag]]&lt;&gt;FilterSpecs!$F$9), MouserListTable[[#This Row],['#/Unit]]*FilterSpecs!$B$3+MouserListTable[[#This Row],[Extra Initial]],0)</f>
        <v>5</v>
      </c>
      <c r="G106" s="78" t="s">
        <v>39</v>
      </c>
      <c r="H106" s="150" t="s">
        <v>40</v>
      </c>
      <c r="I106" s="78" t="s">
        <v>41</v>
      </c>
      <c r="J106" s="106">
        <v>1</v>
      </c>
      <c r="K106" s="117">
        <v>9.9499999999999993</v>
      </c>
      <c r="L106" s="78" t="s">
        <v>1897</v>
      </c>
      <c r="M106" s="81"/>
      <c r="N106" s="154">
        <f>MouserListTable[[#This Row],['# Initial]]*MouserListTable[[#This Row],[Price (USD)]]</f>
        <v>49.75</v>
      </c>
      <c r="O106" s="81" t="s">
        <v>38</v>
      </c>
      <c r="P106" s="150">
        <f t="shared" si="1"/>
        <v>93</v>
      </c>
      <c r="Q106" s="78" t="s">
        <v>5</v>
      </c>
      <c r="R106"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474-PRT-13032</v>
      </c>
      <c r="S106" s="133" t="str">
        <f>HYPERLINK("https://www.mouser.com/ProductDetail/" &amp;MouserListTable[[#This Row],[Mouser SKU]])</f>
        <v>https://www.mouser.com/ProductDetail/474-PRT-13032</v>
      </c>
      <c r="T106" s="94">
        <v>1</v>
      </c>
      <c r="U106" s="94">
        <v>0</v>
      </c>
      <c r="V106" s="94">
        <v>0</v>
      </c>
      <c r="W106" s="94">
        <f>MouserListTable[[#This Row],['#/Unit]]*FilterSpecs!$C$3+MouserListTable[[#This Row],[Extra]]</f>
        <v>5</v>
      </c>
      <c r="X106" s="94">
        <f>IF(MouserListTable[[#This Row],[Tag]]=FilterSpecs!$F$7,MouserListTable[[#This Row],['#/Unit]]*MouserListTable[[#This Row],[Price (USD)]],0)</f>
        <v>9.9499999999999993</v>
      </c>
      <c r="Y106" s="94">
        <f>MouserListTable[[#This Row],[Tot '#]]*MouserListTable[[#This Row],[Price (USD)]]</f>
        <v>49.75</v>
      </c>
      <c r="Z106"/>
    </row>
    <row r="107" spans="1:26" s="106" customFormat="1" x14ac:dyDescent="0.25">
      <c r="A107" s="78" t="s">
        <v>887</v>
      </c>
      <c r="B107" s="78" t="s">
        <v>2011</v>
      </c>
      <c r="C107" s="78" t="s">
        <v>1892</v>
      </c>
      <c r="D107" s="81" t="str">
        <f>IF(MouserListTable[[#This Row],[Vendor]]=FilterSpecs!$A$8,MouserListTable[[#This Row],[Mouser SKU]], MouserListTable[[#This Row],[Supplier SKU]])</f>
        <v>474-PRT-00114</v>
      </c>
      <c r="E107" s="94">
        <f>MouserListTable[[#This Row],[Tot '#]]-MouserListTable[[#This Row],['# Initial]]</f>
        <v>2</v>
      </c>
      <c r="F107" s="94">
        <f>IF(AND(MouserListTable[[#This Row],[Tag]]&lt;&gt;FilterSpecs!$F$12, MouserListTable[[#This Row],[Tag]]&lt;&gt;FilterSpecs!$F$9), MouserListTable[[#This Row],['#/Unit]]*FilterSpecs!$B$3+MouserListTable[[#This Row],[Extra Initial]],0)</f>
        <v>0</v>
      </c>
      <c r="G107" s="78" t="s">
        <v>1194</v>
      </c>
      <c r="H107" s="150" t="s">
        <v>1195</v>
      </c>
      <c r="I107" s="78" t="s">
        <v>1196</v>
      </c>
      <c r="J107" s="106">
        <v>1</v>
      </c>
      <c r="K107" s="117">
        <v>9.9499999999999993</v>
      </c>
      <c r="L107" s="78" t="s">
        <v>1896</v>
      </c>
      <c r="M107" s="81"/>
      <c r="N107" s="154">
        <f>MouserListTable[[#This Row],['# Initial]]*MouserListTable[[#This Row],[Price (USD)]]</f>
        <v>0</v>
      </c>
      <c r="O107" s="81" t="s">
        <v>1193</v>
      </c>
      <c r="P107" s="150">
        <f t="shared" si="1"/>
        <v>94</v>
      </c>
      <c r="Q107" s="78" t="s">
        <v>5</v>
      </c>
      <c r="R107"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474-PRT-00114</v>
      </c>
      <c r="S107" s="133" t="str">
        <f>HYPERLINK("https://www.mouser.com/ProductDetail/" &amp;MouserListTable[[#This Row],[Mouser SKU]])</f>
        <v>https://www.mouser.com/ProductDetail/474-PRT-00114</v>
      </c>
      <c r="T107" s="94">
        <v>0</v>
      </c>
      <c r="U107" s="94">
        <v>2</v>
      </c>
      <c r="V107" s="94">
        <v>0</v>
      </c>
      <c r="W107" s="94">
        <f>MouserListTable[[#This Row],['#/Unit]]*FilterSpecs!$C$3+MouserListTable[[#This Row],[Extra]]</f>
        <v>2</v>
      </c>
      <c r="X107" s="94">
        <f>IF(MouserListTable[[#This Row],[Tag]]=FilterSpecs!$F$7,MouserListTable[[#This Row],['#/Unit]]*MouserListTable[[#This Row],[Price (USD)]],0)</f>
        <v>0</v>
      </c>
      <c r="Y107" s="94">
        <f>MouserListTable[[#This Row],[Tot '#]]*MouserListTable[[#This Row],[Price (USD)]]</f>
        <v>19.899999999999999</v>
      </c>
      <c r="Z107"/>
    </row>
    <row r="108" spans="1:26" s="106" customFormat="1" x14ac:dyDescent="0.25">
      <c r="A108" s="97" t="s">
        <v>887</v>
      </c>
      <c r="B108" s="78" t="s">
        <v>2011</v>
      </c>
      <c r="C108" s="78" t="s">
        <v>1892</v>
      </c>
      <c r="D108" s="81" t="str">
        <f>IF(MouserListTable[[#This Row],[Vendor]]=FilterSpecs!$A$8,MouserListTable[[#This Row],[Mouser SKU]], MouserListTable[[#This Row],[Supplier SKU]])</f>
        <v>485-184</v>
      </c>
      <c r="E108" s="94">
        <f>MouserListTable[[#This Row],[Tot '#]]-MouserListTable[[#This Row],['# Initial]]</f>
        <v>0</v>
      </c>
      <c r="F108" s="94">
        <f>IF(AND(MouserListTable[[#This Row],[Tag]]&lt;&gt;FilterSpecs!$F$12, MouserListTable[[#This Row],[Tag]]&lt;&gt;FilterSpecs!$F$9), MouserListTable[[#This Row],['#/Unit]]*FilterSpecs!$B$3+MouserListTable[[#This Row],[Extra Initial]],0)</f>
        <v>0</v>
      </c>
      <c r="G108" s="78"/>
      <c r="H108" s="150"/>
      <c r="I108" s="97" t="s">
        <v>2263</v>
      </c>
      <c r="K108" s="118">
        <v>14.95</v>
      </c>
      <c r="L108" s="97" t="s">
        <v>1896</v>
      </c>
      <c r="N108" s="154">
        <f>MouserListTable[[#This Row],['# Initial]]*MouserListTable[[#This Row],[Price (USD)]]</f>
        <v>0</v>
      </c>
      <c r="O108" s="81" t="s">
        <v>2262</v>
      </c>
      <c r="P108" s="150">
        <f t="shared" si="1"/>
        <v>95</v>
      </c>
      <c r="Q108" s="78" t="s">
        <v>1884</v>
      </c>
      <c r="R108"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485-184</v>
      </c>
      <c r="S108" s="133" t="str">
        <f>HYPERLINK("https://www.mouser.com/ProductDetail/" &amp;MouserListTable[[#This Row],[Mouser SKU]])</f>
        <v>https://www.mouser.com/ProductDetail/485-184</v>
      </c>
      <c r="T108" s="94">
        <v>0</v>
      </c>
      <c r="U108" s="94">
        <v>0</v>
      </c>
      <c r="V108" s="94">
        <v>0</v>
      </c>
      <c r="W108" s="94">
        <f>MouserListTable[[#This Row],['#/Unit]]*FilterSpecs!$C$3+MouserListTable[[#This Row],[Extra]]</f>
        <v>0</v>
      </c>
      <c r="X108" s="94">
        <f>IF(MouserListTable[[#This Row],[Tag]]=FilterSpecs!$F$7,MouserListTable[[#This Row],['#/Unit]]*MouserListTable[[#This Row],[Price (USD)]],0)</f>
        <v>0</v>
      </c>
      <c r="Y108" s="94">
        <f>MouserListTable[[#This Row],[Tot '#]]*MouserListTable[[#This Row],[Price (USD)]]</f>
        <v>0</v>
      </c>
      <c r="Z108"/>
    </row>
    <row r="109" spans="1:26" s="106" customFormat="1" x14ac:dyDescent="0.25">
      <c r="A109" s="78" t="s">
        <v>887</v>
      </c>
      <c r="B109" s="78" t="s">
        <v>2011</v>
      </c>
      <c r="C109" s="78" t="s">
        <v>1892</v>
      </c>
      <c r="D109" s="81" t="str">
        <f>IF(MouserListTable[[#This Row],[Vendor]]=FilterSpecs!$A$8,MouserListTable[[#This Row],[Mouser SKU]], MouserListTable[[#This Row],[Supplier SKU]])</f>
        <v>474-PRT-10811</v>
      </c>
      <c r="E109" s="94">
        <f>MouserListTable[[#This Row],[Tot '#]]-MouserListTable[[#This Row],['# Initial]]</f>
        <v>1</v>
      </c>
      <c r="F109" s="94">
        <f>IF(AND(MouserListTable[[#This Row],[Tag]]&lt;&gt;FilterSpecs!$F$12, MouserListTable[[#This Row],[Tag]]&lt;&gt;FilterSpecs!$F$9), MouserListTable[[#This Row],['#/Unit]]*FilterSpecs!$B$3+MouserListTable[[#This Row],[Extra Initial]],0)</f>
        <v>5</v>
      </c>
      <c r="G109" s="78" t="s">
        <v>565</v>
      </c>
      <c r="H109" s="150" t="s">
        <v>566</v>
      </c>
      <c r="I109" s="78" t="s">
        <v>567</v>
      </c>
      <c r="K109" s="117">
        <v>0.95</v>
      </c>
      <c r="L109" s="78" t="s">
        <v>1897</v>
      </c>
      <c r="M109" s="81"/>
      <c r="N109" s="154">
        <f>MouserListTable[[#This Row],['# Initial]]*MouserListTable[[#This Row],[Price (USD)]]</f>
        <v>4.75</v>
      </c>
      <c r="O109" s="81" t="s">
        <v>564</v>
      </c>
      <c r="P109" s="150">
        <f t="shared" si="1"/>
        <v>96</v>
      </c>
      <c r="Q109" s="78" t="s">
        <v>5</v>
      </c>
      <c r="R109"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474-PRT-10811</v>
      </c>
      <c r="S109" s="133" t="str">
        <f>HYPERLINK("https://www.mouser.com/ProductDetail/" &amp;MouserListTable[[#This Row],[Mouser SKU]])</f>
        <v>https://www.mouser.com/ProductDetail/474-PRT-10811</v>
      </c>
      <c r="T109" s="94">
        <v>1</v>
      </c>
      <c r="U109" s="94">
        <v>1</v>
      </c>
      <c r="V109" s="94">
        <v>0</v>
      </c>
      <c r="W109" s="94">
        <f>MouserListTable[[#This Row],['#/Unit]]*FilterSpecs!$C$3+MouserListTable[[#This Row],[Extra]]</f>
        <v>6</v>
      </c>
      <c r="X109" s="94">
        <f>IF(MouserListTable[[#This Row],[Tag]]=FilterSpecs!$F$7,MouserListTable[[#This Row],['#/Unit]]*MouserListTable[[#This Row],[Price (USD)]],0)</f>
        <v>0.95</v>
      </c>
      <c r="Y109" s="94">
        <f>MouserListTable[[#This Row],[Tot '#]]*MouserListTable[[#This Row],[Price (USD)]]</f>
        <v>5.6999999999999993</v>
      </c>
      <c r="Z109"/>
    </row>
    <row r="110" spans="1:26" s="106" customFormat="1" x14ac:dyDescent="0.25">
      <c r="A110" s="97" t="s">
        <v>887</v>
      </c>
      <c r="B110" s="78" t="s">
        <v>2011</v>
      </c>
      <c r="C110" s="78" t="s">
        <v>1892</v>
      </c>
      <c r="D110" s="81" t="str">
        <f>IF(MouserListTable[[#This Row],[Vendor]]=FilterSpecs!$A$8,MouserListTable[[#This Row],[Mouser SKU]], MouserListTable[[#This Row],[Supplier SKU]])</f>
        <v>485-373</v>
      </c>
      <c r="E110" s="94">
        <f>MouserListTable[[#This Row],[Tot '#]]-MouserListTable[[#This Row],['# Initial]]</f>
        <v>0</v>
      </c>
      <c r="F110" s="94">
        <f>IF(AND(MouserListTable[[#This Row],[Tag]]&lt;&gt;FilterSpecs!$F$12, MouserListTable[[#This Row],[Tag]]&lt;&gt;FilterSpecs!$F$9), MouserListTable[[#This Row],['#/Unit]]*FilterSpecs!$B$3+MouserListTable[[#This Row],[Extra Initial]],0)</f>
        <v>0</v>
      </c>
      <c r="G110" s="78"/>
      <c r="H110" s="150"/>
      <c r="I110" s="97" t="s">
        <v>2197</v>
      </c>
      <c r="K110" s="118">
        <v>0.95</v>
      </c>
      <c r="L110" s="97" t="s">
        <v>1896</v>
      </c>
      <c r="N110" s="154">
        <f>MouserListTable[[#This Row],['# Initial]]*MouserListTable[[#This Row],[Price (USD)]]</f>
        <v>0</v>
      </c>
      <c r="O110" s="81" t="s">
        <v>2196</v>
      </c>
      <c r="P110" s="150">
        <f t="shared" si="1"/>
        <v>97</v>
      </c>
      <c r="Q110" s="78" t="s">
        <v>1884</v>
      </c>
      <c r="R110"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485-373</v>
      </c>
      <c r="S110" s="133" t="str">
        <f>HYPERLINK("https://www.mouser.com/ProductDetail/" &amp;MouserListTable[[#This Row],[Mouser SKU]])</f>
        <v>https://www.mouser.com/ProductDetail/485-373</v>
      </c>
      <c r="T110" s="94">
        <v>0</v>
      </c>
      <c r="U110" s="94">
        <v>0</v>
      </c>
      <c r="V110" s="94">
        <v>0</v>
      </c>
      <c r="W110" s="94">
        <f>MouserListTable[[#This Row],['#/Unit]]*FilterSpecs!$C$3+MouserListTable[[#This Row],[Extra]]</f>
        <v>0</v>
      </c>
      <c r="X110" s="94">
        <f>IF(MouserListTable[[#This Row],[Tag]]=FilterSpecs!$F$7,MouserListTable[[#This Row],['#/Unit]]*MouserListTable[[#This Row],[Price (USD)]],0)</f>
        <v>0</v>
      </c>
      <c r="Y110" s="94">
        <f>MouserListTable[[#This Row],[Tot '#]]*MouserListTable[[#This Row],[Price (USD)]]</f>
        <v>0</v>
      </c>
      <c r="Z110"/>
    </row>
    <row r="111" spans="1:26" s="106" customFormat="1" x14ac:dyDescent="0.25">
      <c r="A111" s="78" t="s">
        <v>887</v>
      </c>
      <c r="B111" s="81" t="s">
        <v>2012</v>
      </c>
      <c r="C111" s="78" t="s">
        <v>1892</v>
      </c>
      <c r="D111" s="81" t="str">
        <f>IF(MouserListTable[[#This Row],[Vendor]]=FilterSpecs!$A$8,MouserListTable[[#This Row],[Mouser SKU]], MouserListTable[[#This Row],[Supplier SKU]])</f>
        <v>474-PRT-11214</v>
      </c>
      <c r="E111" s="94">
        <f>MouserListTable[[#This Row],[Tot '#]]-MouserListTable[[#This Row],['# Initial]]</f>
        <v>0</v>
      </c>
      <c r="F111" s="94">
        <f>IF(AND(MouserListTable[[#This Row],[Tag]]&lt;&gt;FilterSpecs!$F$12, MouserListTable[[#This Row],[Tag]]&lt;&gt;FilterSpecs!$F$9), MouserListTable[[#This Row],['#/Unit]]*FilterSpecs!$B$3+MouserListTable[[#This Row],[Extra Initial]],0)</f>
        <v>5</v>
      </c>
      <c r="G111" s="78" t="s">
        <v>801</v>
      </c>
      <c r="H111" s="150" t="s">
        <v>802</v>
      </c>
      <c r="I111" s="78" t="s">
        <v>803</v>
      </c>
      <c r="J111" s="78">
        <v>1</v>
      </c>
      <c r="K111" s="117">
        <v>6.95</v>
      </c>
      <c r="L111" s="78" t="s">
        <v>1897</v>
      </c>
      <c r="M111" s="81"/>
      <c r="N111" s="154">
        <f>MouserListTable[[#This Row],['# Initial]]*MouserListTable[[#This Row],[Price (USD)]]</f>
        <v>34.75</v>
      </c>
      <c r="O111" s="81" t="s">
        <v>800</v>
      </c>
      <c r="P111" s="150">
        <f t="shared" si="1"/>
        <v>98</v>
      </c>
      <c r="Q111" s="78" t="s">
        <v>5</v>
      </c>
      <c r="R111"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474-PRT-11214</v>
      </c>
      <c r="S111" s="133" t="str">
        <f>HYPERLINK("https://www.mouser.com/ProductDetail/" &amp;MouserListTable[[#This Row],[Mouser SKU]])</f>
        <v>https://www.mouser.com/ProductDetail/474-PRT-11214</v>
      </c>
      <c r="T111" s="94">
        <v>1</v>
      </c>
      <c r="U111" s="94">
        <v>0</v>
      </c>
      <c r="V111" s="94">
        <v>0</v>
      </c>
      <c r="W111" s="94">
        <f>MouserListTable[[#This Row],['#/Unit]]*FilterSpecs!$C$3+MouserListTable[[#This Row],[Extra]]</f>
        <v>5</v>
      </c>
      <c r="X111" s="94">
        <f>IF(MouserListTable[[#This Row],[Tag]]=FilterSpecs!$F$7,MouserListTable[[#This Row],['#/Unit]]*MouserListTable[[#This Row],[Price (USD)]],0)</f>
        <v>6.95</v>
      </c>
      <c r="Y111" s="94">
        <f>MouserListTable[[#This Row],[Tot '#]]*MouserListTable[[#This Row],[Price (USD)]]</f>
        <v>34.75</v>
      </c>
      <c r="Z111"/>
    </row>
    <row r="112" spans="1:26" s="106" customFormat="1" x14ac:dyDescent="0.25">
      <c r="A112" s="97" t="s">
        <v>887</v>
      </c>
      <c r="B112" s="97" t="s">
        <v>2012</v>
      </c>
      <c r="C112" s="78" t="s">
        <v>1892</v>
      </c>
      <c r="D112" s="81" t="str">
        <f>IF(MouserListTable[[#This Row],[Vendor]]=FilterSpecs!$A$8,MouserListTable[[#This Row],[Mouser SKU]], MouserListTable[[#This Row],[Supplier SKU]])</f>
        <v>485-1125</v>
      </c>
      <c r="E112" s="94">
        <f>MouserListTable[[#This Row],[Tot '#]]-MouserListTable[[#This Row],['# Initial]]</f>
        <v>0</v>
      </c>
      <c r="F112" s="94">
        <f>IF(AND(MouserListTable[[#This Row],[Tag]]&lt;&gt;FilterSpecs!$F$12, MouserListTable[[#This Row],[Tag]]&lt;&gt;FilterSpecs!$F$9), MouserListTable[[#This Row],['#/Unit]]*FilterSpecs!$B$3+MouserListTable[[#This Row],[Extra Initial]],0)</f>
        <v>0</v>
      </c>
      <c r="G112" s="78"/>
      <c r="H112" s="150"/>
      <c r="I112" s="78" t="s">
        <v>2257</v>
      </c>
      <c r="J112" s="78"/>
      <c r="K112" s="117">
        <v>2.5</v>
      </c>
      <c r="L112" s="78" t="s">
        <v>1896</v>
      </c>
      <c r="N112" s="154">
        <f>MouserListTable[[#This Row],['# Initial]]*MouserListTable[[#This Row],[Price (USD)]]</f>
        <v>0</v>
      </c>
      <c r="O112" s="81" t="s">
        <v>2256</v>
      </c>
      <c r="P112" s="150">
        <f t="shared" si="1"/>
        <v>99</v>
      </c>
      <c r="Q112" s="78" t="s">
        <v>1884</v>
      </c>
      <c r="R112"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485-1125</v>
      </c>
      <c r="S112" s="133" t="str">
        <f>HYPERLINK("https://www.mouser.com/ProductDetail/" &amp;MouserListTable[[#This Row],[Mouser SKU]])</f>
        <v>https://www.mouser.com/ProductDetail/485-1125</v>
      </c>
      <c r="T112" s="94">
        <v>0</v>
      </c>
      <c r="U112" s="94">
        <v>0</v>
      </c>
      <c r="V112" s="94">
        <v>0</v>
      </c>
      <c r="W112" s="94">
        <f>MouserListTable[[#This Row],['#/Unit]]*FilterSpecs!$C$3+MouserListTable[[#This Row],[Extra]]</f>
        <v>0</v>
      </c>
      <c r="X112" s="94">
        <f>IF(MouserListTable[[#This Row],[Tag]]=FilterSpecs!$F$7,MouserListTable[[#This Row],['#/Unit]]*MouserListTable[[#This Row],[Price (USD)]],0)</f>
        <v>0</v>
      </c>
      <c r="Y112" s="94">
        <f>MouserListTable[[#This Row],[Tot '#]]*MouserListTable[[#This Row],[Price (USD)]]</f>
        <v>0</v>
      </c>
      <c r="Z112"/>
    </row>
    <row r="113" spans="1:16382" s="153" customFormat="1" x14ac:dyDescent="0.25">
      <c r="A113" s="97" t="s">
        <v>887</v>
      </c>
      <c r="B113" s="97" t="s">
        <v>2012</v>
      </c>
      <c r="C113" s="150" t="s">
        <v>1892</v>
      </c>
      <c r="D113" s="151" t="str">
        <f>IF(MouserListTable[[#This Row],[Vendor]]=FilterSpecs!$A$8,MouserListTable[[#This Row],[Mouser SKU]], MouserListTable[[#This Row],[Supplier SKU]])</f>
        <v>474-COM-11477</v>
      </c>
      <c r="E113" s="152">
        <f>MouserListTable[[#This Row],[Tot '#]]-MouserListTable[[#This Row],['# Initial]]</f>
        <v>0</v>
      </c>
      <c r="F113" s="152">
        <f>IF(AND(MouserListTable[[#This Row],[Tag]]&lt;&gt;FilterSpecs!$F$12, MouserListTable[[#This Row],[Tag]]&lt;&gt;FilterSpecs!$F$9), MouserListTable[[#This Row],['#/Unit]]*FilterSpecs!$B$3+MouserListTable[[#This Row],[Extra Initial]],0)</f>
        <v>0</v>
      </c>
      <c r="G113" s="147" t="s">
        <v>1786</v>
      </c>
      <c r="H113" s="150" t="s">
        <v>1787</v>
      </c>
      <c r="I113" s="150" t="s">
        <v>1788</v>
      </c>
      <c r="J113" s="147">
        <v>0.95</v>
      </c>
      <c r="K113" s="154">
        <v>0.95</v>
      </c>
      <c r="L113" s="150" t="s">
        <v>1896</v>
      </c>
      <c r="N113" s="154">
        <f>MouserListTable[[#This Row],['# Initial]]*MouserListTable[[#This Row],[Price (USD)]]</f>
        <v>0</v>
      </c>
      <c r="O113" s="147" t="s">
        <v>1785</v>
      </c>
      <c r="P113" s="150">
        <f t="shared" si="1"/>
        <v>100</v>
      </c>
      <c r="Q113" s="150" t="s">
        <v>5</v>
      </c>
      <c r="R11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474-COM-11477</v>
      </c>
      <c r="S113" s="157" t="str">
        <f>HYPERLINK("https://www.mouser.com/ProductDetail/" &amp;MouserListTable[[#This Row],[Mouser SKU]])</f>
        <v>https://www.mouser.com/ProductDetail/474-COM-11477</v>
      </c>
      <c r="T113" s="152">
        <v>0</v>
      </c>
      <c r="U113" s="152">
        <v>0</v>
      </c>
      <c r="V113" s="152">
        <v>0</v>
      </c>
      <c r="W113" s="152">
        <f>MouserListTable[[#This Row],['#/Unit]]*FilterSpecs!$C$3+MouserListTable[[#This Row],[Extra]]</f>
        <v>0</v>
      </c>
      <c r="X113" s="152">
        <f>IF(MouserListTable[[#This Row],[Tag]]=FilterSpecs!$F$7,MouserListTable[[#This Row],['#/Unit]]*MouserListTable[[#This Row],[Price (USD)]],0)</f>
        <v>0</v>
      </c>
      <c r="Y113" s="152">
        <f>MouserListTable[[#This Row],[Tot '#]]*MouserListTable[[#This Row],[Price (USD)]]</f>
        <v>0</v>
      </c>
      <c r="Z113" s="146"/>
      <c r="AA113" s="146"/>
      <c r="AB113" s="146"/>
      <c r="AC113" s="146"/>
      <c r="AD113" s="146"/>
      <c r="AE113" s="146"/>
      <c r="AF113" s="146"/>
      <c r="AG113" s="146"/>
      <c r="AH113" s="146"/>
      <c r="AI113" s="146"/>
      <c r="AJ113" s="146"/>
      <c r="AK113" s="146"/>
      <c r="AL113" s="146"/>
      <c r="AM113" s="146"/>
      <c r="AN113" s="146"/>
      <c r="AO113" s="146"/>
      <c r="AP113" s="146"/>
      <c r="AQ113" s="146"/>
      <c r="AR113" s="146"/>
      <c r="AS113" s="146"/>
      <c r="AT113" s="146"/>
      <c r="AU113" s="146"/>
      <c r="AV113" s="146"/>
      <c r="AW113" s="146"/>
      <c r="AX113" s="146"/>
      <c r="AY113" s="146"/>
      <c r="AZ113" s="146"/>
      <c r="BA113" s="146"/>
      <c r="BB113" s="146"/>
      <c r="BC113" s="146"/>
      <c r="BD113" s="146"/>
      <c r="BE113" s="146"/>
      <c r="BF113" s="146"/>
      <c r="BG113" s="146"/>
      <c r="BH113" s="146"/>
      <c r="BI113" s="146"/>
      <c r="BJ113" s="146"/>
      <c r="BK113" s="146"/>
      <c r="BL113" s="146"/>
      <c r="BM113" s="146"/>
      <c r="BN113" s="146"/>
      <c r="BO113" s="146"/>
      <c r="BP113" s="146"/>
      <c r="BQ113" s="146"/>
      <c r="BR113" s="146"/>
      <c r="BS113" s="146"/>
      <c r="BT113" s="146"/>
      <c r="BU113" s="146"/>
      <c r="BV113" s="146"/>
      <c r="BW113" s="146"/>
      <c r="BX113" s="146"/>
      <c r="BY113" s="146"/>
      <c r="BZ113" s="146"/>
      <c r="CA113" s="146"/>
      <c r="CB113" s="146"/>
      <c r="CC113" s="146"/>
      <c r="CD113" s="146"/>
      <c r="CE113" s="146"/>
      <c r="CF113" s="146"/>
      <c r="CG113" s="146"/>
      <c r="CH113" s="146"/>
      <c r="CI113" s="146"/>
      <c r="CJ113" s="146"/>
      <c r="CK113" s="146"/>
      <c r="CL113" s="146"/>
      <c r="CM113" s="146"/>
      <c r="CN113" s="146"/>
      <c r="CO113" s="146"/>
      <c r="CP113" s="146"/>
      <c r="CQ113" s="146"/>
      <c r="CR113" s="146"/>
      <c r="CS113" s="146"/>
      <c r="CT113" s="146"/>
      <c r="CU113" s="146"/>
      <c r="CV113" s="146"/>
      <c r="CW113" s="146"/>
      <c r="CX113" s="146"/>
      <c r="CY113" s="146"/>
      <c r="CZ113" s="146"/>
      <c r="DA113" s="146"/>
      <c r="DB113" s="146"/>
      <c r="DC113" s="146"/>
      <c r="DD113" s="146"/>
      <c r="DE113" s="146"/>
      <c r="DF113" s="146"/>
      <c r="DG113" s="146"/>
      <c r="DH113" s="146"/>
      <c r="DI113" s="146"/>
      <c r="DJ113" s="146"/>
      <c r="DK113" s="146"/>
      <c r="DL113" s="146"/>
      <c r="DM113" s="146"/>
      <c r="DN113" s="146"/>
      <c r="DO113" s="146"/>
      <c r="DP113" s="146"/>
      <c r="DQ113" s="146"/>
      <c r="DR113" s="146"/>
      <c r="DS113" s="146"/>
      <c r="DT113" s="146"/>
      <c r="DU113" s="146"/>
      <c r="DV113" s="146"/>
      <c r="DW113" s="146"/>
      <c r="DX113" s="146"/>
      <c r="DY113" s="146"/>
      <c r="DZ113" s="146"/>
      <c r="EA113" s="146"/>
      <c r="EB113" s="146"/>
      <c r="EC113" s="146"/>
      <c r="ED113" s="146"/>
      <c r="EE113" s="146"/>
      <c r="EF113" s="146"/>
      <c r="EG113" s="146"/>
      <c r="EH113" s="146"/>
      <c r="EI113" s="146"/>
      <c r="EJ113" s="146"/>
      <c r="EK113" s="146"/>
      <c r="EL113" s="146"/>
      <c r="EM113" s="146"/>
      <c r="EN113" s="146"/>
      <c r="EO113" s="146"/>
      <c r="EP113" s="146"/>
      <c r="EQ113" s="146"/>
      <c r="ER113" s="146"/>
      <c r="ES113" s="146"/>
      <c r="ET113" s="146"/>
      <c r="EU113" s="146"/>
      <c r="EV113" s="146"/>
      <c r="EW113" s="146"/>
      <c r="EX113" s="146"/>
      <c r="EY113" s="146"/>
      <c r="EZ113" s="146"/>
      <c r="FA113" s="146"/>
      <c r="FB113" s="146"/>
      <c r="FC113" s="146"/>
      <c r="FD113" s="146"/>
      <c r="FE113" s="146"/>
      <c r="FF113" s="146"/>
      <c r="FG113" s="146"/>
      <c r="FH113" s="146"/>
      <c r="FI113" s="146"/>
      <c r="FJ113" s="146"/>
      <c r="FK113" s="146"/>
      <c r="FL113" s="146"/>
      <c r="FM113" s="146"/>
      <c r="FN113" s="146"/>
      <c r="FO113" s="146"/>
      <c r="FP113" s="146"/>
      <c r="FQ113" s="146"/>
      <c r="FR113" s="146"/>
      <c r="FS113" s="146"/>
      <c r="FT113" s="146"/>
      <c r="FU113" s="146"/>
      <c r="FV113" s="146"/>
      <c r="FW113" s="146"/>
      <c r="FX113" s="146"/>
      <c r="FY113" s="146"/>
      <c r="FZ113" s="146"/>
      <c r="GA113" s="146"/>
      <c r="GB113" s="146"/>
      <c r="GC113" s="146"/>
      <c r="GD113" s="146"/>
      <c r="GE113" s="146"/>
      <c r="GF113" s="146"/>
      <c r="GG113" s="146"/>
      <c r="GH113" s="146"/>
      <c r="GI113" s="146"/>
      <c r="GJ113" s="146"/>
      <c r="GK113" s="146"/>
      <c r="GL113" s="146"/>
      <c r="GM113" s="146"/>
      <c r="GN113" s="146"/>
      <c r="GO113" s="146"/>
      <c r="GP113" s="146"/>
      <c r="GQ113" s="146"/>
      <c r="GR113" s="146"/>
      <c r="GS113" s="146"/>
      <c r="GT113" s="146"/>
      <c r="GU113" s="146"/>
      <c r="GV113" s="146"/>
      <c r="GW113" s="146"/>
      <c r="GX113" s="146"/>
      <c r="GY113" s="146"/>
      <c r="GZ113" s="146"/>
      <c r="HA113" s="146"/>
      <c r="HB113" s="146"/>
      <c r="HC113" s="146"/>
      <c r="HD113" s="146"/>
      <c r="HE113" s="146"/>
      <c r="HF113" s="146"/>
      <c r="HG113" s="146"/>
      <c r="HH113" s="146"/>
      <c r="HI113" s="146"/>
      <c r="HJ113" s="146"/>
      <c r="HK113" s="146"/>
      <c r="HL113" s="146"/>
      <c r="HM113" s="146"/>
      <c r="HN113" s="146"/>
      <c r="HO113" s="146"/>
      <c r="HP113" s="146"/>
      <c r="HQ113" s="146"/>
      <c r="HR113" s="146"/>
      <c r="HS113" s="146"/>
      <c r="HT113" s="146"/>
      <c r="HU113" s="146"/>
      <c r="HV113" s="146"/>
      <c r="HW113" s="146"/>
      <c r="HX113" s="146"/>
      <c r="HY113" s="146"/>
      <c r="HZ113" s="146"/>
      <c r="IA113" s="146"/>
      <c r="IB113" s="146"/>
      <c r="IC113" s="146"/>
      <c r="ID113" s="146"/>
      <c r="IE113" s="146"/>
      <c r="IF113" s="146"/>
      <c r="IG113" s="146"/>
      <c r="IH113" s="146"/>
      <c r="II113" s="146"/>
      <c r="IJ113" s="146"/>
      <c r="IK113" s="146"/>
      <c r="IL113" s="146"/>
      <c r="IM113" s="146"/>
      <c r="IN113" s="146"/>
      <c r="IO113" s="146"/>
      <c r="IP113" s="146"/>
      <c r="IQ113" s="146"/>
      <c r="IR113" s="146"/>
      <c r="IS113" s="146"/>
      <c r="IT113" s="146"/>
      <c r="IU113" s="146"/>
      <c r="IV113" s="146"/>
      <c r="IW113" s="146"/>
      <c r="IX113" s="146"/>
      <c r="IY113" s="146"/>
      <c r="IZ113" s="146"/>
      <c r="JA113" s="146"/>
      <c r="JB113" s="146"/>
      <c r="JC113" s="146"/>
      <c r="JD113" s="146"/>
      <c r="JE113" s="146"/>
      <c r="JF113" s="146"/>
      <c r="JG113" s="146"/>
      <c r="JH113" s="146"/>
      <c r="JI113" s="146"/>
      <c r="JJ113" s="146"/>
      <c r="JK113" s="146"/>
      <c r="JL113" s="146"/>
      <c r="JM113" s="146"/>
      <c r="JN113" s="146"/>
      <c r="JO113" s="146"/>
      <c r="JP113" s="146"/>
      <c r="JQ113" s="146"/>
      <c r="JR113" s="146"/>
      <c r="JS113" s="146"/>
      <c r="JT113" s="146"/>
      <c r="JU113" s="146"/>
      <c r="JV113" s="146"/>
      <c r="JW113" s="146"/>
      <c r="JX113" s="146"/>
      <c r="JY113" s="146"/>
      <c r="JZ113" s="146"/>
      <c r="KA113" s="146"/>
      <c r="KB113" s="146"/>
      <c r="KC113" s="146"/>
      <c r="KD113" s="146"/>
      <c r="KE113" s="146"/>
      <c r="KF113" s="146"/>
      <c r="KG113" s="146"/>
      <c r="KH113" s="146"/>
      <c r="KI113" s="146"/>
      <c r="KJ113" s="146"/>
      <c r="KK113" s="146"/>
      <c r="KL113" s="146"/>
      <c r="KM113" s="146"/>
      <c r="KN113" s="146"/>
      <c r="KO113" s="146"/>
      <c r="KP113" s="146"/>
      <c r="KQ113" s="146"/>
      <c r="KR113" s="146"/>
      <c r="KS113" s="146"/>
      <c r="KT113" s="146"/>
      <c r="KU113" s="146"/>
      <c r="KV113" s="146"/>
      <c r="KW113" s="146"/>
      <c r="KX113" s="146"/>
      <c r="KY113" s="146"/>
      <c r="KZ113" s="146"/>
      <c r="LA113" s="146"/>
      <c r="LB113" s="146"/>
      <c r="LC113" s="146"/>
      <c r="LD113" s="146"/>
      <c r="LE113" s="146"/>
      <c r="LF113" s="146"/>
      <c r="LG113" s="146"/>
      <c r="LH113" s="146"/>
      <c r="LI113" s="146"/>
      <c r="LJ113" s="146"/>
      <c r="LK113" s="146"/>
      <c r="LL113" s="146"/>
      <c r="LM113" s="146"/>
      <c r="LN113" s="146"/>
      <c r="LO113" s="146"/>
      <c r="LP113" s="146"/>
      <c r="LQ113" s="146"/>
      <c r="LR113" s="146"/>
      <c r="LS113" s="146"/>
      <c r="LT113" s="146"/>
      <c r="LU113" s="146"/>
      <c r="LV113" s="146"/>
      <c r="LW113" s="146"/>
      <c r="LX113" s="146"/>
      <c r="LY113" s="146"/>
      <c r="LZ113" s="146"/>
      <c r="MA113" s="146"/>
      <c r="MB113" s="146"/>
      <c r="MC113" s="146"/>
      <c r="MD113" s="146"/>
      <c r="ME113" s="146"/>
      <c r="MF113" s="146"/>
      <c r="MG113" s="146"/>
      <c r="MH113" s="146"/>
      <c r="MI113" s="146"/>
      <c r="MJ113" s="146"/>
      <c r="MK113" s="146"/>
      <c r="ML113" s="146"/>
      <c r="MM113" s="146"/>
      <c r="MN113" s="146"/>
      <c r="MO113" s="146"/>
      <c r="MP113" s="146"/>
      <c r="MQ113" s="146"/>
      <c r="MR113" s="146"/>
      <c r="MS113" s="146"/>
      <c r="MT113" s="146"/>
      <c r="MU113" s="146"/>
      <c r="MV113" s="146"/>
      <c r="MW113" s="146"/>
      <c r="MX113" s="146"/>
      <c r="MY113" s="146"/>
      <c r="MZ113" s="146"/>
      <c r="NA113" s="146"/>
      <c r="NB113" s="146"/>
      <c r="NC113" s="146"/>
      <c r="ND113" s="146"/>
      <c r="NE113" s="146"/>
      <c r="NF113" s="146"/>
      <c r="NG113" s="146"/>
      <c r="NH113" s="146"/>
      <c r="NI113" s="146"/>
      <c r="NJ113" s="146"/>
      <c r="NK113" s="146"/>
      <c r="NL113" s="146"/>
      <c r="NM113" s="146"/>
      <c r="NN113" s="146"/>
      <c r="NO113" s="146"/>
      <c r="NP113" s="146"/>
      <c r="NQ113" s="146"/>
      <c r="NR113" s="146"/>
      <c r="NS113" s="146"/>
      <c r="NT113" s="146"/>
      <c r="NU113" s="146"/>
      <c r="NV113" s="146"/>
      <c r="NW113" s="146"/>
      <c r="NX113" s="146"/>
      <c r="NY113" s="146"/>
      <c r="NZ113" s="146"/>
      <c r="OA113" s="146"/>
      <c r="OB113" s="146"/>
      <c r="OC113" s="146"/>
      <c r="OD113" s="146"/>
      <c r="OE113" s="146"/>
      <c r="OF113" s="146"/>
      <c r="OG113" s="146"/>
      <c r="OH113" s="146"/>
      <c r="OI113" s="146"/>
      <c r="OJ113" s="146"/>
      <c r="OK113" s="146"/>
      <c r="OL113" s="146"/>
      <c r="OM113" s="146"/>
      <c r="ON113" s="146"/>
      <c r="OO113" s="146"/>
      <c r="OP113" s="146"/>
      <c r="OQ113" s="146"/>
      <c r="OR113" s="146"/>
      <c r="OS113" s="146"/>
      <c r="OT113" s="146"/>
      <c r="OU113" s="146"/>
      <c r="OV113" s="146"/>
      <c r="OW113" s="146"/>
      <c r="OX113" s="146"/>
      <c r="OY113" s="146"/>
      <c r="OZ113" s="146"/>
      <c r="PA113" s="146"/>
      <c r="PB113" s="146"/>
      <c r="PC113" s="146"/>
      <c r="PD113" s="146"/>
      <c r="PE113" s="146"/>
      <c r="PF113" s="146"/>
      <c r="PG113" s="146"/>
      <c r="PH113" s="146"/>
      <c r="PI113" s="146"/>
      <c r="PJ113" s="146"/>
      <c r="PK113" s="146"/>
      <c r="PL113" s="146"/>
      <c r="PM113" s="146"/>
      <c r="PN113" s="146"/>
      <c r="PO113" s="146"/>
      <c r="PP113" s="146"/>
      <c r="PQ113" s="146"/>
      <c r="PR113" s="146"/>
      <c r="PS113" s="146"/>
      <c r="PT113" s="146"/>
      <c r="PU113" s="146"/>
      <c r="PV113" s="146"/>
      <c r="PW113" s="146"/>
      <c r="PX113" s="146"/>
      <c r="PY113" s="146"/>
      <c r="PZ113" s="146"/>
      <c r="QA113" s="146"/>
      <c r="QB113" s="146"/>
      <c r="QC113" s="146"/>
      <c r="QD113" s="146"/>
      <c r="QE113" s="146"/>
      <c r="QF113" s="146"/>
      <c r="QG113" s="146"/>
      <c r="QH113" s="146"/>
      <c r="QI113" s="146"/>
      <c r="QJ113" s="146"/>
      <c r="QK113" s="146"/>
      <c r="QL113" s="146"/>
      <c r="QM113" s="146"/>
      <c r="QN113" s="146"/>
      <c r="QO113" s="146"/>
      <c r="QP113" s="146"/>
      <c r="QQ113" s="146"/>
      <c r="QR113" s="146"/>
      <c r="QS113" s="146"/>
      <c r="QT113" s="146"/>
      <c r="QU113" s="146"/>
      <c r="QV113" s="146"/>
      <c r="QW113" s="146"/>
      <c r="QX113" s="146"/>
      <c r="QY113" s="146"/>
      <c r="QZ113" s="146"/>
      <c r="RA113" s="146"/>
      <c r="RB113" s="146"/>
      <c r="RC113" s="146"/>
      <c r="RD113" s="146"/>
      <c r="RE113" s="146"/>
      <c r="RF113" s="146"/>
      <c r="RG113" s="146"/>
      <c r="RH113" s="146"/>
      <c r="RI113" s="146"/>
      <c r="RJ113" s="146"/>
      <c r="RK113" s="146"/>
      <c r="RL113" s="146"/>
      <c r="RM113" s="146"/>
      <c r="RN113" s="146"/>
      <c r="RO113" s="146"/>
      <c r="RP113" s="146"/>
      <c r="RQ113" s="146"/>
      <c r="RR113" s="146"/>
      <c r="RS113" s="146"/>
      <c r="RT113" s="146"/>
      <c r="RU113" s="146"/>
      <c r="RV113" s="146"/>
      <c r="RW113" s="146"/>
      <c r="RX113" s="146"/>
      <c r="RY113" s="146"/>
      <c r="RZ113" s="146"/>
      <c r="SA113" s="146"/>
      <c r="SB113" s="146"/>
      <c r="SC113" s="146"/>
      <c r="SD113" s="146"/>
      <c r="SE113" s="146"/>
      <c r="SF113" s="146"/>
      <c r="SG113" s="146"/>
      <c r="SH113" s="146"/>
      <c r="SI113" s="146"/>
      <c r="SJ113" s="146"/>
      <c r="SK113" s="146"/>
      <c r="SL113" s="146"/>
      <c r="SM113" s="146"/>
      <c r="SN113" s="146"/>
      <c r="SO113" s="146"/>
      <c r="SP113" s="146"/>
      <c r="SQ113" s="146"/>
      <c r="SR113" s="146"/>
      <c r="SS113" s="146"/>
      <c r="ST113" s="146"/>
      <c r="SU113" s="146"/>
      <c r="SV113" s="146"/>
      <c r="SW113" s="146"/>
      <c r="SX113" s="146"/>
      <c r="SY113" s="146"/>
      <c r="SZ113" s="146"/>
      <c r="TA113" s="146"/>
      <c r="TB113" s="146"/>
      <c r="TC113" s="146"/>
      <c r="TD113" s="146"/>
      <c r="TE113" s="146"/>
      <c r="TF113" s="146"/>
      <c r="TG113" s="146"/>
      <c r="TH113" s="146"/>
      <c r="TI113" s="146"/>
      <c r="TJ113" s="146"/>
      <c r="TK113" s="146"/>
      <c r="TL113" s="146"/>
      <c r="TM113" s="146"/>
      <c r="TN113" s="146"/>
      <c r="TO113" s="146"/>
      <c r="TP113" s="146"/>
      <c r="TQ113" s="146"/>
      <c r="TR113" s="146"/>
      <c r="TS113" s="146"/>
      <c r="TT113" s="146"/>
      <c r="TU113" s="146"/>
      <c r="TV113" s="146"/>
      <c r="TW113" s="146"/>
      <c r="TX113" s="146"/>
      <c r="TY113" s="146"/>
      <c r="TZ113" s="146"/>
      <c r="UA113" s="146"/>
      <c r="UB113" s="146"/>
      <c r="UC113" s="146"/>
      <c r="UD113" s="146"/>
      <c r="UE113" s="146"/>
      <c r="UF113" s="146"/>
      <c r="UG113" s="146"/>
      <c r="UH113" s="146"/>
      <c r="UI113" s="146"/>
      <c r="UJ113" s="146"/>
      <c r="UK113" s="146"/>
      <c r="UL113" s="146"/>
      <c r="UM113" s="146"/>
      <c r="UN113" s="146"/>
      <c r="UO113" s="146"/>
      <c r="UP113" s="146"/>
      <c r="UQ113" s="146"/>
      <c r="UR113" s="146"/>
      <c r="US113" s="146"/>
      <c r="UT113" s="146"/>
      <c r="UU113" s="146"/>
      <c r="UV113" s="146"/>
      <c r="UW113" s="146"/>
      <c r="UX113" s="146"/>
      <c r="UY113" s="146"/>
      <c r="UZ113" s="146"/>
      <c r="VA113" s="146"/>
      <c r="VB113" s="146"/>
      <c r="VC113" s="146"/>
      <c r="VD113" s="146"/>
      <c r="VE113" s="146"/>
      <c r="VF113" s="146"/>
      <c r="VG113" s="146"/>
      <c r="VH113" s="146"/>
      <c r="VI113" s="146"/>
      <c r="VJ113" s="146"/>
      <c r="VK113" s="146"/>
      <c r="VL113" s="146"/>
      <c r="VM113" s="146"/>
      <c r="VN113" s="146"/>
      <c r="VO113" s="146"/>
      <c r="VP113" s="146"/>
      <c r="VQ113" s="146"/>
      <c r="VR113" s="146"/>
      <c r="VS113" s="146"/>
      <c r="VT113" s="146"/>
      <c r="VU113" s="146"/>
      <c r="VV113" s="146"/>
      <c r="VW113" s="146"/>
      <c r="VX113" s="146"/>
      <c r="VY113" s="146"/>
      <c r="VZ113" s="146"/>
      <c r="WA113" s="146"/>
      <c r="WB113" s="146"/>
      <c r="WC113" s="146"/>
      <c r="WD113" s="146"/>
      <c r="WE113" s="146"/>
      <c r="WF113" s="146"/>
      <c r="WG113" s="146"/>
      <c r="WH113" s="146"/>
      <c r="WI113" s="146"/>
      <c r="WJ113" s="146"/>
      <c r="WK113" s="146"/>
      <c r="WL113" s="146"/>
      <c r="WM113" s="146"/>
      <c r="WN113" s="146"/>
      <c r="WO113" s="146"/>
      <c r="WP113" s="146"/>
      <c r="WQ113" s="146"/>
      <c r="WR113" s="146"/>
      <c r="WS113" s="146"/>
      <c r="WT113" s="146"/>
      <c r="WU113" s="146"/>
      <c r="WV113" s="146"/>
      <c r="WW113" s="146"/>
      <c r="WX113" s="146"/>
      <c r="WY113" s="146"/>
      <c r="WZ113" s="146"/>
      <c r="XA113" s="146"/>
      <c r="XB113" s="146"/>
      <c r="XC113" s="146"/>
      <c r="XD113" s="146"/>
      <c r="XE113" s="146"/>
      <c r="XF113" s="146"/>
      <c r="XG113" s="146"/>
      <c r="XH113" s="146"/>
      <c r="XI113" s="146"/>
      <c r="XJ113" s="146"/>
      <c r="XK113" s="146"/>
      <c r="XL113" s="146"/>
      <c r="XM113" s="146"/>
      <c r="XN113" s="146"/>
      <c r="XO113" s="146"/>
      <c r="XP113" s="146"/>
      <c r="XQ113" s="146"/>
      <c r="XR113" s="146"/>
      <c r="XS113" s="146"/>
      <c r="XT113" s="146"/>
      <c r="XU113" s="146"/>
      <c r="XV113" s="146"/>
      <c r="XW113" s="146"/>
      <c r="XX113" s="146"/>
      <c r="XY113" s="146"/>
      <c r="XZ113" s="146"/>
      <c r="YA113" s="146"/>
      <c r="YB113" s="146"/>
      <c r="YC113" s="146"/>
      <c r="YD113" s="146"/>
      <c r="YE113" s="146"/>
      <c r="YF113" s="146"/>
      <c r="YG113" s="146"/>
      <c r="YH113" s="146"/>
      <c r="YI113" s="146"/>
      <c r="YJ113" s="146"/>
      <c r="YK113" s="146"/>
      <c r="YL113" s="146"/>
      <c r="YM113" s="146"/>
      <c r="YN113" s="146"/>
      <c r="YO113" s="146"/>
      <c r="YP113" s="146"/>
      <c r="YQ113" s="146"/>
      <c r="YR113" s="146"/>
      <c r="YS113" s="146"/>
      <c r="YT113" s="146"/>
      <c r="YU113" s="146"/>
      <c r="YV113" s="146"/>
      <c r="YW113" s="146"/>
      <c r="YX113" s="146"/>
      <c r="YY113" s="146"/>
      <c r="YZ113" s="146"/>
      <c r="ZA113" s="146"/>
      <c r="ZB113" s="146"/>
      <c r="ZC113" s="146"/>
      <c r="ZD113" s="146"/>
      <c r="ZE113" s="146"/>
      <c r="ZF113" s="146"/>
      <c r="ZG113" s="146"/>
      <c r="ZH113" s="146"/>
      <c r="ZI113" s="146"/>
      <c r="ZJ113" s="146"/>
      <c r="ZK113" s="146"/>
      <c r="ZL113" s="146"/>
      <c r="ZM113" s="146"/>
      <c r="ZN113" s="146"/>
      <c r="ZO113" s="146"/>
      <c r="ZP113" s="146"/>
      <c r="ZQ113" s="146"/>
      <c r="ZR113" s="146"/>
      <c r="ZS113" s="146"/>
      <c r="ZT113" s="146"/>
      <c r="ZU113" s="146"/>
      <c r="ZV113" s="146"/>
      <c r="ZW113" s="146"/>
      <c r="ZX113" s="146"/>
      <c r="ZY113" s="146"/>
      <c r="ZZ113" s="146"/>
      <c r="AAA113" s="146"/>
      <c r="AAB113" s="146"/>
      <c r="AAC113" s="146"/>
      <c r="AAD113" s="146"/>
      <c r="AAE113" s="146"/>
      <c r="AAF113" s="146"/>
      <c r="AAG113" s="146"/>
      <c r="AAH113" s="146"/>
      <c r="AAI113" s="146"/>
      <c r="AAJ113" s="146"/>
      <c r="AAK113" s="146"/>
      <c r="AAL113" s="146"/>
      <c r="AAM113" s="146"/>
      <c r="AAN113" s="146"/>
      <c r="AAO113" s="146"/>
      <c r="AAP113" s="146"/>
      <c r="AAQ113" s="146"/>
      <c r="AAR113" s="146"/>
      <c r="AAS113" s="146"/>
      <c r="AAT113" s="146"/>
      <c r="AAU113" s="146"/>
      <c r="AAV113" s="146"/>
      <c r="AAW113" s="146"/>
      <c r="AAX113" s="146"/>
      <c r="AAY113" s="146"/>
      <c r="AAZ113" s="146"/>
      <c r="ABA113" s="146"/>
      <c r="ABB113" s="146"/>
      <c r="ABC113" s="146"/>
      <c r="ABD113" s="146"/>
      <c r="ABE113" s="146"/>
      <c r="ABF113" s="146"/>
      <c r="ABG113" s="146"/>
      <c r="ABH113" s="146"/>
      <c r="ABI113" s="146"/>
      <c r="ABJ113" s="146"/>
      <c r="ABK113" s="146"/>
      <c r="ABL113" s="146"/>
      <c r="ABM113" s="146"/>
      <c r="ABN113" s="146"/>
      <c r="ABO113" s="146"/>
      <c r="ABP113" s="146"/>
      <c r="ABQ113" s="146"/>
      <c r="ABR113" s="146"/>
      <c r="ABS113" s="146"/>
      <c r="ABT113" s="146"/>
      <c r="ABU113" s="146"/>
      <c r="ABV113" s="146"/>
      <c r="ABW113" s="146"/>
      <c r="ABX113" s="146"/>
      <c r="ABY113" s="146"/>
      <c r="ABZ113" s="146"/>
      <c r="ACA113" s="146"/>
      <c r="ACB113" s="146"/>
      <c r="ACC113" s="146"/>
      <c r="ACD113" s="146"/>
      <c r="ACE113" s="146"/>
      <c r="ACF113" s="146"/>
      <c r="ACG113" s="146"/>
      <c r="ACH113" s="146"/>
      <c r="ACI113" s="146"/>
      <c r="ACJ113" s="146"/>
      <c r="ACK113" s="146"/>
      <c r="ACL113" s="146"/>
      <c r="ACM113" s="146"/>
      <c r="ACN113" s="146"/>
      <c r="ACO113" s="146"/>
      <c r="ACP113" s="146"/>
      <c r="ACQ113" s="146"/>
      <c r="ACR113" s="146"/>
      <c r="ACS113" s="146"/>
      <c r="ACT113" s="146"/>
      <c r="ACU113" s="146"/>
      <c r="ACV113" s="146"/>
      <c r="ACW113" s="146"/>
      <c r="ACX113" s="146"/>
      <c r="ACY113" s="146"/>
      <c r="ACZ113" s="146"/>
      <c r="ADA113" s="146"/>
      <c r="ADB113" s="146"/>
      <c r="ADC113" s="146"/>
      <c r="ADD113" s="146"/>
      <c r="ADE113" s="146"/>
      <c r="ADF113" s="146"/>
      <c r="ADG113" s="146"/>
      <c r="ADH113" s="146"/>
      <c r="ADI113" s="146"/>
      <c r="ADJ113" s="146"/>
      <c r="ADK113" s="146"/>
      <c r="ADL113" s="146"/>
      <c r="ADM113" s="146"/>
      <c r="ADN113" s="146"/>
      <c r="ADO113" s="146"/>
      <c r="ADP113" s="146"/>
      <c r="ADQ113" s="146"/>
      <c r="ADR113" s="146"/>
      <c r="ADS113" s="146"/>
      <c r="ADT113" s="146"/>
      <c r="ADU113" s="146"/>
      <c r="ADV113" s="146"/>
      <c r="ADW113" s="146"/>
      <c r="ADX113" s="146"/>
      <c r="ADY113" s="146"/>
      <c r="ADZ113" s="146"/>
      <c r="AEA113" s="146"/>
      <c r="AEB113" s="146"/>
      <c r="AEC113" s="146"/>
      <c r="AED113" s="146"/>
      <c r="AEE113" s="146"/>
      <c r="AEF113" s="146"/>
      <c r="AEG113" s="146"/>
      <c r="AEH113" s="146"/>
      <c r="AEI113" s="146"/>
      <c r="AEJ113" s="146"/>
      <c r="AEK113" s="146"/>
      <c r="AEL113" s="146"/>
      <c r="AEM113" s="146"/>
      <c r="AEN113" s="146"/>
      <c r="AEO113" s="146"/>
      <c r="AEP113" s="146"/>
      <c r="AEQ113" s="146"/>
      <c r="AER113" s="146"/>
      <c r="AES113" s="146"/>
      <c r="AET113" s="146"/>
      <c r="AEU113" s="146"/>
      <c r="AEV113" s="146"/>
      <c r="AEW113" s="146"/>
      <c r="AEX113" s="146"/>
      <c r="AEY113" s="146"/>
      <c r="AEZ113" s="146"/>
      <c r="AFA113" s="146"/>
      <c r="AFB113" s="146"/>
      <c r="AFC113" s="146"/>
      <c r="AFD113" s="146"/>
      <c r="AFE113" s="146"/>
      <c r="AFF113" s="146"/>
      <c r="AFG113" s="146"/>
      <c r="AFH113" s="146"/>
      <c r="AFI113" s="146"/>
      <c r="AFJ113" s="146"/>
      <c r="AFK113" s="146"/>
      <c r="AFL113" s="146"/>
      <c r="AFM113" s="146"/>
      <c r="AFN113" s="146"/>
      <c r="AFO113" s="146"/>
      <c r="AFP113" s="146"/>
      <c r="AFQ113" s="146"/>
      <c r="AFR113" s="146"/>
      <c r="AFS113" s="146"/>
      <c r="AFT113" s="146"/>
      <c r="AFU113" s="146"/>
      <c r="AFV113" s="146"/>
      <c r="AFW113" s="146"/>
      <c r="AFX113" s="146"/>
      <c r="AFY113" s="146"/>
      <c r="AFZ113" s="146"/>
      <c r="AGA113" s="146"/>
      <c r="AGB113" s="146"/>
      <c r="AGC113" s="146"/>
      <c r="AGD113" s="146"/>
      <c r="AGE113" s="146"/>
      <c r="AGF113" s="146"/>
      <c r="AGG113" s="146"/>
      <c r="AGH113" s="146"/>
      <c r="AGI113" s="146"/>
      <c r="AGJ113" s="146"/>
      <c r="AGK113" s="146"/>
      <c r="AGL113" s="146"/>
      <c r="AGM113" s="146"/>
      <c r="AGN113" s="146"/>
      <c r="AGO113" s="146"/>
      <c r="AGP113" s="146"/>
      <c r="AGQ113" s="146"/>
      <c r="AGR113" s="146"/>
      <c r="AGS113" s="146"/>
      <c r="AGT113" s="146"/>
      <c r="AGU113" s="146"/>
      <c r="AGV113" s="146"/>
      <c r="AGW113" s="146"/>
      <c r="AGX113" s="146"/>
      <c r="AGY113" s="146"/>
      <c r="AGZ113" s="146"/>
      <c r="AHA113" s="146"/>
      <c r="AHB113" s="146"/>
      <c r="AHC113" s="146"/>
      <c r="AHD113" s="146"/>
      <c r="AHE113" s="146"/>
      <c r="AHF113" s="146"/>
      <c r="AHG113" s="146"/>
      <c r="AHH113" s="146"/>
      <c r="AHI113" s="146"/>
      <c r="AHJ113" s="146"/>
      <c r="AHK113" s="146"/>
      <c r="AHL113" s="146"/>
      <c r="AHM113" s="146"/>
      <c r="AHN113" s="146"/>
      <c r="AHO113" s="146"/>
      <c r="AHP113" s="146"/>
      <c r="AHQ113" s="146"/>
      <c r="AHR113" s="146"/>
      <c r="AHS113" s="146"/>
      <c r="AHT113" s="146"/>
      <c r="AHU113" s="146"/>
      <c r="AHV113" s="146"/>
      <c r="AHW113" s="146"/>
      <c r="AHX113" s="146"/>
      <c r="AHY113" s="146"/>
      <c r="AHZ113" s="146"/>
      <c r="AIA113" s="146"/>
      <c r="AIB113" s="146"/>
      <c r="AIC113" s="146"/>
      <c r="AID113" s="146"/>
      <c r="AIE113" s="146"/>
      <c r="AIF113" s="146"/>
      <c r="AIG113" s="146"/>
      <c r="AIH113" s="146"/>
      <c r="AII113" s="146"/>
      <c r="AIJ113" s="146"/>
      <c r="AIK113" s="146"/>
      <c r="AIL113" s="146"/>
      <c r="AIM113" s="146"/>
      <c r="AIN113" s="146"/>
      <c r="AIO113" s="146"/>
      <c r="AIP113" s="146"/>
      <c r="AIQ113" s="146"/>
      <c r="AIR113" s="146"/>
      <c r="AIS113" s="146"/>
      <c r="AIT113" s="146"/>
      <c r="AIU113" s="146"/>
      <c r="AIV113" s="146"/>
      <c r="AIW113" s="146"/>
      <c r="AIX113" s="146"/>
      <c r="AIY113" s="146"/>
      <c r="AIZ113" s="146"/>
      <c r="AJA113" s="146"/>
      <c r="AJB113" s="146"/>
      <c r="AJC113" s="146"/>
      <c r="AJD113" s="146"/>
      <c r="AJE113" s="146"/>
      <c r="AJF113" s="146"/>
      <c r="AJG113" s="146"/>
      <c r="AJH113" s="146"/>
      <c r="AJI113" s="146"/>
      <c r="AJJ113" s="146"/>
      <c r="AJK113" s="146"/>
      <c r="AJL113" s="146"/>
      <c r="AJM113" s="146"/>
      <c r="AJN113" s="146"/>
      <c r="AJO113" s="146"/>
      <c r="AJP113" s="146"/>
      <c r="AJQ113" s="146"/>
      <c r="AJR113" s="146"/>
      <c r="AJS113" s="146"/>
      <c r="AJT113" s="146"/>
      <c r="AJU113" s="146"/>
      <c r="AJV113" s="146"/>
      <c r="AJW113" s="146"/>
      <c r="AJX113" s="146"/>
      <c r="AJY113" s="146"/>
      <c r="AJZ113" s="146"/>
      <c r="AKA113" s="146"/>
      <c r="AKB113" s="146"/>
      <c r="AKC113" s="146"/>
      <c r="AKD113" s="146"/>
      <c r="AKE113" s="146"/>
      <c r="AKF113" s="146"/>
      <c r="AKG113" s="146"/>
      <c r="AKH113" s="146"/>
      <c r="AKI113" s="146"/>
      <c r="AKJ113" s="146"/>
      <c r="AKK113" s="146"/>
      <c r="AKL113" s="146"/>
      <c r="AKM113" s="146"/>
      <c r="AKN113" s="146"/>
      <c r="AKO113" s="146"/>
      <c r="AKP113" s="146"/>
      <c r="AKQ113" s="146"/>
      <c r="AKR113" s="146"/>
      <c r="AKS113" s="146"/>
      <c r="AKT113" s="146"/>
      <c r="AKU113" s="146"/>
      <c r="AKV113" s="146"/>
      <c r="AKW113" s="146"/>
      <c r="AKX113" s="146"/>
      <c r="AKY113" s="146"/>
      <c r="AKZ113" s="146"/>
      <c r="ALA113" s="146"/>
      <c r="ALB113" s="146"/>
      <c r="ALC113" s="146"/>
      <c r="ALD113" s="146"/>
      <c r="ALE113" s="146"/>
      <c r="ALF113" s="146"/>
      <c r="ALG113" s="146"/>
      <c r="ALH113" s="146"/>
      <c r="ALI113" s="146"/>
      <c r="ALJ113" s="146"/>
      <c r="ALK113" s="146"/>
      <c r="ALL113" s="146"/>
      <c r="ALM113" s="146"/>
      <c r="ALN113" s="146"/>
      <c r="ALO113" s="146"/>
      <c r="ALP113" s="146"/>
      <c r="ALQ113" s="146"/>
      <c r="ALR113" s="146"/>
      <c r="ALS113" s="146"/>
      <c r="ALT113" s="146"/>
      <c r="ALU113" s="146"/>
      <c r="ALV113" s="146"/>
      <c r="ALW113" s="146"/>
      <c r="ALX113" s="146"/>
      <c r="ALY113" s="146"/>
      <c r="ALZ113" s="146"/>
      <c r="AMA113" s="146"/>
      <c r="AMB113" s="146"/>
      <c r="AMC113" s="146"/>
      <c r="AMD113" s="146"/>
      <c r="AME113" s="146"/>
      <c r="AMF113" s="146"/>
      <c r="AMG113" s="146"/>
      <c r="AMH113" s="146"/>
      <c r="AMI113" s="146"/>
      <c r="AMJ113" s="146"/>
      <c r="AMK113" s="146"/>
      <c r="AML113" s="146"/>
      <c r="AMM113" s="146"/>
      <c r="AMN113" s="146"/>
      <c r="AMO113" s="146"/>
      <c r="AMP113" s="146"/>
      <c r="AMQ113" s="146"/>
      <c r="AMR113" s="146"/>
      <c r="AMS113" s="146"/>
      <c r="AMT113" s="146"/>
      <c r="AMU113" s="146"/>
      <c r="AMV113" s="146"/>
      <c r="AMW113" s="146"/>
      <c r="AMX113" s="146"/>
      <c r="AMY113" s="146"/>
      <c r="AMZ113" s="146"/>
      <c r="ANA113" s="146"/>
      <c r="ANB113" s="146"/>
      <c r="ANC113" s="146"/>
      <c r="AND113" s="146"/>
      <c r="ANE113" s="146"/>
      <c r="ANF113" s="146"/>
      <c r="ANG113" s="146"/>
      <c r="ANH113" s="146"/>
      <c r="ANI113" s="146"/>
      <c r="ANJ113" s="146"/>
      <c r="ANK113" s="146"/>
      <c r="ANL113" s="146"/>
      <c r="ANM113" s="146"/>
      <c r="ANN113" s="146"/>
      <c r="ANO113" s="146"/>
      <c r="ANP113" s="146"/>
      <c r="ANQ113" s="146"/>
      <c r="ANR113" s="146"/>
      <c r="ANS113" s="146"/>
      <c r="ANT113" s="146"/>
      <c r="ANU113" s="146"/>
      <c r="ANV113" s="146"/>
      <c r="ANW113" s="146"/>
      <c r="ANX113" s="146"/>
      <c r="ANY113" s="146"/>
      <c r="ANZ113" s="146"/>
      <c r="AOA113" s="146"/>
      <c r="AOB113" s="146"/>
      <c r="AOC113" s="146"/>
      <c r="AOD113" s="146"/>
      <c r="AOE113" s="146"/>
      <c r="AOF113" s="146"/>
      <c r="AOG113" s="146"/>
      <c r="AOH113" s="146"/>
      <c r="AOI113" s="146"/>
      <c r="AOJ113" s="146"/>
      <c r="AOK113" s="146"/>
      <c r="AOL113" s="146"/>
      <c r="AOM113" s="146"/>
      <c r="AON113" s="146"/>
      <c r="AOO113" s="146"/>
      <c r="AOP113" s="146"/>
      <c r="AOQ113" s="146"/>
      <c r="AOR113" s="146"/>
      <c r="AOS113" s="146"/>
      <c r="AOT113" s="146"/>
      <c r="AOU113" s="146"/>
      <c r="AOV113" s="146"/>
      <c r="AOW113" s="146"/>
      <c r="AOX113" s="146"/>
      <c r="AOY113" s="146"/>
      <c r="AOZ113" s="146"/>
      <c r="APA113" s="146"/>
      <c r="APB113" s="146"/>
      <c r="APC113" s="146"/>
      <c r="APD113" s="146"/>
      <c r="APE113" s="146"/>
      <c r="APF113" s="146"/>
      <c r="APG113" s="146"/>
      <c r="APH113" s="146"/>
      <c r="API113" s="146"/>
      <c r="APJ113" s="146"/>
      <c r="APK113" s="146"/>
      <c r="APL113" s="146"/>
      <c r="APM113" s="146"/>
      <c r="APN113" s="146"/>
      <c r="APO113" s="146"/>
      <c r="APP113" s="146"/>
      <c r="APQ113" s="146"/>
      <c r="APR113" s="146"/>
      <c r="APS113" s="146"/>
      <c r="APT113" s="146"/>
      <c r="APU113" s="146"/>
      <c r="APV113" s="146"/>
      <c r="APW113" s="146"/>
      <c r="APX113" s="146"/>
      <c r="APY113" s="146"/>
      <c r="APZ113" s="146"/>
      <c r="AQA113" s="146"/>
      <c r="AQB113" s="146"/>
      <c r="AQC113" s="146"/>
      <c r="AQD113" s="146"/>
      <c r="AQE113" s="146"/>
      <c r="AQF113" s="146"/>
      <c r="AQG113" s="146"/>
      <c r="AQH113" s="146"/>
      <c r="AQI113" s="146"/>
      <c r="AQJ113" s="146"/>
      <c r="AQK113" s="146"/>
      <c r="AQL113" s="146"/>
      <c r="AQM113" s="146"/>
      <c r="AQN113" s="146"/>
      <c r="AQO113" s="146"/>
      <c r="AQP113" s="146"/>
      <c r="AQQ113" s="146"/>
      <c r="AQR113" s="146"/>
      <c r="AQS113" s="146"/>
      <c r="AQT113" s="146"/>
      <c r="AQU113" s="146"/>
      <c r="AQV113" s="146"/>
      <c r="AQW113" s="146"/>
      <c r="AQX113" s="146"/>
      <c r="AQY113" s="146"/>
      <c r="AQZ113" s="146"/>
      <c r="ARA113" s="146"/>
      <c r="ARB113" s="146"/>
      <c r="ARC113" s="146"/>
      <c r="ARD113" s="146"/>
      <c r="ARE113" s="146"/>
      <c r="ARF113" s="146"/>
      <c r="ARG113" s="146"/>
      <c r="ARH113" s="146"/>
      <c r="ARI113" s="146"/>
      <c r="ARJ113" s="146"/>
      <c r="ARK113" s="146"/>
      <c r="ARL113" s="146"/>
      <c r="ARM113" s="146"/>
      <c r="ARN113" s="146"/>
      <c r="ARO113" s="146"/>
      <c r="ARP113" s="146"/>
      <c r="ARQ113" s="146"/>
      <c r="ARR113" s="146"/>
      <c r="ARS113" s="146"/>
      <c r="ART113" s="146"/>
      <c r="ARU113" s="146"/>
      <c r="ARV113" s="146"/>
      <c r="ARW113" s="146"/>
      <c r="ARX113" s="146"/>
      <c r="ARY113" s="146"/>
      <c r="ARZ113" s="146"/>
      <c r="ASA113" s="146"/>
      <c r="ASB113" s="146"/>
      <c r="ASC113" s="146"/>
      <c r="ASD113" s="146"/>
      <c r="ASE113" s="146"/>
      <c r="ASF113" s="146"/>
      <c r="ASG113" s="146"/>
      <c r="ASH113" s="146"/>
      <c r="ASI113" s="146"/>
      <c r="ASJ113" s="146"/>
      <c r="ASK113" s="146"/>
      <c r="ASL113" s="146"/>
      <c r="ASM113" s="146"/>
      <c r="ASN113" s="146"/>
      <c r="ASO113" s="146"/>
      <c r="ASP113" s="146"/>
      <c r="ASQ113" s="146"/>
      <c r="ASR113" s="146"/>
      <c r="ASS113" s="146"/>
      <c r="AST113" s="146"/>
      <c r="ASU113" s="146"/>
      <c r="ASV113" s="146"/>
      <c r="ASW113" s="146"/>
      <c r="ASX113" s="146"/>
      <c r="ASY113" s="146"/>
      <c r="ASZ113" s="146"/>
      <c r="ATA113" s="146"/>
      <c r="ATB113" s="146"/>
      <c r="ATC113" s="146"/>
      <c r="ATD113" s="146"/>
      <c r="ATE113" s="146"/>
      <c r="ATF113" s="146"/>
      <c r="ATG113" s="146"/>
      <c r="ATH113" s="146"/>
      <c r="ATI113" s="146"/>
      <c r="ATJ113" s="146"/>
      <c r="ATK113" s="146"/>
      <c r="ATL113" s="146"/>
      <c r="ATM113" s="146"/>
      <c r="ATN113" s="146"/>
      <c r="ATO113" s="146"/>
      <c r="ATP113" s="146"/>
      <c r="ATQ113" s="146"/>
      <c r="ATR113" s="146"/>
      <c r="ATS113" s="146"/>
      <c r="ATT113" s="146"/>
      <c r="ATU113" s="146"/>
      <c r="ATV113" s="146"/>
      <c r="ATW113" s="146"/>
      <c r="ATX113" s="146"/>
      <c r="ATY113" s="146"/>
      <c r="ATZ113" s="146"/>
      <c r="AUA113" s="146"/>
      <c r="AUB113" s="146"/>
      <c r="AUC113" s="146"/>
      <c r="AUD113" s="146"/>
      <c r="AUE113" s="146"/>
      <c r="AUF113" s="146"/>
      <c r="AUG113" s="146"/>
      <c r="AUH113" s="146"/>
      <c r="AUI113" s="146"/>
      <c r="AUJ113" s="146"/>
      <c r="AUK113" s="146"/>
      <c r="AUL113" s="146"/>
      <c r="AUM113" s="146"/>
      <c r="AUN113" s="146"/>
      <c r="AUO113" s="146"/>
      <c r="AUP113" s="146"/>
      <c r="AUQ113" s="146"/>
      <c r="AUR113" s="146"/>
      <c r="AUS113" s="146"/>
      <c r="AUT113" s="146"/>
      <c r="AUU113" s="146"/>
      <c r="AUV113" s="146"/>
      <c r="AUW113" s="146"/>
      <c r="AUX113" s="146"/>
      <c r="AUY113" s="146"/>
      <c r="AUZ113" s="146"/>
      <c r="AVA113" s="146"/>
      <c r="AVB113" s="146"/>
      <c r="AVC113" s="146"/>
      <c r="AVD113" s="146"/>
      <c r="AVE113" s="146"/>
      <c r="AVF113" s="146"/>
      <c r="AVG113" s="146"/>
      <c r="AVH113" s="146"/>
      <c r="AVI113" s="146"/>
      <c r="AVJ113" s="146"/>
      <c r="AVK113" s="146"/>
      <c r="AVL113" s="146"/>
      <c r="AVM113" s="146"/>
      <c r="AVN113" s="146"/>
      <c r="AVO113" s="146"/>
      <c r="AVP113" s="146"/>
      <c r="AVQ113" s="146"/>
      <c r="AVR113" s="146"/>
      <c r="AVS113" s="146"/>
      <c r="AVT113" s="146"/>
      <c r="AVU113" s="146"/>
      <c r="AVV113" s="146"/>
      <c r="AVW113" s="146"/>
      <c r="AVX113" s="146"/>
      <c r="AVY113" s="146"/>
      <c r="AVZ113" s="146"/>
      <c r="AWA113" s="146"/>
      <c r="AWB113" s="146"/>
      <c r="AWC113" s="146"/>
      <c r="AWD113" s="146"/>
      <c r="AWE113" s="146"/>
      <c r="AWF113" s="146"/>
      <c r="AWG113" s="146"/>
      <c r="AWH113" s="146"/>
      <c r="AWI113" s="146"/>
      <c r="AWJ113" s="146"/>
      <c r="AWK113" s="146"/>
      <c r="AWL113" s="146"/>
      <c r="AWM113" s="146"/>
      <c r="AWN113" s="146"/>
      <c r="AWO113" s="146"/>
      <c r="AWP113" s="146"/>
      <c r="AWQ113" s="146"/>
      <c r="AWR113" s="146"/>
      <c r="AWS113" s="146"/>
      <c r="AWT113" s="146"/>
      <c r="AWU113" s="146"/>
      <c r="AWV113" s="146"/>
      <c r="AWW113" s="146"/>
      <c r="AWX113" s="146"/>
      <c r="AWY113" s="146"/>
      <c r="AWZ113" s="146"/>
      <c r="AXA113" s="146"/>
      <c r="AXB113" s="146"/>
      <c r="AXC113" s="146"/>
      <c r="AXD113" s="146"/>
      <c r="AXE113" s="146"/>
      <c r="AXF113" s="146"/>
      <c r="AXG113" s="146"/>
      <c r="AXH113" s="146"/>
      <c r="AXI113" s="146"/>
      <c r="AXJ113" s="146"/>
      <c r="AXK113" s="146"/>
      <c r="AXL113" s="146"/>
      <c r="AXM113" s="146"/>
      <c r="AXN113" s="146"/>
      <c r="AXO113" s="146"/>
      <c r="AXP113" s="146"/>
      <c r="AXQ113" s="146"/>
      <c r="AXR113" s="146"/>
      <c r="AXS113" s="146"/>
      <c r="AXT113" s="146"/>
      <c r="AXU113" s="146"/>
      <c r="AXV113" s="146"/>
      <c r="AXW113" s="146"/>
      <c r="AXX113" s="146"/>
      <c r="AXY113" s="146"/>
      <c r="AXZ113" s="146"/>
      <c r="AYA113" s="146"/>
      <c r="AYB113" s="146"/>
      <c r="AYC113" s="146"/>
      <c r="AYD113" s="146"/>
      <c r="AYE113" s="146"/>
      <c r="AYF113" s="146"/>
      <c r="AYG113" s="146"/>
      <c r="AYH113" s="146"/>
      <c r="AYI113" s="146"/>
      <c r="AYJ113" s="146"/>
      <c r="AYK113" s="146"/>
      <c r="AYL113" s="146"/>
      <c r="AYM113" s="146"/>
      <c r="AYN113" s="146"/>
      <c r="AYO113" s="146"/>
      <c r="AYP113" s="146"/>
      <c r="AYQ113" s="146"/>
      <c r="AYR113" s="146"/>
      <c r="AYS113" s="146"/>
      <c r="AYT113" s="146"/>
      <c r="AYU113" s="146"/>
      <c r="AYV113" s="146"/>
      <c r="AYW113" s="146"/>
      <c r="AYX113" s="146"/>
      <c r="AYY113" s="146"/>
      <c r="AYZ113" s="146"/>
      <c r="AZA113" s="146"/>
      <c r="AZB113" s="146"/>
      <c r="AZC113" s="146"/>
      <c r="AZD113" s="146"/>
      <c r="AZE113" s="146"/>
      <c r="AZF113" s="146"/>
      <c r="AZG113" s="146"/>
      <c r="AZH113" s="146"/>
      <c r="AZI113" s="146"/>
      <c r="AZJ113" s="146"/>
      <c r="AZK113" s="146"/>
      <c r="AZL113" s="146"/>
      <c r="AZM113" s="146"/>
      <c r="AZN113" s="146"/>
      <c r="AZO113" s="146"/>
      <c r="AZP113" s="146"/>
      <c r="AZQ113" s="146"/>
      <c r="AZR113" s="146"/>
      <c r="AZS113" s="146"/>
      <c r="AZT113" s="146"/>
      <c r="AZU113" s="146"/>
      <c r="AZV113" s="146"/>
      <c r="AZW113" s="146"/>
      <c r="AZX113" s="146"/>
      <c r="AZY113" s="146"/>
      <c r="AZZ113" s="146"/>
      <c r="BAA113" s="146"/>
      <c r="BAB113" s="146"/>
      <c r="BAC113" s="146"/>
      <c r="BAD113" s="146"/>
      <c r="BAE113" s="146"/>
      <c r="BAF113" s="146"/>
      <c r="BAG113" s="146"/>
      <c r="BAH113" s="146"/>
      <c r="BAI113" s="146"/>
      <c r="BAJ113" s="146"/>
      <c r="BAK113" s="146"/>
      <c r="BAL113" s="146"/>
      <c r="BAM113" s="146"/>
      <c r="BAN113" s="146"/>
      <c r="BAO113" s="146"/>
      <c r="BAP113" s="146"/>
      <c r="BAQ113" s="146"/>
      <c r="BAR113" s="146"/>
      <c r="BAS113" s="146"/>
      <c r="BAT113" s="146"/>
      <c r="BAU113" s="146"/>
      <c r="BAV113" s="146"/>
      <c r="BAW113" s="146"/>
      <c r="BAX113" s="146"/>
      <c r="BAY113" s="146"/>
      <c r="BAZ113" s="146"/>
      <c r="BBA113" s="146"/>
      <c r="BBB113" s="146"/>
      <c r="BBC113" s="146"/>
      <c r="BBD113" s="146"/>
      <c r="BBE113" s="146"/>
      <c r="BBF113" s="146"/>
      <c r="BBG113" s="146"/>
      <c r="BBH113" s="146"/>
      <c r="BBI113" s="146"/>
      <c r="BBJ113" s="146"/>
      <c r="BBK113" s="146"/>
      <c r="BBL113" s="146"/>
      <c r="BBM113" s="146"/>
      <c r="BBN113" s="146"/>
      <c r="BBO113" s="146"/>
      <c r="BBP113" s="146"/>
      <c r="BBQ113" s="146"/>
      <c r="BBR113" s="146"/>
      <c r="BBS113" s="146"/>
      <c r="BBT113" s="146"/>
      <c r="BBU113" s="146"/>
      <c r="BBV113" s="146"/>
      <c r="BBW113" s="146"/>
      <c r="BBX113" s="146"/>
      <c r="BBY113" s="146"/>
      <c r="BBZ113" s="146"/>
      <c r="BCA113" s="146"/>
      <c r="BCB113" s="146"/>
      <c r="BCC113" s="146"/>
      <c r="BCD113" s="146"/>
      <c r="BCE113" s="146"/>
      <c r="BCF113" s="146"/>
      <c r="BCG113" s="146"/>
      <c r="BCH113" s="146"/>
      <c r="BCI113" s="146"/>
      <c r="BCJ113" s="146"/>
      <c r="BCK113" s="146"/>
      <c r="BCL113" s="146"/>
      <c r="BCM113" s="146"/>
      <c r="BCN113" s="146"/>
      <c r="BCO113" s="146"/>
      <c r="BCP113" s="146"/>
      <c r="BCQ113" s="146"/>
      <c r="BCR113" s="146"/>
      <c r="BCS113" s="146"/>
      <c r="BCT113" s="146"/>
      <c r="BCU113" s="146"/>
      <c r="BCV113" s="146"/>
      <c r="BCW113" s="146"/>
      <c r="BCX113" s="146"/>
      <c r="BCY113" s="146"/>
      <c r="BCZ113" s="146"/>
      <c r="BDA113" s="146"/>
      <c r="BDB113" s="146"/>
      <c r="BDC113" s="146"/>
      <c r="BDD113" s="146"/>
      <c r="BDE113" s="146"/>
      <c r="BDF113" s="146"/>
      <c r="BDG113" s="146"/>
      <c r="BDH113" s="146"/>
      <c r="BDI113" s="146"/>
      <c r="BDJ113" s="146"/>
      <c r="BDK113" s="146"/>
      <c r="BDL113" s="146"/>
      <c r="BDM113" s="146"/>
      <c r="BDN113" s="146"/>
      <c r="BDO113" s="146"/>
      <c r="BDP113" s="146"/>
      <c r="BDQ113" s="146"/>
      <c r="BDR113" s="146"/>
      <c r="BDS113" s="146"/>
      <c r="BDT113" s="146"/>
      <c r="BDU113" s="146"/>
      <c r="BDV113" s="146"/>
      <c r="BDW113" s="146"/>
      <c r="BDX113" s="146"/>
      <c r="BDY113" s="146"/>
      <c r="BDZ113" s="146"/>
      <c r="BEA113" s="146"/>
      <c r="BEB113" s="146"/>
      <c r="BEC113" s="146"/>
      <c r="BED113" s="146"/>
      <c r="BEE113" s="146"/>
      <c r="BEF113" s="146"/>
      <c r="BEG113" s="146"/>
      <c r="BEH113" s="146"/>
      <c r="BEI113" s="146"/>
      <c r="BEJ113" s="146"/>
      <c r="BEK113" s="146"/>
      <c r="BEL113" s="146"/>
      <c r="BEM113" s="146"/>
      <c r="BEN113" s="146"/>
      <c r="BEO113" s="146"/>
      <c r="BEP113" s="146"/>
      <c r="BEQ113" s="146"/>
      <c r="BER113" s="146"/>
      <c r="BES113" s="146"/>
      <c r="BET113" s="146"/>
      <c r="BEU113" s="146"/>
      <c r="BEV113" s="146"/>
      <c r="BEW113" s="146"/>
      <c r="BEX113" s="146"/>
      <c r="BEY113" s="146"/>
      <c r="BEZ113" s="146"/>
      <c r="BFA113" s="146"/>
      <c r="BFB113" s="146"/>
      <c r="BFC113" s="146"/>
      <c r="BFD113" s="146"/>
      <c r="BFE113" s="146"/>
      <c r="BFF113" s="146"/>
      <c r="BFG113" s="146"/>
      <c r="BFH113" s="146"/>
      <c r="BFI113" s="146"/>
      <c r="BFJ113" s="146"/>
      <c r="BFK113" s="146"/>
      <c r="BFL113" s="146"/>
      <c r="BFM113" s="146"/>
      <c r="BFN113" s="146"/>
      <c r="BFO113" s="146"/>
      <c r="BFP113" s="146"/>
      <c r="BFQ113" s="146"/>
      <c r="BFR113" s="146"/>
      <c r="BFS113" s="146"/>
      <c r="BFT113" s="146"/>
      <c r="BFU113" s="146"/>
      <c r="BFV113" s="146"/>
      <c r="BFW113" s="146"/>
      <c r="BFX113" s="146"/>
      <c r="BFY113" s="146"/>
      <c r="BFZ113" s="146"/>
      <c r="BGA113" s="146"/>
      <c r="BGB113" s="146"/>
      <c r="BGC113" s="146"/>
      <c r="BGD113" s="146"/>
      <c r="BGE113" s="146"/>
      <c r="BGF113" s="146"/>
      <c r="BGG113" s="146"/>
      <c r="BGH113" s="146"/>
      <c r="BGI113" s="146"/>
      <c r="BGJ113" s="146"/>
      <c r="BGK113" s="146"/>
      <c r="BGL113" s="146"/>
      <c r="BGM113" s="146"/>
      <c r="BGN113" s="146"/>
      <c r="BGO113" s="146"/>
      <c r="BGP113" s="146"/>
      <c r="BGQ113" s="146"/>
      <c r="BGR113" s="146"/>
      <c r="BGS113" s="146"/>
      <c r="BGT113" s="146"/>
      <c r="BGU113" s="146"/>
      <c r="BGV113" s="146"/>
      <c r="BGW113" s="146"/>
      <c r="BGX113" s="146"/>
      <c r="BGY113" s="146"/>
      <c r="BGZ113" s="146"/>
      <c r="BHA113" s="146"/>
      <c r="BHB113" s="146"/>
      <c r="BHC113" s="146"/>
      <c r="BHD113" s="146"/>
      <c r="BHE113" s="146"/>
      <c r="BHF113" s="146"/>
      <c r="BHG113" s="146"/>
      <c r="BHH113" s="146"/>
      <c r="BHI113" s="146"/>
      <c r="BHJ113" s="146"/>
      <c r="BHK113" s="146"/>
      <c r="BHL113" s="146"/>
      <c r="BHM113" s="146"/>
      <c r="BHN113" s="146"/>
      <c r="BHO113" s="146"/>
      <c r="BHP113" s="146"/>
      <c r="BHQ113" s="146"/>
      <c r="BHR113" s="146"/>
      <c r="BHS113" s="146"/>
      <c r="BHT113" s="146"/>
      <c r="BHU113" s="146"/>
      <c r="BHV113" s="146"/>
      <c r="BHW113" s="146"/>
      <c r="BHX113" s="146"/>
      <c r="BHY113" s="146"/>
      <c r="BHZ113" s="146"/>
      <c r="BIA113" s="146"/>
      <c r="BIB113" s="146"/>
      <c r="BIC113" s="146"/>
      <c r="BID113" s="146"/>
      <c r="BIE113" s="146"/>
      <c r="BIF113" s="146"/>
      <c r="BIG113" s="146"/>
      <c r="BIH113" s="146"/>
      <c r="BII113" s="146"/>
      <c r="BIJ113" s="146"/>
      <c r="BIK113" s="146"/>
      <c r="BIL113" s="146"/>
      <c r="BIM113" s="146"/>
      <c r="BIN113" s="146"/>
      <c r="BIO113" s="146"/>
      <c r="BIP113" s="146"/>
      <c r="BIQ113" s="146"/>
      <c r="BIR113" s="146"/>
      <c r="BIS113" s="146"/>
      <c r="BIT113" s="146"/>
      <c r="BIU113" s="146"/>
      <c r="BIV113" s="146"/>
      <c r="BIW113" s="146"/>
      <c r="BIX113" s="146"/>
      <c r="BIY113" s="146"/>
      <c r="BIZ113" s="146"/>
      <c r="BJA113" s="146"/>
      <c r="BJB113" s="146"/>
      <c r="BJC113" s="146"/>
      <c r="BJD113" s="146"/>
      <c r="BJE113" s="146"/>
      <c r="BJF113" s="146"/>
      <c r="BJG113" s="146"/>
      <c r="BJH113" s="146"/>
      <c r="BJI113" s="146"/>
      <c r="BJJ113" s="146"/>
      <c r="BJK113" s="146"/>
      <c r="BJL113" s="146"/>
      <c r="BJM113" s="146"/>
      <c r="BJN113" s="146"/>
      <c r="BJO113" s="146"/>
      <c r="BJP113" s="146"/>
      <c r="BJQ113" s="146"/>
      <c r="BJR113" s="146"/>
      <c r="BJS113" s="146"/>
      <c r="BJT113" s="146"/>
      <c r="BJU113" s="146"/>
      <c r="BJV113" s="146"/>
      <c r="BJW113" s="146"/>
      <c r="BJX113" s="146"/>
      <c r="BJY113" s="146"/>
      <c r="BJZ113" s="146"/>
      <c r="BKA113" s="146"/>
      <c r="BKB113" s="146"/>
      <c r="BKC113" s="146"/>
      <c r="BKD113" s="146"/>
      <c r="BKE113" s="146"/>
      <c r="BKF113" s="146"/>
      <c r="BKG113" s="146"/>
      <c r="BKH113" s="146"/>
      <c r="BKI113" s="146"/>
      <c r="BKJ113" s="146"/>
      <c r="BKK113" s="146"/>
      <c r="BKL113" s="146"/>
      <c r="BKM113" s="146"/>
      <c r="BKN113" s="146"/>
      <c r="BKO113" s="146"/>
      <c r="BKP113" s="146"/>
      <c r="BKQ113" s="146"/>
      <c r="BKR113" s="146"/>
      <c r="BKS113" s="146"/>
      <c r="BKT113" s="146"/>
      <c r="BKU113" s="146"/>
      <c r="BKV113" s="146"/>
      <c r="BKW113" s="146"/>
      <c r="BKX113" s="146"/>
      <c r="BKY113" s="146"/>
      <c r="BKZ113" s="146"/>
      <c r="BLA113" s="146"/>
      <c r="BLB113" s="146"/>
      <c r="BLC113" s="146"/>
      <c r="BLD113" s="146"/>
      <c r="BLE113" s="146"/>
      <c r="BLF113" s="146"/>
      <c r="BLG113" s="146"/>
      <c r="BLH113" s="146"/>
      <c r="BLI113" s="146"/>
      <c r="BLJ113" s="146"/>
      <c r="BLK113" s="146"/>
      <c r="BLL113" s="146"/>
      <c r="BLM113" s="146"/>
      <c r="BLN113" s="146"/>
      <c r="BLO113" s="146"/>
      <c r="BLP113" s="146"/>
      <c r="BLQ113" s="146"/>
      <c r="BLR113" s="146"/>
      <c r="BLS113" s="146"/>
      <c r="BLT113" s="146"/>
      <c r="BLU113" s="146"/>
      <c r="BLV113" s="146"/>
      <c r="BLW113" s="146"/>
      <c r="BLX113" s="146"/>
      <c r="BLY113" s="146"/>
      <c r="BLZ113" s="146"/>
      <c r="BMA113" s="146"/>
      <c r="BMB113" s="146"/>
      <c r="BMC113" s="146"/>
      <c r="BMD113" s="146"/>
      <c r="BME113" s="146"/>
      <c r="BMF113" s="146"/>
      <c r="BMG113" s="146"/>
      <c r="BMH113" s="146"/>
      <c r="BMI113" s="146"/>
      <c r="BMJ113" s="146"/>
      <c r="BMK113" s="146"/>
      <c r="BML113" s="146"/>
      <c r="BMM113" s="146"/>
      <c r="BMN113" s="146"/>
      <c r="BMO113" s="146"/>
      <c r="BMP113" s="146"/>
      <c r="BMQ113" s="146"/>
      <c r="BMR113" s="146"/>
      <c r="BMS113" s="146"/>
      <c r="BMT113" s="146"/>
      <c r="BMU113" s="146"/>
      <c r="BMV113" s="146"/>
      <c r="BMW113" s="146"/>
      <c r="BMX113" s="146"/>
      <c r="BMY113" s="146"/>
      <c r="BMZ113" s="146"/>
      <c r="BNA113" s="146"/>
      <c r="BNB113" s="146"/>
      <c r="BNC113" s="146"/>
      <c r="BND113" s="146"/>
      <c r="BNE113" s="146"/>
      <c r="BNF113" s="146"/>
      <c r="BNG113" s="146"/>
      <c r="BNH113" s="146"/>
      <c r="BNI113" s="146"/>
      <c r="BNJ113" s="146"/>
      <c r="BNK113" s="146"/>
      <c r="BNL113" s="146"/>
      <c r="BNM113" s="146"/>
      <c r="BNN113" s="146"/>
      <c r="BNO113" s="146"/>
      <c r="BNP113" s="146"/>
      <c r="BNQ113" s="146"/>
      <c r="BNR113" s="146"/>
      <c r="BNS113" s="146"/>
      <c r="BNT113" s="146"/>
      <c r="BNU113" s="146"/>
      <c r="BNV113" s="146"/>
      <c r="BNW113" s="146"/>
      <c r="BNX113" s="146"/>
      <c r="BNY113" s="146"/>
      <c r="BNZ113" s="146"/>
      <c r="BOA113" s="146"/>
      <c r="BOB113" s="146"/>
      <c r="BOC113" s="146"/>
      <c r="BOD113" s="146"/>
      <c r="BOE113" s="146"/>
      <c r="BOF113" s="146"/>
      <c r="BOG113" s="146"/>
      <c r="BOH113" s="146"/>
      <c r="BOI113" s="146"/>
      <c r="BOJ113" s="146"/>
      <c r="BOK113" s="146"/>
      <c r="BOL113" s="146"/>
      <c r="BOM113" s="146"/>
      <c r="BON113" s="146"/>
      <c r="BOO113" s="146"/>
      <c r="BOP113" s="146"/>
      <c r="BOQ113" s="146"/>
      <c r="BOR113" s="146"/>
      <c r="BOS113" s="146"/>
      <c r="BOT113" s="146"/>
      <c r="BOU113" s="146"/>
      <c r="BOV113" s="146"/>
      <c r="BOW113" s="146"/>
      <c r="BOX113" s="146"/>
      <c r="BOY113" s="146"/>
      <c r="BOZ113" s="146"/>
      <c r="BPA113" s="146"/>
      <c r="BPB113" s="146"/>
      <c r="BPC113" s="146"/>
      <c r="BPD113" s="146"/>
      <c r="BPE113" s="146"/>
      <c r="BPF113" s="146"/>
      <c r="BPG113" s="146"/>
      <c r="BPH113" s="146"/>
      <c r="BPI113" s="146"/>
      <c r="BPJ113" s="146"/>
      <c r="BPK113" s="146"/>
      <c r="BPL113" s="146"/>
      <c r="BPM113" s="146"/>
      <c r="BPN113" s="146"/>
      <c r="BPO113" s="146"/>
      <c r="BPP113" s="146"/>
      <c r="BPQ113" s="146"/>
      <c r="BPR113" s="146"/>
      <c r="BPS113" s="146"/>
      <c r="BPT113" s="146"/>
      <c r="BPU113" s="146"/>
      <c r="BPV113" s="146"/>
      <c r="BPW113" s="146"/>
      <c r="BPX113" s="146"/>
      <c r="BPY113" s="146"/>
      <c r="BPZ113" s="146"/>
      <c r="BQA113" s="146"/>
      <c r="BQB113" s="146"/>
      <c r="BQC113" s="146"/>
      <c r="BQD113" s="146"/>
      <c r="BQE113" s="146"/>
      <c r="BQF113" s="146"/>
      <c r="BQG113" s="146"/>
      <c r="BQH113" s="146"/>
      <c r="BQI113" s="146"/>
      <c r="BQJ113" s="146"/>
      <c r="BQK113" s="146"/>
      <c r="BQL113" s="146"/>
      <c r="BQM113" s="146"/>
      <c r="BQN113" s="146"/>
      <c r="BQO113" s="146"/>
      <c r="BQP113" s="146"/>
      <c r="BQQ113" s="146"/>
      <c r="BQR113" s="146"/>
      <c r="BQS113" s="146"/>
      <c r="BQT113" s="146"/>
      <c r="BQU113" s="146"/>
      <c r="BQV113" s="146"/>
      <c r="BQW113" s="146"/>
      <c r="BQX113" s="146"/>
      <c r="BQY113" s="146"/>
      <c r="BQZ113" s="146"/>
      <c r="BRA113" s="146"/>
      <c r="BRB113" s="146"/>
      <c r="BRC113" s="146"/>
      <c r="BRD113" s="146"/>
      <c r="BRE113" s="146"/>
      <c r="BRF113" s="146"/>
      <c r="BRG113" s="146"/>
      <c r="BRH113" s="146"/>
      <c r="BRI113" s="146"/>
      <c r="BRJ113" s="146"/>
      <c r="BRK113" s="146"/>
      <c r="BRL113" s="146"/>
      <c r="BRM113" s="146"/>
      <c r="BRN113" s="146"/>
      <c r="BRO113" s="146"/>
      <c r="BRP113" s="146"/>
      <c r="BRQ113" s="146"/>
      <c r="BRR113" s="146"/>
      <c r="BRS113" s="146"/>
      <c r="BRT113" s="146"/>
      <c r="BRU113" s="146"/>
      <c r="BRV113" s="146"/>
      <c r="BRW113" s="146"/>
      <c r="BRX113" s="146"/>
      <c r="BRY113" s="146"/>
      <c r="BRZ113" s="146"/>
      <c r="BSA113" s="146"/>
      <c r="BSB113" s="146"/>
      <c r="BSC113" s="146"/>
      <c r="BSD113" s="146"/>
      <c r="BSE113" s="146"/>
      <c r="BSF113" s="146"/>
      <c r="BSG113" s="146"/>
      <c r="BSH113" s="146"/>
      <c r="BSI113" s="146"/>
      <c r="BSJ113" s="146"/>
      <c r="BSK113" s="146"/>
      <c r="BSL113" s="146"/>
      <c r="BSM113" s="146"/>
      <c r="BSN113" s="146"/>
      <c r="BSO113" s="146"/>
      <c r="BSP113" s="146"/>
      <c r="BSQ113" s="146"/>
      <c r="BSR113" s="146"/>
      <c r="BSS113" s="146"/>
      <c r="BST113" s="146"/>
      <c r="BSU113" s="146"/>
      <c r="BSV113" s="146"/>
      <c r="BSW113" s="146"/>
      <c r="BSX113" s="146"/>
      <c r="BSY113" s="146"/>
      <c r="BSZ113" s="146"/>
      <c r="BTA113" s="146"/>
      <c r="BTB113" s="146"/>
      <c r="BTC113" s="146"/>
      <c r="BTD113" s="146"/>
      <c r="BTE113" s="146"/>
      <c r="BTF113" s="146"/>
      <c r="BTG113" s="146"/>
      <c r="BTH113" s="146"/>
      <c r="BTI113" s="146"/>
      <c r="BTJ113" s="146"/>
      <c r="BTK113" s="146"/>
      <c r="BTL113" s="146"/>
      <c r="BTM113" s="146"/>
      <c r="BTN113" s="146"/>
      <c r="BTO113" s="146"/>
      <c r="BTP113" s="146"/>
      <c r="BTQ113" s="146"/>
      <c r="BTR113" s="146"/>
      <c r="BTS113" s="146"/>
      <c r="BTT113" s="146"/>
      <c r="BTU113" s="146"/>
      <c r="BTV113" s="146"/>
      <c r="BTW113" s="146"/>
      <c r="BTX113" s="146"/>
      <c r="BTY113" s="146"/>
      <c r="BTZ113" s="146"/>
      <c r="BUA113" s="146"/>
      <c r="BUB113" s="146"/>
      <c r="BUC113" s="146"/>
      <c r="BUD113" s="146"/>
      <c r="BUE113" s="146"/>
      <c r="BUF113" s="146"/>
      <c r="BUG113" s="146"/>
      <c r="BUH113" s="146"/>
      <c r="BUI113" s="146"/>
      <c r="BUJ113" s="146"/>
      <c r="BUK113" s="146"/>
      <c r="BUL113" s="146"/>
      <c r="BUM113" s="146"/>
      <c r="BUN113" s="146"/>
      <c r="BUO113" s="146"/>
      <c r="BUP113" s="146"/>
      <c r="BUQ113" s="146"/>
      <c r="BUR113" s="146"/>
      <c r="BUS113" s="146"/>
      <c r="BUT113" s="146"/>
      <c r="BUU113" s="146"/>
      <c r="BUV113" s="146"/>
      <c r="BUW113" s="146"/>
      <c r="BUX113" s="146"/>
      <c r="BUY113" s="146"/>
      <c r="BUZ113" s="146"/>
      <c r="BVA113" s="146"/>
      <c r="BVB113" s="146"/>
      <c r="BVC113" s="146"/>
      <c r="BVD113" s="146"/>
      <c r="BVE113" s="146"/>
      <c r="BVF113" s="146"/>
      <c r="BVG113" s="146"/>
      <c r="BVH113" s="146"/>
      <c r="BVI113" s="146"/>
      <c r="BVJ113" s="146"/>
      <c r="BVK113" s="146"/>
      <c r="BVL113" s="146"/>
      <c r="BVM113" s="146"/>
      <c r="BVN113" s="146"/>
      <c r="BVO113" s="146"/>
      <c r="BVP113" s="146"/>
      <c r="BVQ113" s="146"/>
      <c r="BVR113" s="146"/>
      <c r="BVS113" s="146"/>
      <c r="BVT113" s="146"/>
      <c r="BVU113" s="146"/>
      <c r="BVV113" s="146"/>
      <c r="BVW113" s="146"/>
      <c r="BVX113" s="146"/>
      <c r="BVY113" s="146"/>
      <c r="BVZ113" s="146"/>
      <c r="BWA113" s="146"/>
      <c r="BWB113" s="146"/>
      <c r="BWC113" s="146"/>
      <c r="BWD113" s="146"/>
      <c r="BWE113" s="146"/>
      <c r="BWF113" s="146"/>
      <c r="BWG113" s="146"/>
      <c r="BWH113" s="146"/>
      <c r="BWI113" s="146"/>
      <c r="BWJ113" s="146"/>
      <c r="BWK113" s="146"/>
      <c r="BWL113" s="146"/>
      <c r="BWM113" s="146"/>
      <c r="BWN113" s="146"/>
      <c r="BWO113" s="146"/>
      <c r="BWP113" s="146"/>
      <c r="BWQ113" s="146"/>
      <c r="BWR113" s="146"/>
      <c r="BWS113" s="146"/>
      <c r="BWT113" s="146"/>
      <c r="BWU113" s="146"/>
      <c r="BWV113" s="146"/>
      <c r="BWW113" s="146"/>
      <c r="BWX113" s="146"/>
      <c r="BWY113" s="146"/>
      <c r="BWZ113" s="146"/>
      <c r="BXA113" s="146"/>
      <c r="BXB113" s="146"/>
      <c r="BXC113" s="146"/>
      <c r="BXD113" s="146"/>
      <c r="BXE113" s="146"/>
      <c r="BXF113" s="146"/>
      <c r="BXG113" s="146"/>
      <c r="BXH113" s="146"/>
      <c r="BXI113" s="146"/>
      <c r="BXJ113" s="146"/>
      <c r="BXK113" s="146"/>
      <c r="BXL113" s="146"/>
      <c r="BXM113" s="146"/>
      <c r="BXN113" s="146"/>
      <c r="BXO113" s="146"/>
      <c r="BXP113" s="146"/>
      <c r="BXQ113" s="146"/>
      <c r="BXR113" s="146"/>
      <c r="BXS113" s="146"/>
      <c r="BXT113" s="146"/>
      <c r="BXU113" s="146"/>
      <c r="BXV113" s="146"/>
      <c r="BXW113" s="146"/>
      <c r="BXX113" s="146"/>
      <c r="BXY113" s="146"/>
      <c r="BXZ113" s="146"/>
      <c r="BYA113" s="146"/>
      <c r="BYB113" s="146"/>
      <c r="BYC113" s="146"/>
      <c r="BYD113" s="146"/>
      <c r="BYE113" s="146"/>
      <c r="BYF113" s="146"/>
      <c r="BYG113" s="146"/>
      <c r="BYH113" s="146"/>
      <c r="BYI113" s="146"/>
      <c r="BYJ113" s="146"/>
      <c r="BYK113" s="146"/>
      <c r="BYL113" s="146"/>
      <c r="BYM113" s="146"/>
      <c r="BYN113" s="146"/>
      <c r="BYO113" s="146"/>
      <c r="BYP113" s="146"/>
      <c r="BYQ113" s="146"/>
      <c r="BYR113" s="146"/>
      <c r="BYS113" s="146"/>
      <c r="BYT113" s="146"/>
      <c r="BYU113" s="146"/>
      <c r="BYV113" s="146"/>
      <c r="BYW113" s="146"/>
      <c r="BYX113" s="146"/>
      <c r="BYY113" s="146"/>
      <c r="BYZ113" s="146"/>
      <c r="BZA113" s="146"/>
      <c r="BZB113" s="146"/>
      <c r="BZC113" s="146"/>
      <c r="BZD113" s="146"/>
      <c r="BZE113" s="146"/>
      <c r="BZF113" s="146"/>
      <c r="BZG113" s="146"/>
      <c r="BZH113" s="146"/>
      <c r="BZI113" s="146"/>
      <c r="BZJ113" s="146"/>
      <c r="BZK113" s="146"/>
      <c r="BZL113" s="146"/>
      <c r="BZM113" s="146"/>
      <c r="BZN113" s="146"/>
      <c r="BZO113" s="146"/>
      <c r="BZP113" s="146"/>
      <c r="BZQ113" s="146"/>
      <c r="BZR113" s="146"/>
      <c r="BZS113" s="146"/>
      <c r="BZT113" s="146"/>
      <c r="BZU113" s="146"/>
      <c r="BZV113" s="146"/>
      <c r="BZW113" s="146"/>
      <c r="BZX113" s="146"/>
      <c r="BZY113" s="146"/>
      <c r="BZZ113" s="146"/>
      <c r="CAA113" s="146"/>
      <c r="CAB113" s="146"/>
      <c r="CAC113" s="146"/>
      <c r="CAD113" s="146"/>
      <c r="CAE113" s="146"/>
      <c r="CAF113" s="146"/>
      <c r="CAG113" s="146"/>
      <c r="CAH113" s="146"/>
      <c r="CAI113" s="146"/>
      <c r="CAJ113" s="146"/>
      <c r="CAK113" s="146"/>
      <c r="CAL113" s="146"/>
      <c r="CAM113" s="146"/>
      <c r="CAN113" s="146"/>
      <c r="CAO113" s="146"/>
      <c r="CAP113" s="146"/>
      <c r="CAQ113" s="146"/>
      <c r="CAR113" s="146"/>
      <c r="CAS113" s="146"/>
      <c r="CAT113" s="146"/>
      <c r="CAU113" s="146"/>
      <c r="CAV113" s="146"/>
      <c r="CAW113" s="146"/>
      <c r="CAX113" s="146"/>
      <c r="CAY113" s="146"/>
      <c r="CAZ113" s="146"/>
      <c r="CBA113" s="146"/>
      <c r="CBB113" s="146"/>
      <c r="CBC113" s="146"/>
      <c r="CBD113" s="146"/>
      <c r="CBE113" s="146"/>
      <c r="CBF113" s="146"/>
      <c r="CBG113" s="146"/>
      <c r="CBH113" s="146"/>
      <c r="CBI113" s="146"/>
      <c r="CBJ113" s="146"/>
      <c r="CBK113" s="146"/>
      <c r="CBL113" s="146"/>
      <c r="CBM113" s="146"/>
      <c r="CBN113" s="146"/>
      <c r="CBO113" s="146"/>
      <c r="CBP113" s="146"/>
      <c r="CBQ113" s="146"/>
      <c r="CBR113" s="146"/>
      <c r="CBS113" s="146"/>
      <c r="CBT113" s="146"/>
      <c r="CBU113" s="146"/>
      <c r="CBV113" s="146"/>
      <c r="CBW113" s="146"/>
      <c r="CBX113" s="146"/>
      <c r="CBY113" s="146"/>
      <c r="CBZ113" s="146"/>
      <c r="CCA113" s="146"/>
      <c r="CCB113" s="146"/>
      <c r="CCC113" s="146"/>
      <c r="CCD113" s="146"/>
      <c r="CCE113" s="146"/>
      <c r="CCF113" s="146"/>
      <c r="CCG113" s="146"/>
      <c r="CCH113" s="146"/>
      <c r="CCI113" s="146"/>
      <c r="CCJ113" s="146"/>
      <c r="CCK113" s="146"/>
      <c r="CCL113" s="146"/>
      <c r="CCM113" s="146"/>
      <c r="CCN113" s="146"/>
      <c r="CCO113" s="146"/>
      <c r="CCP113" s="146"/>
      <c r="CCQ113" s="146"/>
      <c r="CCR113" s="146"/>
      <c r="CCS113" s="146"/>
      <c r="CCT113" s="146"/>
      <c r="CCU113" s="146"/>
      <c r="CCV113" s="146"/>
      <c r="CCW113" s="146"/>
      <c r="CCX113" s="146"/>
      <c r="CCY113" s="146"/>
      <c r="CCZ113" s="146"/>
      <c r="CDA113" s="146"/>
      <c r="CDB113" s="146"/>
      <c r="CDC113" s="146"/>
      <c r="CDD113" s="146"/>
      <c r="CDE113" s="146"/>
      <c r="CDF113" s="146"/>
      <c r="CDG113" s="146"/>
      <c r="CDH113" s="146"/>
      <c r="CDI113" s="146"/>
      <c r="CDJ113" s="146"/>
      <c r="CDK113" s="146"/>
      <c r="CDL113" s="146"/>
      <c r="CDM113" s="146"/>
      <c r="CDN113" s="146"/>
      <c r="CDO113" s="146"/>
      <c r="CDP113" s="146"/>
      <c r="CDQ113" s="146"/>
      <c r="CDR113" s="146"/>
      <c r="CDS113" s="146"/>
      <c r="CDT113" s="146"/>
      <c r="CDU113" s="146"/>
      <c r="CDV113" s="146"/>
      <c r="CDW113" s="146"/>
      <c r="CDX113" s="146"/>
      <c r="CDY113" s="146"/>
      <c r="CDZ113" s="146"/>
      <c r="CEA113" s="146"/>
      <c r="CEB113" s="146"/>
      <c r="CEC113" s="146"/>
      <c r="CED113" s="146"/>
      <c r="CEE113" s="146"/>
      <c r="CEF113" s="146"/>
      <c r="CEG113" s="146"/>
      <c r="CEH113" s="146"/>
      <c r="CEI113" s="146"/>
      <c r="CEJ113" s="146"/>
      <c r="CEK113" s="146"/>
      <c r="CEL113" s="146"/>
      <c r="CEM113" s="146"/>
      <c r="CEN113" s="146"/>
      <c r="CEO113" s="146"/>
      <c r="CEP113" s="146"/>
      <c r="CEQ113" s="146"/>
      <c r="CER113" s="146"/>
      <c r="CES113" s="146"/>
      <c r="CET113" s="146"/>
      <c r="CEU113" s="146"/>
      <c r="CEV113" s="146"/>
      <c r="CEW113" s="146"/>
      <c r="CEX113" s="146"/>
      <c r="CEY113" s="146"/>
      <c r="CEZ113" s="146"/>
      <c r="CFA113" s="146"/>
      <c r="CFB113" s="146"/>
      <c r="CFC113" s="146"/>
      <c r="CFD113" s="146"/>
      <c r="CFE113" s="146"/>
      <c r="CFF113" s="146"/>
      <c r="CFG113" s="146"/>
      <c r="CFH113" s="146"/>
      <c r="CFI113" s="146"/>
      <c r="CFJ113" s="146"/>
      <c r="CFK113" s="146"/>
      <c r="CFL113" s="146"/>
      <c r="CFM113" s="146"/>
      <c r="CFN113" s="146"/>
      <c r="CFO113" s="146"/>
      <c r="CFP113" s="146"/>
      <c r="CFQ113" s="146"/>
      <c r="CFR113" s="146"/>
      <c r="CFS113" s="146"/>
      <c r="CFT113" s="146"/>
      <c r="CFU113" s="146"/>
      <c r="CFV113" s="146"/>
      <c r="CFW113" s="146"/>
      <c r="CFX113" s="146"/>
      <c r="CFY113" s="146"/>
      <c r="CFZ113" s="146"/>
      <c r="CGA113" s="146"/>
      <c r="CGB113" s="146"/>
      <c r="CGC113" s="146"/>
      <c r="CGD113" s="146"/>
      <c r="CGE113" s="146"/>
      <c r="CGF113" s="146"/>
      <c r="CGG113" s="146"/>
      <c r="CGH113" s="146"/>
      <c r="CGI113" s="146"/>
      <c r="CGJ113" s="146"/>
      <c r="CGK113" s="146"/>
      <c r="CGL113" s="146"/>
      <c r="CGM113" s="146"/>
      <c r="CGN113" s="146"/>
      <c r="CGO113" s="146"/>
      <c r="CGP113" s="146"/>
      <c r="CGQ113" s="146"/>
      <c r="CGR113" s="146"/>
      <c r="CGS113" s="146"/>
      <c r="CGT113" s="146"/>
      <c r="CGU113" s="146"/>
      <c r="CGV113" s="146"/>
      <c r="CGW113" s="146"/>
      <c r="CGX113" s="146"/>
      <c r="CGY113" s="146"/>
      <c r="CGZ113" s="146"/>
      <c r="CHA113" s="146"/>
      <c r="CHB113" s="146"/>
      <c r="CHC113" s="146"/>
      <c r="CHD113" s="146"/>
      <c r="CHE113" s="146"/>
      <c r="CHF113" s="146"/>
      <c r="CHG113" s="146"/>
      <c r="CHH113" s="146"/>
      <c r="CHI113" s="146"/>
      <c r="CHJ113" s="146"/>
      <c r="CHK113" s="146"/>
      <c r="CHL113" s="146"/>
      <c r="CHM113" s="146"/>
      <c r="CHN113" s="146"/>
      <c r="CHO113" s="146"/>
      <c r="CHP113" s="146"/>
      <c r="CHQ113" s="146"/>
      <c r="CHR113" s="146"/>
      <c r="CHS113" s="146"/>
      <c r="CHT113" s="146"/>
      <c r="CHU113" s="146"/>
      <c r="CHV113" s="146"/>
      <c r="CHW113" s="146"/>
      <c r="CHX113" s="146"/>
      <c r="CHY113" s="146"/>
      <c r="CHZ113" s="146"/>
      <c r="CIA113" s="146"/>
      <c r="CIB113" s="146"/>
      <c r="CIC113" s="146"/>
      <c r="CID113" s="146"/>
      <c r="CIE113" s="146"/>
      <c r="CIF113" s="146"/>
      <c r="CIG113" s="146"/>
      <c r="CIH113" s="146"/>
      <c r="CII113" s="146"/>
      <c r="CIJ113" s="146"/>
      <c r="CIK113" s="146"/>
      <c r="CIL113" s="146"/>
      <c r="CIM113" s="146"/>
      <c r="CIN113" s="146"/>
      <c r="CIO113" s="146"/>
      <c r="CIP113" s="146"/>
      <c r="CIQ113" s="146"/>
      <c r="CIR113" s="146"/>
      <c r="CIS113" s="146"/>
      <c r="CIT113" s="146"/>
      <c r="CIU113" s="146"/>
      <c r="CIV113" s="146"/>
      <c r="CIW113" s="146"/>
      <c r="CIX113" s="146"/>
      <c r="CIY113" s="146"/>
      <c r="CIZ113" s="146"/>
      <c r="CJA113" s="146"/>
      <c r="CJB113" s="146"/>
      <c r="CJC113" s="146"/>
      <c r="CJD113" s="146"/>
      <c r="CJE113" s="146"/>
      <c r="CJF113" s="146"/>
      <c r="CJG113" s="146"/>
      <c r="CJH113" s="146"/>
      <c r="CJI113" s="146"/>
      <c r="CJJ113" s="146"/>
      <c r="CJK113" s="146"/>
      <c r="CJL113" s="146"/>
      <c r="CJM113" s="146"/>
      <c r="CJN113" s="146"/>
      <c r="CJO113" s="146"/>
      <c r="CJP113" s="146"/>
      <c r="CJQ113" s="146"/>
      <c r="CJR113" s="146"/>
      <c r="CJS113" s="146"/>
      <c r="CJT113" s="146"/>
      <c r="CJU113" s="146"/>
      <c r="CJV113" s="146"/>
      <c r="CJW113" s="146"/>
      <c r="CJX113" s="146"/>
      <c r="CJY113" s="146"/>
      <c r="CJZ113" s="146"/>
      <c r="CKA113" s="146"/>
      <c r="CKB113" s="146"/>
      <c r="CKC113" s="146"/>
      <c r="CKD113" s="146"/>
      <c r="CKE113" s="146"/>
      <c r="CKF113" s="146"/>
      <c r="CKG113" s="146"/>
      <c r="CKH113" s="146"/>
      <c r="CKI113" s="146"/>
      <c r="CKJ113" s="146"/>
      <c r="CKK113" s="146"/>
      <c r="CKL113" s="146"/>
      <c r="CKM113" s="146"/>
      <c r="CKN113" s="146"/>
      <c r="CKO113" s="146"/>
      <c r="CKP113" s="146"/>
      <c r="CKQ113" s="146"/>
      <c r="CKR113" s="146"/>
      <c r="CKS113" s="146"/>
      <c r="CKT113" s="146"/>
      <c r="CKU113" s="146"/>
      <c r="CKV113" s="146"/>
      <c r="CKW113" s="146"/>
      <c r="CKX113" s="146"/>
      <c r="CKY113" s="146"/>
      <c r="CKZ113" s="146"/>
      <c r="CLA113" s="146"/>
      <c r="CLB113" s="146"/>
      <c r="CLC113" s="146"/>
      <c r="CLD113" s="146"/>
      <c r="CLE113" s="146"/>
      <c r="CLF113" s="146"/>
      <c r="CLG113" s="146"/>
      <c r="CLH113" s="146"/>
      <c r="CLI113" s="146"/>
      <c r="CLJ113" s="146"/>
      <c r="CLK113" s="146"/>
      <c r="CLL113" s="146"/>
      <c r="CLM113" s="146"/>
      <c r="CLN113" s="146"/>
      <c r="CLO113" s="146"/>
      <c r="CLP113" s="146"/>
      <c r="CLQ113" s="146"/>
      <c r="CLR113" s="146"/>
      <c r="CLS113" s="146"/>
      <c r="CLT113" s="146"/>
      <c r="CLU113" s="146"/>
      <c r="CLV113" s="146"/>
      <c r="CLW113" s="146"/>
      <c r="CLX113" s="146"/>
      <c r="CLY113" s="146"/>
      <c r="CLZ113" s="146"/>
      <c r="CMA113" s="146"/>
      <c r="CMB113" s="146"/>
      <c r="CMC113" s="146"/>
      <c r="CMD113" s="146"/>
      <c r="CME113" s="146"/>
      <c r="CMF113" s="146"/>
      <c r="CMG113" s="146"/>
      <c r="CMH113" s="146"/>
      <c r="CMI113" s="146"/>
      <c r="CMJ113" s="146"/>
      <c r="CMK113" s="146"/>
      <c r="CML113" s="146"/>
      <c r="CMM113" s="146"/>
      <c r="CMN113" s="146"/>
      <c r="CMO113" s="146"/>
      <c r="CMP113" s="146"/>
      <c r="CMQ113" s="146"/>
      <c r="CMR113" s="146"/>
      <c r="CMS113" s="146"/>
      <c r="CMT113" s="146"/>
      <c r="CMU113" s="146"/>
      <c r="CMV113" s="146"/>
      <c r="CMW113" s="146"/>
      <c r="CMX113" s="146"/>
      <c r="CMY113" s="146"/>
      <c r="CMZ113" s="146"/>
      <c r="CNA113" s="146"/>
      <c r="CNB113" s="146"/>
      <c r="CNC113" s="146"/>
      <c r="CND113" s="146"/>
      <c r="CNE113" s="146"/>
      <c r="CNF113" s="146"/>
      <c r="CNG113" s="146"/>
      <c r="CNH113" s="146"/>
      <c r="CNI113" s="146"/>
      <c r="CNJ113" s="146"/>
      <c r="CNK113" s="146"/>
      <c r="CNL113" s="146"/>
      <c r="CNM113" s="146"/>
      <c r="CNN113" s="146"/>
      <c r="CNO113" s="146"/>
      <c r="CNP113" s="146"/>
      <c r="CNQ113" s="146"/>
      <c r="CNR113" s="146"/>
      <c r="CNS113" s="146"/>
      <c r="CNT113" s="146"/>
      <c r="CNU113" s="146"/>
      <c r="CNV113" s="146"/>
      <c r="CNW113" s="146"/>
      <c r="CNX113" s="146"/>
      <c r="CNY113" s="146"/>
      <c r="CNZ113" s="146"/>
      <c r="COA113" s="146"/>
      <c r="COB113" s="146"/>
      <c r="COC113" s="146"/>
      <c r="COD113" s="146"/>
      <c r="COE113" s="146"/>
      <c r="COF113" s="146"/>
      <c r="COG113" s="146"/>
      <c r="COH113" s="146"/>
      <c r="COI113" s="146"/>
      <c r="COJ113" s="146"/>
      <c r="COK113" s="146"/>
      <c r="COL113" s="146"/>
      <c r="COM113" s="146"/>
      <c r="CON113" s="146"/>
      <c r="COO113" s="146"/>
      <c r="COP113" s="146"/>
      <c r="COQ113" s="146"/>
      <c r="COR113" s="146"/>
      <c r="COS113" s="146"/>
      <c r="COT113" s="146"/>
      <c r="COU113" s="146"/>
      <c r="COV113" s="146"/>
      <c r="COW113" s="146"/>
      <c r="COX113" s="146"/>
      <c r="COY113" s="146"/>
      <c r="COZ113" s="146"/>
      <c r="CPA113" s="146"/>
      <c r="CPB113" s="146"/>
      <c r="CPC113" s="146"/>
      <c r="CPD113" s="146"/>
      <c r="CPE113" s="146"/>
      <c r="CPF113" s="146"/>
      <c r="CPG113" s="146"/>
      <c r="CPH113" s="146"/>
      <c r="CPI113" s="146"/>
      <c r="CPJ113" s="146"/>
      <c r="CPK113" s="146"/>
      <c r="CPL113" s="146"/>
      <c r="CPM113" s="146"/>
      <c r="CPN113" s="146"/>
      <c r="CPO113" s="146"/>
      <c r="CPP113" s="146"/>
      <c r="CPQ113" s="146"/>
      <c r="CPR113" s="146"/>
      <c r="CPS113" s="146"/>
      <c r="CPT113" s="146"/>
      <c r="CPU113" s="146"/>
      <c r="CPV113" s="146"/>
      <c r="CPW113" s="146"/>
      <c r="CPX113" s="146"/>
      <c r="CPY113" s="146"/>
      <c r="CPZ113" s="146"/>
      <c r="CQA113" s="146"/>
      <c r="CQB113" s="146"/>
      <c r="CQC113" s="146"/>
      <c r="CQD113" s="146"/>
      <c r="CQE113" s="146"/>
      <c r="CQF113" s="146"/>
      <c r="CQG113" s="146"/>
      <c r="CQH113" s="146"/>
      <c r="CQI113" s="146"/>
      <c r="CQJ113" s="146"/>
      <c r="CQK113" s="146"/>
      <c r="CQL113" s="146"/>
      <c r="CQM113" s="146"/>
      <c r="CQN113" s="146"/>
      <c r="CQO113" s="146"/>
      <c r="CQP113" s="146"/>
      <c r="CQQ113" s="146"/>
      <c r="CQR113" s="146"/>
      <c r="CQS113" s="146"/>
      <c r="CQT113" s="146"/>
      <c r="CQU113" s="146"/>
      <c r="CQV113" s="146"/>
      <c r="CQW113" s="146"/>
      <c r="CQX113" s="146"/>
      <c r="CQY113" s="146"/>
      <c r="CQZ113" s="146"/>
      <c r="CRA113" s="146"/>
      <c r="CRB113" s="146"/>
      <c r="CRC113" s="146"/>
      <c r="CRD113" s="146"/>
      <c r="CRE113" s="146"/>
      <c r="CRF113" s="146"/>
      <c r="CRG113" s="146"/>
      <c r="CRH113" s="146"/>
      <c r="CRI113" s="146"/>
      <c r="CRJ113" s="146"/>
      <c r="CRK113" s="146"/>
      <c r="CRL113" s="146"/>
      <c r="CRM113" s="146"/>
      <c r="CRN113" s="146"/>
      <c r="CRO113" s="146"/>
      <c r="CRP113" s="146"/>
      <c r="CRQ113" s="146"/>
      <c r="CRR113" s="146"/>
      <c r="CRS113" s="146"/>
      <c r="CRT113" s="146"/>
      <c r="CRU113" s="146"/>
      <c r="CRV113" s="146"/>
      <c r="CRW113" s="146"/>
      <c r="CRX113" s="146"/>
      <c r="CRY113" s="146"/>
      <c r="CRZ113" s="146"/>
      <c r="CSA113" s="146"/>
      <c r="CSB113" s="146"/>
      <c r="CSC113" s="146"/>
      <c r="CSD113" s="146"/>
      <c r="CSE113" s="146"/>
      <c r="CSF113" s="146"/>
      <c r="CSG113" s="146"/>
      <c r="CSH113" s="146"/>
      <c r="CSI113" s="146"/>
      <c r="CSJ113" s="146"/>
      <c r="CSK113" s="146"/>
      <c r="CSL113" s="146"/>
      <c r="CSM113" s="146"/>
      <c r="CSN113" s="146"/>
      <c r="CSO113" s="146"/>
      <c r="CSP113" s="146"/>
      <c r="CSQ113" s="146"/>
      <c r="CSR113" s="146"/>
      <c r="CSS113" s="146"/>
      <c r="CST113" s="146"/>
      <c r="CSU113" s="146"/>
      <c r="CSV113" s="146"/>
      <c r="CSW113" s="146"/>
      <c r="CSX113" s="146"/>
      <c r="CSY113" s="146"/>
      <c r="CSZ113" s="146"/>
      <c r="CTA113" s="146"/>
      <c r="CTB113" s="146"/>
      <c r="CTC113" s="146"/>
      <c r="CTD113" s="146"/>
      <c r="CTE113" s="146"/>
      <c r="CTF113" s="146"/>
      <c r="CTG113" s="146"/>
      <c r="CTH113" s="146"/>
      <c r="CTI113" s="146"/>
      <c r="CTJ113" s="146"/>
      <c r="CTK113" s="146"/>
      <c r="CTL113" s="146"/>
      <c r="CTM113" s="146"/>
      <c r="CTN113" s="146"/>
      <c r="CTO113" s="146"/>
      <c r="CTP113" s="146"/>
      <c r="CTQ113" s="146"/>
      <c r="CTR113" s="146"/>
      <c r="CTS113" s="146"/>
      <c r="CTT113" s="146"/>
      <c r="CTU113" s="146"/>
      <c r="CTV113" s="146"/>
      <c r="CTW113" s="146"/>
      <c r="CTX113" s="146"/>
      <c r="CTY113" s="146"/>
      <c r="CTZ113" s="146"/>
      <c r="CUA113" s="146"/>
      <c r="CUB113" s="146"/>
      <c r="CUC113" s="146"/>
      <c r="CUD113" s="146"/>
      <c r="CUE113" s="146"/>
      <c r="CUF113" s="146"/>
      <c r="CUG113" s="146"/>
      <c r="CUH113" s="146"/>
      <c r="CUI113" s="146"/>
      <c r="CUJ113" s="146"/>
      <c r="CUK113" s="146"/>
      <c r="CUL113" s="146"/>
      <c r="CUM113" s="146"/>
      <c r="CUN113" s="146"/>
      <c r="CUO113" s="146"/>
      <c r="CUP113" s="146"/>
      <c r="CUQ113" s="146"/>
      <c r="CUR113" s="146"/>
      <c r="CUS113" s="146"/>
      <c r="CUT113" s="146"/>
      <c r="CUU113" s="146"/>
      <c r="CUV113" s="146"/>
      <c r="CUW113" s="146"/>
      <c r="CUX113" s="146"/>
      <c r="CUY113" s="146"/>
      <c r="CUZ113" s="146"/>
      <c r="CVA113" s="146"/>
      <c r="CVB113" s="146"/>
      <c r="CVC113" s="146"/>
      <c r="CVD113" s="146"/>
      <c r="CVE113" s="146"/>
      <c r="CVF113" s="146"/>
      <c r="CVG113" s="146"/>
      <c r="CVH113" s="146"/>
      <c r="CVI113" s="146"/>
      <c r="CVJ113" s="146"/>
      <c r="CVK113" s="146"/>
      <c r="CVL113" s="146"/>
      <c r="CVM113" s="146"/>
      <c r="CVN113" s="146"/>
      <c r="CVO113" s="146"/>
      <c r="CVP113" s="146"/>
      <c r="CVQ113" s="146"/>
      <c r="CVR113" s="146"/>
      <c r="CVS113" s="146"/>
      <c r="CVT113" s="146"/>
      <c r="CVU113" s="146"/>
      <c r="CVV113" s="146"/>
      <c r="CVW113" s="146"/>
      <c r="CVX113" s="146"/>
      <c r="CVY113" s="146"/>
      <c r="CVZ113" s="146"/>
      <c r="CWA113" s="146"/>
      <c r="CWB113" s="146"/>
      <c r="CWC113" s="146"/>
      <c r="CWD113" s="146"/>
      <c r="CWE113" s="146"/>
      <c r="CWF113" s="146"/>
      <c r="CWG113" s="146"/>
      <c r="CWH113" s="146"/>
      <c r="CWI113" s="146"/>
      <c r="CWJ113" s="146"/>
      <c r="CWK113" s="146"/>
      <c r="CWL113" s="146"/>
      <c r="CWM113" s="146"/>
      <c r="CWN113" s="146"/>
      <c r="CWO113" s="146"/>
      <c r="CWP113" s="146"/>
      <c r="CWQ113" s="146"/>
      <c r="CWR113" s="146"/>
      <c r="CWS113" s="146"/>
      <c r="CWT113" s="146"/>
      <c r="CWU113" s="146"/>
      <c r="CWV113" s="146"/>
      <c r="CWW113" s="146"/>
      <c r="CWX113" s="146"/>
      <c r="CWY113" s="146"/>
      <c r="CWZ113" s="146"/>
      <c r="CXA113" s="146"/>
      <c r="CXB113" s="146"/>
      <c r="CXC113" s="146"/>
      <c r="CXD113" s="146"/>
      <c r="CXE113" s="146"/>
      <c r="CXF113" s="146"/>
      <c r="CXG113" s="146"/>
      <c r="CXH113" s="146"/>
      <c r="CXI113" s="146"/>
      <c r="CXJ113" s="146"/>
      <c r="CXK113" s="146"/>
      <c r="CXL113" s="146"/>
      <c r="CXM113" s="146"/>
      <c r="CXN113" s="146"/>
      <c r="CXO113" s="146"/>
      <c r="CXP113" s="146"/>
      <c r="CXQ113" s="146"/>
      <c r="CXR113" s="146"/>
      <c r="CXS113" s="146"/>
      <c r="CXT113" s="146"/>
      <c r="CXU113" s="146"/>
      <c r="CXV113" s="146"/>
      <c r="CXW113" s="146"/>
      <c r="CXX113" s="146"/>
      <c r="CXY113" s="146"/>
      <c r="CXZ113" s="146"/>
      <c r="CYA113" s="146"/>
      <c r="CYB113" s="146"/>
      <c r="CYC113" s="146"/>
      <c r="CYD113" s="146"/>
      <c r="CYE113" s="146"/>
      <c r="CYF113" s="146"/>
      <c r="CYG113" s="146"/>
      <c r="CYH113" s="146"/>
      <c r="CYI113" s="146"/>
      <c r="CYJ113" s="146"/>
      <c r="CYK113" s="146"/>
      <c r="CYL113" s="146"/>
      <c r="CYM113" s="146"/>
      <c r="CYN113" s="146"/>
      <c r="CYO113" s="146"/>
      <c r="CYP113" s="146"/>
      <c r="CYQ113" s="146"/>
      <c r="CYR113" s="146"/>
      <c r="CYS113" s="146"/>
      <c r="CYT113" s="146"/>
      <c r="CYU113" s="146"/>
      <c r="CYV113" s="146"/>
      <c r="CYW113" s="146"/>
      <c r="CYX113" s="146"/>
      <c r="CYY113" s="146"/>
      <c r="CYZ113" s="146"/>
      <c r="CZA113" s="146"/>
      <c r="CZB113" s="146"/>
      <c r="CZC113" s="146"/>
      <c r="CZD113" s="146"/>
      <c r="CZE113" s="146"/>
      <c r="CZF113" s="146"/>
      <c r="CZG113" s="146"/>
      <c r="CZH113" s="146"/>
      <c r="CZI113" s="146"/>
      <c r="CZJ113" s="146"/>
      <c r="CZK113" s="146"/>
      <c r="CZL113" s="146"/>
      <c r="CZM113" s="146"/>
      <c r="CZN113" s="146"/>
      <c r="CZO113" s="146"/>
      <c r="CZP113" s="146"/>
      <c r="CZQ113" s="146"/>
      <c r="CZR113" s="146"/>
      <c r="CZS113" s="146"/>
      <c r="CZT113" s="146"/>
      <c r="CZU113" s="146"/>
      <c r="CZV113" s="146"/>
      <c r="CZW113" s="146"/>
      <c r="CZX113" s="146"/>
      <c r="CZY113" s="146"/>
      <c r="CZZ113" s="146"/>
      <c r="DAA113" s="146"/>
      <c r="DAB113" s="146"/>
      <c r="DAC113" s="146"/>
      <c r="DAD113" s="146"/>
      <c r="DAE113" s="146"/>
      <c r="DAF113" s="146"/>
      <c r="DAG113" s="146"/>
      <c r="DAH113" s="146"/>
      <c r="DAI113" s="146"/>
      <c r="DAJ113" s="146"/>
      <c r="DAK113" s="146"/>
      <c r="DAL113" s="146"/>
      <c r="DAM113" s="146"/>
      <c r="DAN113" s="146"/>
      <c r="DAO113" s="146"/>
      <c r="DAP113" s="146"/>
      <c r="DAQ113" s="146"/>
      <c r="DAR113" s="146"/>
      <c r="DAS113" s="146"/>
      <c r="DAT113" s="146"/>
      <c r="DAU113" s="146"/>
      <c r="DAV113" s="146"/>
      <c r="DAW113" s="146"/>
      <c r="DAX113" s="146"/>
      <c r="DAY113" s="146"/>
      <c r="DAZ113" s="146"/>
      <c r="DBA113" s="146"/>
      <c r="DBB113" s="146"/>
      <c r="DBC113" s="146"/>
      <c r="DBD113" s="146"/>
      <c r="DBE113" s="146"/>
      <c r="DBF113" s="146"/>
      <c r="DBG113" s="146"/>
      <c r="DBH113" s="146"/>
      <c r="DBI113" s="146"/>
      <c r="DBJ113" s="146"/>
      <c r="DBK113" s="146"/>
      <c r="DBL113" s="146"/>
      <c r="DBM113" s="146"/>
      <c r="DBN113" s="146"/>
      <c r="DBO113" s="146"/>
      <c r="DBP113" s="146"/>
      <c r="DBQ113" s="146"/>
      <c r="DBR113" s="146"/>
      <c r="DBS113" s="146"/>
      <c r="DBT113" s="146"/>
      <c r="DBU113" s="146"/>
      <c r="DBV113" s="146"/>
      <c r="DBW113" s="146"/>
      <c r="DBX113" s="146"/>
      <c r="DBY113" s="146"/>
      <c r="DBZ113" s="146"/>
      <c r="DCA113" s="146"/>
      <c r="DCB113" s="146"/>
      <c r="DCC113" s="146"/>
      <c r="DCD113" s="146"/>
      <c r="DCE113" s="146"/>
      <c r="DCF113" s="146"/>
      <c r="DCG113" s="146"/>
      <c r="DCH113" s="146"/>
      <c r="DCI113" s="146"/>
      <c r="DCJ113" s="146"/>
      <c r="DCK113" s="146"/>
      <c r="DCL113" s="146"/>
      <c r="DCM113" s="146"/>
      <c r="DCN113" s="146"/>
      <c r="DCO113" s="146"/>
      <c r="DCP113" s="146"/>
      <c r="DCQ113" s="146"/>
      <c r="DCR113" s="146"/>
      <c r="DCS113" s="146"/>
      <c r="DCT113" s="146"/>
      <c r="DCU113" s="146"/>
      <c r="DCV113" s="146"/>
      <c r="DCW113" s="146"/>
      <c r="DCX113" s="146"/>
      <c r="DCY113" s="146"/>
      <c r="DCZ113" s="146"/>
      <c r="DDA113" s="146"/>
      <c r="DDB113" s="146"/>
      <c r="DDC113" s="146"/>
      <c r="DDD113" s="146"/>
      <c r="DDE113" s="146"/>
      <c r="DDF113" s="146"/>
      <c r="DDG113" s="146"/>
      <c r="DDH113" s="146"/>
      <c r="DDI113" s="146"/>
      <c r="DDJ113" s="146"/>
      <c r="DDK113" s="146"/>
      <c r="DDL113" s="146"/>
      <c r="DDM113" s="146"/>
      <c r="DDN113" s="146"/>
      <c r="DDO113" s="146"/>
      <c r="DDP113" s="146"/>
      <c r="DDQ113" s="146"/>
      <c r="DDR113" s="146"/>
      <c r="DDS113" s="146"/>
      <c r="DDT113" s="146"/>
      <c r="DDU113" s="146"/>
      <c r="DDV113" s="146"/>
      <c r="DDW113" s="146"/>
      <c r="DDX113" s="146"/>
      <c r="DDY113" s="146"/>
      <c r="DDZ113" s="146"/>
      <c r="DEA113" s="146"/>
      <c r="DEB113" s="146"/>
      <c r="DEC113" s="146"/>
      <c r="DED113" s="146"/>
      <c r="DEE113" s="146"/>
      <c r="DEF113" s="146"/>
      <c r="DEG113" s="146"/>
      <c r="DEH113" s="146"/>
      <c r="DEI113" s="146"/>
      <c r="DEJ113" s="146"/>
      <c r="DEK113" s="146"/>
      <c r="DEL113" s="146"/>
      <c r="DEM113" s="146"/>
      <c r="DEN113" s="146"/>
      <c r="DEO113" s="146"/>
      <c r="DEP113" s="146"/>
      <c r="DEQ113" s="146"/>
      <c r="DER113" s="146"/>
      <c r="DES113" s="146"/>
      <c r="DET113" s="146"/>
      <c r="DEU113" s="146"/>
      <c r="DEV113" s="146"/>
      <c r="DEW113" s="146"/>
      <c r="DEX113" s="146"/>
      <c r="DEY113" s="146"/>
      <c r="DEZ113" s="146"/>
      <c r="DFA113" s="146"/>
      <c r="DFB113" s="146"/>
      <c r="DFC113" s="146"/>
      <c r="DFD113" s="146"/>
      <c r="DFE113" s="146"/>
      <c r="DFF113" s="146"/>
      <c r="DFG113" s="146"/>
      <c r="DFH113" s="146"/>
      <c r="DFI113" s="146"/>
      <c r="DFJ113" s="146"/>
      <c r="DFK113" s="146"/>
      <c r="DFL113" s="146"/>
      <c r="DFM113" s="146"/>
      <c r="DFN113" s="146"/>
      <c r="DFO113" s="146"/>
      <c r="DFP113" s="146"/>
      <c r="DFQ113" s="146"/>
      <c r="DFR113" s="146"/>
      <c r="DFS113" s="146"/>
      <c r="DFT113" s="146"/>
      <c r="DFU113" s="146"/>
      <c r="DFV113" s="146"/>
      <c r="DFW113" s="146"/>
      <c r="DFX113" s="146"/>
      <c r="DFY113" s="146"/>
      <c r="DFZ113" s="146"/>
      <c r="DGA113" s="146"/>
      <c r="DGB113" s="146"/>
      <c r="DGC113" s="146"/>
      <c r="DGD113" s="146"/>
      <c r="DGE113" s="146"/>
      <c r="DGF113" s="146"/>
      <c r="DGG113" s="146"/>
      <c r="DGH113" s="146"/>
      <c r="DGI113" s="146"/>
      <c r="DGJ113" s="146"/>
      <c r="DGK113" s="146"/>
      <c r="DGL113" s="146"/>
      <c r="DGM113" s="146"/>
      <c r="DGN113" s="146"/>
      <c r="DGO113" s="146"/>
      <c r="DGP113" s="146"/>
      <c r="DGQ113" s="146"/>
      <c r="DGR113" s="146"/>
      <c r="DGS113" s="146"/>
      <c r="DGT113" s="146"/>
      <c r="DGU113" s="146"/>
      <c r="DGV113" s="146"/>
      <c r="DGW113" s="146"/>
      <c r="DGX113" s="146"/>
      <c r="DGY113" s="146"/>
      <c r="DGZ113" s="146"/>
      <c r="DHA113" s="146"/>
      <c r="DHB113" s="146"/>
      <c r="DHC113" s="146"/>
      <c r="DHD113" s="146"/>
      <c r="DHE113" s="146"/>
      <c r="DHF113" s="146"/>
      <c r="DHG113" s="146"/>
      <c r="DHH113" s="146"/>
      <c r="DHI113" s="146"/>
      <c r="DHJ113" s="146"/>
      <c r="DHK113" s="146"/>
      <c r="DHL113" s="146"/>
      <c r="DHM113" s="146"/>
      <c r="DHN113" s="146"/>
      <c r="DHO113" s="146"/>
      <c r="DHP113" s="146"/>
      <c r="DHQ113" s="146"/>
      <c r="DHR113" s="146"/>
      <c r="DHS113" s="146"/>
      <c r="DHT113" s="146"/>
      <c r="DHU113" s="146"/>
      <c r="DHV113" s="146"/>
      <c r="DHW113" s="146"/>
      <c r="DHX113" s="146"/>
      <c r="DHY113" s="146"/>
      <c r="DHZ113" s="146"/>
      <c r="DIA113" s="146"/>
      <c r="DIB113" s="146"/>
      <c r="DIC113" s="146"/>
      <c r="DID113" s="146"/>
      <c r="DIE113" s="146"/>
      <c r="DIF113" s="146"/>
      <c r="DIG113" s="146"/>
      <c r="DIH113" s="146"/>
      <c r="DII113" s="146"/>
      <c r="DIJ113" s="146"/>
      <c r="DIK113" s="146"/>
      <c r="DIL113" s="146"/>
      <c r="DIM113" s="146"/>
      <c r="DIN113" s="146"/>
      <c r="DIO113" s="146"/>
      <c r="DIP113" s="146"/>
      <c r="DIQ113" s="146"/>
      <c r="DIR113" s="146"/>
      <c r="DIS113" s="146"/>
      <c r="DIT113" s="146"/>
      <c r="DIU113" s="146"/>
      <c r="DIV113" s="146"/>
      <c r="DIW113" s="146"/>
      <c r="DIX113" s="146"/>
      <c r="DIY113" s="146"/>
      <c r="DIZ113" s="146"/>
      <c r="DJA113" s="146"/>
      <c r="DJB113" s="146"/>
      <c r="DJC113" s="146"/>
      <c r="DJD113" s="146"/>
      <c r="DJE113" s="146"/>
      <c r="DJF113" s="146"/>
      <c r="DJG113" s="146"/>
      <c r="DJH113" s="146"/>
      <c r="DJI113" s="146"/>
      <c r="DJJ113" s="146"/>
      <c r="DJK113" s="146"/>
      <c r="DJL113" s="146"/>
      <c r="DJM113" s="146"/>
      <c r="DJN113" s="146"/>
      <c r="DJO113" s="146"/>
      <c r="DJP113" s="146"/>
      <c r="DJQ113" s="146"/>
      <c r="DJR113" s="146"/>
      <c r="DJS113" s="146"/>
      <c r="DJT113" s="146"/>
      <c r="DJU113" s="146"/>
      <c r="DJV113" s="146"/>
      <c r="DJW113" s="146"/>
      <c r="DJX113" s="146"/>
      <c r="DJY113" s="146"/>
      <c r="DJZ113" s="146"/>
      <c r="DKA113" s="146"/>
      <c r="DKB113" s="146"/>
      <c r="DKC113" s="146"/>
      <c r="DKD113" s="146"/>
      <c r="DKE113" s="146"/>
      <c r="DKF113" s="146"/>
      <c r="DKG113" s="146"/>
      <c r="DKH113" s="146"/>
      <c r="DKI113" s="146"/>
      <c r="DKJ113" s="146"/>
      <c r="DKK113" s="146"/>
      <c r="DKL113" s="146"/>
      <c r="DKM113" s="146"/>
      <c r="DKN113" s="146"/>
      <c r="DKO113" s="146"/>
      <c r="DKP113" s="146"/>
      <c r="DKQ113" s="146"/>
      <c r="DKR113" s="146"/>
      <c r="DKS113" s="146"/>
      <c r="DKT113" s="146"/>
      <c r="DKU113" s="146"/>
      <c r="DKV113" s="146"/>
      <c r="DKW113" s="146"/>
      <c r="DKX113" s="146"/>
      <c r="DKY113" s="146"/>
      <c r="DKZ113" s="146"/>
      <c r="DLA113" s="146"/>
      <c r="DLB113" s="146"/>
      <c r="DLC113" s="146"/>
      <c r="DLD113" s="146"/>
      <c r="DLE113" s="146"/>
      <c r="DLF113" s="146"/>
      <c r="DLG113" s="146"/>
      <c r="DLH113" s="146"/>
      <c r="DLI113" s="146"/>
      <c r="DLJ113" s="146"/>
      <c r="DLK113" s="146"/>
      <c r="DLL113" s="146"/>
      <c r="DLM113" s="146"/>
      <c r="DLN113" s="146"/>
      <c r="DLO113" s="146"/>
      <c r="DLP113" s="146"/>
      <c r="DLQ113" s="146"/>
      <c r="DLR113" s="146"/>
      <c r="DLS113" s="146"/>
      <c r="DLT113" s="146"/>
      <c r="DLU113" s="146"/>
      <c r="DLV113" s="146"/>
      <c r="DLW113" s="146"/>
      <c r="DLX113" s="146"/>
      <c r="DLY113" s="146"/>
      <c r="DLZ113" s="146"/>
      <c r="DMA113" s="146"/>
      <c r="DMB113" s="146"/>
      <c r="DMC113" s="146"/>
      <c r="DMD113" s="146"/>
      <c r="DME113" s="146"/>
      <c r="DMF113" s="146"/>
      <c r="DMG113" s="146"/>
      <c r="DMH113" s="146"/>
      <c r="DMI113" s="146"/>
      <c r="DMJ113" s="146"/>
      <c r="DMK113" s="146"/>
      <c r="DML113" s="146"/>
      <c r="DMM113" s="146"/>
      <c r="DMN113" s="146"/>
      <c r="DMO113" s="146"/>
      <c r="DMP113" s="146"/>
      <c r="DMQ113" s="146"/>
      <c r="DMR113" s="146"/>
      <c r="DMS113" s="146"/>
      <c r="DMT113" s="146"/>
      <c r="DMU113" s="146"/>
      <c r="DMV113" s="146"/>
      <c r="DMW113" s="146"/>
      <c r="DMX113" s="146"/>
      <c r="DMY113" s="146"/>
      <c r="DMZ113" s="146"/>
      <c r="DNA113" s="146"/>
      <c r="DNB113" s="146"/>
      <c r="DNC113" s="146"/>
      <c r="DND113" s="146"/>
      <c r="DNE113" s="146"/>
      <c r="DNF113" s="146"/>
      <c r="DNG113" s="146"/>
      <c r="DNH113" s="146"/>
      <c r="DNI113" s="146"/>
      <c r="DNJ113" s="146"/>
      <c r="DNK113" s="146"/>
      <c r="DNL113" s="146"/>
      <c r="DNM113" s="146"/>
      <c r="DNN113" s="146"/>
      <c r="DNO113" s="146"/>
      <c r="DNP113" s="146"/>
      <c r="DNQ113" s="146"/>
      <c r="DNR113" s="146"/>
      <c r="DNS113" s="146"/>
      <c r="DNT113" s="146"/>
      <c r="DNU113" s="146"/>
      <c r="DNV113" s="146"/>
      <c r="DNW113" s="146"/>
      <c r="DNX113" s="146"/>
      <c r="DNY113" s="146"/>
      <c r="DNZ113" s="146"/>
      <c r="DOA113" s="146"/>
      <c r="DOB113" s="146"/>
      <c r="DOC113" s="146"/>
      <c r="DOD113" s="146"/>
      <c r="DOE113" s="146"/>
      <c r="DOF113" s="146"/>
      <c r="DOG113" s="146"/>
      <c r="DOH113" s="146"/>
      <c r="DOI113" s="146"/>
      <c r="DOJ113" s="146"/>
      <c r="DOK113" s="146"/>
      <c r="DOL113" s="146"/>
      <c r="DOM113" s="146"/>
      <c r="DON113" s="146"/>
      <c r="DOO113" s="146"/>
      <c r="DOP113" s="146"/>
      <c r="DOQ113" s="146"/>
      <c r="DOR113" s="146"/>
      <c r="DOS113" s="146"/>
      <c r="DOT113" s="146"/>
      <c r="DOU113" s="146"/>
      <c r="DOV113" s="146"/>
      <c r="DOW113" s="146"/>
      <c r="DOX113" s="146"/>
      <c r="DOY113" s="146"/>
      <c r="DOZ113" s="146"/>
      <c r="DPA113" s="146"/>
      <c r="DPB113" s="146"/>
      <c r="DPC113" s="146"/>
      <c r="DPD113" s="146"/>
      <c r="DPE113" s="146"/>
      <c r="DPF113" s="146"/>
      <c r="DPG113" s="146"/>
      <c r="DPH113" s="146"/>
      <c r="DPI113" s="146"/>
      <c r="DPJ113" s="146"/>
      <c r="DPK113" s="146"/>
      <c r="DPL113" s="146"/>
      <c r="DPM113" s="146"/>
      <c r="DPN113" s="146"/>
      <c r="DPO113" s="146"/>
      <c r="DPP113" s="146"/>
      <c r="DPQ113" s="146"/>
      <c r="DPR113" s="146"/>
      <c r="DPS113" s="146"/>
      <c r="DPT113" s="146"/>
      <c r="DPU113" s="146"/>
      <c r="DPV113" s="146"/>
      <c r="DPW113" s="146"/>
      <c r="DPX113" s="146"/>
      <c r="DPY113" s="146"/>
      <c r="DPZ113" s="146"/>
      <c r="DQA113" s="146"/>
      <c r="DQB113" s="146"/>
      <c r="DQC113" s="146"/>
      <c r="DQD113" s="146"/>
      <c r="DQE113" s="146"/>
      <c r="DQF113" s="146"/>
      <c r="DQG113" s="146"/>
      <c r="DQH113" s="146"/>
      <c r="DQI113" s="146"/>
      <c r="DQJ113" s="146"/>
      <c r="DQK113" s="146"/>
      <c r="DQL113" s="146"/>
      <c r="DQM113" s="146"/>
      <c r="DQN113" s="146"/>
      <c r="DQO113" s="146"/>
      <c r="DQP113" s="146"/>
      <c r="DQQ113" s="146"/>
      <c r="DQR113" s="146"/>
      <c r="DQS113" s="146"/>
      <c r="DQT113" s="146"/>
      <c r="DQU113" s="146"/>
      <c r="DQV113" s="146"/>
      <c r="DQW113" s="146"/>
      <c r="DQX113" s="146"/>
      <c r="DQY113" s="146"/>
      <c r="DQZ113" s="146"/>
      <c r="DRA113" s="146"/>
      <c r="DRB113" s="146"/>
      <c r="DRC113" s="146"/>
      <c r="DRD113" s="146"/>
      <c r="DRE113" s="146"/>
      <c r="DRF113" s="146"/>
      <c r="DRG113" s="146"/>
      <c r="DRH113" s="146"/>
      <c r="DRI113" s="146"/>
      <c r="DRJ113" s="146"/>
      <c r="DRK113" s="146"/>
      <c r="DRL113" s="146"/>
      <c r="DRM113" s="146"/>
      <c r="DRN113" s="146"/>
      <c r="DRO113" s="146"/>
      <c r="DRP113" s="146"/>
      <c r="DRQ113" s="146"/>
      <c r="DRR113" s="146"/>
      <c r="DRS113" s="146"/>
      <c r="DRT113" s="146"/>
      <c r="DRU113" s="146"/>
      <c r="DRV113" s="146"/>
      <c r="DRW113" s="146"/>
      <c r="DRX113" s="146"/>
      <c r="DRY113" s="146"/>
      <c r="DRZ113" s="146"/>
      <c r="DSA113" s="146"/>
      <c r="DSB113" s="146"/>
      <c r="DSC113" s="146"/>
      <c r="DSD113" s="146"/>
      <c r="DSE113" s="146"/>
      <c r="DSF113" s="146"/>
      <c r="DSG113" s="146"/>
      <c r="DSH113" s="146"/>
      <c r="DSI113" s="146"/>
      <c r="DSJ113" s="146"/>
      <c r="DSK113" s="146"/>
      <c r="DSL113" s="146"/>
      <c r="DSM113" s="146"/>
      <c r="DSN113" s="146"/>
      <c r="DSO113" s="146"/>
      <c r="DSP113" s="146"/>
      <c r="DSQ113" s="146"/>
      <c r="DSR113" s="146"/>
      <c r="DSS113" s="146"/>
      <c r="DST113" s="146"/>
      <c r="DSU113" s="146"/>
      <c r="DSV113" s="146"/>
      <c r="DSW113" s="146"/>
      <c r="DSX113" s="146"/>
      <c r="DSY113" s="146"/>
      <c r="DSZ113" s="146"/>
      <c r="DTA113" s="146"/>
      <c r="DTB113" s="146"/>
      <c r="DTC113" s="146"/>
      <c r="DTD113" s="146"/>
      <c r="DTE113" s="146"/>
      <c r="DTF113" s="146"/>
      <c r="DTG113" s="146"/>
      <c r="DTH113" s="146"/>
      <c r="DTI113" s="146"/>
      <c r="DTJ113" s="146"/>
      <c r="DTK113" s="146"/>
      <c r="DTL113" s="146"/>
      <c r="DTM113" s="146"/>
      <c r="DTN113" s="146"/>
      <c r="DTO113" s="146"/>
      <c r="DTP113" s="146"/>
      <c r="DTQ113" s="146"/>
      <c r="DTR113" s="146"/>
      <c r="DTS113" s="146"/>
      <c r="DTT113" s="146"/>
      <c r="DTU113" s="146"/>
      <c r="DTV113" s="146"/>
      <c r="DTW113" s="146"/>
      <c r="DTX113" s="146"/>
      <c r="DTY113" s="146"/>
      <c r="DTZ113" s="146"/>
      <c r="DUA113" s="146"/>
      <c r="DUB113" s="146"/>
      <c r="DUC113" s="146"/>
      <c r="DUD113" s="146"/>
      <c r="DUE113" s="146"/>
      <c r="DUF113" s="146"/>
      <c r="DUG113" s="146"/>
      <c r="DUH113" s="146"/>
      <c r="DUI113" s="146"/>
      <c r="DUJ113" s="146"/>
      <c r="DUK113" s="146"/>
      <c r="DUL113" s="146"/>
      <c r="DUM113" s="146"/>
      <c r="DUN113" s="146"/>
      <c r="DUO113" s="146"/>
      <c r="DUP113" s="146"/>
      <c r="DUQ113" s="146"/>
      <c r="DUR113" s="146"/>
      <c r="DUS113" s="146"/>
      <c r="DUT113" s="146"/>
      <c r="DUU113" s="146"/>
      <c r="DUV113" s="146"/>
      <c r="DUW113" s="146"/>
      <c r="DUX113" s="146"/>
      <c r="DUY113" s="146"/>
      <c r="DUZ113" s="146"/>
      <c r="DVA113" s="146"/>
      <c r="DVB113" s="146"/>
      <c r="DVC113" s="146"/>
      <c r="DVD113" s="146"/>
      <c r="DVE113" s="146"/>
      <c r="DVF113" s="146"/>
      <c r="DVG113" s="146"/>
      <c r="DVH113" s="146"/>
      <c r="DVI113" s="146"/>
      <c r="DVJ113" s="146"/>
      <c r="DVK113" s="146"/>
      <c r="DVL113" s="146"/>
      <c r="DVM113" s="146"/>
      <c r="DVN113" s="146"/>
      <c r="DVO113" s="146"/>
      <c r="DVP113" s="146"/>
      <c r="DVQ113" s="146"/>
      <c r="DVR113" s="146"/>
      <c r="DVS113" s="146"/>
      <c r="DVT113" s="146"/>
      <c r="DVU113" s="146"/>
      <c r="DVV113" s="146"/>
      <c r="DVW113" s="146"/>
      <c r="DVX113" s="146"/>
      <c r="DVY113" s="146"/>
      <c r="DVZ113" s="146"/>
      <c r="DWA113" s="146"/>
      <c r="DWB113" s="146"/>
      <c r="DWC113" s="146"/>
      <c r="DWD113" s="146"/>
      <c r="DWE113" s="146"/>
      <c r="DWF113" s="146"/>
      <c r="DWG113" s="146"/>
      <c r="DWH113" s="146"/>
      <c r="DWI113" s="146"/>
      <c r="DWJ113" s="146"/>
      <c r="DWK113" s="146"/>
      <c r="DWL113" s="146"/>
      <c r="DWM113" s="146"/>
      <c r="DWN113" s="146"/>
      <c r="DWO113" s="146"/>
      <c r="DWP113" s="146"/>
      <c r="DWQ113" s="146"/>
      <c r="DWR113" s="146"/>
      <c r="DWS113" s="146"/>
      <c r="DWT113" s="146"/>
      <c r="DWU113" s="146"/>
      <c r="DWV113" s="146"/>
      <c r="DWW113" s="146"/>
      <c r="DWX113" s="146"/>
      <c r="DWY113" s="146"/>
      <c r="DWZ113" s="146"/>
      <c r="DXA113" s="146"/>
      <c r="DXB113" s="146"/>
      <c r="DXC113" s="146"/>
      <c r="DXD113" s="146"/>
      <c r="DXE113" s="146"/>
      <c r="DXF113" s="146"/>
      <c r="DXG113" s="146"/>
      <c r="DXH113" s="146"/>
      <c r="DXI113" s="146"/>
      <c r="DXJ113" s="146"/>
      <c r="DXK113" s="146"/>
      <c r="DXL113" s="146"/>
      <c r="DXM113" s="146"/>
      <c r="DXN113" s="146"/>
      <c r="DXO113" s="146"/>
      <c r="DXP113" s="146"/>
      <c r="DXQ113" s="146"/>
      <c r="DXR113" s="146"/>
      <c r="DXS113" s="146"/>
      <c r="DXT113" s="146"/>
      <c r="DXU113" s="146"/>
      <c r="DXV113" s="146"/>
      <c r="DXW113" s="146"/>
      <c r="DXX113" s="146"/>
      <c r="DXY113" s="146"/>
      <c r="DXZ113" s="146"/>
      <c r="DYA113" s="146"/>
      <c r="DYB113" s="146"/>
      <c r="DYC113" s="146"/>
      <c r="DYD113" s="146"/>
      <c r="DYE113" s="146"/>
      <c r="DYF113" s="146"/>
      <c r="DYG113" s="146"/>
      <c r="DYH113" s="146"/>
      <c r="DYI113" s="146"/>
      <c r="DYJ113" s="146"/>
      <c r="DYK113" s="146"/>
      <c r="DYL113" s="146"/>
      <c r="DYM113" s="146"/>
      <c r="DYN113" s="146"/>
      <c r="DYO113" s="146"/>
      <c r="DYP113" s="146"/>
      <c r="DYQ113" s="146"/>
      <c r="DYR113" s="146"/>
      <c r="DYS113" s="146"/>
      <c r="DYT113" s="146"/>
      <c r="DYU113" s="146"/>
      <c r="DYV113" s="146"/>
      <c r="DYW113" s="146"/>
      <c r="DYX113" s="146"/>
      <c r="DYY113" s="146"/>
      <c r="DYZ113" s="146"/>
      <c r="DZA113" s="146"/>
      <c r="DZB113" s="146"/>
      <c r="DZC113" s="146"/>
      <c r="DZD113" s="146"/>
      <c r="DZE113" s="146"/>
      <c r="DZF113" s="146"/>
      <c r="DZG113" s="146"/>
      <c r="DZH113" s="146"/>
      <c r="DZI113" s="146"/>
      <c r="DZJ113" s="146"/>
      <c r="DZK113" s="146"/>
      <c r="DZL113" s="146"/>
      <c r="DZM113" s="146"/>
      <c r="DZN113" s="146"/>
      <c r="DZO113" s="146"/>
      <c r="DZP113" s="146"/>
      <c r="DZQ113" s="146"/>
      <c r="DZR113" s="146"/>
      <c r="DZS113" s="146"/>
      <c r="DZT113" s="146"/>
      <c r="DZU113" s="146"/>
      <c r="DZV113" s="146"/>
      <c r="DZW113" s="146"/>
      <c r="DZX113" s="146"/>
      <c r="DZY113" s="146"/>
      <c r="DZZ113" s="146"/>
      <c r="EAA113" s="146"/>
      <c r="EAB113" s="146"/>
      <c r="EAC113" s="146"/>
      <c r="EAD113" s="146"/>
      <c r="EAE113" s="146"/>
      <c r="EAF113" s="146"/>
      <c r="EAG113" s="146"/>
      <c r="EAH113" s="146"/>
      <c r="EAI113" s="146"/>
      <c r="EAJ113" s="146"/>
      <c r="EAK113" s="146"/>
      <c r="EAL113" s="146"/>
      <c r="EAM113" s="146"/>
      <c r="EAN113" s="146"/>
      <c r="EAO113" s="146"/>
      <c r="EAP113" s="146"/>
      <c r="EAQ113" s="146"/>
      <c r="EAR113" s="146"/>
      <c r="EAS113" s="146"/>
      <c r="EAT113" s="146"/>
      <c r="EAU113" s="146"/>
      <c r="EAV113" s="146"/>
      <c r="EAW113" s="146"/>
      <c r="EAX113" s="146"/>
      <c r="EAY113" s="146"/>
      <c r="EAZ113" s="146"/>
      <c r="EBA113" s="146"/>
      <c r="EBB113" s="146"/>
      <c r="EBC113" s="146"/>
      <c r="EBD113" s="146"/>
      <c r="EBE113" s="146"/>
      <c r="EBF113" s="146"/>
      <c r="EBG113" s="146"/>
      <c r="EBH113" s="146"/>
      <c r="EBI113" s="146"/>
      <c r="EBJ113" s="146"/>
      <c r="EBK113" s="146"/>
      <c r="EBL113" s="146"/>
      <c r="EBM113" s="146"/>
      <c r="EBN113" s="146"/>
      <c r="EBO113" s="146"/>
      <c r="EBP113" s="146"/>
      <c r="EBQ113" s="146"/>
      <c r="EBR113" s="146"/>
      <c r="EBS113" s="146"/>
      <c r="EBT113" s="146"/>
      <c r="EBU113" s="146"/>
      <c r="EBV113" s="146"/>
      <c r="EBW113" s="146"/>
      <c r="EBX113" s="146"/>
      <c r="EBY113" s="146"/>
      <c r="EBZ113" s="146"/>
      <c r="ECA113" s="146"/>
      <c r="ECB113" s="146"/>
      <c r="ECC113" s="146"/>
      <c r="ECD113" s="146"/>
      <c r="ECE113" s="146"/>
      <c r="ECF113" s="146"/>
      <c r="ECG113" s="146"/>
      <c r="ECH113" s="146"/>
      <c r="ECI113" s="146"/>
      <c r="ECJ113" s="146"/>
      <c r="ECK113" s="146"/>
      <c r="ECL113" s="146"/>
      <c r="ECM113" s="146"/>
      <c r="ECN113" s="146"/>
      <c r="ECO113" s="146"/>
      <c r="ECP113" s="146"/>
      <c r="ECQ113" s="146"/>
      <c r="ECR113" s="146"/>
      <c r="ECS113" s="146"/>
      <c r="ECT113" s="146"/>
      <c r="ECU113" s="146"/>
      <c r="ECV113" s="146"/>
      <c r="ECW113" s="146"/>
      <c r="ECX113" s="146"/>
      <c r="ECY113" s="146"/>
      <c r="ECZ113" s="146"/>
      <c r="EDA113" s="146"/>
      <c r="EDB113" s="146"/>
      <c r="EDC113" s="146"/>
      <c r="EDD113" s="146"/>
      <c r="EDE113" s="146"/>
      <c r="EDF113" s="146"/>
      <c r="EDG113" s="146"/>
      <c r="EDH113" s="146"/>
      <c r="EDI113" s="146"/>
      <c r="EDJ113" s="146"/>
      <c r="EDK113" s="146"/>
      <c r="EDL113" s="146"/>
      <c r="EDM113" s="146"/>
      <c r="EDN113" s="146"/>
      <c r="EDO113" s="146"/>
      <c r="EDP113" s="146"/>
      <c r="EDQ113" s="146"/>
      <c r="EDR113" s="146"/>
      <c r="EDS113" s="146"/>
      <c r="EDT113" s="146"/>
      <c r="EDU113" s="146"/>
      <c r="EDV113" s="146"/>
      <c r="EDW113" s="146"/>
      <c r="EDX113" s="146"/>
      <c r="EDY113" s="146"/>
      <c r="EDZ113" s="146"/>
      <c r="EEA113" s="146"/>
      <c r="EEB113" s="146"/>
      <c r="EEC113" s="146"/>
      <c r="EED113" s="146"/>
      <c r="EEE113" s="146"/>
      <c r="EEF113" s="146"/>
      <c r="EEG113" s="146"/>
      <c r="EEH113" s="146"/>
      <c r="EEI113" s="146"/>
      <c r="EEJ113" s="146"/>
      <c r="EEK113" s="146"/>
      <c r="EEL113" s="146"/>
      <c r="EEM113" s="146"/>
      <c r="EEN113" s="146"/>
      <c r="EEO113" s="146"/>
      <c r="EEP113" s="146"/>
      <c r="EEQ113" s="146"/>
      <c r="EER113" s="146"/>
      <c r="EES113" s="146"/>
      <c r="EET113" s="146"/>
      <c r="EEU113" s="146"/>
      <c r="EEV113" s="146"/>
      <c r="EEW113" s="146"/>
      <c r="EEX113" s="146"/>
      <c r="EEY113" s="146"/>
      <c r="EEZ113" s="146"/>
      <c r="EFA113" s="146"/>
      <c r="EFB113" s="146"/>
      <c r="EFC113" s="146"/>
      <c r="EFD113" s="146"/>
      <c r="EFE113" s="146"/>
      <c r="EFF113" s="146"/>
      <c r="EFG113" s="146"/>
      <c r="EFH113" s="146"/>
      <c r="EFI113" s="146"/>
      <c r="EFJ113" s="146"/>
      <c r="EFK113" s="146"/>
      <c r="EFL113" s="146"/>
      <c r="EFM113" s="146"/>
      <c r="EFN113" s="146"/>
      <c r="EFO113" s="146"/>
      <c r="EFP113" s="146"/>
      <c r="EFQ113" s="146"/>
      <c r="EFR113" s="146"/>
      <c r="EFS113" s="146"/>
      <c r="EFT113" s="146"/>
      <c r="EFU113" s="146"/>
      <c r="EFV113" s="146"/>
      <c r="EFW113" s="146"/>
      <c r="EFX113" s="146"/>
      <c r="EFY113" s="146"/>
      <c r="EFZ113" s="146"/>
      <c r="EGA113" s="146"/>
      <c r="EGB113" s="146"/>
      <c r="EGC113" s="146"/>
      <c r="EGD113" s="146"/>
      <c r="EGE113" s="146"/>
      <c r="EGF113" s="146"/>
      <c r="EGG113" s="146"/>
      <c r="EGH113" s="146"/>
      <c r="EGI113" s="146"/>
      <c r="EGJ113" s="146"/>
      <c r="EGK113" s="146"/>
      <c r="EGL113" s="146"/>
      <c r="EGM113" s="146"/>
      <c r="EGN113" s="146"/>
      <c r="EGO113" s="146"/>
      <c r="EGP113" s="146"/>
      <c r="EGQ113" s="146"/>
      <c r="EGR113" s="146"/>
      <c r="EGS113" s="146"/>
      <c r="EGT113" s="146"/>
      <c r="EGU113" s="146"/>
      <c r="EGV113" s="146"/>
      <c r="EGW113" s="146"/>
      <c r="EGX113" s="146"/>
      <c r="EGY113" s="146"/>
      <c r="EGZ113" s="146"/>
      <c r="EHA113" s="146"/>
      <c r="EHB113" s="146"/>
      <c r="EHC113" s="146"/>
      <c r="EHD113" s="146"/>
      <c r="EHE113" s="146"/>
      <c r="EHF113" s="146"/>
      <c r="EHG113" s="146"/>
      <c r="EHH113" s="146"/>
      <c r="EHI113" s="146"/>
      <c r="EHJ113" s="146"/>
      <c r="EHK113" s="146"/>
      <c r="EHL113" s="146"/>
      <c r="EHM113" s="146"/>
      <c r="EHN113" s="146"/>
      <c r="EHO113" s="146"/>
      <c r="EHP113" s="146"/>
      <c r="EHQ113" s="146"/>
      <c r="EHR113" s="146"/>
      <c r="EHS113" s="146"/>
      <c r="EHT113" s="146"/>
      <c r="EHU113" s="146"/>
      <c r="EHV113" s="146"/>
      <c r="EHW113" s="146"/>
      <c r="EHX113" s="146"/>
      <c r="EHY113" s="146"/>
      <c r="EHZ113" s="146"/>
      <c r="EIA113" s="146"/>
      <c r="EIB113" s="146"/>
      <c r="EIC113" s="146"/>
      <c r="EID113" s="146"/>
      <c r="EIE113" s="146"/>
      <c r="EIF113" s="146"/>
      <c r="EIG113" s="146"/>
      <c r="EIH113" s="146"/>
      <c r="EII113" s="146"/>
      <c r="EIJ113" s="146"/>
      <c r="EIK113" s="146"/>
      <c r="EIL113" s="146"/>
      <c r="EIM113" s="146"/>
      <c r="EIN113" s="146"/>
      <c r="EIO113" s="146"/>
      <c r="EIP113" s="146"/>
      <c r="EIQ113" s="146"/>
      <c r="EIR113" s="146"/>
      <c r="EIS113" s="146"/>
      <c r="EIT113" s="146"/>
      <c r="EIU113" s="146"/>
      <c r="EIV113" s="146"/>
      <c r="EIW113" s="146"/>
      <c r="EIX113" s="146"/>
      <c r="EIY113" s="146"/>
      <c r="EIZ113" s="146"/>
      <c r="EJA113" s="146"/>
      <c r="EJB113" s="146"/>
      <c r="EJC113" s="146"/>
      <c r="EJD113" s="146"/>
      <c r="EJE113" s="146"/>
      <c r="EJF113" s="146"/>
      <c r="EJG113" s="146"/>
      <c r="EJH113" s="146"/>
      <c r="EJI113" s="146"/>
      <c r="EJJ113" s="146"/>
      <c r="EJK113" s="146"/>
      <c r="EJL113" s="146"/>
      <c r="EJM113" s="146"/>
      <c r="EJN113" s="146"/>
      <c r="EJO113" s="146"/>
      <c r="EJP113" s="146"/>
      <c r="EJQ113" s="146"/>
      <c r="EJR113" s="146"/>
      <c r="EJS113" s="146"/>
      <c r="EJT113" s="146"/>
      <c r="EJU113" s="146"/>
      <c r="EJV113" s="146"/>
      <c r="EJW113" s="146"/>
      <c r="EJX113" s="146"/>
      <c r="EJY113" s="146"/>
      <c r="EJZ113" s="146"/>
      <c r="EKA113" s="146"/>
      <c r="EKB113" s="146"/>
      <c r="EKC113" s="146"/>
      <c r="EKD113" s="146"/>
      <c r="EKE113" s="146"/>
      <c r="EKF113" s="146"/>
      <c r="EKG113" s="146"/>
      <c r="EKH113" s="146"/>
      <c r="EKI113" s="146"/>
      <c r="EKJ113" s="146"/>
      <c r="EKK113" s="146"/>
      <c r="EKL113" s="146"/>
      <c r="EKM113" s="146"/>
      <c r="EKN113" s="146"/>
      <c r="EKO113" s="146"/>
      <c r="EKP113" s="146"/>
      <c r="EKQ113" s="146"/>
      <c r="EKR113" s="146"/>
      <c r="EKS113" s="146"/>
      <c r="EKT113" s="146"/>
      <c r="EKU113" s="146"/>
      <c r="EKV113" s="146"/>
      <c r="EKW113" s="146"/>
      <c r="EKX113" s="146"/>
      <c r="EKY113" s="146"/>
      <c r="EKZ113" s="146"/>
      <c r="ELA113" s="146"/>
      <c r="ELB113" s="146"/>
      <c r="ELC113" s="146"/>
      <c r="ELD113" s="146"/>
      <c r="ELE113" s="146"/>
      <c r="ELF113" s="146"/>
      <c r="ELG113" s="146"/>
      <c r="ELH113" s="146"/>
      <c r="ELI113" s="146"/>
      <c r="ELJ113" s="146"/>
      <c r="ELK113" s="146"/>
      <c r="ELL113" s="146"/>
      <c r="ELM113" s="146"/>
      <c r="ELN113" s="146"/>
      <c r="ELO113" s="146"/>
      <c r="ELP113" s="146"/>
      <c r="ELQ113" s="146"/>
      <c r="ELR113" s="146"/>
      <c r="ELS113" s="146"/>
      <c r="ELT113" s="146"/>
      <c r="ELU113" s="146"/>
      <c r="ELV113" s="146"/>
      <c r="ELW113" s="146"/>
      <c r="ELX113" s="146"/>
      <c r="ELY113" s="146"/>
      <c r="ELZ113" s="146"/>
      <c r="EMA113" s="146"/>
      <c r="EMB113" s="146"/>
      <c r="EMC113" s="146"/>
      <c r="EMD113" s="146"/>
      <c r="EME113" s="146"/>
      <c r="EMF113" s="146"/>
      <c r="EMG113" s="146"/>
      <c r="EMH113" s="146"/>
      <c r="EMI113" s="146"/>
      <c r="EMJ113" s="146"/>
      <c r="EMK113" s="146"/>
      <c r="EML113" s="146"/>
      <c r="EMM113" s="146"/>
      <c r="EMN113" s="146"/>
      <c r="EMO113" s="146"/>
      <c r="EMP113" s="146"/>
      <c r="EMQ113" s="146"/>
      <c r="EMR113" s="146"/>
      <c r="EMS113" s="146"/>
      <c r="EMT113" s="146"/>
      <c r="EMU113" s="146"/>
      <c r="EMV113" s="146"/>
      <c r="EMW113" s="146"/>
      <c r="EMX113" s="146"/>
      <c r="EMY113" s="146"/>
      <c r="EMZ113" s="146"/>
      <c r="ENA113" s="146"/>
      <c r="ENB113" s="146"/>
      <c r="ENC113" s="146"/>
      <c r="END113" s="146"/>
      <c r="ENE113" s="146"/>
      <c r="ENF113" s="146"/>
      <c r="ENG113" s="146"/>
      <c r="ENH113" s="146"/>
      <c r="ENI113" s="146"/>
      <c r="ENJ113" s="146"/>
      <c r="ENK113" s="146"/>
      <c r="ENL113" s="146"/>
      <c r="ENM113" s="146"/>
      <c r="ENN113" s="146"/>
      <c r="ENO113" s="146"/>
      <c r="ENP113" s="146"/>
      <c r="ENQ113" s="146"/>
      <c r="ENR113" s="146"/>
      <c r="ENS113" s="146"/>
      <c r="ENT113" s="146"/>
      <c r="ENU113" s="146"/>
      <c r="ENV113" s="146"/>
      <c r="ENW113" s="146"/>
      <c r="ENX113" s="146"/>
      <c r="ENY113" s="146"/>
      <c r="ENZ113" s="146"/>
      <c r="EOA113" s="146"/>
      <c r="EOB113" s="146"/>
      <c r="EOC113" s="146"/>
      <c r="EOD113" s="146"/>
      <c r="EOE113" s="146"/>
      <c r="EOF113" s="146"/>
      <c r="EOG113" s="146"/>
      <c r="EOH113" s="146"/>
      <c r="EOI113" s="146"/>
      <c r="EOJ113" s="146"/>
      <c r="EOK113" s="146"/>
      <c r="EOL113" s="146"/>
      <c r="EOM113" s="146"/>
      <c r="EON113" s="146"/>
      <c r="EOO113" s="146"/>
      <c r="EOP113" s="146"/>
      <c r="EOQ113" s="146"/>
      <c r="EOR113" s="146"/>
      <c r="EOS113" s="146"/>
      <c r="EOT113" s="146"/>
      <c r="EOU113" s="146"/>
      <c r="EOV113" s="146"/>
      <c r="EOW113" s="146"/>
      <c r="EOX113" s="146"/>
      <c r="EOY113" s="146"/>
      <c r="EOZ113" s="146"/>
      <c r="EPA113" s="146"/>
      <c r="EPB113" s="146"/>
      <c r="EPC113" s="146"/>
      <c r="EPD113" s="146"/>
      <c r="EPE113" s="146"/>
      <c r="EPF113" s="146"/>
      <c r="EPG113" s="146"/>
      <c r="EPH113" s="146"/>
      <c r="EPI113" s="146"/>
      <c r="EPJ113" s="146"/>
      <c r="EPK113" s="146"/>
      <c r="EPL113" s="146"/>
      <c r="EPM113" s="146"/>
      <c r="EPN113" s="146"/>
      <c r="EPO113" s="146"/>
      <c r="EPP113" s="146"/>
      <c r="EPQ113" s="146"/>
      <c r="EPR113" s="146"/>
      <c r="EPS113" s="146"/>
      <c r="EPT113" s="146"/>
      <c r="EPU113" s="146"/>
      <c r="EPV113" s="146"/>
      <c r="EPW113" s="146"/>
      <c r="EPX113" s="146"/>
      <c r="EPY113" s="146"/>
      <c r="EPZ113" s="146"/>
      <c r="EQA113" s="146"/>
      <c r="EQB113" s="146"/>
      <c r="EQC113" s="146"/>
      <c r="EQD113" s="146"/>
      <c r="EQE113" s="146"/>
      <c r="EQF113" s="146"/>
      <c r="EQG113" s="146"/>
      <c r="EQH113" s="146"/>
      <c r="EQI113" s="146"/>
      <c r="EQJ113" s="146"/>
      <c r="EQK113" s="146"/>
      <c r="EQL113" s="146"/>
      <c r="EQM113" s="146"/>
      <c r="EQN113" s="146"/>
      <c r="EQO113" s="146"/>
      <c r="EQP113" s="146"/>
      <c r="EQQ113" s="146"/>
      <c r="EQR113" s="146"/>
      <c r="EQS113" s="146"/>
      <c r="EQT113" s="146"/>
      <c r="EQU113" s="146"/>
      <c r="EQV113" s="146"/>
      <c r="EQW113" s="146"/>
      <c r="EQX113" s="146"/>
      <c r="EQY113" s="146"/>
      <c r="EQZ113" s="146"/>
      <c r="ERA113" s="146"/>
      <c r="ERB113" s="146"/>
      <c r="ERC113" s="146"/>
      <c r="ERD113" s="146"/>
      <c r="ERE113" s="146"/>
      <c r="ERF113" s="146"/>
      <c r="ERG113" s="146"/>
      <c r="ERH113" s="146"/>
      <c r="ERI113" s="146"/>
      <c r="ERJ113" s="146"/>
      <c r="ERK113" s="146"/>
      <c r="ERL113" s="146"/>
      <c r="ERM113" s="146"/>
      <c r="ERN113" s="146"/>
      <c r="ERO113" s="146"/>
      <c r="ERP113" s="146"/>
      <c r="ERQ113" s="146"/>
      <c r="ERR113" s="146"/>
      <c r="ERS113" s="146"/>
      <c r="ERT113" s="146"/>
      <c r="ERU113" s="146"/>
      <c r="ERV113" s="146"/>
      <c r="ERW113" s="146"/>
      <c r="ERX113" s="146"/>
      <c r="ERY113" s="146"/>
      <c r="ERZ113" s="146"/>
      <c r="ESA113" s="146"/>
      <c r="ESB113" s="146"/>
      <c r="ESC113" s="146"/>
      <c r="ESD113" s="146"/>
      <c r="ESE113" s="146"/>
      <c r="ESF113" s="146"/>
      <c r="ESG113" s="146"/>
      <c r="ESH113" s="146"/>
      <c r="ESI113" s="146"/>
      <c r="ESJ113" s="146"/>
      <c r="ESK113" s="146"/>
      <c r="ESL113" s="146"/>
      <c r="ESM113" s="146"/>
      <c r="ESN113" s="146"/>
      <c r="ESO113" s="146"/>
      <c r="ESP113" s="146"/>
      <c r="ESQ113" s="146"/>
      <c r="ESR113" s="146"/>
      <c r="ESS113" s="146"/>
      <c r="EST113" s="146"/>
      <c r="ESU113" s="146"/>
      <c r="ESV113" s="146"/>
      <c r="ESW113" s="146"/>
      <c r="ESX113" s="146"/>
      <c r="ESY113" s="146"/>
      <c r="ESZ113" s="146"/>
      <c r="ETA113" s="146"/>
      <c r="ETB113" s="146"/>
      <c r="ETC113" s="146"/>
      <c r="ETD113" s="146"/>
      <c r="ETE113" s="146"/>
      <c r="ETF113" s="146"/>
      <c r="ETG113" s="146"/>
      <c r="ETH113" s="146"/>
      <c r="ETI113" s="146"/>
      <c r="ETJ113" s="146"/>
      <c r="ETK113" s="146"/>
      <c r="ETL113" s="146"/>
      <c r="ETM113" s="146"/>
      <c r="ETN113" s="146"/>
      <c r="ETO113" s="146"/>
      <c r="ETP113" s="146"/>
      <c r="ETQ113" s="146"/>
      <c r="ETR113" s="146"/>
      <c r="ETS113" s="146"/>
      <c r="ETT113" s="146"/>
      <c r="ETU113" s="146"/>
      <c r="ETV113" s="146"/>
      <c r="ETW113" s="146"/>
      <c r="ETX113" s="146"/>
      <c r="ETY113" s="146"/>
      <c r="ETZ113" s="146"/>
      <c r="EUA113" s="146"/>
      <c r="EUB113" s="146"/>
      <c r="EUC113" s="146"/>
      <c r="EUD113" s="146"/>
      <c r="EUE113" s="146"/>
      <c r="EUF113" s="146"/>
      <c r="EUG113" s="146"/>
      <c r="EUH113" s="146"/>
      <c r="EUI113" s="146"/>
      <c r="EUJ113" s="146"/>
      <c r="EUK113" s="146"/>
      <c r="EUL113" s="146"/>
      <c r="EUM113" s="146"/>
      <c r="EUN113" s="146"/>
      <c r="EUO113" s="146"/>
      <c r="EUP113" s="146"/>
      <c r="EUQ113" s="146"/>
      <c r="EUR113" s="146"/>
      <c r="EUS113" s="146"/>
      <c r="EUT113" s="146"/>
      <c r="EUU113" s="146"/>
      <c r="EUV113" s="146"/>
      <c r="EUW113" s="146"/>
      <c r="EUX113" s="146"/>
      <c r="EUY113" s="146"/>
      <c r="EUZ113" s="146"/>
      <c r="EVA113" s="146"/>
      <c r="EVB113" s="146"/>
      <c r="EVC113" s="146"/>
      <c r="EVD113" s="146"/>
      <c r="EVE113" s="146"/>
      <c r="EVF113" s="146"/>
      <c r="EVG113" s="146"/>
      <c r="EVH113" s="146"/>
      <c r="EVI113" s="146"/>
      <c r="EVJ113" s="146"/>
      <c r="EVK113" s="146"/>
      <c r="EVL113" s="146"/>
      <c r="EVM113" s="146"/>
      <c r="EVN113" s="146"/>
      <c r="EVO113" s="146"/>
      <c r="EVP113" s="146"/>
      <c r="EVQ113" s="146"/>
      <c r="EVR113" s="146"/>
      <c r="EVS113" s="146"/>
      <c r="EVT113" s="146"/>
      <c r="EVU113" s="146"/>
      <c r="EVV113" s="146"/>
      <c r="EVW113" s="146"/>
      <c r="EVX113" s="146"/>
      <c r="EVY113" s="146"/>
      <c r="EVZ113" s="146"/>
      <c r="EWA113" s="146"/>
      <c r="EWB113" s="146"/>
      <c r="EWC113" s="146"/>
      <c r="EWD113" s="146"/>
      <c r="EWE113" s="146"/>
      <c r="EWF113" s="146"/>
      <c r="EWG113" s="146"/>
      <c r="EWH113" s="146"/>
      <c r="EWI113" s="146"/>
      <c r="EWJ113" s="146"/>
      <c r="EWK113" s="146"/>
      <c r="EWL113" s="146"/>
      <c r="EWM113" s="146"/>
      <c r="EWN113" s="146"/>
      <c r="EWO113" s="146"/>
      <c r="EWP113" s="146"/>
      <c r="EWQ113" s="146"/>
      <c r="EWR113" s="146"/>
      <c r="EWS113" s="146"/>
      <c r="EWT113" s="146"/>
      <c r="EWU113" s="146"/>
      <c r="EWV113" s="146"/>
      <c r="EWW113" s="146"/>
      <c r="EWX113" s="146"/>
      <c r="EWY113" s="146"/>
      <c r="EWZ113" s="146"/>
      <c r="EXA113" s="146"/>
      <c r="EXB113" s="146"/>
      <c r="EXC113" s="146"/>
      <c r="EXD113" s="146"/>
      <c r="EXE113" s="146"/>
      <c r="EXF113" s="146"/>
      <c r="EXG113" s="146"/>
      <c r="EXH113" s="146"/>
      <c r="EXI113" s="146"/>
      <c r="EXJ113" s="146"/>
      <c r="EXK113" s="146"/>
      <c r="EXL113" s="146"/>
      <c r="EXM113" s="146"/>
      <c r="EXN113" s="146"/>
      <c r="EXO113" s="146"/>
      <c r="EXP113" s="146"/>
      <c r="EXQ113" s="146"/>
      <c r="EXR113" s="146"/>
      <c r="EXS113" s="146"/>
      <c r="EXT113" s="146"/>
      <c r="EXU113" s="146"/>
      <c r="EXV113" s="146"/>
      <c r="EXW113" s="146"/>
      <c r="EXX113" s="146"/>
      <c r="EXY113" s="146"/>
      <c r="EXZ113" s="146"/>
      <c r="EYA113" s="146"/>
      <c r="EYB113" s="146"/>
      <c r="EYC113" s="146"/>
      <c r="EYD113" s="146"/>
      <c r="EYE113" s="146"/>
      <c r="EYF113" s="146"/>
      <c r="EYG113" s="146"/>
      <c r="EYH113" s="146"/>
      <c r="EYI113" s="146"/>
      <c r="EYJ113" s="146"/>
      <c r="EYK113" s="146"/>
      <c r="EYL113" s="146"/>
      <c r="EYM113" s="146"/>
      <c r="EYN113" s="146"/>
      <c r="EYO113" s="146"/>
      <c r="EYP113" s="146"/>
      <c r="EYQ113" s="146"/>
      <c r="EYR113" s="146"/>
      <c r="EYS113" s="146"/>
      <c r="EYT113" s="146"/>
      <c r="EYU113" s="146"/>
      <c r="EYV113" s="146"/>
      <c r="EYW113" s="146"/>
      <c r="EYX113" s="146"/>
      <c r="EYY113" s="146"/>
      <c r="EYZ113" s="146"/>
      <c r="EZA113" s="146"/>
      <c r="EZB113" s="146"/>
      <c r="EZC113" s="146"/>
      <c r="EZD113" s="146"/>
      <c r="EZE113" s="146"/>
      <c r="EZF113" s="146"/>
      <c r="EZG113" s="146"/>
      <c r="EZH113" s="146"/>
      <c r="EZI113" s="146"/>
      <c r="EZJ113" s="146"/>
      <c r="EZK113" s="146"/>
      <c r="EZL113" s="146"/>
      <c r="EZM113" s="146"/>
      <c r="EZN113" s="146"/>
      <c r="EZO113" s="146"/>
      <c r="EZP113" s="146"/>
      <c r="EZQ113" s="146"/>
      <c r="EZR113" s="146"/>
      <c r="EZS113" s="146"/>
      <c r="EZT113" s="146"/>
      <c r="EZU113" s="146"/>
      <c r="EZV113" s="146"/>
      <c r="EZW113" s="146"/>
      <c r="EZX113" s="146"/>
      <c r="EZY113" s="146"/>
      <c r="EZZ113" s="146"/>
      <c r="FAA113" s="146"/>
      <c r="FAB113" s="146"/>
      <c r="FAC113" s="146"/>
      <c r="FAD113" s="146"/>
      <c r="FAE113" s="146"/>
      <c r="FAF113" s="146"/>
      <c r="FAG113" s="146"/>
      <c r="FAH113" s="146"/>
      <c r="FAI113" s="146"/>
      <c r="FAJ113" s="146"/>
      <c r="FAK113" s="146"/>
      <c r="FAL113" s="146"/>
      <c r="FAM113" s="146"/>
      <c r="FAN113" s="146"/>
      <c r="FAO113" s="146"/>
      <c r="FAP113" s="146"/>
      <c r="FAQ113" s="146"/>
      <c r="FAR113" s="146"/>
      <c r="FAS113" s="146"/>
      <c r="FAT113" s="146"/>
      <c r="FAU113" s="146"/>
      <c r="FAV113" s="146"/>
      <c r="FAW113" s="146"/>
      <c r="FAX113" s="146"/>
      <c r="FAY113" s="146"/>
      <c r="FAZ113" s="146"/>
      <c r="FBA113" s="146"/>
      <c r="FBB113" s="146"/>
      <c r="FBC113" s="146"/>
      <c r="FBD113" s="146"/>
      <c r="FBE113" s="146"/>
      <c r="FBF113" s="146"/>
      <c r="FBG113" s="146"/>
      <c r="FBH113" s="146"/>
      <c r="FBI113" s="146"/>
      <c r="FBJ113" s="146"/>
      <c r="FBK113" s="146"/>
      <c r="FBL113" s="146"/>
      <c r="FBM113" s="146"/>
      <c r="FBN113" s="146"/>
      <c r="FBO113" s="146"/>
      <c r="FBP113" s="146"/>
      <c r="FBQ113" s="146"/>
      <c r="FBR113" s="146"/>
      <c r="FBS113" s="146"/>
      <c r="FBT113" s="146"/>
      <c r="FBU113" s="146"/>
      <c r="FBV113" s="146"/>
      <c r="FBW113" s="146"/>
      <c r="FBX113" s="146"/>
      <c r="FBY113" s="146"/>
      <c r="FBZ113" s="146"/>
      <c r="FCA113" s="146"/>
      <c r="FCB113" s="146"/>
      <c r="FCC113" s="146"/>
      <c r="FCD113" s="146"/>
      <c r="FCE113" s="146"/>
      <c r="FCF113" s="146"/>
      <c r="FCG113" s="146"/>
      <c r="FCH113" s="146"/>
      <c r="FCI113" s="146"/>
      <c r="FCJ113" s="146"/>
      <c r="FCK113" s="146"/>
      <c r="FCL113" s="146"/>
      <c r="FCM113" s="146"/>
      <c r="FCN113" s="146"/>
      <c r="FCO113" s="146"/>
      <c r="FCP113" s="146"/>
      <c r="FCQ113" s="146"/>
      <c r="FCR113" s="146"/>
      <c r="FCS113" s="146"/>
      <c r="FCT113" s="146"/>
      <c r="FCU113" s="146"/>
      <c r="FCV113" s="146"/>
      <c r="FCW113" s="146"/>
      <c r="FCX113" s="146"/>
      <c r="FCY113" s="146"/>
      <c r="FCZ113" s="146"/>
      <c r="FDA113" s="146"/>
      <c r="FDB113" s="146"/>
      <c r="FDC113" s="146"/>
      <c r="FDD113" s="146"/>
      <c r="FDE113" s="146"/>
      <c r="FDF113" s="146"/>
      <c r="FDG113" s="146"/>
      <c r="FDH113" s="146"/>
      <c r="FDI113" s="146"/>
      <c r="FDJ113" s="146"/>
      <c r="FDK113" s="146"/>
      <c r="FDL113" s="146"/>
      <c r="FDM113" s="146"/>
      <c r="FDN113" s="146"/>
      <c r="FDO113" s="146"/>
      <c r="FDP113" s="146"/>
      <c r="FDQ113" s="146"/>
      <c r="FDR113" s="146"/>
      <c r="FDS113" s="146"/>
      <c r="FDT113" s="146"/>
      <c r="FDU113" s="146"/>
      <c r="FDV113" s="146"/>
      <c r="FDW113" s="146"/>
      <c r="FDX113" s="146"/>
      <c r="FDY113" s="146"/>
      <c r="FDZ113" s="146"/>
      <c r="FEA113" s="146"/>
      <c r="FEB113" s="146"/>
      <c r="FEC113" s="146"/>
      <c r="FED113" s="146"/>
      <c r="FEE113" s="146"/>
      <c r="FEF113" s="146"/>
      <c r="FEG113" s="146"/>
      <c r="FEH113" s="146"/>
      <c r="FEI113" s="146"/>
      <c r="FEJ113" s="146"/>
      <c r="FEK113" s="146"/>
      <c r="FEL113" s="146"/>
      <c r="FEM113" s="146"/>
      <c r="FEN113" s="146"/>
      <c r="FEO113" s="146"/>
      <c r="FEP113" s="146"/>
      <c r="FEQ113" s="146"/>
      <c r="FER113" s="146"/>
      <c r="FES113" s="146"/>
      <c r="FET113" s="146"/>
      <c r="FEU113" s="146"/>
      <c r="FEV113" s="146"/>
      <c r="FEW113" s="146"/>
      <c r="FEX113" s="146"/>
      <c r="FEY113" s="146"/>
      <c r="FEZ113" s="146"/>
      <c r="FFA113" s="146"/>
      <c r="FFB113" s="146"/>
      <c r="FFC113" s="146"/>
      <c r="FFD113" s="146"/>
      <c r="FFE113" s="146"/>
      <c r="FFF113" s="146"/>
      <c r="FFG113" s="146"/>
      <c r="FFH113" s="146"/>
      <c r="FFI113" s="146"/>
      <c r="FFJ113" s="146"/>
      <c r="FFK113" s="146"/>
      <c r="FFL113" s="146"/>
      <c r="FFM113" s="146"/>
      <c r="FFN113" s="146"/>
      <c r="FFO113" s="146"/>
      <c r="FFP113" s="146"/>
      <c r="FFQ113" s="146"/>
      <c r="FFR113" s="146"/>
      <c r="FFS113" s="146"/>
      <c r="FFT113" s="146"/>
      <c r="FFU113" s="146"/>
      <c r="FFV113" s="146"/>
      <c r="FFW113" s="146"/>
      <c r="FFX113" s="146"/>
      <c r="FFY113" s="146"/>
      <c r="FFZ113" s="146"/>
      <c r="FGA113" s="146"/>
      <c r="FGB113" s="146"/>
      <c r="FGC113" s="146"/>
      <c r="FGD113" s="146"/>
      <c r="FGE113" s="146"/>
      <c r="FGF113" s="146"/>
      <c r="FGG113" s="146"/>
      <c r="FGH113" s="146"/>
      <c r="FGI113" s="146"/>
      <c r="FGJ113" s="146"/>
      <c r="FGK113" s="146"/>
      <c r="FGL113" s="146"/>
      <c r="FGM113" s="146"/>
      <c r="FGN113" s="146"/>
      <c r="FGO113" s="146"/>
      <c r="FGP113" s="146"/>
      <c r="FGQ113" s="146"/>
      <c r="FGR113" s="146"/>
      <c r="FGS113" s="146"/>
      <c r="FGT113" s="146"/>
      <c r="FGU113" s="146"/>
      <c r="FGV113" s="146"/>
      <c r="FGW113" s="146"/>
      <c r="FGX113" s="146"/>
      <c r="FGY113" s="146"/>
      <c r="FGZ113" s="146"/>
      <c r="FHA113" s="146"/>
      <c r="FHB113" s="146"/>
      <c r="FHC113" s="146"/>
      <c r="FHD113" s="146"/>
      <c r="FHE113" s="146"/>
      <c r="FHF113" s="146"/>
      <c r="FHG113" s="146"/>
      <c r="FHH113" s="146"/>
      <c r="FHI113" s="146"/>
      <c r="FHJ113" s="146"/>
      <c r="FHK113" s="146"/>
      <c r="FHL113" s="146"/>
      <c r="FHM113" s="146"/>
      <c r="FHN113" s="146"/>
      <c r="FHO113" s="146"/>
      <c r="FHP113" s="146"/>
      <c r="FHQ113" s="146"/>
      <c r="FHR113" s="146"/>
      <c r="FHS113" s="146"/>
      <c r="FHT113" s="146"/>
      <c r="FHU113" s="146"/>
      <c r="FHV113" s="146"/>
      <c r="FHW113" s="146"/>
      <c r="FHX113" s="146"/>
      <c r="FHY113" s="146"/>
      <c r="FHZ113" s="146"/>
      <c r="FIA113" s="146"/>
      <c r="FIB113" s="146"/>
      <c r="FIC113" s="146"/>
      <c r="FID113" s="146"/>
      <c r="FIE113" s="146"/>
      <c r="FIF113" s="146"/>
      <c r="FIG113" s="146"/>
      <c r="FIH113" s="146"/>
      <c r="FII113" s="146"/>
      <c r="FIJ113" s="146"/>
      <c r="FIK113" s="146"/>
      <c r="FIL113" s="146"/>
      <c r="FIM113" s="146"/>
      <c r="FIN113" s="146"/>
      <c r="FIO113" s="146"/>
      <c r="FIP113" s="146"/>
      <c r="FIQ113" s="146"/>
      <c r="FIR113" s="146"/>
      <c r="FIS113" s="146"/>
      <c r="FIT113" s="146"/>
      <c r="FIU113" s="146"/>
      <c r="FIV113" s="146"/>
      <c r="FIW113" s="146"/>
      <c r="FIX113" s="146"/>
      <c r="FIY113" s="146"/>
      <c r="FIZ113" s="146"/>
      <c r="FJA113" s="146"/>
      <c r="FJB113" s="146"/>
      <c r="FJC113" s="146"/>
      <c r="FJD113" s="146"/>
      <c r="FJE113" s="146"/>
      <c r="FJF113" s="146"/>
      <c r="FJG113" s="146"/>
      <c r="FJH113" s="146"/>
      <c r="FJI113" s="146"/>
      <c r="FJJ113" s="146"/>
      <c r="FJK113" s="146"/>
      <c r="FJL113" s="146"/>
      <c r="FJM113" s="146"/>
      <c r="FJN113" s="146"/>
      <c r="FJO113" s="146"/>
      <c r="FJP113" s="146"/>
      <c r="FJQ113" s="146"/>
      <c r="FJR113" s="146"/>
      <c r="FJS113" s="146"/>
      <c r="FJT113" s="146"/>
      <c r="FJU113" s="146"/>
      <c r="FJV113" s="146"/>
      <c r="FJW113" s="146"/>
      <c r="FJX113" s="146"/>
      <c r="FJY113" s="146"/>
      <c r="FJZ113" s="146"/>
      <c r="FKA113" s="146"/>
      <c r="FKB113" s="146"/>
      <c r="FKC113" s="146"/>
      <c r="FKD113" s="146"/>
      <c r="FKE113" s="146"/>
      <c r="FKF113" s="146"/>
      <c r="FKG113" s="146"/>
      <c r="FKH113" s="146"/>
      <c r="FKI113" s="146"/>
      <c r="FKJ113" s="146"/>
      <c r="FKK113" s="146"/>
      <c r="FKL113" s="146"/>
      <c r="FKM113" s="146"/>
      <c r="FKN113" s="146"/>
      <c r="FKO113" s="146"/>
      <c r="FKP113" s="146"/>
      <c r="FKQ113" s="146"/>
      <c r="FKR113" s="146"/>
      <c r="FKS113" s="146"/>
      <c r="FKT113" s="146"/>
      <c r="FKU113" s="146"/>
      <c r="FKV113" s="146"/>
      <c r="FKW113" s="146"/>
      <c r="FKX113" s="146"/>
      <c r="FKY113" s="146"/>
      <c r="FKZ113" s="146"/>
      <c r="FLA113" s="146"/>
      <c r="FLB113" s="146"/>
      <c r="FLC113" s="146"/>
      <c r="FLD113" s="146"/>
      <c r="FLE113" s="146"/>
      <c r="FLF113" s="146"/>
      <c r="FLG113" s="146"/>
      <c r="FLH113" s="146"/>
      <c r="FLI113" s="146"/>
      <c r="FLJ113" s="146"/>
      <c r="FLK113" s="146"/>
      <c r="FLL113" s="146"/>
      <c r="FLM113" s="146"/>
      <c r="FLN113" s="146"/>
      <c r="FLO113" s="146"/>
      <c r="FLP113" s="146"/>
      <c r="FLQ113" s="146"/>
      <c r="FLR113" s="146"/>
      <c r="FLS113" s="146"/>
      <c r="FLT113" s="146"/>
      <c r="FLU113" s="146"/>
      <c r="FLV113" s="146"/>
      <c r="FLW113" s="146"/>
      <c r="FLX113" s="146"/>
      <c r="FLY113" s="146"/>
      <c r="FLZ113" s="146"/>
      <c r="FMA113" s="146"/>
      <c r="FMB113" s="146"/>
      <c r="FMC113" s="146"/>
      <c r="FMD113" s="146"/>
      <c r="FME113" s="146"/>
      <c r="FMF113" s="146"/>
      <c r="FMG113" s="146"/>
      <c r="FMH113" s="146"/>
      <c r="FMI113" s="146"/>
      <c r="FMJ113" s="146"/>
      <c r="FMK113" s="146"/>
      <c r="FML113" s="146"/>
      <c r="FMM113" s="146"/>
      <c r="FMN113" s="146"/>
      <c r="FMO113" s="146"/>
      <c r="FMP113" s="146"/>
      <c r="FMQ113" s="146"/>
      <c r="FMR113" s="146"/>
      <c r="FMS113" s="146"/>
      <c r="FMT113" s="146"/>
      <c r="FMU113" s="146"/>
      <c r="FMV113" s="146"/>
      <c r="FMW113" s="146"/>
      <c r="FMX113" s="146"/>
      <c r="FMY113" s="146"/>
      <c r="FMZ113" s="146"/>
      <c r="FNA113" s="146"/>
      <c r="FNB113" s="146"/>
      <c r="FNC113" s="146"/>
      <c r="FND113" s="146"/>
      <c r="FNE113" s="146"/>
      <c r="FNF113" s="146"/>
      <c r="FNG113" s="146"/>
      <c r="FNH113" s="146"/>
      <c r="FNI113" s="146"/>
      <c r="FNJ113" s="146"/>
      <c r="FNK113" s="146"/>
      <c r="FNL113" s="146"/>
      <c r="FNM113" s="146"/>
      <c r="FNN113" s="146"/>
      <c r="FNO113" s="146"/>
      <c r="FNP113" s="146"/>
      <c r="FNQ113" s="146"/>
      <c r="FNR113" s="146"/>
      <c r="FNS113" s="146"/>
      <c r="FNT113" s="146"/>
      <c r="FNU113" s="146"/>
      <c r="FNV113" s="146"/>
      <c r="FNW113" s="146"/>
      <c r="FNX113" s="146"/>
      <c r="FNY113" s="146"/>
      <c r="FNZ113" s="146"/>
      <c r="FOA113" s="146"/>
      <c r="FOB113" s="146"/>
      <c r="FOC113" s="146"/>
      <c r="FOD113" s="146"/>
      <c r="FOE113" s="146"/>
      <c r="FOF113" s="146"/>
      <c r="FOG113" s="146"/>
      <c r="FOH113" s="146"/>
      <c r="FOI113" s="146"/>
      <c r="FOJ113" s="146"/>
      <c r="FOK113" s="146"/>
      <c r="FOL113" s="146"/>
      <c r="FOM113" s="146"/>
      <c r="FON113" s="146"/>
      <c r="FOO113" s="146"/>
      <c r="FOP113" s="146"/>
      <c r="FOQ113" s="146"/>
      <c r="FOR113" s="146"/>
      <c r="FOS113" s="146"/>
      <c r="FOT113" s="146"/>
      <c r="FOU113" s="146"/>
      <c r="FOV113" s="146"/>
      <c r="FOW113" s="146"/>
      <c r="FOX113" s="146"/>
      <c r="FOY113" s="146"/>
      <c r="FOZ113" s="146"/>
      <c r="FPA113" s="146"/>
      <c r="FPB113" s="146"/>
      <c r="FPC113" s="146"/>
      <c r="FPD113" s="146"/>
      <c r="FPE113" s="146"/>
      <c r="FPF113" s="146"/>
      <c r="FPG113" s="146"/>
      <c r="FPH113" s="146"/>
      <c r="FPI113" s="146"/>
      <c r="FPJ113" s="146"/>
      <c r="FPK113" s="146"/>
      <c r="FPL113" s="146"/>
      <c r="FPM113" s="146"/>
      <c r="FPN113" s="146"/>
      <c r="FPO113" s="146"/>
      <c r="FPP113" s="146"/>
      <c r="FPQ113" s="146"/>
      <c r="FPR113" s="146"/>
      <c r="FPS113" s="146"/>
      <c r="FPT113" s="146"/>
      <c r="FPU113" s="146"/>
      <c r="FPV113" s="146"/>
      <c r="FPW113" s="146"/>
      <c r="FPX113" s="146"/>
      <c r="FPY113" s="146"/>
      <c r="FPZ113" s="146"/>
      <c r="FQA113" s="146"/>
      <c r="FQB113" s="146"/>
      <c r="FQC113" s="146"/>
      <c r="FQD113" s="146"/>
      <c r="FQE113" s="146"/>
      <c r="FQF113" s="146"/>
      <c r="FQG113" s="146"/>
      <c r="FQH113" s="146"/>
      <c r="FQI113" s="146"/>
      <c r="FQJ113" s="146"/>
      <c r="FQK113" s="146"/>
      <c r="FQL113" s="146"/>
      <c r="FQM113" s="146"/>
      <c r="FQN113" s="146"/>
      <c r="FQO113" s="146"/>
      <c r="FQP113" s="146"/>
      <c r="FQQ113" s="146"/>
      <c r="FQR113" s="146"/>
      <c r="FQS113" s="146"/>
      <c r="FQT113" s="146"/>
      <c r="FQU113" s="146"/>
      <c r="FQV113" s="146"/>
      <c r="FQW113" s="146"/>
      <c r="FQX113" s="146"/>
      <c r="FQY113" s="146"/>
      <c r="FQZ113" s="146"/>
      <c r="FRA113" s="146"/>
      <c r="FRB113" s="146"/>
      <c r="FRC113" s="146"/>
      <c r="FRD113" s="146"/>
      <c r="FRE113" s="146"/>
      <c r="FRF113" s="146"/>
      <c r="FRG113" s="146"/>
      <c r="FRH113" s="146"/>
      <c r="FRI113" s="146"/>
      <c r="FRJ113" s="146"/>
      <c r="FRK113" s="146"/>
      <c r="FRL113" s="146"/>
      <c r="FRM113" s="146"/>
      <c r="FRN113" s="146"/>
      <c r="FRO113" s="146"/>
      <c r="FRP113" s="146"/>
      <c r="FRQ113" s="146"/>
      <c r="FRR113" s="146"/>
      <c r="FRS113" s="146"/>
      <c r="FRT113" s="146"/>
      <c r="FRU113" s="146"/>
      <c r="FRV113" s="146"/>
      <c r="FRW113" s="146"/>
      <c r="FRX113" s="146"/>
      <c r="FRY113" s="146"/>
      <c r="FRZ113" s="146"/>
      <c r="FSA113" s="146"/>
      <c r="FSB113" s="146"/>
      <c r="FSC113" s="146"/>
      <c r="FSD113" s="146"/>
      <c r="FSE113" s="146"/>
      <c r="FSF113" s="146"/>
      <c r="FSG113" s="146"/>
      <c r="FSH113" s="146"/>
      <c r="FSI113" s="146"/>
      <c r="FSJ113" s="146"/>
      <c r="FSK113" s="146"/>
      <c r="FSL113" s="146"/>
      <c r="FSM113" s="146"/>
      <c r="FSN113" s="146"/>
      <c r="FSO113" s="146"/>
      <c r="FSP113" s="146"/>
      <c r="FSQ113" s="146"/>
      <c r="FSR113" s="146"/>
      <c r="FSS113" s="146"/>
      <c r="FST113" s="146"/>
      <c r="FSU113" s="146"/>
      <c r="FSV113" s="146"/>
      <c r="FSW113" s="146"/>
      <c r="FSX113" s="146"/>
      <c r="FSY113" s="146"/>
      <c r="FSZ113" s="146"/>
      <c r="FTA113" s="146"/>
      <c r="FTB113" s="146"/>
      <c r="FTC113" s="146"/>
      <c r="FTD113" s="146"/>
      <c r="FTE113" s="146"/>
      <c r="FTF113" s="146"/>
      <c r="FTG113" s="146"/>
      <c r="FTH113" s="146"/>
      <c r="FTI113" s="146"/>
      <c r="FTJ113" s="146"/>
      <c r="FTK113" s="146"/>
      <c r="FTL113" s="146"/>
      <c r="FTM113" s="146"/>
      <c r="FTN113" s="146"/>
      <c r="FTO113" s="146"/>
      <c r="FTP113" s="146"/>
      <c r="FTQ113" s="146"/>
      <c r="FTR113" s="146"/>
      <c r="FTS113" s="146"/>
      <c r="FTT113" s="146"/>
      <c r="FTU113" s="146"/>
      <c r="FTV113" s="146"/>
      <c r="FTW113" s="146"/>
      <c r="FTX113" s="146"/>
      <c r="FTY113" s="146"/>
      <c r="FTZ113" s="146"/>
      <c r="FUA113" s="146"/>
      <c r="FUB113" s="146"/>
      <c r="FUC113" s="146"/>
      <c r="FUD113" s="146"/>
      <c r="FUE113" s="146"/>
      <c r="FUF113" s="146"/>
      <c r="FUG113" s="146"/>
      <c r="FUH113" s="146"/>
      <c r="FUI113" s="146"/>
      <c r="FUJ113" s="146"/>
      <c r="FUK113" s="146"/>
      <c r="FUL113" s="146"/>
      <c r="FUM113" s="146"/>
      <c r="FUN113" s="146"/>
      <c r="FUO113" s="146"/>
      <c r="FUP113" s="146"/>
      <c r="FUQ113" s="146"/>
      <c r="FUR113" s="146"/>
      <c r="FUS113" s="146"/>
      <c r="FUT113" s="146"/>
      <c r="FUU113" s="146"/>
      <c r="FUV113" s="146"/>
      <c r="FUW113" s="146"/>
      <c r="FUX113" s="146"/>
      <c r="FUY113" s="146"/>
      <c r="FUZ113" s="146"/>
      <c r="FVA113" s="146"/>
      <c r="FVB113" s="146"/>
      <c r="FVC113" s="146"/>
      <c r="FVD113" s="146"/>
      <c r="FVE113" s="146"/>
      <c r="FVF113" s="146"/>
      <c r="FVG113" s="146"/>
      <c r="FVH113" s="146"/>
      <c r="FVI113" s="146"/>
      <c r="FVJ113" s="146"/>
      <c r="FVK113" s="146"/>
      <c r="FVL113" s="146"/>
      <c r="FVM113" s="146"/>
      <c r="FVN113" s="146"/>
      <c r="FVO113" s="146"/>
      <c r="FVP113" s="146"/>
      <c r="FVQ113" s="146"/>
      <c r="FVR113" s="146"/>
      <c r="FVS113" s="146"/>
      <c r="FVT113" s="146"/>
      <c r="FVU113" s="146"/>
      <c r="FVV113" s="146"/>
      <c r="FVW113" s="146"/>
      <c r="FVX113" s="146"/>
      <c r="FVY113" s="146"/>
      <c r="FVZ113" s="146"/>
      <c r="FWA113" s="146"/>
      <c r="FWB113" s="146"/>
      <c r="FWC113" s="146"/>
      <c r="FWD113" s="146"/>
      <c r="FWE113" s="146"/>
      <c r="FWF113" s="146"/>
      <c r="FWG113" s="146"/>
      <c r="FWH113" s="146"/>
      <c r="FWI113" s="146"/>
      <c r="FWJ113" s="146"/>
      <c r="FWK113" s="146"/>
      <c r="FWL113" s="146"/>
      <c r="FWM113" s="146"/>
      <c r="FWN113" s="146"/>
      <c r="FWO113" s="146"/>
      <c r="FWP113" s="146"/>
      <c r="FWQ113" s="146"/>
      <c r="FWR113" s="146"/>
      <c r="FWS113" s="146"/>
      <c r="FWT113" s="146"/>
      <c r="FWU113" s="146"/>
      <c r="FWV113" s="146"/>
      <c r="FWW113" s="146"/>
      <c r="FWX113" s="146"/>
      <c r="FWY113" s="146"/>
      <c r="FWZ113" s="146"/>
      <c r="FXA113" s="146"/>
      <c r="FXB113" s="146"/>
      <c r="FXC113" s="146"/>
      <c r="FXD113" s="146"/>
      <c r="FXE113" s="146"/>
      <c r="FXF113" s="146"/>
      <c r="FXG113" s="146"/>
      <c r="FXH113" s="146"/>
      <c r="FXI113" s="146"/>
      <c r="FXJ113" s="146"/>
      <c r="FXK113" s="146"/>
      <c r="FXL113" s="146"/>
      <c r="FXM113" s="146"/>
      <c r="FXN113" s="146"/>
      <c r="FXO113" s="146"/>
      <c r="FXP113" s="146"/>
      <c r="FXQ113" s="146"/>
      <c r="FXR113" s="146"/>
      <c r="FXS113" s="146"/>
      <c r="FXT113" s="146"/>
      <c r="FXU113" s="146"/>
      <c r="FXV113" s="146"/>
      <c r="FXW113" s="146"/>
      <c r="FXX113" s="146"/>
      <c r="FXY113" s="146"/>
      <c r="FXZ113" s="146"/>
      <c r="FYA113" s="146"/>
      <c r="FYB113" s="146"/>
      <c r="FYC113" s="146"/>
      <c r="FYD113" s="146"/>
      <c r="FYE113" s="146"/>
      <c r="FYF113" s="146"/>
      <c r="FYG113" s="146"/>
      <c r="FYH113" s="146"/>
      <c r="FYI113" s="146"/>
      <c r="FYJ113" s="146"/>
      <c r="FYK113" s="146"/>
      <c r="FYL113" s="146"/>
      <c r="FYM113" s="146"/>
      <c r="FYN113" s="146"/>
      <c r="FYO113" s="146"/>
      <c r="FYP113" s="146"/>
      <c r="FYQ113" s="146"/>
      <c r="FYR113" s="146"/>
      <c r="FYS113" s="146"/>
      <c r="FYT113" s="146"/>
      <c r="FYU113" s="146"/>
      <c r="FYV113" s="146"/>
      <c r="FYW113" s="146"/>
      <c r="FYX113" s="146"/>
      <c r="FYY113" s="146"/>
      <c r="FYZ113" s="146"/>
      <c r="FZA113" s="146"/>
      <c r="FZB113" s="146"/>
      <c r="FZC113" s="146"/>
      <c r="FZD113" s="146"/>
      <c r="FZE113" s="146"/>
      <c r="FZF113" s="146"/>
      <c r="FZG113" s="146"/>
      <c r="FZH113" s="146"/>
      <c r="FZI113" s="146"/>
      <c r="FZJ113" s="146"/>
      <c r="FZK113" s="146"/>
      <c r="FZL113" s="146"/>
      <c r="FZM113" s="146"/>
      <c r="FZN113" s="146"/>
      <c r="FZO113" s="146"/>
      <c r="FZP113" s="146"/>
      <c r="FZQ113" s="146"/>
      <c r="FZR113" s="146"/>
      <c r="FZS113" s="146"/>
      <c r="FZT113" s="146"/>
      <c r="FZU113" s="146"/>
      <c r="FZV113" s="146"/>
      <c r="FZW113" s="146"/>
      <c r="FZX113" s="146"/>
      <c r="FZY113" s="146"/>
      <c r="FZZ113" s="146"/>
      <c r="GAA113" s="146"/>
      <c r="GAB113" s="146"/>
      <c r="GAC113" s="146"/>
      <c r="GAD113" s="146"/>
      <c r="GAE113" s="146"/>
      <c r="GAF113" s="146"/>
      <c r="GAG113" s="146"/>
      <c r="GAH113" s="146"/>
      <c r="GAI113" s="146"/>
      <c r="GAJ113" s="146"/>
      <c r="GAK113" s="146"/>
      <c r="GAL113" s="146"/>
      <c r="GAM113" s="146"/>
      <c r="GAN113" s="146"/>
      <c r="GAO113" s="146"/>
      <c r="GAP113" s="146"/>
      <c r="GAQ113" s="146"/>
      <c r="GAR113" s="146"/>
      <c r="GAS113" s="146"/>
      <c r="GAT113" s="146"/>
      <c r="GAU113" s="146"/>
      <c r="GAV113" s="146"/>
      <c r="GAW113" s="146"/>
      <c r="GAX113" s="146"/>
      <c r="GAY113" s="146"/>
      <c r="GAZ113" s="146"/>
      <c r="GBA113" s="146"/>
      <c r="GBB113" s="146"/>
      <c r="GBC113" s="146"/>
      <c r="GBD113" s="146"/>
      <c r="GBE113" s="146"/>
      <c r="GBF113" s="146"/>
      <c r="GBG113" s="146"/>
      <c r="GBH113" s="146"/>
      <c r="GBI113" s="146"/>
      <c r="GBJ113" s="146"/>
      <c r="GBK113" s="146"/>
      <c r="GBL113" s="146"/>
      <c r="GBM113" s="146"/>
      <c r="GBN113" s="146"/>
      <c r="GBO113" s="146"/>
      <c r="GBP113" s="146"/>
      <c r="GBQ113" s="146"/>
      <c r="GBR113" s="146"/>
      <c r="GBS113" s="146"/>
      <c r="GBT113" s="146"/>
      <c r="GBU113" s="146"/>
      <c r="GBV113" s="146"/>
      <c r="GBW113" s="146"/>
      <c r="GBX113" s="146"/>
      <c r="GBY113" s="146"/>
      <c r="GBZ113" s="146"/>
      <c r="GCA113" s="146"/>
      <c r="GCB113" s="146"/>
      <c r="GCC113" s="146"/>
      <c r="GCD113" s="146"/>
      <c r="GCE113" s="146"/>
      <c r="GCF113" s="146"/>
      <c r="GCG113" s="146"/>
      <c r="GCH113" s="146"/>
      <c r="GCI113" s="146"/>
      <c r="GCJ113" s="146"/>
      <c r="GCK113" s="146"/>
      <c r="GCL113" s="146"/>
      <c r="GCM113" s="146"/>
      <c r="GCN113" s="146"/>
      <c r="GCO113" s="146"/>
      <c r="GCP113" s="146"/>
      <c r="GCQ113" s="146"/>
      <c r="GCR113" s="146"/>
      <c r="GCS113" s="146"/>
      <c r="GCT113" s="146"/>
      <c r="GCU113" s="146"/>
      <c r="GCV113" s="146"/>
      <c r="GCW113" s="146"/>
      <c r="GCX113" s="146"/>
      <c r="GCY113" s="146"/>
      <c r="GCZ113" s="146"/>
      <c r="GDA113" s="146"/>
      <c r="GDB113" s="146"/>
      <c r="GDC113" s="146"/>
      <c r="GDD113" s="146"/>
      <c r="GDE113" s="146"/>
      <c r="GDF113" s="146"/>
      <c r="GDG113" s="146"/>
      <c r="GDH113" s="146"/>
      <c r="GDI113" s="146"/>
      <c r="GDJ113" s="146"/>
      <c r="GDK113" s="146"/>
      <c r="GDL113" s="146"/>
      <c r="GDM113" s="146"/>
      <c r="GDN113" s="146"/>
      <c r="GDO113" s="146"/>
      <c r="GDP113" s="146"/>
      <c r="GDQ113" s="146"/>
      <c r="GDR113" s="146"/>
      <c r="GDS113" s="146"/>
      <c r="GDT113" s="146"/>
      <c r="GDU113" s="146"/>
      <c r="GDV113" s="146"/>
      <c r="GDW113" s="146"/>
      <c r="GDX113" s="146"/>
      <c r="GDY113" s="146"/>
      <c r="GDZ113" s="146"/>
      <c r="GEA113" s="146"/>
      <c r="GEB113" s="146"/>
      <c r="GEC113" s="146"/>
      <c r="GED113" s="146"/>
      <c r="GEE113" s="146"/>
      <c r="GEF113" s="146"/>
      <c r="GEG113" s="146"/>
      <c r="GEH113" s="146"/>
      <c r="GEI113" s="146"/>
      <c r="GEJ113" s="146"/>
      <c r="GEK113" s="146"/>
      <c r="GEL113" s="146"/>
      <c r="GEM113" s="146"/>
      <c r="GEN113" s="146"/>
      <c r="GEO113" s="146"/>
      <c r="GEP113" s="146"/>
      <c r="GEQ113" s="146"/>
      <c r="GER113" s="146"/>
      <c r="GES113" s="146"/>
      <c r="GET113" s="146"/>
      <c r="GEU113" s="146"/>
      <c r="GEV113" s="146"/>
      <c r="GEW113" s="146"/>
      <c r="GEX113" s="146"/>
      <c r="GEY113" s="146"/>
      <c r="GEZ113" s="146"/>
      <c r="GFA113" s="146"/>
      <c r="GFB113" s="146"/>
      <c r="GFC113" s="146"/>
      <c r="GFD113" s="146"/>
      <c r="GFE113" s="146"/>
      <c r="GFF113" s="146"/>
      <c r="GFG113" s="146"/>
      <c r="GFH113" s="146"/>
      <c r="GFI113" s="146"/>
      <c r="GFJ113" s="146"/>
      <c r="GFK113" s="146"/>
      <c r="GFL113" s="146"/>
      <c r="GFM113" s="146"/>
      <c r="GFN113" s="146"/>
      <c r="GFO113" s="146"/>
      <c r="GFP113" s="146"/>
      <c r="GFQ113" s="146"/>
      <c r="GFR113" s="146"/>
      <c r="GFS113" s="146"/>
      <c r="GFT113" s="146"/>
      <c r="GFU113" s="146"/>
      <c r="GFV113" s="146"/>
      <c r="GFW113" s="146"/>
      <c r="GFX113" s="146"/>
      <c r="GFY113" s="146"/>
      <c r="GFZ113" s="146"/>
      <c r="GGA113" s="146"/>
      <c r="GGB113" s="146"/>
      <c r="GGC113" s="146"/>
      <c r="GGD113" s="146"/>
      <c r="GGE113" s="146"/>
      <c r="GGF113" s="146"/>
      <c r="GGG113" s="146"/>
      <c r="GGH113" s="146"/>
      <c r="GGI113" s="146"/>
      <c r="GGJ113" s="146"/>
      <c r="GGK113" s="146"/>
      <c r="GGL113" s="146"/>
      <c r="GGM113" s="146"/>
      <c r="GGN113" s="146"/>
      <c r="GGO113" s="146"/>
      <c r="GGP113" s="146"/>
      <c r="GGQ113" s="146"/>
      <c r="GGR113" s="146"/>
      <c r="GGS113" s="146"/>
      <c r="GGT113" s="146"/>
      <c r="GGU113" s="146"/>
      <c r="GGV113" s="146"/>
      <c r="GGW113" s="146"/>
      <c r="GGX113" s="146"/>
      <c r="GGY113" s="146"/>
      <c r="GGZ113" s="146"/>
      <c r="GHA113" s="146"/>
      <c r="GHB113" s="146"/>
      <c r="GHC113" s="146"/>
      <c r="GHD113" s="146"/>
      <c r="GHE113" s="146"/>
      <c r="GHF113" s="146"/>
      <c r="GHG113" s="146"/>
      <c r="GHH113" s="146"/>
      <c r="GHI113" s="146"/>
      <c r="GHJ113" s="146"/>
      <c r="GHK113" s="146"/>
      <c r="GHL113" s="146"/>
      <c r="GHM113" s="146"/>
      <c r="GHN113" s="146"/>
      <c r="GHO113" s="146"/>
      <c r="GHP113" s="146"/>
      <c r="GHQ113" s="146"/>
      <c r="GHR113" s="146"/>
      <c r="GHS113" s="146"/>
      <c r="GHT113" s="146"/>
      <c r="GHU113" s="146"/>
      <c r="GHV113" s="146"/>
      <c r="GHW113" s="146"/>
      <c r="GHX113" s="146"/>
      <c r="GHY113" s="146"/>
      <c r="GHZ113" s="146"/>
      <c r="GIA113" s="146"/>
      <c r="GIB113" s="146"/>
      <c r="GIC113" s="146"/>
      <c r="GID113" s="146"/>
      <c r="GIE113" s="146"/>
      <c r="GIF113" s="146"/>
      <c r="GIG113" s="146"/>
      <c r="GIH113" s="146"/>
      <c r="GII113" s="146"/>
      <c r="GIJ113" s="146"/>
      <c r="GIK113" s="146"/>
      <c r="GIL113" s="146"/>
      <c r="GIM113" s="146"/>
      <c r="GIN113" s="146"/>
      <c r="GIO113" s="146"/>
      <c r="GIP113" s="146"/>
      <c r="GIQ113" s="146"/>
      <c r="GIR113" s="146"/>
      <c r="GIS113" s="146"/>
      <c r="GIT113" s="146"/>
      <c r="GIU113" s="146"/>
      <c r="GIV113" s="146"/>
      <c r="GIW113" s="146"/>
      <c r="GIX113" s="146"/>
      <c r="GIY113" s="146"/>
      <c r="GIZ113" s="146"/>
      <c r="GJA113" s="146"/>
      <c r="GJB113" s="146"/>
      <c r="GJC113" s="146"/>
      <c r="GJD113" s="146"/>
      <c r="GJE113" s="146"/>
      <c r="GJF113" s="146"/>
      <c r="GJG113" s="146"/>
      <c r="GJH113" s="146"/>
      <c r="GJI113" s="146"/>
      <c r="GJJ113" s="146"/>
      <c r="GJK113" s="146"/>
      <c r="GJL113" s="146"/>
      <c r="GJM113" s="146"/>
      <c r="GJN113" s="146"/>
      <c r="GJO113" s="146"/>
      <c r="GJP113" s="146"/>
      <c r="GJQ113" s="146"/>
      <c r="GJR113" s="146"/>
      <c r="GJS113" s="146"/>
      <c r="GJT113" s="146"/>
      <c r="GJU113" s="146"/>
      <c r="GJV113" s="146"/>
      <c r="GJW113" s="146"/>
      <c r="GJX113" s="146"/>
      <c r="GJY113" s="146"/>
      <c r="GJZ113" s="146"/>
      <c r="GKA113" s="146"/>
      <c r="GKB113" s="146"/>
      <c r="GKC113" s="146"/>
      <c r="GKD113" s="146"/>
      <c r="GKE113" s="146"/>
      <c r="GKF113" s="146"/>
      <c r="GKG113" s="146"/>
      <c r="GKH113" s="146"/>
      <c r="GKI113" s="146"/>
      <c r="GKJ113" s="146"/>
      <c r="GKK113" s="146"/>
      <c r="GKL113" s="146"/>
      <c r="GKM113" s="146"/>
      <c r="GKN113" s="146"/>
      <c r="GKO113" s="146"/>
      <c r="GKP113" s="146"/>
      <c r="GKQ113" s="146"/>
      <c r="GKR113" s="146"/>
      <c r="GKS113" s="146"/>
      <c r="GKT113" s="146"/>
      <c r="GKU113" s="146"/>
      <c r="GKV113" s="146"/>
      <c r="GKW113" s="146"/>
      <c r="GKX113" s="146"/>
      <c r="GKY113" s="146"/>
      <c r="GKZ113" s="146"/>
      <c r="GLA113" s="146"/>
      <c r="GLB113" s="146"/>
      <c r="GLC113" s="146"/>
      <c r="GLD113" s="146"/>
      <c r="GLE113" s="146"/>
      <c r="GLF113" s="146"/>
      <c r="GLG113" s="146"/>
      <c r="GLH113" s="146"/>
      <c r="GLI113" s="146"/>
      <c r="GLJ113" s="146"/>
      <c r="GLK113" s="146"/>
      <c r="GLL113" s="146"/>
      <c r="GLM113" s="146"/>
      <c r="GLN113" s="146"/>
      <c r="GLO113" s="146"/>
      <c r="GLP113" s="146"/>
      <c r="GLQ113" s="146"/>
      <c r="GLR113" s="146"/>
      <c r="GLS113" s="146"/>
      <c r="GLT113" s="146"/>
      <c r="GLU113" s="146"/>
      <c r="GLV113" s="146"/>
      <c r="GLW113" s="146"/>
      <c r="GLX113" s="146"/>
      <c r="GLY113" s="146"/>
      <c r="GLZ113" s="146"/>
      <c r="GMA113" s="146"/>
      <c r="GMB113" s="146"/>
      <c r="GMC113" s="146"/>
      <c r="GMD113" s="146"/>
      <c r="GME113" s="146"/>
      <c r="GMF113" s="146"/>
      <c r="GMG113" s="146"/>
      <c r="GMH113" s="146"/>
      <c r="GMI113" s="146"/>
      <c r="GMJ113" s="146"/>
      <c r="GMK113" s="146"/>
      <c r="GML113" s="146"/>
      <c r="GMM113" s="146"/>
      <c r="GMN113" s="146"/>
      <c r="GMO113" s="146"/>
      <c r="GMP113" s="146"/>
      <c r="GMQ113" s="146"/>
      <c r="GMR113" s="146"/>
      <c r="GMS113" s="146"/>
      <c r="GMT113" s="146"/>
      <c r="GMU113" s="146"/>
      <c r="GMV113" s="146"/>
      <c r="GMW113" s="146"/>
      <c r="GMX113" s="146"/>
      <c r="GMY113" s="146"/>
      <c r="GMZ113" s="146"/>
      <c r="GNA113" s="146"/>
      <c r="GNB113" s="146"/>
      <c r="GNC113" s="146"/>
      <c r="GND113" s="146"/>
      <c r="GNE113" s="146"/>
      <c r="GNF113" s="146"/>
      <c r="GNG113" s="146"/>
      <c r="GNH113" s="146"/>
      <c r="GNI113" s="146"/>
      <c r="GNJ113" s="146"/>
      <c r="GNK113" s="146"/>
      <c r="GNL113" s="146"/>
      <c r="GNM113" s="146"/>
      <c r="GNN113" s="146"/>
      <c r="GNO113" s="146"/>
      <c r="GNP113" s="146"/>
      <c r="GNQ113" s="146"/>
      <c r="GNR113" s="146"/>
      <c r="GNS113" s="146"/>
      <c r="GNT113" s="146"/>
      <c r="GNU113" s="146"/>
      <c r="GNV113" s="146"/>
      <c r="GNW113" s="146"/>
      <c r="GNX113" s="146"/>
      <c r="GNY113" s="146"/>
      <c r="GNZ113" s="146"/>
      <c r="GOA113" s="146"/>
      <c r="GOB113" s="146"/>
      <c r="GOC113" s="146"/>
      <c r="GOD113" s="146"/>
      <c r="GOE113" s="146"/>
      <c r="GOF113" s="146"/>
      <c r="GOG113" s="146"/>
      <c r="GOH113" s="146"/>
      <c r="GOI113" s="146"/>
      <c r="GOJ113" s="146"/>
      <c r="GOK113" s="146"/>
      <c r="GOL113" s="146"/>
      <c r="GOM113" s="146"/>
      <c r="GON113" s="146"/>
      <c r="GOO113" s="146"/>
      <c r="GOP113" s="146"/>
      <c r="GOQ113" s="146"/>
      <c r="GOR113" s="146"/>
      <c r="GOS113" s="146"/>
      <c r="GOT113" s="146"/>
      <c r="GOU113" s="146"/>
      <c r="GOV113" s="146"/>
      <c r="GOW113" s="146"/>
      <c r="GOX113" s="146"/>
      <c r="GOY113" s="146"/>
      <c r="GOZ113" s="146"/>
      <c r="GPA113" s="146"/>
      <c r="GPB113" s="146"/>
      <c r="GPC113" s="146"/>
      <c r="GPD113" s="146"/>
      <c r="GPE113" s="146"/>
      <c r="GPF113" s="146"/>
      <c r="GPG113" s="146"/>
      <c r="GPH113" s="146"/>
      <c r="GPI113" s="146"/>
      <c r="GPJ113" s="146"/>
      <c r="GPK113" s="146"/>
      <c r="GPL113" s="146"/>
      <c r="GPM113" s="146"/>
      <c r="GPN113" s="146"/>
      <c r="GPO113" s="146"/>
      <c r="GPP113" s="146"/>
      <c r="GPQ113" s="146"/>
      <c r="GPR113" s="146"/>
      <c r="GPS113" s="146"/>
      <c r="GPT113" s="146"/>
      <c r="GPU113" s="146"/>
      <c r="GPV113" s="146"/>
      <c r="GPW113" s="146"/>
      <c r="GPX113" s="146"/>
      <c r="GPY113" s="146"/>
      <c r="GPZ113" s="146"/>
      <c r="GQA113" s="146"/>
      <c r="GQB113" s="146"/>
      <c r="GQC113" s="146"/>
      <c r="GQD113" s="146"/>
      <c r="GQE113" s="146"/>
      <c r="GQF113" s="146"/>
      <c r="GQG113" s="146"/>
      <c r="GQH113" s="146"/>
      <c r="GQI113" s="146"/>
      <c r="GQJ113" s="146"/>
      <c r="GQK113" s="146"/>
      <c r="GQL113" s="146"/>
      <c r="GQM113" s="146"/>
      <c r="GQN113" s="146"/>
      <c r="GQO113" s="146"/>
      <c r="GQP113" s="146"/>
      <c r="GQQ113" s="146"/>
      <c r="GQR113" s="146"/>
      <c r="GQS113" s="146"/>
      <c r="GQT113" s="146"/>
      <c r="GQU113" s="146"/>
      <c r="GQV113" s="146"/>
      <c r="GQW113" s="146"/>
      <c r="GQX113" s="146"/>
      <c r="GQY113" s="146"/>
      <c r="GQZ113" s="146"/>
      <c r="GRA113" s="146"/>
      <c r="GRB113" s="146"/>
      <c r="GRC113" s="146"/>
      <c r="GRD113" s="146"/>
      <c r="GRE113" s="146"/>
      <c r="GRF113" s="146"/>
      <c r="GRG113" s="146"/>
      <c r="GRH113" s="146"/>
      <c r="GRI113" s="146"/>
      <c r="GRJ113" s="146"/>
      <c r="GRK113" s="146"/>
      <c r="GRL113" s="146"/>
      <c r="GRM113" s="146"/>
      <c r="GRN113" s="146"/>
      <c r="GRO113" s="146"/>
      <c r="GRP113" s="146"/>
      <c r="GRQ113" s="146"/>
      <c r="GRR113" s="146"/>
      <c r="GRS113" s="146"/>
      <c r="GRT113" s="146"/>
      <c r="GRU113" s="146"/>
      <c r="GRV113" s="146"/>
      <c r="GRW113" s="146"/>
      <c r="GRX113" s="146"/>
      <c r="GRY113" s="146"/>
      <c r="GRZ113" s="146"/>
      <c r="GSA113" s="146"/>
      <c r="GSB113" s="146"/>
      <c r="GSC113" s="146"/>
      <c r="GSD113" s="146"/>
      <c r="GSE113" s="146"/>
      <c r="GSF113" s="146"/>
      <c r="GSG113" s="146"/>
      <c r="GSH113" s="146"/>
      <c r="GSI113" s="146"/>
      <c r="GSJ113" s="146"/>
      <c r="GSK113" s="146"/>
      <c r="GSL113" s="146"/>
      <c r="GSM113" s="146"/>
      <c r="GSN113" s="146"/>
      <c r="GSO113" s="146"/>
      <c r="GSP113" s="146"/>
      <c r="GSQ113" s="146"/>
      <c r="GSR113" s="146"/>
      <c r="GSS113" s="146"/>
      <c r="GST113" s="146"/>
      <c r="GSU113" s="146"/>
      <c r="GSV113" s="146"/>
      <c r="GSW113" s="146"/>
      <c r="GSX113" s="146"/>
      <c r="GSY113" s="146"/>
      <c r="GSZ113" s="146"/>
      <c r="GTA113" s="146"/>
      <c r="GTB113" s="146"/>
      <c r="GTC113" s="146"/>
      <c r="GTD113" s="146"/>
      <c r="GTE113" s="146"/>
      <c r="GTF113" s="146"/>
      <c r="GTG113" s="146"/>
      <c r="GTH113" s="146"/>
      <c r="GTI113" s="146"/>
      <c r="GTJ113" s="146"/>
      <c r="GTK113" s="146"/>
      <c r="GTL113" s="146"/>
      <c r="GTM113" s="146"/>
      <c r="GTN113" s="146"/>
      <c r="GTO113" s="146"/>
      <c r="GTP113" s="146"/>
      <c r="GTQ113" s="146"/>
      <c r="GTR113" s="146"/>
      <c r="GTS113" s="146"/>
      <c r="GTT113" s="146"/>
      <c r="GTU113" s="146"/>
      <c r="GTV113" s="146"/>
      <c r="GTW113" s="146"/>
      <c r="GTX113" s="146"/>
      <c r="GTY113" s="146"/>
      <c r="GTZ113" s="146"/>
      <c r="GUA113" s="146"/>
      <c r="GUB113" s="146"/>
      <c r="GUC113" s="146"/>
      <c r="GUD113" s="146"/>
      <c r="GUE113" s="146"/>
      <c r="GUF113" s="146"/>
      <c r="GUG113" s="146"/>
      <c r="GUH113" s="146"/>
      <c r="GUI113" s="146"/>
      <c r="GUJ113" s="146"/>
      <c r="GUK113" s="146"/>
      <c r="GUL113" s="146"/>
      <c r="GUM113" s="146"/>
      <c r="GUN113" s="146"/>
      <c r="GUO113" s="146"/>
      <c r="GUP113" s="146"/>
      <c r="GUQ113" s="146"/>
      <c r="GUR113" s="146"/>
      <c r="GUS113" s="146"/>
      <c r="GUT113" s="146"/>
      <c r="GUU113" s="146"/>
      <c r="GUV113" s="146"/>
      <c r="GUW113" s="146"/>
      <c r="GUX113" s="146"/>
      <c r="GUY113" s="146"/>
      <c r="GUZ113" s="146"/>
      <c r="GVA113" s="146"/>
      <c r="GVB113" s="146"/>
      <c r="GVC113" s="146"/>
      <c r="GVD113" s="146"/>
      <c r="GVE113" s="146"/>
      <c r="GVF113" s="146"/>
      <c r="GVG113" s="146"/>
      <c r="GVH113" s="146"/>
      <c r="GVI113" s="146"/>
      <c r="GVJ113" s="146"/>
      <c r="GVK113" s="146"/>
      <c r="GVL113" s="146"/>
      <c r="GVM113" s="146"/>
      <c r="GVN113" s="146"/>
      <c r="GVO113" s="146"/>
      <c r="GVP113" s="146"/>
      <c r="GVQ113" s="146"/>
      <c r="GVR113" s="146"/>
      <c r="GVS113" s="146"/>
      <c r="GVT113" s="146"/>
      <c r="GVU113" s="146"/>
      <c r="GVV113" s="146"/>
      <c r="GVW113" s="146"/>
      <c r="GVX113" s="146"/>
      <c r="GVY113" s="146"/>
      <c r="GVZ113" s="146"/>
      <c r="GWA113" s="146"/>
      <c r="GWB113" s="146"/>
      <c r="GWC113" s="146"/>
      <c r="GWD113" s="146"/>
      <c r="GWE113" s="146"/>
      <c r="GWF113" s="146"/>
      <c r="GWG113" s="146"/>
      <c r="GWH113" s="146"/>
      <c r="GWI113" s="146"/>
      <c r="GWJ113" s="146"/>
      <c r="GWK113" s="146"/>
      <c r="GWL113" s="146"/>
      <c r="GWM113" s="146"/>
      <c r="GWN113" s="146"/>
      <c r="GWO113" s="146"/>
      <c r="GWP113" s="146"/>
      <c r="GWQ113" s="146"/>
      <c r="GWR113" s="146"/>
      <c r="GWS113" s="146"/>
      <c r="GWT113" s="146"/>
      <c r="GWU113" s="146"/>
      <c r="GWV113" s="146"/>
      <c r="GWW113" s="146"/>
      <c r="GWX113" s="146"/>
      <c r="GWY113" s="146"/>
      <c r="GWZ113" s="146"/>
      <c r="GXA113" s="146"/>
      <c r="GXB113" s="146"/>
      <c r="GXC113" s="146"/>
      <c r="GXD113" s="146"/>
      <c r="GXE113" s="146"/>
      <c r="GXF113" s="146"/>
      <c r="GXG113" s="146"/>
      <c r="GXH113" s="146"/>
      <c r="GXI113" s="146"/>
      <c r="GXJ113" s="146"/>
      <c r="GXK113" s="146"/>
      <c r="GXL113" s="146"/>
      <c r="GXM113" s="146"/>
      <c r="GXN113" s="146"/>
      <c r="GXO113" s="146"/>
      <c r="GXP113" s="146"/>
      <c r="GXQ113" s="146"/>
      <c r="GXR113" s="146"/>
      <c r="GXS113" s="146"/>
      <c r="GXT113" s="146"/>
      <c r="GXU113" s="146"/>
      <c r="GXV113" s="146"/>
      <c r="GXW113" s="146"/>
      <c r="GXX113" s="146"/>
      <c r="GXY113" s="146"/>
      <c r="GXZ113" s="146"/>
      <c r="GYA113" s="146"/>
      <c r="GYB113" s="146"/>
      <c r="GYC113" s="146"/>
      <c r="GYD113" s="146"/>
      <c r="GYE113" s="146"/>
      <c r="GYF113" s="146"/>
      <c r="GYG113" s="146"/>
      <c r="GYH113" s="146"/>
      <c r="GYI113" s="146"/>
      <c r="GYJ113" s="146"/>
      <c r="GYK113" s="146"/>
      <c r="GYL113" s="146"/>
      <c r="GYM113" s="146"/>
      <c r="GYN113" s="146"/>
      <c r="GYO113" s="146"/>
      <c r="GYP113" s="146"/>
      <c r="GYQ113" s="146"/>
      <c r="GYR113" s="146"/>
      <c r="GYS113" s="146"/>
      <c r="GYT113" s="146"/>
      <c r="GYU113" s="146"/>
      <c r="GYV113" s="146"/>
      <c r="GYW113" s="146"/>
      <c r="GYX113" s="146"/>
      <c r="GYY113" s="146"/>
      <c r="GYZ113" s="146"/>
      <c r="GZA113" s="146"/>
      <c r="GZB113" s="146"/>
      <c r="GZC113" s="146"/>
      <c r="GZD113" s="146"/>
      <c r="GZE113" s="146"/>
      <c r="GZF113" s="146"/>
      <c r="GZG113" s="146"/>
      <c r="GZH113" s="146"/>
      <c r="GZI113" s="146"/>
      <c r="GZJ113" s="146"/>
      <c r="GZK113" s="146"/>
      <c r="GZL113" s="146"/>
      <c r="GZM113" s="146"/>
      <c r="GZN113" s="146"/>
      <c r="GZO113" s="146"/>
      <c r="GZP113" s="146"/>
      <c r="GZQ113" s="146"/>
      <c r="GZR113" s="146"/>
      <c r="GZS113" s="146"/>
      <c r="GZT113" s="146"/>
      <c r="GZU113" s="146"/>
      <c r="GZV113" s="146"/>
      <c r="GZW113" s="146"/>
      <c r="GZX113" s="146"/>
      <c r="GZY113" s="146"/>
      <c r="GZZ113" s="146"/>
      <c r="HAA113" s="146"/>
      <c r="HAB113" s="146"/>
      <c r="HAC113" s="146"/>
      <c r="HAD113" s="146"/>
      <c r="HAE113" s="146"/>
      <c r="HAF113" s="146"/>
      <c r="HAG113" s="146"/>
      <c r="HAH113" s="146"/>
      <c r="HAI113" s="146"/>
      <c r="HAJ113" s="146"/>
      <c r="HAK113" s="146"/>
      <c r="HAL113" s="146"/>
      <c r="HAM113" s="146"/>
      <c r="HAN113" s="146"/>
      <c r="HAO113" s="146"/>
      <c r="HAP113" s="146"/>
      <c r="HAQ113" s="146"/>
      <c r="HAR113" s="146"/>
      <c r="HAS113" s="146"/>
      <c r="HAT113" s="146"/>
      <c r="HAU113" s="146"/>
      <c r="HAV113" s="146"/>
      <c r="HAW113" s="146"/>
      <c r="HAX113" s="146"/>
      <c r="HAY113" s="146"/>
      <c r="HAZ113" s="146"/>
      <c r="HBA113" s="146"/>
      <c r="HBB113" s="146"/>
      <c r="HBC113" s="146"/>
      <c r="HBD113" s="146"/>
      <c r="HBE113" s="146"/>
      <c r="HBF113" s="146"/>
      <c r="HBG113" s="146"/>
      <c r="HBH113" s="146"/>
      <c r="HBI113" s="146"/>
      <c r="HBJ113" s="146"/>
      <c r="HBK113" s="146"/>
      <c r="HBL113" s="146"/>
      <c r="HBM113" s="146"/>
      <c r="HBN113" s="146"/>
      <c r="HBO113" s="146"/>
      <c r="HBP113" s="146"/>
      <c r="HBQ113" s="146"/>
      <c r="HBR113" s="146"/>
      <c r="HBS113" s="146"/>
      <c r="HBT113" s="146"/>
      <c r="HBU113" s="146"/>
      <c r="HBV113" s="146"/>
      <c r="HBW113" s="146"/>
      <c r="HBX113" s="146"/>
      <c r="HBY113" s="146"/>
      <c r="HBZ113" s="146"/>
      <c r="HCA113" s="146"/>
      <c r="HCB113" s="146"/>
      <c r="HCC113" s="146"/>
      <c r="HCD113" s="146"/>
      <c r="HCE113" s="146"/>
      <c r="HCF113" s="146"/>
      <c r="HCG113" s="146"/>
      <c r="HCH113" s="146"/>
      <c r="HCI113" s="146"/>
      <c r="HCJ113" s="146"/>
      <c r="HCK113" s="146"/>
      <c r="HCL113" s="146"/>
      <c r="HCM113" s="146"/>
      <c r="HCN113" s="146"/>
      <c r="HCO113" s="146"/>
      <c r="HCP113" s="146"/>
      <c r="HCQ113" s="146"/>
      <c r="HCR113" s="146"/>
      <c r="HCS113" s="146"/>
      <c r="HCT113" s="146"/>
      <c r="HCU113" s="146"/>
      <c r="HCV113" s="146"/>
      <c r="HCW113" s="146"/>
      <c r="HCX113" s="146"/>
      <c r="HCY113" s="146"/>
      <c r="HCZ113" s="146"/>
      <c r="HDA113" s="146"/>
      <c r="HDB113" s="146"/>
      <c r="HDC113" s="146"/>
      <c r="HDD113" s="146"/>
      <c r="HDE113" s="146"/>
      <c r="HDF113" s="146"/>
      <c r="HDG113" s="146"/>
      <c r="HDH113" s="146"/>
      <c r="HDI113" s="146"/>
      <c r="HDJ113" s="146"/>
      <c r="HDK113" s="146"/>
      <c r="HDL113" s="146"/>
      <c r="HDM113" s="146"/>
      <c r="HDN113" s="146"/>
      <c r="HDO113" s="146"/>
      <c r="HDP113" s="146"/>
      <c r="HDQ113" s="146"/>
      <c r="HDR113" s="146"/>
      <c r="HDS113" s="146"/>
      <c r="HDT113" s="146"/>
      <c r="HDU113" s="146"/>
      <c r="HDV113" s="146"/>
      <c r="HDW113" s="146"/>
      <c r="HDX113" s="146"/>
      <c r="HDY113" s="146"/>
      <c r="HDZ113" s="146"/>
      <c r="HEA113" s="146"/>
      <c r="HEB113" s="146"/>
      <c r="HEC113" s="146"/>
      <c r="HED113" s="146"/>
      <c r="HEE113" s="146"/>
      <c r="HEF113" s="146"/>
      <c r="HEG113" s="146"/>
      <c r="HEH113" s="146"/>
      <c r="HEI113" s="146"/>
      <c r="HEJ113" s="146"/>
      <c r="HEK113" s="146"/>
      <c r="HEL113" s="146"/>
      <c r="HEM113" s="146"/>
      <c r="HEN113" s="146"/>
      <c r="HEO113" s="146"/>
      <c r="HEP113" s="146"/>
      <c r="HEQ113" s="146"/>
      <c r="HER113" s="146"/>
      <c r="HES113" s="146"/>
      <c r="HET113" s="146"/>
      <c r="HEU113" s="146"/>
      <c r="HEV113" s="146"/>
      <c r="HEW113" s="146"/>
      <c r="HEX113" s="146"/>
      <c r="HEY113" s="146"/>
      <c r="HEZ113" s="146"/>
      <c r="HFA113" s="146"/>
      <c r="HFB113" s="146"/>
      <c r="HFC113" s="146"/>
      <c r="HFD113" s="146"/>
      <c r="HFE113" s="146"/>
      <c r="HFF113" s="146"/>
      <c r="HFG113" s="146"/>
      <c r="HFH113" s="146"/>
      <c r="HFI113" s="146"/>
      <c r="HFJ113" s="146"/>
      <c r="HFK113" s="146"/>
      <c r="HFL113" s="146"/>
      <c r="HFM113" s="146"/>
      <c r="HFN113" s="146"/>
      <c r="HFO113" s="146"/>
      <c r="HFP113" s="146"/>
      <c r="HFQ113" s="146"/>
      <c r="HFR113" s="146"/>
      <c r="HFS113" s="146"/>
      <c r="HFT113" s="146"/>
      <c r="HFU113" s="146"/>
      <c r="HFV113" s="146"/>
      <c r="HFW113" s="146"/>
      <c r="HFX113" s="146"/>
      <c r="HFY113" s="146"/>
      <c r="HFZ113" s="146"/>
      <c r="HGA113" s="146"/>
      <c r="HGB113" s="146"/>
      <c r="HGC113" s="146"/>
      <c r="HGD113" s="146"/>
      <c r="HGE113" s="146"/>
      <c r="HGF113" s="146"/>
      <c r="HGG113" s="146"/>
      <c r="HGH113" s="146"/>
      <c r="HGI113" s="146"/>
      <c r="HGJ113" s="146"/>
      <c r="HGK113" s="146"/>
      <c r="HGL113" s="146"/>
      <c r="HGM113" s="146"/>
      <c r="HGN113" s="146"/>
      <c r="HGO113" s="146"/>
      <c r="HGP113" s="146"/>
      <c r="HGQ113" s="146"/>
      <c r="HGR113" s="146"/>
      <c r="HGS113" s="146"/>
      <c r="HGT113" s="146"/>
      <c r="HGU113" s="146"/>
      <c r="HGV113" s="146"/>
      <c r="HGW113" s="146"/>
      <c r="HGX113" s="146"/>
      <c r="HGY113" s="146"/>
      <c r="HGZ113" s="146"/>
      <c r="HHA113" s="146"/>
      <c r="HHB113" s="146"/>
      <c r="HHC113" s="146"/>
      <c r="HHD113" s="146"/>
      <c r="HHE113" s="146"/>
      <c r="HHF113" s="146"/>
      <c r="HHG113" s="146"/>
      <c r="HHH113" s="146"/>
      <c r="HHI113" s="146"/>
      <c r="HHJ113" s="146"/>
      <c r="HHK113" s="146"/>
      <c r="HHL113" s="146"/>
      <c r="HHM113" s="146"/>
      <c r="HHN113" s="146"/>
      <c r="HHO113" s="146"/>
      <c r="HHP113" s="146"/>
      <c r="HHQ113" s="146"/>
      <c r="HHR113" s="146"/>
      <c r="HHS113" s="146"/>
      <c r="HHT113" s="146"/>
      <c r="HHU113" s="146"/>
      <c r="HHV113" s="146"/>
      <c r="HHW113" s="146"/>
      <c r="HHX113" s="146"/>
      <c r="HHY113" s="146"/>
      <c r="HHZ113" s="146"/>
      <c r="HIA113" s="146"/>
      <c r="HIB113" s="146"/>
      <c r="HIC113" s="146"/>
      <c r="HID113" s="146"/>
      <c r="HIE113" s="146"/>
      <c r="HIF113" s="146"/>
      <c r="HIG113" s="146"/>
      <c r="HIH113" s="146"/>
      <c r="HII113" s="146"/>
      <c r="HIJ113" s="146"/>
      <c r="HIK113" s="146"/>
      <c r="HIL113" s="146"/>
      <c r="HIM113" s="146"/>
      <c r="HIN113" s="146"/>
      <c r="HIO113" s="146"/>
      <c r="HIP113" s="146"/>
      <c r="HIQ113" s="146"/>
      <c r="HIR113" s="146"/>
      <c r="HIS113" s="146"/>
      <c r="HIT113" s="146"/>
      <c r="HIU113" s="146"/>
      <c r="HIV113" s="146"/>
      <c r="HIW113" s="146"/>
      <c r="HIX113" s="146"/>
      <c r="HIY113" s="146"/>
      <c r="HIZ113" s="146"/>
      <c r="HJA113" s="146"/>
      <c r="HJB113" s="146"/>
      <c r="HJC113" s="146"/>
      <c r="HJD113" s="146"/>
      <c r="HJE113" s="146"/>
      <c r="HJF113" s="146"/>
      <c r="HJG113" s="146"/>
      <c r="HJH113" s="146"/>
      <c r="HJI113" s="146"/>
      <c r="HJJ113" s="146"/>
      <c r="HJK113" s="146"/>
      <c r="HJL113" s="146"/>
      <c r="HJM113" s="146"/>
      <c r="HJN113" s="146"/>
      <c r="HJO113" s="146"/>
      <c r="HJP113" s="146"/>
      <c r="HJQ113" s="146"/>
      <c r="HJR113" s="146"/>
      <c r="HJS113" s="146"/>
      <c r="HJT113" s="146"/>
      <c r="HJU113" s="146"/>
      <c r="HJV113" s="146"/>
      <c r="HJW113" s="146"/>
      <c r="HJX113" s="146"/>
      <c r="HJY113" s="146"/>
      <c r="HJZ113" s="146"/>
      <c r="HKA113" s="146"/>
      <c r="HKB113" s="146"/>
      <c r="HKC113" s="146"/>
      <c r="HKD113" s="146"/>
      <c r="HKE113" s="146"/>
      <c r="HKF113" s="146"/>
      <c r="HKG113" s="146"/>
      <c r="HKH113" s="146"/>
      <c r="HKI113" s="146"/>
      <c r="HKJ113" s="146"/>
      <c r="HKK113" s="146"/>
      <c r="HKL113" s="146"/>
      <c r="HKM113" s="146"/>
      <c r="HKN113" s="146"/>
      <c r="HKO113" s="146"/>
      <c r="HKP113" s="146"/>
      <c r="HKQ113" s="146"/>
      <c r="HKR113" s="146"/>
      <c r="HKS113" s="146"/>
      <c r="HKT113" s="146"/>
      <c r="HKU113" s="146"/>
      <c r="HKV113" s="146"/>
      <c r="HKW113" s="146"/>
      <c r="HKX113" s="146"/>
      <c r="HKY113" s="146"/>
      <c r="HKZ113" s="146"/>
      <c r="HLA113" s="146"/>
      <c r="HLB113" s="146"/>
      <c r="HLC113" s="146"/>
      <c r="HLD113" s="146"/>
      <c r="HLE113" s="146"/>
      <c r="HLF113" s="146"/>
      <c r="HLG113" s="146"/>
      <c r="HLH113" s="146"/>
      <c r="HLI113" s="146"/>
      <c r="HLJ113" s="146"/>
      <c r="HLK113" s="146"/>
      <c r="HLL113" s="146"/>
      <c r="HLM113" s="146"/>
      <c r="HLN113" s="146"/>
      <c r="HLO113" s="146"/>
      <c r="HLP113" s="146"/>
      <c r="HLQ113" s="146"/>
      <c r="HLR113" s="146"/>
      <c r="HLS113" s="146"/>
      <c r="HLT113" s="146"/>
      <c r="HLU113" s="146"/>
      <c r="HLV113" s="146"/>
      <c r="HLW113" s="146"/>
      <c r="HLX113" s="146"/>
      <c r="HLY113" s="146"/>
      <c r="HLZ113" s="146"/>
      <c r="HMA113" s="146"/>
      <c r="HMB113" s="146"/>
      <c r="HMC113" s="146"/>
      <c r="HMD113" s="146"/>
      <c r="HME113" s="146"/>
      <c r="HMF113" s="146"/>
      <c r="HMG113" s="146"/>
      <c r="HMH113" s="146"/>
      <c r="HMI113" s="146"/>
      <c r="HMJ113" s="146"/>
      <c r="HMK113" s="146"/>
      <c r="HML113" s="146"/>
      <c r="HMM113" s="146"/>
      <c r="HMN113" s="146"/>
      <c r="HMO113" s="146"/>
      <c r="HMP113" s="146"/>
      <c r="HMQ113" s="146"/>
      <c r="HMR113" s="146"/>
      <c r="HMS113" s="146"/>
      <c r="HMT113" s="146"/>
      <c r="HMU113" s="146"/>
      <c r="HMV113" s="146"/>
      <c r="HMW113" s="146"/>
      <c r="HMX113" s="146"/>
      <c r="HMY113" s="146"/>
      <c r="HMZ113" s="146"/>
      <c r="HNA113" s="146"/>
      <c r="HNB113" s="146"/>
      <c r="HNC113" s="146"/>
      <c r="HND113" s="146"/>
      <c r="HNE113" s="146"/>
      <c r="HNF113" s="146"/>
      <c r="HNG113" s="146"/>
      <c r="HNH113" s="146"/>
      <c r="HNI113" s="146"/>
      <c r="HNJ113" s="146"/>
      <c r="HNK113" s="146"/>
      <c r="HNL113" s="146"/>
      <c r="HNM113" s="146"/>
      <c r="HNN113" s="146"/>
      <c r="HNO113" s="146"/>
      <c r="HNP113" s="146"/>
      <c r="HNQ113" s="146"/>
      <c r="HNR113" s="146"/>
      <c r="HNS113" s="146"/>
      <c r="HNT113" s="146"/>
      <c r="HNU113" s="146"/>
      <c r="HNV113" s="146"/>
      <c r="HNW113" s="146"/>
      <c r="HNX113" s="146"/>
      <c r="HNY113" s="146"/>
      <c r="HNZ113" s="146"/>
      <c r="HOA113" s="146"/>
      <c r="HOB113" s="146"/>
      <c r="HOC113" s="146"/>
      <c r="HOD113" s="146"/>
      <c r="HOE113" s="146"/>
      <c r="HOF113" s="146"/>
      <c r="HOG113" s="146"/>
      <c r="HOH113" s="146"/>
      <c r="HOI113" s="146"/>
      <c r="HOJ113" s="146"/>
      <c r="HOK113" s="146"/>
      <c r="HOL113" s="146"/>
      <c r="HOM113" s="146"/>
      <c r="HON113" s="146"/>
      <c r="HOO113" s="146"/>
      <c r="HOP113" s="146"/>
      <c r="HOQ113" s="146"/>
      <c r="HOR113" s="146"/>
      <c r="HOS113" s="146"/>
      <c r="HOT113" s="146"/>
      <c r="HOU113" s="146"/>
      <c r="HOV113" s="146"/>
      <c r="HOW113" s="146"/>
      <c r="HOX113" s="146"/>
      <c r="HOY113" s="146"/>
      <c r="HOZ113" s="146"/>
      <c r="HPA113" s="146"/>
      <c r="HPB113" s="146"/>
      <c r="HPC113" s="146"/>
      <c r="HPD113" s="146"/>
      <c r="HPE113" s="146"/>
      <c r="HPF113" s="146"/>
      <c r="HPG113" s="146"/>
      <c r="HPH113" s="146"/>
      <c r="HPI113" s="146"/>
      <c r="HPJ113" s="146"/>
      <c r="HPK113" s="146"/>
      <c r="HPL113" s="146"/>
      <c r="HPM113" s="146"/>
      <c r="HPN113" s="146"/>
      <c r="HPO113" s="146"/>
      <c r="HPP113" s="146"/>
      <c r="HPQ113" s="146"/>
      <c r="HPR113" s="146"/>
      <c r="HPS113" s="146"/>
      <c r="HPT113" s="146"/>
      <c r="HPU113" s="146"/>
      <c r="HPV113" s="146"/>
      <c r="HPW113" s="146"/>
      <c r="HPX113" s="146"/>
      <c r="HPY113" s="146"/>
      <c r="HPZ113" s="146"/>
      <c r="HQA113" s="146"/>
      <c r="HQB113" s="146"/>
      <c r="HQC113" s="146"/>
      <c r="HQD113" s="146"/>
      <c r="HQE113" s="146"/>
      <c r="HQF113" s="146"/>
      <c r="HQG113" s="146"/>
      <c r="HQH113" s="146"/>
      <c r="HQI113" s="146"/>
      <c r="HQJ113" s="146"/>
      <c r="HQK113" s="146"/>
      <c r="HQL113" s="146"/>
      <c r="HQM113" s="146"/>
      <c r="HQN113" s="146"/>
      <c r="HQO113" s="146"/>
      <c r="HQP113" s="146"/>
      <c r="HQQ113" s="146"/>
      <c r="HQR113" s="146"/>
      <c r="HQS113" s="146"/>
      <c r="HQT113" s="146"/>
      <c r="HQU113" s="146"/>
      <c r="HQV113" s="146"/>
      <c r="HQW113" s="146"/>
      <c r="HQX113" s="146"/>
      <c r="HQY113" s="146"/>
      <c r="HQZ113" s="146"/>
      <c r="HRA113" s="146"/>
      <c r="HRB113" s="146"/>
      <c r="HRC113" s="146"/>
      <c r="HRD113" s="146"/>
      <c r="HRE113" s="146"/>
      <c r="HRF113" s="146"/>
      <c r="HRG113" s="146"/>
      <c r="HRH113" s="146"/>
      <c r="HRI113" s="146"/>
      <c r="HRJ113" s="146"/>
      <c r="HRK113" s="146"/>
      <c r="HRL113" s="146"/>
      <c r="HRM113" s="146"/>
      <c r="HRN113" s="146"/>
      <c r="HRO113" s="146"/>
      <c r="HRP113" s="146"/>
      <c r="HRQ113" s="146"/>
      <c r="HRR113" s="146"/>
      <c r="HRS113" s="146"/>
      <c r="HRT113" s="146"/>
      <c r="HRU113" s="146"/>
      <c r="HRV113" s="146"/>
      <c r="HRW113" s="146"/>
      <c r="HRX113" s="146"/>
      <c r="HRY113" s="146"/>
      <c r="HRZ113" s="146"/>
      <c r="HSA113" s="146"/>
      <c r="HSB113" s="146"/>
      <c r="HSC113" s="146"/>
      <c r="HSD113" s="146"/>
      <c r="HSE113" s="146"/>
      <c r="HSF113" s="146"/>
      <c r="HSG113" s="146"/>
      <c r="HSH113" s="146"/>
      <c r="HSI113" s="146"/>
      <c r="HSJ113" s="146"/>
      <c r="HSK113" s="146"/>
      <c r="HSL113" s="146"/>
      <c r="HSM113" s="146"/>
      <c r="HSN113" s="146"/>
      <c r="HSO113" s="146"/>
      <c r="HSP113" s="146"/>
      <c r="HSQ113" s="146"/>
      <c r="HSR113" s="146"/>
      <c r="HSS113" s="146"/>
      <c r="HST113" s="146"/>
      <c r="HSU113" s="146"/>
      <c r="HSV113" s="146"/>
      <c r="HSW113" s="146"/>
      <c r="HSX113" s="146"/>
      <c r="HSY113" s="146"/>
      <c r="HSZ113" s="146"/>
      <c r="HTA113" s="146"/>
      <c r="HTB113" s="146"/>
      <c r="HTC113" s="146"/>
      <c r="HTD113" s="146"/>
      <c r="HTE113" s="146"/>
      <c r="HTF113" s="146"/>
      <c r="HTG113" s="146"/>
      <c r="HTH113" s="146"/>
      <c r="HTI113" s="146"/>
      <c r="HTJ113" s="146"/>
      <c r="HTK113" s="146"/>
      <c r="HTL113" s="146"/>
      <c r="HTM113" s="146"/>
      <c r="HTN113" s="146"/>
      <c r="HTO113" s="146"/>
      <c r="HTP113" s="146"/>
      <c r="HTQ113" s="146"/>
      <c r="HTR113" s="146"/>
      <c r="HTS113" s="146"/>
      <c r="HTT113" s="146"/>
      <c r="HTU113" s="146"/>
      <c r="HTV113" s="146"/>
      <c r="HTW113" s="146"/>
      <c r="HTX113" s="146"/>
      <c r="HTY113" s="146"/>
      <c r="HTZ113" s="146"/>
      <c r="HUA113" s="146"/>
      <c r="HUB113" s="146"/>
      <c r="HUC113" s="146"/>
      <c r="HUD113" s="146"/>
      <c r="HUE113" s="146"/>
      <c r="HUF113" s="146"/>
      <c r="HUG113" s="146"/>
      <c r="HUH113" s="146"/>
      <c r="HUI113" s="146"/>
      <c r="HUJ113" s="146"/>
      <c r="HUK113" s="146"/>
      <c r="HUL113" s="146"/>
      <c r="HUM113" s="146"/>
      <c r="HUN113" s="146"/>
      <c r="HUO113" s="146"/>
      <c r="HUP113" s="146"/>
      <c r="HUQ113" s="146"/>
      <c r="HUR113" s="146"/>
      <c r="HUS113" s="146"/>
      <c r="HUT113" s="146"/>
      <c r="HUU113" s="146"/>
      <c r="HUV113" s="146"/>
      <c r="HUW113" s="146"/>
      <c r="HUX113" s="146"/>
      <c r="HUY113" s="146"/>
      <c r="HUZ113" s="146"/>
      <c r="HVA113" s="146"/>
      <c r="HVB113" s="146"/>
      <c r="HVC113" s="146"/>
      <c r="HVD113" s="146"/>
      <c r="HVE113" s="146"/>
      <c r="HVF113" s="146"/>
      <c r="HVG113" s="146"/>
      <c r="HVH113" s="146"/>
      <c r="HVI113" s="146"/>
      <c r="HVJ113" s="146"/>
      <c r="HVK113" s="146"/>
      <c r="HVL113" s="146"/>
      <c r="HVM113" s="146"/>
      <c r="HVN113" s="146"/>
      <c r="HVO113" s="146"/>
      <c r="HVP113" s="146"/>
      <c r="HVQ113" s="146"/>
      <c r="HVR113" s="146"/>
      <c r="HVS113" s="146"/>
      <c r="HVT113" s="146"/>
      <c r="HVU113" s="146"/>
      <c r="HVV113" s="146"/>
      <c r="HVW113" s="146"/>
      <c r="HVX113" s="146"/>
      <c r="HVY113" s="146"/>
      <c r="HVZ113" s="146"/>
      <c r="HWA113" s="146"/>
      <c r="HWB113" s="146"/>
      <c r="HWC113" s="146"/>
      <c r="HWD113" s="146"/>
      <c r="HWE113" s="146"/>
      <c r="HWF113" s="146"/>
      <c r="HWG113" s="146"/>
      <c r="HWH113" s="146"/>
      <c r="HWI113" s="146"/>
      <c r="HWJ113" s="146"/>
      <c r="HWK113" s="146"/>
      <c r="HWL113" s="146"/>
      <c r="HWM113" s="146"/>
      <c r="HWN113" s="146"/>
      <c r="HWO113" s="146"/>
      <c r="HWP113" s="146"/>
      <c r="HWQ113" s="146"/>
      <c r="HWR113" s="146"/>
      <c r="HWS113" s="146"/>
      <c r="HWT113" s="146"/>
      <c r="HWU113" s="146"/>
      <c r="HWV113" s="146"/>
      <c r="HWW113" s="146"/>
      <c r="HWX113" s="146"/>
      <c r="HWY113" s="146"/>
      <c r="HWZ113" s="146"/>
      <c r="HXA113" s="146"/>
      <c r="HXB113" s="146"/>
      <c r="HXC113" s="146"/>
      <c r="HXD113" s="146"/>
      <c r="HXE113" s="146"/>
      <c r="HXF113" s="146"/>
      <c r="HXG113" s="146"/>
      <c r="HXH113" s="146"/>
      <c r="HXI113" s="146"/>
      <c r="HXJ113" s="146"/>
      <c r="HXK113" s="146"/>
      <c r="HXL113" s="146"/>
      <c r="HXM113" s="146"/>
      <c r="HXN113" s="146"/>
      <c r="HXO113" s="146"/>
      <c r="HXP113" s="146"/>
      <c r="HXQ113" s="146"/>
      <c r="HXR113" s="146"/>
      <c r="HXS113" s="146"/>
      <c r="HXT113" s="146"/>
      <c r="HXU113" s="146"/>
      <c r="HXV113" s="146"/>
      <c r="HXW113" s="146"/>
      <c r="HXX113" s="146"/>
      <c r="HXY113" s="146"/>
      <c r="HXZ113" s="146"/>
      <c r="HYA113" s="146"/>
      <c r="HYB113" s="146"/>
      <c r="HYC113" s="146"/>
      <c r="HYD113" s="146"/>
      <c r="HYE113" s="146"/>
      <c r="HYF113" s="146"/>
      <c r="HYG113" s="146"/>
      <c r="HYH113" s="146"/>
      <c r="HYI113" s="146"/>
      <c r="HYJ113" s="146"/>
      <c r="HYK113" s="146"/>
      <c r="HYL113" s="146"/>
      <c r="HYM113" s="146"/>
      <c r="HYN113" s="146"/>
      <c r="HYO113" s="146"/>
      <c r="HYP113" s="146"/>
      <c r="HYQ113" s="146"/>
      <c r="HYR113" s="146"/>
      <c r="HYS113" s="146"/>
      <c r="HYT113" s="146"/>
      <c r="HYU113" s="146"/>
      <c r="HYV113" s="146"/>
      <c r="HYW113" s="146"/>
      <c r="HYX113" s="146"/>
      <c r="HYY113" s="146"/>
      <c r="HYZ113" s="146"/>
      <c r="HZA113" s="146"/>
      <c r="HZB113" s="146"/>
      <c r="HZC113" s="146"/>
      <c r="HZD113" s="146"/>
      <c r="HZE113" s="146"/>
      <c r="HZF113" s="146"/>
      <c r="HZG113" s="146"/>
      <c r="HZH113" s="146"/>
      <c r="HZI113" s="146"/>
      <c r="HZJ113" s="146"/>
      <c r="HZK113" s="146"/>
      <c r="HZL113" s="146"/>
      <c r="HZM113" s="146"/>
      <c r="HZN113" s="146"/>
      <c r="HZO113" s="146"/>
      <c r="HZP113" s="146"/>
      <c r="HZQ113" s="146"/>
      <c r="HZR113" s="146"/>
      <c r="HZS113" s="146"/>
      <c r="HZT113" s="146"/>
      <c r="HZU113" s="146"/>
      <c r="HZV113" s="146"/>
      <c r="HZW113" s="146"/>
      <c r="HZX113" s="146"/>
      <c r="HZY113" s="146"/>
      <c r="HZZ113" s="146"/>
      <c r="IAA113" s="146"/>
      <c r="IAB113" s="146"/>
      <c r="IAC113" s="146"/>
      <c r="IAD113" s="146"/>
      <c r="IAE113" s="146"/>
      <c r="IAF113" s="146"/>
      <c r="IAG113" s="146"/>
      <c r="IAH113" s="146"/>
      <c r="IAI113" s="146"/>
      <c r="IAJ113" s="146"/>
      <c r="IAK113" s="146"/>
      <c r="IAL113" s="146"/>
      <c r="IAM113" s="146"/>
      <c r="IAN113" s="146"/>
      <c r="IAO113" s="146"/>
      <c r="IAP113" s="146"/>
      <c r="IAQ113" s="146"/>
      <c r="IAR113" s="146"/>
      <c r="IAS113" s="146"/>
      <c r="IAT113" s="146"/>
      <c r="IAU113" s="146"/>
      <c r="IAV113" s="146"/>
      <c r="IAW113" s="146"/>
      <c r="IAX113" s="146"/>
      <c r="IAY113" s="146"/>
      <c r="IAZ113" s="146"/>
      <c r="IBA113" s="146"/>
      <c r="IBB113" s="146"/>
      <c r="IBC113" s="146"/>
      <c r="IBD113" s="146"/>
      <c r="IBE113" s="146"/>
      <c r="IBF113" s="146"/>
      <c r="IBG113" s="146"/>
      <c r="IBH113" s="146"/>
      <c r="IBI113" s="146"/>
      <c r="IBJ113" s="146"/>
      <c r="IBK113" s="146"/>
      <c r="IBL113" s="146"/>
      <c r="IBM113" s="146"/>
      <c r="IBN113" s="146"/>
      <c r="IBO113" s="146"/>
      <c r="IBP113" s="146"/>
      <c r="IBQ113" s="146"/>
      <c r="IBR113" s="146"/>
      <c r="IBS113" s="146"/>
      <c r="IBT113" s="146"/>
      <c r="IBU113" s="146"/>
      <c r="IBV113" s="146"/>
      <c r="IBW113" s="146"/>
      <c r="IBX113" s="146"/>
      <c r="IBY113" s="146"/>
      <c r="IBZ113" s="146"/>
      <c r="ICA113" s="146"/>
      <c r="ICB113" s="146"/>
      <c r="ICC113" s="146"/>
      <c r="ICD113" s="146"/>
      <c r="ICE113" s="146"/>
      <c r="ICF113" s="146"/>
      <c r="ICG113" s="146"/>
      <c r="ICH113" s="146"/>
      <c r="ICI113" s="146"/>
      <c r="ICJ113" s="146"/>
      <c r="ICK113" s="146"/>
      <c r="ICL113" s="146"/>
      <c r="ICM113" s="146"/>
      <c r="ICN113" s="146"/>
      <c r="ICO113" s="146"/>
      <c r="ICP113" s="146"/>
      <c r="ICQ113" s="146"/>
      <c r="ICR113" s="146"/>
      <c r="ICS113" s="146"/>
      <c r="ICT113" s="146"/>
      <c r="ICU113" s="146"/>
      <c r="ICV113" s="146"/>
      <c r="ICW113" s="146"/>
      <c r="ICX113" s="146"/>
      <c r="ICY113" s="146"/>
      <c r="ICZ113" s="146"/>
      <c r="IDA113" s="146"/>
      <c r="IDB113" s="146"/>
      <c r="IDC113" s="146"/>
      <c r="IDD113" s="146"/>
      <c r="IDE113" s="146"/>
      <c r="IDF113" s="146"/>
      <c r="IDG113" s="146"/>
      <c r="IDH113" s="146"/>
      <c r="IDI113" s="146"/>
      <c r="IDJ113" s="146"/>
      <c r="IDK113" s="146"/>
      <c r="IDL113" s="146"/>
      <c r="IDM113" s="146"/>
      <c r="IDN113" s="146"/>
      <c r="IDO113" s="146"/>
      <c r="IDP113" s="146"/>
      <c r="IDQ113" s="146"/>
      <c r="IDR113" s="146"/>
      <c r="IDS113" s="146"/>
      <c r="IDT113" s="146"/>
      <c r="IDU113" s="146"/>
      <c r="IDV113" s="146"/>
      <c r="IDW113" s="146"/>
      <c r="IDX113" s="146"/>
      <c r="IDY113" s="146"/>
      <c r="IDZ113" s="146"/>
      <c r="IEA113" s="146"/>
      <c r="IEB113" s="146"/>
      <c r="IEC113" s="146"/>
      <c r="IED113" s="146"/>
      <c r="IEE113" s="146"/>
      <c r="IEF113" s="146"/>
      <c r="IEG113" s="146"/>
      <c r="IEH113" s="146"/>
      <c r="IEI113" s="146"/>
      <c r="IEJ113" s="146"/>
      <c r="IEK113" s="146"/>
      <c r="IEL113" s="146"/>
      <c r="IEM113" s="146"/>
      <c r="IEN113" s="146"/>
      <c r="IEO113" s="146"/>
      <c r="IEP113" s="146"/>
      <c r="IEQ113" s="146"/>
      <c r="IER113" s="146"/>
      <c r="IES113" s="146"/>
      <c r="IET113" s="146"/>
      <c r="IEU113" s="146"/>
      <c r="IEV113" s="146"/>
      <c r="IEW113" s="146"/>
      <c r="IEX113" s="146"/>
      <c r="IEY113" s="146"/>
      <c r="IEZ113" s="146"/>
      <c r="IFA113" s="146"/>
      <c r="IFB113" s="146"/>
      <c r="IFC113" s="146"/>
      <c r="IFD113" s="146"/>
      <c r="IFE113" s="146"/>
      <c r="IFF113" s="146"/>
      <c r="IFG113" s="146"/>
      <c r="IFH113" s="146"/>
      <c r="IFI113" s="146"/>
      <c r="IFJ113" s="146"/>
      <c r="IFK113" s="146"/>
      <c r="IFL113" s="146"/>
      <c r="IFM113" s="146"/>
      <c r="IFN113" s="146"/>
      <c r="IFO113" s="146"/>
      <c r="IFP113" s="146"/>
      <c r="IFQ113" s="146"/>
      <c r="IFR113" s="146"/>
      <c r="IFS113" s="146"/>
      <c r="IFT113" s="146"/>
      <c r="IFU113" s="146"/>
      <c r="IFV113" s="146"/>
      <c r="IFW113" s="146"/>
      <c r="IFX113" s="146"/>
      <c r="IFY113" s="146"/>
      <c r="IFZ113" s="146"/>
      <c r="IGA113" s="146"/>
      <c r="IGB113" s="146"/>
      <c r="IGC113" s="146"/>
      <c r="IGD113" s="146"/>
      <c r="IGE113" s="146"/>
      <c r="IGF113" s="146"/>
      <c r="IGG113" s="146"/>
      <c r="IGH113" s="146"/>
      <c r="IGI113" s="146"/>
      <c r="IGJ113" s="146"/>
      <c r="IGK113" s="146"/>
      <c r="IGL113" s="146"/>
      <c r="IGM113" s="146"/>
      <c r="IGN113" s="146"/>
      <c r="IGO113" s="146"/>
      <c r="IGP113" s="146"/>
      <c r="IGQ113" s="146"/>
      <c r="IGR113" s="146"/>
      <c r="IGS113" s="146"/>
      <c r="IGT113" s="146"/>
      <c r="IGU113" s="146"/>
      <c r="IGV113" s="146"/>
      <c r="IGW113" s="146"/>
      <c r="IGX113" s="146"/>
      <c r="IGY113" s="146"/>
      <c r="IGZ113" s="146"/>
      <c r="IHA113" s="146"/>
      <c r="IHB113" s="146"/>
      <c r="IHC113" s="146"/>
      <c r="IHD113" s="146"/>
      <c r="IHE113" s="146"/>
      <c r="IHF113" s="146"/>
      <c r="IHG113" s="146"/>
      <c r="IHH113" s="146"/>
      <c r="IHI113" s="146"/>
      <c r="IHJ113" s="146"/>
      <c r="IHK113" s="146"/>
      <c r="IHL113" s="146"/>
      <c r="IHM113" s="146"/>
      <c r="IHN113" s="146"/>
      <c r="IHO113" s="146"/>
      <c r="IHP113" s="146"/>
      <c r="IHQ113" s="146"/>
      <c r="IHR113" s="146"/>
      <c r="IHS113" s="146"/>
      <c r="IHT113" s="146"/>
      <c r="IHU113" s="146"/>
      <c r="IHV113" s="146"/>
      <c r="IHW113" s="146"/>
      <c r="IHX113" s="146"/>
      <c r="IHY113" s="146"/>
      <c r="IHZ113" s="146"/>
      <c r="IIA113" s="146"/>
      <c r="IIB113" s="146"/>
      <c r="IIC113" s="146"/>
      <c r="IID113" s="146"/>
      <c r="IIE113" s="146"/>
      <c r="IIF113" s="146"/>
      <c r="IIG113" s="146"/>
      <c r="IIH113" s="146"/>
      <c r="III113" s="146"/>
      <c r="IIJ113" s="146"/>
      <c r="IIK113" s="146"/>
      <c r="IIL113" s="146"/>
      <c r="IIM113" s="146"/>
      <c r="IIN113" s="146"/>
      <c r="IIO113" s="146"/>
      <c r="IIP113" s="146"/>
      <c r="IIQ113" s="146"/>
      <c r="IIR113" s="146"/>
      <c r="IIS113" s="146"/>
      <c r="IIT113" s="146"/>
      <c r="IIU113" s="146"/>
      <c r="IIV113" s="146"/>
      <c r="IIW113" s="146"/>
      <c r="IIX113" s="146"/>
      <c r="IIY113" s="146"/>
      <c r="IIZ113" s="146"/>
      <c r="IJA113" s="146"/>
      <c r="IJB113" s="146"/>
      <c r="IJC113" s="146"/>
      <c r="IJD113" s="146"/>
      <c r="IJE113" s="146"/>
      <c r="IJF113" s="146"/>
      <c r="IJG113" s="146"/>
      <c r="IJH113" s="146"/>
      <c r="IJI113" s="146"/>
      <c r="IJJ113" s="146"/>
      <c r="IJK113" s="146"/>
      <c r="IJL113" s="146"/>
      <c r="IJM113" s="146"/>
      <c r="IJN113" s="146"/>
      <c r="IJO113" s="146"/>
      <c r="IJP113" s="146"/>
      <c r="IJQ113" s="146"/>
      <c r="IJR113" s="146"/>
      <c r="IJS113" s="146"/>
      <c r="IJT113" s="146"/>
      <c r="IJU113" s="146"/>
      <c r="IJV113" s="146"/>
      <c r="IJW113" s="146"/>
      <c r="IJX113" s="146"/>
      <c r="IJY113" s="146"/>
      <c r="IJZ113" s="146"/>
      <c r="IKA113" s="146"/>
      <c r="IKB113" s="146"/>
      <c r="IKC113" s="146"/>
      <c r="IKD113" s="146"/>
      <c r="IKE113" s="146"/>
      <c r="IKF113" s="146"/>
      <c r="IKG113" s="146"/>
      <c r="IKH113" s="146"/>
      <c r="IKI113" s="146"/>
      <c r="IKJ113" s="146"/>
      <c r="IKK113" s="146"/>
      <c r="IKL113" s="146"/>
      <c r="IKM113" s="146"/>
      <c r="IKN113" s="146"/>
      <c r="IKO113" s="146"/>
      <c r="IKP113" s="146"/>
      <c r="IKQ113" s="146"/>
      <c r="IKR113" s="146"/>
      <c r="IKS113" s="146"/>
      <c r="IKT113" s="146"/>
      <c r="IKU113" s="146"/>
      <c r="IKV113" s="146"/>
      <c r="IKW113" s="146"/>
      <c r="IKX113" s="146"/>
      <c r="IKY113" s="146"/>
      <c r="IKZ113" s="146"/>
      <c r="ILA113" s="146"/>
      <c r="ILB113" s="146"/>
      <c r="ILC113" s="146"/>
      <c r="ILD113" s="146"/>
      <c r="ILE113" s="146"/>
      <c r="ILF113" s="146"/>
      <c r="ILG113" s="146"/>
      <c r="ILH113" s="146"/>
      <c r="ILI113" s="146"/>
      <c r="ILJ113" s="146"/>
      <c r="ILK113" s="146"/>
      <c r="ILL113" s="146"/>
      <c r="ILM113" s="146"/>
      <c r="ILN113" s="146"/>
      <c r="ILO113" s="146"/>
      <c r="ILP113" s="146"/>
      <c r="ILQ113" s="146"/>
      <c r="ILR113" s="146"/>
      <c r="ILS113" s="146"/>
      <c r="ILT113" s="146"/>
      <c r="ILU113" s="146"/>
      <c r="ILV113" s="146"/>
      <c r="ILW113" s="146"/>
      <c r="ILX113" s="146"/>
      <c r="ILY113" s="146"/>
      <c r="ILZ113" s="146"/>
      <c r="IMA113" s="146"/>
      <c r="IMB113" s="146"/>
      <c r="IMC113" s="146"/>
      <c r="IMD113" s="146"/>
      <c r="IME113" s="146"/>
      <c r="IMF113" s="146"/>
      <c r="IMG113" s="146"/>
      <c r="IMH113" s="146"/>
      <c r="IMI113" s="146"/>
      <c r="IMJ113" s="146"/>
      <c r="IMK113" s="146"/>
      <c r="IML113" s="146"/>
      <c r="IMM113" s="146"/>
      <c r="IMN113" s="146"/>
      <c r="IMO113" s="146"/>
      <c r="IMP113" s="146"/>
      <c r="IMQ113" s="146"/>
      <c r="IMR113" s="146"/>
      <c r="IMS113" s="146"/>
      <c r="IMT113" s="146"/>
      <c r="IMU113" s="146"/>
      <c r="IMV113" s="146"/>
      <c r="IMW113" s="146"/>
      <c r="IMX113" s="146"/>
      <c r="IMY113" s="146"/>
      <c r="IMZ113" s="146"/>
      <c r="INA113" s="146"/>
      <c r="INB113" s="146"/>
      <c r="INC113" s="146"/>
      <c r="IND113" s="146"/>
      <c r="INE113" s="146"/>
      <c r="INF113" s="146"/>
      <c r="ING113" s="146"/>
      <c r="INH113" s="146"/>
      <c r="INI113" s="146"/>
      <c r="INJ113" s="146"/>
      <c r="INK113" s="146"/>
      <c r="INL113" s="146"/>
      <c r="INM113" s="146"/>
      <c r="INN113" s="146"/>
      <c r="INO113" s="146"/>
      <c r="INP113" s="146"/>
      <c r="INQ113" s="146"/>
      <c r="INR113" s="146"/>
      <c r="INS113" s="146"/>
      <c r="INT113" s="146"/>
      <c r="INU113" s="146"/>
      <c r="INV113" s="146"/>
      <c r="INW113" s="146"/>
      <c r="INX113" s="146"/>
      <c r="INY113" s="146"/>
      <c r="INZ113" s="146"/>
      <c r="IOA113" s="146"/>
      <c r="IOB113" s="146"/>
      <c r="IOC113" s="146"/>
      <c r="IOD113" s="146"/>
      <c r="IOE113" s="146"/>
      <c r="IOF113" s="146"/>
      <c r="IOG113" s="146"/>
      <c r="IOH113" s="146"/>
      <c r="IOI113" s="146"/>
      <c r="IOJ113" s="146"/>
      <c r="IOK113" s="146"/>
      <c r="IOL113" s="146"/>
      <c r="IOM113" s="146"/>
      <c r="ION113" s="146"/>
      <c r="IOO113" s="146"/>
      <c r="IOP113" s="146"/>
      <c r="IOQ113" s="146"/>
      <c r="IOR113" s="146"/>
      <c r="IOS113" s="146"/>
      <c r="IOT113" s="146"/>
      <c r="IOU113" s="146"/>
      <c r="IOV113" s="146"/>
      <c r="IOW113" s="146"/>
      <c r="IOX113" s="146"/>
      <c r="IOY113" s="146"/>
      <c r="IOZ113" s="146"/>
      <c r="IPA113" s="146"/>
      <c r="IPB113" s="146"/>
      <c r="IPC113" s="146"/>
      <c r="IPD113" s="146"/>
      <c r="IPE113" s="146"/>
      <c r="IPF113" s="146"/>
      <c r="IPG113" s="146"/>
      <c r="IPH113" s="146"/>
      <c r="IPI113" s="146"/>
      <c r="IPJ113" s="146"/>
      <c r="IPK113" s="146"/>
      <c r="IPL113" s="146"/>
      <c r="IPM113" s="146"/>
      <c r="IPN113" s="146"/>
      <c r="IPO113" s="146"/>
      <c r="IPP113" s="146"/>
      <c r="IPQ113" s="146"/>
      <c r="IPR113" s="146"/>
      <c r="IPS113" s="146"/>
      <c r="IPT113" s="146"/>
      <c r="IPU113" s="146"/>
      <c r="IPV113" s="146"/>
      <c r="IPW113" s="146"/>
      <c r="IPX113" s="146"/>
      <c r="IPY113" s="146"/>
      <c r="IPZ113" s="146"/>
      <c r="IQA113" s="146"/>
      <c r="IQB113" s="146"/>
      <c r="IQC113" s="146"/>
      <c r="IQD113" s="146"/>
      <c r="IQE113" s="146"/>
      <c r="IQF113" s="146"/>
      <c r="IQG113" s="146"/>
      <c r="IQH113" s="146"/>
      <c r="IQI113" s="146"/>
      <c r="IQJ113" s="146"/>
      <c r="IQK113" s="146"/>
      <c r="IQL113" s="146"/>
      <c r="IQM113" s="146"/>
      <c r="IQN113" s="146"/>
      <c r="IQO113" s="146"/>
      <c r="IQP113" s="146"/>
      <c r="IQQ113" s="146"/>
      <c r="IQR113" s="146"/>
      <c r="IQS113" s="146"/>
      <c r="IQT113" s="146"/>
      <c r="IQU113" s="146"/>
      <c r="IQV113" s="146"/>
      <c r="IQW113" s="146"/>
      <c r="IQX113" s="146"/>
      <c r="IQY113" s="146"/>
      <c r="IQZ113" s="146"/>
      <c r="IRA113" s="146"/>
      <c r="IRB113" s="146"/>
      <c r="IRC113" s="146"/>
      <c r="IRD113" s="146"/>
      <c r="IRE113" s="146"/>
      <c r="IRF113" s="146"/>
      <c r="IRG113" s="146"/>
      <c r="IRH113" s="146"/>
      <c r="IRI113" s="146"/>
      <c r="IRJ113" s="146"/>
      <c r="IRK113" s="146"/>
      <c r="IRL113" s="146"/>
      <c r="IRM113" s="146"/>
      <c r="IRN113" s="146"/>
      <c r="IRO113" s="146"/>
      <c r="IRP113" s="146"/>
      <c r="IRQ113" s="146"/>
      <c r="IRR113" s="146"/>
      <c r="IRS113" s="146"/>
      <c r="IRT113" s="146"/>
      <c r="IRU113" s="146"/>
      <c r="IRV113" s="146"/>
      <c r="IRW113" s="146"/>
      <c r="IRX113" s="146"/>
      <c r="IRY113" s="146"/>
      <c r="IRZ113" s="146"/>
      <c r="ISA113" s="146"/>
      <c r="ISB113" s="146"/>
      <c r="ISC113" s="146"/>
      <c r="ISD113" s="146"/>
      <c r="ISE113" s="146"/>
      <c r="ISF113" s="146"/>
      <c r="ISG113" s="146"/>
      <c r="ISH113" s="146"/>
      <c r="ISI113" s="146"/>
      <c r="ISJ113" s="146"/>
      <c r="ISK113" s="146"/>
      <c r="ISL113" s="146"/>
      <c r="ISM113" s="146"/>
      <c r="ISN113" s="146"/>
      <c r="ISO113" s="146"/>
      <c r="ISP113" s="146"/>
      <c r="ISQ113" s="146"/>
      <c r="ISR113" s="146"/>
      <c r="ISS113" s="146"/>
      <c r="IST113" s="146"/>
      <c r="ISU113" s="146"/>
      <c r="ISV113" s="146"/>
      <c r="ISW113" s="146"/>
      <c r="ISX113" s="146"/>
      <c r="ISY113" s="146"/>
      <c r="ISZ113" s="146"/>
      <c r="ITA113" s="146"/>
      <c r="ITB113" s="146"/>
      <c r="ITC113" s="146"/>
      <c r="ITD113" s="146"/>
      <c r="ITE113" s="146"/>
      <c r="ITF113" s="146"/>
      <c r="ITG113" s="146"/>
      <c r="ITH113" s="146"/>
      <c r="ITI113" s="146"/>
      <c r="ITJ113" s="146"/>
      <c r="ITK113" s="146"/>
      <c r="ITL113" s="146"/>
      <c r="ITM113" s="146"/>
      <c r="ITN113" s="146"/>
      <c r="ITO113" s="146"/>
      <c r="ITP113" s="146"/>
      <c r="ITQ113" s="146"/>
      <c r="ITR113" s="146"/>
      <c r="ITS113" s="146"/>
      <c r="ITT113" s="146"/>
      <c r="ITU113" s="146"/>
      <c r="ITV113" s="146"/>
      <c r="ITW113" s="146"/>
      <c r="ITX113" s="146"/>
      <c r="ITY113" s="146"/>
      <c r="ITZ113" s="146"/>
      <c r="IUA113" s="146"/>
      <c r="IUB113" s="146"/>
      <c r="IUC113" s="146"/>
      <c r="IUD113" s="146"/>
      <c r="IUE113" s="146"/>
      <c r="IUF113" s="146"/>
      <c r="IUG113" s="146"/>
      <c r="IUH113" s="146"/>
      <c r="IUI113" s="146"/>
      <c r="IUJ113" s="146"/>
      <c r="IUK113" s="146"/>
      <c r="IUL113" s="146"/>
      <c r="IUM113" s="146"/>
      <c r="IUN113" s="146"/>
      <c r="IUO113" s="146"/>
      <c r="IUP113" s="146"/>
      <c r="IUQ113" s="146"/>
      <c r="IUR113" s="146"/>
      <c r="IUS113" s="146"/>
      <c r="IUT113" s="146"/>
      <c r="IUU113" s="146"/>
      <c r="IUV113" s="146"/>
      <c r="IUW113" s="146"/>
      <c r="IUX113" s="146"/>
      <c r="IUY113" s="146"/>
      <c r="IUZ113" s="146"/>
      <c r="IVA113" s="146"/>
      <c r="IVB113" s="146"/>
      <c r="IVC113" s="146"/>
      <c r="IVD113" s="146"/>
      <c r="IVE113" s="146"/>
      <c r="IVF113" s="146"/>
      <c r="IVG113" s="146"/>
      <c r="IVH113" s="146"/>
      <c r="IVI113" s="146"/>
      <c r="IVJ113" s="146"/>
      <c r="IVK113" s="146"/>
      <c r="IVL113" s="146"/>
      <c r="IVM113" s="146"/>
      <c r="IVN113" s="146"/>
      <c r="IVO113" s="146"/>
      <c r="IVP113" s="146"/>
      <c r="IVQ113" s="146"/>
      <c r="IVR113" s="146"/>
      <c r="IVS113" s="146"/>
      <c r="IVT113" s="146"/>
      <c r="IVU113" s="146"/>
      <c r="IVV113" s="146"/>
      <c r="IVW113" s="146"/>
      <c r="IVX113" s="146"/>
      <c r="IVY113" s="146"/>
      <c r="IVZ113" s="146"/>
      <c r="IWA113" s="146"/>
      <c r="IWB113" s="146"/>
      <c r="IWC113" s="146"/>
      <c r="IWD113" s="146"/>
      <c r="IWE113" s="146"/>
      <c r="IWF113" s="146"/>
      <c r="IWG113" s="146"/>
      <c r="IWH113" s="146"/>
      <c r="IWI113" s="146"/>
      <c r="IWJ113" s="146"/>
      <c r="IWK113" s="146"/>
      <c r="IWL113" s="146"/>
      <c r="IWM113" s="146"/>
      <c r="IWN113" s="146"/>
      <c r="IWO113" s="146"/>
      <c r="IWP113" s="146"/>
      <c r="IWQ113" s="146"/>
      <c r="IWR113" s="146"/>
      <c r="IWS113" s="146"/>
      <c r="IWT113" s="146"/>
      <c r="IWU113" s="146"/>
      <c r="IWV113" s="146"/>
      <c r="IWW113" s="146"/>
      <c r="IWX113" s="146"/>
      <c r="IWY113" s="146"/>
      <c r="IWZ113" s="146"/>
      <c r="IXA113" s="146"/>
      <c r="IXB113" s="146"/>
      <c r="IXC113" s="146"/>
      <c r="IXD113" s="146"/>
      <c r="IXE113" s="146"/>
      <c r="IXF113" s="146"/>
      <c r="IXG113" s="146"/>
      <c r="IXH113" s="146"/>
      <c r="IXI113" s="146"/>
      <c r="IXJ113" s="146"/>
      <c r="IXK113" s="146"/>
      <c r="IXL113" s="146"/>
      <c r="IXM113" s="146"/>
      <c r="IXN113" s="146"/>
      <c r="IXO113" s="146"/>
      <c r="IXP113" s="146"/>
      <c r="IXQ113" s="146"/>
      <c r="IXR113" s="146"/>
      <c r="IXS113" s="146"/>
      <c r="IXT113" s="146"/>
      <c r="IXU113" s="146"/>
      <c r="IXV113" s="146"/>
      <c r="IXW113" s="146"/>
      <c r="IXX113" s="146"/>
      <c r="IXY113" s="146"/>
      <c r="IXZ113" s="146"/>
      <c r="IYA113" s="146"/>
      <c r="IYB113" s="146"/>
      <c r="IYC113" s="146"/>
      <c r="IYD113" s="146"/>
      <c r="IYE113" s="146"/>
      <c r="IYF113" s="146"/>
      <c r="IYG113" s="146"/>
      <c r="IYH113" s="146"/>
      <c r="IYI113" s="146"/>
      <c r="IYJ113" s="146"/>
      <c r="IYK113" s="146"/>
      <c r="IYL113" s="146"/>
      <c r="IYM113" s="146"/>
      <c r="IYN113" s="146"/>
      <c r="IYO113" s="146"/>
      <c r="IYP113" s="146"/>
      <c r="IYQ113" s="146"/>
      <c r="IYR113" s="146"/>
      <c r="IYS113" s="146"/>
      <c r="IYT113" s="146"/>
      <c r="IYU113" s="146"/>
      <c r="IYV113" s="146"/>
      <c r="IYW113" s="146"/>
      <c r="IYX113" s="146"/>
      <c r="IYY113" s="146"/>
      <c r="IYZ113" s="146"/>
      <c r="IZA113" s="146"/>
      <c r="IZB113" s="146"/>
      <c r="IZC113" s="146"/>
      <c r="IZD113" s="146"/>
      <c r="IZE113" s="146"/>
      <c r="IZF113" s="146"/>
      <c r="IZG113" s="146"/>
      <c r="IZH113" s="146"/>
      <c r="IZI113" s="146"/>
      <c r="IZJ113" s="146"/>
      <c r="IZK113" s="146"/>
      <c r="IZL113" s="146"/>
      <c r="IZM113" s="146"/>
      <c r="IZN113" s="146"/>
      <c r="IZO113" s="146"/>
      <c r="IZP113" s="146"/>
      <c r="IZQ113" s="146"/>
      <c r="IZR113" s="146"/>
      <c r="IZS113" s="146"/>
      <c r="IZT113" s="146"/>
      <c r="IZU113" s="146"/>
      <c r="IZV113" s="146"/>
      <c r="IZW113" s="146"/>
      <c r="IZX113" s="146"/>
      <c r="IZY113" s="146"/>
      <c r="IZZ113" s="146"/>
      <c r="JAA113" s="146"/>
      <c r="JAB113" s="146"/>
      <c r="JAC113" s="146"/>
      <c r="JAD113" s="146"/>
      <c r="JAE113" s="146"/>
      <c r="JAF113" s="146"/>
      <c r="JAG113" s="146"/>
      <c r="JAH113" s="146"/>
      <c r="JAI113" s="146"/>
      <c r="JAJ113" s="146"/>
      <c r="JAK113" s="146"/>
      <c r="JAL113" s="146"/>
      <c r="JAM113" s="146"/>
      <c r="JAN113" s="146"/>
      <c r="JAO113" s="146"/>
      <c r="JAP113" s="146"/>
      <c r="JAQ113" s="146"/>
      <c r="JAR113" s="146"/>
      <c r="JAS113" s="146"/>
      <c r="JAT113" s="146"/>
      <c r="JAU113" s="146"/>
      <c r="JAV113" s="146"/>
      <c r="JAW113" s="146"/>
      <c r="JAX113" s="146"/>
      <c r="JAY113" s="146"/>
      <c r="JAZ113" s="146"/>
      <c r="JBA113" s="146"/>
      <c r="JBB113" s="146"/>
      <c r="JBC113" s="146"/>
      <c r="JBD113" s="146"/>
      <c r="JBE113" s="146"/>
      <c r="JBF113" s="146"/>
      <c r="JBG113" s="146"/>
      <c r="JBH113" s="146"/>
      <c r="JBI113" s="146"/>
      <c r="JBJ113" s="146"/>
      <c r="JBK113" s="146"/>
      <c r="JBL113" s="146"/>
      <c r="JBM113" s="146"/>
      <c r="JBN113" s="146"/>
      <c r="JBO113" s="146"/>
      <c r="JBP113" s="146"/>
      <c r="JBQ113" s="146"/>
      <c r="JBR113" s="146"/>
      <c r="JBS113" s="146"/>
      <c r="JBT113" s="146"/>
      <c r="JBU113" s="146"/>
      <c r="JBV113" s="146"/>
      <c r="JBW113" s="146"/>
      <c r="JBX113" s="146"/>
      <c r="JBY113" s="146"/>
      <c r="JBZ113" s="146"/>
      <c r="JCA113" s="146"/>
      <c r="JCB113" s="146"/>
      <c r="JCC113" s="146"/>
      <c r="JCD113" s="146"/>
      <c r="JCE113" s="146"/>
      <c r="JCF113" s="146"/>
      <c r="JCG113" s="146"/>
      <c r="JCH113" s="146"/>
      <c r="JCI113" s="146"/>
      <c r="JCJ113" s="146"/>
      <c r="JCK113" s="146"/>
      <c r="JCL113" s="146"/>
      <c r="JCM113" s="146"/>
      <c r="JCN113" s="146"/>
      <c r="JCO113" s="146"/>
      <c r="JCP113" s="146"/>
      <c r="JCQ113" s="146"/>
      <c r="JCR113" s="146"/>
      <c r="JCS113" s="146"/>
      <c r="JCT113" s="146"/>
      <c r="JCU113" s="146"/>
      <c r="JCV113" s="146"/>
      <c r="JCW113" s="146"/>
      <c r="JCX113" s="146"/>
      <c r="JCY113" s="146"/>
      <c r="JCZ113" s="146"/>
      <c r="JDA113" s="146"/>
      <c r="JDB113" s="146"/>
      <c r="JDC113" s="146"/>
      <c r="JDD113" s="146"/>
      <c r="JDE113" s="146"/>
      <c r="JDF113" s="146"/>
      <c r="JDG113" s="146"/>
      <c r="JDH113" s="146"/>
      <c r="JDI113" s="146"/>
      <c r="JDJ113" s="146"/>
      <c r="JDK113" s="146"/>
      <c r="JDL113" s="146"/>
      <c r="JDM113" s="146"/>
      <c r="JDN113" s="146"/>
      <c r="JDO113" s="146"/>
      <c r="JDP113" s="146"/>
      <c r="JDQ113" s="146"/>
      <c r="JDR113" s="146"/>
      <c r="JDS113" s="146"/>
      <c r="JDT113" s="146"/>
      <c r="JDU113" s="146"/>
      <c r="JDV113" s="146"/>
      <c r="JDW113" s="146"/>
      <c r="JDX113" s="146"/>
      <c r="JDY113" s="146"/>
      <c r="JDZ113" s="146"/>
      <c r="JEA113" s="146"/>
      <c r="JEB113" s="146"/>
      <c r="JEC113" s="146"/>
      <c r="JED113" s="146"/>
      <c r="JEE113" s="146"/>
      <c r="JEF113" s="146"/>
      <c r="JEG113" s="146"/>
      <c r="JEH113" s="146"/>
      <c r="JEI113" s="146"/>
      <c r="JEJ113" s="146"/>
      <c r="JEK113" s="146"/>
      <c r="JEL113" s="146"/>
      <c r="JEM113" s="146"/>
      <c r="JEN113" s="146"/>
      <c r="JEO113" s="146"/>
      <c r="JEP113" s="146"/>
      <c r="JEQ113" s="146"/>
      <c r="JER113" s="146"/>
      <c r="JES113" s="146"/>
      <c r="JET113" s="146"/>
      <c r="JEU113" s="146"/>
      <c r="JEV113" s="146"/>
      <c r="JEW113" s="146"/>
      <c r="JEX113" s="146"/>
      <c r="JEY113" s="146"/>
      <c r="JEZ113" s="146"/>
      <c r="JFA113" s="146"/>
      <c r="JFB113" s="146"/>
      <c r="JFC113" s="146"/>
      <c r="JFD113" s="146"/>
      <c r="JFE113" s="146"/>
      <c r="JFF113" s="146"/>
      <c r="JFG113" s="146"/>
      <c r="JFH113" s="146"/>
      <c r="JFI113" s="146"/>
      <c r="JFJ113" s="146"/>
      <c r="JFK113" s="146"/>
      <c r="JFL113" s="146"/>
      <c r="JFM113" s="146"/>
      <c r="JFN113" s="146"/>
      <c r="JFO113" s="146"/>
      <c r="JFP113" s="146"/>
      <c r="JFQ113" s="146"/>
      <c r="JFR113" s="146"/>
      <c r="JFS113" s="146"/>
      <c r="JFT113" s="146"/>
      <c r="JFU113" s="146"/>
      <c r="JFV113" s="146"/>
      <c r="JFW113" s="146"/>
      <c r="JFX113" s="146"/>
      <c r="JFY113" s="146"/>
      <c r="JFZ113" s="146"/>
      <c r="JGA113" s="146"/>
      <c r="JGB113" s="146"/>
      <c r="JGC113" s="146"/>
      <c r="JGD113" s="146"/>
      <c r="JGE113" s="146"/>
      <c r="JGF113" s="146"/>
      <c r="JGG113" s="146"/>
      <c r="JGH113" s="146"/>
      <c r="JGI113" s="146"/>
      <c r="JGJ113" s="146"/>
      <c r="JGK113" s="146"/>
      <c r="JGL113" s="146"/>
      <c r="JGM113" s="146"/>
      <c r="JGN113" s="146"/>
      <c r="JGO113" s="146"/>
      <c r="JGP113" s="146"/>
      <c r="JGQ113" s="146"/>
      <c r="JGR113" s="146"/>
      <c r="JGS113" s="146"/>
      <c r="JGT113" s="146"/>
      <c r="JGU113" s="146"/>
      <c r="JGV113" s="146"/>
      <c r="JGW113" s="146"/>
      <c r="JGX113" s="146"/>
      <c r="JGY113" s="146"/>
      <c r="JGZ113" s="146"/>
      <c r="JHA113" s="146"/>
      <c r="JHB113" s="146"/>
      <c r="JHC113" s="146"/>
      <c r="JHD113" s="146"/>
      <c r="JHE113" s="146"/>
      <c r="JHF113" s="146"/>
      <c r="JHG113" s="146"/>
      <c r="JHH113" s="146"/>
      <c r="JHI113" s="146"/>
      <c r="JHJ113" s="146"/>
      <c r="JHK113" s="146"/>
      <c r="JHL113" s="146"/>
      <c r="JHM113" s="146"/>
      <c r="JHN113" s="146"/>
      <c r="JHO113" s="146"/>
      <c r="JHP113" s="146"/>
      <c r="JHQ113" s="146"/>
      <c r="JHR113" s="146"/>
      <c r="JHS113" s="146"/>
      <c r="JHT113" s="146"/>
      <c r="JHU113" s="146"/>
      <c r="JHV113" s="146"/>
      <c r="JHW113" s="146"/>
      <c r="JHX113" s="146"/>
      <c r="JHY113" s="146"/>
      <c r="JHZ113" s="146"/>
      <c r="JIA113" s="146"/>
      <c r="JIB113" s="146"/>
      <c r="JIC113" s="146"/>
      <c r="JID113" s="146"/>
      <c r="JIE113" s="146"/>
      <c r="JIF113" s="146"/>
      <c r="JIG113" s="146"/>
      <c r="JIH113" s="146"/>
      <c r="JII113" s="146"/>
      <c r="JIJ113" s="146"/>
      <c r="JIK113" s="146"/>
      <c r="JIL113" s="146"/>
      <c r="JIM113" s="146"/>
      <c r="JIN113" s="146"/>
      <c r="JIO113" s="146"/>
      <c r="JIP113" s="146"/>
      <c r="JIQ113" s="146"/>
      <c r="JIR113" s="146"/>
      <c r="JIS113" s="146"/>
      <c r="JIT113" s="146"/>
      <c r="JIU113" s="146"/>
      <c r="JIV113" s="146"/>
      <c r="JIW113" s="146"/>
      <c r="JIX113" s="146"/>
      <c r="JIY113" s="146"/>
      <c r="JIZ113" s="146"/>
      <c r="JJA113" s="146"/>
      <c r="JJB113" s="146"/>
      <c r="JJC113" s="146"/>
      <c r="JJD113" s="146"/>
      <c r="JJE113" s="146"/>
      <c r="JJF113" s="146"/>
      <c r="JJG113" s="146"/>
      <c r="JJH113" s="146"/>
      <c r="JJI113" s="146"/>
      <c r="JJJ113" s="146"/>
      <c r="JJK113" s="146"/>
      <c r="JJL113" s="146"/>
      <c r="JJM113" s="146"/>
      <c r="JJN113" s="146"/>
      <c r="JJO113" s="146"/>
      <c r="JJP113" s="146"/>
      <c r="JJQ113" s="146"/>
      <c r="JJR113" s="146"/>
      <c r="JJS113" s="146"/>
      <c r="JJT113" s="146"/>
      <c r="JJU113" s="146"/>
      <c r="JJV113" s="146"/>
      <c r="JJW113" s="146"/>
      <c r="JJX113" s="146"/>
      <c r="JJY113" s="146"/>
      <c r="JJZ113" s="146"/>
      <c r="JKA113" s="146"/>
      <c r="JKB113" s="146"/>
      <c r="JKC113" s="146"/>
      <c r="JKD113" s="146"/>
      <c r="JKE113" s="146"/>
      <c r="JKF113" s="146"/>
      <c r="JKG113" s="146"/>
      <c r="JKH113" s="146"/>
      <c r="JKI113" s="146"/>
      <c r="JKJ113" s="146"/>
      <c r="JKK113" s="146"/>
      <c r="JKL113" s="146"/>
      <c r="JKM113" s="146"/>
      <c r="JKN113" s="146"/>
      <c r="JKO113" s="146"/>
      <c r="JKP113" s="146"/>
      <c r="JKQ113" s="146"/>
      <c r="JKR113" s="146"/>
      <c r="JKS113" s="146"/>
      <c r="JKT113" s="146"/>
      <c r="JKU113" s="146"/>
      <c r="JKV113" s="146"/>
      <c r="JKW113" s="146"/>
      <c r="JKX113" s="146"/>
      <c r="JKY113" s="146"/>
      <c r="JKZ113" s="146"/>
      <c r="JLA113" s="146"/>
      <c r="JLB113" s="146"/>
      <c r="JLC113" s="146"/>
      <c r="JLD113" s="146"/>
      <c r="JLE113" s="146"/>
      <c r="JLF113" s="146"/>
      <c r="JLG113" s="146"/>
      <c r="JLH113" s="146"/>
      <c r="JLI113" s="146"/>
      <c r="JLJ113" s="146"/>
      <c r="JLK113" s="146"/>
      <c r="JLL113" s="146"/>
      <c r="JLM113" s="146"/>
      <c r="JLN113" s="146"/>
      <c r="JLO113" s="146"/>
      <c r="JLP113" s="146"/>
      <c r="JLQ113" s="146"/>
      <c r="JLR113" s="146"/>
      <c r="JLS113" s="146"/>
      <c r="JLT113" s="146"/>
      <c r="JLU113" s="146"/>
      <c r="JLV113" s="146"/>
      <c r="JLW113" s="146"/>
      <c r="JLX113" s="146"/>
      <c r="JLY113" s="146"/>
      <c r="JLZ113" s="146"/>
      <c r="JMA113" s="146"/>
      <c r="JMB113" s="146"/>
      <c r="JMC113" s="146"/>
      <c r="JMD113" s="146"/>
      <c r="JME113" s="146"/>
      <c r="JMF113" s="146"/>
      <c r="JMG113" s="146"/>
      <c r="JMH113" s="146"/>
      <c r="JMI113" s="146"/>
      <c r="JMJ113" s="146"/>
      <c r="JMK113" s="146"/>
      <c r="JML113" s="146"/>
      <c r="JMM113" s="146"/>
      <c r="JMN113" s="146"/>
      <c r="JMO113" s="146"/>
      <c r="JMP113" s="146"/>
      <c r="JMQ113" s="146"/>
      <c r="JMR113" s="146"/>
      <c r="JMS113" s="146"/>
      <c r="JMT113" s="146"/>
      <c r="JMU113" s="146"/>
      <c r="JMV113" s="146"/>
      <c r="JMW113" s="146"/>
      <c r="JMX113" s="146"/>
      <c r="JMY113" s="146"/>
      <c r="JMZ113" s="146"/>
      <c r="JNA113" s="146"/>
      <c r="JNB113" s="146"/>
      <c r="JNC113" s="146"/>
      <c r="JND113" s="146"/>
      <c r="JNE113" s="146"/>
      <c r="JNF113" s="146"/>
      <c r="JNG113" s="146"/>
      <c r="JNH113" s="146"/>
      <c r="JNI113" s="146"/>
      <c r="JNJ113" s="146"/>
      <c r="JNK113" s="146"/>
      <c r="JNL113" s="146"/>
      <c r="JNM113" s="146"/>
      <c r="JNN113" s="146"/>
      <c r="JNO113" s="146"/>
      <c r="JNP113" s="146"/>
      <c r="JNQ113" s="146"/>
      <c r="JNR113" s="146"/>
      <c r="JNS113" s="146"/>
      <c r="JNT113" s="146"/>
      <c r="JNU113" s="146"/>
      <c r="JNV113" s="146"/>
      <c r="JNW113" s="146"/>
      <c r="JNX113" s="146"/>
      <c r="JNY113" s="146"/>
      <c r="JNZ113" s="146"/>
      <c r="JOA113" s="146"/>
      <c r="JOB113" s="146"/>
      <c r="JOC113" s="146"/>
      <c r="JOD113" s="146"/>
      <c r="JOE113" s="146"/>
      <c r="JOF113" s="146"/>
      <c r="JOG113" s="146"/>
      <c r="JOH113" s="146"/>
      <c r="JOI113" s="146"/>
      <c r="JOJ113" s="146"/>
      <c r="JOK113" s="146"/>
      <c r="JOL113" s="146"/>
      <c r="JOM113" s="146"/>
      <c r="JON113" s="146"/>
      <c r="JOO113" s="146"/>
      <c r="JOP113" s="146"/>
      <c r="JOQ113" s="146"/>
      <c r="JOR113" s="146"/>
      <c r="JOS113" s="146"/>
      <c r="JOT113" s="146"/>
      <c r="JOU113" s="146"/>
      <c r="JOV113" s="146"/>
      <c r="JOW113" s="146"/>
      <c r="JOX113" s="146"/>
      <c r="JOY113" s="146"/>
      <c r="JOZ113" s="146"/>
      <c r="JPA113" s="146"/>
      <c r="JPB113" s="146"/>
      <c r="JPC113" s="146"/>
      <c r="JPD113" s="146"/>
      <c r="JPE113" s="146"/>
      <c r="JPF113" s="146"/>
      <c r="JPG113" s="146"/>
      <c r="JPH113" s="146"/>
      <c r="JPI113" s="146"/>
      <c r="JPJ113" s="146"/>
      <c r="JPK113" s="146"/>
      <c r="JPL113" s="146"/>
      <c r="JPM113" s="146"/>
      <c r="JPN113" s="146"/>
      <c r="JPO113" s="146"/>
      <c r="JPP113" s="146"/>
      <c r="JPQ113" s="146"/>
      <c r="JPR113" s="146"/>
      <c r="JPS113" s="146"/>
      <c r="JPT113" s="146"/>
      <c r="JPU113" s="146"/>
      <c r="JPV113" s="146"/>
      <c r="JPW113" s="146"/>
      <c r="JPX113" s="146"/>
      <c r="JPY113" s="146"/>
      <c r="JPZ113" s="146"/>
      <c r="JQA113" s="146"/>
      <c r="JQB113" s="146"/>
      <c r="JQC113" s="146"/>
      <c r="JQD113" s="146"/>
      <c r="JQE113" s="146"/>
      <c r="JQF113" s="146"/>
      <c r="JQG113" s="146"/>
      <c r="JQH113" s="146"/>
      <c r="JQI113" s="146"/>
      <c r="JQJ113" s="146"/>
      <c r="JQK113" s="146"/>
      <c r="JQL113" s="146"/>
      <c r="JQM113" s="146"/>
      <c r="JQN113" s="146"/>
      <c r="JQO113" s="146"/>
      <c r="JQP113" s="146"/>
      <c r="JQQ113" s="146"/>
      <c r="JQR113" s="146"/>
      <c r="JQS113" s="146"/>
      <c r="JQT113" s="146"/>
      <c r="JQU113" s="146"/>
      <c r="JQV113" s="146"/>
      <c r="JQW113" s="146"/>
      <c r="JQX113" s="146"/>
      <c r="JQY113" s="146"/>
      <c r="JQZ113" s="146"/>
      <c r="JRA113" s="146"/>
      <c r="JRB113" s="146"/>
      <c r="JRC113" s="146"/>
      <c r="JRD113" s="146"/>
      <c r="JRE113" s="146"/>
      <c r="JRF113" s="146"/>
      <c r="JRG113" s="146"/>
      <c r="JRH113" s="146"/>
      <c r="JRI113" s="146"/>
      <c r="JRJ113" s="146"/>
      <c r="JRK113" s="146"/>
      <c r="JRL113" s="146"/>
      <c r="JRM113" s="146"/>
      <c r="JRN113" s="146"/>
      <c r="JRO113" s="146"/>
      <c r="JRP113" s="146"/>
      <c r="JRQ113" s="146"/>
      <c r="JRR113" s="146"/>
      <c r="JRS113" s="146"/>
      <c r="JRT113" s="146"/>
      <c r="JRU113" s="146"/>
      <c r="JRV113" s="146"/>
      <c r="JRW113" s="146"/>
      <c r="JRX113" s="146"/>
      <c r="JRY113" s="146"/>
      <c r="JRZ113" s="146"/>
      <c r="JSA113" s="146"/>
      <c r="JSB113" s="146"/>
      <c r="JSC113" s="146"/>
      <c r="JSD113" s="146"/>
      <c r="JSE113" s="146"/>
      <c r="JSF113" s="146"/>
      <c r="JSG113" s="146"/>
      <c r="JSH113" s="146"/>
      <c r="JSI113" s="146"/>
      <c r="JSJ113" s="146"/>
      <c r="JSK113" s="146"/>
      <c r="JSL113" s="146"/>
      <c r="JSM113" s="146"/>
      <c r="JSN113" s="146"/>
      <c r="JSO113" s="146"/>
      <c r="JSP113" s="146"/>
      <c r="JSQ113" s="146"/>
      <c r="JSR113" s="146"/>
      <c r="JSS113" s="146"/>
      <c r="JST113" s="146"/>
      <c r="JSU113" s="146"/>
      <c r="JSV113" s="146"/>
      <c r="JSW113" s="146"/>
      <c r="JSX113" s="146"/>
      <c r="JSY113" s="146"/>
      <c r="JSZ113" s="146"/>
      <c r="JTA113" s="146"/>
      <c r="JTB113" s="146"/>
      <c r="JTC113" s="146"/>
      <c r="JTD113" s="146"/>
      <c r="JTE113" s="146"/>
      <c r="JTF113" s="146"/>
      <c r="JTG113" s="146"/>
      <c r="JTH113" s="146"/>
      <c r="JTI113" s="146"/>
      <c r="JTJ113" s="146"/>
      <c r="JTK113" s="146"/>
      <c r="JTL113" s="146"/>
      <c r="JTM113" s="146"/>
      <c r="JTN113" s="146"/>
      <c r="JTO113" s="146"/>
      <c r="JTP113" s="146"/>
      <c r="JTQ113" s="146"/>
      <c r="JTR113" s="146"/>
      <c r="JTS113" s="146"/>
      <c r="JTT113" s="146"/>
      <c r="JTU113" s="146"/>
      <c r="JTV113" s="146"/>
      <c r="JTW113" s="146"/>
      <c r="JTX113" s="146"/>
      <c r="JTY113" s="146"/>
      <c r="JTZ113" s="146"/>
      <c r="JUA113" s="146"/>
      <c r="JUB113" s="146"/>
      <c r="JUC113" s="146"/>
      <c r="JUD113" s="146"/>
      <c r="JUE113" s="146"/>
      <c r="JUF113" s="146"/>
      <c r="JUG113" s="146"/>
      <c r="JUH113" s="146"/>
      <c r="JUI113" s="146"/>
      <c r="JUJ113" s="146"/>
      <c r="JUK113" s="146"/>
      <c r="JUL113" s="146"/>
      <c r="JUM113" s="146"/>
      <c r="JUN113" s="146"/>
      <c r="JUO113" s="146"/>
      <c r="JUP113" s="146"/>
      <c r="JUQ113" s="146"/>
      <c r="JUR113" s="146"/>
      <c r="JUS113" s="146"/>
      <c r="JUT113" s="146"/>
      <c r="JUU113" s="146"/>
      <c r="JUV113" s="146"/>
      <c r="JUW113" s="146"/>
      <c r="JUX113" s="146"/>
      <c r="JUY113" s="146"/>
      <c r="JUZ113" s="146"/>
      <c r="JVA113" s="146"/>
      <c r="JVB113" s="146"/>
      <c r="JVC113" s="146"/>
      <c r="JVD113" s="146"/>
      <c r="JVE113" s="146"/>
      <c r="JVF113" s="146"/>
      <c r="JVG113" s="146"/>
      <c r="JVH113" s="146"/>
      <c r="JVI113" s="146"/>
      <c r="JVJ113" s="146"/>
      <c r="JVK113" s="146"/>
      <c r="JVL113" s="146"/>
      <c r="JVM113" s="146"/>
      <c r="JVN113" s="146"/>
      <c r="JVO113" s="146"/>
      <c r="JVP113" s="146"/>
      <c r="JVQ113" s="146"/>
      <c r="JVR113" s="146"/>
      <c r="JVS113" s="146"/>
      <c r="JVT113" s="146"/>
      <c r="JVU113" s="146"/>
      <c r="JVV113" s="146"/>
      <c r="JVW113" s="146"/>
      <c r="JVX113" s="146"/>
      <c r="JVY113" s="146"/>
      <c r="JVZ113" s="146"/>
      <c r="JWA113" s="146"/>
      <c r="JWB113" s="146"/>
      <c r="JWC113" s="146"/>
      <c r="JWD113" s="146"/>
      <c r="JWE113" s="146"/>
      <c r="JWF113" s="146"/>
      <c r="JWG113" s="146"/>
      <c r="JWH113" s="146"/>
      <c r="JWI113" s="146"/>
      <c r="JWJ113" s="146"/>
      <c r="JWK113" s="146"/>
      <c r="JWL113" s="146"/>
      <c r="JWM113" s="146"/>
      <c r="JWN113" s="146"/>
      <c r="JWO113" s="146"/>
      <c r="JWP113" s="146"/>
      <c r="JWQ113" s="146"/>
      <c r="JWR113" s="146"/>
      <c r="JWS113" s="146"/>
      <c r="JWT113" s="146"/>
      <c r="JWU113" s="146"/>
      <c r="JWV113" s="146"/>
      <c r="JWW113" s="146"/>
      <c r="JWX113" s="146"/>
      <c r="JWY113" s="146"/>
      <c r="JWZ113" s="146"/>
      <c r="JXA113" s="146"/>
      <c r="JXB113" s="146"/>
      <c r="JXC113" s="146"/>
      <c r="JXD113" s="146"/>
      <c r="JXE113" s="146"/>
      <c r="JXF113" s="146"/>
      <c r="JXG113" s="146"/>
      <c r="JXH113" s="146"/>
      <c r="JXI113" s="146"/>
      <c r="JXJ113" s="146"/>
      <c r="JXK113" s="146"/>
      <c r="JXL113" s="146"/>
      <c r="JXM113" s="146"/>
      <c r="JXN113" s="146"/>
      <c r="JXO113" s="146"/>
      <c r="JXP113" s="146"/>
      <c r="JXQ113" s="146"/>
      <c r="JXR113" s="146"/>
      <c r="JXS113" s="146"/>
      <c r="JXT113" s="146"/>
      <c r="JXU113" s="146"/>
      <c r="JXV113" s="146"/>
      <c r="JXW113" s="146"/>
      <c r="JXX113" s="146"/>
      <c r="JXY113" s="146"/>
      <c r="JXZ113" s="146"/>
      <c r="JYA113" s="146"/>
      <c r="JYB113" s="146"/>
      <c r="JYC113" s="146"/>
      <c r="JYD113" s="146"/>
      <c r="JYE113" s="146"/>
      <c r="JYF113" s="146"/>
      <c r="JYG113" s="146"/>
      <c r="JYH113" s="146"/>
      <c r="JYI113" s="146"/>
      <c r="JYJ113" s="146"/>
      <c r="JYK113" s="146"/>
      <c r="JYL113" s="146"/>
      <c r="JYM113" s="146"/>
      <c r="JYN113" s="146"/>
      <c r="JYO113" s="146"/>
      <c r="JYP113" s="146"/>
      <c r="JYQ113" s="146"/>
      <c r="JYR113" s="146"/>
      <c r="JYS113" s="146"/>
      <c r="JYT113" s="146"/>
      <c r="JYU113" s="146"/>
      <c r="JYV113" s="146"/>
      <c r="JYW113" s="146"/>
      <c r="JYX113" s="146"/>
      <c r="JYY113" s="146"/>
      <c r="JYZ113" s="146"/>
      <c r="JZA113" s="146"/>
      <c r="JZB113" s="146"/>
      <c r="JZC113" s="146"/>
      <c r="JZD113" s="146"/>
      <c r="JZE113" s="146"/>
      <c r="JZF113" s="146"/>
      <c r="JZG113" s="146"/>
      <c r="JZH113" s="146"/>
      <c r="JZI113" s="146"/>
      <c r="JZJ113" s="146"/>
      <c r="JZK113" s="146"/>
      <c r="JZL113" s="146"/>
      <c r="JZM113" s="146"/>
      <c r="JZN113" s="146"/>
      <c r="JZO113" s="146"/>
      <c r="JZP113" s="146"/>
      <c r="JZQ113" s="146"/>
      <c r="JZR113" s="146"/>
      <c r="JZS113" s="146"/>
      <c r="JZT113" s="146"/>
      <c r="JZU113" s="146"/>
      <c r="JZV113" s="146"/>
      <c r="JZW113" s="146"/>
      <c r="JZX113" s="146"/>
      <c r="JZY113" s="146"/>
      <c r="JZZ113" s="146"/>
      <c r="KAA113" s="146"/>
      <c r="KAB113" s="146"/>
      <c r="KAC113" s="146"/>
      <c r="KAD113" s="146"/>
      <c r="KAE113" s="146"/>
      <c r="KAF113" s="146"/>
      <c r="KAG113" s="146"/>
      <c r="KAH113" s="146"/>
      <c r="KAI113" s="146"/>
      <c r="KAJ113" s="146"/>
      <c r="KAK113" s="146"/>
      <c r="KAL113" s="146"/>
      <c r="KAM113" s="146"/>
      <c r="KAN113" s="146"/>
      <c r="KAO113" s="146"/>
      <c r="KAP113" s="146"/>
      <c r="KAQ113" s="146"/>
      <c r="KAR113" s="146"/>
      <c r="KAS113" s="146"/>
      <c r="KAT113" s="146"/>
      <c r="KAU113" s="146"/>
      <c r="KAV113" s="146"/>
      <c r="KAW113" s="146"/>
      <c r="KAX113" s="146"/>
      <c r="KAY113" s="146"/>
      <c r="KAZ113" s="146"/>
      <c r="KBA113" s="146"/>
      <c r="KBB113" s="146"/>
      <c r="KBC113" s="146"/>
      <c r="KBD113" s="146"/>
      <c r="KBE113" s="146"/>
      <c r="KBF113" s="146"/>
      <c r="KBG113" s="146"/>
      <c r="KBH113" s="146"/>
      <c r="KBI113" s="146"/>
      <c r="KBJ113" s="146"/>
      <c r="KBK113" s="146"/>
      <c r="KBL113" s="146"/>
      <c r="KBM113" s="146"/>
      <c r="KBN113" s="146"/>
      <c r="KBO113" s="146"/>
      <c r="KBP113" s="146"/>
      <c r="KBQ113" s="146"/>
      <c r="KBR113" s="146"/>
      <c r="KBS113" s="146"/>
      <c r="KBT113" s="146"/>
      <c r="KBU113" s="146"/>
      <c r="KBV113" s="146"/>
      <c r="KBW113" s="146"/>
      <c r="KBX113" s="146"/>
      <c r="KBY113" s="146"/>
      <c r="KBZ113" s="146"/>
      <c r="KCA113" s="146"/>
      <c r="KCB113" s="146"/>
      <c r="KCC113" s="146"/>
      <c r="KCD113" s="146"/>
      <c r="KCE113" s="146"/>
      <c r="KCF113" s="146"/>
      <c r="KCG113" s="146"/>
      <c r="KCH113" s="146"/>
      <c r="KCI113" s="146"/>
      <c r="KCJ113" s="146"/>
      <c r="KCK113" s="146"/>
      <c r="KCL113" s="146"/>
      <c r="KCM113" s="146"/>
      <c r="KCN113" s="146"/>
      <c r="KCO113" s="146"/>
      <c r="KCP113" s="146"/>
      <c r="KCQ113" s="146"/>
      <c r="KCR113" s="146"/>
      <c r="KCS113" s="146"/>
      <c r="KCT113" s="146"/>
      <c r="KCU113" s="146"/>
      <c r="KCV113" s="146"/>
      <c r="KCW113" s="146"/>
      <c r="KCX113" s="146"/>
      <c r="KCY113" s="146"/>
      <c r="KCZ113" s="146"/>
      <c r="KDA113" s="146"/>
      <c r="KDB113" s="146"/>
      <c r="KDC113" s="146"/>
      <c r="KDD113" s="146"/>
      <c r="KDE113" s="146"/>
      <c r="KDF113" s="146"/>
      <c r="KDG113" s="146"/>
      <c r="KDH113" s="146"/>
      <c r="KDI113" s="146"/>
      <c r="KDJ113" s="146"/>
      <c r="KDK113" s="146"/>
      <c r="KDL113" s="146"/>
      <c r="KDM113" s="146"/>
      <c r="KDN113" s="146"/>
      <c r="KDO113" s="146"/>
      <c r="KDP113" s="146"/>
      <c r="KDQ113" s="146"/>
      <c r="KDR113" s="146"/>
      <c r="KDS113" s="146"/>
      <c r="KDT113" s="146"/>
      <c r="KDU113" s="146"/>
      <c r="KDV113" s="146"/>
      <c r="KDW113" s="146"/>
      <c r="KDX113" s="146"/>
      <c r="KDY113" s="146"/>
      <c r="KDZ113" s="146"/>
      <c r="KEA113" s="146"/>
      <c r="KEB113" s="146"/>
      <c r="KEC113" s="146"/>
      <c r="KED113" s="146"/>
      <c r="KEE113" s="146"/>
      <c r="KEF113" s="146"/>
      <c r="KEG113" s="146"/>
      <c r="KEH113" s="146"/>
      <c r="KEI113" s="146"/>
      <c r="KEJ113" s="146"/>
      <c r="KEK113" s="146"/>
      <c r="KEL113" s="146"/>
      <c r="KEM113" s="146"/>
      <c r="KEN113" s="146"/>
      <c r="KEO113" s="146"/>
      <c r="KEP113" s="146"/>
      <c r="KEQ113" s="146"/>
      <c r="KER113" s="146"/>
      <c r="KES113" s="146"/>
      <c r="KET113" s="146"/>
      <c r="KEU113" s="146"/>
      <c r="KEV113" s="146"/>
      <c r="KEW113" s="146"/>
      <c r="KEX113" s="146"/>
      <c r="KEY113" s="146"/>
      <c r="KEZ113" s="146"/>
      <c r="KFA113" s="146"/>
      <c r="KFB113" s="146"/>
      <c r="KFC113" s="146"/>
      <c r="KFD113" s="146"/>
      <c r="KFE113" s="146"/>
      <c r="KFF113" s="146"/>
      <c r="KFG113" s="146"/>
      <c r="KFH113" s="146"/>
      <c r="KFI113" s="146"/>
      <c r="KFJ113" s="146"/>
      <c r="KFK113" s="146"/>
      <c r="KFL113" s="146"/>
      <c r="KFM113" s="146"/>
      <c r="KFN113" s="146"/>
      <c r="KFO113" s="146"/>
      <c r="KFP113" s="146"/>
      <c r="KFQ113" s="146"/>
      <c r="KFR113" s="146"/>
      <c r="KFS113" s="146"/>
      <c r="KFT113" s="146"/>
      <c r="KFU113" s="146"/>
      <c r="KFV113" s="146"/>
      <c r="KFW113" s="146"/>
      <c r="KFX113" s="146"/>
      <c r="KFY113" s="146"/>
      <c r="KFZ113" s="146"/>
      <c r="KGA113" s="146"/>
      <c r="KGB113" s="146"/>
      <c r="KGC113" s="146"/>
      <c r="KGD113" s="146"/>
      <c r="KGE113" s="146"/>
      <c r="KGF113" s="146"/>
      <c r="KGG113" s="146"/>
      <c r="KGH113" s="146"/>
      <c r="KGI113" s="146"/>
      <c r="KGJ113" s="146"/>
      <c r="KGK113" s="146"/>
      <c r="KGL113" s="146"/>
      <c r="KGM113" s="146"/>
      <c r="KGN113" s="146"/>
      <c r="KGO113" s="146"/>
      <c r="KGP113" s="146"/>
      <c r="KGQ113" s="146"/>
      <c r="KGR113" s="146"/>
      <c r="KGS113" s="146"/>
      <c r="KGT113" s="146"/>
      <c r="KGU113" s="146"/>
      <c r="KGV113" s="146"/>
      <c r="KGW113" s="146"/>
      <c r="KGX113" s="146"/>
      <c r="KGY113" s="146"/>
      <c r="KGZ113" s="146"/>
      <c r="KHA113" s="146"/>
      <c r="KHB113" s="146"/>
      <c r="KHC113" s="146"/>
      <c r="KHD113" s="146"/>
      <c r="KHE113" s="146"/>
      <c r="KHF113" s="146"/>
      <c r="KHG113" s="146"/>
      <c r="KHH113" s="146"/>
      <c r="KHI113" s="146"/>
      <c r="KHJ113" s="146"/>
      <c r="KHK113" s="146"/>
      <c r="KHL113" s="146"/>
      <c r="KHM113" s="146"/>
      <c r="KHN113" s="146"/>
      <c r="KHO113" s="146"/>
      <c r="KHP113" s="146"/>
      <c r="KHQ113" s="146"/>
      <c r="KHR113" s="146"/>
      <c r="KHS113" s="146"/>
      <c r="KHT113" s="146"/>
      <c r="KHU113" s="146"/>
      <c r="KHV113" s="146"/>
      <c r="KHW113" s="146"/>
      <c r="KHX113" s="146"/>
      <c r="KHY113" s="146"/>
      <c r="KHZ113" s="146"/>
      <c r="KIA113" s="146"/>
      <c r="KIB113" s="146"/>
      <c r="KIC113" s="146"/>
      <c r="KID113" s="146"/>
      <c r="KIE113" s="146"/>
      <c r="KIF113" s="146"/>
      <c r="KIG113" s="146"/>
      <c r="KIH113" s="146"/>
      <c r="KII113" s="146"/>
      <c r="KIJ113" s="146"/>
      <c r="KIK113" s="146"/>
      <c r="KIL113" s="146"/>
      <c r="KIM113" s="146"/>
      <c r="KIN113" s="146"/>
      <c r="KIO113" s="146"/>
      <c r="KIP113" s="146"/>
      <c r="KIQ113" s="146"/>
      <c r="KIR113" s="146"/>
      <c r="KIS113" s="146"/>
      <c r="KIT113" s="146"/>
      <c r="KIU113" s="146"/>
      <c r="KIV113" s="146"/>
      <c r="KIW113" s="146"/>
      <c r="KIX113" s="146"/>
      <c r="KIY113" s="146"/>
      <c r="KIZ113" s="146"/>
      <c r="KJA113" s="146"/>
      <c r="KJB113" s="146"/>
      <c r="KJC113" s="146"/>
      <c r="KJD113" s="146"/>
      <c r="KJE113" s="146"/>
      <c r="KJF113" s="146"/>
      <c r="KJG113" s="146"/>
      <c r="KJH113" s="146"/>
      <c r="KJI113" s="146"/>
      <c r="KJJ113" s="146"/>
      <c r="KJK113" s="146"/>
      <c r="KJL113" s="146"/>
      <c r="KJM113" s="146"/>
      <c r="KJN113" s="146"/>
      <c r="KJO113" s="146"/>
      <c r="KJP113" s="146"/>
      <c r="KJQ113" s="146"/>
      <c r="KJR113" s="146"/>
      <c r="KJS113" s="146"/>
      <c r="KJT113" s="146"/>
      <c r="KJU113" s="146"/>
      <c r="KJV113" s="146"/>
      <c r="KJW113" s="146"/>
      <c r="KJX113" s="146"/>
      <c r="KJY113" s="146"/>
      <c r="KJZ113" s="146"/>
      <c r="KKA113" s="146"/>
      <c r="KKB113" s="146"/>
      <c r="KKC113" s="146"/>
      <c r="KKD113" s="146"/>
      <c r="KKE113" s="146"/>
      <c r="KKF113" s="146"/>
      <c r="KKG113" s="146"/>
      <c r="KKH113" s="146"/>
      <c r="KKI113" s="146"/>
      <c r="KKJ113" s="146"/>
      <c r="KKK113" s="146"/>
      <c r="KKL113" s="146"/>
      <c r="KKM113" s="146"/>
      <c r="KKN113" s="146"/>
      <c r="KKO113" s="146"/>
      <c r="KKP113" s="146"/>
      <c r="KKQ113" s="146"/>
      <c r="KKR113" s="146"/>
      <c r="KKS113" s="146"/>
      <c r="KKT113" s="146"/>
      <c r="KKU113" s="146"/>
      <c r="KKV113" s="146"/>
      <c r="KKW113" s="146"/>
      <c r="KKX113" s="146"/>
      <c r="KKY113" s="146"/>
      <c r="KKZ113" s="146"/>
      <c r="KLA113" s="146"/>
      <c r="KLB113" s="146"/>
      <c r="KLC113" s="146"/>
      <c r="KLD113" s="146"/>
      <c r="KLE113" s="146"/>
      <c r="KLF113" s="146"/>
      <c r="KLG113" s="146"/>
      <c r="KLH113" s="146"/>
      <c r="KLI113" s="146"/>
      <c r="KLJ113" s="146"/>
      <c r="KLK113" s="146"/>
      <c r="KLL113" s="146"/>
      <c r="KLM113" s="146"/>
      <c r="KLN113" s="146"/>
      <c r="KLO113" s="146"/>
      <c r="KLP113" s="146"/>
      <c r="KLQ113" s="146"/>
      <c r="KLR113" s="146"/>
      <c r="KLS113" s="146"/>
      <c r="KLT113" s="146"/>
      <c r="KLU113" s="146"/>
      <c r="KLV113" s="146"/>
      <c r="KLW113" s="146"/>
      <c r="KLX113" s="146"/>
      <c r="KLY113" s="146"/>
      <c r="KLZ113" s="146"/>
      <c r="KMA113" s="146"/>
      <c r="KMB113" s="146"/>
      <c r="KMC113" s="146"/>
      <c r="KMD113" s="146"/>
      <c r="KME113" s="146"/>
      <c r="KMF113" s="146"/>
      <c r="KMG113" s="146"/>
      <c r="KMH113" s="146"/>
      <c r="KMI113" s="146"/>
      <c r="KMJ113" s="146"/>
      <c r="KMK113" s="146"/>
      <c r="KML113" s="146"/>
      <c r="KMM113" s="146"/>
      <c r="KMN113" s="146"/>
      <c r="KMO113" s="146"/>
      <c r="KMP113" s="146"/>
      <c r="KMQ113" s="146"/>
      <c r="KMR113" s="146"/>
      <c r="KMS113" s="146"/>
      <c r="KMT113" s="146"/>
      <c r="KMU113" s="146"/>
      <c r="KMV113" s="146"/>
      <c r="KMW113" s="146"/>
      <c r="KMX113" s="146"/>
      <c r="KMY113" s="146"/>
      <c r="KMZ113" s="146"/>
      <c r="KNA113" s="146"/>
      <c r="KNB113" s="146"/>
      <c r="KNC113" s="146"/>
      <c r="KND113" s="146"/>
      <c r="KNE113" s="146"/>
      <c r="KNF113" s="146"/>
      <c r="KNG113" s="146"/>
      <c r="KNH113" s="146"/>
      <c r="KNI113" s="146"/>
      <c r="KNJ113" s="146"/>
      <c r="KNK113" s="146"/>
      <c r="KNL113" s="146"/>
      <c r="KNM113" s="146"/>
      <c r="KNN113" s="146"/>
      <c r="KNO113" s="146"/>
      <c r="KNP113" s="146"/>
      <c r="KNQ113" s="146"/>
      <c r="KNR113" s="146"/>
      <c r="KNS113" s="146"/>
      <c r="KNT113" s="146"/>
      <c r="KNU113" s="146"/>
      <c r="KNV113" s="146"/>
      <c r="KNW113" s="146"/>
      <c r="KNX113" s="146"/>
      <c r="KNY113" s="146"/>
      <c r="KNZ113" s="146"/>
      <c r="KOA113" s="146"/>
      <c r="KOB113" s="146"/>
      <c r="KOC113" s="146"/>
      <c r="KOD113" s="146"/>
      <c r="KOE113" s="146"/>
      <c r="KOF113" s="146"/>
      <c r="KOG113" s="146"/>
      <c r="KOH113" s="146"/>
      <c r="KOI113" s="146"/>
      <c r="KOJ113" s="146"/>
      <c r="KOK113" s="146"/>
      <c r="KOL113" s="146"/>
      <c r="KOM113" s="146"/>
      <c r="KON113" s="146"/>
      <c r="KOO113" s="146"/>
      <c r="KOP113" s="146"/>
      <c r="KOQ113" s="146"/>
      <c r="KOR113" s="146"/>
      <c r="KOS113" s="146"/>
      <c r="KOT113" s="146"/>
      <c r="KOU113" s="146"/>
      <c r="KOV113" s="146"/>
      <c r="KOW113" s="146"/>
      <c r="KOX113" s="146"/>
      <c r="KOY113" s="146"/>
      <c r="KOZ113" s="146"/>
      <c r="KPA113" s="146"/>
      <c r="KPB113" s="146"/>
      <c r="KPC113" s="146"/>
      <c r="KPD113" s="146"/>
      <c r="KPE113" s="146"/>
      <c r="KPF113" s="146"/>
      <c r="KPG113" s="146"/>
      <c r="KPH113" s="146"/>
      <c r="KPI113" s="146"/>
      <c r="KPJ113" s="146"/>
      <c r="KPK113" s="146"/>
      <c r="KPL113" s="146"/>
      <c r="KPM113" s="146"/>
      <c r="KPN113" s="146"/>
      <c r="KPO113" s="146"/>
      <c r="KPP113" s="146"/>
      <c r="KPQ113" s="146"/>
      <c r="KPR113" s="146"/>
      <c r="KPS113" s="146"/>
      <c r="KPT113" s="146"/>
      <c r="KPU113" s="146"/>
      <c r="KPV113" s="146"/>
      <c r="KPW113" s="146"/>
      <c r="KPX113" s="146"/>
      <c r="KPY113" s="146"/>
      <c r="KPZ113" s="146"/>
      <c r="KQA113" s="146"/>
      <c r="KQB113" s="146"/>
      <c r="KQC113" s="146"/>
      <c r="KQD113" s="146"/>
      <c r="KQE113" s="146"/>
      <c r="KQF113" s="146"/>
      <c r="KQG113" s="146"/>
      <c r="KQH113" s="146"/>
      <c r="KQI113" s="146"/>
      <c r="KQJ113" s="146"/>
      <c r="KQK113" s="146"/>
      <c r="KQL113" s="146"/>
      <c r="KQM113" s="146"/>
      <c r="KQN113" s="146"/>
      <c r="KQO113" s="146"/>
      <c r="KQP113" s="146"/>
      <c r="KQQ113" s="146"/>
      <c r="KQR113" s="146"/>
      <c r="KQS113" s="146"/>
      <c r="KQT113" s="146"/>
      <c r="KQU113" s="146"/>
      <c r="KQV113" s="146"/>
      <c r="KQW113" s="146"/>
      <c r="KQX113" s="146"/>
      <c r="KQY113" s="146"/>
      <c r="KQZ113" s="146"/>
      <c r="KRA113" s="146"/>
      <c r="KRB113" s="146"/>
      <c r="KRC113" s="146"/>
      <c r="KRD113" s="146"/>
      <c r="KRE113" s="146"/>
      <c r="KRF113" s="146"/>
      <c r="KRG113" s="146"/>
      <c r="KRH113" s="146"/>
      <c r="KRI113" s="146"/>
      <c r="KRJ113" s="146"/>
      <c r="KRK113" s="146"/>
      <c r="KRL113" s="146"/>
      <c r="KRM113" s="146"/>
      <c r="KRN113" s="146"/>
      <c r="KRO113" s="146"/>
      <c r="KRP113" s="146"/>
      <c r="KRQ113" s="146"/>
      <c r="KRR113" s="146"/>
      <c r="KRS113" s="146"/>
      <c r="KRT113" s="146"/>
      <c r="KRU113" s="146"/>
      <c r="KRV113" s="146"/>
      <c r="KRW113" s="146"/>
      <c r="KRX113" s="146"/>
      <c r="KRY113" s="146"/>
      <c r="KRZ113" s="146"/>
      <c r="KSA113" s="146"/>
      <c r="KSB113" s="146"/>
      <c r="KSC113" s="146"/>
      <c r="KSD113" s="146"/>
      <c r="KSE113" s="146"/>
      <c r="KSF113" s="146"/>
      <c r="KSG113" s="146"/>
      <c r="KSH113" s="146"/>
      <c r="KSI113" s="146"/>
      <c r="KSJ113" s="146"/>
      <c r="KSK113" s="146"/>
      <c r="KSL113" s="146"/>
      <c r="KSM113" s="146"/>
      <c r="KSN113" s="146"/>
      <c r="KSO113" s="146"/>
      <c r="KSP113" s="146"/>
      <c r="KSQ113" s="146"/>
      <c r="KSR113" s="146"/>
      <c r="KSS113" s="146"/>
      <c r="KST113" s="146"/>
      <c r="KSU113" s="146"/>
      <c r="KSV113" s="146"/>
      <c r="KSW113" s="146"/>
      <c r="KSX113" s="146"/>
      <c r="KSY113" s="146"/>
      <c r="KSZ113" s="146"/>
      <c r="KTA113" s="146"/>
      <c r="KTB113" s="146"/>
      <c r="KTC113" s="146"/>
      <c r="KTD113" s="146"/>
      <c r="KTE113" s="146"/>
      <c r="KTF113" s="146"/>
      <c r="KTG113" s="146"/>
      <c r="KTH113" s="146"/>
      <c r="KTI113" s="146"/>
      <c r="KTJ113" s="146"/>
      <c r="KTK113" s="146"/>
      <c r="KTL113" s="146"/>
      <c r="KTM113" s="146"/>
      <c r="KTN113" s="146"/>
      <c r="KTO113" s="146"/>
      <c r="KTP113" s="146"/>
      <c r="KTQ113" s="146"/>
      <c r="KTR113" s="146"/>
      <c r="KTS113" s="146"/>
      <c r="KTT113" s="146"/>
      <c r="KTU113" s="146"/>
      <c r="KTV113" s="146"/>
      <c r="KTW113" s="146"/>
      <c r="KTX113" s="146"/>
      <c r="KTY113" s="146"/>
      <c r="KTZ113" s="146"/>
      <c r="KUA113" s="146"/>
      <c r="KUB113" s="146"/>
      <c r="KUC113" s="146"/>
      <c r="KUD113" s="146"/>
      <c r="KUE113" s="146"/>
      <c r="KUF113" s="146"/>
      <c r="KUG113" s="146"/>
      <c r="KUH113" s="146"/>
      <c r="KUI113" s="146"/>
      <c r="KUJ113" s="146"/>
      <c r="KUK113" s="146"/>
      <c r="KUL113" s="146"/>
      <c r="KUM113" s="146"/>
      <c r="KUN113" s="146"/>
      <c r="KUO113" s="146"/>
      <c r="KUP113" s="146"/>
      <c r="KUQ113" s="146"/>
      <c r="KUR113" s="146"/>
      <c r="KUS113" s="146"/>
      <c r="KUT113" s="146"/>
      <c r="KUU113" s="146"/>
      <c r="KUV113" s="146"/>
      <c r="KUW113" s="146"/>
      <c r="KUX113" s="146"/>
      <c r="KUY113" s="146"/>
      <c r="KUZ113" s="146"/>
      <c r="KVA113" s="146"/>
      <c r="KVB113" s="146"/>
      <c r="KVC113" s="146"/>
      <c r="KVD113" s="146"/>
      <c r="KVE113" s="146"/>
      <c r="KVF113" s="146"/>
      <c r="KVG113" s="146"/>
      <c r="KVH113" s="146"/>
      <c r="KVI113" s="146"/>
      <c r="KVJ113" s="146"/>
      <c r="KVK113" s="146"/>
      <c r="KVL113" s="146"/>
      <c r="KVM113" s="146"/>
      <c r="KVN113" s="146"/>
      <c r="KVO113" s="146"/>
      <c r="KVP113" s="146"/>
      <c r="KVQ113" s="146"/>
      <c r="KVR113" s="146"/>
      <c r="KVS113" s="146"/>
      <c r="KVT113" s="146"/>
      <c r="KVU113" s="146"/>
      <c r="KVV113" s="146"/>
      <c r="KVW113" s="146"/>
      <c r="KVX113" s="146"/>
      <c r="KVY113" s="146"/>
      <c r="KVZ113" s="146"/>
      <c r="KWA113" s="146"/>
      <c r="KWB113" s="146"/>
      <c r="KWC113" s="146"/>
      <c r="KWD113" s="146"/>
      <c r="KWE113" s="146"/>
      <c r="KWF113" s="146"/>
      <c r="KWG113" s="146"/>
      <c r="KWH113" s="146"/>
      <c r="KWI113" s="146"/>
      <c r="KWJ113" s="146"/>
      <c r="KWK113" s="146"/>
      <c r="KWL113" s="146"/>
      <c r="KWM113" s="146"/>
      <c r="KWN113" s="146"/>
      <c r="KWO113" s="146"/>
      <c r="KWP113" s="146"/>
      <c r="KWQ113" s="146"/>
      <c r="KWR113" s="146"/>
      <c r="KWS113" s="146"/>
      <c r="KWT113" s="146"/>
      <c r="KWU113" s="146"/>
      <c r="KWV113" s="146"/>
      <c r="KWW113" s="146"/>
      <c r="KWX113" s="146"/>
      <c r="KWY113" s="146"/>
      <c r="KWZ113" s="146"/>
      <c r="KXA113" s="146"/>
      <c r="KXB113" s="146"/>
      <c r="KXC113" s="146"/>
      <c r="KXD113" s="146"/>
      <c r="KXE113" s="146"/>
      <c r="KXF113" s="146"/>
      <c r="KXG113" s="146"/>
      <c r="KXH113" s="146"/>
      <c r="KXI113" s="146"/>
      <c r="KXJ113" s="146"/>
      <c r="KXK113" s="146"/>
      <c r="KXL113" s="146"/>
      <c r="KXM113" s="146"/>
      <c r="KXN113" s="146"/>
      <c r="KXO113" s="146"/>
      <c r="KXP113" s="146"/>
      <c r="KXQ113" s="146"/>
      <c r="KXR113" s="146"/>
      <c r="KXS113" s="146"/>
      <c r="KXT113" s="146"/>
      <c r="KXU113" s="146"/>
      <c r="KXV113" s="146"/>
      <c r="KXW113" s="146"/>
      <c r="KXX113" s="146"/>
      <c r="KXY113" s="146"/>
      <c r="KXZ113" s="146"/>
      <c r="KYA113" s="146"/>
      <c r="KYB113" s="146"/>
      <c r="KYC113" s="146"/>
      <c r="KYD113" s="146"/>
      <c r="KYE113" s="146"/>
      <c r="KYF113" s="146"/>
      <c r="KYG113" s="146"/>
      <c r="KYH113" s="146"/>
      <c r="KYI113" s="146"/>
      <c r="KYJ113" s="146"/>
      <c r="KYK113" s="146"/>
      <c r="KYL113" s="146"/>
      <c r="KYM113" s="146"/>
      <c r="KYN113" s="146"/>
      <c r="KYO113" s="146"/>
      <c r="KYP113" s="146"/>
      <c r="KYQ113" s="146"/>
      <c r="KYR113" s="146"/>
      <c r="KYS113" s="146"/>
      <c r="KYT113" s="146"/>
      <c r="KYU113" s="146"/>
      <c r="KYV113" s="146"/>
      <c r="KYW113" s="146"/>
      <c r="KYX113" s="146"/>
      <c r="KYY113" s="146"/>
      <c r="KYZ113" s="146"/>
      <c r="KZA113" s="146"/>
      <c r="KZB113" s="146"/>
      <c r="KZC113" s="146"/>
      <c r="KZD113" s="146"/>
      <c r="KZE113" s="146"/>
      <c r="KZF113" s="146"/>
      <c r="KZG113" s="146"/>
      <c r="KZH113" s="146"/>
      <c r="KZI113" s="146"/>
      <c r="KZJ113" s="146"/>
      <c r="KZK113" s="146"/>
      <c r="KZL113" s="146"/>
      <c r="KZM113" s="146"/>
      <c r="KZN113" s="146"/>
      <c r="KZO113" s="146"/>
      <c r="KZP113" s="146"/>
      <c r="KZQ113" s="146"/>
      <c r="KZR113" s="146"/>
      <c r="KZS113" s="146"/>
      <c r="KZT113" s="146"/>
      <c r="KZU113" s="146"/>
      <c r="KZV113" s="146"/>
      <c r="KZW113" s="146"/>
      <c r="KZX113" s="146"/>
      <c r="KZY113" s="146"/>
      <c r="KZZ113" s="146"/>
      <c r="LAA113" s="146"/>
      <c r="LAB113" s="146"/>
      <c r="LAC113" s="146"/>
      <c r="LAD113" s="146"/>
      <c r="LAE113" s="146"/>
      <c r="LAF113" s="146"/>
      <c r="LAG113" s="146"/>
      <c r="LAH113" s="146"/>
      <c r="LAI113" s="146"/>
      <c r="LAJ113" s="146"/>
      <c r="LAK113" s="146"/>
      <c r="LAL113" s="146"/>
      <c r="LAM113" s="146"/>
      <c r="LAN113" s="146"/>
      <c r="LAO113" s="146"/>
      <c r="LAP113" s="146"/>
      <c r="LAQ113" s="146"/>
      <c r="LAR113" s="146"/>
      <c r="LAS113" s="146"/>
      <c r="LAT113" s="146"/>
      <c r="LAU113" s="146"/>
      <c r="LAV113" s="146"/>
      <c r="LAW113" s="146"/>
      <c r="LAX113" s="146"/>
      <c r="LAY113" s="146"/>
      <c r="LAZ113" s="146"/>
      <c r="LBA113" s="146"/>
      <c r="LBB113" s="146"/>
      <c r="LBC113" s="146"/>
      <c r="LBD113" s="146"/>
      <c r="LBE113" s="146"/>
      <c r="LBF113" s="146"/>
      <c r="LBG113" s="146"/>
      <c r="LBH113" s="146"/>
      <c r="LBI113" s="146"/>
      <c r="LBJ113" s="146"/>
      <c r="LBK113" s="146"/>
      <c r="LBL113" s="146"/>
      <c r="LBM113" s="146"/>
      <c r="LBN113" s="146"/>
      <c r="LBO113" s="146"/>
      <c r="LBP113" s="146"/>
      <c r="LBQ113" s="146"/>
      <c r="LBR113" s="146"/>
      <c r="LBS113" s="146"/>
      <c r="LBT113" s="146"/>
      <c r="LBU113" s="146"/>
      <c r="LBV113" s="146"/>
      <c r="LBW113" s="146"/>
      <c r="LBX113" s="146"/>
      <c r="LBY113" s="146"/>
      <c r="LBZ113" s="146"/>
      <c r="LCA113" s="146"/>
      <c r="LCB113" s="146"/>
      <c r="LCC113" s="146"/>
      <c r="LCD113" s="146"/>
      <c r="LCE113" s="146"/>
      <c r="LCF113" s="146"/>
      <c r="LCG113" s="146"/>
      <c r="LCH113" s="146"/>
      <c r="LCI113" s="146"/>
      <c r="LCJ113" s="146"/>
      <c r="LCK113" s="146"/>
      <c r="LCL113" s="146"/>
      <c r="LCM113" s="146"/>
      <c r="LCN113" s="146"/>
      <c r="LCO113" s="146"/>
      <c r="LCP113" s="146"/>
      <c r="LCQ113" s="146"/>
      <c r="LCR113" s="146"/>
      <c r="LCS113" s="146"/>
      <c r="LCT113" s="146"/>
      <c r="LCU113" s="146"/>
      <c r="LCV113" s="146"/>
      <c r="LCW113" s="146"/>
      <c r="LCX113" s="146"/>
      <c r="LCY113" s="146"/>
      <c r="LCZ113" s="146"/>
      <c r="LDA113" s="146"/>
      <c r="LDB113" s="146"/>
      <c r="LDC113" s="146"/>
      <c r="LDD113" s="146"/>
      <c r="LDE113" s="146"/>
      <c r="LDF113" s="146"/>
      <c r="LDG113" s="146"/>
      <c r="LDH113" s="146"/>
      <c r="LDI113" s="146"/>
      <c r="LDJ113" s="146"/>
      <c r="LDK113" s="146"/>
      <c r="LDL113" s="146"/>
      <c r="LDM113" s="146"/>
      <c r="LDN113" s="146"/>
      <c r="LDO113" s="146"/>
      <c r="LDP113" s="146"/>
      <c r="LDQ113" s="146"/>
      <c r="LDR113" s="146"/>
      <c r="LDS113" s="146"/>
      <c r="LDT113" s="146"/>
      <c r="LDU113" s="146"/>
      <c r="LDV113" s="146"/>
      <c r="LDW113" s="146"/>
      <c r="LDX113" s="146"/>
      <c r="LDY113" s="146"/>
      <c r="LDZ113" s="146"/>
      <c r="LEA113" s="146"/>
      <c r="LEB113" s="146"/>
      <c r="LEC113" s="146"/>
      <c r="LED113" s="146"/>
      <c r="LEE113" s="146"/>
      <c r="LEF113" s="146"/>
      <c r="LEG113" s="146"/>
      <c r="LEH113" s="146"/>
      <c r="LEI113" s="146"/>
      <c r="LEJ113" s="146"/>
      <c r="LEK113" s="146"/>
      <c r="LEL113" s="146"/>
      <c r="LEM113" s="146"/>
      <c r="LEN113" s="146"/>
      <c r="LEO113" s="146"/>
      <c r="LEP113" s="146"/>
      <c r="LEQ113" s="146"/>
      <c r="LER113" s="146"/>
      <c r="LES113" s="146"/>
      <c r="LET113" s="146"/>
      <c r="LEU113" s="146"/>
      <c r="LEV113" s="146"/>
      <c r="LEW113" s="146"/>
      <c r="LEX113" s="146"/>
      <c r="LEY113" s="146"/>
      <c r="LEZ113" s="146"/>
      <c r="LFA113" s="146"/>
      <c r="LFB113" s="146"/>
      <c r="LFC113" s="146"/>
      <c r="LFD113" s="146"/>
      <c r="LFE113" s="146"/>
      <c r="LFF113" s="146"/>
      <c r="LFG113" s="146"/>
      <c r="LFH113" s="146"/>
      <c r="LFI113" s="146"/>
      <c r="LFJ113" s="146"/>
      <c r="LFK113" s="146"/>
      <c r="LFL113" s="146"/>
      <c r="LFM113" s="146"/>
      <c r="LFN113" s="146"/>
      <c r="LFO113" s="146"/>
      <c r="LFP113" s="146"/>
      <c r="LFQ113" s="146"/>
      <c r="LFR113" s="146"/>
      <c r="LFS113" s="146"/>
      <c r="LFT113" s="146"/>
      <c r="LFU113" s="146"/>
      <c r="LFV113" s="146"/>
      <c r="LFW113" s="146"/>
      <c r="LFX113" s="146"/>
      <c r="LFY113" s="146"/>
      <c r="LFZ113" s="146"/>
      <c r="LGA113" s="146"/>
      <c r="LGB113" s="146"/>
      <c r="LGC113" s="146"/>
      <c r="LGD113" s="146"/>
      <c r="LGE113" s="146"/>
      <c r="LGF113" s="146"/>
      <c r="LGG113" s="146"/>
      <c r="LGH113" s="146"/>
      <c r="LGI113" s="146"/>
      <c r="LGJ113" s="146"/>
      <c r="LGK113" s="146"/>
      <c r="LGL113" s="146"/>
      <c r="LGM113" s="146"/>
      <c r="LGN113" s="146"/>
      <c r="LGO113" s="146"/>
      <c r="LGP113" s="146"/>
      <c r="LGQ113" s="146"/>
      <c r="LGR113" s="146"/>
      <c r="LGS113" s="146"/>
      <c r="LGT113" s="146"/>
      <c r="LGU113" s="146"/>
      <c r="LGV113" s="146"/>
      <c r="LGW113" s="146"/>
      <c r="LGX113" s="146"/>
      <c r="LGY113" s="146"/>
      <c r="LGZ113" s="146"/>
      <c r="LHA113" s="146"/>
      <c r="LHB113" s="146"/>
      <c r="LHC113" s="146"/>
      <c r="LHD113" s="146"/>
      <c r="LHE113" s="146"/>
      <c r="LHF113" s="146"/>
      <c r="LHG113" s="146"/>
      <c r="LHH113" s="146"/>
      <c r="LHI113" s="146"/>
      <c r="LHJ113" s="146"/>
      <c r="LHK113" s="146"/>
      <c r="LHL113" s="146"/>
      <c r="LHM113" s="146"/>
      <c r="LHN113" s="146"/>
      <c r="LHO113" s="146"/>
      <c r="LHP113" s="146"/>
      <c r="LHQ113" s="146"/>
      <c r="LHR113" s="146"/>
      <c r="LHS113" s="146"/>
      <c r="LHT113" s="146"/>
      <c r="LHU113" s="146"/>
      <c r="LHV113" s="146"/>
      <c r="LHW113" s="146"/>
      <c r="LHX113" s="146"/>
      <c r="LHY113" s="146"/>
      <c r="LHZ113" s="146"/>
      <c r="LIA113" s="146"/>
      <c r="LIB113" s="146"/>
      <c r="LIC113" s="146"/>
      <c r="LID113" s="146"/>
      <c r="LIE113" s="146"/>
      <c r="LIF113" s="146"/>
      <c r="LIG113" s="146"/>
      <c r="LIH113" s="146"/>
      <c r="LII113" s="146"/>
      <c r="LIJ113" s="146"/>
      <c r="LIK113" s="146"/>
      <c r="LIL113" s="146"/>
      <c r="LIM113" s="146"/>
      <c r="LIN113" s="146"/>
      <c r="LIO113" s="146"/>
      <c r="LIP113" s="146"/>
      <c r="LIQ113" s="146"/>
      <c r="LIR113" s="146"/>
      <c r="LIS113" s="146"/>
      <c r="LIT113" s="146"/>
      <c r="LIU113" s="146"/>
      <c r="LIV113" s="146"/>
      <c r="LIW113" s="146"/>
      <c r="LIX113" s="146"/>
      <c r="LIY113" s="146"/>
      <c r="LIZ113" s="146"/>
      <c r="LJA113" s="146"/>
      <c r="LJB113" s="146"/>
      <c r="LJC113" s="146"/>
      <c r="LJD113" s="146"/>
      <c r="LJE113" s="146"/>
      <c r="LJF113" s="146"/>
      <c r="LJG113" s="146"/>
      <c r="LJH113" s="146"/>
      <c r="LJI113" s="146"/>
      <c r="LJJ113" s="146"/>
      <c r="LJK113" s="146"/>
      <c r="LJL113" s="146"/>
      <c r="LJM113" s="146"/>
      <c r="LJN113" s="146"/>
      <c r="LJO113" s="146"/>
      <c r="LJP113" s="146"/>
      <c r="LJQ113" s="146"/>
      <c r="LJR113" s="146"/>
      <c r="LJS113" s="146"/>
      <c r="LJT113" s="146"/>
      <c r="LJU113" s="146"/>
      <c r="LJV113" s="146"/>
      <c r="LJW113" s="146"/>
      <c r="LJX113" s="146"/>
      <c r="LJY113" s="146"/>
      <c r="LJZ113" s="146"/>
      <c r="LKA113" s="146"/>
      <c r="LKB113" s="146"/>
      <c r="LKC113" s="146"/>
      <c r="LKD113" s="146"/>
      <c r="LKE113" s="146"/>
      <c r="LKF113" s="146"/>
      <c r="LKG113" s="146"/>
      <c r="LKH113" s="146"/>
      <c r="LKI113" s="146"/>
      <c r="LKJ113" s="146"/>
      <c r="LKK113" s="146"/>
      <c r="LKL113" s="146"/>
      <c r="LKM113" s="146"/>
      <c r="LKN113" s="146"/>
      <c r="LKO113" s="146"/>
      <c r="LKP113" s="146"/>
      <c r="LKQ113" s="146"/>
      <c r="LKR113" s="146"/>
      <c r="LKS113" s="146"/>
      <c r="LKT113" s="146"/>
      <c r="LKU113" s="146"/>
      <c r="LKV113" s="146"/>
      <c r="LKW113" s="146"/>
      <c r="LKX113" s="146"/>
      <c r="LKY113" s="146"/>
      <c r="LKZ113" s="146"/>
      <c r="LLA113" s="146"/>
      <c r="LLB113" s="146"/>
      <c r="LLC113" s="146"/>
      <c r="LLD113" s="146"/>
      <c r="LLE113" s="146"/>
      <c r="LLF113" s="146"/>
      <c r="LLG113" s="146"/>
      <c r="LLH113" s="146"/>
      <c r="LLI113" s="146"/>
      <c r="LLJ113" s="146"/>
      <c r="LLK113" s="146"/>
      <c r="LLL113" s="146"/>
      <c r="LLM113" s="146"/>
      <c r="LLN113" s="146"/>
      <c r="LLO113" s="146"/>
      <c r="LLP113" s="146"/>
      <c r="LLQ113" s="146"/>
      <c r="LLR113" s="146"/>
      <c r="LLS113" s="146"/>
      <c r="LLT113" s="146"/>
      <c r="LLU113" s="146"/>
      <c r="LLV113" s="146"/>
      <c r="LLW113" s="146"/>
      <c r="LLX113" s="146"/>
      <c r="LLY113" s="146"/>
      <c r="LLZ113" s="146"/>
      <c r="LMA113" s="146"/>
      <c r="LMB113" s="146"/>
      <c r="LMC113" s="146"/>
      <c r="LMD113" s="146"/>
      <c r="LME113" s="146"/>
      <c r="LMF113" s="146"/>
      <c r="LMG113" s="146"/>
      <c r="LMH113" s="146"/>
      <c r="LMI113" s="146"/>
      <c r="LMJ113" s="146"/>
      <c r="LMK113" s="146"/>
      <c r="LML113" s="146"/>
      <c r="LMM113" s="146"/>
      <c r="LMN113" s="146"/>
      <c r="LMO113" s="146"/>
      <c r="LMP113" s="146"/>
      <c r="LMQ113" s="146"/>
      <c r="LMR113" s="146"/>
      <c r="LMS113" s="146"/>
      <c r="LMT113" s="146"/>
      <c r="LMU113" s="146"/>
      <c r="LMV113" s="146"/>
      <c r="LMW113" s="146"/>
      <c r="LMX113" s="146"/>
      <c r="LMY113" s="146"/>
      <c r="LMZ113" s="146"/>
      <c r="LNA113" s="146"/>
      <c r="LNB113" s="146"/>
      <c r="LNC113" s="146"/>
      <c r="LND113" s="146"/>
      <c r="LNE113" s="146"/>
      <c r="LNF113" s="146"/>
      <c r="LNG113" s="146"/>
      <c r="LNH113" s="146"/>
      <c r="LNI113" s="146"/>
      <c r="LNJ113" s="146"/>
      <c r="LNK113" s="146"/>
      <c r="LNL113" s="146"/>
      <c r="LNM113" s="146"/>
      <c r="LNN113" s="146"/>
      <c r="LNO113" s="146"/>
      <c r="LNP113" s="146"/>
      <c r="LNQ113" s="146"/>
      <c r="LNR113" s="146"/>
      <c r="LNS113" s="146"/>
      <c r="LNT113" s="146"/>
      <c r="LNU113" s="146"/>
      <c r="LNV113" s="146"/>
      <c r="LNW113" s="146"/>
      <c r="LNX113" s="146"/>
      <c r="LNY113" s="146"/>
      <c r="LNZ113" s="146"/>
      <c r="LOA113" s="146"/>
      <c r="LOB113" s="146"/>
      <c r="LOC113" s="146"/>
      <c r="LOD113" s="146"/>
      <c r="LOE113" s="146"/>
      <c r="LOF113" s="146"/>
      <c r="LOG113" s="146"/>
      <c r="LOH113" s="146"/>
      <c r="LOI113" s="146"/>
      <c r="LOJ113" s="146"/>
      <c r="LOK113" s="146"/>
      <c r="LOL113" s="146"/>
      <c r="LOM113" s="146"/>
      <c r="LON113" s="146"/>
      <c r="LOO113" s="146"/>
      <c r="LOP113" s="146"/>
      <c r="LOQ113" s="146"/>
      <c r="LOR113" s="146"/>
      <c r="LOS113" s="146"/>
      <c r="LOT113" s="146"/>
      <c r="LOU113" s="146"/>
      <c r="LOV113" s="146"/>
      <c r="LOW113" s="146"/>
      <c r="LOX113" s="146"/>
      <c r="LOY113" s="146"/>
      <c r="LOZ113" s="146"/>
      <c r="LPA113" s="146"/>
      <c r="LPB113" s="146"/>
      <c r="LPC113" s="146"/>
      <c r="LPD113" s="146"/>
      <c r="LPE113" s="146"/>
      <c r="LPF113" s="146"/>
      <c r="LPG113" s="146"/>
      <c r="LPH113" s="146"/>
      <c r="LPI113" s="146"/>
      <c r="LPJ113" s="146"/>
      <c r="LPK113" s="146"/>
      <c r="LPL113" s="146"/>
      <c r="LPM113" s="146"/>
      <c r="LPN113" s="146"/>
      <c r="LPO113" s="146"/>
      <c r="LPP113" s="146"/>
      <c r="LPQ113" s="146"/>
      <c r="LPR113" s="146"/>
      <c r="LPS113" s="146"/>
      <c r="LPT113" s="146"/>
      <c r="LPU113" s="146"/>
      <c r="LPV113" s="146"/>
      <c r="LPW113" s="146"/>
      <c r="LPX113" s="146"/>
      <c r="LPY113" s="146"/>
      <c r="LPZ113" s="146"/>
      <c r="LQA113" s="146"/>
      <c r="LQB113" s="146"/>
      <c r="LQC113" s="146"/>
      <c r="LQD113" s="146"/>
      <c r="LQE113" s="146"/>
      <c r="LQF113" s="146"/>
      <c r="LQG113" s="146"/>
      <c r="LQH113" s="146"/>
      <c r="LQI113" s="146"/>
      <c r="LQJ113" s="146"/>
      <c r="LQK113" s="146"/>
      <c r="LQL113" s="146"/>
      <c r="LQM113" s="146"/>
      <c r="LQN113" s="146"/>
      <c r="LQO113" s="146"/>
      <c r="LQP113" s="146"/>
      <c r="LQQ113" s="146"/>
      <c r="LQR113" s="146"/>
      <c r="LQS113" s="146"/>
      <c r="LQT113" s="146"/>
      <c r="LQU113" s="146"/>
      <c r="LQV113" s="146"/>
      <c r="LQW113" s="146"/>
      <c r="LQX113" s="146"/>
      <c r="LQY113" s="146"/>
      <c r="LQZ113" s="146"/>
      <c r="LRA113" s="146"/>
      <c r="LRB113" s="146"/>
      <c r="LRC113" s="146"/>
      <c r="LRD113" s="146"/>
      <c r="LRE113" s="146"/>
      <c r="LRF113" s="146"/>
      <c r="LRG113" s="146"/>
      <c r="LRH113" s="146"/>
      <c r="LRI113" s="146"/>
      <c r="LRJ113" s="146"/>
      <c r="LRK113" s="146"/>
      <c r="LRL113" s="146"/>
      <c r="LRM113" s="146"/>
      <c r="LRN113" s="146"/>
      <c r="LRO113" s="146"/>
      <c r="LRP113" s="146"/>
      <c r="LRQ113" s="146"/>
      <c r="LRR113" s="146"/>
      <c r="LRS113" s="146"/>
      <c r="LRT113" s="146"/>
      <c r="LRU113" s="146"/>
      <c r="LRV113" s="146"/>
      <c r="LRW113" s="146"/>
      <c r="LRX113" s="146"/>
      <c r="LRY113" s="146"/>
      <c r="LRZ113" s="146"/>
      <c r="LSA113" s="146"/>
      <c r="LSB113" s="146"/>
      <c r="LSC113" s="146"/>
      <c r="LSD113" s="146"/>
      <c r="LSE113" s="146"/>
      <c r="LSF113" s="146"/>
      <c r="LSG113" s="146"/>
      <c r="LSH113" s="146"/>
      <c r="LSI113" s="146"/>
      <c r="LSJ113" s="146"/>
      <c r="LSK113" s="146"/>
      <c r="LSL113" s="146"/>
      <c r="LSM113" s="146"/>
      <c r="LSN113" s="146"/>
      <c r="LSO113" s="146"/>
      <c r="LSP113" s="146"/>
      <c r="LSQ113" s="146"/>
      <c r="LSR113" s="146"/>
      <c r="LSS113" s="146"/>
      <c r="LST113" s="146"/>
      <c r="LSU113" s="146"/>
      <c r="LSV113" s="146"/>
      <c r="LSW113" s="146"/>
      <c r="LSX113" s="146"/>
      <c r="LSY113" s="146"/>
      <c r="LSZ113" s="146"/>
      <c r="LTA113" s="146"/>
      <c r="LTB113" s="146"/>
      <c r="LTC113" s="146"/>
      <c r="LTD113" s="146"/>
      <c r="LTE113" s="146"/>
      <c r="LTF113" s="146"/>
      <c r="LTG113" s="146"/>
      <c r="LTH113" s="146"/>
      <c r="LTI113" s="146"/>
      <c r="LTJ113" s="146"/>
      <c r="LTK113" s="146"/>
      <c r="LTL113" s="146"/>
      <c r="LTM113" s="146"/>
      <c r="LTN113" s="146"/>
      <c r="LTO113" s="146"/>
      <c r="LTP113" s="146"/>
      <c r="LTQ113" s="146"/>
      <c r="LTR113" s="146"/>
      <c r="LTS113" s="146"/>
      <c r="LTT113" s="146"/>
      <c r="LTU113" s="146"/>
      <c r="LTV113" s="146"/>
      <c r="LTW113" s="146"/>
      <c r="LTX113" s="146"/>
      <c r="LTY113" s="146"/>
      <c r="LTZ113" s="146"/>
      <c r="LUA113" s="146"/>
      <c r="LUB113" s="146"/>
      <c r="LUC113" s="146"/>
      <c r="LUD113" s="146"/>
      <c r="LUE113" s="146"/>
      <c r="LUF113" s="146"/>
      <c r="LUG113" s="146"/>
      <c r="LUH113" s="146"/>
      <c r="LUI113" s="146"/>
      <c r="LUJ113" s="146"/>
      <c r="LUK113" s="146"/>
      <c r="LUL113" s="146"/>
      <c r="LUM113" s="146"/>
      <c r="LUN113" s="146"/>
      <c r="LUO113" s="146"/>
      <c r="LUP113" s="146"/>
      <c r="LUQ113" s="146"/>
      <c r="LUR113" s="146"/>
      <c r="LUS113" s="146"/>
      <c r="LUT113" s="146"/>
      <c r="LUU113" s="146"/>
      <c r="LUV113" s="146"/>
      <c r="LUW113" s="146"/>
      <c r="LUX113" s="146"/>
      <c r="LUY113" s="146"/>
      <c r="LUZ113" s="146"/>
      <c r="LVA113" s="146"/>
      <c r="LVB113" s="146"/>
      <c r="LVC113" s="146"/>
      <c r="LVD113" s="146"/>
      <c r="LVE113" s="146"/>
      <c r="LVF113" s="146"/>
      <c r="LVG113" s="146"/>
      <c r="LVH113" s="146"/>
      <c r="LVI113" s="146"/>
      <c r="LVJ113" s="146"/>
      <c r="LVK113" s="146"/>
      <c r="LVL113" s="146"/>
      <c r="LVM113" s="146"/>
      <c r="LVN113" s="146"/>
      <c r="LVO113" s="146"/>
      <c r="LVP113" s="146"/>
      <c r="LVQ113" s="146"/>
      <c r="LVR113" s="146"/>
      <c r="LVS113" s="146"/>
      <c r="LVT113" s="146"/>
      <c r="LVU113" s="146"/>
      <c r="LVV113" s="146"/>
      <c r="LVW113" s="146"/>
      <c r="LVX113" s="146"/>
      <c r="LVY113" s="146"/>
      <c r="LVZ113" s="146"/>
      <c r="LWA113" s="146"/>
      <c r="LWB113" s="146"/>
      <c r="LWC113" s="146"/>
      <c r="LWD113" s="146"/>
      <c r="LWE113" s="146"/>
      <c r="LWF113" s="146"/>
      <c r="LWG113" s="146"/>
      <c r="LWH113" s="146"/>
      <c r="LWI113" s="146"/>
      <c r="LWJ113" s="146"/>
      <c r="LWK113" s="146"/>
      <c r="LWL113" s="146"/>
      <c r="LWM113" s="146"/>
      <c r="LWN113" s="146"/>
      <c r="LWO113" s="146"/>
      <c r="LWP113" s="146"/>
      <c r="LWQ113" s="146"/>
      <c r="LWR113" s="146"/>
      <c r="LWS113" s="146"/>
      <c r="LWT113" s="146"/>
      <c r="LWU113" s="146"/>
      <c r="LWV113" s="146"/>
      <c r="LWW113" s="146"/>
      <c r="LWX113" s="146"/>
      <c r="LWY113" s="146"/>
      <c r="LWZ113" s="146"/>
      <c r="LXA113" s="146"/>
      <c r="LXB113" s="146"/>
      <c r="LXC113" s="146"/>
      <c r="LXD113" s="146"/>
      <c r="LXE113" s="146"/>
      <c r="LXF113" s="146"/>
      <c r="LXG113" s="146"/>
      <c r="LXH113" s="146"/>
      <c r="LXI113" s="146"/>
      <c r="LXJ113" s="146"/>
      <c r="LXK113" s="146"/>
      <c r="LXL113" s="146"/>
      <c r="LXM113" s="146"/>
      <c r="LXN113" s="146"/>
      <c r="LXO113" s="146"/>
      <c r="LXP113" s="146"/>
      <c r="LXQ113" s="146"/>
      <c r="LXR113" s="146"/>
      <c r="LXS113" s="146"/>
      <c r="LXT113" s="146"/>
      <c r="LXU113" s="146"/>
      <c r="LXV113" s="146"/>
      <c r="LXW113" s="146"/>
      <c r="LXX113" s="146"/>
      <c r="LXY113" s="146"/>
      <c r="LXZ113" s="146"/>
      <c r="LYA113" s="146"/>
      <c r="LYB113" s="146"/>
      <c r="LYC113" s="146"/>
      <c r="LYD113" s="146"/>
      <c r="LYE113" s="146"/>
      <c r="LYF113" s="146"/>
      <c r="LYG113" s="146"/>
      <c r="LYH113" s="146"/>
      <c r="LYI113" s="146"/>
      <c r="LYJ113" s="146"/>
      <c r="LYK113" s="146"/>
      <c r="LYL113" s="146"/>
      <c r="LYM113" s="146"/>
      <c r="LYN113" s="146"/>
      <c r="LYO113" s="146"/>
      <c r="LYP113" s="146"/>
      <c r="LYQ113" s="146"/>
      <c r="LYR113" s="146"/>
      <c r="LYS113" s="146"/>
      <c r="LYT113" s="146"/>
      <c r="LYU113" s="146"/>
      <c r="LYV113" s="146"/>
      <c r="LYW113" s="146"/>
      <c r="LYX113" s="146"/>
      <c r="LYY113" s="146"/>
      <c r="LYZ113" s="146"/>
      <c r="LZA113" s="146"/>
      <c r="LZB113" s="146"/>
      <c r="LZC113" s="146"/>
      <c r="LZD113" s="146"/>
      <c r="LZE113" s="146"/>
      <c r="LZF113" s="146"/>
      <c r="LZG113" s="146"/>
      <c r="LZH113" s="146"/>
      <c r="LZI113" s="146"/>
      <c r="LZJ113" s="146"/>
      <c r="LZK113" s="146"/>
      <c r="LZL113" s="146"/>
      <c r="LZM113" s="146"/>
      <c r="LZN113" s="146"/>
      <c r="LZO113" s="146"/>
      <c r="LZP113" s="146"/>
      <c r="LZQ113" s="146"/>
      <c r="LZR113" s="146"/>
      <c r="LZS113" s="146"/>
      <c r="LZT113" s="146"/>
      <c r="LZU113" s="146"/>
      <c r="LZV113" s="146"/>
      <c r="LZW113" s="146"/>
      <c r="LZX113" s="146"/>
      <c r="LZY113" s="146"/>
      <c r="LZZ113" s="146"/>
      <c r="MAA113" s="146"/>
      <c r="MAB113" s="146"/>
      <c r="MAC113" s="146"/>
      <c r="MAD113" s="146"/>
      <c r="MAE113" s="146"/>
      <c r="MAF113" s="146"/>
      <c r="MAG113" s="146"/>
      <c r="MAH113" s="146"/>
      <c r="MAI113" s="146"/>
      <c r="MAJ113" s="146"/>
      <c r="MAK113" s="146"/>
      <c r="MAL113" s="146"/>
      <c r="MAM113" s="146"/>
      <c r="MAN113" s="146"/>
      <c r="MAO113" s="146"/>
      <c r="MAP113" s="146"/>
      <c r="MAQ113" s="146"/>
      <c r="MAR113" s="146"/>
      <c r="MAS113" s="146"/>
      <c r="MAT113" s="146"/>
      <c r="MAU113" s="146"/>
      <c r="MAV113" s="146"/>
      <c r="MAW113" s="146"/>
      <c r="MAX113" s="146"/>
      <c r="MAY113" s="146"/>
      <c r="MAZ113" s="146"/>
      <c r="MBA113" s="146"/>
      <c r="MBB113" s="146"/>
      <c r="MBC113" s="146"/>
      <c r="MBD113" s="146"/>
      <c r="MBE113" s="146"/>
      <c r="MBF113" s="146"/>
      <c r="MBG113" s="146"/>
      <c r="MBH113" s="146"/>
      <c r="MBI113" s="146"/>
      <c r="MBJ113" s="146"/>
      <c r="MBK113" s="146"/>
      <c r="MBL113" s="146"/>
      <c r="MBM113" s="146"/>
      <c r="MBN113" s="146"/>
      <c r="MBO113" s="146"/>
      <c r="MBP113" s="146"/>
      <c r="MBQ113" s="146"/>
      <c r="MBR113" s="146"/>
      <c r="MBS113" s="146"/>
      <c r="MBT113" s="146"/>
      <c r="MBU113" s="146"/>
      <c r="MBV113" s="146"/>
      <c r="MBW113" s="146"/>
      <c r="MBX113" s="146"/>
      <c r="MBY113" s="146"/>
      <c r="MBZ113" s="146"/>
      <c r="MCA113" s="146"/>
      <c r="MCB113" s="146"/>
      <c r="MCC113" s="146"/>
      <c r="MCD113" s="146"/>
      <c r="MCE113" s="146"/>
      <c r="MCF113" s="146"/>
      <c r="MCG113" s="146"/>
      <c r="MCH113" s="146"/>
      <c r="MCI113" s="146"/>
      <c r="MCJ113" s="146"/>
      <c r="MCK113" s="146"/>
      <c r="MCL113" s="146"/>
      <c r="MCM113" s="146"/>
      <c r="MCN113" s="146"/>
      <c r="MCO113" s="146"/>
      <c r="MCP113" s="146"/>
      <c r="MCQ113" s="146"/>
      <c r="MCR113" s="146"/>
      <c r="MCS113" s="146"/>
      <c r="MCT113" s="146"/>
      <c r="MCU113" s="146"/>
      <c r="MCV113" s="146"/>
      <c r="MCW113" s="146"/>
      <c r="MCX113" s="146"/>
      <c r="MCY113" s="146"/>
      <c r="MCZ113" s="146"/>
      <c r="MDA113" s="146"/>
      <c r="MDB113" s="146"/>
      <c r="MDC113" s="146"/>
      <c r="MDD113" s="146"/>
      <c r="MDE113" s="146"/>
      <c r="MDF113" s="146"/>
      <c r="MDG113" s="146"/>
      <c r="MDH113" s="146"/>
      <c r="MDI113" s="146"/>
      <c r="MDJ113" s="146"/>
      <c r="MDK113" s="146"/>
      <c r="MDL113" s="146"/>
      <c r="MDM113" s="146"/>
      <c r="MDN113" s="146"/>
      <c r="MDO113" s="146"/>
      <c r="MDP113" s="146"/>
      <c r="MDQ113" s="146"/>
      <c r="MDR113" s="146"/>
      <c r="MDS113" s="146"/>
      <c r="MDT113" s="146"/>
      <c r="MDU113" s="146"/>
      <c r="MDV113" s="146"/>
      <c r="MDW113" s="146"/>
      <c r="MDX113" s="146"/>
      <c r="MDY113" s="146"/>
      <c r="MDZ113" s="146"/>
      <c r="MEA113" s="146"/>
      <c r="MEB113" s="146"/>
      <c r="MEC113" s="146"/>
      <c r="MED113" s="146"/>
      <c r="MEE113" s="146"/>
      <c r="MEF113" s="146"/>
      <c r="MEG113" s="146"/>
      <c r="MEH113" s="146"/>
      <c r="MEI113" s="146"/>
      <c r="MEJ113" s="146"/>
      <c r="MEK113" s="146"/>
      <c r="MEL113" s="146"/>
      <c r="MEM113" s="146"/>
      <c r="MEN113" s="146"/>
      <c r="MEO113" s="146"/>
      <c r="MEP113" s="146"/>
      <c r="MEQ113" s="146"/>
      <c r="MER113" s="146"/>
      <c r="MES113" s="146"/>
      <c r="MET113" s="146"/>
      <c r="MEU113" s="146"/>
      <c r="MEV113" s="146"/>
      <c r="MEW113" s="146"/>
      <c r="MEX113" s="146"/>
      <c r="MEY113" s="146"/>
      <c r="MEZ113" s="146"/>
      <c r="MFA113" s="146"/>
      <c r="MFB113" s="146"/>
      <c r="MFC113" s="146"/>
      <c r="MFD113" s="146"/>
      <c r="MFE113" s="146"/>
      <c r="MFF113" s="146"/>
      <c r="MFG113" s="146"/>
      <c r="MFH113" s="146"/>
      <c r="MFI113" s="146"/>
      <c r="MFJ113" s="146"/>
      <c r="MFK113" s="146"/>
      <c r="MFL113" s="146"/>
      <c r="MFM113" s="146"/>
      <c r="MFN113" s="146"/>
      <c r="MFO113" s="146"/>
      <c r="MFP113" s="146"/>
      <c r="MFQ113" s="146"/>
      <c r="MFR113" s="146"/>
      <c r="MFS113" s="146"/>
      <c r="MFT113" s="146"/>
      <c r="MFU113" s="146"/>
      <c r="MFV113" s="146"/>
      <c r="MFW113" s="146"/>
      <c r="MFX113" s="146"/>
      <c r="MFY113" s="146"/>
      <c r="MFZ113" s="146"/>
      <c r="MGA113" s="146"/>
      <c r="MGB113" s="146"/>
      <c r="MGC113" s="146"/>
      <c r="MGD113" s="146"/>
      <c r="MGE113" s="146"/>
      <c r="MGF113" s="146"/>
      <c r="MGG113" s="146"/>
      <c r="MGH113" s="146"/>
      <c r="MGI113" s="146"/>
      <c r="MGJ113" s="146"/>
      <c r="MGK113" s="146"/>
      <c r="MGL113" s="146"/>
      <c r="MGM113" s="146"/>
      <c r="MGN113" s="146"/>
      <c r="MGO113" s="146"/>
      <c r="MGP113" s="146"/>
      <c r="MGQ113" s="146"/>
      <c r="MGR113" s="146"/>
      <c r="MGS113" s="146"/>
      <c r="MGT113" s="146"/>
      <c r="MGU113" s="146"/>
      <c r="MGV113" s="146"/>
      <c r="MGW113" s="146"/>
      <c r="MGX113" s="146"/>
      <c r="MGY113" s="146"/>
      <c r="MGZ113" s="146"/>
      <c r="MHA113" s="146"/>
      <c r="MHB113" s="146"/>
      <c r="MHC113" s="146"/>
      <c r="MHD113" s="146"/>
      <c r="MHE113" s="146"/>
      <c r="MHF113" s="146"/>
      <c r="MHG113" s="146"/>
      <c r="MHH113" s="146"/>
      <c r="MHI113" s="146"/>
      <c r="MHJ113" s="146"/>
      <c r="MHK113" s="146"/>
      <c r="MHL113" s="146"/>
      <c r="MHM113" s="146"/>
      <c r="MHN113" s="146"/>
      <c r="MHO113" s="146"/>
      <c r="MHP113" s="146"/>
      <c r="MHQ113" s="146"/>
      <c r="MHR113" s="146"/>
      <c r="MHS113" s="146"/>
      <c r="MHT113" s="146"/>
      <c r="MHU113" s="146"/>
      <c r="MHV113" s="146"/>
      <c r="MHW113" s="146"/>
      <c r="MHX113" s="146"/>
      <c r="MHY113" s="146"/>
      <c r="MHZ113" s="146"/>
      <c r="MIA113" s="146"/>
      <c r="MIB113" s="146"/>
      <c r="MIC113" s="146"/>
      <c r="MID113" s="146"/>
      <c r="MIE113" s="146"/>
      <c r="MIF113" s="146"/>
      <c r="MIG113" s="146"/>
      <c r="MIH113" s="146"/>
      <c r="MII113" s="146"/>
      <c r="MIJ113" s="146"/>
      <c r="MIK113" s="146"/>
      <c r="MIL113" s="146"/>
      <c r="MIM113" s="146"/>
      <c r="MIN113" s="146"/>
      <c r="MIO113" s="146"/>
      <c r="MIP113" s="146"/>
      <c r="MIQ113" s="146"/>
      <c r="MIR113" s="146"/>
      <c r="MIS113" s="146"/>
      <c r="MIT113" s="146"/>
      <c r="MIU113" s="146"/>
      <c r="MIV113" s="146"/>
      <c r="MIW113" s="146"/>
      <c r="MIX113" s="146"/>
      <c r="MIY113" s="146"/>
      <c r="MIZ113" s="146"/>
      <c r="MJA113" s="146"/>
      <c r="MJB113" s="146"/>
      <c r="MJC113" s="146"/>
      <c r="MJD113" s="146"/>
      <c r="MJE113" s="146"/>
      <c r="MJF113" s="146"/>
      <c r="MJG113" s="146"/>
      <c r="MJH113" s="146"/>
      <c r="MJI113" s="146"/>
      <c r="MJJ113" s="146"/>
      <c r="MJK113" s="146"/>
      <c r="MJL113" s="146"/>
      <c r="MJM113" s="146"/>
      <c r="MJN113" s="146"/>
      <c r="MJO113" s="146"/>
      <c r="MJP113" s="146"/>
      <c r="MJQ113" s="146"/>
      <c r="MJR113" s="146"/>
      <c r="MJS113" s="146"/>
      <c r="MJT113" s="146"/>
      <c r="MJU113" s="146"/>
      <c r="MJV113" s="146"/>
      <c r="MJW113" s="146"/>
      <c r="MJX113" s="146"/>
      <c r="MJY113" s="146"/>
      <c r="MJZ113" s="146"/>
      <c r="MKA113" s="146"/>
      <c r="MKB113" s="146"/>
      <c r="MKC113" s="146"/>
      <c r="MKD113" s="146"/>
      <c r="MKE113" s="146"/>
      <c r="MKF113" s="146"/>
      <c r="MKG113" s="146"/>
      <c r="MKH113" s="146"/>
      <c r="MKI113" s="146"/>
      <c r="MKJ113" s="146"/>
      <c r="MKK113" s="146"/>
      <c r="MKL113" s="146"/>
      <c r="MKM113" s="146"/>
      <c r="MKN113" s="146"/>
      <c r="MKO113" s="146"/>
      <c r="MKP113" s="146"/>
      <c r="MKQ113" s="146"/>
      <c r="MKR113" s="146"/>
      <c r="MKS113" s="146"/>
      <c r="MKT113" s="146"/>
      <c r="MKU113" s="146"/>
      <c r="MKV113" s="146"/>
      <c r="MKW113" s="146"/>
      <c r="MKX113" s="146"/>
      <c r="MKY113" s="146"/>
      <c r="MKZ113" s="146"/>
      <c r="MLA113" s="146"/>
      <c r="MLB113" s="146"/>
      <c r="MLC113" s="146"/>
      <c r="MLD113" s="146"/>
      <c r="MLE113" s="146"/>
      <c r="MLF113" s="146"/>
      <c r="MLG113" s="146"/>
      <c r="MLH113" s="146"/>
      <c r="MLI113" s="146"/>
      <c r="MLJ113" s="146"/>
      <c r="MLK113" s="146"/>
      <c r="MLL113" s="146"/>
      <c r="MLM113" s="146"/>
      <c r="MLN113" s="146"/>
      <c r="MLO113" s="146"/>
      <c r="MLP113" s="146"/>
      <c r="MLQ113" s="146"/>
      <c r="MLR113" s="146"/>
      <c r="MLS113" s="146"/>
      <c r="MLT113" s="146"/>
      <c r="MLU113" s="146"/>
      <c r="MLV113" s="146"/>
      <c r="MLW113" s="146"/>
      <c r="MLX113" s="146"/>
      <c r="MLY113" s="146"/>
      <c r="MLZ113" s="146"/>
      <c r="MMA113" s="146"/>
      <c r="MMB113" s="146"/>
      <c r="MMC113" s="146"/>
      <c r="MMD113" s="146"/>
      <c r="MME113" s="146"/>
      <c r="MMF113" s="146"/>
      <c r="MMG113" s="146"/>
      <c r="MMH113" s="146"/>
      <c r="MMI113" s="146"/>
      <c r="MMJ113" s="146"/>
      <c r="MMK113" s="146"/>
      <c r="MML113" s="146"/>
      <c r="MMM113" s="146"/>
      <c r="MMN113" s="146"/>
      <c r="MMO113" s="146"/>
      <c r="MMP113" s="146"/>
      <c r="MMQ113" s="146"/>
      <c r="MMR113" s="146"/>
      <c r="MMS113" s="146"/>
      <c r="MMT113" s="146"/>
      <c r="MMU113" s="146"/>
      <c r="MMV113" s="146"/>
      <c r="MMW113" s="146"/>
      <c r="MMX113" s="146"/>
      <c r="MMY113" s="146"/>
      <c r="MMZ113" s="146"/>
      <c r="MNA113" s="146"/>
      <c r="MNB113" s="146"/>
      <c r="MNC113" s="146"/>
      <c r="MND113" s="146"/>
      <c r="MNE113" s="146"/>
      <c r="MNF113" s="146"/>
      <c r="MNG113" s="146"/>
      <c r="MNH113" s="146"/>
      <c r="MNI113" s="146"/>
      <c r="MNJ113" s="146"/>
      <c r="MNK113" s="146"/>
      <c r="MNL113" s="146"/>
      <c r="MNM113" s="146"/>
      <c r="MNN113" s="146"/>
      <c r="MNO113" s="146"/>
      <c r="MNP113" s="146"/>
      <c r="MNQ113" s="146"/>
      <c r="MNR113" s="146"/>
      <c r="MNS113" s="146"/>
      <c r="MNT113" s="146"/>
      <c r="MNU113" s="146"/>
      <c r="MNV113" s="146"/>
      <c r="MNW113" s="146"/>
      <c r="MNX113" s="146"/>
      <c r="MNY113" s="146"/>
      <c r="MNZ113" s="146"/>
      <c r="MOA113" s="146"/>
      <c r="MOB113" s="146"/>
      <c r="MOC113" s="146"/>
      <c r="MOD113" s="146"/>
      <c r="MOE113" s="146"/>
      <c r="MOF113" s="146"/>
      <c r="MOG113" s="146"/>
      <c r="MOH113" s="146"/>
      <c r="MOI113" s="146"/>
      <c r="MOJ113" s="146"/>
      <c r="MOK113" s="146"/>
      <c r="MOL113" s="146"/>
      <c r="MOM113" s="146"/>
      <c r="MON113" s="146"/>
      <c r="MOO113" s="146"/>
      <c r="MOP113" s="146"/>
      <c r="MOQ113" s="146"/>
      <c r="MOR113" s="146"/>
      <c r="MOS113" s="146"/>
      <c r="MOT113" s="146"/>
      <c r="MOU113" s="146"/>
      <c r="MOV113" s="146"/>
      <c r="MOW113" s="146"/>
      <c r="MOX113" s="146"/>
      <c r="MOY113" s="146"/>
      <c r="MOZ113" s="146"/>
      <c r="MPA113" s="146"/>
      <c r="MPB113" s="146"/>
      <c r="MPC113" s="146"/>
      <c r="MPD113" s="146"/>
      <c r="MPE113" s="146"/>
      <c r="MPF113" s="146"/>
      <c r="MPG113" s="146"/>
      <c r="MPH113" s="146"/>
      <c r="MPI113" s="146"/>
      <c r="MPJ113" s="146"/>
      <c r="MPK113" s="146"/>
      <c r="MPL113" s="146"/>
      <c r="MPM113" s="146"/>
      <c r="MPN113" s="146"/>
      <c r="MPO113" s="146"/>
      <c r="MPP113" s="146"/>
      <c r="MPQ113" s="146"/>
      <c r="MPR113" s="146"/>
      <c r="MPS113" s="146"/>
      <c r="MPT113" s="146"/>
      <c r="MPU113" s="146"/>
      <c r="MPV113" s="146"/>
      <c r="MPW113" s="146"/>
      <c r="MPX113" s="146"/>
      <c r="MPY113" s="146"/>
      <c r="MPZ113" s="146"/>
      <c r="MQA113" s="146"/>
      <c r="MQB113" s="146"/>
      <c r="MQC113" s="146"/>
      <c r="MQD113" s="146"/>
      <c r="MQE113" s="146"/>
      <c r="MQF113" s="146"/>
      <c r="MQG113" s="146"/>
      <c r="MQH113" s="146"/>
      <c r="MQI113" s="146"/>
      <c r="MQJ113" s="146"/>
      <c r="MQK113" s="146"/>
      <c r="MQL113" s="146"/>
      <c r="MQM113" s="146"/>
      <c r="MQN113" s="146"/>
      <c r="MQO113" s="146"/>
      <c r="MQP113" s="146"/>
      <c r="MQQ113" s="146"/>
      <c r="MQR113" s="146"/>
      <c r="MQS113" s="146"/>
      <c r="MQT113" s="146"/>
      <c r="MQU113" s="146"/>
      <c r="MQV113" s="146"/>
      <c r="MQW113" s="146"/>
      <c r="MQX113" s="146"/>
      <c r="MQY113" s="146"/>
      <c r="MQZ113" s="146"/>
      <c r="MRA113" s="146"/>
      <c r="MRB113" s="146"/>
      <c r="MRC113" s="146"/>
      <c r="MRD113" s="146"/>
      <c r="MRE113" s="146"/>
      <c r="MRF113" s="146"/>
      <c r="MRG113" s="146"/>
      <c r="MRH113" s="146"/>
      <c r="MRI113" s="146"/>
      <c r="MRJ113" s="146"/>
      <c r="MRK113" s="146"/>
      <c r="MRL113" s="146"/>
      <c r="MRM113" s="146"/>
      <c r="MRN113" s="146"/>
      <c r="MRO113" s="146"/>
      <c r="MRP113" s="146"/>
      <c r="MRQ113" s="146"/>
      <c r="MRR113" s="146"/>
      <c r="MRS113" s="146"/>
      <c r="MRT113" s="146"/>
      <c r="MRU113" s="146"/>
      <c r="MRV113" s="146"/>
      <c r="MRW113" s="146"/>
      <c r="MRX113" s="146"/>
      <c r="MRY113" s="146"/>
      <c r="MRZ113" s="146"/>
      <c r="MSA113" s="146"/>
      <c r="MSB113" s="146"/>
      <c r="MSC113" s="146"/>
      <c r="MSD113" s="146"/>
      <c r="MSE113" s="146"/>
      <c r="MSF113" s="146"/>
      <c r="MSG113" s="146"/>
      <c r="MSH113" s="146"/>
      <c r="MSI113" s="146"/>
      <c r="MSJ113" s="146"/>
      <c r="MSK113" s="146"/>
      <c r="MSL113" s="146"/>
      <c r="MSM113" s="146"/>
      <c r="MSN113" s="146"/>
      <c r="MSO113" s="146"/>
      <c r="MSP113" s="146"/>
      <c r="MSQ113" s="146"/>
      <c r="MSR113" s="146"/>
      <c r="MSS113" s="146"/>
      <c r="MST113" s="146"/>
      <c r="MSU113" s="146"/>
      <c r="MSV113" s="146"/>
      <c r="MSW113" s="146"/>
      <c r="MSX113" s="146"/>
      <c r="MSY113" s="146"/>
      <c r="MSZ113" s="146"/>
      <c r="MTA113" s="146"/>
      <c r="MTB113" s="146"/>
      <c r="MTC113" s="146"/>
      <c r="MTD113" s="146"/>
      <c r="MTE113" s="146"/>
      <c r="MTF113" s="146"/>
      <c r="MTG113" s="146"/>
      <c r="MTH113" s="146"/>
      <c r="MTI113" s="146"/>
      <c r="MTJ113" s="146"/>
      <c r="MTK113" s="146"/>
      <c r="MTL113" s="146"/>
      <c r="MTM113" s="146"/>
      <c r="MTN113" s="146"/>
      <c r="MTO113" s="146"/>
      <c r="MTP113" s="146"/>
      <c r="MTQ113" s="146"/>
      <c r="MTR113" s="146"/>
      <c r="MTS113" s="146"/>
      <c r="MTT113" s="146"/>
      <c r="MTU113" s="146"/>
      <c r="MTV113" s="146"/>
      <c r="MTW113" s="146"/>
      <c r="MTX113" s="146"/>
      <c r="MTY113" s="146"/>
      <c r="MTZ113" s="146"/>
      <c r="MUA113" s="146"/>
      <c r="MUB113" s="146"/>
      <c r="MUC113" s="146"/>
      <c r="MUD113" s="146"/>
      <c r="MUE113" s="146"/>
      <c r="MUF113" s="146"/>
      <c r="MUG113" s="146"/>
      <c r="MUH113" s="146"/>
      <c r="MUI113" s="146"/>
      <c r="MUJ113" s="146"/>
      <c r="MUK113" s="146"/>
      <c r="MUL113" s="146"/>
      <c r="MUM113" s="146"/>
      <c r="MUN113" s="146"/>
      <c r="MUO113" s="146"/>
      <c r="MUP113" s="146"/>
      <c r="MUQ113" s="146"/>
      <c r="MUR113" s="146"/>
      <c r="MUS113" s="146"/>
      <c r="MUT113" s="146"/>
      <c r="MUU113" s="146"/>
      <c r="MUV113" s="146"/>
      <c r="MUW113" s="146"/>
      <c r="MUX113" s="146"/>
      <c r="MUY113" s="146"/>
      <c r="MUZ113" s="146"/>
      <c r="MVA113" s="146"/>
      <c r="MVB113" s="146"/>
      <c r="MVC113" s="146"/>
      <c r="MVD113" s="146"/>
      <c r="MVE113" s="146"/>
      <c r="MVF113" s="146"/>
      <c r="MVG113" s="146"/>
      <c r="MVH113" s="146"/>
      <c r="MVI113" s="146"/>
      <c r="MVJ113" s="146"/>
      <c r="MVK113" s="146"/>
      <c r="MVL113" s="146"/>
      <c r="MVM113" s="146"/>
      <c r="MVN113" s="146"/>
      <c r="MVO113" s="146"/>
      <c r="MVP113" s="146"/>
      <c r="MVQ113" s="146"/>
      <c r="MVR113" s="146"/>
      <c r="MVS113" s="146"/>
      <c r="MVT113" s="146"/>
      <c r="MVU113" s="146"/>
      <c r="MVV113" s="146"/>
      <c r="MVW113" s="146"/>
      <c r="MVX113" s="146"/>
      <c r="MVY113" s="146"/>
      <c r="MVZ113" s="146"/>
      <c r="MWA113" s="146"/>
      <c r="MWB113" s="146"/>
      <c r="MWC113" s="146"/>
      <c r="MWD113" s="146"/>
      <c r="MWE113" s="146"/>
      <c r="MWF113" s="146"/>
      <c r="MWG113" s="146"/>
      <c r="MWH113" s="146"/>
      <c r="MWI113" s="146"/>
      <c r="MWJ113" s="146"/>
      <c r="MWK113" s="146"/>
      <c r="MWL113" s="146"/>
      <c r="MWM113" s="146"/>
      <c r="MWN113" s="146"/>
      <c r="MWO113" s="146"/>
      <c r="MWP113" s="146"/>
      <c r="MWQ113" s="146"/>
      <c r="MWR113" s="146"/>
      <c r="MWS113" s="146"/>
      <c r="MWT113" s="146"/>
      <c r="MWU113" s="146"/>
      <c r="MWV113" s="146"/>
      <c r="MWW113" s="146"/>
      <c r="MWX113" s="146"/>
      <c r="MWY113" s="146"/>
      <c r="MWZ113" s="146"/>
      <c r="MXA113" s="146"/>
      <c r="MXB113" s="146"/>
      <c r="MXC113" s="146"/>
      <c r="MXD113" s="146"/>
      <c r="MXE113" s="146"/>
      <c r="MXF113" s="146"/>
      <c r="MXG113" s="146"/>
      <c r="MXH113" s="146"/>
      <c r="MXI113" s="146"/>
      <c r="MXJ113" s="146"/>
      <c r="MXK113" s="146"/>
      <c r="MXL113" s="146"/>
      <c r="MXM113" s="146"/>
      <c r="MXN113" s="146"/>
      <c r="MXO113" s="146"/>
      <c r="MXP113" s="146"/>
      <c r="MXQ113" s="146"/>
      <c r="MXR113" s="146"/>
      <c r="MXS113" s="146"/>
      <c r="MXT113" s="146"/>
      <c r="MXU113" s="146"/>
      <c r="MXV113" s="146"/>
      <c r="MXW113" s="146"/>
      <c r="MXX113" s="146"/>
      <c r="MXY113" s="146"/>
      <c r="MXZ113" s="146"/>
      <c r="MYA113" s="146"/>
      <c r="MYB113" s="146"/>
      <c r="MYC113" s="146"/>
      <c r="MYD113" s="146"/>
      <c r="MYE113" s="146"/>
      <c r="MYF113" s="146"/>
      <c r="MYG113" s="146"/>
      <c r="MYH113" s="146"/>
      <c r="MYI113" s="146"/>
      <c r="MYJ113" s="146"/>
      <c r="MYK113" s="146"/>
      <c r="MYL113" s="146"/>
      <c r="MYM113" s="146"/>
      <c r="MYN113" s="146"/>
      <c r="MYO113" s="146"/>
      <c r="MYP113" s="146"/>
      <c r="MYQ113" s="146"/>
      <c r="MYR113" s="146"/>
      <c r="MYS113" s="146"/>
      <c r="MYT113" s="146"/>
      <c r="MYU113" s="146"/>
      <c r="MYV113" s="146"/>
      <c r="MYW113" s="146"/>
      <c r="MYX113" s="146"/>
      <c r="MYY113" s="146"/>
      <c r="MYZ113" s="146"/>
      <c r="MZA113" s="146"/>
      <c r="MZB113" s="146"/>
      <c r="MZC113" s="146"/>
      <c r="MZD113" s="146"/>
      <c r="MZE113" s="146"/>
      <c r="MZF113" s="146"/>
      <c r="MZG113" s="146"/>
      <c r="MZH113" s="146"/>
      <c r="MZI113" s="146"/>
      <c r="MZJ113" s="146"/>
      <c r="MZK113" s="146"/>
      <c r="MZL113" s="146"/>
      <c r="MZM113" s="146"/>
      <c r="MZN113" s="146"/>
      <c r="MZO113" s="146"/>
      <c r="MZP113" s="146"/>
      <c r="MZQ113" s="146"/>
      <c r="MZR113" s="146"/>
      <c r="MZS113" s="146"/>
      <c r="MZT113" s="146"/>
      <c r="MZU113" s="146"/>
      <c r="MZV113" s="146"/>
      <c r="MZW113" s="146"/>
      <c r="MZX113" s="146"/>
      <c r="MZY113" s="146"/>
      <c r="MZZ113" s="146"/>
      <c r="NAA113" s="146"/>
      <c r="NAB113" s="146"/>
      <c r="NAC113" s="146"/>
      <c r="NAD113" s="146"/>
      <c r="NAE113" s="146"/>
      <c r="NAF113" s="146"/>
      <c r="NAG113" s="146"/>
      <c r="NAH113" s="146"/>
      <c r="NAI113" s="146"/>
      <c r="NAJ113" s="146"/>
      <c r="NAK113" s="146"/>
      <c r="NAL113" s="146"/>
      <c r="NAM113" s="146"/>
      <c r="NAN113" s="146"/>
      <c r="NAO113" s="146"/>
      <c r="NAP113" s="146"/>
      <c r="NAQ113" s="146"/>
      <c r="NAR113" s="146"/>
      <c r="NAS113" s="146"/>
      <c r="NAT113" s="146"/>
      <c r="NAU113" s="146"/>
      <c r="NAV113" s="146"/>
      <c r="NAW113" s="146"/>
      <c r="NAX113" s="146"/>
      <c r="NAY113" s="146"/>
      <c r="NAZ113" s="146"/>
      <c r="NBA113" s="146"/>
      <c r="NBB113" s="146"/>
      <c r="NBC113" s="146"/>
      <c r="NBD113" s="146"/>
      <c r="NBE113" s="146"/>
      <c r="NBF113" s="146"/>
      <c r="NBG113" s="146"/>
      <c r="NBH113" s="146"/>
      <c r="NBI113" s="146"/>
      <c r="NBJ113" s="146"/>
      <c r="NBK113" s="146"/>
      <c r="NBL113" s="146"/>
      <c r="NBM113" s="146"/>
      <c r="NBN113" s="146"/>
      <c r="NBO113" s="146"/>
      <c r="NBP113" s="146"/>
      <c r="NBQ113" s="146"/>
      <c r="NBR113" s="146"/>
      <c r="NBS113" s="146"/>
      <c r="NBT113" s="146"/>
      <c r="NBU113" s="146"/>
      <c r="NBV113" s="146"/>
      <c r="NBW113" s="146"/>
      <c r="NBX113" s="146"/>
      <c r="NBY113" s="146"/>
      <c r="NBZ113" s="146"/>
      <c r="NCA113" s="146"/>
      <c r="NCB113" s="146"/>
      <c r="NCC113" s="146"/>
      <c r="NCD113" s="146"/>
      <c r="NCE113" s="146"/>
      <c r="NCF113" s="146"/>
      <c r="NCG113" s="146"/>
      <c r="NCH113" s="146"/>
      <c r="NCI113" s="146"/>
      <c r="NCJ113" s="146"/>
      <c r="NCK113" s="146"/>
      <c r="NCL113" s="146"/>
      <c r="NCM113" s="146"/>
      <c r="NCN113" s="146"/>
      <c r="NCO113" s="146"/>
      <c r="NCP113" s="146"/>
      <c r="NCQ113" s="146"/>
      <c r="NCR113" s="146"/>
      <c r="NCS113" s="146"/>
      <c r="NCT113" s="146"/>
      <c r="NCU113" s="146"/>
      <c r="NCV113" s="146"/>
      <c r="NCW113" s="146"/>
      <c r="NCX113" s="146"/>
      <c r="NCY113" s="146"/>
      <c r="NCZ113" s="146"/>
      <c r="NDA113" s="146"/>
      <c r="NDB113" s="146"/>
      <c r="NDC113" s="146"/>
      <c r="NDD113" s="146"/>
      <c r="NDE113" s="146"/>
      <c r="NDF113" s="146"/>
      <c r="NDG113" s="146"/>
      <c r="NDH113" s="146"/>
      <c r="NDI113" s="146"/>
      <c r="NDJ113" s="146"/>
      <c r="NDK113" s="146"/>
      <c r="NDL113" s="146"/>
      <c r="NDM113" s="146"/>
      <c r="NDN113" s="146"/>
      <c r="NDO113" s="146"/>
      <c r="NDP113" s="146"/>
      <c r="NDQ113" s="146"/>
      <c r="NDR113" s="146"/>
      <c r="NDS113" s="146"/>
      <c r="NDT113" s="146"/>
      <c r="NDU113" s="146"/>
      <c r="NDV113" s="146"/>
      <c r="NDW113" s="146"/>
      <c r="NDX113" s="146"/>
      <c r="NDY113" s="146"/>
      <c r="NDZ113" s="146"/>
      <c r="NEA113" s="146"/>
      <c r="NEB113" s="146"/>
      <c r="NEC113" s="146"/>
      <c r="NED113" s="146"/>
      <c r="NEE113" s="146"/>
      <c r="NEF113" s="146"/>
      <c r="NEG113" s="146"/>
      <c r="NEH113" s="146"/>
      <c r="NEI113" s="146"/>
      <c r="NEJ113" s="146"/>
      <c r="NEK113" s="146"/>
      <c r="NEL113" s="146"/>
      <c r="NEM113" s="146"/>
      <c r="NEN113" s="146"/>
      <c r="NEO113" s="146"/>
      <c r="NEP113" s="146"/>
      <c r="NEQ113" s="146"/>
      <c r="NER113" s="146"/>
      <c r="NES113" s="146"/>
      <c r="NET113" s="146"/>
      <c r="NEU113" s="146"/>
      <c r="NEV113" s="146"/>
      <c r="NEW113" s="146"/>
      <c r="NEX113" s="146"/>
      <c r="NEY113" s="146"/>
      <c r="NEZ113" s="146"/>
      <c r="NFA113" s="146"/>
      <c r="NFB113" s="146"/>
      <c r="NFC113" s="146"/>
      <c r="NFD113" s="146"/>
      <c r="NFE113" s="146"/>
      <c r="NFF113" s="146"/>
      <c r="NFG113" s="146"/>
      <c r="NFH113" s="146"/>
      <c r="NFI113" s="146"/>
      <c r="NFJ113" s="146"/>
      <c r="NFK113" s="146"/>
      <c r="NFL113" s="146"/>
      <c r="NFM113" s="146"/>
      <c r="NFN113" s="146"/>
      <c r="NFO113" s="146"/>
      <c r="NFP113" s="146"/>
      <c r="NFQ113" s="146"/>
      <c r="NFR113" s="146"/>
      <c r="NFS113" s="146"/>
      <c r="NFT113" s="146"/>
      <c r="NFU113" s="146"/>
      <c r="NFV113" s="146"/>
      <c r="NFW113" s="146"/>
      <c r="NFX113" s="146"/>
      <c r="NFY113" s="146"/>
      <c r="NFZ113" s="146"/>
      <c r="NGA113" s="146"/>
      <c r="NGB113" s="146"/>
      <c r="NGC113" s="146"/>
      <c r="NGD113" s="146"/>
      <c r="NGE113" s="146"/>
      <c r="NGF113" s="146"/>
      <c r="NGG113" s="146"/>
      <c r="NGH113" s="146"/>
      <c r="NGI113" s="146"/>
      <c r="NGJ113" s="146"/>
      <c r="NGK113" s="146"/>
      <c r="NGL113" s="146"/>
      <c r="NGM113" s="146"/>
      <c r="NGN113" s="146"/>
      <c r="NGO113" s="146"/>
      <c r="NGP113" s="146"/>
      <c r="NGQ113" s="146"/>
      <c r="NGR113" s="146"/>
      <c r="NGS113" s="146"/>
      <c r="NGT113" s="146"/>
      <c r="NGU113" s="146"/>
      <c r="NGV113" s="146"/>
      <c r="NGW113" s="146"/>
      <c r="NGX113" s="146"/>
      <c r="NGY113" s="146"/>
      <c r="NGZ113" s="146"/>
      <c r="NHA113" s="146"/>
      <c r="NHB113" s="146"/>
      <c r="NHC113" s="146"/>
      <c r="NHD113" s="146"/>
      <c r="NHE113" s="146"/>
      <c r="NHF113" s="146"/>
      <c r="NHG113" s="146"/>
      <c r="NHH113" s="146"/>
      <c r="NHI113" s="146"/>
      <c r="NHJ113" s="146"/>
      <c r="NHK113" s="146"/>
      <c r="NHL113" s="146"/>
      <c r="NHM113" s="146"/>
      <c r="NHN113" s="146"/>
      <c r="NHO113" s="146"/>
      <c r="NHP113" s="146"/>
      <c r="NHQ113" s="146"/>
      <c r="NHR113" s="146"/>
      <c r="NHS113" s="146"/>
      <c r="NHT113" s="146"/>
      <c r="NHU113" s="146"/>
      <c r="NHV113" s="146"/>
      <c r="NHW113" s="146"/>
      <c r="NHX113" s="146"/>
      <c r="NHY113" s="146"/>
      <c r="NHZ113" s="146"/>
      <c r="NIA113" s="146"/>
      <c r="NIB113" s="146"/>
      <c r="NIC113" s="146"/>
      <c r="NID113" s="146"/>
      <c r="NIE113" s="146"/>
      <c r="NIF113" s="146"/>
      <c r="NIG113" s="146"/>
      <c r="NIH113" s="146"/>
      <c r="NII113" s="146"/>
      <c r="NIJ113" s="146"/>
      <c r="NIK113" s="146"/>
      <c r="NIL113" s="146"/>
      <c r="NIM113" s="146"/>
      <c r="NIN113" s="146"/>
      <c r="NIO113" s="146"/>
      <c r="NIP113" s="146"/>
      <c r="NIQ113" s="146"/>
      <c r="NIR113" s="146"/>
      <c r="NIS113" s="146"/>
      <c r="NIT113" s="146"/>
      <c r="NIU113" s="146"/>
      <c r="NIV113" s="146"/>
      <c r="NIW113" s="146"/>
      <c r="NIX113" s="146"/>
      <c r="NIY113" s="146"/>
      <c r="NIZ113" s="146"/>
      <c r="NJA113" s="146"/>
      <c r="NJB113" s="146"/>
      <c r="NJC113" s="146"/>
      <c r="NJD113" s="146"/>
      <c r="NJE113" s="146"/>
      <c r="NJF113" s="146"/>
      <c r="NJG113" s="146"/>
      <c r="NJH113" s="146"/>
      <c r="NJI113" s="146"/>
      <c r="NJJ113" s="146"/>
      <c r="NJK113" s="146"/>
      <c r="NJL113" s="146"/>
      <c r="NJM113" s="146"/>
      <c r="NJN113" s="146"/>
      <c r="NJO113" s="146"/>
      <c r="NJP113" s="146"/>
      <c r="NJQ113" s="146"/>
      <c r="NJR113" s="146"/>
      <c r="NJS113" s="146"/>
      <c r="NJT113" s="146"/>
      <c r="NJU113" s="146"/>
      <c r="NJV113" s="146"/>
      <c r="NJW113" s="146"/>
      <c r="NJX113" s="146"/>
      <c r="NJY113" s="146"/>
      <c r="NJZ113" s="146"/>
      <c r="NKA113" s="146"/>
      <c r="NKB113" s="146"/>
      <c r="NKC113" s="146"/>
      <c r="NKD113" s="146"/>
      <c r="NKE113" s="146"/>
      <c r="NKF113" s="146"/>
      <c r="NKG113" s="146"/>
      <c r="NKH113" s="146"/>
      <c r="NKI113" s="146"/>
      <c r="NKJ113" s="146"/>
      <c r="NKK113" s="146"/>
      <c r="NKL113" s="146"/>
      <c r="NKM113" s="146"/>
      <c r="NKN113" s="146"/>
      <c r="NKO113" s="146"/>
      <c r="NKP113" s="146"/>
      <c r="NKQ113" s="146"/>
      <c r="NKR113" s="146"/>
      <c r="NKS113" s="146"/>
      <c r="NKT113" s="146"/>
      <c r="NKU113" s="146"/>
      <c r="NKV113" s="146"/>
      <c r="NKW113" s="146"/>
      <c r="NKX113" s="146"/>
      <c r="NKY113" s="146"/>
      <c r="NKZ113" s="146"/>
      <c r="NLA113" s="146"/>
      <c r="NLB113" s="146"/>
      <c r="NLC113" s="146"/>
      <c r="NLD113" s="146"/>
      <c r="NLE113" s="146"/>
      <c r="NLF113" s="146"/>
      <c r="NLG113" s="146"/>
      <c r="NLH113" s="146"/>
      <c r="NLI113" s="146"/>
      <c r="NLJ113" s="146"/>
      <c r="NLK113" s="146"/>
      <c r="NLL113" s="146"/>
      <c r="NLM113" s="146"/>
      <c r="NLN113" s="146"/>
      <c r="NLO113" s="146"/>
      <c r="NLP113" s="146"/>
      <c r="NLQ113" s="146"/>
      <c r="NLR113" s="146"/>
      <c r="NLS113" s="146"/>
      <c r="NLT113" s="146"/>
      <c r="NLU113" s="146"/>
      <c r="NLV113" s="146"/>
      <c r="NLW113" s="146"/>
      <c r="NLX113" s="146"/>
      <c r="NLY113" s="146"/>
      <c r="NLZ113" s="146"/>
      <c r="NMA113" s="146"/>
      <c r="NMB113" s="146"/>
      <c r="NMC113" s="146"/>
      <c r="NMD113" s="146"/>
      <c r="NME113" s="146"/>
      <c r="NMF113" s="146"/>
      <c r="NMG113" s="146"/>
      <c r="NMH113" s="146"/>
      <c r="NMI113" s="146"/>
      <c r="NMJ113" s="146"/>
      <c r="NMK113" s="146"/>
      <c r="NML113" s="146"/>
      <c r="NMM113" s="146"/>
      <c r="NMN113" s="146"/>
      <c r="NMO113" s="146"/>
      <c r="NMP113" s="146"/>
      <c r="NMQ113" s="146"/>
      <c r="NMR113" s="146"/>
      <c r="NMS113" s="146"/>
      <c r="NMT113" s="146"/>
      <c r="NMU113" s="146"/>
      <c r="NMV113" s="146"/>
      <c r="NMW113" s="146"/>
      <c r="NMX113" s="146"/>
      <c r="NMY113" s="146"/>
      <c r="NMZ113" s="146"/>
      <c r="NNA113" s="146"/>
      <c r="NNB113" s="146"/>
      <c r="NNC113" s="146"/>
      <c r="NND113" s="146"/>
      <c r="NNE113" s="146"/>
      <c r="NNF113" s="146"/>
      <c r="NNG113" s="146"/>
      <c r="NNH113" s="146"/>
      <c r="NNI113" s="146"/>
      <c r="NNJ113" s="146"/>
      <c r="NNK113" s="146"/>
      <c r="NNL113" s="146"/>
      <c r="NNM113" s="146"/>
      <c r="NNN113" s="146"/>
      <c r="NNO113" s="146"/>
      <c r="NNP113" s="146"/>
      <c r="NNQ113" s="146"/>
      <c r="NNR113" s="146"/>
      <c r="NNS113" s="146"/>
      <c r="NNT113" s="146"/>
      <c r="NNU113" s="146"/>
      <c r="NNV113" s="146"/>
      <c r="NNW113" s="146"/>
      <c r="NNX113" s="146"/>
      <c r="NNY113" s="146"/>
      <c r="NNZ113" s="146"/>
      <c r="NOA113" s="146"/>
      <c r="NOB113" s="146"/>
      <c r="NOC113" s="146"/>
      <c r="NOD113" s="146"/>
      <c r="NOE113" s="146"/>
      <c r="NOF113" s="146"/>
      <c r="NOG113" s="146"/>
      <c r="NOH113" s="146"/>
      <c r="NOI113" s="146"/>
      <c r="NOJ113" s="146"/>
      <c r="NOK113" s="146"/>
      <c r="NOL113" s="146"/>
      <c r="NOM113" s="146"/>
      <c r="NON113" s="146"/>
      <c r="NOO113" s="146"/>
      <c r="NOP113" s="146"/>
      <c r="NOQ113" s="146"/>
      <c r="NOR113" s="146"/>
      <c r="NOS113" s="146"/>
      <c r="NOT113" s="146"/>
      <c r="NOU113" s="146"/>
      <c r="NOV113" s="146"/>
      <c r="NOW113" s="146"/>
      <c r="NOX113" s="146"/>
      <c r="NOY113" s="146"/>
      <c r="NOZ113" s="146"/>
      <c r="NPA113" s="146"/>
      <c r="NPB113" s="146"/>
      <c r="NPC113" s="146"/>
      <c r="NPD113" s="146"/>
      <c r="NPE113" s="146"/>
      <c r="NPF113" s="146"/>
      <c r="NPG113" s="146"/>
      <c r="NPH113" s="146"/>
      <c r="NPI113" s="146"/>
      <c r="NPJ113" s="146"/>
      <c r="NPK113" s="146"/>
      <c r="NPL113" s="146"/>
      <c r="NPM113" s="146"/>
      <c r="NPN113" s="146"/>
      <c r="NPO113" s="146"/>
      <c r="NPP113" s="146"/>
      <c r="NPQ113" s="146"/>
      <c r="NPR113" s="146"/>
      <c r="NPS113" s="146"/>
      <c r="NPT113" s="146"/>
      <c r="NPU113" s="146"/>
      <c r="NPV113" s="146"/>
      <c r="NPW113" s="146"/>
      <c r="NPX113" s="146"/>
      <c r="NPY113" s="146"/>
      <c r="NPZ113" s="146"/>
      <c r="NQA113" s="146"/>
      <c r="NQB113" s="146"/>
      <c r="NQC113" s="146"/>
      <c r="NQD113" s="146"/>
      <c r="NQE113" s="146"/>
      <c r="NQF113" s="146"/>
      <c r="NQG113" s="146"/>
      <c r="NQH113" s="146"/>
      <c r="NQI113" s="146"/>
      <c r="NQJ113" s="146"/>
      <c r="NQK113" s="146"/>
      <c r="NQL113" s="146"/>
      <c r="NQM113" s="146"/>
      <c r="NQN113" s="146"/>
      <c r="NQO113" s="146"/>
      <c r="NQP113" s="146"/>
      <c r="NQQ113" s="146"/>
      <c r="NQR113" s="146"/>
      <c r="NQS113" s="146"/>
      <c r="NQT113" s="146"/>
      <c r="NQU113" s="146"/>
      <c r="NQV113" s="146"/>
      <c r="NQW113" s="146"/>
      <c r="NQX113" s="146"/>
      <c r="NQY113" s="146"/>
      <c r="NQZ113" s="146"/>
      <c r="NRA113" s="146"/>
      <c r="NRB113" s="146"/>
      <c r="NRC113" s="146"/>
      <c r="NRD113" s="146"/>
      <c r="NRE113" s="146"/>
      <c r="NRF113" s="146"/>
      <c r="NRG113" s="146"/>
      <c r="NRH113" s="146"/>
      <c r="NRI113" s="146"/>
      <c r="NRJ113" s="146"/>
      <c r="NRK113" s="146"/>
      <c r="NRL113" s="146"/>
      <c r="NRM113" s="146"/>
      <c r="NRN113" s="146"/>
      <c r="NRO113" s="146"/>
      <c r="NRP113" s="146"/>
      <c r="NRQ113" s="146"/>
      <c r="NRR113" s="146"/>
      <c r="NRS113" s="146"/>
      <c r="NRT113" s="146"/>
      <c r="NRU113" s="146"/>
      <c r="NRV113" s="146"/>
      <c r="NRW113" s="146"/>
      <c r="NRX113" s="146"/>
      <c r="NRY113" s="146"/>
      <c r="NRZ113" s="146"/>
      <c r="NSA113" s="146"/>
      <c r="NSB113" s="146"/>
      <c r="NSC113" s="146"/>
      <c r="NSD113" s="146"/>
      <c r="NSE113" s="146"/>
      <c r="NSF113" s="146"/>
      <c r="NSG113" s="146"/>
      <c r="NSH113" s="146"/>
      <c r="NSI113" s="146"/>
      <c r="NSJ113" s="146"/>
      <c r="NSK113" s="146"/>
      <c r="NSL113" s="146"/>
      <c r="NSM113" s="146"/>
      <c r="NSN113" s="146"/>
      <c r="NSO113" s="146"/>
      <c r="NSP113" s="146"/>
      <c r="NSQ113" s="146"/>
      <c r="NSR113" s="146"/>
      <c r="NSS113" s="146"/>
      <c r="NST113" s="146"/>
      <c r="NSU113" s="146"/>
      <c r="NSV113" s="146"/>
      <c r="NSW113" s="146"/>
      <c r="NSX113" s="146"/>
      <c r="NSY113" s="146"/>
      <c r="NSZ113" s="146"/>
      <c r="NTA113" s="146"/>
      <c r="NTB113" s="146"/>
      <c r="NTC113" s="146"/>
      <c r="NTD113" s="146"/>
      <c r="NTE113" s="146"/>
      <c r="NTF113" s="146"/>
      <c r="NTG113" s="146"/>
      <c r="NTH113" s="146"/>
      <c r="NTI113" s="146"/>
      <c r="NTJ113" s="146"/>
      <c r="NTK113" s="146"/>
      <c r="NTL113" s="146"/>
      <c r="NTM113" s="146"/>
      <c r="NTN113" s="146"/>
      <c r="NTO113" s="146"/>
      <c r="NTP113" s="146"/>
      <c r="NTQ113" s="146"/>
      <c r="NTR113" s="146"/>
      <c r="NTS113" s="146"/>
      <c r="NTT113" s="146"/>
      <c r="NTU113" s="146"/>
      <c r="NTV113" s="146"/>
      <c r="NTW113" s="146"/>
      <c r="NTX113" s="146"/>
      <c r="NTY113" s="146"/>
      <c r="NTZ113" s="146"/>
      <c r="NUA113" s="146"/>
      <c r="NUB113" s="146"/>
      <c r="NUC113" s="146"/>
      <c r="NUD113" s="146"/>
      <c r="NUE113" s="146"/>
      <c r="NUF113" s="146"/>
      <c r="NUG113" s="146"/>
      <c r="NUH113" s="146"/>
      <c r="NUI113" s="146"/>
      <c r="NUJ113" s="146"/>
      <c r="NUK113" s="146"/>
      <c r="NUL113" s="146"/>
      <c r="NUM113" s="146"/>
      <c r="NUN113" s="146"/>
      <c r="NUO113" s="146"/>
      <c r="NUP113" s="146"/>
      <c r="NUQ113" s="146"/>
      <c r="NUR113" s="146"/>
      <c r="NUS113" s="146"/>
      <c r="NUT113" s="146"/>
      <c r="NUU113" s="146"/>
      <c r="NUV113" s="146"/>
      <c r="NUW113" s="146"/>
      <c r="NUX113" s="146"/>
      <c r="NUY113" s="146"/>
      <c r="NUZ113" s="146"/>
      <c r="NVA113" s="146"/>
      <c r="NVB113" s="146"/>
      <c r="NVC113" s="146"/>
      <c r="NVD113" s="146"/>
      <c r="NVE113" s="146"/>
      <c r="NVF113" s="146"/>
      <c r="NVG113" s="146"/>
      <c r="NVH113" s="146"/>
      <c r="NVI113" s="146"/>
      <c r="NVJ113" s="146"/>
      <c r="NVK113" s="146"/>
      <c r="NVL113" s="146"/>
      <c r="NVM113" s="146"/>
      <c r="NVN113" s="146"/>
      <c r="NVO113" s="146"/>
      <c r="NVP113" s="146"/>
      <c r="NVQ113" s="146"/>
      <c r="NVR113" s="146"/>
      <c r="NVS113" s="146"/>
      <c r="NVT113" s="146"/>
      <c r="NVU113" s="146"/>
      <c r="NVV113" s="146"/>
      <c r="NVW113" s="146"/>
      <c r="NVX113" s="146"/>
      <c r="NVY113" s="146"/>
      <c r="NVZ113" s="146"/>
      <c r="NWA113" s="146"/>
      <c r="NWB113" s="146"/>
      <c r="NWC113" s="146"/>
      <c r="NWD113" s="146"/>
      <c r="NWE113" s="146"/>
      <c r="NWF113" s="146"/>
      <c r="NWG113" s="146"/>
      <c r="NWH113" s="146"/>
      <c r="NWI113" s="146"/>
      <c r="NWJ113" s="146"/>
      <c r="NWK113" s="146"/>
      <c r="NWL113" s="146"/>
      <c r="NWM113" s="146"/>
      <c r="NWN113" s="146"/>
      <c r="NWO113" s="146"/>
      <c r="NWP113" s="146"/>
      <c r="NWQ113" s="146"/>
      <c r="NWR113" s="146"/>
      <c r="NWS113" s="146"/>
      <c r="NWT113" s="146"/>
      <c r="NWU113" s="146"/>
      <c r="NWV113" s="146"/>
      <c r="NWW113" s="146"/>
      <c r="NWX113" s="146"/>
      <c r="NWY113" s="146"/>
      <c r="NWZ113" s="146"/>
      <c r="NXA113" s="146"/>
      <c r="NXB113" s="146"/>
      <c r="NXC113" s="146"/>
      <c r="NXD113" s="146"/>
      <c r="NXE113" s="146"/>
      <c r="NXF113" s="146"/>
      <c r="NXG113" s="146"/>
      <c r="NXH113" s="146"/>
      <c r="NXI113" s="146"/>
      <c r="NXJ113" s="146"/>
      <c r="NXK113" s="146"/>
      <c r="NXL113" s="146"/>
      <c r="NXM113" s="146"/>
      <c r="NXN113" s="146"/>
      <c r="NXO113" s="146"/>
      <c r="NXP113" s="146"/>
      <c r="NXQ113" s="146"/>
      <c r="NXR113" s="146"/>
      <c r="NXS113" s="146"/>
      <c r="NXT113" s="146"/>
      <c r="NXU113" s="146"/>
      <c r="NXV113" s="146"/>
      <c r="NXW113" s="146"/>
      <c r="NXX113" s="146"/>
      <c r="NXY113" s="146"/>
      <c r="NXZ113" s="146"/>
      <c r="NYA113" s="146"/>
      <c r="NYB113" s="146"/>
      <c r="NYC113" s="146"/>
      <c r="NYD113" s="146"/>
      <c r="NYE113" s="146"/>
      <c r="NYF113" s="146"/>
      <c r="NYG113" s="146"/>
      <c r="NYH113" s="146"/>
      <c r="NYI113" s="146"/>
      <c r="NYJ113" s="146"/>
      <c r="NYK113" s="146"/>
      <c r="NYL113" s="146"/>
      <c r="NYM113" s="146"/>
      <c r="NYN113" s="146"/>
      <c r="NYO113" s="146"/>
      <c r="NYP113" s="146"/>
      <c r="NYQ113" s="146"/>
      <c r="NYR113" s="146"/>
      <c r="NYS113" s="146"/>
      <c r="NYT113" s="146"/>
      <c r="NYU113" s="146"/>
      <c r="NYV113" s="146"/>
      <c r="NYW113" s="146"/>
      <c r="NYX113" s="146"/>
      <c r="NYY113" s="146"/>
      <c r="NYZ113" s="146"/>
      <c r="NZA113" s="146"/>
      <c r="NZB113" s="146"/>
      <c r="NZC113" s="146"/>
      <c r="NZD113" s="146"/>
      <c r="NZE113" s="146"/>
      <c r="NZF113" s="146"/>
      <c r="NZG113" s="146"/>
      <c r="NZH113" s="146"/>
      <c r="NZI113" s="146"/>
      <c r="NZJ113" s="146"/>
      <c r="NZK113" s="146"/>
      <c r="NZL113" s="146"/>
      <c r="NZM113" s="146"/>
      <c r="NZN113" s="146"/>
      <c r="NZO113" s="146"/>
      <c r="NZP113" s="146"/>
      <c r="NZQ113" s="146"/>
      <c r="NZR113" s="146"/>
      <c r="NZS113" s="146"/>
      <c r="NZT113" s="146"/>
      <c r="NZU113" s="146"/>
      <c r="NZV113" s="146"/>
      <c r="NZW113" s="146"/>
      <c r="NZX113" s="146"/>
      <c r="NZY113" s="146"/>
      <c r="NZZ113" s="146"/>
      <c r="OAA113" s="146"/>
      <c r="OAB113" s="146"/>
      <c r="OAC113" s="146"/>
      <c r="OAD113" s="146"/>
      <c r="OAE113" s="146"/>
      <c r="OAF113" s="146"/>
      <c r="OAG113" s="146"/>
      <c r="OAH113" s="146"/>
      <c r="OAI113" s="146"/>
      <c r="OAJ113" s="146"/>
      <c r="OAK113" s="146"/>
      <c r="OAL113" s="146"/>
      <c r="OAM113" s="146"/>
      <c r="OAN113" s="146"/>
      <c r="OAO113" s="146"/>
      <c r="OAP113" s="146"/>
      <c r="OAQ113" s="146"/>
      <c r="OAR113" s="146"/>
      <c r="OAS113" s="146"/>
      <c r="OAT113" s="146"/>
      <c r="OAU113" s="146"/>
      <c r="OAV113" s="146"/>
      <c r="OAW113" s="146"/>
      <c r="OAX113" s="146"/>
      <c r="OAY113" s="146"/>
      <c r="OAZ113" s="146"/>
      <c r="OBA113" s="146"/>
      <c r="OBB113" s="146"/>
      <c r="OBC113" s="146"/>
      <c r="OBD113" s="146"/>
      <c r="OBE113" s="146"/>
      <c r="OBF113" s="146"/>
      <c r="OBG113" s="146"/>
      <c r="OBH113" s="146"/>
      <c r="OBI113" s="146"/>
      <c r="OBJ113" s="146"/>
      <c r="OBK113" s="146"/>
      <c r="OBL113" s="146"/>
      <c r="OBM113" s="146"/>
      <c r="OBN113" s="146"/>
      <c r="OBO113" s="146"/>
      <c r="OBP113" s="146"/>
      <c r="OBQ113" s="146"/>
      <c r="OBR113" s="146"/>
      <c r="OBS113" s="146"/>
      <c r="OBT113" s="146"/>
      <c r="OBU113" s="146"/>
      <c r="OBV113" s="146"/>
      <c r="OBW113" s="146"/>
      <c r="OBX113" s="146"/>
      <c r="OBY113" s="146"/>
      <c r="OBZ113" s="146"/>
      <c r="OCA113" s="146"/>
      <c r="OCB113" s="146"/>
      <c r="OCC113" s="146"/>
      <c r="OCD113" s="146"/>
      <c r="OCE113" s="146"/>
      <c r="OCF113" s="146"/>
      <c r="OCG113" s="146"/>
      <c r="OCH113" s="146"/>
      <c r="OCI113" s="146"/>
      <c r="OCJ113" s="146"/>
      <c r="OCK113" s="146"/>
      <c r="OCL113" s="146"/>
      <c r="OCM113" s="146"/>
      <c r="OCN113" s="146"/>
      <c r="OCO113" s="146"/>
      <c r="OCP113" s="146"/>
      <c r="OCQ113" s="146"/>
      <c r="OCR113" s="146"/>
      <c r="OCS113" s="146"/>
      <c r="OCT113" s="146"/>
      <c r="OCU113" s="146"/>
      <c r="OCV113" s="146"/>
      <c r="OCW113" s="146"/>
      <c r="OCX113" s="146"/>
      <c r="OCY113" s="146"/>
      <c r="OCZ113" s="146"/>
      <c r="ODA113" s="146"/>
      <c r="ODB113" s="146"/>
      <c r="ODC113" s="146"/>
      <c r="ODD113" s="146"/>
      <c r="ODE113" s="146"/>
      <c r="ODF113" s="146"/>
      <c r="ODG113" s="146"/>
      <c r="ODH113" s="146"/>
      <c r="ODI113" s="146"/>
      <c r="ODJ113" s="146"/>
      <c r="ODK113" s="146"/>
      <c r="ODL113" s="146"/>
      <c r="ODM113" s="146"/>
      <c r="ODN113" s="146"/>
      <c r="ODO113" s="146"/>
      <c r="ODP113" s="146"/>
      <c r="ODQ113" s="146"/>
      <c r="ODR113" s="146"/>
      <c r="ODS113" s="146"/>
      <c r="ODT113" s="146"/>
      <c r="ODU113" s="146"/>
      <c r="ODV113" s="146"/>
      <c r="ODW113" s="146"/>
      <c r="ODX113" s="146"/>
      <c r="ODY113" s="146"/>
      <c r="ODZ113" s="146"/>
      <c r="OEA113" s="146"/>
      <c r="OEB113" s="146"/>
      <c r="OEC113" s="146"/>
      <c r="OED113" s="146"/>
      <c r="OEE113" s="146"/>
      <c r="OEF113" s="146"/>
      <c r="OEG113" s="146"/>
      <c r="OEH113" s="146"/>
      <c r="OEI113" s="146"/>
      <c r="OEJ113" s="146"/>
      <c r="OEK113" s="146"/>
      <c r="OEL113" s="146"/>
      <c r="OEM113" s="146"/>
      <c r="OEN113" s="146"/>
      <c r="OEO113" s="146"/>
      <c r="OEP113" s="146"/>
      <c r="OEQ113" s="146"/>
      <c r="OER113" s="146"/>
      <c r="OES113" s="146"/>
      <c r="OET113" s="146"/>
      <c r="OEU113" s="146"/>
      <c r="OEV113" s="146"/>
      <c r="OEW113" s="146"/>
      <c r="OEX113" s="146"/>
      <c r="OEY113" s="146"/>
      <c r="OEZ113" s="146"/>
      <c r="OFA113" s="146"/>
      <c r="OFB113" s="146"/>
      <c r="OFC113" s="146"/>
      <c r="OFD113" s="146"/>
      <c r="OFE113" s="146"/>
      <c r="OFF113" s="146"/>
      <c r="OFG113" s="146"/>
      <c r="OFH113" s="146"/>
      <c r="OFI113" s="146"/>
      <c r="OFJ113" s="146"/>
      <c r="OFK113" s="146"/>
      <c r="OFL113" s="146"/>
      <c r="OFM113" s="146"/>
      <c r="OFN113" s="146"/>
      <c r="OFO113" s="146"/>
      <c r="OFP113" s="146"/>
      <c r="OFQ113" s="146"/>
      <c r="OFR113" s="146"/>
      <c r="OFS113" s="146"/>
      <c r="OFT113" s="146"/>
      <c r="OFU113" s="146"/>
      <c r="OFV113" s="146"/>
      <c r="OFW113" s="146"/>
      <c r="OFX113" s="146"/>
      <c r="OFY113" s="146"/>
      <c r="OFZ113" s="146"/>
      <c r="OGA113" s="146"/>
      <c r="OGB113" s="146"/>
      <c r="OGC113" s="146"/>
      <c r="OGD113" s="146"/>
      <c r="OGE113" s="146"/>
      <c r="OGF113" s="146"/>
      <c r="OGG113" s="146"/>
      <c r="OGH113" s="146"/>
      <c r="OGI113" s="146"/>
      <c r="OGJ113" s="146"/>
      <c r="OGK113" s="146"/>
      <c r="OGL113" s="146"/>
      <c r="OGM113" s="146"/>
      <c r="OGN113" s="146"/>
      <c r="OGO113" s="146"/>
      <c r="OGP113" s="146"/>
      <c r="OGQ113" s="146"/>
      <c r="OGR113" s="146"/>
      <c r="OGS113" s="146"/>
      <c r="OGT113" s="146"/>
      <c r="OGU113" s="146"/>
      <c r="OGV113" s="146"/>
      <c r="OGW113" s="146"/>
      <c r="OGX113" s="146"/>
      <c r="OGY113" s="146"/>
      <c r="OGZ113" s="146"/>
      <c r="OHA113" s="146"/>
      <c r="OHB113" s="146"/>
      <c r="OHC113" s="146"/>
      <c r="OHD113" s="146"/>
      <c r="OHE113" s="146"/>
      <c r="OHF113" s="146"/>
      <c r="OHG113" s="146"/>
      <c r="OHH113" s="146"/>
      <c r="OHI113" s="146"/>
      <c r="OHJ113" s="146"/>
      <c r="OHK113" s="146"/>
      <c r="OHL113" s="146"/>
      <c r="OHM113" s="146"/>
      <c r="OHN113" s="146"/>
      <c r="OHO113" s="146"/>
      <c r="OHP113" s="146"/>
      <c r="OHQ113" s="146"/>
      <c r="OHR113" s="146"/>
      <c r="OHS113" s="146"/>
      <c r="OHT113" s="146"/>
      <c r="OHU113" s="146"/>
      <c r="OHV113" s="146"/>
      <c r="OHW113" s="146"/>
      <c r="OHX113" s="146"/>
      <c r="OHY113" s="146"/>
      <c r="OHZ113" s="146"/>
      <c r="OIA113" s="146"/>
      <c r="OIB113" s="146"/>
      <c r="OIC113" s="146"/>
      <c r="OID113" s="146"/>
      <c r="OIE113" s="146"/>
      <c r="OIF113" s="146"/>
      <c r="OIG113" s="146"/>
      <c r="OIH113" s="146"/>
      <c r="OII113" s="146"/>
      <c r="OIJ113" s="146"/>
      <c r="OIK113" s="146"/>
      <c r="OIL113" s="146"/>
      <c r="OIM113" s="146"/>
      <c r="OIN113" s="146"/>
      <c r="OIO113" s="146"/>
      <c r="OIP113" s="146"/>
      <c r="OIQ113" s="146"/>
      <c r="OIR113" s="146"/>
      <c r="OIS113" s="146"/>
      <c r="OIT113" s="146"/>
      <c r="OIU113" s="146"/>
      <c r="OIV113" s="146"/>
      <c r="OIW113" s="146"/>
      <c r="OIX113" s="146"/>
      <c r="OIY113" s="146"/>
      <c r="OIZ113" s="146"/>
      <c r="OJA113" s="146"/>
      <c r="OJB113" s="146"/>
      <c r="OJC113" s="146"/>
      <c r="OJD113" s="146"/>
      <c r="OJE113" s="146"/>
      <c r="OJF113" s="146"/>
      <c r="OJG113" s="146"/>
      <c r="OJH113" s="146"/>
      <c r="OJI113" s="146"/>
      <c r="OJJ113" s="146"/>
      <c r="OJK113" s="146"/>
      <c r="OJL113" s="146"/>
      <c r="OJM113" s="146"/>
      <c r="OJN113" s="146"/>
      <c r="OJO113" s="146"/>
      <c r="OJP113" s="146"/>
      <c r="OJQ113" s="146"/>
      <c r="OJR113" s="146"/>
      <c r="OJS113" s="146"/>
      <c r="OJT113" s="146"/>
      <c r="OJU113" s="146"/>
      <c r="OJV113" s="146"/>
      <c r="OJW113" s="146"/>
      <c r="OJX113" s="146"/>
      <c r="OJY113" s="146"/>
      <c r="OJZ113" s="146"/>
      <c r="OKA113" s="146"/>
      <c r="OKB113" s="146"/>
      <c r="OKC113" s="146"/>
      <c r="OKD113" s="146"/>
      <c r="OKE113" s="146"/>
      <c r="OKF113" s="146"/>
      <c r="OKG113" s="146"/>
      <c r="OKH113" s="146"/>
      <c r="OKI113" s="146"/>
      <c r="OKJ113" s="146"/>
      <c r="OKK113" s="146"/>
      <c r="OKL113" s="146"/>
      <c r="OKM113" s="146"/>
      <c r="OKN113" s="146"/>
      <c r="OKO113" s="146"/>
      <c r="OKP113" s="146"/>
      <c r="OKQ113" s="146"/>
      <c r="OKR113" s="146"/>
      <c r="OKS113" s="146"/>
      <c r="OKT113" s="146"/>
      <c r="OKU113" s="146"/>
      <c r="OKV113" s="146"/>
      <c r="OKW113" s="146"/>
      <c r="OKX113" s="146"/>
      <c r="OKY113" s="146"/>
      <c r="OKZ113" s="146"/>
      <c r="OLA113" s="146"/>
      <c r="OLB113" s="146"/>
      <c r="OLC113" s="146"/>
      <c r="OLD113" s="146"/>
      <c r="OLE113" s="146"/>
      <c r="OLF113" s="146"/>
      <c r="OLG113" s="146"/>
      <c r="OLH113" s="146"/>
      <c r="OLI113" s="146"/>
      <c r="OLJ113" s="146"/>
      <c r="OLK113" s="146"/>
      <c r="OLL113" s="146"/>
      <c r="OLM113" s="146"/>
      <c r="OLN113" s="146"/>
      <c r="OLO113" s="146"/>
      <c r="OLP113" s="146"/>
      <c r="OLQ113" s="146"/>
      <c r="OLR113" s="146"/>
      <c r="OLS113" s="146"/>
      <c r="OLT113" s="146"/>
      <c r="OLU113" s="146"/>
      <c r="OLV113" s="146"/>
      <c r="OLW113" s="146"/>
      <c r="OLX113" s="146"/>
      <c r="OLY113" s="146"/>
      <c r="OLZ113" s="146"/>
      <c r="OMA113" s="146"/>
      <c r="OMB113" s="146"/>
      <c r="OMC113" s="146"/>
      <c r="OMD113" s="146"/>
      <c r="OME113" s="146"/>
      <c r="OMF113" s="146"/>
      <c r="OMG113" s="146"/>
      <c r="OMH113" s="146"/>
      <c r="OMI113" s="146"/>
      <c r="OMJ113" s="146"/>
      <c r="OMK113" s="146"/>
      <c r="OML113" s="146"/>
      <c r="OMM113" s="146"/>
      <c r="OMN113" s="146"/>
      <c r="OMO113" s="146"/>
      <c r="OMP113" s="146"/>
      <c r="OMQ113" s="146"/>
      <c r="OMR113" s="146"/>
      <c r="OMS113" s="146"/>
      <c r="OMT113" s="146"/>
      <c r="OMU113" s="146"/>
      <c r="OMV113" s="146"/>
      <c r="OMW113" s="146"/>
      <c r="OMX113" s="146"/>
      <c r="OMY113" s="146"/>
      <c r="OMZ113" s="146"/>
      <c r="ONA113" s="146"/>
      <c r="ONB113" s="146"/>
      <c r="ONC113" s="146"/>
      <c r="OND113" s="146"/>
      <c r="ONE113" s="146"/>
      <c r="ONF113" s="146"/>
      <c r="ONG113" s="146"/>
      <c r="ONH113" s="146"/>
      <c r="ONI113" s="146"/>
      <c r="ONJ113" s="146"/>
      <c r="ONK113" s="146"/>
      <c r="ONL113" s="146"/>
      <c r="ONM113" s="146"/>
      <c r="ONN113" s="146"/>
      <c r="ONO113" s="146"/>
      <c r="ONP113" s="146"/>
      <c r="ONQ113" s="146"/>
      <c r="ONR113" s="146"/>
      <c r="ONS113" s="146"/>
      <c r="ONT113" s="146"/>
      <c r="ONU113" s="146"/>
      <c r="ONV113" s="146"/>
      <c r="ONW113" s="146"/>
      <c r="ONX113" s="146"/>
      <c r="ONY113" s="146"/>
      <c r="ONZ113" s="146"/>
      <c r="OOA113" s="146"/>
      <c r="OOB113" s="146"/>
      <c r="OOC113" s="146"/>
      <c r="OOD113" s="146"/>
      <c r="OOE113" s="146"/>
      <c r="OOF113" s="146"/>
      <c r="OOG113" s="146"/>
      <c r="OOH113" s="146"/>
      <c r="OOI113" s="146"/>
      <c r="OOJ113" s="146"/>
      <c r="OOK113" s="146"/>
      <c r="OOL113" s="146"/>
      <c r="OOM113" s="146"/>
      <c r="OON113" s="146"/>
      <c r="OOO113" s="146"/>
      <c r="OOP113" s="146"/>
      <c r="OOQ113" s="146"/>
      <c r="OOR113" s="146"/>
      <c r="OOS113" s="146"/>
      <c r="OOT113" s="146"/>
      <c r="OOU113" s="146"/>
      <c r="OOV113" s="146"/>
      <c r="OOW113" s="146"/>
      <c r="OOX113" s="146"/>
      <c r="OOY113" s="146"/>
      <c r="OOZ113" s="146"/>
      <c r="OPA113" s="146"/>
      <c r="OPB113" s="146"/>
      <c r="OPC113" s="146"/>
      <c r="OPD113" s="146"/>
      <c r="OPE113" s="146"/>
      <c r="OPF113" s="146"/>
      <c r="OPG113" s="146"/>
      <c r="OPH113" s="146"/>
      <c r="OPI113" s="146"/>
      <c r="OPJ113" s="146"/>
      <c r="OPK113" s="146"/>
      <c r="OPL113" s="146"/>
      <c r="OPM113" s="146"/>
      <c r="OPN113" s="146"/>
      <c r="OPO113" s="146"/>
      <c r="OPP113" s="146"/>
      <c r="OPQ113" s="146"/>
      <c r="OPR113" s="146"/>
      <c r="OPS113" s="146"/>
      <c r="OPT113" s="146"/>
      <c r="OPU113" s="146"/>
      <c r="OPV113" s="146"/>
      <c r="OPW113" s="146"/>
      <c r="OPX113" s="146"/>
      <c r="OPY113" s="146"/>
      <c r="OPZ113" s="146"/>
      <c r="OQA113" s="146"/>
      <c r="OQB113" s="146"/>
      <c r="OQC113" s="146"/>
      <c r="OQD113" s="146"/>
      <c r="OQE113" s="146"/>
      <c r="OQF113" s="146"/>
      <c r="OQG113" s="146"/>
      <c r="OQH113" s="146"/>
      <c r="OQI113" s="146"/>
      <c r="OQJ113" s="146"/>
      <c r="OQK113" s="146"/>
      <c r="OQL113" s="146"/>
      <c r="OQM113" s="146"/>
      <c r="OQN113" s="146"/>
      <c r="OQO113" s="146"/>
      <c r="OQP113" s="146"/>
      <c r="OQQ113" s="146"/>
      <c r="OQR113" s="146"/>
      <c r="OQS113" s="146"/>
      <c r="OQT113" s="146"/>
      <c r="OQU113" s="146"/>
      <c r="OQV113" s="146"/>
      <c r="OQW113" s="146"/>
      <c r="OQX113" s="146"/>
      <c r="OQY113" s="146"/>
      <c r="OQZ113" s="146"/>
      <c r="ORA113" s="146"/>
      <c r="ORB113" s="146"/>
      <c r="ORC113" s="146"/>
      <c r="ORD113" s="146"/>
      <c r="ORE113" s="146"/>
      <c r="ORF113" s="146"/>
      <c r="ORG113" s="146"/>
      <c r="ORH113" s="146"/>
      <c r="ORI113" s="146"/>
      <c r="ORJ113" s="146"/>
      <c r="ORK113" s="146"/>
      <c r="ORL113" s="146"/>
      <c r="ORM113" s="146"/>
      <c r="ORN113" s="146"/>
      <c r="ORO113" s="146"/>
      <c r="ORP113" s="146"/>
      <c r="ORQ113" s="146"/>
      <c r="ORR113" s="146"/>
      <c r="ORS113" s="146"/>
      <c r="ORT113" s="146"/>
      <c r="ORU113" s="146"/>
      <c r="ORV113" s="146"/>
      <c r="ORW113" s="146"/>
      <c r="ORX113" s="146"/>
      <c r="ORY113" s="146"/>
      <c r="ORZ113" s="146"/>
      <c r="OSA113" s="146"/>
      <c r="OSB113" s="146"/>
      <c r="OSC113" s="146"/>
      <c r="OSD113" s="146"/>
      <c r="OSE113" s="146"/>
      <c r="OSF113" s="146"/>
      <c r="OSG113" s="146"/>
      <c r="OSH113" s="146"/>
      <c r="OSI113" s="146"/>
      <c r="OSJ113" s="146"/>
      <c r="OSK113" s="146"/>
      <c r="OSL113" s="146"/>
      <c r="OSM113" s="146"/>
      <c r="OSN113" s="146"/>
      <c r="OSO113" s="146"/>
      <c r="OSP113" s="146"/>
      <c r="OSQ113" s="146"/>
      <c r="OSR113" s="146"/>
      <c r="OSS113" s="146"/>
      <c r="OST113" s="146"/>
      <c r="OSU113" s="146"/>
      <c r="OSV113" s="146"/>
      <c r="OSW113" s="146"/>
      <c r="OSX113" s="146"/>
      <c r="OSY113" s="146"/>
      <c r="OSZ113" s="146"/>
      <c r="OTA113" s="146"/>
      <c r="OTB113" s="146"/>
      <c r="OTC113" s="146"/>
      <c r="OTD113" s="146"/>
      <c r="OTE113" s="146"/>
      <c r="OTF113" s="146"/>
      <c r="OTG113" s="146"/>
      <c r="OTH113" s="146"/>
      <c r="OTI113" s="146"/>
      <c r="OTJ113" s="146"/>
      <c r="OTK113" s="146"/>
      <c r="OTL113" s="146"/>
      <c r="OTM113" s="146"/>
      <c r="OTN113" s="146"/>
      <c r="OTO113" s="146"/>
      <c r="OTP113" s="146"/>
      <c r="OTQ113" s="146"/>
      <c r="OTR113" s="146"/>
      <c r="OTS113" s="146"/>
      <c r="OTT113" s="146"/>
      <c r="OTU113" s="146"/>
      <c r="OTV113" s="146"/>
      <c r="OTW113" s="146"/>
      <c r="OTX113" s="146"/>
      <c r="OTY113" s="146"/>
      <c r="OTZ113" s="146"/>
      <c r="OUA113" s="146"/>
      <c r="OUB113" s="146"/>
      <c r="OUC113" s="146"/>
      <c r="OUD113" s="146"/>
      <c r="OUE113" s="146"/>
      <c r="OUF113" s="146"/>
      <c r="OUG113" s="146"/>
      <c r="OUH113" s="146"/>
      <c r="OUI113" s="146"/>
      <c r="OUJ113" s="146"/>
      <c r="OUK113" s="146"/>
      <c r="OUL113" s="146"/>
      <c r="OUM113" s="146"/>
      <c r="OUN113" s="146"/>
      <c r="OUO113" s="146"/>
      <c r="OUP113" s="146"/>
      <c r="OUQ113" s="146"/>
      <c r="OUR113" s="146"/>
      <c r="OUS113" s="146"/>
      <c r="OUT113" s="146"/>
      <c r="OUU113" s="146"/>
      <c r="OUV113" s="146"/>
      <c r="OUW113" s="146"/>
      <c r="OUX113" s="146"/>
      <c r="OUY113" s="146"/>
      <c r="OUZ113" s="146"/>
      <c r="OVA113" s="146"/>
      <c r="OVB113" s="146"/>
      <c r="OVC113" s="146"/>
      <c r="OVD113" s="146"/>
      <c r="OVE113" s="146"/>
      <c r="OVF113" s="146"/>
      <c r="OVG113" s="146"/>
      <c r="OVH113" s="146"/>
      <c r="OVI113" s="146"/>
      <c r="OVJ113" s="146"/>
      <c r="OVK113" s="146"/>
      <c r="OVL113" s="146"/>
      <c r="OVM113" s="146"/>
      <c r="OVN113" s="146"/>
      <c r="OVO113" s="146"/>
      <c r="OVP113" s="146"/>
      <c r="OVQ113" s="146"/>
      <c r="OVR113" s="146"/>
      <c r="OVS113" s="146"/>
      <c r="OVT113" s="146"/>
      <c r="OVU113" s="146"/>
      <c r="OVV113" s="146"/>
      <c r="OVW113" s="146"/>
      <c r="OVX113" s="146"/>
      <c r="OVY113" s="146"/>
      <c r="OVZ113" s="146"/>
      <c r="OWA113" s="146"/>
      <c r="OWB113" s="146"/>
      <c r="OWC113" s="146"/>
      <c r="OWD113" s="146"/>
      <c r="OWE113" s="146"/>
      <c r="OWF113" s="146"/>
      <c r="OWG113" s="146"/>
      <c r="OWH113" s="146"/>
      <c r="OWI113" s="146"/>
      <c r="OWJ113" s="146"/>
      <c r="OWK113" s="146"/>
      <c r="OWL113" s="146"/>
      <c r="OWM113" s="146"/>
      <c r="OWN113" s="146"/>
      <c r="OWO113" s="146"/>
      <c r="OWP113" s="146"/>
      <c r="OWQ113" s="146"/>
      <c r="OWR113" s="146"/>
      <c r="OWS113" s="146"/>
      <c r="OWT113" s="146"/>
      <c r="OWU113" s="146"/>
      <c r="OWV113" s="146"/>
      <c r="OWW113" s="146"/>
      <c r="OWX113" s="146"/>
      <c r="OWY113" s="146"/>
      <c r="OWZ113" s="146"/>
      <c r="OXA113" s="146"/>
      <c r="OXB113" s="146"/>
      <c r="OXC113" s="146"/>
      <c r="OXD113" s="146"/>
      <c r="OXE113" s="146"/>
      <c r="OXF113" s="146"/>
      <c r="OXG113" s="146"/>
      <c r="OXH113" s="146"/>
      <c r="OXI113" s="146"/>
      <c r="OXJ113" s="146"/>
      <c r="OXK113" s="146"/>
      <c r="OXL113" s="146"/>
      <c r="OXM113" s="146"/>
      <c r="OXN113" s="146"/>
      <c r="OXO113" s="146"/>
      <c r="OXP113" s="146"/>
      <c r="OXQ113" s="146"/>
      <c r="OXR113" s="146"/>
      <c r="OXS113" s="146"/>
      <c r="OXT113" s="146"/>
      <c r="OXU113" s="146"/>
      <c r="OXV113" s="146"/>
      <c r="OXW113" s="146"/>
      <c r="OXX113" s="146"/>
      <c r="OXY113" s="146"/>
      <c r="OXZ113" s="146"/>
      <c r="OYA113" s="146"/>
      <c r="OYB113" s="146"/>
      <c r="OYC113" s="146"/>
      <c r="OYD113" s="146"/>
      <c r="OYE113" s="146"/>
      <c r="OYF113" s="146"/>
      <c r="OYG113" s="146"/>
      <c r="OYH113" s="146"/>
      <c r="OYI113" s="146"/>
      <c r="OYJ113" s="146"/>
      <c r="OYK113" s="146"/>
      <c r="OYL113" s="146"/>
      <c r="OYM113" s="146"/>
      <c r="OYN113" s="146"/>
      <c r="OYO113" s="146"/>
      <c r="OYP113" s="146"/>
      <c r="OYQ113" s="146"/>
      <c r="OYR113" s="146"/>
      <c r="OYS113" s="146"/>
      <c r="OYT113" s="146"/>
      <c r="OYU113" s="146"/>
      <c r="OYV113" s="146"/>
      <c r="OYW113" s="146"/>
      <c r="OYX113" s="146"/>
      <c r="OYY113" s="146"/>
      <c r="OYZ113" s="146"/>
      <c r="OZA113" s="146"/>
      <c r="OZB113" s="146"/>
      <c r="OZC113" s="146"/>
      <c r="OZD113" s="146"/>
      <c r="OZE113" s="146"/>
      <c r="OZF113" s="146"/>
      <c r="OZG113" s="146"/>
      <c r="OZH113" s="146"/>
      <c r="OZI113" s="146"/>
      <c r="OZJ113" s="146"/>
      <c r="OZK113" s="146"/>
      <c r="OZL113" s="146"/>
      <c r="OZM113" s="146"/>
      <c r="OZN113" s="146"/>
      <c r="OZO113" s="146"/>
      <c r="OZP113" s="146"/>
      <c r="OZQ113" s="146"/>
      <c r="OZR113" s="146"/>
      <c r="OZS113" s="146"/>
      <c r="OZT113" s="146"/>
      <c r="OZU113" s="146"/>
      <c r="OZV113" s="146"/>
      <c r="OZW113" s="146"/>
      <c r="OZX113" s="146"/>
      <c r="OZY113" s="146"/>
      <c r="OZZ113" s="146"/>
      <c r="PAA113" s="146"/>
      <c r="PAB113" s="146"/>
      <c r="PAC113" s="146"/>
      <c r="PAD113" s="146"/>
      <c r="PAE113" s="146"/>
      <c r="PAF113" s="146"/>
      <c r="PAG113" s="146"/>
      <c r="PAH113" s="146"/>
      <c r="PAI113" s="146"/>
      <c r="PAJ113" s="146"/>
      <c r="PAK113" s="146"/>
      <c r="PAL113" s="146"/>
      <c r="PAM113" s="146"/>
      <c r="PAN113" s="146"/>
      <c r="PAO113" s="146"/>
      <c r="PAP113" s="146"/>
      <c r="PAQ113" s="146"/>
      <c r="PAR113" s="146"/>
      <c r="PAS113" s="146"/>
      <c r="PAT113" s="146"/>
      <c r="PAU113" s="146"/>
      <c r="PAV113" s="146"/>
      <c r="PAW113" s="146"/>
      <c r="PAX113" s="146"/>
      <c r="PAY113" s="146"/>
      <c r="PAZ113" s="146"/>
      <c r="PBA113" s="146"/>
      <c r="PBB113" s="146"/>
      <c r="PBC113" s="146"/>
      <c r="PBD113" s="146"/>
      <c r="PBE113" s="146"/>
      <c r="PBF113" s="146"/>
      <c r="PBG113" s="146"/>
      <c r="PBH113" s="146"/>
      <c r="PBI113" s="146"/>
      <c r="PBJ113" s="146"/>
      <c r="PBK113" s="146"/>
      <c r="PBL113" s="146"/>
      <c r="PBM113" s="146"/>
      <c r="PBN113" s="146"/>
      <c r="PBO113" s="146"/>
      <c r="PBP113" s="146"/>
      <c r="PBQ113" s="146"/>
      <c r="PBR113" s="146"/>
      <c r="PBS113" s="146"/>
      <c r="PBT113" s="146"/>
      <c r="PBU113" s="146"/>
      <c r="PBV113" s="146"/>
      <c r="PBW113" s="146"/>
      <c r="PBX113" s="146"/>
      <c r="PBY113" s="146"/>
      <c r="PBZ113" s="146"/>
      <c r="PCA113" s="146"/>
      <c r="PCB113" s="146"/>
      <c r="PCC113" s="146"/>
      <c r="PCD113" s="146"/>
      <c r="PCE113" s="146"/>
      <c r="PCF113" s="146"/>
      <c r="PCG113" s="146"/>
      <c r="PCH113" s="146"/>
      <c r="PCI113" s="146"/>
      <c r="PCJ113" s="146"/>
      <c r="PCK113" s="146"/>
      <c r="PCL113" s="146"/>
      <c r="PCM113" s="146"/>
      <c r="PCN113" s="146"/>
      <c r="PCO113" s="146"/>
      <c r="PCP113" s="146"/>
      <c r="PCQ113" s="146"/>
      <c r="PCR113" s="146"/>
      <c r="PCS113" s="146"/>
      <c r="PCT113" s="146"/>
      <c r="PCU113" s="146"/>
      <c r="PCV113" s="146"/>
      <c r="PCW113" s="146"/>
      <c r="PCX113" s="146"/>
      <c r="PCY113" s="146"/>
      <c r="PCZ113" s="146"/>
      <c r="PDA113" s="146"/>
      <c r="PDB113" s="146"/>
      <c r="PDC113" s="146"/>
      <c r="PDD113" s="146"/>
      <c r="PDE113" s="146"/>
      <c r="PDF113" s="146"/>
      <c r="PDG113" s="146"/>
      <c r="PDH113" s="146"/>
      <c r="PDI113" s="146"/>
      <c r="PDJ113" s="146"/>
      <c r="PDK113" s="146"/>
      <c r="PDL113" s="146"/>
      <c r="PDM113" s="146"/>
      <c r="PDN113" s="146"/>
      <c r="PDO113" s="146"/>
      <c r="PDP113" s="146"/>
      <c r="PDQ113" s="146"/>
      <c r="PDR113" s="146"/>
      <c r="PDS113" s="146"/>
      <c r="PDT113" s="146"/>
      <c r="PDU113" s="146"/>
      <c r="PDV113" s="146"/>
      <c r="PDW113" s="146"/>
      <c r="PDX113" s="146"/>
      <c r="PDY113" s="146"/>
      <c r="PDZ113" s="146"/>
      <c r="PEA113" s="146"/>
      <c r="PEB113" s="146"/>
      <c r="PEC113" s="146"/>
      <c r="PED113" s="146"/>
      <c r="PEE113" s="146"/>
      <c r="PEF113" s="146"/>
      <c r="PEG113" s="146"/>
      <c r="PEH113" s="146"/>
      <c r="PEI113" s="146"/>
      <c r="PEJ113" s="146"/>
      <c r="PEK113" s="146"/>
      <c r="PEL113" s="146"/>
      <c r="PEM113" s="146"/>
      <c r="PEN113" s="146"/>
      <c r="PEO113" s="146"/>
      <c r="PEP113" s="146"/>
      <c r="PEQ113" s="146"/>
      <c r="PER113" s="146"/>
      <c r="PES113" s="146"/>
      <c r="PET113" s="146"/>
      <c r="PEU113" s="146"/>
      <c r="PEV113" s="146"/>
      <c r="PEW113" s="146"/>
      <c r="PEX113" s="146"/>
      <c r="PEY113" s="146"/>
      <c r="PEZ113" s="146"/>
      <c r="PFA113" s="146"/>
      <c r="PFB113" s="146"/>
      <c r="PFC113" s="146"/>
      <c r="PFD113" s="146"/>
      <c r="PFE113" s="146"/>
      <c r="PFF113" s="146"/>
      <c r="PFG113" s="146"/>
      <c r="PFH113" s="146"/>
      <c r="PFI113" s="146"/>
      <c r="PFJ113" s="146"/>
      <c r="PFK113" s="146"/>
      <c r="PFL113" s="146"/>
      <c r="PFM113" s="146"/>
      <c r="PFN113" s="146"/>
      <c r="PFO113" s="146"/>
      <c r="PFP113" s="146"/>
      <c r="PFQ113" s="146"/>
      <c r="PFR113" s="146"/>
      <c r="PFS113" s="146"/>
      <c r="PFT113" s="146"/>
      <c r="PFU113" s="146"/>
      <c r="PFV113" s="146"/>
      <c r="PFW113" s="146"/>
      <c r="PFX113" s="146"/>
      <c r="PFY113" s="146"/>
      <c r="PFZ113" s="146"/>
      <c r="PGA113" s="146"/>
      <c r="PGB113" s="146"/>
      <c r="PGC113" s="146"/>
      <c r="PGD113" s="146"/>
      <c r="PGE113" s="146"/>
      <c r="PGF113" s="146"/>
      <c r="PGG113" s="146"/>
      <c r="PGH113" s="146"/>
      <c r="PGI113" s="146"/>
      <c r="PGJ113" s="146"/>
      <c r="PGK113" s="146"/>
      <c r="PGL113" s="146"/>
      <c r="PGM113" s="146"/>
      <c r="PGN113" s="146"/>
      <c r="PGO113" s="146"/>
      <c r="PGP113" s="146"/>
      <c r="PGQ113" s="146"/>
      <c r="PGR113" s="146"/>
      <c r="PGS113" s="146"/>
      <c r="PGT113" s="146"/>
      <c r="PGU113" s="146"/>
      <c r="PGV113" s="146"/>
      <c r="PGW113" s="146"/>
      <c r="PGX113" s="146"/>
      <c r="PGY113" s="146"/>
      <c r="PGZ113" s="146"/>
      <c r="PHA113" s="146"/>
      <c r="PHB113" s="146"/>
      <c r="PHC113" s="146"/>
      <c r="PHD113" s="146"/>
      <c r="PHE113" s="146"/>
      <c r="PHF113" s="146"/>
      <c r="PHG113" s="146"/>
      <c r="PHH113" s="146"/>
      <c r="PHI113" s="146"/>
      <c r="PHJ113" s="146"/>
      <c r="PHK113" s="146"/>
      <c r="PHL113" s="146"/>
      <c r="PHM113" s="146"/>
      <c r="PHN113" s="146"/>
      <c r="PHO113" s="146"/>
      <c r="PHP113" s="146"/>
      <c r="PHQ113" s="146"/>
      <c r="PHR113" s="146"/>
      <c r="PHS113" s="146"/>
      <c r="PHT113" s="146"/>
      <c r="PHU113" s="146"/>
      <c r="PHV113" s="146"/>
      <c r="PHW113" s="146"/>
      <c r="PHX113" s="146"/>
      <c r="PHY113" s="146"/>
      <c r="PHZ113" s="146"/>
      <c r="PIA113" s="146"/>
      <c r="PIB113" s="146"/>
      <c r="PIC113" s="146"/>
      <c r="PID113" s="146"/>
      <c r="PIE113" s="146"/>
      <c r="PIF113" s="146"/>
      <c r="PIG113" s="146"/>
      <c r="PIH113" s="146"/>
      <c r="PII113" s="146"/>
      <c r="PIJ113" s="146"/>
      <c r="PIK113" s="146"/>
      <c r="PIL113" s="146"/>
      <c r="PIM113" s="146"/>
      <c r="PIN113" s="146"/>
      <c r="PIO113" s="146"/>
      <c r="PIP113" s="146"/>
      <c r="PIQ113" s="146"/>
      <c r="PIR113" s="146"/>
      <c r="PIS113" s="146"/>
      <c r="PIT113" s="146"/>
      <c r="PIU113" s="146"/>
      <c r="PIV113" s="146"/>
      <c r="PIW113" s="146"/>
      <c r="PIX113" s="146"/>
      <c r="PIY113" s="146"/>
      <c r="PIZ113" s="146"/>
      <c r="PJA113" s="146"/>
      <c r="PJB113" s="146"/>
      <c r="PJC113" s="146"/>
      <c r="PJD113" s="146"/>
      <c r="PJE113" s="146"/>
      <c r="PJF113" s="146"/>
      <c r="PJG113" s="146"/>
      <c r="PJH113" s="146"/>
      <c r="PJI113" s="146"/>
      <c r="PJJ113" s="146"/>
      <c r="PJK113" s="146"/>
      <c r="PJL113" s="146"/>
      <c r="PJM113" s="146"/>
      <c r="PJN113" s="146"/>
      <c r="PJO113" s="146"/>
      <c r="PJP113" s="146"/>
      <c r="PJQ113" s="146"/>
      <c r="PJR113" s="146"/>
      <c r="PJS113" s="146"/>
      <c r="PJT113" s="146"/>
      <c r="PJU113" s="146"/>
      <c r="PJV113" s="146"/>
      <c r="PJW113" s="146"/>
      <c r="PJX113" s="146"/>
      <c r="PJY113" s="146"/>
      <c r="PJZ113" s="146"/>
      <c r="PKA113" s="146"/>
      <c r="PKB113" s="146"/>
      <c r="PKC113" s="146"/>
      <c r="PKD113" s="146"/>
      <c r="PKE113" s="146"/>
      <c r="PKF113" s="146"/>
      <c r="PKG113" s="146"/>
      <c r="PKH113" s="146"/>
      <c r="PKI113" s="146"/>
      <c r="PKJ113" s="146"/>
      <c r="PKK113" s="146"/>
      <c r="PKL113" s="146"/>
      <c r="PKM113" s="146"/>
      <c r="PKN113" s="146"/>
      <c r="PKO113" s="146"/>
      <c r="PKP113" s="146"/>
      <c r="PKQ113" s="146"/>
      <c r="PKR113" s="146"/>
      <c r="PKS113" s="146"/>
      <c r="PKT113" s="146"/>
      <c r="PKU113" s="146"/>
      <c r="PKV113" s="146"/>
      <c r="PKW113" s="146"/>
      <c r="PKX113" s="146"/>
      <c r="PKY113" s="146"/>
      <c r="PKZ113" s="146"/>
      <c r="PLA113" s="146"/>
      <c r="PLB113" s="146"/>
      <c r="PLC113" s="146"/>
      <c r="PLD113" s="146"/>
      <c r="PLE113" s="146"/>
      <c r="PLF113" s="146"/>
      <c r="PLG113" s="146"/>
      <c r="PLH113" s="146"/>
      <c r="PLI113" s="146"/>
      <c r="PLJ113" s="146"/>
      <c r="PLK113" s="146"/>
      <c r="PLL113" s="146"/>
      <c r="PLM113" s="146"/>
      <c r="PLN113" s="146"/>
      <c r="PLO113" s="146"/>
      <c r="PLP113" s="146"/>
      <c r="PLQ113" s="146"/>
      <c r="PLR113" s="146"/>
      <c r="PLS113" s="146"/>
      <c r="PLT113" s="146"/>
      <c r="PLU113" s="146"/>
      <c r="PLV113" s="146"/>
      <c r="PLW113" s="146"/>
      <c r="PLX113" s="146"/>
      <c r="PLY113" s="146"/>
      <c r="PLZ113" s="146"/>
      <c r="PMA113" s="146"/>
      <c r="PMB113" s="146"/>
      <c r="PMC113" s="146"/>
      <c r="PMD113" s="146"/>
      <c r="PME113" s="146"/>
      <c r="PMF113" s="146"/>
      <c r="PMG113" s="146"/>
      <c r="PMH113" s="146"/>
      <c r="PMI113" s="146"/>
      <c r="PMJ113" s="146"/>
      <c r="PMK113" s="146"/>
      <c r="PML113" s="146"/>
      <c r="PMM113" s="146"/>
      <c r="PMN113" s="146"/>
      <c r="PMO113" s="146"/>
      <c r="PMP113" s="146"/>
      <c r="PMQ113" s="146"/>
      <c r="PMR113" s="146"/>
      <c r="PMS113" s="146"/>
      <c r="PMT113" s="146"/>
      <c r="PMU113" s="146"/>
      <c r="PMV113" s="146"/>
      <c r="PMW113" s="146"/>
      <c r="PMX113" s="146"/>
      <c r="PMY113" s="146"/>
      <c r="PMZ113" s="146"/>
      <c r="PNA113" s="146"/>
      <c r="PNB113" s="146"/>
      <c r="PNC113" s="146"/>
      <c r="PND113" s="146"/>
      <c r="PNE113" s="146"/>
      <c r="PNF113" s="146"/>
      <c r="PNG113" s="146"/>
      <c r="PNH113" s="146"/>
      <c r="PNI113" s="146"/>
      <c r="PNJ113" s="146"/>
      <c r="PNK113" s="146"/>
      <c r="PNL113" s="146"/>
      <c r="PNM113" s="146"/>
      <c r="PNN113" s="146"/>
      <c r="PNO113" s="146"/>
      <c r="PNP113" s="146"/>
      <c r="PNQ113" s="146"/>
      <c r="PNR113" s="146"/>
      <c r="PNS113" s="146"/>
      <c r="PNT113" s="146"/>
      <c r="PNU113" s="146"/>
      <c r="PNV113" s="146"/>
      <c r="PNW113" s="146"/>
      <c r="PNX113" s="146"/>
      <c r="PNY113" s="146"/>
      <c r="PNZ113" s="146"/>
      <c r="POA113" s="146"/>
      <c r="POB113" s="146"/>
      <c r="POC113" s="146"/>
      <c r="POD113" s="146"/>
      <c r="POE113" s="146"/>
      <c r="POF113" s="146"/>
      <c r="POG113" s="146"/>
      <c r="POH113" s="146"/>
      <c r="POI113" s="146"/>
      <c r="POJ113" s="146"/>
      <c r="POK113" s="146"/>
      <c r="POL113" s="146"/>
      <c r="POM113" s="146"/>
      <c r="PON113" s="146"/>
      <c r="POO113" s="146"/>
      <c r="POP113" s="146"/>
      <c r="POQ113" s="146"/>
      <c r="POR113" s="146"/>
      <c r="POS113" s="146"/>
      <c r="POT113" s="146"/>
      <c r="POU113" s="146"/>
      <c r="POV113" s="146"/>
      <c r="POW113" s="146"/>
      <c r="POX113" s="146"/>
      <c r="POY113" s="146"/>
      <c r="POZ113" s="146"/>
      <c r="PPA113" s="146"/>
      <c r="PPB113" s="146"/>
      <c r="PPC113" s="146"/>
      <c r="PPD113" s="146"/>
      <c r="PPE113" s="146"/>
      <c r="PPF113" s="146"/>
      <c r="PPG113" s="146"/>
      <c r="PPH113" s="146"/>
      <c r="PPI113" s="146"/>
      <c r="PPJ113" s="146"/>
      <c r="PPK113" s="146"/>
      <c r="PPL113" s="146"/>
      <c r="PPM113" s="146"/>
      <c r="PPN113" s="146"/>
      <c r="PPO113" s="146"/>
      <c r="PPP113" s="146"/>
      <c r="PPQ113" s="146"/>
      <c r="PPR113" s="146"/>
      <c r="PPS113" s="146"/>
      <c r="PPT113" s="146"/>
      <c r="PPU113" s="146"/>
      <c r="PPV113" s="146"/>
      <c r="PPW113" s="146"/>
      <c r="PPX113" s="146"/>
      <c r="PPY113" s="146"/>
      <c r="PPZ113" s="146"/>
      <c r="PQA113" s="146"/>
      <c r="PQB113" s="146"/>
      <c r="PQC113" s="146"/>
      <c r="PQD113" s="146"/>
      <c r="PQE113" s="146"/>
      <c r="PQF113" s="146"/>
      <c r="PQG113" s="146"/>
      <c r="PQH113" s="146"/>
      <c r="PQI113" s="146"/>
      <c r="PQJ113" s="146"/>
      <c r="PQK113" s="146"/>
      <c r="PQL113" s="146"/>
      <c r="PQM113" s="146"/>
      <c r="PQN113" s="146"/>
      <c r="PQO113" s="146"/>
      <c r="PQP113" s="146"/>
      <c r="PQQ113" s="146"/>
      <c r="PQR113" s="146"/>
      <c r="PQS113" s="146"/>
      <c r="PQT113" s="146"/>
      <c r="PQU113" s="146"/>
      <c r="PQV113" s="146"/>
      <c r="PQW113" s="146"/>
      <c r="PQX113" s="146"/>
      <c r="PQY113" s="146"/>
      <c r="PQZ113" s="146"/>
      <c r="PRA113" s="146"/>
      <c r="PRB113" s="146"/>
      <c r="PRC113" s="146"/>
      <c r="PRD113" s="146"/>
      <c r="PRE113" s="146"/>
      <c r="PRF113" s="146"/>
      <c r="PRG113" s="146"/>
      <c r="PRH113" s="146"/>
      <c r="PRI113" s="146"/>
      <c r="PRJ113" s="146"/>
      <c r="PRK113" s="146"/>
      <c r="PRL113" s="146"/>
      <c r="PRM113" s="146"/>
      <c r="PRN113" s="146"/>
      <c r="PRO113" s="146"/>
      <c r="PRP113" s="146"/>
      <c r="PRQ113" s="146"/>
      <c r="PRR113" s="146"/>
      <c r="PRS113" s="146"/>
      <c r="PRT113" s="146"/>
      <c r="PRU113" s="146"/>
      <c r="PRV113" s="146"/>
      <c r="PRW113" s="146"/>
      <c r="PRX113" s="146"/>
      <c r="PRY113" s="146"/>
      <c r="PRZ113" s="146"/>
      <c r="PSA113" s="146"/>
      <c r="PSB113" s="146"/>
      <c r="PSC113" s="146"/>
      <c r="PSD113" s="146"/>
      <c r="PSE113" s="146"/>
      <c r="PSF113" s="146"/>
      <c r="PSG113" s="146"/>
      <c r="PSH113" s="146"/>
      <c r="PSI113" s="146"/>
      <c r="PSJ113" s="146"/>
      <c r="PSK113" s="146"/>
      <c r="PSL113" s="146"/>
      <c r="PSM113" s="146"/>
      <c r="PSN113" s="146"/>
      <c r="PSO113" s="146"/>
      <c r="PSP113" s="146"/>
      <c r="PSQ113" s="146"/>
      <c r="PSR113" s="146"/>
      <c r="PSS113" s="146"/>
      <c r="PST113" s="146"/>
      <c r="PSU113" s="146"/>
      <c r="PSV113" s="146"/>
      <c r="PSW113" s="146"/>
      <c r="PSX113" s="146"/>
      <c r="PSY113" s="146"/>
      <c r="PSZ113" s="146"/>
      <c r="PTA113" s="146"/>
      <c r="PTB113" s="146"/>
      <c r="PTC113" s="146"/>
      <c r="PTD113" s="146"/>
      <c r="PTE113" s="146"/>
      <c r="PTF113" s="146"/>
      <c r="PTG113" s="146"/>
      <c r="PTH113" s="146"/>
      <c r="PTI113" s="146"/>
      <c r="PTJ113" s="146"/>
      <c r="PTK113" s="146"/>
      <c r="PTL113" s="146"/>
      <c r="PTM113" s="146"/>
      <c r="PTN113" s="146"/>
      <c r="PTO113" s="146"/>
      <c r="PTP113" s="146"/>
      <c r="PTQ113" s="146"/>
      <c r="PTR113" s="146"/>
      <c r="PTS113" s="146"/>
      <c r="PTT113" s="146"/>
      <c r="PTU113" s="146"/>
      <c r="PTV113" s="146"/>
      <c r="PTW113" s="146"/>
      <c r="PTX113" s="146"/>
      <c r="PTY113" s="146"/>
      <c r="PTZ113" s="146"/>
      <c r="PUA113" s="146"/>
      <c r="PUB113" s="146"/>
      <c r="PUC113" s="146"/>
      <c r="PUD113" s="146"/>
      <c r="PUE113" s="146"/>
      <c r="PUF113" s="146"/>
      <c r="PUG113" s="146"/>
      <c r="PUH113" s="146"/>
      <c r="PUI113" s="146"/>
      <c r="PUJ113" s="146"/>
      <c r="PUK113" s="146"/>
      <c r="PUL113" s="146"/>
      <c r="PUM113" s="146"/>
      <c r="PUN113" s="146"/>
      <c r="PUO113" s="146"/>
      <c r="PUP113" s="146"/>
      <c r="PUQ113" s="146"/>
      <c r="PUR113" s="146"/>
      <c r="PUS113" s="146"/>
      <c r="PUT113" s="146"/>
      <c r="PUU113" s="146"/>
      <c r="PUV113" s="146"/>
      <c r="PUW113" s="146"/>
      <c r="PUX113" s="146"/>
      <c r="PUY113" s="146"/>
      <c r="PUZ113" s="146"/>
      <c r="PVA113" s="146"/>
      <c r="PVB113" s="146"/>
      <c r="PVC113" s="146"/>
      <c r="PVD113" s="146"/>
      <c r="PVE113" s="146"/>
      <c r="PVF113" s="146"/>
      <c r="PVG113" s="146"/>
      <c r="PVH113" s="146"/>
      <c r="PVI113" s="146"/>
      <c r="PVJ113" s="146"/>
      <c r="PVK113" s="146"/>
      <c r="PVL113" s="146"/>
      <c r="PVM113" s="146"/>
      <c r="PVN113" s="146"/>
      <c r="PVO113" s="146"/>
      <c r="PVP113" s="146"/>
      <c r="PVQ113" s="146"/>
      <c r="PVR113" s="146"/>
      <c r="PVS113" s="146"/>
      <c r="PVT113" s="146"/>
      <c r="PVU113" s="146"/>
      <c r="PVV113" s="146"/>
      <c r="PVW113" s="146"/>
      <c r="PVX113" s="146"/>
      <c r="PVY113" s="146"/>
      <c r="PVZ113" s="146"/>
      <c r="PWA113" s="146"/>
      <c r="PWB113" s="146"/>
      <c r="PWC113" s="146"/>
      <c r="PWD113" s="146"/>
      <c r="PWE113" s="146"/>
      <c r="PWF113" s="146"/>
      <c r="PWG113" s="146"/>
      <c r="PWH113" s="146"/>
      <c r="PWI113" s="146"/>
      <c r="PWJ113" s="146"/>
      <c r="PWK113" s="146"/>
      <c r="PWL113" s="146"/>
      <c r="PWM113" s="146"/>
      <c r="PWN113" s="146"/>
      <c r="PWO113" s="146"/>
      <c r="PWP113" s="146"/>
      <c r="PWQ113" s="146"/>
      <c r="PWR113" s="146"/>
      <c r="PWS113" s="146"/>
      <c r="PWT113" s="146"/>
      <c r="PWU113" s="146"/>
      <c r="PWV113" s="146"/>
      <c r="PWW113" s="146"/>
      <c r="PWX113" s="146"/>
      <c r="PWY113" s="146"/>
      <c r="PWZ113" s="146"/>
      <c r="PXA113" s="146"/>
      <c r="PXB113" s="146"/>
      <c r="PXC113" s="146"/>
      <c r="PXD113" s="146"/>
      <c r="PXE113" s="146"/>
      <c r="PXF113" s="146"/>
      <c r="PXG113" s="146"/>
      <c r="PXH113" s="146"/>
      <c r="PXI113" s="146"/>
      <c r="PXJ113" s="146"/>
      <c r="PXK113" s="146"/>
      <c r="PXL113" s="146"/>
      <c r="PXM113" s="146"/>
      <c r="PXN113" s="146"/>
      <c r="PXO113" s="146"/>
      <c r="PXP113" s="146"/>
      <c r="PXQ113" s="146"/>
      <c r="PXR113" s="146"/>
      <c r="PXS113" s="146"/>
      <c r="PXT113" s="146"/>
      <c r="PXU113" s="146"/>
      <c r="PXV113" s="146"/>
      <c r="PXW113" s="146"/>
      <c r="PXX113" s="146"/>
      <c r="PXY113" s="146"/>
      <c r="PXZ113" s="146"/>
      <c r="PYA113" s="146"/>
      <c r="PYB113" s="146"/>
      <c r="PYC113" s="146"/>
      <c r="PYD113" s="146"/>
      <c r="PYE113" s="146"/>
      <c r="PYF113" s="146"/>
      <c r="PYG113" s="146"/>
      <c r="PYH113" s="146"/>
      <c r="PYI113" s="146"/>
      <c r="PYJ113" s="146"/>
      <c r="PYK113" s="146"/>
      <c r="PYL113" s="146"/>
      <c r="PYM113" s="146"/>
      <c r="PYN113" s="146"/>
      <c r="PYO113" s="146"/>
      <c r="PYP113" s="146"/>
      <c r="PYQ113" s="146"/>
      <c r="PYR113" s="146"/>
      <c r="PYS113" s="146"/>
      <c r="PYT113" s="146"/>
      <c r="PYU113" s="146"/>
      <c r="PYV113" s="146"/>
      <c r="PYW113" s="146"/>
      <c r="PYX113" s="146"/>
      <c r="PYY113" s="146"/>
      <c r="PYZ113" s="146"/>
      <c r="PZA113" s="146"/>
      <c r="PZB113" s="146"/>
      <c r="PZC113" s="146"/>
      <c r="PZD113" s="146"/>
      <c r="PZE113" s="146"/>
      <c r="PZF113" s="146"/>
      <c r="PZG113" s="146"/>
      <c r="PZH113" s="146"/>
      <c r="PZI113" s="146"/>
      <c r="PZJ113" s="146"/>
      <c r="PZK113" s="146"/>
      <c r="PZL113" s="146"/>
      <c r="PZM113" s="146"/>
      <c r="PZN113" s="146"/>
      <c r="PZO113" s="146"/>
      <c r="PZP113" s="146"/>
      <c r="PZQ113" s="146"/>
      <c r="PZR113" s="146"/>
      <c r="PZS113" s="146"/>
      <c r="PZT113" s="146"/>
      <c r="PZU113" s="146"/>
      <c r="PZV113" s="146"/>
      <c r="PZW113" s="146"/>
      <c r="PZX113" s="146"/>
      <c r="PZY113" s="146"/>
      <c r="PZZ113" s="146"/>
      <c r="QAA113" s="146"/>
      <c r="QAB113" s="146"/>
      <c r="QAC113" s="146"/>
      <c r="QAD113" s="146"/>
      <c r="QAE113" s="146"/>
      <c r="QAF113" s="146"/>
      <c r="QAG113" s="146"/>
      <c r="QAH113" s="146"/>
      <c r="QAI113" s="146"/>
      <c r="QAJ113" s="146"/>
      <c r="QAK113" s="146"/>
      <c r="QAL113" s="146"/>
      <c r="QAM113" s="146"/>
      <c r="QAN113" s="146"/>
      <c r="QAO113" s="146"/>
      <c r="QAP113" s="146"/>
      <c r="QAQ113" s="146"/>
      <c r="QAR113" s="146"/>
      <c r="QAS113" s="146"/>
      <c r="QAT113" s="146"/>
      <c r="QAU113" s="146"/>
      <c r="QAV113" s="146"/>
      <c r="QAW113" s="146"/>
      <c r="QAX113" s="146"/>
      <c r="QAY113" s="146"/>
      <c r="QAZ113" s="146"/>
      <c r="QBA113" s="146"/>
      <c r="QBB113" s="146"/>
      <c r="QBC113" s="146"/>
      <c r="QBD113" s="146"/>
      <c r="QBE113" s="146"/>
      <c r="QBF113" s="146"/>
      <c r="QBG113" s="146"/>
      <c r="QBH113" s="146"/>
      <c r="QBI113" s="146"/>
      <c r="QBJ113" s="146"/>
      <c r="QBK113" s="146"/>
      <c r="QBL113" s="146"/>
      <c r="QBM113" s="146"/>
      <c r="QBN113" s="146"/>
      <c r="QBO113" s="146"/>
      <c r="QBP113" s="146"/>
      <c r="QBQ113" s="146"/>
      <c r="QBR113" s="146"/>
      <c r="QBS113" s="146"/>
      <c r="QBT113" s="146"/>
      <c r="QBU113" s="146"/>
      <c r="QBV113" s="146"/>
      <c r="QBW113" s="146"/>
      <c r="QBX113" s="146"/>
      <c r="QBY113" s="146"/>
      <c r="QBZ113" s="146"/>
      <c r="QCA113" s="146"/>
      <c r="QCB113" s="146"/>
      <c r="QCC113" s="146"/>
      <c r="QCD113" s="146"/>
      <c r="QCE113" s="146"/>
      <c r="QCF113" s="146"/>
      <c r="QCG113" s="146"/>
      <c r="QCH113" s="146"/>
      <c r="QCI113" s="146"/>
      <c r="QCJ113" s="146"/>
      <c r="QCK113" s="146"/>
      <c r="QCL113" s="146"/>
      <c r="QCM113" s="146"/>
      <c r="QCN113" s="146"/>
      <c r="QCO113" s="146"/>
      <c r="QCP113" s="146"/>
      <c r="QCQ113" s="146"/>
      <c r="QCR113" s="146"/>
      <c r="QCS113" s="146"/>
      <c r="QCT113" s="146"/>
      <c r="QCU113" s="146"/>
      <c r="QCV113" s="146"/>
      <c r="QCW113" s="146"/>
      <c r="QCX113" s="146"/>
      <c r="QCY113" s="146"/>
      <c r="QCZ113" s="146"/>
      <c r="QDA113" s="146"/>
      <c r="QDB113" s="146"/>
      <c r="QDC113" s="146"/>
      <c r="QDD113" s="146"/>
      <c r="QDE113" s="146"/>
      <c r="QDF113" s="146"/>
      <c r="QDG113" s="146"/>
      <c r="QDH113" s="146"/>
      <c r="QDI113" s="146"/>
      <c r="QDJ113" s="146"/>
      <c r="QDK113" s="146"/>
      <c r="QDL113" s="146"/>
      <c r="QDM113" s="146"/>
      <c r="QDN113" s="146"/>
      <c r="QDO113" s="146"/>
      <c r="QDP113" s="146"/>
      <c r="QDQ113" s="146"/>
      <c r="QDR113" s="146"/>
      <c r="QDS113" s="146"/>
      <c r="QDT113" s="146"/>
      <c r="QDU113" s="146"/>
      <c r="QDV113" s="146"/>
      <c r="QDW113" s="146"/>
      <c r="QDX113" s="146"/>
      <c r="QDY113" s="146"/>
      <c r="QDZ113" s="146"/>
      <c r="QEA113" s="146"/>
      <c r="QEB113" s="146"/>
      <c r="QEC113" s="146"/>
      <c r="QED113" s="146"/>
      <c r="QEE113" s="146"/>
      <c r="QEF113" s="146"/>
      <c r="QEG113" s="146"/>
      <c r="QEH113" s="146"/>
      <c r="QEI113" s="146"/>
      <c r="QEJ113" s="146"/>
      <c r="QEK113" s="146"/>
      <c r="QEL113" s="146"/>
      <c r="QEM113" s="146"/>
      <c r="QEN113" s="146"/>
      <c r="QEO113" s="146"/>
      <c r="QEP113" s="146"/>
      <c r="QEQ113" s="146"/>
      <c r="QER113" s="146"/>
      <c r="QES113" s="146"/>
      <c r="QET113" s="146"/>
      <c r="QEU113" s="146"/>
      <c r="QEV113" s="146"/>
      <c r="QEW113" s="146"/>
      <c r="QEX113" s="146"/>
      <c r="QEY113" s="146"/>
      <c r="QEZ113" s="146"/>
      <c r="QFA113" s="146"/>
      <c r="QFB113" s="146"/>
      <c r="QFC113" s="146"/>
      <c r="QFD113" s="146"/>
      <c r="QFE113" s="146"/>
      <c r="QFF113" s="146"/>
      <c r="QFG113" s="146"/>
      <c r="QFH113" s="146"/>
      <c r="QFI113" s="146"/>
      <c r="QFJ113" s="146"/>
      <c r="QFK113" s="146"/>
      <c r="QFL113" s="146"/>
      <c r="QFM113" s="146"/>
      <c r="QFN113" s="146"/>
      <c r="QFO113" s="146"/>
      <c r="QFP113" s="146"/>
      <c r="QFQ113" s="146"/>
      <c r="QFR113" s="146"/>
      <c r="QFS113" s="146"/>
      <c r="QFT113" s="146"/>
      <c r="QFU113" s="146"/>
      <c r="QFV113" s="146"/>
      <c r="QFW113" s="146"/>
      <c r="QFX113" s="146"/>
      <c r="QFY113" s="146"/>
      <c r="QFZ113" s="146"/>
      <c r="QGA113" s="146"/>
      <c r="QGB113" s="146"/>
      <c r="QGC113" s="146"/>
      <c r="QGD113" s="146"/>
      <c r="QGE113" s="146"/>
      <c r="QGF113" s="146"/>
      <c r="QGG113" s="146"/>
      <c r="QGH113" s="146"/>
      <c r="QGI113" s="146"/>
      <c r="QGJ113" s="146"/>
      <c r="QGK113" s="146"/>
      <c r="QGL113" s="146"/>
      <c r="QGM113" s="146"/>
      <c r="QGN113" s="146"/>
      <c r="QGO113" s="146"/>
      <c r="QGP113" s="146"/>
      <c r="QGQ113" s="146"/>
      <c r="QGR113" s="146"/>
      <c r="QGS113" s="146"/>
      <c r="QGT113" s="146"/>
      <c r="QGU113" s="146"/>
      <c r="QGV113" s="146"/>
      <c r="QGW113" s="146"/>
      <c r="QGX113" s="146"/>
      <c r="QGY113" s="146"/>
      <c r="QGZ113" s="146"/>
      <c r="QHA113" s="146"/>
      <c r="QHB113" s="146"/>
      <c r="QHC113" s="146"/>
      <c r="QHD113" s="146"/>
      <c r="QHE113" s="146"/>
      <c r="QHF113" s="146"/>
      <c r="QHG113" s="146"/>
      <c r="QHH113" s="146"/>
      <c r="QHI113" s="146"/>
      <c r="QHJ113" s="146"/>
      <c r="QHK113" s="146"/>
      <c r="QHL113" s="146"/>
      <c r="QHM113" s="146"/>
      <c r="QHN113" s="146"/>
      <c r="QHO113" s="146"/>
      <c r="QHP113" s="146"/>
      <c r="QHQ113" s="146"/>
      <c r="QHR113" s="146"/>
      <c r="QHS113" s="146"/>
      <c r="QHT113" s="146"/>
      <c r="QHU113" s="146"/>
      <c r="QHV113" s="146"/>
      <c r="QHW113" s="146"/>
      <c r="QHX113" s="146"/>
      <c r="QHY113" s="146"/>
      <c r="QHZ113" s="146"/>
      <c r="QIA113" s="146"/>
      <c r="QIB113" s="146"/>
      <c r="QIC113" s="146"/>
      <c r="QID113" s="146"/>
      <c r="QIE113" s="146"/>
      <c r="QIF113" s="146"/>
      <c r="QIG113" s="146"/>
      <c r="QIH113" s="146"/>
      <c r="QII113" s="146"/>
      <c r="QIJ113" s="146"/>
      <c r="QIK113" s="146"/>
      <c r="QIL113" s="146"/>
      <c r="QIM113" s="146"/>
      <c r="QIN113" s="146"/>
      <c r="QIO113" s="146"/>
      <c r="QIP113" s="146"/>
      <c r="QIQ113" s="146"/>
      <c r="QIR113" s="146"/>
      <c r="QIS113" s="146"/>
      <c r="QIT113" s="146"/>
      <c r="QIU113" s="146"/>
      <c r="QIV113" s="146"/>
      <c r="QIW113" s="146"/>
      <c r="QIX113" s="146"/>
      <c r="QIY113" s="146"/>
      <c r="QIZ113" s="146"/>
      <c r="QJA113" s="146"/>
      <c r="QJB113" s="146"/>
      <c r="QJC113" s="146"/>
      <c r="QJD113" s="146"/>
      <c r="QJE113" s="146"/>
      <c r="QJF113" s="146"/>
      <c r="QJG113" s="146"/>
      <c r="QJH113" s="146"/>
      <c r="QJI113" s="146"/>
      <c r="QJJ113" s="146"/>
      <c r="QJK113" s="146"/>
      <c r="QJL113" s="146"/>
      <c r="QJM113" s="146"/>
      <c r="QJN113" s="146"/>
      <c r="QJO113" s="146"/>
      <c r="QJP113" s="146"/>
      <c r="QJQ113" s="146"/>
      <c r="QJR113" s="146"/>
      <c r="QJS113" s="146"/>
      <c r="QJT113" s="146"/>
      <c r="QJU113" s="146"/>
      <c r="QJV113" s="146"/>
      <c r="QJW113" s="146"/>
      <c r="QJX113" s="146"/>
      <c r="QJY113" s="146"/>
      <c r="QJZ113" s="146"/>
      <c r="QKA113" s="146"/>
      <c r="QKB113" s="146"/>
      <c r="QKC113" s="146"/>
      <c r="QKD113" s="146"/>
      <c r="QKE113" s="146"/>
      <c r="QKF113" s="146"/>
      <c r="QKG113" s="146"/>
      <c r="QKH113" s="146"/>
      <c r="QKI113" s="146"/>
      <c r="QKJ113" s="146"/>
      <c r="QKK113" s="146"/>
      <c r="QKL113" s="146"/>
      <c r="QKM113" s="146"/>
      <c r="QKN113" s="146"/>
      <c r="QKO113" s="146"/>
      <c r="QKP113" s="146"/>
      <c r="QKQ113" s="146"/>
      <c r="QKR113" s="146"/>
      <c r="QKS113" s="146"/>
      <c r="QKT113" s="146"/>
      <c r="QKU113" s="146"/>
      <c r="QKV113" s="146"/>
      <c r="QKW113" s="146"/>
      <c r="QKX113" s="146"/>
      <c r="QKY113" s="146"/>
      <c r="QKZ113" s="146"/>
      <c r="QLA113" s="146"/>
      <c r="QLB113" s="146"/>
      <c r="QLC113" s="146"/>
      <c r="QLD113" s="146"/>
      <c r="QLE113" s="146"/>
      <c r="QLF113" s="146"/>
      <c r="QLG113" s="146"/>
      <c r="QLH113" s="146"/>
      <c r="QLI113" s="146"/>
      <c r="QLJ113" s="146"/>
      <c r="QLK113" s="146"/>
      <c r="QLL113" s="146"/>
      <c r="QLM113" s="146"/>
      <c r="QLN113" s="146"/>
      <c r="QLO113" s="146"/>
      <c r="QLP113" s="146"/>
      <c r="QLQ113" s="146"/>
      <c r="QLR113" s="146"/>
      <c r="QLS113" s="146"/>
      <c r="QLT113" s="146"/>
      <c r="QLU113" s="146"/>
      <c r="QLV113" s="146"/>
      <c r="QLW113" s="146"/>
      <c r="QLX113" s="146"/>
      <c r="QLY113" s="146"/>
      <c r="QLZ113" s="146"/>
      <c r="QMA113" s="146"/>
      <c r="QMB113" s="146"/>
      <c r="QMC113" s="146"/>
      <c r="QMD113" s="146"/>
      <c r="QME113" s="146"/>
      <c r="QMF113" s="146"/>
      <c r="QMG113" s="146"/>
      <c r="QMH113" s="146"/>
      <c r="QMI113" s="146"/>
      <c r="QMJ113" s="146"/>
      <c r="QMK113" s="146"/>
      <c r="QML113" s="146"/>
      <c r="QMM113" s="146"/>
      <c r="QMN113" s="146"/>
      <c r="QMO113" s="146"/>
      <c r="QMP113" s="146"/>
      <c r="QMQ113" s="146"/>
      <c r="QMR113" s="146"/>
      <c r="QMS113" s="146"/>
      <c r="QMT113" s="146"/>
      <c r="QMU113" s="146"/>
      <c r="QMV113" s="146"/>
      <c r="QMW113" s="146"/>
      <c r="QMX113" s="146"/>
      <c r="QMY113" s="146"/>
      <c r="QMZ113" s="146"/>
      <c r="QNA113" s="146"/>
      <c r="QNB113" s="146"/>
      <c r="QNC113" s="146"/>
      <c r="QND113" s="146"/>
      <c r="QNE113" s="146"/>
      <c r="QNF113" s="146"/>
      <c r="QNG113" s="146"/>
      <c r="QNH113" s="146"/>
      <c r="QNI113" s="146"/>
      <c r="QNJ113" s="146"/>
      <c r="QNK113" s="146"/>
      <c r="QNL113" s="146"/>
      <c r="QNM113" s="146"/>
      <c r="QNN113" s="146"/>
      <c r="QNO113" s="146"/>
      <c r="QNP113" s="146"/>
      <c r="QNQ113" s="146"/>
      <c r="QNR113" s="146"/>
      <c r="QNS113" s="146"/>
      <c r="QNT113" s="146"/>
      <c r="QNU113" s="146"/>
      <c r="QNV113" s="146"/>
      <c r="QNW113" s="146"/>
      <c r="QNX113" s="146"/>
      <c r="QNY113" s="146"/>
      <c r="QNZ113" s="146"/>
      <c r="QOA113" s="146"/>
      <c r="QOB113" s="146"/>
      <c r="QOC113" s="146"/>
      <c r="QOD113" s="146"/>
      <c r="QOE113" s="146"/>
      <c r="QOF113" s="146"/>
      <c r="QOG113" s="146"/>
      <c r="QOH113" s="146"/>
      <c r="QOI113" s="146"/>
      <c r="QOJ113" s="146"/>
      <c r="QOK113" s="146"/>
      <c r="QOL113" s="146"/>
      <c r="QOM113" s="146"/>
      <c r="QON113" s="146"/>
      <c r="QOO113" s="146"/>
      <c r="QOP113" s="146"/>
      <c r="QOQ113" s="146"/>
      <c r="QOR113" s="146"/>
      <c r="QOS113" s="146"/>
      <c r="QOT113" s="146"/>
      <c r="QOU113" s="146"/>
      <c r="QOV113" s="146"/>
      <c r="QOW113" s="146"/>
      <c r="QOX113" s="146"/>
      <c r="QOY113" s="146"/>
      <c r="QOZ113" s="146"/>
      <c r="QPA113" s="146"/>
      <c r="QPB113" s="146"/>
      <c r="QPC113" s="146"/>
      <c r="QPD113" s="146"/>
      <c r="QPE113" s="146"/>
      <c r="QPF113" s="146"/>
      <c r="QPG113" s="146"/>
      <c r="QPH113" s="146"/>
      <c r="QPI113" s="146"/>
      <c r="QPJ113" s="146"/>
      <c r="QPK113" s="146"/>
      <c r="QPL113" s="146"/>
      <c r="QPM113" s="146"/>
      <c r="QPN113" s="146"/>
      <c r="QPO113" s="146"/>
      <c r="QPP113" s="146"/>
      <c r="QPQ113" s="146"/>
      <c r="QPR113" s="146"/>
      <c r="QPS113" s="146"/>
      <c r="QPT113" s="146"/>
      <c r="QPU113" s="146"/>
      <c r="QPV113" s="146"/>
      <c r="QPW113" s="146"/>
      <c r="QPX113" s="146"/>
      <c r="QPY113" s="146"/>
      <c r="QPZ113" s="146"/>
      <c r="QQA113" s="146"/>
      <c r="QQB113" s="146"/>
      <c r="QQC113" s="146"/>
      <c r="QQD113" s="146"/>
      <c r="QQE113" s="146"/>
      <c r="QQF113" s="146"/>
      <c r="QQG113" s="146"/>
      <c r="QQH113" s="146"/>
      <c r="QQI113" s="146"/>
      <c r="QQJ113" s="146"/>
      <c r="QQK113" s="146"/>
      <c r="QQL113" s="146"/>
      <c r="QQM113" s="146"/>
      <c r="QQN113" s="146"/>
      <c r="QQO113" s="146"/>
      <c r="QQP113" s="146"/>
      <c r="QQQ113" s="146"/>
      <c r="QQR113" s="146"/>
      <c r="QQS113" s="146"/>
      <c r="QQT113" s="146"/>
      <c r="QQU113" s="146"/>
      <c r="QQV113" s="146"/>
      <c r="QQW113" s="146"/>
      <c r="QQX113" s="146"/>
      <c r="QQY113" s="146"/>
      <c r="QQZ113" s="146"/>
      <c r="QRA113" s="146"/>
      <c r="QRB113" s="146"/>
      <c r="QRC113" s="146"/>
      <c r="QRD113" s="146"/>
      <c r="QRE113" s="146"/>
      <c r="QRF113" s="146"/>
      <c r="QRG113" s="146"/>
      <c r="QRH113" s="146"/>
      <c r="QRI113" s="146"/>
      <c r="QRJ113" s="146"/>
      <c r="QRK113" s="146"/>
      <c r="QRL113" s="146"/>
      <c r="QRM113" s="146"/>
      <c r="QRN113" s="146"/>
      <c r="QRO113" s="146"/>
      <c r="QRP113" s="146"/>
      <c r="QRQ113" s="146"/>
      <c r="QRR113" s="146"/>
      <c r="QRS113" s="146"/>
      <c r="QRT113" s="146"/>
      <c r="QRU113" s="146"/>
      <c r="QRV113" s="146"/>
      <c r="QRW113" s="146"/>
      <c r="QRX113" s="146"/>
      <c r="QRY113" s="146"/>
      <c r="QRZ113" s="146"/>
      <c r="QSA113" s="146"/>
      <c r="QSB113" s="146"/>
      <c r="QSC113" s="146"/>
      <c r="QSD113" s="146"/>
      <c r="QSE113" s="146"/>
      <c r="QSF113" s="146"/>
      <c r="QSG113" s="146"/>
      <c r="QSH113" s="146"/>
      <c r="QSI113" s="146"/>
      <c r="QSJ113" s="146"/>
      <c r="QSK113" s="146"/>
      <c r="QSL113" s="146"/>
      <c r="QSM113" s="146"/>
      <c r="QSN113" s="146"/>
      <c r="QSO113" s="146"/>
      <c r="QSP113" s="146"/>
      <c r="QSQ113" s="146"/>
      <c r="QSR113" s="146"/>
      <c r="QSS113" s="146"/>
      <c r="QST113" s="146"/>
      <c r="QSU113" s="146"/>
      <c r="QSV113" s="146"/>
      <c r="QSW113" s="146"/>
      <c r="QSX113" s="146"/>
      <c r="QSY113" s="146"/>
      <c r="QSZ113" s="146"/>
      <c r="QTA113" s="146"/>
      <c r="QTB113" s="146"/>
      <c r="QTC113" s="146"/>
      <c r="QTD113" s="146"/>
      <c r="QTE113" s="146"/>
      <c r="QTF113" s="146"/>
      <c r="QTG113" s="146"/>
      <c r="QTH113" s="146"/>
      <c r="QTI113" s="146"/>
      <c r="QTJ113" s="146"/>
      <c r="QTK113" s="146"/>
      <c r="QTL113" s="146"/>
      <c r="QTM113" s="146"/>
      <c r="QTN113" s="146"/>
      <c r="QTO113" s="146"/>
      <c r="QTP113" s="146"/>
      <c r="QTQ113" s="146"/>
      <c r="QTR113" s="146"/>
      <c r="QTS113" s="146"/>
      <c r="QTT113" s="146"/>
      <c r="QTU113" s="146"/>
      <c r="QTV113" s="146"/>
      <c r="QTW113" s="146"/>
      <c r="QTX113" s="146"/>
      <c r="QTY113" s="146"/>
      <c r="QTZ113" s="146"/>
      <c r="QUA113" s="146"/>
      <c r="QUB113" s="146"/>
      <c r="QUC113" s="146"/>
      <c r="QUD113" s="146"/>
      <c r="QUE113" s="146"/>
      <c r="QUF113" s="146"/>
      <c r="QUG113" s="146"/>
      <c r="QUH113" s="146"/>
      <c r="QUI113" s="146"/>
      <c r="QUJ113" s="146"/>
      <c r="QUK113" s="146"/>
      <c r="QUL113" s="146"/>
      <c r="QUM113" s="146"/>
      <c r="QUN113" s="146"/>
      <c r="QUO113" s="146"/>
      <c r="QUP113" s="146"/>
      <c r="QUQ113" s="146"/>
      <c r="QUR113" s="146"/>
      <c r="QUS113" s="146"/>
      <c r="QUT113" s="146"/>
      <c r="QUU113" s="146"/>
      <c r="QUV113" s="146"/>
      <c r="QUW113" s="146"/>
      <c r="QUX113" s="146"/>
      <c r="QUY113" s="146"/>
      <c r="QUZ113" s="146"/>
      <c r="QVA113" s="146"/>
      <c r="QVB113" s="146"/>
      <c r="QVC113" s="146"/>
      <c r="QVD113" s="146"/>
      <c r="QVE113" s="146"/>
      <c r="QVF113" s="146"/>
      <c r="QVG113" s="146"/>
      <c r="QVH113" s="146"/>
      <c r="QVI113" s="146"/>
      <c r="QVJ113" s="146"/>
      <c r="QVK113" s="146"/>
      <c r="QVL113" s="146"/>
      <c r="QVM113" s="146"/>
      <c r="QVN113" s="146"/>
      <c r="QVO113" s="146"/>
      <c r="QVP113" s="146"/>
      <c r="QVQ113" s="146"/>
      <c r="QVR113" s="146"/>
      <c r="QVS113" s="146"/>
      <c r="QVT113" s="146"/>
      <c r="QVU113" s="146"/>
      <c r="QVV113" s="146"/>
      <c r="QVW113" s="146"/>
      <c r="QVX113" s="146"/>
      <c r="QVY113" s="146"/>
      <c r="QVZ113" s="146"/>
      <c r="QWA113" s="146"/>
      <c r="QWB113" s="146"/>
      <c r="QWC113" s="146"/>
      <c r="QWD113" s="146"/>
      <c r="QWE113" s="146"/>
      <c r="QWF113" s="146"/>
      <c r="QWG113" s="146"/>
      <c r="QWH113" s="146"/>
      <c r="QWI113" s="146"/>
      <c r="QWJ113" s="146"/>
      <c r="QWK113" s="146"/>
      <c r="QWL113" s="146"/>
      <c r="QWM113" s="146"/>
      <c r="QWN113" s="146"/>
      <c r="QWO113" s="146"/>
      <c r="QWP113" s="146"/>
      <c r="QWQ113" s="146"/>
      <c r="QWR113" s="146"/>
      <c r="QWS113" s="146"/>
      <c r="QWT113" s="146"/>
      <c r="QWU113" s="146"/>
      <c r="QWV113" s="146"/>
      <c r="QWW113" s="146"/>
      <c r="QWX113" s="146"/>
      <c r="QWY113" s="146"/>
      <c r="QWZ113" s="146"/>
      <c r="QXA113" s="146"/>
      <c r="QXB113" s="146"/>
      <c r="QXC113" s="146"/>
      <c r="QXD113" s="146"/>
      <c r="QXE113" s="146"/>
      <c r="QXF113" s="146"/>
      <c r="QXG113" s="146"/>
      <c r="QXH113" s="146"/>
      <c r="QXI113" s="146"/>
      <c r="QXJ113" s="146"/>
      <c r="QXK113" s="146"/>
      <c r="QXL113" s="146"/>
      <c r="QXM113" s="146"/>
      <c r="QXN113" s="146"/>
      <c r="QXO113" s="146"/>
      <c r="QXP113" s="146"/>
      <c r="QXQ113" s="146"/>
      <c r="QXR113" s="146"/>
      <c r="QXS113" s="146"/>
      <c r="QXT113" s="146"/>
      <c r="QXU113" s="146"/>
      <c r="QXV113" s="146"/>
      <c r="QXW113" s="146"/>
      <c r="QXX113" s="146"/>
      <c r="QXY113" s="146"/>
      <c r="QXZ113" s="146"/>
      <c r="QYA113" s="146"/>
      <c r="QYB113" s="146"/>
      <c r="QYC113" s="146"/>
      <c r="QYD113" s="146"/>
      <c r="QYE113" s="146"/>
      <c r="QYF113" s="146"/>
      <c r="QYG113" s="146"/>
      <c r="QYH113" s="146"/>
      <c r="QYI113" s="146"/>
      <c r="QYJ113" s="146"/>
      <c r="QYK113" s="146"/>
      <c r="QYL113" s="146"/>
      <c r="QYM113" s="146"/>
      <c r="QYN113" s="146"/>
      <c r="QYO113" s="146"/>
      <c r="QYP113" s="146"/>
      <c r="QYQ113" s="146"/>
      <c r="QYR113" s="146"/>
      <c r="QYS113" s="146"/>
      <c r="QYT113" s="146"/>
      <c r="QYU113" s="146"/>
      <c r="QYV113" s="146"/>
      <c r="QYW113" s="146"/>
      <c r="QYX113" s="146"/>
      <c r="QYY113" s="146"/>
      <c r="QYZ113" s="146"/>
      <c r="QZA113" s="146"/>
      <c r="QZB113" s="146"/>
      <c r="QZC113" s="146"/>
      <c r="QZD113" s="146"/>
      <c r="QZE113" s="146"/>
      <c r="QZF113" s="146"/>
      <c r="QZG113" s="146"/>
      <c r="QZH113" s="146"/>
      <c r="QZI113" s="146"/>
      <c r="QZJ113" s="146"/>
      <c r="QZK113" s="146"/>
      <c r="QZL113" s="146"/>
      <c r="QZM113" s="146"/>
      <c r="QZN113" s="146"/>
      <c r="QZO113" s="146"/>
      <c r="QZP113" s="146"/>
      <c r="QZQ113" s="146"/>
      <c r="QZR113" s="146"/>
      <c r="QZS113" s="146"/>
      <c r="QZT113" s="146"/>
      <c r="QZU113" s="146"/>
      <c r="QZV113" s="146"/>
      <c r="QZW113" s="146"/>
      <c r="QZX113" s="146"/>
      <c r="QZY113" s="146"/>
      <c r="QZZ113" s="146"/>
      <c r="RAA113" s="146"/>
      <c r="RAB113" s="146"/>
      <c r="RAC113" s="146"/>
      <c r="RAD113" s="146"/>
      <c r="RAE113" s="146"/>
      <c r="RAF113" s="146"/>
      <c r="RAG113" s="146"/>
      <c r="RAH113" s="146"/>
      <c r="RAI113" s="146"/>
      <c r="RAJ113" s="146"/>
      <c r="RAK113" s="146"/>
      <c r="RAL113" s="146"/>
      <c r="RAM113" s="146"/>
      <c r="RAN113" s="146"/>
      <c r="RAO113" s="146"/>
      <c r="RAP113" s="146"/>
      <c r="RAQ113" s="146"/>
      <c r="RAR113" s="146"/>
      <c r="RAS113" s="146"/>
      <c r="RAT113" s="146"/>
      <c r="RAU113" s="146"/>
      <c r="RAV113" s="146"/>
      <c r="RAW113" s="146"/>
      <c r="RAX113" s="146"/>
      <c r="RAY113" s="146"/>
      <c r="RAZ113" s="146"/>
      <c r="RBA113" s="146"/>
      <c r="RBB113" s="146"/>
      <c r="RBC113" s="146"/>
      <c r="RBD113" s="146"/>
      <c r="RBE113" s="146"/>
      <c r="RBF113" s="146"/>
      <c r="RBG113" s="146"/>
      <c r="RBH113" s="146"/>
      <c r="RBI113" s="146"/>
      <c r="RBJ113" s="146"/>
      <c r="RBK113" s="146"/>
      <c r="RBL113" s="146"/>
      <c r="RBM113" s="146"/>
      <c r="RBN113" s="146"/>
      <c r="RBO113" s="146"/>
      <c r="RBP113" s="146"/>
      <c r="RBQ113" s="146"/>
      <c r="RBR113" s="146"/>
      <c r="RBS113" s="146"/>
      <c r="RBT113" s="146"/>
      <c r="RBU113" s="146"/>
      <c r="RBV113" s="146"/>
      <c r="RBW113" s="146"/>
      <c r="RBX113" s="146"/>
      <c r="RBY113" s="146"/>
      <c r="RBZ113" s="146"/>
      <c r="RCA113" s="146"/>
      <c r="RCB113" s="146"/>
      <c r="RCC113" s="146"/>
      <c r="RCD113" s="146"/>
      <c r="RCE113" s="146"/>
      <c r="RCF113" s="146"/>
      <c r="RCG113" s="146"/>
      <c r="RCH113" s="146"/>
      <c r="RCI113" s="146"/>
      <c r="RCJ113" s="146"/>
      <c r="RCK113" s="146"/>
      <c r="RCL113" s="146"/>
      <c r="RCM113" s="146"/>
      <c r="RCN113" s="146"/>
      <c r="RCO113" s="146"/>
      <c r="RCP113" s="146"/>
      <c r="RCQ113" s="146"/>
      <c r="RCR113" s="146"/>
      <c r="RCS113" s="146"/>
      <c r="RCT113" s="146"/>
      <c r="RCU113" s="146"/>
      <c r="RCV113" s="146"/>
      <c r="RCW113" s="146"/>
      <c r="RCX113" s="146"/>
      <c r="RCY113" s="146"/>
      <c r="RCZ113" s="146"/>
      <c r="RDA113" s="146"/>
      <c r="RDB113" s="146"/>
      <c r="RDC113" s="146"/>
      <c r="RDD113" s="146"/>
      <c r="RDE113" s="146"/>
      <c r="RDF113" s="146"/>
      <c r="RDG113" s="146"/>
      <c r="RDH113" s="146"/>
      <c r="RDI113" s="146"/>
      <c r="RDJ113" s="146"/>
      <c r="RDK113" s="146"/>
      <c r="RDL113" s="146"/>
      <c r="RDM113" s="146"/>
      <c r="RDN113" s="146"/>
      <c r="RDO113" s="146"/>
      <c r="RDP113" s="146"/>
      <c r="RDQ113" s="146"/>
      <c r="RDR113" s="146"/>
      <c r="RDS113" s="146"/>
      <c r="RDT113" s="146"/>
      <c r="RDU113" s="146"/>
      <c r="RDV113" s="146"/>
      <c r="RDW113" s="146"/>
      <c r="RDX113" s="146"/>
      <c r="RDY113" s="146"/>
      <c r="RDZ113" s="146"/>
      <c r="REA113" s="146"/>
      <c r="REB113" s="146"/>
      <c r="REC113" s="146"/>
      <c r="RED113" s="146"/>
      <c r="REE113" s="146"/>
      <c r="REF113" s="146"/>
      <c r="REG113" s="146"/>
      <c r="REH113" s="146"/>
      <c r="REI113" s="146"/>
      <c r="REJ113" s="146"/>
      <c r="REK113" s="146"/>
      <c r="REL113" s="146"/>
      <c r="REM113" s="146"/>
      <c r="REN113" s="146"/>
      <c r="REO113" s="146"/>
      <c r="REP113" s="146"/>
      <c r="REQ113" s="146"/>
      <c r="RER113" s="146"/>
      <c r="RES113" s="146"/>
      <c r="RET113" s="146"/>
      <c r="REU113" s="146"/>
      <c r="REV113" s="146"/>
      <c r="REW113" s="146"/>
      <c r="REX113" s="146"/>
      <c r="REY113" s="146"/>
      <c r="REZ113" s="146"/>
      <c r="RFA113" s="146"/>
      <c r="RFB113" s="146"/>
      <c r="RFC113" s="146"/>
      <c r="RFD113" s="146"/>
      <c r="RFE113" s="146"/>
      <c r="RFF113" s="146"/>
      <c r="RFG113" s="146"/>
      <c r="RFH113" s="146"/>
      <c r="RFI113" s="146"/>
      <c r="RFJ113" s="146"/>
      <c r="RFK113" s="146"/>
      <c r="RFL113" s="146"/>
      <c r="RFM113" s="146"/>
      <c r="RFN113" s="146"/>
      <c r="RFO113" s="146"/>
      <c r="RFP113" s="146"/>
      <c r="RFQ113" s="146"/>
      <c r="RFR113" s="146"/>
      <c r="RFS113" s="146"/>
      <c r="RFT113" s="146"/>
      <c r="RFU113" s="146"/>
      <c r="RFV113" s="146"/>
      <c r="RFW113" s="146"/>
      <c r="RFX113" s="146"/>
      <c r="RFY113" s="146"/>
      <c r="RFZ113" s="146"/>
      <c r="RGA113" s="146"/>
      <c r="RGB113" s="146"/>
      <c r="RGC113" s="146"/>
      <c r="RGD113" s="146"/>
      <c r="RGE113" s="146"/>
      <c r="RGF113" s="146"/>
      <c r="RGG113" s="146"/>
      <c r="RGH113" s="146"/>
      <c r="RGI113" s="146"/>
      <c r="RGJ113" s="146"/>
      <c r="RGK113" s="146"/>
      <c r="RGL113" s="146"/>
      <c r="RGM113" s="146"/>
      <c r="RGN113" s="146"/>
      <c r="RGO113" s="146"/>
      <c r="RGP113" s="146"/>
      <c r="RGQ113" s="146"/>
      <c r="RGR113" s="146"/>
      <c r="RGS113" s="146"/>
      <c r="RGT113" s="146"/>
      <c r="RGU113" s="146"/>
      <c r="RGV113" s="146"/>
      <c r="RGW113" s="146"/>
      <c r="RGX113" s="146"/>
      <c r="RGY113" s="146"/>
      <c r="RGZ113" s="146"/>
      <c r="RHA113" s="146"/>
      <c r="RHB113" s="146"/>
      <c r="RHC113" s="146"/>
      <c r="RHD113" s="146"/>
      <c r="RHE113" s="146"/>
      <c r="RHF113" s="146"/>
      <c r="RHG113" s="146"/>
      <c r="RHH113" s="146"/>
      <c r="RHI113" s="146"/>
      <c r="RHJ113" s="146"/>
      <c r="RHK113" s="146"/>
      <c r="RHL113" s="146"/>
      <c r="RHM113" s="146"/>
      <c r="RHN113" s="146"/>
      <c r="RHO113" s="146"/>
      <c r="RHP113" s="146"/>
      <c r="RHQ113" s="146"/>
      <c r="RHR113" s="146"/>
      <c r="RHS113" s="146"/>
      <c r="RHT113" s="146"/>
      <c r="RHU113" s="146"/>
      <c r="RHV113" s="146"/>
      <c r="RHW113" s="146"/>
      <c r="RHX113" s="146"/>
      <c r="RHY113" s="146"/>
      <c r="RHZ113" s="146"/>
      <c r="RIA113" s="146"/>
      <c r="RIB113" s="146"/>
      <c r="RIC113" s="146"/>
      <c r="RID113" s="146"/>
      <c r="RIE113" s="146"/>
      <c r="RIF113" s="146"/>
      <c r="RIG113" s="146"/>
      <c r="RIH113" s="146"/>
      <c r="RII113" s="146"/>
      <c r="RIJ113" s="146"/>
      <c r="RIK113" s="146"/>
      <c r="RIL113" s="146"/>
      <c r="RIM113" s="146"/>
      <c r="RIN113" s="146"/>
      <c r="RIO113" s="146"/>
      <c r="RIP113" s="146"/>
      <c r="RIQ113" s="146"/>
      <c r="RIR113" s="146"/>
      <c r="RIS113" s="146"/>
      <c r="RIT113" s="146"/>
      <c r="RIU113" s="146"/>
      <c r="RIV113" s="146"/>
      <c r="RIW113" s="146"/>
      <c r="RIX113" s="146"/>
      <c r="RIY113" s="146"/>
      <c r="RIZ113" s="146"/>
      <c r="RJA113" s="146"/>
      <c r="RJB113" s="146"/>
      <c r="RJC113" s="146"/>
      <c r="RJD113" s="146"/>
      <c r="RJE113" s="146"/>
      <c r="RJF113" s="146"/>
      <c r="RJG113" s="146"/>
      <c r="RJH113" s="146"/>
      <c r="RJI113" s="146"/>
      <c r="RJJ113" s="146"/>
      <c r="RJK113" s="146"/>
      <c r="RJL113" s="146"/>
      <c r="RJM113" s="146"/>
      <c r="RJN113" s="146"/>
      <c r="RJO113" s="146"/>
      <c r="RJP113" s="146"/>
      <c r="RJQ113" s="146"/>
      <c r="RJR113" s="146"/>
      <c r="RJS113" s="146"/>
      <c r="RJT113" s="146"/>
      <c r="RJU113" s="146"/>
      <c r="RJV113" s="146"/>
      <c r="RJW113" s="146"/>
      <c r="RJX113" s="146"/>
      <c r="RJY113" s="146"/>
      <c r="RJZ113" s="146"/>
      <c r="RKA113" s="146"/>
      <c r="RKB113" s="146"/>
      <c r="RKC113" s="146"/>
      <c r="RKD113" s="146"/>
      <c r="RKE113" s="146"/>
      <c r="RKF113" s="146"/>
      <c r="RKG113" s="146"/>
      <c r="RKH113" s="146"/>
      <c r="RKI113" s="146"/>
      <c r="RKJ113" s="146"/>
      <c r="RKK113" s="146"/>
      <c r="RKL113" s="146"/>
      <c r="RKM113" s="146"/>
      <c r="RKN113" s="146"/>
      <c r="RKO113" s="146"/>
      <c r="RKP113" s="146"/>
      <c r="RKQ113" s="146"/>
      <c r="RKR113" s="146"/>
      <c r="RKS113" s="146"/>
      <c r="RKT113" s="146"/>
      <c r="RKU113" s="146"/>
      <c r="RKV113" s="146"/>
      <c r="RKW113" s="146"/>
      <c r="RKX113" s="146"/>
      <c r="RKY113" s="146"/>
      <c r="RKZ113" s="146"/>
      <c r="RLA113" s="146"/>
      <c r="RLB113" s="146"/>
      <c r="RLC113" s="146"/>
      <c r="RLD113" s="146"/>
      <c r="RLE113" s="146"/>
      <c r="RLF113" s="146"/>
      <c r="RLG113" s="146"/>
      <c r="RLH113" s="146"/>
      <c r="RLI113" s="146"/>
      <c r="RLJ113" s="146"/>
      <c r="RLK113" s="146"/>
      <c r="RLL113" s="146"/>
      <c r="RLM113" s="146"/>
      <c r="RLN113" s="146"/>
      <c r="RLO113" s="146"/>
      <c r="RLP113" s="146"/>
      <c r="RLQ113" s="146"/>
      <c r="RLR113" s="146"/>
      <c r="RLS113" s="146"/>
      <c r="RLT113" s="146"/>
      <c r="RLU113" s="146"/>
      <c r="RLV113" s="146"/>
      <c r="RLW113" s="146"/>
      <c r="RLX113" s="146"/>
      <c r="RLY113" s="146"/>
      <c r="RLZ113" s="146"/>
      <c r="RMA113" s="146"/>
      <c r="RMB113" s="146"/>
      <c r="RMC113" s="146"/>
      <c r="RMD113" s="146"/>
      <c r="RME113" s="146"/>
      <c r="RMF113" s="146"/>
      <c r="RMG113" s="146"/>
      <c r="RMH113" s="146"/>
      <c r="RMI113" s="146"/>
      <c r="RMJ113" s="146"/>
      <c r="RMK113" s="146"/>
      <c r="RML113" s="146"/>
      <c r="RMM113" s="146"/>
      <c r="RMN113" s="146"/>
      <c r="RMO113" s="146"/>
      <c r="RMP113" s="146"/>
      <c r="RMQ113" s="146"/>
      <c r="RMR113" s="146"/>
      <c r="RMS113" s="146"/>
      <c r="RMT113" s="146"/>
      <c r="RMU113" s="146"/>
      <c r="RMV113" s="146"/>
      <c r="RMW113" s="146"/>
      <c r="RMX113" s="146"/>
      <c r="RMY113" s="146"/>
      <c r="RMZ113" s="146"/>
      <c r="RNA113" s="146"/>
      <c r="RNB113" s="146"/>
      <c r="RNC113" s="146"/>
      <c r="RND113" s="146"/>
      <c r="RNE113" s="146"/>
      <c r="RNF113" s="146"/>
      <c r="RNG113" s="146"/>
      <c r="RNH113" s="146"/>
      <c r="RNI113" s="146"/>
      <c r="RNJ113" s="146"/>
      <c r="RNK113" s="146"/>
      <c r="RNL113" s="146"/>
      <c r="RNM113" s="146"/>
      <c r="RNN113" s="146"/>
      <c r="RNO113" s="146"/>
      <c r="RNP113" s="146"/>
      <c r="RNQ113" s="146"/>
      <c r="RNR113" s="146"/>
      <c r="RNS113" s="146"/>
      <c r="RNT113" s="146"/>
      <c r="RNU113" s="146"/>
      <c r="RNV113" s="146"/>
      <c r="RNW113" s="146"/>
      <c r="RNX113" s="146"/>
      <c r="RNY113" s="146"/>
      <c r="RNZ113" s="146"/>
      <c r="ROA113" s="146"/>
      <c r="ROB113" s="146"/>
      <c r="ROC113" s="146"/>
      <c r="ROD113" s="146"/>
      <c r="ROE113" s="146"/>
      <c r="ROF113" s="146"/>
      <c r="ROG113" s="146"/>
      <c r="ROH113" s="146"/>
      <c r="ROI113" s="146"/>
      <c r="ROJ113" s="146"/>
      <c r="ROK113" s="146"/>
      <c r="ROL113" s="146"/>
      <c r="ROM113" s="146"/>
      <c r="RON113" s="146"/>
      <c r="ROO113" s="146"/>
      <c r="ROP113" s="146"/>
      <c r="ROQ113" s="146"/>
      <c r="ROR113" s="146"/>
      <c r="ROS113" s="146"/>
      <c r="ROT113" s="146"/>
      <c r="ROU113" s="146"/>
      <c r="ROV113" s="146"/>
      <c r="ROW113" s="146"/>
      <c r="ROX113" s="146"/>
      <c r="ROY113" s="146"/>
      <c r="ROZ113" s="146"/>
      <c r="RPA113" s="146"/>
      <c r="RPB113" s="146"/>
      <c r="RPC113" s="146"/>
      <c r="RPD113" s="146"/>
      <c r="RPE113" s="146"/>
      <c r="RPF113" s="146"/>
      <c r="RPG113" s="146"/>
      <c r="RPH113" s="146"/>
      <c r="RPI113" s="146"/>
      <c r="RPJ113" s="146"/>
      <c r="RPK113" s="146"/>
      <c r="RPL113" s="146"/>
      <c r="RPM113" s="146"/>
      <c r="RPN113" s="146"/>
      <c r="RPO113" s="146"/>
      <c r="RPP113" s="146"/>
      <c r="RPQ113" s="146"/>
      <c r="RPR113" s="146"/>
      <c r="RPS113" s="146"/>
      <c r="RPT113" s="146"/>
      <c r="RPU113" s="146"/>
      <c r="RPV113" s="146"/>
      <c r="RPW113" s="146"/>
      <c r="RPX113" s="146"/>
      <c r="RPY113" s="146"/>
      <c r="RPZ113" s="146"/>
      <c r="RQA113" s="146"/>
      <c r="RQB113" s="146"/>
      <c r="RQC113" s="146"/>
      <c r="RQD113" s="146"/>
      <c r="RQE113" s="146"/>
      <c r="RQF113" s="146"/>
      <c r="RQG113" s="146"/>
      <c r="RQH113" s="146"/>
      <c r="RQI113" s="146"/>
      <c r="RQJ113" s="146"/>
      <c r="RQK113" s="146"/>
      <c r="RQL113" s="146"/>
      <c r="RQM113" s="146"/>
      <c r="RQN113" s="146"/>
      <c r="RQO113" s="146"/>
      <c r="RQP113" s="146"/>
      <c r="RQQ113" s="146"/>
      <c r="RQR113" s="146"/>
      <c r="RQS113" s="146"/>
      <c r="RQT113" s="146"/>
      <c r="RQU113" s="146"/>
      <c r="RQV113" s="146"/>
      <c r="RQW113" s="146"/>
      <c r="RQX113" s="146"/>
      <c r="RQY113" s="146"/>
      <c r="RQZ113" s="146"/>
      <c r="RRA113" s="146"/>
      <c r="RRB113" s="146"/>
      <c r="RRC113" s="146"/>
      <c r="RRD113" s="146"/>
      <c r="RRE113" s="146"/>
      <c r="RRF113" s="146"/>
      <c r="RRG113" s="146"/>
      <c r="RRH113" s="146"/>
      <c r="RRI113" s="146"/>
      <c r="RRJ113" s="146"/>
      <c r="RRK113" s="146"/>
      <c r="RRL113" s="146"/>
      <c r="RRM113" s="146"/>
      <c r="RRN113" s="146"/>
      <c r="RRO113" s="146"/>
      <c r="RRP113" s="146"/>
      <c r="RRQ113" s="146"/>
      <c r="RRR113" s="146"/>
      <c r="RRS113" s="146"/>
      <c r="RRT113" s="146"/>
      <c r="RRU113" s="146"/>
      <c r="RRV113" s="146"/>
      <c r="RRW113" s="146"/>
      <c r="RRX113" s="146"/>
      <c r="RRY113" s="146"/>
      <c r="RRZ113" s="146"/>
      <c r="RSA113" s="146"/>
      <c r="RSB113" s="146"/>
      <c r="RSC113" s="146"/>
      <c r="RSD113" s="146"/>
      <c r="RSE113" s="146"/>
      <c r="RSF113" s="146"/>
      <c r="RSG113" s="146"/>
      <c r="RSH113" s="146"/>
      <c r="RSI113" s="146"/>
      <c r="RSJ113" s="146"/>
      <c r="RSK113" s="146"/>
      <c r="RSL113" s="146"/>
      <c r="RSM113" s="146"/>
      <c r="RSN113" s="146"/>
      <c r="RSO113" s="146"/>
      <c r="RSP113" s="146"/>
      <c r="RSQ113" s="146"/>
      <c r="RSR113" s="146"/>
      <c r="RSS113" s="146"/>
      <c r="RST113" s="146"/>
      <c r="RSU113" s="146"/>
      <c r="RSV113" s="146"/>
      <c r="RSW113" s="146"/>
      <c r="RSX113" s="146"/>
      <c r="RSY113" s="146"/>
      <c r="RSZ113" s="146"/>
      <c r="RTA113" s="146"/>
      <c r="RTB113" s="146"/>
      <c r="RTC113" s="146"/>
      <c r="RTD113" s="146"/>
      <c r="RTE113" s="146"/>
      <c r="RTF113" s="146"/>
      <c r="RTG113" s="146"/>
      <c r="RTH113" s="146"/>
      <c r="RTI113" s="146"/>
      <c r="RTJ113" s="146"/>
      <c r="RTK113" s="146"/>
      <c r="RTL113" s="146"/>
      <c r="RTM113" s="146"/>
      <c r="RTN113" s="146"/>
      <c r="RTO113" s="146"/>
      <c r="RTP113" s="146"/>
      <c r="RTQ113" s="146"/>
      <c r="RTR113" s="146"/>
      <c r="RTS113" s="146"/>
      <c r="RTT113" s="146"/>
      <c r="RTU113" s="146"/>
      <c r="RTV113" s="146"/>
      <c r="RTW113" s="146"/>
      <c r="RTX113" s="146"/>
      <c r="RTY113" s="146"/>
      <c r="RTZ113" s="146"/>
      <c r="RUA113" s="146"/>
      <c r="RUB113" s="146"/>
      <c r="RUC113" s="146"/>
      <c r="RUD113" s="146"/>
      <c r="RUE113" s="146"/>
      <c r="RUF113" s="146"/>
      <c r="RUG113" s="146"/>
      <c r="RUH113" s="146"/>
      <c r="RUI113" s="146"/>
      <c r="RUJ113" s="146"/>
      <c r="RUK113" s="146"/>
      <c r="RUL113" s="146"/>
      <c r="RUM113" s="146"/>
      <c r="RUN113" s="146"/>
      <c r="RUO113" s="146"/>
      <c r="RUP113" s="146"/>
      <c r="RUQ113" s="146"/>
      <c r="RUR113" s="146"/>
      <c r="RUS113" s="146"/>
      <c r="RUT113" s="146"/>
      <c r="RUU113" s="146"/>
      <c r="RUV113" s="146"/>
      <c r="RUW113" s="146"/>
      <c r="RUX113" s="146"/>
      <c r="RUY113" s="146"/>
      <c r="RUZ113" s="146"/>
      <c r="RVA113" s="146"/>
      <c r="RVB113" s="146"/>
      <c r="RVC113" s="146"/>
      <c r="RVD113" s="146"/>
      <c r="RVE113" s="146"/>
      <c r="RVF113" s="146"/>
      <c r="RVG113" s="146"/>
      <c r="RVH113" s="146"/>
      <c r="RVI113" s="146"/>
      <c r="RVJ113" s="146"/>
      <c r="RVK113" s="146"/>
      <c r="RVL113" s="146"/>
      <c r="RVM113" s="146"/>
      <c r="RVN113" s="146"/>
      <c r="RVO113" s="146"/>
      <c r="RVP113" s="146"/>
      <c r="RVQ113" s="146"/>
      <c r="RVR113" s="146"/>
      <c r="RVS113" s="146"/>
      <c r="RVT113" s="146"/>
      <c r="RVU113" s="146"/>
      <c r="RVV113" s="146"/>
      <c r="RVW113" s="146"/>
      <c r="RVX113" s="146"/>
      <c r="RVY113" s="146"/>
      <c r="RVZ113" s="146"/>
      <c r="RWA113" s="146"/>
      <c r="RWB113" s="146"/>
      <c r="RWC113" s="146"/>
      <c r="RWD113" s="146"/>
      <c r="RWE113" s="146"/>
      <c r="RWF113" s="146"/>
      <c r="RWG113" s="146"/>
      <c r="RWH113" s="146"/>
      <c r="RWI113" s="146"/>
      <c r="RWJ113" s="146"/>
      <c r="RWK113" s="146"/>
      <c r="RWL113" s="146"/>
      <c r="RWM113" s="146"/>
      <c r="RWN113" s="146"/>
      <c r="RWO113" s="146"/>
      <c r="RWP113" s="146"/>
      <c r="RWQ113" s="146"/>
      <c r="RWR113" s="146"/>
      <c r="RWS113" s="146"/>
      <c r="RWT113" s="146"/>
      <c r="RWU113" s="146"/>
      <c r="RWV113" s="146"/>
      <c r="RWW113" s="146"/>
      <c r="RWX113" s="146"/>
      <c r="RWY113" s="146"/>
      <c r="RWZ113" s="146"/>
      <c r="RXA113" s="146"/>
      <c r="RXB113" s="146"/>
      <c r="RXC113" s="146"/>
      <c r="RXD113" s="146"/>
      <c r="RXE113" s="146"/>
      <c r="RXF113" s="146"/>
      <c r="RXG113" s="146"/>
      <c r="RXH113" s="146"/>
      <c r="RXI113" s="146"/>
      <c r="RXJ113" s="146"/>
      <c r="RXK113" s="146"/>
      <c r="RXL113" s="146"/>
      <c r="RXM113" s="146"/>
      <c r="RXN113" s="146"/>
      <c r="RXO113" s="146"/>
      <c r="RXP113" s="146"/>
      <c r="RXQ113" s="146"/>
      <c r="RXR113" s="146"/>
      <c r="RXS113" s="146"/>
      <c r="RXT113" s="146"/>
      <c r="RXU113" s="146"/>
      <c r="RXV113" s="146"/>
      <c r="RXW113" s="146"/>
      <c r="RXX113" s="146"/>
      <c r="RXY113" s="146"/>
      <c r="RXZ113" s="146"/>
      <c r="RYA113" s="146"/>
      <c r="RYB113" s="146"/>
      <c r="RYC113" s="146"/>
      <c r="RYD113" s="146"/>
      <c r="RYE113" s="146"/>
      <c r="RYF113" s="146"/>
      <c r="RYG113" s="146"/>
      <c r="RYH113" s="146"/>
      <c r="RYI113" s="146"/>
      <c r="RYJ113" s="146"/>
      <c r="RYK113" s="146"/>
      <c r="RYL113" s="146"/>
      <c r="RYM113" s="146"/>
      <c r="RYN113" s="146"/>
      <c r="RYO113" s="146"/>
      <c r="RYP113" s="146"/>
      <c r="RYQ113" s="146"/>
      <c r="RYR113" s="146"/>
      <c r="RYS113" s="146"/>
      <c r="RYT113" s="146"/>
      <c r="RYU113" s="146"/>
      <c r="RYV113" s="146"/>
      <c r="RYW113" s="146"/>
      <c r="RYX113" s="146"/>
      <c r="RYY113" s="146"/>
      <c r="RYZ113" s="146"/>
      <c r="RZA113" s="146"/>
      <c r="RZB113" s="146"/>
      <c r="RZC113" s="146"/>
      <c r="RZD113" s="146"/>
      <c r="RZE113" s="146"/>
      <c r="RZF113" s="146"/>
      <c r="RZG113" s="146"/>
      <c r="RZH113" s="146"/>
      <c r="RZI113" s="146"/>
      <c r="RZJ113" s="146"/>
      <c r="RZK113" s="146"/>
      <c r="RZL113" s="146"/>
      <c r="RZM113" s="146"/>
      <c r="RZN113" s="146"/>
      <c r="RZO113" s="146"/>
      <c r="RZP113" s="146"/>
      <c r="RZQ113" s="146"/>
      <c r="RZR113" s="146"/>
      <c r="RZS113" s="146"/>
      <c r="RZT113" s="146"/>
      <c r="RZU113" s="146"/>
      <c r="RZV113" s="146"/>
      <c r="RZW113" s="146"/>
      <c r="RZX113" s="146"/>
      <c r="RZY113" s="146"/>
      <c r="RZZ113" s="146"/>
      <c r="SAA113" s="146"/>
      <c r="SAB113" s="146"/>
      <c r="SAC113" s="146"/>
      <c r="SAD113" s="146"/>
      <c r="SAE113" s="146"/>
      <c r="SAF113" s="146"/>
      <c r="SAG113" s="146"/>
      <c r="SAH113" s="146"/>
      <c r="SAI113" s="146"/>
      <c r="SAJ113" s="146"/>
      <c r="SAK113" s="146"/>
      <c r="SAL113" s="146"/>
      <c r="SAM113" s="146"/>
      <c r="SAN113" s="146"/>
      <c r="SAO113" s="146"/>
      <c r="SAP113" s="146"/>
      <c r="SAQ113" s="146"/>
      <c r="SAR113" s="146"/>
      <c r="SAS113" s="146"/>
      <c r="SAT113" s="146"/>
      <c r="SAU113" s="146"/>
      <c r="SAV113" s="146"/>
      <c r="SAW113" s="146"/>
      <c r="SAX113" s="146"/>
      <c r="SAY113" s="146"/>
      <c r="SAZ113" s="146"/>
      <c r="SBA113" s="146"/>
      <c r="SBB113" s="146"/>
      <c r="SBC113" s="146"/>
      <c r="SBD113" s="146"/>
      <c r="SBE113" s="146"/>
      <c r="SBF113" s="146"/>
      <c r="SBG113" s="146"/>
      <c r="SBH113" s="146"/>
      <c r="SBI113" s="146"/>
      <c r="SBJ113" s="146"/>
      <c r="SBK113" s="146"/>
      <c r="SBL113" s="146"/>
      <c r="SBM113" s="146"/>
      <c r="SBN113" s="146"/>
      <c r="SBO113" s="146"/>
      <c r="SBP113" s="146"/>
      <c r="SBQ113" s="146"/>
      <c r="SBR113" s="146"/>
      <c r="SBS113" s="146"/>
      <c r="SBT113" s="146"/>
      <c r="SBU113" s="146"/>
      <c r="SBV113" s="146"/>
      <c r="SBW113" s="146"/>
      <c r="SBX113" s="146"/>
      <c r="SBY113" s="146"/>
      <c r="SBZ113" s="146"/>
      <c r="SCA113" s="146"/>
      <c r="SCB113" s="146"/>
      <c r="SCC113" s="146"/>
      <c r="SCD113" s="146"/>
      <c r="SCE113" s="146"/>
      <c r="SCF113" s="146"/>
      <c r="SCG113" s="146"/>
      <c r="SCH113" s="146"/>
      <c r="SCI113" s="146"/>
      <c r="SCJ113" s="146"/>
      <c r="SCK113" s="146"/>
      <c r="SCL113" s="146"/>
      <c r="SCM113" s="146"/>
      <c r="SCN113" s="146"/>
      <c r="SCO113" s="146"/>
      <c r="SCP113" s="146"/>
      <c r="SCQ113" s="146"/>
      <c r="SCR113" s="146"/>
      <c r="SCS113" s="146"/>
      <c r="SCT113" s="146"/>
      <c r="SCU113" s="146"/>
      <c r="SCV113" s="146"/>
      <c r="SCW113" s="146"/>
      <c r="SCX113" s="146"/>
      <c r="SCY113" s="146"/>
      <c r="SCZ113" s="146"/>
      <c r="SDA113" s="146"/>
      <c r="SDB113" s="146"/>
      <c r="SDC113" s="146"/>
      <c r="SDD113" s="146"/>
      <c r="SDE113" s="146"/>
      <c r="SDF113" s="146"/>
      <c r="SDG113" s="146"/>
      <c r="SDH113" s="146"/>
      <c r="SDI113" s="146"/>
      <c r="SDJ113" s="146"/>
      <c r="SDK113" s="146"/>
      <c r="SDL113" s="146"/>
      <c r="SDM113" s="146"/>
      <c r="SDN113" s="146"/>
      <c r="SDO113" s="146"/>
      <c r="SDP113" s="146"/>
      <c r="SDQ113" s="146"/>
      <c r="SDR113" s="146"/>
      <c r="SDS113" s="146"/>
      <c r="SDT113" s="146"/>
      <c r="SDU113" s="146"/>
      <c r="SDV113" s="146"/>
      <c r="SDW113" s="146"/>
      <c r="SDX113" s="146"/>
      <c r="SDY113" s="146"/>
      <c r="SDZ113" s="146"/>
      <c r="SEA113" s="146"/>
      <c r="SEB113" s="146"/>
      <c r="SEC113" s="146"/>
      <c r="SED113" s="146"/>
      <c r="SEE113" s="146"/>
      <c r="SEF113" s="146"/>
      <c r="SEG113" s="146"/>
      <c r="SEH113" s="146"/>
      <c r="SEI113" s="146"/>
      <c r="SEJ113" s="146"/>
      <c r="SEK113" s="146"/>
      <c r="SEL113" s="146"/>
      <c r="SEM113" s="146"/>
      <c r="SEN113" s="146"/>
      <c r="SEO113" s="146"/>
      <c r="SEP113" s="146"/>
      <c r="SEQ113" s="146"/>
      <c r="SER113" s="146"/>
      <c r="SES113" s="146"/>
      <c r="SET113" s="146"/>
      <c r="SEU113" s="146"/>
      <c r="SEV113" s="146"/>
      <c r="SEW113" s="146"/>
      <c r="SEX113" s="146"/>
      <c r="SEY113" s="146"/>
      <c r="SEZ113" s="146"/>
      <c r="SFA113" s="146"/>
      <c r="SFB113" s="146"/>
      <c r="SFC113" s="146"/>
      <c r="SFD113" s="146"/>
      <c r="SFE113" s="146"/>
      <c r="SFF113" s="146"/>
      <c r="SFG113" s="146"/>
      <c r="SFH113" s="146"/>
      <c r="SFI113" s="146"/>
      <c r="SFJ113" s="146"/>
      <c r="SFK113" s="146"/>
      <c r="SFL113" s="146"/>
      <c r="SFM113" s="146"/>
      <c r="SFN113" s="146"/>
      <c r="SFO113" s="146"/>
      <c r="SFP113" s="146"/>
      <c r="SFQ113" s="146"/>
      <c r="SFR113" s="146"/>
      <c r="SFS113" s="146"/>
      <c r="SFT113" s="146"/>
      <c r="SFU113" s="146"/>
      <c r="SFV113" s="146"/>
      <c r="SFW113" s="146"/>
      <c r="SFX113" s="146"/>
      <c r="SFY113" s="146"/>
      <c r="SFZ113" s="146"/>
      <c r="SGA113" s="146"/>
      <c r="SGB113" s="146"/>
      <c r="SGC113" s="146"/>
      <c r="SGD113" s="146"/>
      <c r="SGE113" s="146"/>
      <c r="SGF113" s="146"/>
      <c r="SGG113" s="146"/>
      <c r="SGH113" s="146"/>
      <c r="SGI113" s="146"/>
      <c r="SGJ113" s="146"/>
      <c r="SGK113" s="146"/>
      <c r="SGL113" s="146"/>
      <c r="SGM113" s="146"/>
      <c r="SGN113" s="146"/>
      <c r="SGO113" s="146"/>
      <c r="SGP113" s="146"/>
      <c r="SGQ113" s="146"/>
      <c r="SGR113" s="146"/>
      <c r="SGS113" s="146"/>
      <c r="SGT113" s="146"/>
      <c r="SGU113" s="146"/>
      <c r="SGV113" s="146"/>
      <c r="SGW113" s="146"/>
      <c r="SGX113" s="146"/>
      <c r="SGY113" s="146"/>
      <c r="SGZ113" s="146"/>
      <c r="SHA113" s="146"/>
      <c r="SHB113" s="146"/>
      <c r="SHC113" s="146"/>
      <c r="SHD113" s="146"/>
      <c r="SHE113" s="146"/>
      <c r="SHF113" s="146"/>
      <c r="SHG113" s="146"/>
      <c r="SHH113" s="146"/>
      <c r="SHI113" s="146"/>
      <c r="SHJ113" s="146"/>
      <c r="SHK113" s="146"/>
      <c r="SHL113" s="146"/>
      <c r="SHM113" s="146"/>
      <c r="SHN113" s="146"/>
      <c r="SHO113" s="146"/>
      <c r="SHP113" s="146"/>
      <c r="SHQ113" s="146"/>
      <c r="SHR113" s="146"/>
      <c r="SHS113" s="146"/>
      <c r="SHT113" s="146"/>
      <c r="SHU113" s="146"/>
      <c r="SHV113" s="146"/>
      <c r="SHW113" s="146"/>
      <c r="SHX113" s="146"/>
      <c r="SHY113" s="146"/>
      <c r="SHZ113" s="146"/>
      <c r="SIA113" s="146"/>
      <c r="SIB113" s="146"/>
      <c r="SIC113" s="146"/>
      <c r="SID113" s="146"/>
      <c r="SIE113" s="146"/>
      <c r="SIF113" s="146"/>
      <c r="SIG113" s="146"/>
      <c r="SIH113" s="146"/>
      <c r="SII113" s="146"/>
      <c r="SIJ113" s="146"/>
      <c r="SIK113" s="146"/>
      <c r="SIL113" s="146"/>
      <c r="SIM113" s="146"/>
      <c r="SIN113" s="146"/>
      <c r="SIO113" s="146"/>
      <c r="SIP113" s="146"/>
      <c r="SIQ113" s="146"/>
      <c r="SIR113" s="146"/>
      <c r="SIS113" s="146"/>
      <c r="SIT113" s="146"/>
      <c r="SIU113" s="146"/>
      <c r="SIV113" s="146"/>
      <c r="SIW113" s="146"/>
      <c r="SIX113" s="146"/>
      <c r="SIY113" s="146"/>
      <c r="SIZ113" s="146"/>
      <c r="SJA113" s="146"/>
      <c r="SJB113" s="146"/>
      <c r="SJC113" s="146"/>
      <c r="SJD113" s="146"/>
      <c r="SJE113" s="146"/>
      <c r="SJF113" s="146"/>
      <c r="SJG113" s="146"/>
      <c r="SJH113" s="146"/>
      <c r="SJI113" s="146"/>
      <c r="SJJ113" s="146"/>
      <c r="SJK113" s="146"/>
      <c r="SJL113" s="146"/>
      <c r="SJM113" s="146"/>
      <c r="SJN113" s="146"/>
      <c r="SJO113" s="146"/>
      <c r="SJP113" s="146"/>
      <c r="SJQ113" s="146"/>
      <c r="SJR113" s="146"/>
      <c r="SJS113" s="146"/>
      <c r="SJT113" s="146"/>
      <c r="SJU113" s="146"/>
      <c r="SJV113" s="146"/>
      <c r="SJW113" s="146"/>
      <c r="SJX113" s="146"/>
      <c r="SJY113" s="146"/>
      <c r="SJZ113" s="146"/>
      <c r="SKA113" s="146"/>
      <c r="SKB113" s="146"/>
      <c r="SKC113" s="146"/>
      <c r="SKD113" s="146"/>
      <c r="SKE113" s="146"/>
      <c r="SKF113" s="146"/>
      <c r="SKG113" s="146"/>
      <c r="SKH113" s="146"/>
      <c r="SKI113" s="146"/>
      <c r="SKJ113" s="146"/>
      <c r="SKK113" s="146"/>
      <c r="SKL113" s="146"/>
      <c r="SKM113" s="146"/>
      <c r="SKN113" s="146"/>
      <c r="SKO113" s="146"/>
      <c r="SKP113" s="146"/>
      <c r="SKQ113" s="146"/>
      <c r="SKR113" s="146"/>
      <c r="SKS113" s="146"/>
      <c r="SKT113" s="146"/>
      <c r="SKU113" s="146"/>
      <c r="SKV113" s="146"/>
      <c r="SKW113" s="146"/>
      <c r="SKX113" s="146"/>
      <c r="SKY113" s="146"/>
      <c r="SKZ113" s="146"/>
      <c r="SLA113" s="146"/>
      <c r="SLB113" s="146"/>
      <c r="SLC113" s="146"/>
      <c r="SLD113" s="146"/>
      <c r="SLE113" s="146"/>
      <c r="SLF113" s="146"/>
      <c r="SLG113" s="146"/>
      <c r="SLH113" s="146"/>
      <c r="SLI113" s="146"/>
      <c r="SLJ113" s="146"/>
      <c r="SLK113" s="146"/>
      <c r="SLL113" s="146"/>
      <c r="SLM113" s="146"/>
      <c r="SLN113" s="146"/>
      <c r="SLO113" s="146"/>
      <c r="SLP113" s="146"/>
      <c r="SLQ113" s="146"/>
      <c r="SLR113" s="146"/>
      <c r="SLS113" s="146"/>
      <c r="SLT113" s="146"/>
      <c r="SLU113" s="146"/>
      <c r="SLV113" s="146"/>
      <c r="SLW113" s="146"/>
      <c r="SLX113" s="146"/>
      <c r="SLY113" s="146"/>
      <c r="SLZ113" s="146"/>
      <c r="SMA113" s="146"/>
      <c r="SMB113" s="146"/>
      <c r="SMC113" s="146"/>
      <c r="SMD113" s="146"/>
      <c r="SME113" s="146"/>
      <c r="SMF113" s="146"/>
      <c r="SMG113" s="146"/>
      <c r="SMH113" s="146"/>
      <c r="SMI113" s="146"/>
      <c r="SMJ113" s="146"/>
      <c r="SMK113" s="146"/>
      <c r="SML113" s="146"/>
      <c r="SMM113" s="146"/>
      <c r="SMN113" s="146"/>
      <c r="SMO113" s="146"/>
      <c r="SMP113" s="146"/>
      <c r="SMQ113" s="146"/>
      <c r="SMR113" s="146"/>
      <c r="SMS113" s="146"/>
      <c r="SMT113" s="146"/>
      <c r="SMU113" s="146"/>
      <c r="SMV113" s="146"/>
      <c r="SMW113" s="146"/>
      <c r="SMX113" s="146"/>
      <c r="SMY113" s="146"/>
      <c r="SMZ113" s="146"/>
      <c r="SNA113" s="146"/>
      <c r="SNB113" s="146"/>
      <c r="SNC113" s="146"/>
      <c r="SND113" s="146"/>
      <c r="SNE113" s="146"/>
      <c r="SNF113" s="146"/>
      <c r="SNG113" s="146"/>
      <c r="SNH113" s="146"/>
      <c r="SNI113" s="146"/>
      <c r="SNJ113" s="146"/>
      <c r="SNK113" s="146"/>
      <c r="SNL113" s="146"/>
      <c r="SNM113" s="146"/>
      <c r="SNN113" s="146"/>
      <c r="SNO113" s="146"/>
      <c r="SNP113" s="146"/>
      <c r="SNQ113" s="146"/>
      <c r="SNR113" s="146"/>
      <c r="SNS113" s="146"/>
      <c r="SNT113" s="146"/>
      <c r="SNU113" s="146"/>
      <c r="SNV113" s="146"/>
      <c r="SNW113" s="146"/>
      <c r="SNX113" s="146"/>
      <c r="SNY113" s="146"/>
      <c r="SNZ113" s="146"/>
      <c r="SOA113" s="146"/>
      <c r="SOB113" s="146"/>
      <c r="SOC113" s="146"/>
      <c r="SOD113" s="146"/>
      <c r="SOE113" s="146"/>
      <c r="SOF113" s="146"/>
      <c r="SOG113" s="146"/>
      <c r="SOH113" s="146"/>
      <c r="SOI113" s="146"/>
      <c r="SOJ113" s="146"/>
      <c r="SOK113" s="146"/>
      <c r="SOL113" s="146"/>
      <c r="SOM113" s="146"/>
      <c r="SON113" s="146"/>
      <c r="SOO113" s="146"/>
      <c r="SOP113" s="146"/>
      <c r="SOQ113" s="146"/>
      <c r="SOR113" s="146"/>
      <c r="SOS113" s="146"/>
      <c r="SOT113" s="146"/>
      <c r="SOU113" s="146"/>
      <c r="SOV113" s="146"/>
      <c r="SOW113" s="146"/>
      <c r="SOX113" s="146"/>
      <c r="SOY113" s="146"/>
      <c r="SOZ113" s="146"/>
      <c r="SPA113" s="146"/>
      <c r="SPB113" s="146"/>
      <c r="SPC113" s="146"/>
      <c r="SPD113" s="146"/>
      <c r="SPE113" s="146"/>
      <c r="SPF113" s="146"/>
      <c r="SPG113" s="146"/>
      <c r="SPH113" s="146"/>
      <c r="SPI113" s="146"/>
      <c r="SPJ113" s="146"/>
      <c r="SPK113" s="146"/>
      <c r="SPL113" s="146"/>
      <c r="SPM113" s="146"/>
      <c r="SPN113" s="146"/>
      <c r="SPO113" s="146"/>
      <c r="SPP113" s="146"/>
      <c r="SPQ113" s="146"/>
      <c r="SPR113" s="146"/>
      <c r="SPS113" s="146"/>
      <c r="SPT113" s="146"/>
      <c r="SPU113" s="146"/>
      <c r="SPV113" s="146"/>
      <c r="SPW113" s="146"/>
      <c r="SPX113" s="146"/>
      <c r="SPY113" s="146"/>
      <c r="SPZ113" s="146"/>
      <c r="SQA113" s="146"/>
      <c r="SQB113" s="146"/>
      <c r="SQC113" s="146"/>
      <c r="SQD113" s="146"/>
      <c r="SQE113" s="146"/>
      <c r="SQF113" s="146"/>
      <c r="SQG113" s="146"/>
      <c r="SQH113" s="146"/>
      <c r="SQI113" s="146"/>
      <c r="SQJ113" s="146"/>
      <c r="SQK113" s="146"/>
      <c r="SQL113" s="146"/>
      <c r="SQM113" s="146"/>
      <c r="SQN113" s="146"/>
      <c r="SQO113" s="146"/>
      <c r="SQP113" s="146"/>
      <c r="SQQ113" s="146"/>
      <c r="SQR113" s="146"/>
      <c r="SQS113" s="146"/>
      <c r="SQT113" s="146"/>
      <c r="SQU113" s="146"/>
      <c r="SQV113" s="146"/>
      <c r="SQW113" s="146"/>
      <c r="SQX113" s="146"/>
      <c r="SQY113" s="146"/>
      <c r="SQZ113" s="146"/>
      <c r="SRA113" s="146"/>
      <c r="SRB113" s="146"/>
      <c r="SRC113" s="146"/>
      <c r="SRD113" s="146"/>
      <c r="SRE113" s="146"/>
      <c r="SRF113" s="146"/>
      <c r="SRG113" s="146"/>
      <c r="SRH113" s="146"/>
      <c r="SRI113" s="146"/>
      <c r="SRJ113" s="146"/>
      <c r="SRK113" s="146"/>
      <c r="SRL113" s="146"/>
      <c r="SRM113" s="146"/>
      <c r="SRN113" s="146"/>
      <c r="SRO113" s="146"/>
      <c r="SRP113" s="146"/>
      <c r="SRQ113" s="146"/>
      <c r="SRR113" s="146"/>
      <c r="SRS113" s="146"/>
      <c r="SRT113" s="146"/>
      <c r="SRU113" s="146"/>
      <c r="SRV113" s="146"/>
      <c r="SRW113" s="146"/>
      <c r="SRX113" s="146"/>
      <c r="SRY113" s="146"/>
      <c r="SRZ113" s="146"/>
      <c r="SSA113" s="146"/>
      <c r="SSB113" s="146"/>
      <c r="SSC113" s="146"/>
      <c r="SSD113" s="146"/>
      <c r="SSE113" s="146"/>
      <c r="SSF113" s="146"/>
      <c r="SSG113" s="146"/>
      <c r="SSH113" s="146"/>
      <c r="SSI113" s="146"/>
      <c r="SSJ113" s="146"/>
      <c r="SSK113" s="146"/>
      <c r="SSL113" s="146"/>
      <c r="SSM113" s="146"/>
      <c r="SSN113" s="146"/>
      <c r="SSO113" s="146"/>
      <c r="SSP113" s="146"/>
      <c r="SSQ113" s="146"/>
      <c r="SSR113" s="146"/>
      <c r="SSS113" s="146"/>
      <c r="SST113" s="146"/>
      <c r="SSU113" s="146"/>
      <c r="SSV113" s="146"/>
      <c r="SSW113" s="146"/>
      <c r="SSX113" s="146"/>
      <c r="SSY113" s="146"/>
      <c r="SSZ113" s="146"/>
      <c r="STA113" s="146"/>
      <c r="STB113" s="146"/>
      <c r="STC113" s="146"/>
      <c r="STD113" s="146"/>
      <c r="STE113" s="146"/>
      <c r="STF113" s="146"/>
      <c r="STG113" s="146"/>
      <c r="STH113" s="146"/>
      <c r="STI113" s="146"/>
      <c r="STJ113" s="146"/>
      <c r="STK113" s="146"/>
      <c r="STL113" s="146"/>
      <c r="STM113" s="146"/>
      <c r="STN113" s="146"/>
      <c r="STO113" s="146"/>
      <c r="STP113" s="146"/>
      <c r="STQ113" s="146"/>
      <c r="STR113" s="146"/>
      <c r="STS113" s="146"/>
      <c r="STT113" s="146"/>
      <c r="STU113" s="146"/>
      <c r="STV113" s="146"/>
      <c r="STW113" s="146"/>
      <c r="STX113" s="146"/>
      <c r="STY113" s="146"/>
      <c r="STZ113" s="146"/>
      <c r="SUA113" s="146"/>
      <c r="SUB113" s="146"/>
      <c r="SUC113" s="146"/>
      <c r="SUD113" s="146"/>
      <c r="SUE113" s="146"/>
      <c r="SUF113" s="146"/>
      <c r="SUG113" s="146"/>
      <c r="SUH113" s="146"/>
      <c r="SUI113" s="146"/>
      <c r="SUJ113" s="146"/>
      <c r="SUK113" s="146"/>
      <c r="SUL113" s="146"/>
      <c r="SUM113" s="146"/>
      <c r="SUN113" s="146"/>
      <c r="SUO113" s="146"/>
      <c r="SUP113" s="146"/>
      <c r="SUQ113" s="146"/>
      <c r="SUR113" s="146"/>
      <c r="SUS113" s="146"/>
      <c r="SUT113" s="146"/>
      <c r="SUU113" s="146"/>
      <c r="SUV113" s="146"/>
      <c r="SUW113" s="146"/>
      <c r="SUX113" s="146"/>
      <c r="SUY113" s="146"/>
      <c r="SUZ113" s="146"/>
      <c r="SVA113" s="146"/>
      <c r="SVB113" s="146"/>
      <c r="SVC113" s="146"/>
      <c r="SVD113" s="146"/>
      <c r="SVE113" s="146"/>
      <c r="SVF113" s="146"/>
      <c r="SVG113" s="146"/>
      <c r="SVH113" s="146"/>
      <c r="SVI113" s="146"/>
      <c r="SVJ113" s="146"/>
      <c r="SVK113" s="146"/>
      <c r="SVL113" s="146"/>
      <c r="SVM113" s="146"/>
      <c r="SVN113" s="146"/>
      <c r="SVO113" s="146"/>
      <c r="SVP113" s="146"/>
      <c r="SVQ113" s="146"/>
      <c r="SVR113" s="146"/>
      <c r="SVS113" s="146"/>
      <c r="SVT113" s="146"/>
      <c r="SVU113" s="146"/>
      <c r="SVV113" s="146"/>
      <c r="SVW113" s="146"/>
      <c r="SVX113" s="146"/>
      <c r="SVY113" s="146"/>
      <c r="SVZ113" s="146"/>
      <c r="SWA113" s="146"/>
      <c r="SWB113" s="146"/>
      <c r="SWC113" s="146"/>
      <c r="SWD113" s="146"/>
      <c r="SWE113" s="146"/>
      <c r="SWF113" s="146"/>
      <c r="SWG113" s="146"/>
      <c r="SWH113" s="146"/>
      <c r="SWI113" s="146"/>
      <c r="SWJ113" s="146"/>
      <c r="SWK113" s="146"/>
      <c r="SWL113" s="146"/>
      <c r="SWM113" s="146"/>
      <c r="SWN113" s="146"/>
      <c r="SWO113" s="146"/>
      <c r="SWP113" s="146"/>
      <c r="SWQ113" s="146"/>
      <c r="SWR113" s="146"/>
      <c r="SWS113" s="146"/>
      <c r="SWT113" s="146"/>
      <c r="SWU113" s="146"/>
      <c r="SWV113" s="146"/>
      <c r="SWW113" s="146"/>
      <c r="SWX113" s="146"/>
      <c r="SWY113" s="146"/>
      <c r="SWZ113" s="146"/>
      <c r="SXA113" s="146"/>
      <c r="SXB113" s="146"/>
      <c r="SXC113" s="146"/>
      <c r="SXD113" s="146"/>
      <c r="SXE113" s="146"/>
      <c r="SXF113" s="146"/>
      <c r="SXG113" s="146"/>
      <c r="SXH113" s="146"/>
      <c r="SXI113" s="146"/>
      <c r="SXJ113" s="146"/>
      <c r="SXK113" s="146"/>
      <c r="SXL113" s="146"/>
      <c r="SXM113" s="146"/>
      <c r="SXN113" s="146"/>
      <c r="SXO113" s="146"/>
      <c r="SXP113" s="146"/>
      <c r="SXQ113" s="146"/>
      <c r="SXR113" s="146"/>
      <c r="SXS113" s="146"/>
      <c r="SXT113" s="146"/>
      <c r="SXU113" s="146"/>
      <c r="SXV113" s="146"/>
      <c r="SXW113" s="146"/>
      <c r="SXX113" s="146"/>
      <c r="SXY113" s="146"/>
      <c r="SXZ113" s="146"/>
      <c r="SYA113" s="146"/>
      <c r="SYB113" s="146"/>
      <c r="SYC113" s="146"/>
      <c r="SYD113" s="146"/>
      <c r="SYE113" s="146"/>
      <c r="SYF113" s="146"/>
      <c r="SYG113" s="146"/>
      <c r="SYH113" s="146"/>
      <c r="SYI113" s="146"/>
      <c r="SYJ113" s="146"/>
      <c r="SYK113" s="146"/>
      <c r="SYL113" s="146"/>
      <c r="SYM113" s="146"/>
      <c r="SYN113" s="146"/>
      <c r="SYO113" s="146"/>
      <c r="SYP113" s="146"/>
      <c r="SYQ113" s="146"/>
      <c r="SYR113" s="146"/>
      <c r="SYS113" s="146"/>
      <c r="SYT113" s="146"/>
      <c r="SYU113" s="146"/>
      <c r="SYV113" s="146"/>
      <c r="SYW113" s="146"/>
      <c r="SYX113" s="146"/>
      <c r="SYY113" s="146"/>
      <c r="SYZ113" s="146"/>
      <c r="SZA113" s="146"/>
      <c r="SZB113" s="146"/>
      <c r="SZC113" s="146"/>
      <c r="SZD113" s="146"/>
      <c r="SZE113" s="146"/>
      <c r="SZF113" s="146"/>
      <c r="SZG113" s="146"/>
      <c r="SZH113" s="146"/>
      <c r="SZI113" s="146"/>
      <c r="SZJ113" s="146"/>
      <c r="SZK113" s="146"/>
      <c r="SZL113" s="146"/>
      <c r="SZM113" s="146"/>
      <c r="SZN113" s="146"/>
      <c r="SZO113" s="146"/>
      <c r="SZP113" s="146"/>
      <c r="SZQ113" s="146"/>
      <c r="SZR113" s="146"/>
      <c r="SZS113" s="146"/>
      <c r="SZT113" s="146"/>
      <c r="SZU113" s="146"/>
      <c r="SZV113" s="146"/>
      <c r="SZW113" s="146"/>
      <c r="SZX113" s="146"/>
      <c r="SZY113" s="146"/>
      <c r="SZZ113" s="146"/>
      <c r="TAA113" s="146"/>
      <c r="TAB113" s="146"/>
      <c r="TAC113" s="146"/>
      <c r="TAD113" s="146"/>
      <c r="TAE113" s="146"/>
      <c r="TAF113" s="146"/>
      <c r="TAG113" s="146"/>
      <c r="TAH113" s="146"/>
      <c r="TAI113" s="146"/>
      <c r="TAJ113" s="146"/>
      <c r="TAK113" s="146"/>
      <c r="TAL113" s="146"/>
      <c r="TAM113" s="146"/>
      <c r="TAN113" s="146"/>
      <c r="TAO113" s="146"/>
      <c r="TAP113" s="146"/>
      <c r="TAQ113" s="146"/>
      <c r="TAR113" s="146"/>
      <c r="TAS113" s="146"/>
      <c r="TAT113" s="146"/>
      <c r="TAU113" s="146"/>
      <c r="TAV113" s="146"/>
      <c r="TAW113" s="146"/>
      <c r="TAX113" s="146"/>
      <c r="TAY113" s="146"/>
      <c r="TAZ113" s="146"/>
      <c r="TBA113" s="146"/>
      <c r="TBB113" s="146"/>
      <c r="TBC113" s="146"/>
      <c r="TBD113" s="146"/>
      <c r="TBE113" s="146"/>
      <c r="TBF113" s="146"/>
      <c r="TBG113" s="146"/>
      <c r="TBH113" s="146"/>
      <c r="TBI113" s="146"/>
      <c r="TBJ113" s="146"/>
      <c r="TBK113" s="146"/>
      <c r="TBL113" s="146"/>
      <c r="TBM113" s="146"/>
      <c r="TBN113" s="146"/>
      <c r="TBO113" s="146"/>
      <c r="TBP113" s="146"/>
      <c r="TBQ113" s="146"/>
      <c r="TBR113" s="146"/>
      <c r="TBS113" s="146"/>
      <c r="TBT113" s="146"/>
      <c r="TBU113" s="146"/>
      <c r="TBV113" s="146"/>
      <c r="TBW113" s="146"/>
      <c r="TBX113" s="146"/>
      <c r="TBY113" s="146"/>
      <c r="TBZ113" s="146"/>
      <c r="TCA113" s="146"/>
      <c r="TCB113" s="146"/>
      <c r="TCC113" s="146"/>
      <c r="TCD113" s="146"/>
      <c r="TCE113" s="146"/>
      <c r="TCF113" s="146"/>
      <c r="TCG113" s="146"/>
      <c r="TCH113" s="146"/>
      <c r="TCI113" s="146"/>
      <c r="TCJ113" s="146"/>
      <c r="TCK113" s="146"/>
      <c r="TCL113" s="146"/>
      <c r="TCM113" s="146"/>
      <c r="TCN113" s="146"/>
      <c r="TCO113" s="146"/>
      <c r="TCP113" s="146"/>
      <c r="TCQ113" s="146"/>
      <c r="TCR113" s="146"/>
      <c r="TCS113" s="146"/>
      <c r="TCT113" s="146"/>
      <c r="TCU113" s="146"/>
      <c r="TCV113" s="146"/>
      <c r="TCW113" s="146"/>
      <c r="TCX113" s="146"/>
      <c r="TCY113" s="146"/>
      <c r="TCZ113" s="146"/>
      <c r="TDA113" s="146"/>
      <c r="TDB113" s="146"/>
      <c r="TDC113" s="146"/>
      <c r="TDD113" s="146"/>
      <c r="TDE113" s="146"/>
      <c r="TDF113" s="146"/>
      <c r="TDG113" s="146"/>
      <c r="TDH113" s="146"/>
      <c r="TDI113" s="146"/>
      <c r="TDJ113" s="146"/>
      <c r="TDK113" s="146"/>
      <c r="TDL113" s="146"/>
      <c r="TDM113" s="146"/>
      <c r="TDN113" s="146"/>
      <c r="TDO113" s="146"/>
      <c r="TDP113" s="146"/>
      <c r="TDQ113" s="146"/>
      <c r="TDR113" s="146"/>
      <c r="TDS113" s="146"/>
      <c r="TDT113" s="146"/>
      <c r="TDU113" s="146"/>
      <c r="TDV113" s="146"/>
      <c r="TDW113" s="146"/>
      <c r="TDX113" s="146"/>
      <c r="TDY113" s="146"/>
      <c r="TDZ113" s="146"/>
      <c r="TEA113" s="146"/>
      <c r="TEB113" s="146"/>
      <c r="TEC113" s="146"/>
      <c r="TED113" s="146"/>
      <c r="TEE113" s="146"/>
      <c r="TEF113" s="146"/>
      <c r="TEG113" s="146"/>
      <c r="TEH113" s="146"/>
      <c r="TEI113" s="146"/>
      <c r="TEJ113" s="146"/>
      <c r="TEK113" s="146"/>
      <c r="TEL113" s="146"/>
      <c r="TEM113" s="146"/>
      <c r="TEN113" s="146"/>
      <c r="TEO113" s="146"/>
      <c r="TEP113" s="146"/>
      <c r="TEQ113" s="146"/>
      <c r="TER113" s="146"/>
      <c r="TES113" s="146"/>
      <c r="TET113" s="146"/>
      <c r="TEU113" s="146"/>
      <c r="TEV113" s="146"/>
      <c r="TEW113" s="146"/>
      <c r="TEX113" s="146"/>
      <c r="TEY113" s="146"/>
      <c r="TEZ113" s="146"/>
      <c r="TFA113" s="146"/>
      <c r="TFB113" s="146"/>
      <c r="TFC113" s="146"/>
      <c r="TFD113" s="146"/>
      <c r="TFE113" s="146"/>
      <c r="TFF113" s="146"/>
      <c r="TFG113" s="146"/>
      <c r="TFH113" s="146"/>
      <c r="TFI113" s="146"/>
      <c r="TFJ113" s="146"/>
      <c r="TFK113" s="146"/>
      <c r="TFL113" s="146"/>
      <c r="TFM113" s="146"/>
      <c r="TFN113" s="146"/>
      <c r="TFO113" s="146"/>
      <c r="TFP113" s="146"/>
      <c r="TFQ113" s="146"/>
      <c r="TFR113" s="146"/>
      <c r="TFS113" s="146"/>
      <c r="TFT113" s="146"/>
      <c r="TFU113" s="146"/>
      <c r="TFV113" s="146"/>
      <c r="TFW113" s="146"/>
      <c r="TFX113" s="146"/>
      <c r="TFY113" s="146"/>
      <c r="TFZ113" s="146"/>
      <c r="TGA113" s="146"/>
      <c r="TGB113" s="146"/>
      <c r="TGC113" s="146"/>
      <c r="TGD113" s="146"/>
      <c r="TGE113" s="146"/>
      <c r="TGF113" s="146"/>
      <c r="TGG113" s="146"/>
      <c r="TGH113" s="146"/>
      <c r="TGI113" s="146"/>
      <c r="TGJ113" s="146"/>
      <c r="TGK113" s="146"/>
      <c r="TGL113" s="146"/>
      <c r="TGM113" s="146"/>
      <c r="TGN113" s="146"/>
      <c r="TGO113" s="146"/>
      <c r="TGP113" s="146"/>
      <c r="TGQ113" s="146"/>
      <c r="TGR113" s="146"/>
      <c r="TGS113" s="146"/>
      <c r="TGT113" s="146"/>
      <c r="TGU113" s="146"/>
      <c r="TGV113" s="146"/>
      <c r="TGW113" s="146"/>
      <c r="TGX113" s="146"/>
      <c r="TGY113" s="146"/>
      <c r="TGZ113" s="146"/>
      <c r="THA113" s="146"/>
      <c r="THB113" s="146"/>
      <c r="THC113" s="146"/>
      <c r="THD113" s="146"/>
      <c r="THE113" s="146"/>
      <c r="THF113" s="146"/>
      <c r="THG113" s="146"/>
      <c r="THH113" s="146"/>
      <c r="THI113" s="146"/>
      <c r="THJ113" s="146"/>
      <c r="THK113" s="146"/>
      <c r="THL113" s="146"/>
      <c r="THM113" s="146"/>
      <c r="THN113" s="146"/>
      <c r="THO113" s="146"/>
      <c r="THP113" s="146"/>
      <c r="THQ113" s="146"/>
      <c r="THR113" s="146"/>
      <c r="THS113" s="146"/>
      <c r="THT113" s="146"/>
      <c r="THU113" s="146"/>
      <c r="THV113" s="146"/>
      <c r="THW113" s="146"/>
      <c r="THX113" s="146"/>
      <c r="THY113" s="146"/>
      <c r="THZ113" s="146"/>
      <c r="TIA113" s="146"/>
      <c r="TIB113" s="146"/>
      <c r="TIC113" s="146"/>
      <c r="TID113" s="146"/>
      <c r="TIE113" s="146"/>
      <c r="TIF113" s="146"/>
      <c r="TIG113" s="146"/>
      <c r="TIH113" s="146"/>
      <c r="TII113" s="146"/>
      <c r="TIJ113" s="146"/>
      <c r="TIK113" s="146"/>
      <c r="TIL113" s="146"/>
      <c r="TIM113" s="146"/>
      <c r="TIN113" s="146"/>
      <c r="TIO113" s="146"/>
      <c r="TIP113" s="146"/>
      <c r="TIQ113" s="146"/>
      <c r="TIR113" s="146"/>
      <c r="TIS113" s="146"/>
      <c r="TIT113" s="146"/>
      <c r="TIU113" s="146"/>
      <c r="TIV113" s="146"/>
      <c r="TIW113" s="146"/>
      <c r="TIX113" s="146"/>
      <c r="TIY113" s="146"/>
      <c r="TIZ113" s="146"/>
      <c r="TJA113" s="146"/>
      <c r="TJB113" s="146"/>
      <c r="TJC113" s="146"/>
      <c r="TJD113" s="146"/>
      <c r="TJE113" s="146"/>
      <c r="TJF113" s="146"/>
      <c r="TJG113" s="146"/>
      <c r="TJH113" s="146"/>
      <c r="TJI113" s="146"/>
      <c r="TJJ113" s="146"/>
      <c r="TJK113" s="146"/>
      <c r="TJL113" s="146"/>
      <c r="TJM113" s="146"/>
      <c r="TJN113" s="146"/>
      <c r="TJO113" s="146"/>
      <c r="TJP113" s="146"/>
      <c r="TJQ113" s="146"/>
      <c r="TJR113" s="146"/>
      <c r="TJS113" s="146"/>
      <c r="TJT113" s="146"/>
      <c r="TJU113" s="146"/>
      <c r="TJV113" s="146"/>
      <c r="TJW113" s="146"/>
      <c r="TJX113" s="146"/>
      <c r="TJY113" s="146"/>
      <c r="TJZ113" s="146"/>
      <c r="TKA113" s="146"/>
      <c r="TKB113" s="146"/>
      <c r="TKC113" s="146"/>
      <c r="TKD113" s="146"/>
      <c r="TKE113" s="146"/>
      <c r="TKF113" s="146"/>
      <c r="TKG113" s="146"/>
      <c r="TKH113" s="146"/>
      <c r="TKI113" s="146"/>
      <c r="TKJ113" s="146"/>
      <c r="TKK113" s="146"/>
      <c r="TKL113" s="146"/>
      <c r="TKM113" s="146"/>
      <c r="TKN113" s="146"/>
      <c r="TKO113" s="146"/>
      <c r="TKP113" s="146"/>
      <c r="TKQ113" s="146"/>
      <c r="TKR113" s="146"/>
      <c r="TKS113" s="146"/>
      <c r="TKT113" s="146"/>
      <c r="TKU113" s="146"/>
      <c r="TKV113" s="146"/>
      <c r="TKW113" s="146"/>
      <c r="TKX113" s="146"/>
      <c r="TKY113" s="146"/>
      <c r="TKZ113" s="146"/>
      <c r="TLA113" s="146"/>
      <c r="TLB113" s="146"/>
      <c r="TLC113" s="146"/>
      <c r="TLD113" s="146"/>
      <c r="TLE113" s="146"/>
      <c r="TLF113" s="146"/>
      <c r="TLG113" s="146"/>
      <c r="TLH113" s="146"/>
      <c r="TLI113" s="146"/>
      <c r="TLJ113" s="146"/>
      <c r="TLK113" s="146"/>
      <c r="TLL113" s="146"/>
      <c r="TLM113" s="146"/>
      <c r="TLN113" s="146"/>
      <c r="TLO113" s="146"/>
      <c r="TLP113" s="146"/>
      <c r="TLQ113" s="146"/>
      <c r="TLR113" s="146"/>
      <c r="TLS113" s="146"/>
      <c r="TLT113" s="146"/>
      <c r="TLU113" s="146"/>
      <c r="TLV113" s="146"/>
      <c r="TLW113" s="146"/>
      <c r="TLX113" s="146"/>
      <c r="TLY113" s="146"/>
      <c r="TLZ113" s="146"/>
      <c r="TMA113" s="146"/>
      <c r="TMB113" s="146"/>
      <c r="TMC113" s="146"/>
      <c r="TMD113" s="146"/>
      <c r="TME113" s="146"/>
      <c r="TMF113" s="146"/>
      <c r="TMG113" s="146"/>
      <c r="TMH113" s="146"/>
      <c r="TMI113" s="146"/>
      <c r="TMJ113" s="146"/>
      <c r="TMK113" s="146"/>
      <c r="TML113" s="146"/>
      <c r="TMM113" s="146"/>
      <c r="TMN113" s="146"/>
      <c r="TMO113" s="146"/>
      <c r="TMP113" s="146"/>
      <c r="TMQ113" s="146"/>
      <c r="TMR113" s="146"/>
      <c r="TMS113" s="146"/>
      <c r="TMT113" s="146"/>
      <c r="TMU113" s="146"/>
      <c r="TMV113" s="146"/>
      <c r="TMW113" s="146"/>
      <c r="TMX113" s="146"/>
      <c r="TMY113" s="146"/>
      <c r="TMZ113" s="146"/>
      <c r="TNA113" s="146"/>
      <c r="TNB113" s="146"/>
      <c r="TNC113" s="146"/>
      <c r="TND113" s="146"/>
      <c r="TNE113" s="146"/>
      <c r="TNF113" s="146"/>
      <c r="TNG113" s="146"/>
      <c r="TNH113" s="146"/>
      <c r="TNI113" s="146"/>
      <c r="TNJ113" s="146"/>
      <c r="TNK113" s="146"/>
      <c r="TNL113" s="146"/>
      <c r="TNM113" s="146"/>
      <c r="TNN113" s="146"/>
      <c r="TNO113" s="146"/>
      <c r="TNP113" s="146"/>
      <c r="TNQ113" s="146"/>
      <c r="TNR113" s="146"/>
      <c r="TNS113" s="146"/>
      <c r="TNT113" s="146"/>
      <c r="TNU113" s="146"/>
      <c r="TNV113" s="146"/>
      <c r="TNW113" s="146"/>
      <c r="TNX113" s="146"/>
      <c r="TNY113" s="146"/>
      <c r="TNZ113" s="146"/>
      <c r="TOA113" s="146"/>
      <c r="TOB113" s="146"/>
      <c r="TOC113" s="146"/>
      <c r="TOD113" s="146"/>
      <c r="TOE113" s="146"/>
      <c r="TOF113" s="146"/>
      <c r="TOG113" s="146"/>
      <c r="TOH113" s="146"/>
      <c r="TOI113" s="146"/>
      <c r="TOJ113" s="146"/>
      <c r="TOK113" s="146"/>
      <c r="TOL113" s="146"/>
      <c r="TOM113" s="146"/>
      <c r="TON113" s="146"/>
      <c r="TOO113" s="146"/>
      <c r="TOP113" s="146"/>
      <c r="TOQ113" s="146"/>
      <c r="TOR113" s="146"/>
      <c r="TOS113" s="146"/>
      <c r="TOT113" s="146"/>
      <c r="TOU113" s="146"/>
      <c r="TOV113" s="146"/>
      <c r="TOW113" s="146"/>
      <c r="TOX113" s="146"/>
      <c r="TOY113" s="146"/>
      <c r="TOZ113" s="146"/>
      <c r="TPA113" s="146"/>
      <c r="TPB113" s="146"/>
      <c r="TPC113" s="146"/>
      <c r="TPD113" s="146"/>
      <c r="TPE113" s="146"/>
      <c r="TPF113" s="146"/>
      <c r="TPG113" s="146"/>
      <c r="TPH113" s="146"/>
      <c r="TPI113" s="146"/>
      <c r="TPJ113" s="146"/>
      <c r="TPK113" s="146"/>
      <c r="TPL113" s="146"/>
      <c r="TPM113" s="146"/>
      <c r="TPN113" s="146"/>
      <c r="TPO113" s="146"/>
      <c r="TPP113" s="146"/>
      <c r="TPQ113" s="146"/>
      <c r="TPR113" s="146"/>
      <c r="TPS113" s="146"/>
      <c r="TPT113" s="146"/>
      <c r="TPU113" s="146"/>
      <c r="TPV113" s="146"/>
      <c r="TPW113" s="146"/>
      <c r="TPX113" s="146"/>
      <c r="TPY113" s="146"/>
      <c r="TPZ113" s="146"/>
      <c r="TQA113" s="146"/>
      <c r="TQB113" s="146"/>
      <c r="TQC113" s="146"/>
      <c r="TQD113" s="146"/>
      <c r="TQE113" s="146"/>
      <c r="TQF113" s="146"/>
      <c r="TQG113" s="146"/>
      <c r="TQH113" s="146"/>
      <c r="TQI113" s="146"/>
      <c r="TQJ113" s="146"/>
      <c r="TQK113" s="146"/>
      <c r="TQL113" s="146"/>
      <c r="TQM113" s="146"/>
      <c r="TQN113" s="146"/>
      <c r="TQO113" s="146"/>
      <c r="TQP113" s="146"/>
      <c r="TQQ113" s="146"/>
      <c r="TQR113" s="146"/>
      <c r="TQS113" s="146"/>
      <c r="TQT113" s="146"/>
      <c r="TQU113" s="146"/>
      <c r="TQV113" s="146"/>
      <c r="TQW113" s="146"/>
      <c r="TQX113" s="146"/>
      <c r="TQY113" s="146"/>
      <c r="TQZ113" s="146"/>
      <c r="TRA113" s="146"/>
      <c r="TRB113" s="146"/>
      <c r="TRC113" s="146"/>
      <c r="TRD113" s="146"/>
      <c r="TRE113" s="146"/>
      <c r="TRF113" s="146"/>
      <c r="TRG113" s="146"/>
      <c r="TRH113" s="146"/>
      <c r="TRI113" s="146"/>
      <c r="TRJ113" s="146"/>
      <c r="TRK113" s="146"/>
      <c r="TRL113" s="146"/>
      <c r="TRM113" s="146"/>
      <c r="TRN113" s="146"/>
      <c r="TRO113" s="146"/>
      <c r="TRP113" s="146"/>
      <c r="TRQ113" s="146"/>
      <c r="TRR113" s="146"/>
      <c r="TRS113" s="146"/>
      <c r="TRT113" s="146"/>
      <c r="TRU113" s="146"/>
      <c r="TRV113" s="146"/>
      <c r="TRW113" s="146"/>
      <c r="TRX113" s="146"/>
      <c r="TRY113" s="146"/>
      <c r="TRZ113" s="146"/>
      <c r="TSA113" s="146"/>
      <c r="TSB113" s="146"/>
      <c r="TSC113" s="146"/>
      <c r="TSD113" s="146"/>
      <c r="TSE113" s="146"/>
      <c r="TSF113" s="146"/>
      <c r="TSG113" s="146"/>
      <c r="TSH113" s="146"/>
      <c r="TSI113" s="146"/>
      <c r="TSJ113" s="146"/>
      <c r="TSK113" s="146"/>
      <c r="TSL113" s="146"/>
      <c r="TSM113" s="146"/>
      <c r="TSN113" s="146"/>
      <c r="TSO113" s="146"/>
      <c r="TSP113" s="146"/>
      <c r="TSQ113" s="146"/>
      <c r="TSR113" s="146"/>
      <c r="TSS113" s="146"/>
      <c r="TST113" s="146"/>
      <c r="TSU113" s="146"/>
      <c r="TSV113" s="146"/>
      <c r="TSW113" s="146"/>
      <c r="TSX113" s="146"/>
      <c r="TSY113" s="146"/>
      <c r="TSZ113" s="146"/>
      <c r="TTA113" s="146"/>
      <c r="TTB113" s="146"/>
      <c r="TTC113" s="146"/>
      <c r="TTD113" s="146"/>
      <c r="TTE113" s="146"/>
      <c r="TTF113" s="146"/>
      <c r="TTG113" s="146"/>
      <c r="TTH113" s="146"/>
      <c r="TTI113" s="146"/>
      <c r="TTJ113" s="146"/>
      <c r="TTK113" s="146"/>
      <c r="TTL113" s="146"/>
      <c r="TTM113" s="146"/>
      <c r="TTN113" s="146"/>
      <c r="TTO113" s="146"/>
      <c r="TTP113" s="146"/>
      <c r="TTQ113" s="146"/>
      <c r="TTR113" s="146"/>
      <c r="TTS113" s="146"/>
      <c r="TTT113" s="146"/>
      <c r="TTU113" s="146"/>
      <c r="TTV113" s="146"/>
      <c r="TTW113" s="146"/>
      <c r="TTX113" s="146"/>
      <c r="TTY113" s="146"/>
      <c r="TTZ113" s="146"/>
      <c r="TUA113" s="146"/>
      <c r="TUB113" s="146"/>
      <c r="TUC113" s="146"/>
      <c r="TUD113" s="146"/>
      <c r="TUE113" s="146"/>
      <c r="TUF113" s="146"/>
      <c r="TUG113" s="146"/>
      <c r="TUH113" s="146"/>
      <c r="TUI113" s="146"/>
      <c r="TUJ113" s="146"/>
      <c r="TUK113" s="146"/>
      <c r="TUL113" s="146"/>
      <c r="TUM113" s="146"/>
      <c r="TUN113" s="146"/>
      <c r="TUO113" s="146"/>
      <c r="TUP113" s="146"/>
      <c r="TUQ113" s="146"/>
      <c r="TUR113" s="146"/>
      <c r="TUS113" s="146"/>
      <c r="TUT113" s="146"/>
      <c r="TUU113" s="146"/>
      <c r="TUV113" s="146"/>
      <c r="TUW113" s="146"/>
      <c r="TUX113" s="146"/>
      <c r="TUY113" s="146"/>
      <c r="TUZ113" s="146"/>
      <c r="TVA113" s="146"/>
      <c r="TVB113" s="146"/>
      <c r="TVC113" s="146"/>
      <c r="TVD113" s="146"/>
      <c r="TVE113" s="146"/>
      <c r="TVF113" s="146"/>
      <c r="TVG113" s="146"/>
      <c r="TVH113" s="146"/>
      <c r="TVI113" s="146"/>
      <c r="TVJ113" s="146"/>
      <c r="TVK113" s="146"/>
      <c r="TVL113" s="146"/>
      <c r="TVM113" s="146"/>
      <c r="TVN113" s="146"/>
      <c r="TVO113" s="146"/>
      <c r="TVP113" s="146"/>
      <c r="TVQ113" s="146"/>
      <c r="TVR113" s="146"/>
      <c r="TVS113" s="146"/>
      <c r="TVT113" s="146"/>
      <c r="TVU113" s="146"/>
      <c r="TVV113" s="146"/>
      <c r="TVW113" s="146"/>
      <c r="TVX113" s="146"/>
      <c r="TVY113" s="146"/>
      <c r="TVZ113" s="146"/>
      <c r="TWA113" s="146"/>
      <c r="TWB113" s="146"/>
      <c r="TWC113" s="146"/>
      <c r="TWD113" s="146"/>
      <c r="TWE113" s="146"/>
      <c r="TWF113" s="146"/>
      <c r="TWG113" s="146"/>
      <c r="TWH113" s="146"/>
      <c r="TWI113" s="146"/>
      <c r="TWJ113" s="146"/>
      <c r="TWK113" s="146"/>
      <c r="TWL113" s="146"/>
      <c r="TWM113" s="146"/>
      <c r="TWN113" s="146"/>
      <c r="TWO113" s="146"/>
      <c r="TWP113" s="146"/>
      <c r="TWQ113" s="146"/>
      <c r="TWR113" s="146"/>
      <c r="TWS113" s="146"/>
      <c r="TWT113" s="146"/>
      <c r="TWU113" s="146"/>
      <c r="TWV113" s="146"/>
      <c r="TWW113" s="146"/>
      <c r="TWX113" s="146"/>
      <c r="TWY113" s="146"/>
      <c r="TWZ113" s="146"/>
      <c r="TXA113" s="146"/>
      <c r="TXB113" s="146"/>
      <c r="TXC113" s="146"/>
      <c r="TXD113" s="146"/>
      <c r="TXE113" s="146"/>
      <c r="TXF113" s="146"/>
      <c r="TXG113" s="146"/>
      <c r="TXH113" s="146"/>
      <c r="TXI113" s="146"/>
      <c r="TXJ113" s="146"/>
      <c r="TXK113" s="146"/>
      <c r="TXL113" s="146"/>
      <c r="TXM113" s="146"/>
      <c r="TXN113" s="146"/>
      <c r="TXO113" s="146"/>
      <c r="TXP113" s="146"/>
      <c r="TXQ113" s="146"/>
      <c r="TXR113" s="146"/>
      <c r="TXS113" s="146"/>
      <c r="TXT113" s="146"/>
      <c r="TXU113" s="146"/>
      <c r="TXV113" s="146"/>
      <c r="TXW113" s="146"/>
      <c r="TXX113" s="146"/>
      <c r="TXY113" s="146"/>
      <c r="TXZ113" s="146"/>
      <c r="TYA113" s="146"/>
      <c r="TYB113" s="146"/>
      <c r="TYC113" s="146"/>
      <c r="TYD113" s="146"/>
      <c r="TYE113" s="146"/>
      <c r="TYF113" s="146"/>
      <c r="TYG113" s="146"/>
      <c r="TYH113" s="146"/>
      <c r="TYI113" s="146"/>
      <c r="TYJ113" s="146"/>
      <c r="TYK113" s="146"/>
      <c r="TYL113" s="146"/>
      <c r="TYM113" s="146"/>
      <c r="TYN113" s="146"/>
      <c r="TYO113" s="146"/>
      <c r="TYP113" s="146"/>
      <c r="TYQ113" s="146"/>
      <c r="TYR113" s="146"/>
      <c r="TYS113" s="146"/>
      <c r="TYT113" s="146"/>
      <c r="TYU113" s="146"/>
      <c r="TYV113" s="146"/>
      <c r="TYW113" s="146"/>
      <c r="TYX113" s="146"/>
      <c r="TYY113" s="146"/>
      <c r="TYZ113" s="146"/>
      <c r="TZA113" s="146"/>
      <c r="TZB113" s="146"/>
      <c r="TZC113" s="146"/>
      <c r="TZD113" s="146"/>
      <c r="TZE113" s="146"/>
      <c r="TZF113" s="146"/>
      <c r="TZG113" s="146"/>
      <c r="TZH113" s="146"/>
      <c r="TZI113" s="146"/>
      <c r="TZJ113" s="146"/>
      <c r="TZK113" s="146"/>
      <c r="TZL113" s="146"/>
      <c r="TZM113" s="146"/>
      <c r="TZN113" s="146"/>
      <c r="TZO113" s="146"/>
      <c r="TZP113" s="146"/>
      <c r="TZQ113" s="146"/>
      <c r="TZR113" s="146"/>
      <c r="TZS113" s="146"/>
      <c r="TZT113" s="146"/>
      <c r="TZU113" s="146"/>
      <c r="TZV113" s="146"/>
      <c r="TZW113" s="146"/>
      <c r="TZX113" s="146"/>
      <c r="TZY113" s="146"/>
      <c r="TZZ113" s="146"/>
      <c r="UAA113" s="146"/>
      <c r="UAB113" s="146"/>
      <c r="UAC113" s="146"/>
      <c r="UAD113" s="146"/>
      <c r="UAE113" s="146"/>
      <c r="UAF113" s="146"/>
      <c r="UAG113" s="146"/>
      <c r="UAH113" s="146"/>
      <c r="UAI113" s="146"/>
      <c r="UAJ113" s="146"/>
      <c r="UAK113" s="146"/>
      <c r="UAL113" s="146"/>
      <c r="UAM113" s="146"/>
      <c r="UAN113" s="146"/>
      <c r="UAO113" s="146"/>
      <c r="UAP113" s="146"/>
      <c r="UAQ113" s="146"/>
      <c r="UAR113" s="146"/>
      <c r="UAS113" s="146"/>
      <c r="UAT113" s="146"/>
      <c r="UAU113" s="146"/>
      <c r="UAV113" s="146"/>
      <c r="UAW113" s="146"/>
      <c r="UAX113" s="146"/>
      <c r="UAY113" s="146"/>
      <c r="UAZ113" s="146"/>
      <c r="UBA113" s="146"/>
      <c r="UBB113" s="146"/>
      <c r="UBC113" s="146"/>
      <c r="UBD113" s="146"/>
      <c r="UBE113" s="146"/>
      <c r="UBF113" s="146"/>
      <c r="UBG113" s="146"/>
      <c r="UBH113" s="146"/>
      <c r="UBI113" s="146"/>
      <c r="UBJ113" s="146"/>
      <c r="UBK113" s="146"/>
      <c r="UBL113" s="146"/>
      <c r="UBM113" s="146"/>
      <c r="UBN113" s="146"/>
      <c r="UBO113" s="146"/>
      <c r="UBP113" s="146"/>
      <c r="UBQ113" s="146"/>
      <c r="UBR113" s="146"/>
      <c r="UBS113" s="146"/>
      <c r="UBT113" s="146"/>
      <c r="UBU113" s="146"/>
      <c r="UBV113" s="146"/>
      <c r="UBW113" s="146"/>
      <c r="UBX113" s="146"/>
      <c r="UBY113" s="146"/>
      <c r="UBZ113" s="146"/>
      <c r="UCA113" s="146"/>
      <c r="UCB113" s="146"/>
      <c r="UCC113" s="146"/>
      <c r="UCD113" s="146"/>
      <c r="UCE113" s="146"/>
      <c r="UCF113" s="146"/>
      <c r="UCG113" s="146"/>
      <c r="UCH113" s="146"/>
      <c r="UCI113" s="146"/>
      <c r="UCJ113" s="146"/>
      <c r="UCK113" s="146"/>
      <c r="UCL113" s="146"/>
      <c r="UCM113" s="146"/>
      <c r="UCN113" s="146"/>
      <c r="UCO113" s="146"/>
      <c r="UCP113" s="146"/>
      <c r="UCQ113" s="146"/>
      <c r="UCR113" s="146"/>
      <c r="UCS113" s="146"/>
      <c r="UCT113" s="146"/>
      <c r="UCU113" s="146"/>
      <c r="UCV113" s="146"/>
      <c r="UCW113" s="146"/>
      <c r="UCX113" s="146"/>
      <c r="UCY113" s="146"/>
      <c r="UCZ113" s="146"/>
      <c r="UDA113" s="146"/>
      <c r="UDB113" s="146"/>
      <c r="UDC113" s="146"/>
      <c r="UDD113" s="146"/>
      <c r="UDE113" s="146"/>
      <c r="UDF113" s="146"/>
      <c r="UDG113" s="146"/>
      <c r="UDH113" s="146"/>
      <c r="UDI113" s="146"/>
      <c r="UDJ113" s="146"/>
      <c r="UDK113" s="146"/>
      <c r="UDL113" s="146"/>
      <c r="UDM113" s="146"/>
      <c r="UDN113" s="146"/>
      <c r="UDO113" s="146"/>
      <c r="UDP113" s="146"/>
      <c r="UDQ113" s="146"/>
      <c r="UDR113" s="146"/>
      <c r="UDS113" s="146"/>
      <c r="UDT113" s="146"/>
      <c r="UDU113" s="146"/>
      <c r="UDV113" s="146"/>
      <c r="UDW113" s="146"/>
      <c r="UDX113" s="146"/>
      <c r="UDY113" s="146"/>
      <c r="UDZ113" s="146"/>
      <c r="UEA113" s="146"/>
      <c r="UEB113" s="146"/>
      <c r="UEC113" s="146"/>
      <c r="UED113" s="146"/>
      <c r="UEE113" s="146"/>
      <c r="UEF113" s="146"/>
      <c r="UEG113" s="146"/>
      <c r="UEH113" s="146"/>
      <c r="UEI113" s="146"/>
      <c r="UEJ113" s="146"/>
      <c r="UEK113" s="146"/>
      <c r="UEL113" s="146"/>
      <c r="UEM113" s="146"/>
      <c r="UEN113" s="146"/>
      <c r="UEO113" s="146"/>
      <c r="UEP113" s="146"/>
      <c r="UEQ113" s="146"/>
      <c r="UER113" s="146"/>
      <c r="UES113" s="146"/>
      <c r="UET113" s="146"/>
      <c r="UEU113" s="146"/>
      <c r="UEV113" s="146"/>
      <c r="UEW113" s="146"/>
      <c r="UEX113" s="146"/>
      <c r="UEY113" s="146"/>
      <c r="UEZ113" s="146"/>
      <c r="UFA113" s="146"/>
      <c r="UFB113" s="146"/>
      <c r="UFC113" s="146"/>
      <c r="UFD113" s="146"/>
      <c r="UFE113" s="146"/>
      <c r="UFF113" s="146"/>
      <c r="UFG113" s="146"/>
      <c r="UFH113" s="146"/>
      <c r="UFI113" s="146"/>
      <c r="UFJ113" s="146"/>
      <c r="UFK113" s="146"/>
      <c r="UFL113" s="146"/>
      <c r="UFM113" s="146"/>
      <c r="UFN113" s="146"/>
      <c r="UFO113" s="146"/>
      <c r="UFP113" s="146"/>
      <c r="UFQ113" s="146"/>
      <c r="UFR113" s="146"/>
      <c r="UFS113" s="146"/>
      <c r="UFT113" s="146"/>
      <c r="UFU113" s="146"/>
      <c r="UFV113" s="146"/>
      <c r="UFW113" s="146"/>
      <c r="UFX113" s="146"/>
      <c r="UFY113" s="146"/>
      <c r="UFZ113" s="146"/>
      <c r="UGA113" s="146"/>
      <c r="UGB113" s="146"/>
      <c r="UGC113" s="146"/>
      <c r="UGD113" s="146"/>
      <c r="UGE113" s="146"/>
      <c r="UGF113" s="146"/>
      <c r="UGG113" s="146"/>
      <c r="UGH113" s="146"/>
      <c r="UGI113" s="146"/>
      <c r="UGJ113" s="146"/>
      <c r="UGK113" s="146"/>
      <c r="UGL113" s="146"/>
      <c r="UGM113" s="146"/>
      <c r="UGN113" s="146"/>
      <c r="UGO113" s="146"/>
      <c r="UGP113" s="146"/>
      <c r="UGQ113" s="146"/>
      <c r="UGR113" s="146"/>
      <c r="UGS113" s="146"/>
      <c r="UGT113" s="146"/>
      <c r="UGU113" s="146"/>
      <c r="UGV113" s="146"/>
      <c r="UGW113" s="146"/>
      <c r="UGX113" s="146"/>
      <c r="UGY113" s="146"/>
      <c r="UGZ113" s="146"/>
      <c r="UHA113" s="146"/>
      <c r="UHB113" s="146"/>
      <c r="UHC113" s="146"/>
      <c r="UHD113" s="146"/>
      <c r="UHE113" s="146"/>
      <c r="UHF113" s="146"/>
      <c r="UHG113" s="146"/>
      <c r="UHH113" s="146"/>
      <c r="UHI113" s="146"/>
      <c r="UHJ113" s="146"/>
      <c r="UHK113" s="146"/>
      <c r="UHL113" s="146"/>
      <c r="UHM113" s="146"/>
      <c r="UHN113" s="146"/>
      <c r="UHO113" s="146"/>
      <c r="UHP113" s="146"/>
      <c r="UHQ113" s="146"/>
      <c r="UHR113" s="146"/>
      <c r="UHS113" s="146"/>
      <c r="UHT113" s="146"/>
      <c r="UHU113" s="146"/>
      <c r="UHV113" s="146"/>
      <c r="UHW113" s="146"/>
      <c r="UHX113" s="146"/>
      <c r="UHY113" s="146"/>
      <c r="UHZ113" s="146"/>
      <c r="UIA113" s="146"/>
      <c r="UIB113" s="146"/>
      <c r="UIC113" s="146"/>
      <c r="UID113" s="146"/>
      <c r="UIE113" s="146"/>
      <c r="UIF113" s="146"/>
      <c r="UIG113" s="146"/>
      <c r="UIH113" s="146"/>
      <c r="UII113" s="146"/>
      <c r="UIJ113" s="146"/>
      <c r="UIK113" s="146"/>
      <c r="UIL113" s="146"/>
      <c r="UIM113" s="146"/>
      <c r="UIN113" s="146"/>
      <c r="UIO113" s="146"/>
      <c r="UIP113" s="146"/>
      <c r="UIQ113" s="146"/>
      <c r="UIR113" s="146"/>
      <c r="UIS113" s="146"/>
      <c r="UIT113" s="146"/>
      <c r="UIU113" s="146"/>
      <c r="UIV113" s="146"/>
      <c r="UIW113" s="146"/>
      <c r="UIX113" s="146"/>
      <c r="UIY113" s="146"/>
      <c r="UIZ113" s="146"/>
      <c r="UJA113" s="146"/>
      <c r="UJB113" s="146"/>
      <c r="UJC113" s="146"/>
      <c r="UJD113" s="146"/>
      <c r="UJE113" s="146"/>
      <c r="UJF113" s="146"/>
      <c r="UJG113" s="146"/>
      <c r="UJH113" s="146"/>
      <c r="UJI113" s="146"/>
      <c r="UJJ113" s="146"/>
      <c r="UJK113" s="146"/>
      <c r="UJL113" s="146"/>
      <c r="UJM113" s="146"/>
      <c r="UJN113" s="146"/>
      <c r="UJO113" s="146"/>
      <c r="UJP113" s="146"/>
      <c r="UJQ113" s="146"/>
      <c r="UJR113" s="146"/>
      <c r="UJS113" s="146"/>
      <c r="UJT113" s="146"/>
      <c r="UJU113" s="146"/>
      <c r="UJV113" s="146"/>
      <c r="UJW113" s="146"/>
      <c r="UJX113" s="146"/>
      <c r="UJY113" s="146"/>
      <c r="UJZ113" s="146"/>
      <c r="UKA113" s="146"/>
      <c r="UKB113" s="146"/>
      <c r="UKC113" s="146"/>
      <c r="UKD113" s="146"/>
      <c r="UKE113" s="146"/>
      <c r="UKF113" s="146"/>
      <c r="UKG113" s="146"/>
      <c r="UKH113" s="146"/>
      <c r="UKI113" s="146"/>
      <c r="UKJ113" s="146"/>
      <c r="UKK113" s="146"/>
      <c r="UKL113" s="146"/>
      <c r="UKM113" s="146"/>
      <c r="UKN113" s="146"/>
      <c r="UKO113" s="146"/>
      <c r="UKP113" s="146"/>
      <c r="UKQ113" s="146"/>
      <c r="UKR113" s="146"/>
      <c r="UKS113" s="146"/>
      <c r="UKT113" s="146"/>
      <c r="UKU113" s="146"/>
      <c r="UKV113" s="146"/>
      <c r="UKW113" s="146"/>
      <c r="UKX113" s="146"/>
      <c r="UKY113" s="146"/>
      <c r="UKZ113" s="146"/>
      <c r="ULA113" s="146"/>
      <c r="ULB113" s="146"/>
      <c r="ULC113" s="146"/>
      <c r="ULD113" s="146"/>
      <c r="ULE113" s="146"/>
      <c r="ULF113" s="146"/>
      <c r="ULG113" s="146"/>
      <c r="ULH113" s="146"/>
      <c r="ULI113" s="146"/>
      <c r="ULJ113" s="146"/>
      <c r="ULK113" s="146"/>
      <c r="ULL113" s="146"/>
      <c r="ULM113" s="146"/>
      <c r="ULN113" s="146"/>
      <c r="ULO113" s="146"/>
      <c r="ULP113" s="146"/>
      <c r="ULQ113" s="146"/>
      <c r="ULR113" s="146"/>
      <c r="ULS113" s="146"/>
      <c r="ULT113" s="146"/>
      <c r="ULU113" s="146"/>
      <c r="ULV113" s="146"/>
      <c r="ULW113" s="146"/>
      <c r="ULX113" s="146"/>
      <c r="ULY113" s="146"/>
      <c r="ULZ113" s="146"/>
      <c r="UMA113" s="146"/>
      <c r="UMB113" s="146"/>
      <c r="UMC113" s="146"/>
      <c r="UMD113" s="146"/>
      <c r="UME113" s="146"/>
      <c r="UMF113" s="146"/>
      <c r="UMG113" s="146"/>
      <c r="UMH113" s="146"/>
      <c r="UMI113" s="146"/>
      <c r="UMJ113" s="146"/>
      <c r="UMK113" s="146"/>
      <c r="UML113" s="146"/>
      <c r="UMM113" s="146"/>
      <c r="UMN113" s="146"/>
      <c r="UMO113" s="146"/>
      <c r="UMP113" s="146"/>
      <c r="UMQ113" s="146"/>
      <c r="UMR113" s="146"/>
      <c r="UMS113" s="146"/>
      <c r="UMT113" s="146"/>
      <c r="UMU113" s="146"/>
      <c r="UMV113" s="146"/>
      <c r="UMW113" s="146"/>
      <c r="UMX113" s="146"/>
      <c r="UMY113" s="146"/>
      <c r="UMZ113" s="146"/>
      <c r="UNA113" s="146"/>
      <c r="UNB113" s="146"/>
      <c r="UNC113" s="146"/>
      <c r="UND113" s="146"/>
      <c r="UNE113" s="146"/>
      <c r="UNF113" s="146"/>
      <c r="UNG113" s="146"/>
      <c r="UNH113" s="146"/>
      <c r="UNI113" s="146"/>
      <c r="UNJ113" s="146"/>
      <c r="UNK113" s="146"/>
      <c r="UNL113" s="146"/>
      <c r="UNM113" s="146"/>
      <c r="UNN113" s="146"/>
      <c r="UNO113" s="146"/>
      <c r="UNP113" s="146"/>
      <c r="UNQ113" s="146"/>
      <c r="UNR113" s="146"/>
      <c r="UNS113" s="146"/>
      <c r="UNT113" s="146"/>
      <c r="UNU113" s="146"/>
      <c r="UNV113" s="146"/>
      <c r="UNW113" s="146"/>
      <c r="UNX113" s="146"/>
      <c r="UNY113" s="146"/>
      <c r="UNZ113" s="146"/>
      <c r="UOA113" s="146"/>
      <c r="UOB113" s="146"/>
      <c r="UOC113" s="146"/>
      <c r="UOD113" s="146"/>
      <c r="UOE113" s="146"/>
      <c r="UOF113" s="146"/>
      <c r="UOG113" s="146"/>
      <c r="UOH113" s="146"/>
      <c r="UOI113" s="146"/>
      <c r="UOJ113" s="146"/>
      <c r="UOK113" s="146"/>
      <c r="UOL113" s="146"/>
      <c r="UOM113" s="146"/>
      <c r="UON113" s="146"/>
      <c r="UOO113" s="146"/>
      <c r="UOP113" s="146"/>
      <c r="UOQ113" s="146"/>
      <c r="UOR113" s="146"/>
      <c r="UOS113" s="146"/>
      <c r="UOT113" s="146"/>
      <c r="UOU113" s="146"/>
      <c r="UOV113" s="146"/>
      <c r="UOW113" s="146"/>
      <c r="UOX113" s="146"/>
      <c r="UOY113" s="146"/>
      <c r="UOZ113" s="146"/>
      <c r="UPA113" s="146"/>
      <c r="UPB113" s="146"/>
      <c r="UPC113" s="146"/>
      <c r="UPD113" s="146"/>
      <c r="UPE113" s="146"/>
      <c r="UPF113" s="146"/>
      <c r="UPG113" s="146"/>
      <c r="UPH113" s="146"/>
      <c r="UPI113" s="146"/>
      <c r="UPJ113" s="146"/>
      <c r="UPK113" s="146"/>
      <c r="UPL113" s="146"/>
      <c r="UPM113" s="146"/>
      <c r="UPN113" s="146"/>
      <c r="UPO113" s="146"/>
      <c r="UPP113" s="146"/>
      <c r="UPQ113" s="146"/>
      <c r="UPR113" s="146"/>
      <c r="UPS113" s="146"/>
      <c r="UPT113" s="146"/>
      <c r="UPU113" s="146"/>
      <c r="UPV113" s="146"/>
      <c r="UPW113" s="146"/>
      <c r="UPX113" s="146"/>
      <c r="UPY113" s="146"/>
      <c r="UPZ113" s="146"/>
      <c r="UQA113" s="146"/>
      <c r="UQB113" s="146"/>
      <c r="UQC113" s="146"/>
      <c r="UQD113" s="146"/>
      <c r="UQE113" s="146"/>
      <c r="UQF113" s="146"/>
      <c r="UQG113" s="146"/>
      <c r="UQH113" s="146"/>
      <c r="UQI113" s="146"/>
      <c r="UQJ113" s="146"/>
      <c r="UQK113" s="146"/>
      <c r="UQL113" s="146"/>
      <c r="UQM113" s="146"/>
      <c r="UQN113" s="146"/>
      <c r="UQO113" s="146"/>
      <c r="UQP113" s="146"/>
      <c r="UQQ113" s="146"/>
      <c r="UQR113" s="146"/>
      <c r="UQS113" s="146"/>
      <c r="UQT113" s="146"/>
      <c r="UQU113" s="146"/>
      <c r="UQV113" s="146"/>
      <c r="UQW113" s="146"/>
      <c r="UQX113" s="146"/>
      <c r="UQY113" s="146"/>
      <c r="UQZ113" s="146"/>
      <c r="URA113" s="146"/>
      <c r="URB113" s="146"/>
      <c r="URC113" s="146"/>
      <c r="URD113" s="146"/>
      <c r="URE113" s="146"/>
      <c r="URF113" s="146"/>
      <c r="URG113" s="146"/>
      <c r="URH113" s="146"/>
      <c r="URI113" s="146"/>
      <c r="URJ113" s="146"/>
      <c r="URK113" s="146"/>
      <c r="URL113" s="146"/>
      <c r="URM113" s="146"/>
      <c r="URN113" s="146"/>
      <c r="URO113" s="146"/>
      <c r="URP113" s="146"/>
      <c r="URQ113" s="146"/>
      <c r="URR113" s="146"/>
      <c r="URS113" s="146"/>
      <c r="URT113" s="146"/>
      <c r="URU113" s="146"/>
      <c r="URV113" s="146"/>
      <c r="URW113" s="146"/>
      <c r="URX113" s="146"/>
      <c r="URY113" s="146"/>
      <c r="URZ113" s="146"/>
      <c r="USA113" s="146"/>
      <c r="USB113" s="146"/>
      <c r="USC113" s="146"/>
      <c r="USD113" s="146"/>
      <c r="USE113" s="146"/>
      <c r="USF113" s="146"/>
      <c r="USG113" s="146"/>
      <c r="USH113" s="146"/>
      <c r="USI113" s="146"/>
      <c r="USJ113" s="146"/>
      <c r="USK113" s="146"/>
      <c r="USL113" s="146"/>
      <c r="USM113" s="146"/>
      <c r="USN113" s="146"/>
      <c r="USO113" s="146"/>
      <c r="USP113" s="146"/>
      <c r="USQ113" s="146"/>
      <c r="USR113" s="146"/>
      <c r="USS113" s="146"/>
      <c r="UST113" s="146"/>
      <c r="USU113" s="146"/>
      <c r="USV113" s="146"/>
      <c r="USW113" s="146"/>
      <c r="USX113" s="146"/>
      <c r="USY113" s="146"/>
      <c r="USZ113" s="146"/>
      <c r="UTA113" s="146"/>
      <c r="UTB113" s="146"/>
      <c r="UTC113" s="146"/>
      <c r="UTD113" s="146"/>
      <c r="UTE113" s="146"/>
      <c r="UTF113" s="146"/>
      <c r="UTG113" s="146"/>
      <c r="UTH113" s="146"/>
      <c r="UTI113" s="146"/>
      <c r="UTJ113" s="146"/>
      <c r="UTK113" s="146"/>
      <c r="UTL113" s="146"/>
      <c r="UTM113" s="146"/>
      <c r="UTN113" s="146"/>
      <c r="UTO113" s="146"/>
      <c r="UTP113" s="146"/>
      <c r="UTQ113" s="146"/>
      <c r="UTR113" s="146"/>
      <c r="UTS113" s="146"/>
      <c r="UTT113" s="146"/>
      <c r="UTU113" s="146"/>
      <c r="UTV113" s="146"/>
      <c r="UTW113" s="146"/>
      <c r="UTX113" s="146"/>
      <c r="UTY113" s="146"/>
      <c r="UTZ113" s="146"/>
      <c r="UUA113" s="146"/>
      <c r="UUB113" s="146"/>
      <c r="UUC113" s="146"/>
      <c r="UUD113" s="146"/>
      <c r="UUE113" s="146"/>
      <c r="UUF113" s="146"/>
      <c r="UUG113" s="146"/>
      <c r="UUH113" s="146"/>
      <c r="UUI113" s="146"/>
      <c r="UUJ113" s="146"/>
      <c r="UUK113" s="146"/>
      <c r="UUL113" s="146"/>
      <c r="UUM113" s="146"/>
      <c r="UUN113" s="146"/>
      <c r="UUO113" s="146"/>
      <c r="UUP113" s="146"/>
      <c r="UUQ113" s="146"/>
      <c r="UUR113" s="146"/>
      <c r="UUS113" s="146"/>
      <c r="UUT113" s="146"/>
      <c r="UUU113" s="146"/>
      <c r="UUV113" s="146"/>
      <c r="UUW113" s="146"/>
      <c r="UUX113" s="146"/>
      <c r="UUY113" s="146"/>
      <c r="UUZ113" s="146"/>
      <c r="UVA113" s="146"/>
      <c r="UVB113" s="146"/>
      <c r="UVC113" s="146"/>
      <c r="UVD113" s="146"/>
      <c r="UVE113" s="146"/>
      <c r="UVF113" s="146"/>
      <c r="UVG113" s="146"/>
      <c r="UVH113" s="146"/>
      <c r="UVI113" s="146"/>
      <c r="UVJ113" s="146"/>
      <c r="UVK113" s="146"/>
      <c r="UVL113" s="146"/>
      <c r="UVM113" s="146"/>
      <c r="UVN113" s="146"/>
      <c r="UVO113" s="146"/>
      <c r="UVP113" s="146"/>
      <c r="UVQ113" s="146"/>
      <c r="UVR113" s="146"/>
      <c r="UVS113" s="146"/>
      <c r="UVT113" s="146"/>
      <c r="UVU113" s="146"/>
      <c r="UVV113" s="146"/>
      <c r="UVW113" s="146"/>
      <c r="UVX113" s="146"/>
      <c r="UVY113" s="146"/>
      <c r="UVZ113" s="146"/>
      <c r="UWA113" s="146"/>
      <c r="UWB113" s="146"/>
      <c r="UWC113" s="146"/>
      <c r="UWD113" s="146"/>
      <c r="UWE113" s="146"/>
      <c r="UWF113" s="146"/>
      <c r="UWG113" s="146"/>
      <c r="UWH113" s="146"/>
      <c r="UWI113" s="146"/>
      <c r="UWJ113" s="146"/>
      <c r="UWK113" s="146"/>
      <c r="UWL113" s="146"/>
      <c r="UWM113" s="146"/>
      <c r="UWN113" s="146"/>
      <c r="UWO113" s="146"/>
      <c r="UWP113" s="146"/>
      <c r="UWQ113" s="146"/>
      <c r="UWR113" s="146"/>
      <c r="UWS113" s="146"/>
      <c r="UWT113" s="146"/>
      <c r="UWU113" s="146"/>
      <c r="UWV113" s="146"/>
      <c r="UWW113" s="146"/>
      <c r="UWX113" s="146"/>
      <c r="UWY113" s="146"/>
      <c r="UWZ113" s="146"/>
      <c r="UXA113" s="146"/>
      <c r="UXB113" s="146"/>
      <c r="UXC113" s="146"/>
      <c r="UXD113" s="146"/>
      <c r="UXE113" s="146"/>
      <c r="UXF113" s="146"/>
      <c r="UXG113" s="146"/>
      <c r="UXH113" s="146"/>
      <c r="UXI113" s="146"/>
      <c r="UXJ113" s="146"/>
      <c r="UXK113" s="146"/>
      <c r="UXL113" s="146"/>
      <c r="UXM113" s="146"/>
      <c r="UXN113" s="146"/>
      <c r="UXO113" s="146"/>
      <c r="UXP113" s="146"/>
      <c r="UXQ113" s="146"/>
      <c r="UXR113" s="146"/>
      <c r="UXS113" s="146"/>
      <c r="UXT113" s="146"/>
      <c r="UXU113" s="146"/>
      <c r="UXV113" s="146"/>
      <c r="UXW113" s="146"/>
      <c r="UXX113" s="146"/>
      <c r="UXY113" s="146"/>
      <c r="UXZ113" s="146"/>
      <c r="UYA113" s="146"/>
      <c r="UYB113" s="146"/>
      <c r="UYC113" s="146"/>
      <c r="UYD113" s="146"/>
      <c r="UYE113" s="146"/>
      <c r="UYF113" s="146"/>
      <c r="UYG113" s="146"/>
      <c r="UYH113" s="146"/>
      <c r="UYI113" s="146"/>
      <c r="UYJ113" s="146"/>
      <c r="UYK113" s="146"/>
      <c r="UYL113" s="146"/>
      <c r="UYM113" s="146"/>
      <c r="UYN113" s="146"/>
      <c r="UYO113" s="146"/>
      <c r="UYP113" s="146"/>
      <c r="UYQ113" s="146"/>
      <c r="UYR113" s="146"/>
      <c r="UYS113" s="146"/>
      <c r="UYT113" s="146"/>
      <c r="UYU113" s="146"/>
      <c r="UYV113" s="146"/>
      <c r="UYW113" s="146"/>
      <c r="UYX113" s="146"/>
      <c r="UYY113" s="146"/>
      <c r="UYZ113" s="146"/>
      <c r="UZA113" s="146"/>
      <c r="UZB113" s="146"/>
      <c r="UZC113" s="146"/>
      <c r="UZD113" s="146"/>
      <c r="UZE113" s="146"/>
      <c r="UZF113" s="146"/>
      <c r="UZG113" s="146"/>
      <c r="UZH113" s="146"/>
      <c r="UZI113" s="146"/>
      <c r="UZJ113" s="146"/>
      <c r="UZK113" s="146"/>
      <c r="UZL113" s="146"/>
      <c r="UZM113" s="146"/>
      <c r="UZN113" s="146"/>
      <c r="UZO113" s="146"/>
      <c r="UZP113" s="146"/>
      <c r="UZQ113" s="146"/>
      <c r="UZR113" s="146"/>
      <c r="UZS113" s="146"/>
      <c r="UZT113" s="146"/>
      <c r="UZU113" s="146"/>
      <c r="UZV113" s="146"/>
      <c r="UZW113" s="146"/>
      <c r="UZX113" s="146"/>
      <c r="UZY113" s="146"/>
      <c r="UZZ113" s="146"/>
      <c r="VAA113" s="146"/>
      <c r="VAB113" s="146"/>
      <c r="VAC113" s="146"/>
      <c r="VAD113" s="146"/>
      <c r="VAE113" s="146"/>
      <c r="VAF113" s="146"/>
      <c r="VAG113" s="146"/>
      <c r="VAH113" s="146"/>
      <c r="VAI113" s="146"/>
      <c r="VAJ113" s="146"/>
      <c r="VAK113" s="146"/>
      <c r="VAL113" s="146"/>
      <c r="VAM113" s="146"/>
      <c r="VAN113" s="146"/>
      <c r="VAO113" s="146"/>
      <c r="VAP113" s="146"/>
      <c r="VAQ113" s="146"/>
      <c r="VAR113" s="146"/>
      <c r="VAS113" s="146"/>
      <c r="VAT113" s="146"/>
      <c r="VAU113" s="146"/>
      <c r="VAV113" s="146"/>
      <c r="VAW113" s="146"/>
      <c r="VAX113" s="146"/>
      <c r="VAY113" s="146"/>
      <c r="VAZ113" s="146"/>
      <c r="VBA113" s="146"/>
      <c r="VBB113" s="146"/>
      <c r="VBC113" s="146"/>
      <c r="VBD113" s="146"/>
      <c r="VBE113" s="146"/>
      <c r="VBF113" s="146"/>
      <c r="VBG113" s="146"/>
      <c r="VBH113" s="146"/>
      <c r="VBI113" s="146"/>
      <c r="VBJ113" s="146"/>
      <c r="VBK113" s="146"/>
      <c r="VBL113" s="146"/>
      <c r="VBM113" s="146"/>
      <c r="VBN113" s="146"/>
      <c r="VBO113" s="146"/>
      <c r="VBP113" s="146"/>
      <c r="VBQ113" s="146"/>
      <c r="VBR113" s="146"/>
      <c r="VBS113" s="146"/>
      <c r="VBT113" s="146"/>
      <c r="VBU113" s="146"/>
      <c r="VBV113" s="146"/>
      <c r="VBW113" s="146"/>
      <c r="VBX113" s="146"/>
      <c r="VBY113" s="146"/>
      <c r="VBZ113" s="146"/>
      <c r="VCA113" s="146"/>
      <c r="VCB113" s="146"/>
      <c r="VCC113" s="146"/>
      <c r="VCD113" s="146"/>
      <c r="VCE113" s="146"/>
      <c r="VCF113" s="146"/>
      <c r="VCG113" s="146"/>
      <c r="VCH113" s="146"/>
      <c r="VCI113" s="146"/>
      <c r="VCJ113" s="146"/>
      <c r="VCK113" s="146"/>
      <c r="VCL113" s="146"/>
      <c r="VCM113" s="146"/>
      <c r="VCN113" s="146"/>
      <c r="VCO113" s="146"/>
      <c r="VCP113" s="146"/>
      <c r="VCQ113" s="146"/>
      <c r="VCR113" s="146"/>
      <c r="VCS113" s="146"/>
      <c r="VCT113" s="146"/>
      <c r="VCU113" s="146"/>
      <c r="VCV113" s="146"/>
      <c r="VCW113" s="146"/>
      <c r="VCX113" s="146"/>
      <c r="VCY113" s="146"/>
      <c r="VCZ113" s="146"/>
      <c r="VDA113" s="146"/>
      <c r="VDB113" s="146"/>
      <c r="VDC113" s="146"/>
      <c r="VDD113" s="146"/>
      <c r="VDE113" s="146"/>
      <c r="VDF113" s="146"/>
      <c r="VDG113" s="146"/>
      <c r="VDH113" s="146"/>
      <c r="VDI113" s="146"/>
      <c r="VDJ113" s="146"/>
      <c r="VDK113" s="146"/>
      <c r="VDL113" s="146"/>
      <c r="VDM113" s="146"/>
      <c r="VDN113" s="146"/>
      <c r="VDO113" s="146"/>
      <c r="VDP113" s="146"/>
      <c r="VDQ113" s="146"/>
      <c r="VDR113" s="146"/>
      <c r="VDS113" s="146"/>
      <c r="VDT113" s="146"/>
      <c r="VDU113" s="146"/>
      <c r="VDV113" s="146"/>
      <c r="VDW113" s="146"/>
      <c r="VDX113" s="146"/>
      <c r="VDY113" s="146"/>
      <c r="VDZ113" s="146"/>
      <c r="VEA113" s="146"/>
      <c r="VEB113" s="146"/>
      <c r="VEC113" s="146"/>
      <c r="VED113" s="146"/>
      <c r="VEE113" s="146"/>
      <c r="VEF113" s="146"/>
      <c r="VEG113" s="146"/>
      <c r="VEH113" s="146"/>
      <c r="VEI113" s="146"/>
      <c r="VEJ113" s="146"/>
      <c r="VEK113" s="146"/>
      <c r="VEL113" s="146"/>
      <c r="VEM113" s="146"/>
      <c r="VEN113" s="146"/>
      <c r="VEO113" s="146"/>
      <c r="VEP113" s="146"/>
      <c r="VEQ113" s="146"/>
      <c r="VER113" s="146"/>
      <c r="VES113" s="146"/>
      <c r="VET113" s="146"/>
      <c r="VEU113" s="146"/>
      <c r="VEV113" s="146"/>
      <c r="VEW113" s="146"/>
      <c r="VEX113" s="146"/>
      <c r="VEY113" s="146"/>
      <c r="VEZ113" s="146"/>
      <c r="VFA113" s="146"/>
      <c r="VFB113" s="146"/>
      <c r="VFC113" s="146"/>
      <c r="VFD113" s="146"/>
      <c r="VFE113" s="146"/>
      <c r="VFF113" s="146"/>
      <c r="VFG113" s="146"/>
      <c r="VFH113" s="146"/>
      <c r="VFI113" s="146"/>
      <c r="VFJ113" s="146"/>
      <c r="VFK113" s="146"/>
      <c r="VFL113" s="146"/>
      <c r="VFM113" s="146"/>
      <c r="VFN113" s="146"/>
      <c r="VFO113" s="146"/>
      <c r="VFP113" s="146"/>
      <c r="VFQ113" s="146"/>
      <c r="VFR113" s="146"/>
      <c r="VFS113" s="146"/>
      <c r="VFT113" s="146"/>
      <c r="VFU113" s="146"/>
      <c r="VFV113" s="146"/>
      <c r="VFW113" s="146"/>
      <c r="VFX113" s="146"/>
      <c r="VFY113" s="146"/>
      <c r="VFZ113" s="146"/>
      <c r="VGA113" s="146"/>
      <c r="VGB113" s="146"/>
      <c r="VGC113" s="146"/>
      <c r="VGD113" s="146"/>
      <c r="VGE113" s="146"/>
      <c r="VGF113" s="146"/>
      <c r="VGG113" s="146"/>
      <c r="VGH113" s="146"/>
      <c r="VGI113" s="146"/>
      <c r="VGJ113" s="146"/>
      <c r="VGK113" s="146"/>
      <c r="VGL113" s="146"/>
      <c r="VGM113" s="146"/>
      <c r="VGN113" s="146"/>
      <c r="VGO113" s="146"/>
      <c r="VGP113" s="146"/>
      <c r="VGQ113" s="146"/>
      <c r="VGR113" s="146"/>
      <c r="VGS113" s="146"/>
      <c r="VGT113" s="146"/>
      <c r="VGU113" s="146"/>
      <c r="VGV113" s="146"/>
      <c r="VGW113" s="146"/>
      <c r="VGX113" s="146"/>
      <c r="VGY113" s="146"/>
      <c r="VGZ113" s="146"/>
      <c r="VHA113" s="146"/>
      <c r="VHB113" s="146"/>
      <c r="VHC113" s="146"/>
      <c r="VHD113" s="146"/>
      <c r="VHE113" s="146"/>
      <c r="VHF113" s="146"/>
      <c r="VHG113" s="146"/>
      <c r="VHH113" s="146"/>
      <c r="VHI113" s="146"/>
      <c r="VHJ113" s="146"/>
      <c r="VHK113" s="146"/>
      <c r="VHL113" s="146"/>
      <c r="VHM113" s="146"/>
      <c r="VHN113" s="146"/>
      <c r="VHO113" s="146"/>
      <c r="VHP113" s="146"/>
      <c r="VHQ113" s="146"/>
      <c r="VHR113" s="146"/>
      <c r="VHS113" s="146"/>
      <c r="VHT113" s="146"/>
      <c r="VHU113" s="146"/>
      <c r="VHV113" s="146"/>
      <c r="VHW113" s="146"/>
      <c r="VHX113" s="146"/>
      <c r="VHY113" s="146"/>
      <c r="VHZ113" s="146"/>
      <c r="VIA113" s="146"/>
      <c r="VIB113" s="146"/>
      <c r="VIC113" s="146"/>
      <c r="VID113" s="146"/>
      <c r="VIE113" s="146"/>
      <c r="VIF113" s="146"/>
      <c r="VIG113" s="146"/>
      <c r="VIH113" s="146"/>
      <c r="VII113" s="146"/>
      <c r="VIJ113" s="146"/>
      <c r="VIK113" s="146"/>
      <c r="VIL113" s="146"/>
      <c r="VIM113" s="146"/>
      <c r="VIN113" s="146"/>
      <c r="VIO113" s="146"/>
      <c r="VIP113" s="146"/>
      <c r="VIQ113" s="146"/>
      <c r="VIR113" s="146"/>
      <c r="VIS113" s="146"/>
      <c r="VIT113" s="146"/>
      <c r="VIU113" s="146"/>
      <c r="VIV113" s="146"/>
      <c r="VIW113" s="146"/>
      <c r="VIX113" s="146"/>
      <c r="VIY113" s="146"/>
      <c r="VIZ113" s="146"/>
      <c r="VJA113" s="146"/>
      <c r="VJB113" s="146"/>
      <c r="VJC113" s="146"/>
      <c r="VJD113" s="146"/>
      <c r="VJE113" s="146"/>
      <c r="VJF113" s="146"/>
      <c r="VJG113" s="146"/>
      <c r="VJH113" s="146"/>
      <c r="VJI113" s="146"/>
      <c r="VJJ113" s="146"/>
      <c r="VJK113" s="146"/>
      <c r="VJL113" s="146"/>
      <c r="VJM113" s="146"/>
      <c r="VJN113" s="146"/>
      <c r="VJO113" s="146"/>
      <c r="VJP113" s="146"/>
      <c r="VJQ113" s="146"/>
      <c r="VJR113" s="146"/>
      <c r="VJS113" s="146"/>
      <c r="VJT113" s="146"/>
      <c r="VJU113" s="146"/>
      <c r="VJV113" s="146"/>
      <c r="VJW113" s="146"/>
      <c r="VJX113" s="146"/>
      <c r="VJY113" s="146"/>
      <c r="VJZ113" s="146"/>
      <c r="VKA113" s="146"/>
      <c r="VKB113" s="146"/>
      <c r="VKC113" s="146"/>
      <c r="VKD113" s="146"/>
      <c r="VKE113" s="146"/>
      <c r="VKF113" s="146"/>
      <c r="VKG113" s="146"/>
      <c r="VKH113" s="146"/>
      <c r="VKI113" s="146"/>
      <c r="VKJ113" s="146"/>
      <c r="VKK113" s="146"/>
      <c r="VKL113" s="146"/>
      <c r="VKM113" s="146"/>
      <c r="VKN113" s="146"/>
      <c r="VKO113" s="146"/>
      <c r="VKP113" s="146"/>
      <c r="VKQ113" s="146"/>
      <c r="VKR113" s="146"/>
      <c r="VKS113" s="146"/>
      <c r="VKT113" s="146"/>
      <c r="VKU113" s="146"/>
      <c r="VKV113" s="146"/>
      <c r="VKW113" s="146"/>
      <c r="VKX113" s="146"/>
      <c r="VKY113" s="146"/>
      <c r="VKZ113" s="146"/>
      <c r="VLA113" s="146"/>
      <c r="VLB113" s="146"/>
      <c r="VLC113" s="146"/>
      <c r="VLD113" s="146"/>
      <c r="VLE113" s="146"/>
      <c r="VLF113" s="146"/>
      <c r="VLG113" s="146"/>
      <c r="VLH113" s="146"/>
      <c r="VLI113" s="146"/>
      <c r="VLJ113" s="146"/>
      <c r="VLK113" s="146"/>
      <c r="VLL113" s="146"/>
      <c r="VLM113" s="146"/>
      <c r="VLN113" s="146"/>
      <c r="VLO113" s="146"/>
      <c r="VLP113" s="146"/>
      <c r="VLQ113" s="146"/>
      <c r="VLR113" s="146"/>
      <c r="VLS113" s="146"/>
      <c r="VLT113" s="146"/>
      <c r="VLU113" s="146"/>
      <c r="VLV113" s="146"/>
      <c r="VLW113" s="146"/>
      <c r="VLX113" s="146"/>
      <c r="VLY113" s="146"/>
      <c r="VLZ113" s="146"/>
      <c r="VMA113" s="146"/>
      <c r="VMB113" s="146"/>
      <c r="VMC113" s="146"/>
      <c r="VMD113" s="146"/>
      <c r="VME113" s="146"/>
      <c r="VMF113" s="146"/>
      <c r="VMG113" s="146"/>
      <c r="VMH113" s="146"/>
      <c r="VMI113" s="146"/>
      <c r="VMJ113" s="146"/>
      <c r="VMK113" s="146"/>
      <c r="VML113" s="146"/>
      <c r="VMM113" s="146"/>
      <c r="VMN113" s="146"/>
      <c r="VMO113" s="146"/>
      <c r="VMP113" s="146"/>
      <c r="VMQ113" s="146"/>
      <c r="VMR113" s="146"/>
      <c r="VMS113" s="146"/>
      <c r="VMT113" s="146"/>
      <c r="VMU113" s="146"/>
      <c r="VMV113" s="146"/>
      <c r="VMW113" s="146"/>
      <c r="VMX113" s="146"/>
      <c r="VMY113" s="146"/>
      <c r="VMZ113" s="146"/>
      <c r="VNA113" s="146"/>
      <c r="VNB113" s="146"/>
      <c r="VNC113" s="146"/>
      <c r="VND113" s="146"/>
      <c r="VNE113" s="146"/>
      <c r="VNF113" s="146"/>
      <c r="VNG113" s="146"/>
      <c r="VNH113" s="146"/>
      <c r="VNI113" s="146"/>
      <c r="VNJ113" s="146"/>
      <c r="VNK113" s="146"/>
      <c r="VNL113" s="146"/>
      <c r="VNM113" s="146"/>
      <c r="VNN113" s="146"/>
      <c r="VNO113" s="146"/>
      <c r="VNP113" s="146"/>
      <c r="VNQ113" s="146"/>
      <c r="VNR113" s="146"/>
      <c r="VNS113" s="146"/>
      <c r="VNT113" s="146"/>
      <c r="VNU113" s="146"/>
      <c r="VNV113" s="146"/>
      <c r="VNW113" s="146"/>
      <c r="VNX113" s="146"/>
      <c r="VNY113" s="146"/>
      <c r="VNZ113" s="146"/>
      <c r="VOA113" s="146"/>
      <c r="VOB113" s="146"/>
      <c r="VOC113" s="146"/>
      <c r="VOD113" s="146"/>
      <c r="VOE113" s="146"/>
      <c r="VOF113" s="146"/>
      <c r="VOG113" s="146"/>
      <c r="VOH113" s="146"/>
      <c r="VOI113" s="146"/>
      <c r="VOJ113" s="146"/>
      <c r="VOK113" s="146"/>
      <c r="VOL113" s="146"/>
      <c r="VOM113" s="146"/>
      <c r="VON113" s="146"/>
      <c r="VOO113" s="146"/>
      <c r="VOP113" s="146"/>
      <c r="VOQ113" s="146"/>
      <c r="VOR113" s="146"/>
      <c r="VOS113" s="146"/>
      <c r="VOT113" s="146"/>
      <c r="VOU113" s="146"/>
      <c r="VOV113" s="146"/>
      <c r="VOW113" s="146"/>
      <c r="VOX113" s="146"/>
      <c r="VOY113" s="146"/>
      <c r="VOZ113" s="146"/>
      <c r="VPA113" s="146"/>
      <c r="VPB113" s="146"/>
      <c r="VPC113" s="146"/>
      <c r="VPD113" s="146"/>
      <c r="VPE113" s="146"/>
      <c r="VPF113" s="146"/>
      <c r="VPG113" s="146"/>
      <c r="VPH113" s="146"/>
      <c r="VPI113" s="146"/>
      <c r="VPJ113" s="146"/>
      <c r="VPK113" s="146"/>
      <c r="VPL113" s="146"/>
      <c r="VPM113" s="146"/>
      <c r="VPN113" s="146"/>
      <c r="VPO113" s="146"/>
      <c r="VPP113" s="146"/>
      <c r="VPQ113" s="146"/>
      <c r="VPR113" s="146"/>
      <c r="VPS113" s="146"/>
      <c r="VPT113" s="146"/>
      <c r="VPU113" s="146"/>
      <c r="VPV113" s="146"/>
      <c r="VPW113" s="146"/>
      <c r="VPX113" s="146"/>
      <c r="VPY113" s="146"/>
      <c r="VPZ113" s="146"/>
      <c r="VQA113" s="146"/>
      <c r="VQB113" s="146"/>
      <c r="VQC113" s="146"/>
      <c r="VQD113" s="146"/>
      <c r="VQE113" s="146"/>
      <c r="VQF113" s="146"/>
      <c r="VQG113" s="146"/>
      <c r="VQH113" s="146"/>
      <c r="VQI113" s="146"/>
      <c r="VQJ113" s="146"/>
      <c r="VQK113" s="146"/>
      <c r="VQL113" s="146"/>
      <c r="VQM113" s="146"/>
      <c r="VQN113" s="146"/>
      <c r="VQO113" s="146"/>
      <c r="VQP113" s="146"/>
      <c r="VQQ113" s="146"/>
      <c r="VQR113" s="146"/>
      <c r="VQS113" s="146"/>
      <c r="VQT113" s="146"/>
      <c r="VQU113" s="146"/>
      <c r="VQV113" s="146"/>
      <c r="VQW113" s="146"/>
      <c r="VQX113" s="146"/>
      <c r="VQY113" s="146"/>
      <c r="VQZ113" s="146"/>
      <c r="VRA113" s="146"/>
      <c r="VRB113" s="146"/>
      <c r="VRC113" s="146"/>
      <c r="VRD113" s="146"/>
      <c r="VRE113" s="146"/>
      <c r="VRF113" s="146"/>
      <c r="VRG113" s="146"/>
      <c r="VRH113" s="146"/>
      <c r="VRI113" s="146"/>
      <c r="VRJ113" s="146"/>
      <c r="VRK113" s="146"/>
      <c r="VRL113" s="146"/>
      <c r="VRM113" s="146"/>
      <c r="VRN113" s="146"/>
      <c r="VRO113" s="146"/>
      <c r="VRP113" s="146"/>
      <c r="VRQ113" s="146"/>
      <c r="VRR113" s="146"/>
      <c r="VRS113" s="146"/>
      <c r="VRT113" s="146"/>
      <c r="VRU113" s="146"/>
      <c r="VRV113" s="146"/>
      <c r="VRW113" s="146"/>
      <c r="VRX113" s="146"/>
      <c r="VRY113" s="146"/>
      <c r="VRZ113" s="146"/>
      <c r="VSA113" s="146"/>
      <c r="VSB113" s="146"/>
      <c r="VSC113" s="146"/>
      <c r="VSD113" s="146"/>
      <c r="VSE113" s="146"/>
      <c r="VSF113" s="146"/>
      <c r="VSG113" s="146"/>
      <c r="VSH113" s="146"/>
      <c r="VSI113" s="146"/>
      <c r="VSJ113" s="146"/>
      <c r="VSK113" s="146"/>
      <c r="VSL113" s="146"/>
      <c r="VSM113" s="146"/>
      <c r="VSN113" s="146"/>
      <c r="VSO113" s="146"/>
      <c r="VSP113" s="146"/>
      <c r="VSQ113" s="146"/>
      <c r="VSR113" s="146"/>
      <c r="VSS113" s="146"/>
      <c r="VST113" s="146"/>
      <c r="VSU113" s="146"/>
      <c r="VSV113" s="146"/>
      <c r="VSW113" s="146"/>
      <c r="VSX113" s="146"/>
      <c r="VSY113" s="146"/>
      <c r="VSZ113" s="146"/>
      <c r="VTA113" s="146"/>
      <c r="VTB113" s="146"/>
      <c r="VTC113" s="146"/>
      <c r="VTD113" s="146"/>
      <c r="VTE113" s="146"/>
      <c r="VTF113" s="146"/>
      <c r="VTG113" s="146"/>
      <c r="VTH113" s="146"/>
      <c r="VTI113" s="146"/>
      <c r="VTJ113" s="146"/>
      <c r="VTK113" s="146"/>
      <c r="VTL113" s="146"/>
      <c r="VTM113" s="146"/>
      <c r="VTN113" s="146"/>
      <c r="VTO113" s="146"/>
      <c r="VTP113" s="146"/>
      <c r="VTQ113" s="146"/>
      <c r="VTR113" s="146"/>
      <c r="VTS113" s="146"/>
      <c r="VTT113" s="146"/>
      <c r="VTU113" s="146"/>
      <c r="VTV113" s="146"/>
      <c r="VTW113" s="146"/>
      <c r="VTX113" s="146"/>
      <c r="VTY113" s="146"/>
      <c r="VTZ113" s="146"/>
      <c r="VUA113" s="146"/>
      <c r="VUB113" s="146"/>
      <c r="VUC113" s="146"/>
      <c r="VUD113" s="146"/>
      <c r="VUE113" s="146"/>
      <c r="VUF113" s="146"/>
      <c r="VUG113" s="146"/>
      <c r="VUH113" s="146"/>
      <c r="VUI113" s="146"/>
      <c r="VUJ113" s="146"/>
      <c r="VUK113" s="146"/>
      <c r="VUL113" s="146"/>
      <c r="VUM113" s="146"/>
      <c r="VUN113" s="146"/>
      <c r="VUO113" s="146"/>
      <c r="VUP113" s="146"/>
      <c r="VUQ113" s="146"/>
      <c r="VUR113" s="146"/>
      <c r="VUS113" s="146"/>
      <c r="VUT113" s="146"/>
      <c r="VUU113" s="146"/>
      <c r="VUV113" s="146"/>
      <c r="VUW113" s="146"/>
      <c r="VUX113" s="146"/>
      <c r="VUY113" s="146"/>
      <c r="VUZ113" s="146"/>
      <c r="VVA113" s="146"/>
      <c r="VVB113" s="146"/>
      <c r="VVC113" s="146"/>
      <c r="VVD113" s="146"/>
      <c r="VVE113" s="146"/>
      <c r="VVF113" s="146"/>
      <c r="VVG113" s="146"/>
      <c r="VVH113" s="146"/>
      <c r="VVI113" s="146"/>
      <c r="VVJ113" s="146"/>
      <c r="VVK113" s="146"/>
      <c r="VVL113" s="146"/>
      <c r="VVM113" s="146"/>
      <c r="VVN113" s="146"/>
      <c r="VVO113" s="146"/>
      <c r="VVP113" s="146"/>
      <c r="VVQ113" s="146"/>
      <c r="VVR113" s="146"/>
      <c r="VVS113" s="146"/>
      <c r="VVT113" s="146"/>
      <c r="VVU113" s="146"/>
      <c r="VVV113" s="146"/>
      <c r="VVW113" s="146"/>
      <c r="VVX113" s="146"/>
      <c r="VVY113" s="146"/>
      <c r="VVZ113" s="146"/>
      <c r="VWA113" s="146"/>
      <c r="VWB113" s="146"/>
      <c r="VWC113" s="146"/>
      <c r="VWD113" s="146"/>
      <c r="VWE113" s="146"/>
      <c r="VWF113" s="146"/>
      <c r="VWG113" s="146"/>
      <c r="VWH113" s="146"/>
      <c r="VWI113" s="146"/>
      <c r="VWJ113" s="146"/>
      <c r="VWK113" s="146"/>
      <c r="VWL113" s="146"/>
      <c r="VWM113" s="146"/>
      <c r="VWN113" s="146"/>
      <c r="VWO113" s="146"/>
      <c r="VWP113" s="146"/>
      <c r="VWQ113" s="146"/>
      <c r="VWR113" s="146"/>
      <c r="VWS113" s="146"/>
      <c r="VWT113" s="146"/>
      <c r="VWU113" s="146"/>
      <c r="VWV113" s="146"/>
      <c r="VWW113" s="146"/>
      <c r="VWX113" s="146"/>
      <c r="VWY113" s="146"/>
      <c r="VWZ113" s="146"/>
      <c r="VXA113" s="146"/>
      <c r="VXB113" s="146"/>
      <c r="VXC113" s="146"/>
      <c r="VXD113" s="146"/>
      <c r="VXE113" s="146"/>
      <c r="VXF113" s="146"/>
      <c r="VXG113" s="146"/>
      <c r="VXH113" s="146"/>
      <c r="VXI113" s="146"/>
      <c r="VXJ113" s="146"/>
      <c r="VXK113" s="146"/>
      <c r="VXL113" s="146"/>
      <c r="VXM113" s="146"/>
      <c r="VXN113" s="146"/>
      <c r="VXO113" s="146"/>
      <c r="VXP113" s="146"/>
      <c r="VXQ113" s="146"/>
      <c r="VXR113" s="146"/>
      <c r="VXS113" s="146"/>
      <c r="VXT113" s="146"/>
      <c r="VXU113" s="146"/>
      <c r="VXV113" s="146"/>
      <c r="VXW113" s="146"/>
      <c r="VXX113" s="146"/>
      <c r="VXY113" s="146"/>
      <c r="VXZ113" s="146"/>
      <c r="VYA113" s="146"/>
      <c r="VYB113" s="146"/>
      <c r="VYC113" s="146"/>
      <c r="VYD113" s="146"/>
      <c r="VYE113" s="146"/>
      <c r="VYF113" s="146"/>
      <c r="VYG113" s="146"/>
      <c r="VYH113" s="146"/>
      <c r="VYI113" s="146"/>
      <c r="VYJ113" s="146"/>
      <c r="VYK113" s="146"/>
      <c r="VYL113" s="146"/>
      <c r="VYM113" s="146"/>
      <c r="VYN113" s="146"/>
      <c r="VYO113" s="146"/>
      <c r="VYP113" s="146"/>
      <c r="VYQ113" s="146"/>
      <c r="VYR113" s="146"/>
      <c r="VYS113" s="146"/>
      <c r="VYT113" s="146"/>
      <c r="VYU113" s="146"/>
      <c r="VYV113" s="146"/>
      <c r="VYW113" s="146"/>
      <c r="VYX113" s="146"/>
      <c r="VYY113" s="146"/>
      <c r="VYZ113" s="146"/>
      <c r="VZA113" s="146"/>
      <c r="VZB113" s="146"/>
      <c r="VZC113" s="146"/>
      <c r="VZD113" s="146"/>
      <c r="VZE113" s="146"/>
      <c r="VZF113" s="146"/>
      <c r="VZG113" s="146"/>
      <c r="VZH113" s="146"/>
      <c r="VZI113" s="146"/>
      <c r="VZJ113" s="146"/>
      <c r="VZK113" s="146"/>
      <c r="VZL113" s="146"/>
      <c r="VZM113" s="146"/>
      <c r="VZN113" s="146"/>
      <c r="VZO113" s="146"/>
      <c r="VZP113" s="146"/>
      <c r="VZQ113" s="146"/>
      <c r="VZR113" s="146"/>
      <c r="VZS113" s="146"/>
      <c r="VZT113" s="146"/>
      <c r="VZU113" s="146"/>
      <c r="VZV113" s="146"/>
      <c r="VZW113" s="146"/>
      <c r="VZX113" s="146"/>
      <c r="VZY113" s="146"/>
      <c r="VZZ113" s="146"/>
      <c r="WAA113" s="146"/>
      <c r="WAB113" s="146"/>
      <c r="WAC113" s="146"/>
      <c r="WAD113" s="146"/>
      <c r="WAE113" s="146"/>
      <c r="WAF113" s="146"/>
      <c r="WAG113" s="146"/>
      <c r="WAH113" s="146"/>
      <c r="WAI113" s="146"/>
      <c r="WAJ113" s="146"/>
      <c r="WAK113" s="146"/>
      <c r="WAL113" s="146"/>
      <c r="WAM113" s="146"/>
      <c r="WAN113" s="146"/>
      <c r="WAO113" s="146"/>
      <c r="WAP113" s="146"/>
      <c r="WAQ113" s="146"/>
      <c r="WAR113" s="146"/>
      <c r="WAS113" s="146"/>
      <c r="WAT113" s="146"/>
      <c r="WAU113" s="146"/>
      <c r="WAV113" s="146"/>
      <c r="WAW113" s="146"/>
      <c r="WAX113" s="146"/>
      <c r="WAY113" s="146"/>
      <c r="WAZ113" s="146"/>
      <c r="WBA113" s="146"/>
      <c r="WBB113" s="146"/>
      <c r="WBC113" s="146"/>
      <c r="WBD113" s="146"/>
      <c r="WBE113" s="146"/>
      <c r="WBF113" s="146"/>
      <c r="WBG113" s="146"/>
      <c r="WBH113" s="146"/>
      <c r="WBI113" s="146"/>
      <c r="WBJ113" s="146"/>
      <c r="WBK113" s="146"/>
      <c r="WBL113" s="146"/>
      <c r="WBM113" s="146"/>
      <c r="WBN113" s="146"/>
      <c r="WBO113" s="146"/>
      <c r="WBP113" s="146"/>
      <c r="WBQ113" s="146"/>
      <c r="WBR113" s="146"/>
      <c r="WBS113" s="146"/>
      <c r="WBT113" s="146"/>
      <c r="WBU113" s="146"/>
      <c r="WBV113" s="146"/>
      <c r="WBW113" s="146"/>
      <c r="WBX113" s="146"/>
      <c r="WBY113" s="146"/>
      <c r="WBZ113" s="146"/>
      <c r="WCA113" s="146"/>
      <c r="WCB113" s="146"/>
      <c r="WCC113" s="146"/>
      <c r="WCD113" s="146"/>
      <c r="WCE113" s="146"/>
      <c r="WCF113" s="146"/>
      <c r="WCG113" s="146"/>
      <c r="WCH113" s="146"/>
      <c r="WCI113" s="146"/>
      <c r="WCJ113" s="146"/>
      <c r="WCK113" s="146"/>
      <c r="WCL113" s="146"/>
      <c r="WCM113" s="146"/>
      <c r="WCN113" s="146"/>
      <c r="WCO113" s="146"/>
      <c r="WCP113" s="146"/>
      <c r="WCQ113" s="146"/>
      <c r="WCR113" s="146"/>
      <c r="WCS113" s="146"/>
      <c r="WCT113" s="146"/>
      <c r="WCU113" s="146"/>
      <c r="WCV113" s="146"/>
      <c r="WCW113" s="146"/>
      <c r="WCX113" s="146"/>
      <c r="WCY113" s="146"/>
      <c r="WCZ113" s="146"/>
      <c r="WDA113" s="146"/>
      <c r="WDB113" s="146"/>
      <c r="WDC113" s="146"/>
      <c r="WDD113" s="146"/>
      <c r="WDE113" s="146"/>
      <c r="WDF113" s="146"/>
      <c r="WDG113" s="146"/>
      <c r="WDH113" s="146"/>
      <c r="WDI113" s="146"/>
      <c r="WDJ113" s="146"/>
      <c r="WDK113" s="146"/>
      <c r="WDL113" s="146"/>
      <c r="WDM113" s="146"/>
      <c r="WDN113" s="146"/>
      <c r="WDO113" s="146"/>
      <c r="WDP113" s="146"/>
      <c r="WDQ113" s="146"/>
      <c r="WDR113" s="146"/>
      <c r="WDS113" s="146"/>
      <c r="WDT113" s="146"/>
      <c r="WDU113" s="146"/>
      <c r="WDV113" s="146"/>
      <c r="WDW113" s="146"/>
      <c r="WDX113" s="146"/>
      <c r="WDY113" s="146"/>
      <c r="WDZ113" s="146"/>
      <c r="WEA113" s="146"/>
      <c r="WEB113" s="146"/>
      <c r="WEC113" s="146"/>
      <c r="WED113" s="146"/>
      <c r="WEE113" s="146"/>
      <c r="WEF113" s="146"/>
      <c r="WEG113" s="146"/>
      <c r="WEH113" s="146"/>
      <c r="WEI113" s="146"/>
      <c r="WEJ113" s="146"/>
      <c r="WEK113" s="146"/>
      <c r="WEL113" s="146"/>
      <c r="WEM113" s="146"/>
      <c r="WEN113" s="146"/>
      <c r="WEO113" s="146"/>
      <c r="WEP113" s="146"/>
      <c r="WEQ113" s="146"/>
      <c r="WER113" s="146"/>
      <c r="WES113" s="146"/>
      <c r="WET113" s="146"/>
      <c r="WEU113" s="146"/>
      <c r="WEV113" s="146"/>
      <c r="WEW113" s="146"/>
      <c r="WEX113" s="146"/>
      <c r="WEY113" s="146"/>
      <c r="WEZ113" s="146"/>
      <c r="WFA113" s="146"/>
      <c r="WFB113" s="146"/>
      <c r="WFC113" s="146"/>
      <c r="WFD113" s="146"/>
      <c r="WFE113" s="146"/>
      <c r="WFF113" s="146"/>
      <c r="WFG113" s="146"/>
      <c r="WFH113" s="146"/>
      <c r="WFI113" s="146"/>
      <c r="WFJ113" s="146"/>
      <c r="WFK113" s="146"/>
      <c r="WFL113" s="146"/>
      <c r="WFM113" s="146"/>
      <c r="WFN113" s="146"/>
      <c r="WFO113" s="146"/>
      <c r="WFP113" s="146"/>
      <c r="WFQ113" s="146"/>
      <c r="WFR113" s="146"/>
      <c r="WFS113" s="146"/>
      <c r="WFT113" s="146"/>
      <c r="WFU113" s="146"/>
      <c r="WFV113" s="146"/>
      <c r="WFW113" s="146"/>
      <c r="WFX113" s="146"/>
      <c r="WFY113" s="146"/>
      <c r="WFZ113" s="146"/>
      <c r="WGA113" s="146"/>
      <c r="WGB113" s="146"/>
      <c r="WGC113" s="146"/>
      <c r="WGD113" s="146"/>
      <c r="WGE113" s="146"/>
      <c r="WGF113" s="146"/>
      <c r="WGG113" s="146"/>
      <c r="WGH113" s="146"/>
      <c r="WGI113" s="146"/>
      <c r="WGJ113" s="146"/>
      <c r="WGK113" s="146"/>
      <c r="WGL113" s="146"/>
      <c r="WGM113" s="146"/>
      <c r="WGN113" s="146"/>
      <c r="WGO113" s="146"/>
      <c r="WGP113" s="146"/>
      <c r="WGQ113" s="146"/>
      <c r="WGR113" s="146"/>
      <c r="WGS113" s="146"/>
      <c r="WGT113" s="146"/>
      <c r="WGU113" s="146"/>
      <c r="WGV113" s="146"/>
      <c r="WGW113" s="146"/>
      <c r="WGX113" s="146"/>
      <c r="WGY113" s="146"/>
      <c r="WGZ113" s="146"/>
      <c r="WHA113" s="146"/>
      <c r="WHB113" s="146"/>
      <c r="WHC113" s="146"/>
      <c r="WHD113" s="146"/>
      <c r="WHE113" s="146"/>
      <c r="WHF113" s="146"/>
      <c r="WHG113" s="146"/>
      <c r="WHH113" s="146"/>
      <c r="WHI113" s="146"/>
      <c r="WHJ113" s="146"/>
      <c r="WHK113" s="146"/>
      <c r="WHL113" s="146"/>
      <c r="WHM113" s="146"/>
      <c r="WHN113" s="146"/>
      <c r="WHO113" s="146"/>
      <c r="WHP113" s="146"/>
      <c r="WHQ113" s="146"/>
      <c r="WHR113" s="146"/>
      <c r="WHS113" s="146"/>
      <c r="WHT113" s="146"/>
      <c r="WHU113" s="146"/>
      <c r="WHV113" s="146"/>
      <c r="WHW113" s="146"/>
      <c r="WHX113" s="146"/>
      <c r="WHY113" s="146"/>
      <c r="WHZ113" s="146"/>
      <c r="WIA113" s="146"/>
      <c r="WIB113" s="146"/>
      <c r="WIC113" s="146"/>
      <c r="WID113" s="146"/>
      <c r="WIE113" s="146"/>
      <c r="WIF113" s="146"/>
      <c r="WIG113" s="146"/>
      <c r="WIH113" s="146"/>
      <c r="WII113" s="146"/>
      <c r="WIJ113" s="146"/>
      <c r="WIK113" s="146"/>
      <c r="WIL113" s="146"/>
      <c r="WIM113" s="146"/>
      <c r="WIN113" s="146"/>
      <c r="WIO113" s="146"/>
      <c r="WIP113" s="146"/>
      <c r="WIQ113" s="146"/>
      <c r="WIR113" s="146"/>
      <c r="WIS113" s="146"/>
      <c r="WIT113" s="146"/>
      <c r="WIU113" s="146"/>
      <c r="WIV113" s="146"/>
      <c r="WIW113" s="146"/>
      <c r="WIX113" s="146"/>
      <c r="WIY113" s="146"/>
      <c r="WIZ113" s="146"/>
      <c r="WJA113" s="146"/>
      <c r="WJB113" s="146"/>
      <c r="WJC113" s="146"/>
      <c r="WJD113" s="146"/>
      <c r="WJE113" s="146"/>
      <c r="WJF113" s="146"/>
      <c r="WJG113" s="146"/>
      <c r="WJH113" s="146"/>
      <c r="WJI113" s="146"/>
      <c r="WJJ113" s="146"/>
      <c r="WJK113" s="146"/>
      <c r="WJL113" s="146"/>
      <c r="WJM113" s="146"/>
      <c r="WJN113" s="146"/>
      <c r="WJO113" s="146"/>
      <c r="WJP113" s="146"/>
      <c r="WJQ113" s="146"/>
      <c r="WJR113" s="146"/>
      <c r="WJS113" s="146"/>
      <c r="WJT113" s="146"/>
      <c r="WJU113" s="146"/>
      <c r="WJV113" s="146"/>
      <c r="WJW113" s="146"/>
      <c r="WJX113" s="146"/>
      <c r="WJY113" s="146"/>
      <c r="WJZ113" s="146"/>
      <c r="WKA113" s="146"/>
      <c r="WKB113" s="146"/>
      <c r="WKC113" s="146"/>
      <c r="WKD113" s="146"/>
      <c r="WKE113" s="146"/>
      <c r="WKF113" s="146"/>
      <c r="WKG113" s="146"/>
      <c r="WKH113" s="146"/>
      <c r="WKI113" s="146"/>
      <c r="WKJ113" s="146"/>
      <c r="WKK113" s="146"/>
      <c r="WKL113" s="146"/>
      <c r="WKM113" s="146"/>
      <c r="WKN113" s="146"/>
      <c r="WKO113" s="146"/>
      <c r="WKP113" s="146"/>
      <c r="WKQ113" s="146"/>
      <c r="WKR113" s="146"/>
      <c r="WKS113" s="146"/>
      <c r="WKT113" s="146"/>
      <c r="WKU113" s="146"/>
      <c r="WKV113" s="146"/>
      <c r="WKW113" s="146"/>
      <c r="WKX113" s="146"/>
      <c r="WKY113" s="146"/>
      <c r="WKZ113" s="146"/>
      <c r="WLA113" s="146"/>
      <c r="WLB113" s="146"/>
      <c r="WLC113" s="146"/>
      <c r="WLD113" s="146"/>
      <c r="WLE113" s="146"/>
      <c r="WLF113" s="146"/>
      <c r="WLG113" s="146"/>
      <c r="WLH113" s="146"/>
      <c r="WLI113" s="146"/>
      <c r="WLJ113" s="146"/>
      <c r="WLK113" s="146"/>
      <c r="WLL113" s="146"/>
      <c r="WLM113" s="146"/>
      <c r="WLN113" s="146"/>
      <c r="WLO113" s="146"/>
      <c r="WLP113" s="146"/>
      <c r="WLQ113" s="146"/>
      <c r="WLR113" s="146"/>
      <c r="WLS113" s="146"/>
      <c r="WLT113" s="146"/>
      <c r="WLU113" s="146"/>
      <c r="WLV113" s="146"/>
      <c r="WLW113" s="146"/>
      <c r="WLX113" s="146"/>
      <c r="WLY113" s="146"/>
      <c r="WLZ113" s="146"/>
      <c r="WMA113" s="146"/>
      <c r="WMB113" s="146"/>
      <c r="WMC113" s="146"/>
      <c r="WMD113" s="146"/>
      <c r="WME113" s="146"/>
      <c r="WMF113" s="146"/>
      <c r="WMG113" s="146"/>
      <c r="WMH113" s="146"/>
      <c r="WMI113" s="146"/>
      <c r="WMJ113" s="146"/>
      <c r="WMK113" s="146"/>
      <c r="WML113" s="146"/>
      <c r="WMM113" s="146"/>
      <c r="WMN113" s="146"/>
      <c r="WMO113" s="146"/>
      <c r="WMP113" s="146"/>
      <c r="WMQ113" s="146"/>
      <c r="WMR113" s="146"/>
      <c r="WMS113" s="146"/>
      <c r="WMT113" s="146"/>
      <c r="WMU113" s="146"/>
      <c r="WMV113" s="146"/>
      <c r="WMW113" s="146"/>
      <c r="WMX113" s="146"/>
      <c r="WMY113" s="146"/>
      <c r="WMZ113" s="146"/>
      <c r="WNA113" s="146"/>
      <c r="WNB113" s="146"/>
      <c r="WNC113" s="146"/>
      <c r="WND113" s="146"/>
      <c r="WNE113" s="146"/>
      <c r="WNF113" s="146"/>
      <c r="WNG113" s="146"/>
      <c r="WNH113" s="146"/>
      <c r="WNI113" s="146"/>
      <c r="WNJ113" s="146"/>
      <c r="WNK113" s="146"/>
      <c r="WNL113" s="146"/>
      <c r="WNM113" s="146"/>
      <c r="WNN113" s="146"/>
      <c r="WNO113" s="146"/>
      <c r="WNP113" s="146"/>
      <c r="WNQ113" s="146"/>
      <c r="WNR113" s="146"/>
      <c r="WNS113" s="146"/>
      <c r="WNT113" s="146"/>
      <c r="WNU113" s="146"/>
      <c r="WNV113" s="146"/>
      <c r="WNW113" s="146"/>
      <c r="WNX113" s="146"/>
      <c r="WNY113" s="146"/>
      <c r="WNZ113" s="146"/>
      <c r="WOA113" s="146"/>
      <c r="WOB113" s="146"/>
      <c r="WOC113" s="146"/>
      <c r="WOD113" s="146"/>
      <c r="WOE113" s="146"/>
      <c r="WOF113" s="146"/>
      <c r="WOG113" s="146"/>
      <c r="WOH113" s="146"/>
      <c r="WOI113" s="146"/>
      <c r="WOJ113" s="146"/>
      <c r="WOK113" s="146"/>
      <c r="WOL113" s="146"/>
      <c r="WOM113" s="146"/>
      <c r="WON113" s="146"/>
      <c r="WOO113" s="146"/>
      <c r="WOP113" s="146"/>
      <c r="WOQ113" s="146"/>
      <c r="WOR113" s="146"/>
      <c r="WOS113" s="146"/>
      <c r="WOT113" s="146"/>
      <c r="WOU113" s="146"/>
      <c r="WOV113" s="146"/>
      <c r="WOW113" s="146"/>
      <c r="WOX113" s="146"/>
      <c r="WOY113" s="146"/>
      <c r="WOZ113" s="146"/>
      <c r="WPA113" s="146"/>
      <c r="WPB113" s="146"/>
      <c r="WPC113" s="146"/>
      <c r="WPD113" s="146"/>
      <c r="WPE113" s="146"/>
      <c r="WPF113" s="146"/>
      <c r="WPG113" s="146"/>
      <c r="WPH113" s="146"/>
      <c r="WPI113" s="146"/>
      <c r="WPJ113" s="146"/>
      <c r="WPK113" s="146"/>
      <c r="WPL113" s="146"/>
      <c r="WPM113" s="146"/>
      <c r="WPN113" s="146"/>
      <c r="WPO113" s="146"/>
      <c r="WPP113" s="146"/>
      <c r="WPQ113" s="146"/>
      <c r="WPR113" s="146"/>
      <c r="WPS113" s="146"/>
      <c r="WPT113" s="146"/>
      <c r="WPU113" s="146"/>
      <c r="WPV113" s="146"/>
      <c r="WPW113" s="146"/>
      <c r="WPX113" s="146"/>
      <c r="WPY113" s="146"/>
      <c r="WPZ113" s="146"/>
      <c r="WQA113" s="146"/>
      <c r="WQB113" s="146"/>
      <c r="WQC113" s="146"/>
      <c r="WQD113" s="146"/>
      <c r="WQE113" s="146"/>
      <c r="WQF113" s="146"/>
      <c r="WQG113" s="146"/>
      <c r="WQH113" s="146"/>
      <c r="WQI113" s="146"/>
      <c r="WQJ113" s="146"/>
      <c r="WQK113" s="146"/>
      <c r="WQL113" s="146"/>
      <c r="WQM113" s="146"/>
      <c r="WQN113" s="146"/>
      <c r="WQO113" s="146"/>
      <c r="WQP113" s="146"/>
      <c r="WQQ113" s="146"/>
      <c r="WQR113" s="146"/>
      <c r="WQS113" s="146"/>
      <c r="WQT113" s="146"/>
      <c r="WQU113" s="146"/>
      <c r="WQV113" s="146"/>
      <c r="WQW113" s="146"/>
      <c r="WQX113" s="146"/>
      <c r="WQY113" s="146"/>
      <c r="WQZ113" s="146"/>
      <c r="WRA113" s="146"/>
      <c r="WRB113" s="146"/>
      <c r="WRC113" s="146"/>
      <c r="WRD113" s="146"/>
      <c r="WRE113" s="146"/>
      <c r="WRF113" s="146"/>
      <c r="WRG113" s="146"/>
      <c r="WRH113" s="146"/>
      <c r="WRI113" s="146"/>
      <c r="WRJ113" s="146"/>
      <c r="WRK113" s="146"/>
      <c r="WRL113" s="146"/>
      <c r="WRM113" s="146"/>
      <c r="WRN113" s="146"/>
      <c r="WRO113" s="146"/>
      <c r="WRP113" s="146"/>
      <c r="WRQ113" s="146"/>
      <c r="WRR113" s="146"/>
      <c r="WRS113" s="146"/>
      <c r="WRT113" s="146"/>
      <c r="WRU113" s="146"/>
      <c r="WRV113" s="146"/>
      <c r="WRW113" s="146"/>
      <c r="WRX113" s="146"/>
      <c r="WRY113" s="146"/>
      <c r="WRZ113" s="146"/>
      <c r="WSA113" s="146"/>
      <c r="WSB113" s="146"/>
      <c r="WSC113" s="146"/>
      <c r="WSD113" s="146"/>
      <c r="WSE113" s="146"/>
      <c r="WSF113" s="146"/>
      <c r="WSG113" s="146"/>
      <c r="WSH113" s="146"/>
      <c r="WSI113" s="146"/>
      <c r="WSJ113" s="146"/>
      <c r="WSK113" s="146"/>
      <c r="WSL113" s="146"/>
      <c r="WSM113" s="146"/>
      <c r="WSN113" s="146"/>
      <c r="WSO113" s="146"/>
      <c r="WSP113" s="146"/>
      <c r="WSQ113" s="146"/>
      <c r="WSR113" s="146"/>
      <c r="WSS113" s="146"/>
      <c r="WST113" s="146"/>
      <c r="WSU113" s="146"/>
      <c r="WSV113" s="146"/>
      <c r="WSW113" s="146"/>
      <c r="WSX113" s="146"/>
      <c r="WSY113" s="146"/>
      <c r="WSZ113" s="146"/>
      <c r="WTA113" s="146"/>
      <c r="WTB113" s="146"/>
      <c r="WTC113" s="146"/>
      <c r="WTD113" s="146"/>
      <c r="WTE113" s="146"/>
      <c r="WTF113" s="146"/>
      <c r="WTG113" s="146"/>
      <c r="WTH113" s="146"/>
      <c r="WTI113" s="146"/>
      <c r="WTJ113" s="146"/>
      <c r="WTK113" s="146"/>
      <c r="WTL113" s="146"/>
      <c r="WTM113" s="146"/>
      <c r="WTN113" s="146"/>
      <c r="WTO113" s="146"/>
      <c r="WTP113" s="146"/>
      <c r="WTQ113" s="146"/>
      <c r="WTR113" s="146"/>
      <c r="WTS113" s="146"/>
      <c r="WTT113" s="146"/>
      <c r="WTU113" s="146"/>
      <c r="WTV113" s="146"/>
      <c r="WTW113" s="146"/>
      <c r="WTX113" s="146"/>
      <c r="WTY113" s="146"/>
      <c r="WTZ113" s="146"/>
      <c r="WUA113" s="146"/>
      <c r="WUB113" s="146"/>
      <c r="WUC113" s="146"/>
      <c r="WUD113" s="146"/>
      <c r="WUE113" s="146"/>
      <c r="WUF113" s="146"/>
      <c r="WUG113" s="146"/>
      <c r="WUH113" s="146"/>
      <c r="WUI113" s="146"/>
      <c r="WUJ113" s="146"/>
      <c r="WUK113" s="146"/>
      <c r="WUL113" s="146"/>
      <c r="WUM113" s="146"/>
      <c r="WUN113" s="146"/>
      <c r="WUO113" s="146"/>
      <c r="WUP113" s="146"/>
      <c r="WUQ113" s="146"/>
      <c r="WUR113" s="146"/>
      <c r="WUS113" s="146"/>
      <c r="WUT113" s="146"/>
      <c r="WUU113" s="146"/>
      <c r="WUV113" s="146"/>
      <c r="WUW113" s="146"/>
      <c r="WUX113" s="146"/>
      <c r="WUY113" s="146"/>
      <c r="WUZ113" s="146"/>
      <c r="WVA113" s="146"/>
      <c r="WVB113" s="146"/>
      <c r="WVC113" s="146"/>
      <c r="WVD113" s="146"/>
      <c r="WVE113" s="146"/>
      <c r="WVF113" s="146"/>
      <c r="WVG113" s="146"/>
      <c r="WVH113" s="146"/>
      <c r="WVI113" s="146"/>
      <c r="WVJ113" s="146"/>
      <c r="WVK113" s="146"/>
      <c r="WVL113" s="146"/>
      <c r="WVM113" s="146"/>
      <c r="WVN113" s="146"/>
      <c r="WVO113" s="146"/>
      <c r="WVP113" s="146"/>
      <c r="WVQ113" s="146"/>
      <c r="WVR113" s="146"/>
      <c r="WVS113" s="146"/>
      <c r="WVT113" s="146"/>
      <c r="WVU113" s="146"/>
      <c r="WVV113" s="146"/>
      <c r="WVW113" s="146"/>
      <c r="WVX113" s="146"/>
      <c r="WVY113" s="146"/>
      <c r="WVZ113" s="146"/>
      <c r="WWA113" s="146"/>
      <c r="WWB113" s="146"/>
      <c r="WWC113" s="146"/>
      <c r="WWD113" s="146"/>
      <c r="WWE113" s="146"/>
      <c r="WWF113" s="146"/>
      <c r="WWG113" s="146"/>
      <c r="WWH113" s="146"/>
      <c r="WWI113" s="146"/>
      <c r="WWJ113" s="146"/>
      <c r="WWK113" s="146"/>
      <c r="WWL113" s="146"/>
      <c r="WWM113" s="146"/>
      <c r="WWN113" s="146"/>
      <c r="WWO113" s="146"/>
      <c r="WWP113" s="146"/>
      <c r="WWQ113" s="146"/>
      <c r="WWR113" s="146"/>
      <c r="WWS113" s="146"/>
      <c r="WWT113" s="146"/>
      <c r="WWU113" s="146"/>
      <c r="WWV113" s="146"/>
      <c r="WWW113" s="146"/>
      <c r="WWX113" s="146"/>
      <c r="WWY113" s="146"/>
      <c r="WWZ113" s="146"/>
      <c r="WXA113" s="146"/>
      <c r="WXB113" s="146"/>
      <c r="WXC113" s="146"/>
      <c r="WXD113" s="146"/>
      <c r="WXE113" s="146"/>
      <c r="WXF113" s="146"/>
      <c r="WXG113" s="146"/>
      <c r="WXH113" s="146"/>
      <c r="WXI113" s="146"/>
      <c r="WXJ113" s="146"/>
      <c r="WXK113" s="146"/>
      <c r="WXL113" s="146"/>
      <c r="WXM113" s="146"/>
      <c r="WXN113" s="146"/>
      <c r="WXO113" s="146"/>
      <c r="WXP113" s="146"/>
      <c r="WXQ113" s="146"/>
      <c r="WXR113" s="146"/>
      <c r="WXS113" s="146"/>
      <c r="WXT113" s="146"/>
      <c r="WXU113" s="146"/>
      <c r="WXV113" s="146"/>
      <c r="WXW113" s="146"/>
      <c r="WXX113" s="146"/>
      <c r="WXY113" s="146"/>
      <c r="WXZ113" s="146"/>
      <c r="WYA113" s="146"/>
      <c r="WYB113" s="146"/>
      <c r="WYC113" s="146"/>
      <c r="WYD113" s="146"/>
      <c r="WYE113" s="146"/>
      <c r="WYF113" s="146"/>
      <c r="WYG113" s="146"/>
      <c r="WYH113" s="146"/>
      <c r="WYI113" s="146"/>
      <c r="WYJ113" s="146"/>
      <c r="WYK113" s="146"/>
      <c r="WYL113" s="146"/>
      <c r="WYM113" s="146"/>
      <c r="WYN113" s="146"/>
      <c r="WYO113" s="146"/>
      <c r="WYP113" s="146"/>
      <c r="WYQ113" s="146"/>
      <c r="WYR113" s="146"/>
      <c r="WYS113" s="146"/>
      <c r="WYT113" s="146"/>
      <c r="WYU113" s="146"/>
      <c r="WYV113" s="146"/>
      <c r="WYW113" s="146"/>
      <c r="WYX113" s="146"/>
      <c r="WYY113" s="146"/>
      <c r="WYZ113" s="146"/>
      <c r="WZA113" s="146"/>
      <c r="WZB113" s="146"/>
      <c r="WZC113" s="146"/>
      <c r="WZD113" s="146"/>
      <c r="WZE113" s="146"/>
      <c r="WZF113" s="146"/>
      <c r="WZG113" s="146"/>
      <c r="WZH113" s="146"/>
      <c r="WZI113" s="146"/>
      <c r="WZJ113" s="146"/>
      <c r="WZK113" s="146"/>
      <c r="WZL113" s="146"/>
      <c r="WZM113" s="146"/>
      <c r="WZN113" s="146"/>
      <c r="WZO113" s="146"/>
      <c r="WZP113" s="146"/>
      <c r="WZQ113" s="146"/>
      <c r="WZR113" s="146"/>
      <c r="WZS113" s="146"/>
      <c r="WZT113" s="146"/>
      <c r="WZU113" s="146"/>
      <c r="WZV113" s="146"/>
      <c r="WZW113" s="146"/>
      <c r="WZX113" s="146"/>
      <c r="WZY113" s="146"/>
      <c r="WZZ113" s="146"/>
      <c r="XAA113" s="146"/>
      <c r="XAB113" s="146"/>
      <c r="XAC113" s="146"/>
      <c r="XAD113" s="146"/>
      <c r="XAE113" s="146"/>
      <c r="XAF113" s="146"/>
      <c r="XAG113" s="146"/>
      <c r="XAH113" s="146"/>
      <c r="XAI113" s="146"/>
      <c r="XAJ113" s="146"/>
      <c r="XAK113" s="146"/>
      <c r="XAL113" s="146"/>
      <c r="XAM113" s="146"/>
      <c r="XAN113" s="146"/>
      <c r="XAO113" s="146"/>
      <c r="XAP113" s="146"/>
      <c r="XAQ113" s="146"/>
      <c r="XAR113" s="146"/>
      <c r="XAS113" s="146"/>
      <c r="XAT113" s="146"/>
      <c r="XAU113" s="146"/>
      <c r="XAV113" s="146"/>
      <c r="XAW113" s="146"/>
      <c r="XAX113" s="146"/>
      <c r="XAY113" s="146"/>
      <c r="XAZ113" s="146"/>
      <c r="XBA113" s="146"/>
      <c r="XBB113" s="146"/>
      <c r="XBC113" s="146"/>
      <c r="XBD113" s="146"/>
      <c r="XBE113" s="146"/>
      <c r="XBF113" s="146"/>
      <c r="XBG113" s="146"/>
      <c r="XBH113" s="146"/>
      <c r="XBI113" s="146"/>
      <c r="XBJ113" s="146"/>
      <c r="XBK113" s="146"/>
      <c r="XBL113" s="146"/>
      <c r="XBM113" s="146"/>
      <c r="XBN113" s="146"/>
      <c r="XBO113" s="146"/>
      <c r="XBP113" s="146"/>
      <c r="XBQ113" s="146"/>
      <c r="XBR113" s="146"/>
      <c r="XBS113" s="146"/>
      <c r="XBT113" s="146"/>
      <c r="XBU113" s="146"/>
      <c r="XBV113" s="146"/>
      <c r="XBW113" s="146"/>
      <c r="XBX113" s="146"/>
      <c r="XBY113" s="146"/>
      <c r="XBZ113" s="146"/>
      <c r="XCA113" s="146"/>
      <c r="XCB113" s="146"/>
      <c r="XCC113" s="146"/>
      <c r="XCD113" s="146"/>
      <c r="XCE113" s="146"/>
      <c r="XCF113" s="146"/>
      <c r="XCG113" s="146"/>
      <c r="XCH113" s="146"/>
      <c r="XCI113" s="146"/>
      <c r="XCJ113" s="146"/>
      <c r="XCK113" s="146"/>
      <c r="XCL113" s="146"/>
      <c r="XCM113" s="146"/>
      <c r="XCN113" s="146"/>
      <c r="XCO113" s="146"/>
      <c r="XCP113" s="146"/>
      <c r="XCQ113" s="146"/>
      <c r="XCR113" s="146"/>
      <c r="XCS113" s="146"/>
      <c r="XCT113" s="146"/>
      <c r="XCU113" s="146"/>
      <c r="XCV113" s="146"/>
      <c r="XCW113" s="146"/>
      <c r="XCX113" s="146"/>
      <c r="XCY113" s="146"/>
      <c r="XCZ113" s="146"/>
      <c r="XDA113" s="146"/>
      <c r="XDB113" s="146"/>
      <c r="XDC113" s="146"/>
      <c r="XDD113" s="146"/>
      <c r="XDE113" s="146"/>
      <c r="XDF113" s="146"/>
      <c r="XDG113" s="146"/>
      <c r="XDH113" s="146"/>
      <c r="XDI113" s="146"/>
      <c r="XDJ113" s="146"/>
      <c r="XDK113" s="146"/>
      <c r="XDL113" s="146"/>
      <c r="XDM113" s="146"/>
      <c r="XDN113" s="146"/>
      <c r="XDO113" s="146"/>
      <c r="XDP113" s="146"/>
      <c r="XDQ113" s="146"/>
      <c r="XDR113" s="146"/>
      <c r="XDS113" s="146"/>
      <c r="XDT113" s="146"/>
      <c r="XDU113" s="146"/>
      <c r="XDV113" s="146"/>
      <c r="XDW113" s="146"/>
      <c r="XDX113" s="146"/>
      <c r="XDY113" s="146"/>
      <c r="XDZ113" s="146"/>
      <c r="XEA113" s="146"/>
      <c r="XEB113" s="146"/>
      <c r="XEC113" s="146"/>
      <c r="XED113" s="146"/>
      <c r="XEE113" s="146"/>
      <c r="XEF113" s="146"/>
      <c r="XEG113" s="146"/>
      <c r="XEH113" s="146"/>
      <c r="XEI113" s="146"/>
      <c r="XEJ113" s="146"/>
      <c r="XEK113" s="146"/>
      <c r="XEL113" s="146"/>
      <c r="XEM113" s="146"/>
      <c r="XEN113" s="146"/>
      <c r="XEO113" s="146"/>
      <c r="XEP113" s="146"/>
      <c r="XEQ113" s="146"/>
      <c r="XER113" s="146"/>
      <c r="XES113" s="146"/>
      <c r="XET113" s="146"/>
      <c r="XEU113" s="146"/>
      <c r="XEV113" s="146"/>
      <c r="XEW113" s="146"/>
      <c r="XEX113" s="146"/>
      <c r="XEY113" s="146"/>
      <c r="XEZ113" s="146"/>
      <c r="XFA113" s="146"/>
      <c r="XFB113" s="146"/>
    </row>
    <row r="114" spans="1:16382" s="106" customFormat="1" x14ac:dyDescent="0.25">
      <c r="A114" s="78" t="s">
        <v>887</v>
      </c>
      <c r="B114" s="78" t="s">
        <v>2014</v>
      </c>
      <c r="C114" s="78" t="s">
        <v>1892</v>
      </c>
      <c r="D114" s="81" t="str">
        <f>IF(MouserListTable[[#This Row],[Vendor]]=FilterSpecs!$A$8,MouserListTable[[#This Row],[Mouser SKU]], MouserListTable[[#This Row],[Supplier SKU]])</f>
        <v>485-743</v>
      </c>
      <c r="E114" s="94">
        <f>MouserListTable[[#This Row],[Tot '#]]-MouserListTable[[#This Row],['# Initial]]</f>
        <v>1</v>
      </c>
      <c r="F114" s="94">
        <f>IF(AND(MouserListTable[[#This Row],[Tag]]&lt;&gt;FilterSpecs!$F$12, MouserListTable[[#This Row],[Tag]]&lt;&gt;FilterSpecs!$F$9), MouserListTable[[#This Row],['#/Unit]]*FilterSpecs!$B$3+MouserListTable[[#This Row],[Extra Initial]],0)</f>
        <v>5</v>
      </c>
      <c r="G114" s="78"/>
      <c r="H114" s="150"/>
      <c r="I114" s="78" t="s">
        <v>2063</v>
      </c>
      <c r="J114" s="78"/>
      <c r="K114" s="117">
        <v>2.5</v>
      </c>
      <c r="L114" s="78" t="s">
        <v>1897</v>
      </c>
      <c r="M114" s="81"/>
      <c r="N114" s="154">
        <f>MouserListTable[[#This Row],['# Initial]]*MouserListTable[[#This Row],[Price (USD)]]</f>
        <v>12.5</v>
      </c>
      <c r="O114" s="81" t="s">
        <v>2064</v>
      </c>
      <c r="P114" s="150">
        <f t="shared" si="1"/>
        <v>101</v>
      </c>
      <c r="Q114" s="78" t="s">
        <v>1884</v>
      </c>
      <c r="R114"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485-743</v>
      </c>
      <c r="S114" s="133" t="str">
        <f>HYPERLINK("https://www.mouser.com/ProductDetail/" &amp;MouserListTable[[#This Row],[Mouser SKU]])</f>
        <v>https://www.mouser.com/ProductDetail/485-743</v>
      </c>
      <c r="T114" s="94">
        <v>1</v>
      </c>
      <c r="U114" s="94">
        <v>1</v>
      </c>
      <c r="V114" s="94">
        <v>0</v>
      </c>
      <c r="W114" s="94">
        <f>MouserListTable[[#This Row],['#/Unit]]*FilterSpecs!$C$3+MouserListTable[[#This Row],[Extra]]</f>
        <v>6</v>
      </c>
      <c r="X114" s="94">
        <f>IF(MouserListTable[[#This Row],[Tag]]=FilterSpecs!$F$7,MouserListTable[[#This Row],['#/Unit]]*MouserListTable[[#This Row],[Price (USD)]],0)</f>
        <v>2.5</v>
      </c>
      <c r="Y114" s="94">
        <f>MouserListTable[[#This Row],[Tot '#]]*MouserListTable[[#This Row],[Price (USD)]]</f>
        <v>15</v>
      </c>
      <c r="Z114"/>
    </row>
    <row r="115" spans="1:16382" s="106" customFormat="1" x14ac:dyDescent="0.25">
      <c r="A115" s="97" t="s">
        <v>887</v>
      </c>
      <c r="B115" s="97" t="s">
        <v>2014</v>
      </c>
      <c r="C115" s="78" t="s">
        <v>1892</v>
      </c>
      <c r="D115" s="81" t="str">
        <f>IF(MouserListTable[[#This Row],[Vendor]]=FilterSpecs!$A$8,MouserListTable[[#This Row],[Mouser SKU]], MouserListTable[[#This Row],[Supplier SKU]])</f>
        <v>474-PRT-10288</v>
      </c>
      <c r="E115" s="94">
        <f>MouserListTable[[#This Row],[Tot '#]]-MouserListTable[[#This Row],['# Initial]]</f>
        <v>0</v>
      </c>
      <c r="F115" s="94">
        <f>IF(AND(MouserListTable[[#This Row],[Tag]]&lt;&gt;FilterSpecs!$F$12, MouserListTable[[#This Row],[Tag]]&lt;&gt;FilterSpecs!$F$9), MouserListTable[[#This Row],['#/Unit]]*FilterSpecs!$B$3+MouserListTable[[#This Row],[Extra Initial]],0)</f>
        <v>0</v>
      </c>
      <c r="G115" s="78" t="s">
        <v>1020</v>
      </c>
      <c r="H115" s="150" t="s">
        <v>1021</v>
      </c>
      <c r="I115" s="78" t="s">
        <v>1022</v>
      </c>
      <c r="J115" s="78"/>
      <c r="K115" s="117">
        <v>2.95</v>
      </c>
      <c r="L115" s="78" t="s">
        <v>1898</v>
      </c>
      <c r="M115" s="78"/>
      <c r="N115" s="154">
        <f>MouserListTable[[#This Row],['# Initial]]*MouserListTable[[#This Row],[Price (USD)]]</f>
        <v>0</v>
      </c>
      <c r="O115" s="81" t="s">
        <v>1019</v>
      </c>
      <c r="P115" s="150">
        <f t="shared" si="1"/>
        <v>102</v>
      </c>
      <c r="Q115" s="78" t="s">
        <v>5</v>
      </c>
      <c r="R115"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474-PRT-10288</v>
      </c>
      <c r="S115" s="133" t="str">
        <f>HYPERLINK("https://www.mouser.com/ProductDetail/" &amp;MouserListTable[[#This Row],[Mouser SKU]])</f>
        <v>https://www.mouser.com/ProductDetail/474-PRT-10288</v>
      </c>
      <c r="T115" s="94">
        <v>0</v>
      </c>
      <c r="U115" s="94">
        <v>0</v>
      </c>
      <c r="V115" s="94">
        <v>0</v>
      </c>
      <c r="W115" s="94">
        <f>MouserListTable[[#This Row],['#/Unit]]*FilterSpecs!$C$3+MouserListTable[[#This Row],[Extra]]</f>
        <v>0</v>
      </c>
      <c r="X115" s="94">
        <f>IF(MouserListTable[[#This Row],[Tag]]=FilterSpecs!$F$7,MouserListTable[[#This Row],['#/Unit]]*MouserListTable[[#This Row],[Price (USD)]],0)</f>
        <v>0</v>
      </c>
      <c r="Y115" s="94">
        <f>MouserListTable[[#This Row],[Tot '#]]*MouserListTable[[#This Row],[Price (USD)]]</f>
        <v>0</v>
      </c>
      <c r="Z115"/>
    </row>
    <row r="116" spans="1:16382" s="106" customFormat="1" x14ac:dyDescent="0.25">
      <c r="A116" s="97" t="s">
        <v>887</v>
      </c>
      <c r="B116" s="97" t="s">
        <v>2014</v>
      </c>
      <c r="C116" s="78" t="s">
        <v>1892</v>
      </c>
      <c r="D116" s="81" t="str">
        <f>IF(MouserListTable[[#This Row],[Vendor]]=FilterSpecs!$A$8,MouserListTable[[#This Row],[Mouser SKU]], MouserListTable[[#This Row],[Supplier SKU]])</f>
        <v>474-PRT-10287</v>
      </c>
      <c r="E116" s="94">
        <f>MouserListTable[[#This Row],[Tot '#]]-MouserListTable[[#This Row],['# Initial]]</f>
        <v>0</v>
      </c>
      <c r="F116" s="94">
        <f>IF(AND(MouserListTable[[#This Row],[Tag]]&lt;&gt;FilterSpecs!$F$12, MouserListTable[[#This Row],[Tag]]&lt;&gt;FilterSpecs!$F$9), MouserListTable[[#This Row],['#/Unit]]*FilterSpecs!$B$3+MouserListTable[[#This Row],[Extra Initial]],0)</f>
        <v>0</v>
      </c>
      <c r="G116" s="78" t="s">
        <v>809</v>
      </c>
      <c r="H116" s="150" t="s">
        <v>810</v>
      </c>
      <c r="I116" s="78" t="s">
        <v>811</v>
      </c>
      <c r="J116" s="78"/>
      <c r="K116" s="117">
        <v>2.95</v>
      </c>
      <c r="L116" s="78" t="s">
        <v>1898</v>
      </c>
      <c r="M116" s="78"/>
      <c r="N116" s="154">
        <f>MouserListTable[[#This Row],['# Initial]]*MouserListTable[[#This Row],[Price (USD)]]</f>
        <v>0</v>
      </c>
      <c r="O116" s="81" t="s">
        <v>808</v>
      </c>
      <c r="P116" s="150">
        <f t="shared" si="1"/>
        <v>103</v>
      </c>
      <c r="Q116" s="78" t="s">
        <v>5</v>
      </c>
      <c r="R116"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474-PRT-10287</v>
      </c>
      <c r="S116" s="133" t="str">
        <f>HYPERLINK("https://www.mouser.com/ProductDetail/" &amp;MouserListTable[[#This Row],[Mouser SKU]])</f>
        <v>https://www.mouser.com/ProductDetail/474-PRT-10287</v>
      </c>
      <c r="T116" s="94">
        <v>0</v>
      </c>
      <c r="U116" s="94">
        <v>0</v>
      </c>
      <c r="V116" s="94">
        <v>0</v>
      </c>
      <c r="W116" s="94">
        <f>MouserListTable[[#This Row],['#/Unit]]*FilterSpecs!$C$3+MouserListTable[[#This Row],[Extra]]</f>
        <v>0</v>
      </c>
      <c r="X116" s="94">
        <f>IF(MouserListTable[[#This Row],[Tag]]=FilterSpecs!$F$7,MouserListTable[[#This Row],['#/Unit]]*MouserListTable[[#This Row],[Price (USD)]],0)</f>
        <v>0</v>
      </c>
      <c r="Y116" s="94">
        <f>MouserListTable[[#This Row],[Tot '#]]*MouserListTable[[#This Row],[Price (USD)]]</f>
        <v>0</v>
      </c>
      <c r="Z116"/>
    </row>
    <row r="117" spans="1:16382" s="106" customFormat="1" x14ac:dyDescent="0.25">
      <c r="A117" s="97" t="s">
        <v>887</v>
      </c>
      <c r="B117" s="97" t="s">
        <v>2014</v>
      </c>
      <c r="C117" s="78" t="s">
        <v>1892</v>
      </c>
      <c r="D117" s="81" t="str">
        <f>IF(MouserListTable[[#This Row],[Vendor]]=FilterSpecs!$A$8,MouserListTable[[#This Row],[Mouser SKU]], MouserListTable[[#This Row],[Supplier SKU]])</f>
        <v>485-368</v>
      </c>
      <c r="E117" s="94">
        <f>MouserListTable[[#This Row],[Tot '#]]-MouserListTable[[#This Row],['# Initial]]</f>
        <v>0</v>
      </c>
      <c r="F117" s="94">
        <f>IF(AND(MouserListTable[[#This Row],[Tag]]&lt;&gt;FilterSpecs!$F$12, MouserListTable[[#This Row],[Tag]]&lt;&gt;FilterSpecs!$F$9), MouserListTable[[#This Row],['#/Unit]]*FilterSpecs!$B$3+MouserListTable[[#This Row],[Extra Initial]],0)</f>
        <v>0</v>
      </c>
      <c r="G117" s="78"/>
      <c r="H117" s="150"/>
      <c r="I117" s="78" t="s">
        <v>2199</v>
      </c>
      <c r="J117" s="78"/>
      <c r="K117" s="117">
        <v>2</v>
      </c>
      <c r="L117" s="78" t="s">
        <v>1896</v>
      </c>
      <c r="M117" s="78"/>
      <c r="N117" s="154">
        <f>MouserListTable[[#This Row],['# Initial]]*MouserListTable[[#This Row],[Price (USD)]]</f>
        <v>0</v>
      </c>
      <c r="O117" s="81" t="s">
        <v>2198</v>
      </c>
      <c r="P117" s="150">
        <f t="shared" si="1"/>
        <v>104</v>
      </c>
      <c r="Q117" s="78" t="s">
        <v>1884</v>
      </c>
      <c r="R117"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485-368</v>
      </c>
      <c r="S117" s="133" t="str">
        <f>HYPERLINK("https://www.mouser.com/ProductDetail/" &amp;MouserListTable[[#This Row],[Mouser SKU]])</f>
        <v>https://www.mouser.com/ProductDetail/485-368</v>
      </c>
      <c r="T117" s="94">
        <v>0</v>
      </c>
      <c r="U117" s="94">
        <v>0</v>
      </c>
      <c r="V117" s="94">
        <v>0</v>
      </c>
      <c r="W117" s="94">
        <f>MouserListTable[[#This Row],['#/Unit]]*FilterSpecs!$C$3+MouserListTable[[#This Row],[Extra]]</f>
        <v>0</v>
      </c>
      <c r="X117" s="94">
        <f>IF(MouserListTable[[#This Row],[Tag]]=FilterSpecs!$F$7,MouserListTable[[#This Row],['#/Unit]]*MouserListTable[[#This Row],[Price (USD)]],0)</f>
        <v>0</v>
      </c>
      <c r="Y117" s="94">
        <f>MouserListTable[[#This Row],[Tot '#]]*MouserListTable[[#This Row],[Price (USD)]]</f>
        <v>0</v>
      </c>
      <c r="Z117"/>
    </row>
    <row r="118" spans="1:16382" s="106" customFormat="1" x14ac:dyDescent="0.25">
      <c r="A118" s="97" t="s">
        <v>887</v>
      </c>
      <c r="B118" s="97" t="s">
        <v>2014</v>
      </c>
      <c r="C118" s="78" t="s">
        <v>1892</v>
      </c>
      <c r="D118" s="81" t="str">
        <f>IF(MouserListTable[[#This Row],[Vendor]]=FilterSpecs!$A$8,MouserListTable[[#This Row],[Mouser SKU]], MouserListTable[[#This Row],[Supplier SKU]])</f>
        <v>485-369</v>
      </c>
      <c r="E118" s="94">
        <f>MouserListTable[[#This Row],[Tot '#]]-MouserListTable[[#This Row],['# Initial]]</f>
        <v>0</v>
      </c>
      <c r="F118" s="94">
        <f>IF(AND(MouserListTable[[#This Row],[Tag]]&lt;&gt;FilterSpecs!$F$12, MouserListTable[[#This Row],[Tag]]&lt;&gt;FilterSpecs!$F$9), MouserListTable[[#This Row],['#/Unit]]*FilterSpecs!$B$3+MouserListTable[[#This Row],[Extra Initial]],0)</f>
        <v>0</v>
      </c>
      <c r="G118" s="78"/>
      <c r="H118" s="150"/>
      <c r="I118" s="78" t="s">
        <v>2201</v>
      </c>
      <c r="J118" s="78"/>
      <c r="K118" s="117">
        <v>2</v>
      </c>
      <c r="L118" s="78" t="s">
        <v>1896</v>
      </c>
      <c r="M118" s="78"/>
      <c r="N118" s="154">
        <f>MouserListTable[[#This Row],['# Initial]]*MouserListTable[[#This Row],[Price (USD)]]</f>
        <v>0</v>
      </c>
      <c r="O118" s="81" t="s">
        <v>2200</v>
      </c>
      <c r="P118" s="150">
        <f t="shared" si="1"/>
        <v>105</v>
      </c>
      <c r="Q118" s="78" t="s">
        <v>1884</v>
      </c>
      <c r="R118"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485-369</v>
      </c>
      <c r="S118" s="133" t="str">
        <f>HYPERLINK("https://www.mouser.com/ProductDetail/" &amp;MouserListTable[[#This Row],[Mouser SKU]])</f>
        <v>https://www.mouser.com/ProductDetail/485-369</v>
      </c>
      <c r="T118" s="94">
        <v>0</v>
      </c>
      <c r="U118" s="94">
        <v>0</v>
      </c>
      <c r="V118" s="94">
        <v>0</v>
      </c>
      <c r="W118" s="94">
        <f>MouserListTable[[#This Row],['#/Unit]]*FilterSpecs!$C$3+MouserListTable[[#This Row],[Extra]]</f>
        <v>0</v>
      </c>
      <c r="X118" s="94">
        <f>IF(MouserListTable[[#This Row],[Tag]]=FilterSpecs!$F$7,MouserListTable[[#This Row],['#/Unit]]*MouserListTable[[#This Row],[Price (USD)]],0)</f>
        <v>0</v>
      </c>
      <c r="Y118" s="94">
        <f>MouserListTable[[#This Row],[Tot '#]]*MouserListTable[[#This Row],[Price (USD)]]</f>
        <v>0</v>
      </c>
      <c r="Z118"/>
    </row>
    <row r="119" spans="1:16382" s="106" customFormat="1" x14ac:dyDescent="0.25">
      <c r="A119" s="78" t="s">
        <v>887</v>
      </c>
      <c r="B119" s="78" t="s">
        <v>2014</v>
      </c>
      <c r="C119" s="78" t="s">
        <v>1892</v>
      </c>
      <c r="D119" s="81" t="str">
        <f>IF(MouserListTable[[#This Row],[Vendor]]=FilterSpecs!$A$8,MouserListTable[[#This Row],[Mouser SKU]], MouserListTable[[#This Row],[Supplier SKU]])</f>
        <v>474-PRT-13126</v>
      </c>
      <c r="E119" s="94">
        <f>MouserListTable[[#This Row],[Tot '#]]-MouserListTable[[#This Row],['# Initial]]</f>
        <v>2</v>
      </c>
      <c r="F119" s="94">
        <f>IF(AND(MouserListTable[[#This Row],[Tag]]&lt;&gt;FilterSpecs!$F$12, MouserListTable[[#This Row],[Tag]]&lt;&gt;FilterSpecs!$F$9), MouserListTable[[#This Row],['#/Unit]]*FilterSpecs!$B$3+MouserListTable[[#This Row],[Extra Initial]],0)</f>
        <v>0</v>
      </c>
      <c r="G119" s="78" t="s">
        <v>958</v>
      </c>
      <c r="H119" s="150" t="s">
        <v>959</v>
      </c>
      <c r="I119" s="78" t="s">
        <v>960</v>
      </c>
      <c r="J119" s="78">
        <v>1</v>
      </c>
      <c r="K119" s="117">
        <v>0.95</v>
      </c>
      <c r="L119" s="78" t="s">
        <v>1897</v>
      </c>
      <c r="M119" s="78"/>
      <c r="N119" s="154">
        <f>MouserListTable[[#This Row],['# Initial]]*MouserListTable[[#This Row],[Price (USD)]]</f>
        <v>0</v>
      </c>
      <c r="O119" s="81" t="s">
        <v>957</v>
      </c>
      <c r="P119" s="150">
        <f t="shared" si="1"/>
        <v>106</v>
      </c>
      <c r="Q119" s="78" t="s">
        <v>5</v>
      </c>
      <c r="R119"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474-PRT-13126</v>
      </c>
      <c r="S119" s="133" t="str">
        <f>HYPERLINK("https://www.mouser.com/ProductDetail/" &amp;MouserListTable[[#This Row],[Mouser SKU]])</f>
        <v>https://www.mouser.com/ProductDetail/474-PRT-13126</v>
      </c>
      <c r="T119" s="94">
        <v>0</v>
      </c>
      <c r="U119" s="94">
        <v>2</v>
      </c>
      <c r="V119" s="94">
        <v>0</v>
      </c>
      <c r="W119" s="94">
        <f>MouserListTable[[#This Row],['#/Unit]]*FilterSpecs!$C$3+MouserListTable[[#This Row],[Extra]]</f>
        <v>2</v>
      </c>
      <c r="X119" s="94">
        <f>IF(MouserListTable[[#This Row],[Tag]]=FilterSpecs!$F$7,MouserListTable[[#This Row],['#/Unit]]*MouserListTable[[#This Row],[Price (USD)]],0)</f>
        <v>0</v>
      </c>
      <c r="Y119" s="94">
        <f>MouserListTable[[#This Row],[Tot '#]]*MouserListTable[[#This Row],[Price (USD)]]</f>
        <v>1.9</v>
      </c>
      <c r="Z119"/>
    </row>
    <row r="120" spans="1:16382" s="106" customFormat="1" x14ac:dyDescent="0.25">
      <c r="A120" s="78" t="s">
        <v>887</v>
      </c>
      <c r="B120" s="78" t="s">
        <v>2014</v>
      </c>
      <c r="C120" s="78" t="s">
        <v>1892</v>
      </c>
      <c r="D120" s="81" t="str">
        <f>IF(MouserListTable[[#This Row],[Vendor]]=FilterSpecs!$A$8,MouserListTable[[#This Row],[Mouser SKU]], MouserListTable[[#This Row],[Supplier SKU]])</f>
        <v>474-PRT-11476</v>
      </c>
      <c r="E120" s="94">
        <f>MouserListTable[[#This Row],[Tot '#]]-MouserListTable[[#This Row],['# Initial]]</f>
        <v>1</v>
      </c>
      <c r="F120" s="94">
        <f>IF(AND(MouserListTable[[#This Row],[Tag]]&lt;&gt;FilterSpecs!$F$12, MouserListTable[[#This Row],[Tag]]&lt;&gt;FilterSpecs!$F$9), MouserListTable[[#This Row],['#/Unit]]*FilterSpecs!$B$3+MouserListTable[[#This Row],[Extra Initial]],0)</f>
        <v>5</v>
      </c>
      <c r="G120" s="78" t="s">
        <v>1016</v>
      </c>
      <c r="H120" s="150" t="s">
        <v>1017</v>
      </c>
      <c r="I120" s="78" t="s">
        <v>1018</v>
      </c>
      <c r="J120" s="106">
        <v>1</v>
      </c>
      <c r="K120" s="117">
        <v>0.95</v>
      </c>
      <c r="L120" s="78" t="s">
        <v>1897</v>
      </c>
      <c r="M120" s="81"/>
      <c r="N120" s="154">
        <f>MouserListTable[[#This Row],['# Initial]]*MouserListTable[[#This Row],[Price (USD)]]</f>
        <v>4.75</v>
      </c>
      <c r="O120" s="81" t="s">
        <v>1015</v>
      </c>
      <c r="P120" s="150">
        <f t="shared" si="1"/>
        <v>107</v>
      </c>
      <c r="Q120" s="78" t="s">
        <v>5</v>
      </c>
      <c r="R120"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474-PRT-11476</v>
      </c>
      <c r="S120" s="133" t="str">
        <f>HYPERLINK("https://www.mouser.com/ProductDetail/" &amp;MouserListTable[[#This Row],[Mouser SKU]])</f>
        <v>https://www.mouser.com/ProductDetail/474-PRT-11476</v>
      </c>
      <c r="T120" s="94">
        <v>1</v>
      </c>
      <c r="U120" s="94">
        <v>1</v>
      </c>
      <c r="V120" s="94">
        <v>0</v>
      </c>
      <c r="W120" s="94">
        <f>MouserListTable[[#This Row],['#/Unit]]*FilterSpecs!$C$3+MouserListTable[[#This Row],[Extra]]</f>
        <v>6</v>
      </c>
      <c r="X120" s="94">
        <f>IF(MouserListTable[[#This Row],[Tag]]=FilterSpecs!$F$7,MouserListTable[[#This Row],['#/Unit]]*MouserListTable[[#This Row],[Price (USD)]],0)</f>
        <v>0.95</v>
      </c>
      <c r="Y120" s="94">
        <f>MouserListTable[[#This Row],[Tot '#]]*MouserListTable[[#This Row],[Price (USD)]]</f>
        <v>5.6999999999999993</v>
      </c>
      <c r="Z120"/>
    </row>
    <row r="121" spans="1:16382" s="106" customFormat="1" x14ac:dyDescent="0.25">
      <c r="A121" s="78" t="s">
        <v>887</v>
      </c>
      <c r="B121" s="78" t="s">
        <v>2014</v>
      </c>
      <c r="C121" s="78" t="s">
        <v>1892</v>
      </c>
      <c r="D121" s="81" t="str">
        <f>IF(MouserListTable[[#This Row],[Vendor]]=FilterSpecs!$A$8,MouserListTable[[#This Row],[Mouser SKU]], MouserListTable[[#This Row],[Supplier SKU]])</f>
        <v>474-PRT-11474</v>
      </c>
      <c r="E121" s="94">
        <f>MouserListTable[[#This Row],[Tot '#]]-MouserListTable[[#This Row],['# Initial]]</f>
        <v>4</v>
      </c>
      <c r="F121" s="94">
        <f>IF(AND(MouserListTable[[#This Row],[Tag]]&lt;&gt;FilterSpecs!$F$12, MouserListTable[[#This Row],[Tag]]&lt;&gt;FilterSpecs!$F$9), MouserListTable[[#This Row],['#/Unit]]*FilterSpecs!$B$3+MouserListTable[[#This Row],[Extra Initial]],0)</f>
        <v>0</v>
      </c>
      <c r="G121" s="78" t="s">
        <v>2397</v>
      </c>
      <c r="H121" s="150" t="s">
        <v>2398</v>
      </c>
      <c r="I121" s="78" t="s">
        <v>2399</v>
      </c>
      <c r="J121" s="106">
        <v>1</v>
      </c>
      <c r="K121" s="117">
        <v>0.3</v>
      </c>
      <c r="L121" s="78" t="s">
        <v>1896</v>
      </c>
      <c r="M121" s="81"/>
      <c r="N121" s="154">
        <f>MouserListTable[[#This Row],['# Initial]]*MouserListTable[[#This Row],[Price (USD)]]</f>
        <v>0</v>
      </c>
      <c r="O121" s="81" t="s">
        <v>2396</v>
      </c>
      <c r="P121" s="150">
        <f t="shared" si="1"/>
        <v>108</v>
      </c>
      <c r="Q121" s="78" t="s">
        <v>5</v>
      </c>
      <c r="R121"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474-PRT-11474</v>
      </c>
      <c r="S121" s="133" t="str">
        <f>HYPERLINK("https://www.mouser.com/ProductDetail/" &amp;MouserListTable[[#This Row],[Mouser SKU]])</f>
        <v>https://www.mouser.com/ProductDetail/474-PRT-11474</v>
      </c>
      <c r="T121" s="94">
        <v>0</v>
      </c>
      <c r="U121" s="94">
        <v>4</v>
      </c>
      <c r="V121" s="94">
        <v>0</v>
      </c>
      <c r="W121" s="94">
        <f>MouserListTable[[#This Row],['#/Unit]]*FilterSpecs!$C$3+MouserListTable[[#This Row],[Extra]]</f>
        <v>4</v>
      </c>
      <c r="X121" s="94">
        <f>IF(MouserListTable[[#This Row],[Tag]]=FilterSpecs!$F$7,MouserListTable[[#This Row],['#/Unit]]*MouserListTable[[#This Row],[Price (USD)]],0)</f>
        <v>0</v>
      </c>
      <c r="Y121" s="94">
        <f>MouserListTable[[#This Row],[Tot '#]]*MouserListTable[[#This Row],[Price (USD)]]</f>
        <v>1.2</v>
      </c>
      <c r="Z121"/>
    </row>
    <row r="122" spans="1:16382" s="106" customFormat="1" x14ac:dyDescent="0.25">
      <c r="A122" s="78" t="s">
        <v>887</v>
      </c>
      <c r="B122" s="78" t="s">
        <v>2014</v>
      </c>
      <c r="C122" s="78" t="s">
        <v>1892</v>
      </c>
      <c r="D122" s="81" t="str">
        <f>IF(MouserListTable[[#This Row],[Vendor]]=FilterSpecs!$A$8,MouserListTable[[#This Row],[Mouser SKU]], MouserListTable[[#This Row],[Supplier SKU]])</f>
        <v>485-1829</v>
      </c>
      <c r="E122" s="94">
        <f>MouserListTable[[#This Row],[Tot '#]]-MouserListTable[[#This Row],['# Initial]]</f>
        <v>0</v>
      </c>
      <c r="F122" s="94">
        <f>IF(AND(MouserListTable[[#This Row],[Tag]]&lt;&gt;FilterSpecs!$F$12, MouserListTable[[#This Row],[Tag]]&lt;&gt;FilterSpecs!$F$9), MouserListTable[[#This Row],['#/Unit]]*FilterSpecs!$B$3+MouserListTable[[#This Row],[Extra Initial]],0)</f>
        <v>0</v>
      </c>
      <c r="G122" s="78"/>
      <c r="H122" s="150"/>
      <c r="I122" s="97" t="s">
        <v>2265</v>
      </c>
      <c r="K122" s="118">
        <v>0.95</v>
      </c>
      <c r="L122" s="97" t="s">
        <v>1896</v>
      </c>
      <c r="N122" s="154">
        <f>MouserListTable[[#This Row],['# Initial]]*MouserListTable[[#This Row],[Price (USD)]]</f>
        <v>0</v>
      </c>
      <c r="O122" s="81" t="s">
        <v>2264</v>
      </c>
      <c r="P122" s="150">
        <f t="shared" si="1"/>
        <v>109</v>
      </c>
      <c r="Q122" s="78" t="s">
        <v>1884</v>
      </c>
      <c r="R122"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485-1829</v>
      </c>
      <c r="S122" s="133" t="str">
        <f>HYPERLINK("https://www.mouser.com/ProductDetail/" &amp;MouserListTable[[#This Row],[Mouser SKU]])</f>
        <v>https://www.mouser.com/ProductDetail/485-1829</v>
      </c>
      <c r="T122" s="94">
        <v>0</v>
      </c>
      <c r="U122" s="94">
        <v>0</v>
      </c>
      <c r="V122" s="94">
        <v>0</v>
      </c>
      <c r="W122" s="94">
        <f>MouserListTable[[#This Row],['#/Unit]]*FilterSpecs!$C$3+MouserListTable[[#This Row],[Extra]]</f>
        <v>0</v>
      </c>
      <c r="X122" s="94">
        <f>IF(MouserListTable[[#This Row],[Tag]]=FilterSpecs!$F$7,MouserListTable[[#This Row],['#/Unit]]*MouserListTable[[#This Row],[Price (USD)]],0)</f>
        <v>0</v>
      </c>
      <c r="Y122" s="94">
        <f>MouserListTable[[#This Row],[Tot '#]]*MouserListTable[[#This Row],[Price (USD)]]</f>
        <v>0</v>
      </c>
      <c r="Z122"/>
    </row>
    <row r="123" spans="1:16382" s="106" customFormat="1" x14ac:dyDescent="0.25">
      <c r="A123" s="97" t="s">
        <v>887</v>
      </c>
      <c r="B123" s="97" t="s">
        <v>2014</v>
      </c>
      <c r="C123" s="78" t="s">
        <v>1892</v>
      </c>
      <c r="D123" s="81" t="str">
        <f>IF(MouserListTable[[#This Row],[Vendor]]=FilterSpecs!$A$8,MouserListTable[[#This Row],[Mouser SKU]], MouserListTable[[#This Row],[Supplier SKU]])</f>
        <v>485-1388</v>
      </c>
      <c r="E123" s="94">
        <f>MouserListTable[[#This Row],[Tot '#]]-MouserListTable[[#This Row],['# Initial]]</f>
        <v>0</v>
      </c>
      <c r="F123" s="94">
        <f>IF(AND(MouserListTable[[#This Row],[Tag]]&lt;&gt;FilterSpecs!$F$12, MouserListTable[[#This Row],[Tag]]&lt;&gt;FilterSpecs!$F$9), MouserListTable[[#This Row],['#/Unit]]*FilterSpecs!$B$3+MouserListTable[[#This Row],[Extra Initial]],0)</f>
        <v>0</v>
      </c>
      <c r="G123" s="78"/>
      <c r="H123" s="150"/>
      <c r="I123" s="78" t="s">
        <v>2267</v>
      </c>
      <c r="J123" s="78"/>
      <c r="K123" s="117">
        <v>0.95</v>
      </c>
      <c r="L123" s="106" t="s">
        <v>1896</v>
      </c>
      <c r="M123" s="78"/>
      <c r="N123" s="154">
        <f>MouserListTable[[#This Row],['# Initial]]*MouserListTable[[#This Row],[Price (USD)]]</f>
        <v>0</v>
      </c>
      <c r="O123" s="81" t="s">
        <v>2266</v>
      </c>
      <c r="P123" s="150">
        <f t="shared" si="1"/>
        <v>110</v>
      </c>
      <c r="Q123" s="78" t="s">
        <v>1884</v>
      </c>
      <c r="R123"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485-1388</v>
      </c>
      <c r="S123" s="133" t="str">
        <f>HYPERLINK("https://www.mouser.com/ProductDetail/" &amp;MouserListTable[[#This Row],[Mouser SKU]])</f>
        <v>https://www.mouser.com/ProductDetail/485-1388</v>
      </c>
      <c r="T123" s="94">
        <v>0</v>
      </c>
      <c r="U123" s="94">
        <v>0</v>
      </c>
      <c r="V123" s="94">
        <v>0</v>
      </c>
      <c r="W123" s="94">
        <f>MouserListTable[[#This Row],['#/Unit]]*FilterSpecs!$C$3+MouserListTable[[#This Row],[Extra]]</f>
        <v>0</v>
      </c>
      <c r="X123" s="94">
        <f>IF(MouserListTable[[#This Row],[Tag]]=FilterSpecs!$F$7,MouserListTable[[#This Row],['#/Unit]]*MouserListTable[[#This Row],[Price (USD)]],0)</f>
        <v>0</v>
      </c>
      <c r="Y123" s="94">
        <f>MouserListTable[[#This Row],[Tot '#]]*MouserListTable[[#This Row],[Price (USD)]]</f>
        <v>0</v>
      </c>
      <c r="Z123"/>
    </row>
    <row r="124" spans="1:16382" s="106" customFormat="1" x14ac:dyDescent="0.25">
      <c r="A124" s="97" t="s">
        <v>887</v>
      </c>
      <c r="B124" s="97" t="s">
        <v>2014</v>
      </c>
      <c r="C124" s="78" t="s">
        <v>1892</v>
      </c>
      <c r="D124" s="81" t="str">
        <f>IF(MouserListTable[[#This Row],[Vendor]]=FilterSpecs!$A$8,MouserListTable[[#This Row],[Mouser SKU]], MouserListTable[[#This Row],[Supplier SKU]])</f>
        <v>485-1390</v>
      </c>
      <c r="E124" s="94">
        <f>MouserListTable[[#This Row],[Tot '#]]-MouserListTable[[#This Row],['# Initial]]</f>
        <v>0</v>
      </c>
      <c r="F124" s="94">
        <f>IF(AND(MouserListTable[[#This Row],[Tag]]&lt;&gt;FilterSpecs!$F$12, MouserListTable[[#This Row],[Tag]]&lt;&gt;FilterSpecs!$F$9), MouserListTable[[#This Row],['#/Unit]]*FilterSpecs!$B$3+MouserListTable[[#This Row],[Extra Initial]],0)</f>
        <v>0</v>
      </c>
      <c r="G124" s="78"/>
      <c r="H124" s="150"/>
      <c r="I124" s="78" t="s">
        <v>2269</v>
      </c>
      <c r="J124" s="78"/>
      <c r="K124" s="117">
        <v>0.95</v>
      </c>
      <c r="L124" s="106" t="s">
        <v>1896</v>
      </c>
      <c r="M124" s="78"/>
      <c r="N124" s="154">
        <f>MouserListTable[[#This Row],['# Initial]]*MouserListTable[[#This Row],[Price (USD)]]</f>
        <v>0</v>
      </c>
      <c r="O124" s="81" t="s">
        <v>2268</v>
      </c>
      <c r="P124" s="150">
        <f t="shared" si="1"/>
        <v>111</v>
      </c>
      <c r="Q124" s="78" t="s">
        <v>1884</v>
      </c>
      <c r="R124"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485-1390</v>
      </c>
      <c r="S124" s="133" t="str">
        <f>HYPERLINK("https://www.mouser.com/ProductDetail/" &amp;MouserListTable[[#This Row],[Mouser SKU]])</f>
        <v>https://www.mouser.com/ProductDetail/485-1390</v>
      </c>
      <c r="T124" s="94">
        <v>0</v>
      </c>
      <c r="U124" s="94">
        <v>0</v>
      </c>
      <c r="V124" s="94">
        <v>0</v>
      </c>
      <c r="W124" s="94">
        <f>MouserListTable[[#This Row],['#/Unit]]*FilterSpecs!$C$3+MouserListTable[[#This Row],[Extra]]</f>
        <v>0</v>
      </c>
      <c r="X124" s="94">
        <f>IF(MouserListTable[[#This Row],[Tag]]=FilterSpecs!$F$7,MouserListTable[[#This Row],['#/Unit]]*MouserListTable[[#This Row],[Price (USD)]],0)</f>
        <v>0</v>
      </c>
      <c r="Y124" s="94">
        <f>MouserListTable[[#This Row],[Tot '#]]*MouserListTable[[#This Row],[Price (USD)]]</f>
        <v>0</v>
      </c>
      <c r="Z124"/>
    </row>
    <row r="125" spans="1:16382" s="106" customFormat="1" x14ac:dyDescent="0.25">
      <c r="A125" s="97" t="s">
        <v>887</v>
      </c>
      <c r="B125" s="97" t="s">
        <v>2014</v>
      </c>
      <c r="C125" s="78" t="s">
        <v>1892</v>
      </c>
      <c r="D125" s="81" t="str">
        <f>IF(MouserListTable[[#This Row],[Vendor]]=FilterSpecs!$A$8,MouserListTable[[#This Row],[Mouser SKU]], MouserListTable[[#This Row],[Supplier SKU]])</f>
        <v>485-1389</v>
      </c>
      <c r="E125" s="94">
        <f>MouserListTable[[#This Row],[Tot '#]]-MouserListTable[[#This Row],['# Initial]]</f>
        <v>0</v>
      </c>
      <c r="F125" s="94">
        <f>IF(AND(MouserListTable[[#This Row],[Tag]]&lt;&gt;FilterSpecs!$F$12, MouserListTable[[#This Row],[Tag]]&lt;&gt;FilterSpecs!$F$9), MouserListTable[[#This Row],['#/Unit]]*FilterSpecs!$B$3+MouserListTable[[#This Row],[Extra Initial]],0)</f>
        <v>0</v>
      </c>
      <c r="G125" s="78"/>
      <c r="H125" s="150"/>
      <c r="I125" s="78" t="s">
        <v>2271</v>
      </c>
      <c r="J125" s="78"/>
      <c r="K125" s="117">
        <v>0.95</v>
      </c>
      <c r="L125" s="106" t="s">
        <v>1896</v>
      </c>
      <c r="M125" s="78"/>
      <c r="N125" s="154">
        <f>MouserListTable[[#This Row],['# Initial]]*MouserListTable[[#This Row],[Price (USD)]]</f>
        <v>0</v>
      </c>
      <c r="O125" s="81" t="s">
        <v>2270</v>
      </c>
      <c r="P125" s="150">
        <f t="shared" si="1"/>
        <v>112</v>
      </c>
      <c r="Q125" s="78" t="s">
        <v>1884</v>
      </c>
      <c r="R125"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485-1389</v>
      </c>
      <c r="S125" s="133" t="str">
        <f>HYPERLINK("https://www.mouser.com/ProductDetail/" &amp;MouserListTable[[#This Row],[Mouser SKU]])</f>
        <v>https://www.mouser.com/ProductDetail/485-1389</v>
      </c>
      <c r="T125" s="94">
        <v>0</v>
      </c>
      <c r="U125" s="94">
        <v>0</v>
      </c>
      <c r="V125" s="94">
        <v>0</v>
      </c>
      <c r="W125" s="94">
        <f>MouserListTable[[#This Row],['#/Unit]]*FilterSpecs!$C$3+MouserListTable[[#This Row],[Extra]]</f>
        <v>0</v>
      </c>
      <c r="X125" s="94">
        <f>IF(MouserListTable[[#This Row],[Tag]]=FilterSpecs!$F$7,MouserListTable[[#This Row],['#/Unit]]*MouserListTable[[#This Row],[Price (USD)]],0)</f>
        <v>0</v>
      </c>
      <c r="Y125" s="94">
        <f>MouserListTable[[#This Row],[Tot '#]]*MouserListTable[[#This Row],[Price (USD)]]</f>
        <v>0</v>
      </c>
      <c r="Z125"/>
    </row>
    <row r="126" spans="1:16382" s="106" customFormat="1" x14ac:dyDescent="0.25">
      <c r="A126" s="97" t="s">
        <v>887</v>
      </c>
      <c r="B126" s="97" t="s">
        <v>2014</v>
      </c>
      <c r="C126" s="78" t="s">
        <v>1892</v>
      </c>
      <c r="D126" s="81" t="str">
        <f>IF(MouserListTable[[#This Row],[Vendor]]=FilterSpecs!$A$8,MouserListTable[[#This Row],[Mouser SKU]], MouserListTable[[#This Row],[Supplier SKU]])</f>
        <v>485-1827</v>
      </c>
      <c r="E126" s="94">
        <f>MouserListTable[[#This Row],[Tot '#]]-MouserListTable[[#This Row],['# Initial]]</f>
        <v>0</v>
      </c>
      <c r="F126" s="94">
        <f>IF(AND(MouserListTable[[#This Row],[Tag]]&lt;&gt;FilterSpecs!$F$12, MouserListTable[[#This Row],[Tag]]&lt;&gt;FilterSpecs!$F$9), MouserListTable[[#This Row],['#/Unit]]*FilterSpecs!$B$3+MouserListTable[[#This Row],[Extra Initial]],0)</f>
        <v>0</v>
      </c>
      <c r="G126" s="78"/>
      <c r="H126" s="150"/>
      <c r="I126" s="78" t="s">
        <v>2273</v>
      </c>
      <c r="J126" s="78"/>
      <c r="K126" s="117">
        <v>0.95</v>
      </c>
      <c r="L126" s="106" t="s">
        <v>1896</v>
      </c>
      <c r="M126" s="78"/>
      <c r="N126" s="154">
        <f>MouserListTable[[#This Row],['# Initial]]*MouserListTable[[#This Row],[Price (USD)]]</f>
        <v>0</v>
      </c>
      <c r="O126" s="81" t="s">
        <v>2272</v>
      </c>
      <c r="P126" s="150">
        <f t="shared" si="1"/>
        <v>113</v>
      </c>
      <c r="Q126" s="78" t="s">
        <v>1884</v>
      </c>
      <c r="R126"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485-1827</v>
      </c>
      <c r="S126" s="133" t="str">
        <f>HYPERLINK("https://www.mouser.com/ProductDetail/" &amp;MouserListTable[[#This Row],[Mouser SKU]])</f>
        <v>https://www.mouser.com/ProductDetail/485-1827</v>
      </c>
      <c r="T126" s="94">
        <v>0</v>
      </c>
      <c r="U126" s="94">
        <v>0</v>
      </c>
      <c r="V126" s="94">
        <v>0</v>
      </c>
      <c r="W126" s="94">
        <f>MouserListTable[[#This Row],['#/Unit]]*FilterSpecs!$C$3+MouserListTable[[#This Row],[Extra]]</f>
        <v>0</v>
      </c>
      <c r="X126" s="94">
        <f>IF(MouserListTable[[#This Row],[Tag]]=FilterSpecs!$F$7,MouserListTable[[#This Row],['#/Unit]]*MouserListTable[[#This Row],[Price (USD)]],0)</f>
        <v>0</v>
      </c>
      <c r="Y126" s="94">
        <f>MouserListTable[[#This Row],[Tot '#]]*MouserListTable[[#This Row],[Price (USD)]]</f>
        <v>0</v>
      </c>
      <c r="Z126"/>
    </row>
    <row r="127" spans="1:16382" s="106" customFormat="1" x14ac:dyDescent="0.25">
      <c r="A127" s="97" t="s">
        <v>887</v>
      </c>
      <c r="B127" s="97" t="s">
        <v>2014</v>
      </c>
      <c r="C127" s="78" t="s">
        <v>1892</v>
      </c>
      <c r="D127" s="81" t="str">
        <f>IF(MouserListTable[[#This Row],[Vendor]]=FilterSpecs!$A$8,MouserListTable[[#This Row],[Mouser SKU]], MouserListTable[[#This Row],[Supplier SKU]])</f>
        <v>485-1826</v>
      </c>
      <c r="E127" s="94">
        <f>MouserListTable[[#This Row],[Tot '#]]-MouserListTable[[#This Row],['# Initial]]</f>
        <v>0</v>
      </c>
      <c r="F127" s="94">
        <f>IF(AND(MouserListTable[[#This Row],[Tag]]&lt;&gt;FilterSpecs!$F$12, MouserListTable[[#This Row],[Tag]]&lt;&gt;FilterSpecs!$F$9), MouserListTable[[#This Row],['#/Unit]]*FilterSpecs!$B$3+MouserListTable[[#This Row],[Extra Initial]],0)</f>
        <v>0</v>
      </c>
      <c r="G127" s="78"/>
      <c r="H127" s="150"/>
      <c r="I127" s="78" t="s">
        <v>2275</v>
      </c>
      <c r="J127" s="78"/>
      <c r="K127" s="117">
        <v>0.95</v>
      </c>
      <c r="L127" s="106" t="s">
        <v>1896</v>
      </c>
      <c r="M127" s="78"/>
      <c r="N127" s="154">
        <f>MouserListTable[[#This Row],['# Initial]]*MouserListTable[[#This Row],[Price (USD)]]</f>
        <v>0</v>
      </c>
      <c r="O127" s="81" t="s">
        <v>2274</v>
      </c>
      <c r="P127" s="150">
        <f t="shared" si="1"/>
        <v>114</v>
      </c>
      <c r="Q127" s="78" t="s">
        <v>1884</v>
      </c>
      <c r="R127"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485-1826</v>
      </c>
      <c r="S127" s="133" t="str">
        <f>HYPERLINK("https://www.mouser.com/ProductDetail/" &amp;MouserListTable[[#This Row],[Mouser SKU]])</f>
        <v>https://www.mouser.com/ProductDetail/485-1826</v>
      </c>
      <c r="T127" s="94">
        <v>0</v>
      </c>
      <c r="U127" s="94">
        <v>0</v>
      </c>
      <c r="V127" s="94">
        <v>0</v>
      </c>
      <c r="W127" s="94">
        <f>MouserListTable[[#This Row],['#/Unit]]*FilterSpecs!$C$3+MouserListTable[[#This Row],[Extra]]</f>
        <v>0</v>
      </c>
      <c r="X127" s="94">
        <f>IF(MouserListTable[[#This Row],[Tag]]=FilterSpecs!$F$7,MouserListTable[[#This Row],['#/Unit]]*MouserListTable[[#This Row],[Price (USD)]],0)</f>
        <v>0</v>
      </c>
      <c r="Y127" s="94">
        <f>MouserListTable[[#This Row],[Tot '#]]*MouserListTable[[#This Row],[Price (USD)]]</f>
        <v>0</v>
      </c>
      <c r="Z127"/>
    </row>
    <row r="128" spans="1:16382" s="106" customFormat="1" x14ac:dyDescent="0.25">
      <c r="A128" s="78" t="s">
        <v>887</v>
      </c>
      <c r="B128" s="78" t="s">
        <v>10</v>
      </c>
      <c r="C128" s="78" t="s">
        <v>1892</v>
      </c>
      <c r="D128" s="81" t="str">
        <f>IF(MouserListTable[[#This Row],[Vendor]]=FilterSpecs!$A$8,MouserListTable[[#This Row],[Mouser SKU]], MouserListTable[[#This Row],[Supplier SKU]])</f>
        <v>474-SEN-00246</v>
      </c>
      <c r="E128" s="94">
        <f>MouserListTable[[#This Row],[Tot '#]]-MouserListTable[[#This Row],['# Initial]]</f>
        <v>0</v>
      </c>
      <c r="F128" s="94">
        <f>IF(AND(MouserListTable[[#This Row],[Tag]]&lt;&gt;FilterSpecs!$F$12, MouserListTable[[#This Row],[Tag]]&lt;&gt;FilterSpecs!$F$9), MouserListTable[[#This Row],['#/Unit]]*FilterSpecs!$B$3+MouserListTable[[#This Row],[Extra Initial]],0)</f>
        <v>0</v>
      </c>
      <c r="G128" s="78" t="s">
        <v>67</v>
      </c>
      <c r="H128" s="150" t="s">
        <v>68</v>
      </c>
      <c r="I128" s="78" t="s">
        <v>69</v>
      </c>
      <c r="J128" s="78">
        <v>1</v>
      </c>
      <c r="K128" s="117">
        <v>0.95</v>
      </c>
      <c r="L128" s="78" t="s">
        <v>1897</v>
      </c>
      <c r="M128" s="81"/>
      <c r="N128" s="154">
        <f>MouserListTable[[#This Row],['# Initial]]*MouserListTable[[#This Row],[Price (USD)]]</f>
        <v>0</v>
      </c>
      <c r="O128" s="81" t="s">
        <v>66</v>
      </c>
      <c r="P128" s="150">
        <f t="shared" si="1"/>
        <v>115</v>
      </c>
      <c r="Q128" s="78" t="s">
        <v>5</v>
      </c>
      <c r="R128"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474-SEN-00246</v>
      </c>
      <c r="S128" s="133" t="str">
        <f>HYPERLINK("https://www.mouser.com/ProductDetail/" &amp;MouserListTable[[#This Row],[Mouser SKU]])</f>
        <v>https://www.mouser.com/ProductDetail/474-SEN-00246</v>
      </c>
      <c r="T128" s="94">
        <v>0</v>
      </c>
      <c r="U128" s="94">
        <v>0</v>
      </c>
      <c r="V128" s="94">
        <v>0</v>
      </c>
      <c r="W128" s="94">
        <f>MouserListTable[[#This Row],['#/Unit]]*FilterSpecs!$C$3+MouserListTable[[#This Row],[Extra]]</f>
        <v>0</v>
      </c>
      <c r="X128" s="94">
        <f>IF(MouserListTable[[#This Row],[Tag]]=FilterSpecs!$F$7,MouserListTable[[#This Row],['#/Unit]]*MouserListTable[[#This Row],[Price (USD)]],0)</f>
        <v>0</v>
      </c>
      <c r="Y128" s="94">
        <f>MouserListTable[[#This Row],[Tot '#]]*MouserListTable[[#This Row],[Price (USD)]]</f>
        <v>0</v>
      </c>
      <c r="Z128"/>
    </row>
    <row r="129" spans="1:26" s="106" customFormat="1" x14ac:dyDescent="0.25">
      <c r="A129" s="78" t="s">
        <v>887</v>
      </c>
      <c r="B129" s="78" t="s">
        <v>10</v>
      </c>
      <c r="C129" s="78" t="s">
        <v>1892</v>
      </c>
      <c r="D129" s="81" t="str">
        <f>IF(MouserListTable[[#This Row],[Vendor]]=FilterSpecs!$A$8,MouserListTable[[#This Row],[Mouser SKU]], MouserListTable[[#This Row],[Supplier SKU]])</f>
        <v>474-SEN-00241</v>
      </c>
      <c r="E129" s="94">
        <f>MouserListTable[[#This Row],[Tot '#]]-MouserListTable[[#This Row],['# Initial]]</f>
        <v>0</v>
      </c>
      <c r="F129" s="94">
        <f>IF(AND(MouserListTable[[#This Row],[Tag]]&lt;&gt;FilterSpecs!$F$12, MouserListTable[[#This Row],[Tag]]&lt;&gt;FilterSpecs!$F$9), MouserListTable[[#This Row],['#/Unit]]*FilterSpecs!$B$3+MouserListTable[[#This Row],[Extra Initial]],0)</f>
        <v>20</v>
      </c>
      <c r="G129" s="78" t="s">
        <v>71</v>
      </c>
      <c r="H129" s="150" t="s">
        <v>72</v>
      </c>
      <c r="I129" s="78" t="s">
        <v>73</v>
      </c>
      <c r="J129" s="78">
        <v>1</v>
      </c>
      <c r="K129" s="117">
        <v>1.95</v>
      </c>
      <c r="L129" s="78" t="s">
        <v>1897</v>
      </c>
      <c r="M129" s="81"/>
      <c r="N129" s="154">
        <f>MouserListTable[[#This Row],['# Initial]]*MouserListTable[[#This Row],[Price (USD)]]</f>
        <v>39</v>
      </c>
      <c r="O129" s="81" t="s">
        <v>70</v>
      </c>
      <c r="P129" s="150">
        <f t="shared" si="1"/>
        <v>116</v>
      </c>
      <c r="Q129" s="78" t="s">
        <v>5</v>
      </c>
      <c r="R129"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474-SEN-00241</v>
      </c>
      <c r="S129" s="133" t="str">
        <f>HYPERLINK("https://www.mouser.com/ProductDetail/" &amp;MouserListTable[[#This Row],[Mouser SKU]])</f>
        <v>https://www.mouser.com/ProductDetail/474-SEN-00241</v>
      </c>
      <c r="T129" s="94">
        <v>4</v>
      </c>
      <c r="U129" s="94">
        <v>0</v>
      </c>
      <c r="V129" s="94">
        <v>0</v>
      </c>
      <c r="W129" s="94">
        <f>MouserListTable[[#This Row],['#/Unit]]*FilterSpecs!$C$3+MouserListTable[[#This Row],[Extra]]</f>
        <v>20</v>
      </c>
      <c r="X129" s="94">
        <f>IF(MouserListTable[[#This Row],[Tag]]=FilterSpecs!$F$7,MouserListTable[[#This Row],['#/Unit]]*MouserListTable[[#This Row],[Price (USD)]],0)</f>
        <v>7.8</v>
      </c>
      <c r="Y129" s="94">
        <f>MouserListTable[[#This Row],[Tot '#]]*MouserListTable[[#This Row],[Price (USD)]]</f>
        <v>39</v>
      </c>
      <c r="Z129"/>
    </row>
    <row r="130" spans="1:26" s="106" customFormat="1" x14ac:dyDescent="0.25">
      <c r="A130" s="78" t="s">
        <v>887</v>
      </c>
      <c r="B130" s="78" t="s">
        <v>10</v>
      </c>
      <c r="C130" s="78" t="s">
        <v>1892</v>
      </c>
      <c r="D130" s="81" t="str">
        <f>IF(MouserListTable[[#This Row],[Vendor]]=FilterSpecs!$A$8,MouserListTable[[#This Row],[Mouser SKU]], MouserListTable[[#This Row],[Supplier SKU]])</f>
        <v>474-SEN-13968</v>
      </c>
      <c r="E130" s="94">
        <f>MouserListTable[[#This Row],[Tot '#]]-MouserListTable[[#This Row],['# Initial]]</f>
        <v>0</v>
      </c>
      <c r="F130" s="94">
        <f>IF(AND(MouserListTable[[#This Row],[Tag]]&lt;&gt;FilterSpecs!$F$12, MouserListTable[[#This Row],[Tag]]&lt;&gt;FilterSpecs!$F$9), MouserListTable[[#This Row],['#/Unit]]*FilterSpecs!$B$3+MouserListTable[[#This Row],[Extra Initial]],0)</f>
        <v>5</v>
      </c>
      <c r="G130" s="78" t="s">
        <v>75</v>
      </c>
      <c r="H130" s="150" t="s">
        <v>76</v>
      </c>
      <c r="I130" s="78" t="s">
        <v>77</v>
      </c>
      <c r="J130" s="78"/>
      <c r="K130" s="117">
        <v>14.95</v>
      </c>
      <c r="L130" s="89" t="s">
        <v>1897</v>
      </c>
      <c r="M130" s="81"/>
      <c r="N130" s="154">
        <f>MouserListTable[[#This Row],['# Initial]]*MouserListTable[[#This Row],[Price (USD)]]</f>
        <v>74.75</v>
      </c>
      <c r="O130" s="81" t="s">
        <v>74</v>
      </c>
      <c r="P130" s="150">
        <f t="shared" si="1"/>
        <v>117</v>
      </c>
      <c r="Q130" s="78" t="s">
        <v>5</v>
      </c>
      <c r="R130"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474-SEN-13968</v>
      </c>
      <c r="S130" s="133" t="str">
        <f>HYPERLINK("https://www.mouser.com/ProductDetail/" &amp;MouserListTable[[#This Row],[Mouser SKU]])</f>
        <v>https://www.mouser.com/ProductDetail/474-SEN-13968</v>
      </c>
      <c r="T130" s="94">
        <v>1</v>
      </c>
      <c r="U130" s="94">
        <v>0</v>
      </c>
      <c r="V130" s="94">
        <v>0</v>
      </c>
      <c r="W130" s="94">
        <f>MouserListTable[[#This Row],['#/Unit]]*FilterSpecs!$C$3+MouserListTable[[#This Row],[Extra]]</f>
        <v>5</v>
      </c>
      <c r="X130" s="94">
        <f>IF(MouserListTable[[#This Row],[Tag]]=FilterSpecs!$F$7,MouserListTable[[#This Row],['#/Unit]]*MouserListTable[[#This Row],[Price (USD)]],0)</f>
        <v>14.95</v>
      </c>
      <c r="Y130" s="94">
        <f>MouserListTable[[#This Row],[Tot '#]]*MouserListTable[[#This Row],[Price (USD)]]</f>
        <v>74.75</v>
      </c>
      <c r="Z130"/>
    </row>
    <row r="131" spans="1:26" s="106" customFormat="1" x14ac:dyDescent="0.25">
      <c r="A131" s="78" t="s">
        <v>887</v>
      </c>
      <c r="B131" s="78" t="s">
        <v>10</v>
      </c>
      <c r="C131" s="78" t="s">
        <v>1892</v>
      </c>
      <c r="D131" s="81" t="str">
        <f>IF(MouserListTable[[#This Row],[Vendor]]=FilterSpecs!$A$8,MouserListTable[[#This Row],[Mouser SKU]], MouserListTable[[#This Row],[Supplier SKU]])</f>
        <v>474-SEN-13959</v>
      </c>
      <c r="E131" s="94">
        <f>MouserListTable[[#This Row],[Tot '#]]-MouserListTable[[#This Row],['# Initial]]</f>
        <v>0</v>
      </c>
      <c r="F131" s="94">
        <f>IF(AND(MouserListTable[[#This Row],[Tag]]&lt;&gt;FilterSpecs!$F$12, MouserListTable[[#This Row],[Tag]]&lt;&gt;FilterSpecs!$F$9), MouserListTable[[#This Row],['#/Unit]]*FilterSpecs!$B$3+MouserListTable[[#This Row],[Extra Initial]],0)</f>
        <v>5</v>
      </c>
      <c r="G131" s="78" t="s">
        <v>79</v>
      </c>
      <c r="H131" s="150" t="s">
        <v>80</v>
      </c>
      <c r="I131" s="78" t="s">
        <v>81</v>
      </c>
      <c r="J131" s="78">
        <v>1</v>
      </c>
      <c r="K131" s="117">
        <v>3.95</v>
      </c>
      <c r="L131" s="78" t="s">
        <v>1897</v>
      </c>
      <c r="M131" s="81"/>
      <c r="N131" s="154">
        <f>MouserListTable[[#This Row],['# Initial]]*MouserListTable[[#This Row],[Price (USD)]]</f>
        <v>19.75</v>
      </c>
      <c r="O131" s="81" t="s">
        <v>78</v>
      </c>
      <c r="P131" s="150">
        <f t="shared" si="1"/>
        <v>118</v>
      </c>
      <c r="Q131" s="78" t="s">
        <v>5</v>
      </c>
      <c r="R131"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474-SEN-13959</v>
      </c>
      <c r="S131" s="133" t="str">
        <f>HYPERLINK("https://www.mouser.com/ProductDetail/" &amp;MouserListTable[[#This Row],[Mouser SKU]])</f>
        <v>https://www.mouser.com/ProductDetail/474-SEN-13959</v>
      </c>
      <c r="T131" s="94">
        <v>1</v>
      </c>
      <c r="U131" s="94">
        <v>0</v>
      </c>
      <c r="V131" s="94">
        <v>0</v>
      </c>
      <c r="W131" s="94">
        <f>MouserListTable[[#This Row],['#/Unit]]*FilterSpecs!$C$3+MouserListTable[[#This Row],[Extra]]</f>
        <v>5</v>
      </c>
      <c r="X131" s="94">
        <f>IF(MouserListTable[[#This Row],[Tag]]=FilterSpecs!$F$7,MouserListTable[[#This Row],['#/Unit]]*MouserListTable[[#This Row],[Price (USD)]],0)</f>
        <v>3.95</v>
      </c>
      <c r="Y131" s="94">
        <f>MouserListTable[[#This Row],[Tot '#]]*MouserListTable[[#This Row],[Price (USD)]]</f>
        <v>19.75</v>
      </c>
      <c r="Z131"/>
    </row>
    <row r="132" spans="1:26" s="106" customFormat="1" x14ac:dyDescent="0.25">
      <c r="A132" s="97" t="s">
        <v>887</v>
      </c>
      <c r="B132" s="97" t="s">
        <v>10</v>
      </c>
      <c r="C132" s="78" t="s">
        <v>1892</v>
      </c>
      <c r="D132" s="81" t="str">
        <f>IF(MouserListTable[[#This Row],[Vendor]]=FilterSpecs!$A$8,MouserListTable[[#This Row],[Mouser SKU]], MouserListTable[[#This Row],[Supplier SKU]])</f>
        <v>474-SEN-12785</v>
      </c>
      <c r="E132" s="94">
        <f>MouserListTable[[#This Row],[Tot '#]]-MouserListTable[[#This Row],['# Initial]]</f>
        <v>0</v>
      </c>
      <c r="F132" s="94">
        <f>IF(AND(MouserListTable[[#This Row],[Tag]]&lt;&gt;FilterSpecs!$F$12, MouserListTable[[#This Row],[Tag]]&lt;&gt;FilterSpecs!$F$9), MouserListTable[[#This Row],['#/Unit]]*FilterSpecs!$B$3+MouserListTable[[#This Row],[Extra Initial]],0)</f>
        <v>0</v>
      </c>
      <c r="G132" s="78" t="s">
        <v>83</v>
      </c>
      <c r="H132" s="150" t="s">
        <v>84</v>
      </c>
      <c r="I132" s="78" t="s">
        <v>85</v>
      </c>
      <c r="J132" s="78">
        <v>1</v>
      </c>
      <c r="K132" s="117">
        <v>24.95</v>
      </c>
      <c r="L132" s="78" t="s">
        <v>1897</v>
      </c>
      <c r="N132" s="154">
        <f>MouserListTable[[#This Row],['# Initial]]*MouserListTable[[#This Row],[Price (USD)]]</f>
        <v>0</v>
      </c>
      <c r="O132" s="81" t="s">
        <v>82</v>
      </c>
      <c r="P132" s="150">
        <f t="shared" si="1"/>
        <v>119</v>
      </c>
      <c r="Q132" s="78" t="s">
        <v>5</v>
      </c>
      <c r="R132"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474-SEN-12785</v>
      </c>
      <c r="S132" s="133" t="str">
        <f>HYPERLINK("https://www.mouser.com/ProductDetail/" &amp;MouserListTable[[#This Row],[Mouser SKU]])</f>
        <v>https://www.mouser.com/ProductDetail/474-SEN-12785</v>
      </c>
      <c r="T132" s="94">
        <v>0</v>
      </c>
      <c r="U132" s="94">
        <v>0</v>
      </c>
      <c r="V132" s="94">
        <v>0</v>
      </c>
      <c r="W132" s="94">
        <f>MouserListTable[[#This Row],['#/Unit]]*FilterSpecs!$C$3+MouserListTable[[#This Row],[Extra]]</f>
        <v>0</v>
      </c>
      <c r="X132" s="94">
        <f>IF(MouserListTable[[#This Row],[Tag]]=FilterSpecs!$F$7,MouserListTable[[#This Row],['#/Unit]]*MouserListTable[[#This Row],[Price (USD)]],0)</f>
        <v>0</v>
      </c>
      <c r="Y132" s="94">
        <f>MouserListTable[[#This Row],[Tot '#]]*MouserListTable[[#This Row],[Price (USD)]]</f>
        <v>0</v>
      </c>
      <c r="Z132"/>
    </row>
    <row r="133" spans="1:26" s="106" customFormat="1" x14ac:dyDescent="0.25">
      <c r="A133" s="78" t="s">
        <v>887</v>
      </c>
      <c r="B133" s="78" t="s">
        <v>10</v>
      </c>
      <c r="C133" s="78" t="s">
        <v>1892</v>
      </c>
      <c r="D133" s="81" t="str">
        <f>IF(MouserListTable[[#This Row],[Vendor]]=FilterSpecs!$A$8,MouserListTable[[#This Row],[Mouser SKU]], MouserListTable[[#This Row],[Supplier SKU]])</f>
        <v>474-SEN-13162</v>
      </c>
      <c r="E133" s="94">
        <f>MouserListTable[[#This Row],[Tot '#]]-MouserListTable[[#This Row],['# Initial]]</f>
        <v>0</v>
      </c>
      <c r="F133" s="94">
        <f>IF(AND(MouserListTable[[#This Row],[Tag]]&lt;&gt;FilterSpecs!$F$12, MouserListTable[[#This Row],[Tag]]&lt;&gt;FilterSpecs!$F$9), MouserListTable[[#This Row],['#/Unit]]*FilterSpecs!$B$3+MouserListTable[[#This Row],[Extra Initial]],0)</f>
        <v>0</v>
      </c>
      <c r="G133" s="78" t="s">
        <v>87</v>
      </c>
      <c r="H133" s="150" t="s">
        <v>88</v>
      </c>
      <c r="I133" s="78" t="s">
        <v>89</v>
      </c>
      <c r="J133" s="78"/>
      <c r="K133" s="117">
        <v>24.95</v>
      </c>
      <c r="L133" s="78" t="s">
        <v>1897</v>
      </c>
      <c r="M133" s="81"/>
      <c r="N133" s="154">
        <f>MouserListTable[[#This Row],['# Initial]]*MouserListTable[[#This Row],[Price (USD)]]</f>
        <v>0</v>
      </c>
      <c r="O133" s="81" t="s">
        <v>86</v>
      </c>
      <c r="P133" s="150">
        <f t="shared" si="1"/>
        <v>120</v>
      </c>
      <c r="Q133" s="78" t="s">
        <v>5</v>
      </c>
      <c r="R133"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474-SEN-13162</v>
      </c>
      <c r="S133" s="133" t="str">
        <f>HYPERLINK("https://www.mouser.com/ProductDetail/" &amp;MouserListTable[[#This Row],[Mouser SKU]])</f>
        <v>https://www.mouser.com/ProductDetail/474-SEN-13162</v>
      </c>
      <c r="T133" s="94">
        <v>0</v>
      </c>
      <c r="U133" s="94">
        <v>0</v>
      </c>
      <c r="V133" s="94">
        <v>0</v>
      </c>
      <c r="W133" s="94">
        <f>MouserListTable[[#This Row],['#/Unit]]*FilterSpecs!$C$3+MouserListTable[[#This Row],[Extra]]</f>
        <v>0</v>
      </c>
      <c r="X133" s="94">
        <f>IF(MouserListTable[[#This Row],[Tag]]=FilterSpecs!$F$7,MouserListTable[[#This Row],['#/Unit]]*MouserListTable[[#This Row],[Price (USD)]],0)</f>
        <v>0</v>
      </c>
      <c r="Y133" s="94">
        <f>MouserListTable[[#This Row],[Tot '#]]*MouserListTable[[#This Row],[Price (USD)]]</f>
        <v>0</v>
      </c>
      <c r="Z133"/>
    </row>
    <row r="134" spans="1:26" s="106" customFormat="1" x14ac:dyDescent="0.25">
      <c r="A134" s="97" t="s">
        <v>887</v>
      </c>
      <c r="B134" s="97" t="s">
        <v>10</v>
      </c>
      <c r="C134" s="78" t="s">
        <v>1892</v>
      </c>
      <c r="D134" s="81" t="str">
        <f>IF(MouserListTable[[#This Row],[Vendor]]=FilterSpecs!$A$8,MouserListTable[[#This Row],[Mouser SKU]], MouserListTable[[#This Row],[Supplier SKU]])</f>
        <v>474-SEN-12787</v>
      </c>
      <c r="E134" s="94">
        <f>MouserListTable[[#This Row],[Tot '#]]-MouserListTable[[#This Row],['# Initial]]</f>
        <v>0</v>
      </c>
      <c r="F134" s="94">
        <f>IF(AND(MouserListTable[[#This Row],[Tag]]&lt;&gt;FilterSpecs!$F$12, MouserListTable[[#This Row],[Tag]]&lt;&gt;FilterSpecs!$F$9), MouserListTable[[#This Row],['#/Unit]]*FilterSpecs!$B$3+MouserListTable[[#This Row],[Extra Initial]],0)</f>
        <v>0</v>
      </c>
      <c r="G134" s="78" t="s">
        <v>91</v>
      </c>
      <c r="H134" s="150" t="s">
        <v>92</v>
      </c>
      <c r="I134" s="78" t="s">
        <v>93</v>
      </c>
      <c r="J134" s="78">
        <v>1</v>
      </c>
      <c r="K134" s="117">
        <v>14.95</v>
      </c>
      <c r="L134" s="78" t="s">
        <v>1897</v>
      </c>
      <c r="N134" s="154">
        <f>MouserListTable[[#This Row],['# Initial]]*MouserListTable[[#This Row],[Price (USD)]]</f>
        <v>0</v>
      </c>
      <c r="O134" s="81" t="s">
        <v>90</v>
      </c>
      <c r="P134" s="150">
        <f t="shared" si="1"/>
        <v>121</v>
      </c>
      <c r="Q134" s="78" t="s">
        <v>5</v>
      </c>
      <c r="R134"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474-SEN-12787</v>
      </c>
      <c r="S134" s="133" t="str">
        <f>HYPERLINK("https://www.mouser.com/ProductDetail/" &amp;MouserListTable[[#This Row],[Mouser SKU]])</f>
        <v>https://www.mouser.com/ProductDetail/474-SEN-12787</v>
      </c>
      <c r="T134" s="94">
        <v>0</v>
      </c>
      <c r="U134" s="94">
        <v>0</v>
      </c>
      <c r="V134" s="94">
        <v>0</v>
      </c>
      <c r="W134" s="94">
        <f>MouserListTable[[#This Row],['#/Unit]]*FilterSpecs!$C$3+MouserListTable[[#This Row],[Extra]]</f>
        <v>0</v>
      </c>
      <c r="X134" s="94">
        <f>IF(MouserListTable[[#This Row],[Tag]]=FilterSpecs!$F$7,MouserListTable[[#This Row],['#/Unit]]*MouserListTable[[#This Row],[Price (USD)]],0)</f>
        <v>0</v>
      </c>
      <c r="Y134" s="94">
        <f>MouserListTable[[#This Row],[Tot '#]]*MouserListTable[[#This Row],[Price (USD)]]</f>
        <v>0</v>
      </c>
      <c r="Z134"/>
    </row>
    <row r="135" spans="1:26" s="106" customFormat="1" x14ac:dyDescent="0.25">
      <c r="A135" s="78" t="s">
        <v>887</v>
      </c>
      <c r="B135" s="78" t="s">
        <v>10</v>
      </c>
      <c r="C135" s="78" t="s">
        <v>1892</v>
      </c>
      <c r="D135" s="81" t="str">
        <f>IF(MouserListTable[[#This Row],[Vendor]]=FilterSpecs!$A$8,MouserListTable[[#This Row],[Mouser SKU]], MouserListTable[[#This Row],[Supplier SKU]])</f>
        <v>474-SPX-14343</v>
      </c>
      <c r="E135" s="94">
        <f>MouserListTable[[#This Row],[Tot '#]]-MouserListTable[[#This Row],['# Initial]]</f>
        <v>3</v>
      </c>
      <c r="F135" s="94">
        <f>IF(AND(MouserListTable[[#This Row],[Tag]]&lt;&gt;FilterSpecs!$F$12, MouserListTable[[#This Row],[Tag]]&lt;&gt;FilterSpecs!$F$9), MouserListTable[[#This Row],['#/Unit]]*FilterSpecs!$B$3+MouserListTable[[#This Row],[Extra Initial]],0)</f>
        <v>0</v>
      </c>
      <c r="G135" s="78" t="s">
        <v>95</v>
      </c>
      <c r="H135" s="150" t="s">
        <v>96</v>
      </c>
      <c r="I135" s="78" t="s">
        <v>97</v>
      </c>
      <c r="J135" s="78">
        <v>1</v>
      </c>
      <c r="K135" s="117">
        <v>19.95</v>
      </c>
      <c r="L135" s="78" t="s">
        <v>2461</v>
      </c>
      <c r="M135" s="81"/>
      <c r="N135" s="154">
        <f>MouserListTable[[#This Row],['# Initial]]*MouserListTable[[#This Row],[Price (USD)]]</f>
        <v>0</v>
      </c>
      <c r="O135" s="81" t="s">
        <v>94</v>
      </c>
      <c r="P135" s="150">
        <f t="shared" si="1"/>
        <v>122</v>
      </c>
      <c r="Q135" s="78" t="s">
        <v>5</v>
      </c>
      <c r="R135"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474-SPX-14343</v>
      </c>
      <c r="S135" s="133" t="str">
        <f>HYPERLINK("https://www.mouser.com/ProductDetail/" &amp;MouserListTable[[#This Row],[Mouser SKU]])</f>
        <v>https://www.mouser.com/ProductDetail/474-SPX-14343</v>
      </c>
      <c r="T135" s="94">
        <v>0</v>
      </c>
      <c r="U135" s="94">
        <v>3</v>
      </c>
      <c r="V135" s="94">
        <v>0</v>
      </c>
      <c r="W135" s="94">
        <f>MouserListTable[[#This Row],['#/Unit]]*FilterSpecs!$C$3+MouserListTable[[#This Row],[Extra]]</f>
        <v>3</v>
      </c>
      <c r="X135" s="94">
        <f>IF(MouserListTable[[#This Row],[Tag]]=FilterSpecs!$F$7,MouserListTable[[#This Row],['#/Unit]]*MouserListTable[[#This Row],[Price (USD)]],0)</f>
        <v>0</v>
      </c>
      <c r="Y135" s="94">
        <f>MouserListTable[[#This Row],[Tot '#]]*MouserListTable[[#This Row],[Price (USD)]]</f>
        <v>59.849999999999994</v>
      </c>
      <c r="Z135"/>
    </row>
    <row r="136" spans="1:26" s="106" customFormat="1" x14ac:dyDescent="0.25">
      <c r="A136" s="78" t="s">
        <v>887</v>
      </c>
      <c r="B136" s="78" t="s">
        <v>10</v>
      </c>
      <c r="C136" s="78" t="s">
        <v>1892</v>
      </c>
      <c r="D136" s="81" t="str">
        <f>IF(MouserListTable[[#This Row],[Vendor]]=FilterSpecs!$A$8,MouserListTable[[#This Row],[Mouser SKU]], MouserListTable[[#This Row],[Supplier SKU]])</f>
        <v>975-RFD77306</v>
      </c>
      <c r="E136" s="94">
        <f>MouserListTable[[#This Row],[Tot '#]]-MouserListTable[[#This Row],['# Initial]]</f>
        <v>0</v>
      </c>
      <c r="F136" s="94">
        <f>IF(AND(MouserListTable[[#This Row],[Tag]]&lt;&gt;FilterSpecs!$F$12, MouserListTable[[#This Row],[Tag]]&lt;&gt;FilterSpecs!$F$9), MouserListTable[[#This Row],['#/Unit]]*FilterSpecs!$B$3+MouserListTable[[#This Row],[Extra Initial]],0)</f>
        <v>5</v>
      </c>
      <c r="G136" s="78" t="s">
        <v>2560</v>
      </c>
      <c r="H136" s="150">
        <v>29.62</v>
      </c>
      <c r="I136" s="78" t="s">
        <v>2560</v>
      </c>
      <c r="J136" s="78"/>
      <c r="K136" s="117">
        <v>29.62</v>
      </c>
      <c r="L136" s="94" t="s">
        <v>1897</v>
      </c>
      <c r="M136" s="78"/>
      <c r="N136" s="154">
        <f>MouserListTable[[#This Row],['# Initial]]*MouserListTable[[#This Row],[Price (USD)]]</f>
        <v>148.1</v>
      </c>
      <c r="O136" s="120" t="s">
        <v>2561</v>
      </c>
      <c r="P136" s="150">
        <f t="shared" si="1"/>
        <v>123</v>
      </c>
      <c r="Q136" s="78" t="s">
        <v>1892</v>
      </c>
      <c r="R136"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975-RFD77306</v>
      </c>
      <c r="S136" s="136" t="str">
        <f>HYPERLINK("https://www.mouser.com/ProductDetail/" &amp;MouserListTable[[#This Row],[Mouser SKU]])</f>
        <v>https://www.mouser.com/ProductDetail/975-RFD77306</v>
      </c>
      <c r="T136" s="94">
        <v>1</v>
      </c>
      <c r="U136" s="94">
        <v>0</v>
      </c>
      <c r="V136" s="94">
        <v>0</v>
      </c>
      <c r="W136" s="94">
        <f>MouserListTable[[#This Row],['#/Unit]]*FilterSpecs!$C$3+MouserListTable[[#This Row],[Extra]]</f>
        <v>5</v>
      </c>
      <c r="X136" s="94">
        <f>IF(MouserListTable[[#This Row],[Tag]]=FilterSpecs!$F$7,MouserListTable[[#This Row],['#/Unit]]*MouserListTable[[#This Row],[Price (USD)]],0)</f>
        <v>29.62</v>
      </c>
      <c r="Y136" s="94">
        <f>MouserListTable[[#This Row],[Tot '#]]*MouserListTable[[#This Row],[Price (USD)]]</f>
        <v>148.1</v>
      </c>
      <c r="Z136"/>
    </row>
    <row r="137" spans="1:26" s="104" customFormat="1" x14ac:dyDescent="0.25">
      <c r="A137" s="97" t="s">
        <v>887</v>
      </c>
      <c r="B137" s="97" t="s">
        <v>10</v>
      </c>
      <c r="C137" s="78" t="s">
        <v>1892</v>
      </c>
      <c r="D137" s="81" t="str">
        <f>IF(MouserListTable[[#This Row],[Vendor]]=FilterSpecs!$A$8,MouserListTable[[#This Row],[Mouser SKU]], MouserListTable[[#This Row],[Supplier SKU]])</f>
        <v>474-SEN-00242</v>
      </c>
      <c r="E137" s="94">
        <f>MouserListTable[[#This Row],[Tot '#]]-MouserListTable[[#This Row],['# Initial]]</f>
        <v>0</v>
      </c>
      <c r="F137" s="94">
        <f>IF(AND(MouserListTable[[#This Row],[Tag]]&lt;&gt;FilterSpecs!$F$12, MouserListTable[[#This Row],[Tag]]&lt;&gt;FilterSpecs!$F$9), MouserListTable[[#This Row],['#/Unit]]*FilterSpecs!$B$3+MouserListTable[[#This Row],[Extra Initial]],0)</f>
        <v>0</v>
      </c>
      <c r="G137" s="78" t="s">
        <v>99</v>
      </c>
      <c r="H137" s="150" t="s">
        <v>100</v>
      </c>
      <c r="I137" s="78" t="s">
        <v>101</v>
      </c>
      <c r="J137" s="78">
        <v>1</v>
      </c>
      <c r="K137" s="117">
        <v>13.95</v>
      </c>
      <c r="L137" s="78" t="s">
        <v>1897</v>
      </c>
      <c r="M137" s="106"/>
      <c r="N137" s="154">
        <f>MouserListTable[[#This Row],['# Initial]]*MouserListTable[[#This Row],[Price (USD)]]</f>
        <v>0</v>
      </c>
      <c r="O137" s="81" t="s">
        <v>98</v>
      </c>
      <c r="P137" s="150">
        <f t="shared" si="1"/>
        <v>124</v>
      </c>
      <c r="Q137" s="78" t="s">
        <v>5</v>
      </c>
      <c r="R137"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474-SEN-00242</v>
      </c>
      <c r="S137" s="133" t="str">
        <f>HYPERLINK("https://www.mouser.com/ProductDetail/" &amp;MouserListTable[[#This Row],[Mouser SKU]])</f>
        <v>https://www.mouser.com/ProductDetail/474-SEN-00242</v>
      </c>
      <c r="T137" s="94">
        <v>0</v>
      </c>
      <c r="U137" s="94">
        <v>0</v>
      </c>
      <c r="V137" s="94">
        <v>0</v>
      </c>
      <c r="W137" s="94">
        <f>MouserListTable[[#This Row],['#/Unit]]*FilterSpecs!$C$3+MouserListTable[[#This Row],[Extra]]</f>
        <v>0</v>
      </c>
      <c r="X137" s="94">
        <f>IF(MouserListTable[[#This Row],[Tag]]=FilterSpecs!$F$7,MouserListTable[[#This Row],['#/Unit]]*MouserListTable[[#This Row],[Price (USD)]],0)</f>
        <v>0</v>
      </c>
      <c r="Y137" s="94">
        <f>MouserListTable[[#This Row],[Tot '#]]*MouserListTable[[#This Row],[Price (USD)]]</f>
        <v>0</v>
      </c>
      <c r="Z137"/>
    </row>
    <row r="138" spans="1:26" s="104" customFormat="1" x14ac:dyDescent="0.25">
      <c r="A138" s="97" t="s">
        <v>887</v>
      </c>
      <c r="B138" s="97" t="s">
        <v>10</v>
      </c>
      <c r="C138" s="78" t="s">
        <v>1892</v>
      </c>
      <c r="D138" s="81" t="str">
        <f>IF(MouserListTable[[#This Row],[Vendor]]=FilterSpecs!$A$8,MouserListTable[[#This Row],[Mouser SKU]], MouserListTable[[#This Row],[Supplier SKU]])</f>
        <v>474-SEN-08733</v>
      </c>
      <c r="E138" s="94">
        <f>MouserListTable[[#This Row],[Tot '#]]-MouserListTable[[#This Row],['# Initial]]</f>
        <v>0</v>
      </c>
      <c r="F138" s="94">
        <f>IF(AND(MouserListTable[[#This Row],[Tag]]&lt;&gt;FilterSpecs!$F$12, MouserListTable[[#This Row],[Tag]]&lt;&gt;FilterSpecs!$F$9), MouserListTable[[#This Row],['#/Unit]]*FilterSpecs!$B$3+MouserListTable[[#This Row],[Extra Initial]],0)</f>
        <v>0</v>
      </c>
      <c r="G138" s="78" t="s">
        <v>1081</v>
      </c>
      <c r="H138" s="150" t="s">
        <v>1082</v>
      </c>
      <c r="I138" s="78" t="s">
        <v>1083</v>
      </c>
      <c r="J138" s="78">
        <v>1</v>
      </c>
      <c r="K138" s="117">
        <v>1.5</v>
      </c>
      <c r="L138" s="78" t="s">
        <v>1897</v>
      </c>
      <c r="M138" s="106"/>
      <c r="N138" s="154">
        <f>MouserListTable[[#This Row],['# Initial]]*MouserListTable[[#This Row],[Price (USD)]]</f>
        <v>0</v>
      </c>
      <c r="O138" s="81" t="s">
        <v>1080</v>
      </c>
      <c r="P138" s="150">
        <f t="shared" si="1"/>
        <v>125</v>
      </c>
      <c r="Q138" s="78" t="s">
        <v>5</v>
      </c>
      <c r="R138"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474-SEN-08733</v>
      </c>
      <c r="S138" s="133" t="str">
        <f>HYPERLINK("https://www.mouser.com/ProductDetail/" &amp;MouserListTable[[#This Row],[Mouser SKU]])</f>
        <v>https://www.mouser.com/ProductDetail/474-SEN-08733</v>
      </c>
      <c r="T138" s="94">
        <v>0</v>
      </c>
      <c r="U138" s="94">
        <v>0</v>
      </c>
      <c r="V138" s="94">
        <v>0</v>
      </c>
      <c r="W138" s="94">
        <f>MouserListTable[[#This Row],['#/Unit]]*FilterSpecs!$C$3+MouserListTable[[#This Row],[Extra]]</f>
        <v>0</v>
      </c>
      <c r="X138" s="94">
        <f>IF(MouserListTable[[#This Row],[Tag]]=FilterSpecs!$F$7,MouserListTable[[#This Row],['#/Unit]]*MouserListTable[[#This Row],[Price (USD)]],0)</f>
        <v>0</v>
      </c>
      <c r="Y138" s="94">
        <f>MouserListTable[[#This Row],[Tot '#]]*MouserListTable[[#This Row],[Price (USD)]]</f>
        <v>0</v>
      </c>
      <c r="Z138"/>
    </row>
    <row r="139" spans="1:26" s="104" customFormat="1" x14ac:dyDescent="0.25">
      <c r="A139" s="78" t="s">
        <v>887</v>
      </c>
      <c r="B139" s="78" t="s">
        <v>10</v>
      </c>
      <c r="C139" s="78" t="s">
        <v>1892</v>
      </c>
      <c r="D139" s="81" t="str">
        <f>IF(MouserListTable[[#This Row],[Vendor]]=FilterSpecs!$A$8,MouserListTable[[#This Row],[Mouser SKU]], MouserListTable[[#This Row],[Supplier SKU]])</f>
        <v>485-3538</v>
      </c>
      <c r="E139" s="94">
        <f>MouserListTable[[#This Row],[Tot '#]]-MouserListTable[[#This Row],['# Initial]]</f>
        <v>0</v>
      </c>
      <c r="F139" s="94">
        <f>IF(AND(MouserListTable[[#This Row],[Tag]]&lt;&gt;FilterSpecs!$F$12, MouserListTable[[#This Row],[Tag]]&lt;&gt;FilterSpecs!$F$9), MouserListTable[[#This Row],['#/Unit]]*FilterSpecs!$B$3+MouserListTable[[#This Row],[Extra Initial]],0)</f>
        <v>0</v>
      </c>
      <c r="G139" s="78"/>
      <c r="H139" s="150"/>
      <c r="I139" s="97" t="s">
        <v>2293</v>
      </c>
      <c r="J139" s="106"/>
      <c r="K139" s="118">
        <v>39.950000000000003</v>
      </c>
      <c r="L139" s="97" t="s">
        <v>1896</v>
      </c>
      <c r="M139" s="106"/>
      <c r="N139" s="154">
        <f>MouserListTable[[#This Row],['# Initial]]*MouserListTable[[#This Row],[Price (USD)]]</f>
        <v>0</v>
      </c>
      <c r="O139" s="81" t="s">
        <v>2292</v>
      </c>
      <c r="P139" s="150">
        <f t="shared" si="1"/>
        <v>126</v>
      </c>
      <c r="Q139" s="78" t="s">
        <v>1884</v>
      </c>
      <c r="R139"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485-3538</v>
      </c>
      <c r="S139" s="133" t="str">
        <f>HYPERLINK("https://www.mouser.com/ProductDetail/" &amp;MouserListTable[[#This Row],[Mouser SKU]])</f>
        <v>https://www.mouser.com/ProductDetail/485-3538</v>
      </c>
      <c r="T139" s="94">
        <v>0</v>
      </c>
      <c r="U139" s="94">
        <v>0</v>
      </c>
      <c r="V139" s="94">
        <v>0</v>
      </c>
      <c r="W139" s="94">
        <f>MouserListTable[[#This Row],['#/Unit]]*FilterSpecs!$C$3+MouserListTable[[#This Row],[Extra]]</f>
        <v>0</v>
      </c>
      <c r="X139" s="94">
        <f>IF(MouserListTable[[#This Row],[Tag]]=FilterSpecs!$F$7,MouserListTable[[#This Row],['#/Unit]]*MouserListTable[[#This Row],[Price (USD)]],0)</f>
        <v>0</v>
      </c>
      <c r="Y139" s="94">
        <f>MouserListTable[[#This Row],[Tot '#]]*MouserListTable[[#This Row],[Price (USD)]]</f>
        <v>0</v>
      </c>
      <c r="Z139"/>
    </row>
    <row r="140" spans="1:26" s="104" customFormat="1" x14ac:dyDescent="0.25">
      <c r="A140" s="78" t="s">
        <v>887</v>
      </c>
      <c r="B140" s="78" t="s">
        <v>10</v>
      </c>
      <c r="C140" s="78" t="s">
        <v>1892</v>
      </c>
      <c r="D140" s="81" t="str">
        <f>IF(MouserListTable[[#This Row],[Vendor]]=FilterSpecs!$A$8,MouserListTable[[#This Row],[Mouser SKU]], MouserListTable[[#This Row],[Supplier SKU]])</f>
        <v>485-3317</v>
      </c>
      <c r="E140" s="94">
        <f>MouserListTable[[#This Row],[Tot '#]]-MouserListTable[[#This Row],['# Initial]]</f>
        <v>0</v>
      </c>
      <c r="F140" s="94">
        <f>IF(AND(MouserListTable[[#This Row],[Tag]]&lt;&gt;FilterSpecs!$F$12, MouserListTable[[#This Row],[Tag]]&lt;&gt;FilterSpecs!$F$9), MouserListTable[[#This Row],['#/Unit]]*FilterSpecs!$B$3+MouserListTable[[#This Row],[Extra Initial]],0)</f>
        <v>5</v>
      </c>
      <c r="G140" s="78"/>
      <c r="H140" s="150"/>
      <c r="I140" s="78" t="s">
        <v>2295</v>
      </c>
      <c r="J140" s="106"/>
      <c r="K140" s="117">
        <v>14.95</v>
      </c>
      <c r="L140" s="78" t="s">
        <v>1897</v>
      </c>
      <c r="M140" s="81"/>
      <c r="N140" s="154">
        <f>MouserListTable[[#This Row],['# Initial]]*MouserListTable[[#This Row],[Price (USD)]]</f>
        <v>74.75</v>
      </c>
      <c r="O140" s="81" t="s">
        <v>2294</v>
      </c>
      <c r="P140" s="150">
        <f t="shared" si="1"/>
        <v>127</v>
      </c>
      <c r="Q140" s="78" t="s">
        <v>1884</v>
      </c>
      <c r="R140"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485-3317</v>
      </c>
      <c r="S140" s="133" t="str">
        <f>HYPERLINK("https://www.mouser.com/ProductDetail/" &amp;MouserListTable[[#This Row],[Mouser SKU]])</f>
        <v>https://www.mouser.com/ProductDetail/485-3317</v>
      </c>
      <c r="T140" s="94">
        <v>1</v>
      </c>
      <c r="U140" s="94">
        <v>0</v>
      </c>
      <c r="V140" s="94">
        <v>0</v>
      </c>
      <c r="W140" s="94">
        <f>MouserListTable[[#This Row],['#/Unit]]*FilterSpecs!$C$3+MouserListTable[[#This Row],[Extra]]</f>
        <v>5</v>
      </c>
      <c r="X140" s="94">
        <f>IF(MouserListTable[[#This Row],[Tag]]=FilterSpecs!$F$7,MouserListTable[[#This Row],['#/Unit]]*MouserListTable[[#This Row],[Price (USD)]],0)</f>
        <v>14.95</v>
      </c>
      <c r="Y140" s="94">
        <f>MouserListTable[[#This Row],[Tot '#]]*MouserListTable[[#This Row],[Price (USD)]]</f>
        <v>74.75</v>
      </c>
      <c r="Z140"/>
    </row>
    <row r="141" spans="1:26" s="104" customFormat="1" x14ac:dyDescent="0.25">
      <c r="A141" s="78" t="s">
        <v>887</v>
      </c>
      <c r="B141" s="78" t="s">
        <v>10</v>
      </c>
      <c r="C141" s="78" t="s">
        <v>1892</v>
      </c>
      <c r="D141" s="81" t="str">
        <f>IF(MouserListTable[[#This Row],[Vendor]]=FilterSpecs!$A$8,MouserListTable[[#This Row],[Mouser SKU]], MouserListTable[[#This Row],[Supplier SKU]])</f>
        <v>485-3316</v>
      </c>
      <c r="E141" s="94">
        <f>MouserListTable[[#This Row],[Tot '#]]-MouserListTable[[#This Row],['# Initial]]</f>
        <v>0</v>
      </c>
      <c r="F141" s="94">
        <f>IF(AND(MouserListTable[[#This Row],[Tag]]&lt;&gt;FilterSpecs!$F$12, MouserListTable[[#This Row],[Tag]]&lt;&gt;FilterSpecs!$F$9), MouserListTable[[#This Row],['#/Unit]]*FilterSpecs!$B$3+MouserListTable[[#This Row],[Extra Initial]],0)</f>
        <v>0</v>
      </c>
      <c r="G141" s="78"/>
      <c r="H141" s="150"/>
      <c r="I141" s="97" t="s">
        <v>2297</v>
      </c>
      <c r="J141" s="106"/>
      <c r="K141" s="118">
        <v>13.95</v>
      </c>
      <c r="L141" s="97" t="s">
        <v>1896</v>
      </c>
      <c r="M141" s="106"/>
      <c r="N141" s="154">
        <f>MouserListTable[[#This Row],['# Initial]]*MouserListTable[[#This Row],[Price (USD)]]</f>
        <v>0</v>
      </c>
      <c r="O141" s="81" t="s">
        <v>2296</v>
      </c>
      <c r="P141" s="150">
        <f t="shared" si="1"/>
        <v>128</v>
      </c>
      <c r="Q141" s="78" t="s">
        <v>1884</v>
      </c>
      <c r="R141"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485-3316</v>
      </c>
      <c r="S141" s="133" t="str">
        <f>HYPERLINK("https://www.mouser.com/ProductDetail/" &amp;MouserListTable[[#This Row],[Mouser SKU]])</f>
        <v>https://www.mouser.com/ProductDetail/485-3316</v>
      </c>
      <c r="T141" s="94">
        <v>0</v>
      </c>
      <c r="U141" s="94">
        <v>0</v>
      </c>
      <c r="V141" s="94">
        <v>0</v>
      </c>
      <c r="W141" s="94">
        <f>MouserListTable[[#This Row],['#/Unit]]*FilterSpecs!$C$3+MouserListTable[[#This Row],[Extra]]</f>
        <v>0</v>
      </c>
      <c r="X141" s="94">
        <f>IF(MouserListTable[[#This Row],[Tag]]=FilterSpecs!$F$7,MouserListTable[[#This Row],['#/Unit]]*MouserListTable[[#This Row],[Price (USD)]],0)</f>
        <v>0</v>
      </c>
      <c r="Y141" s="94">
        <f>MouserListTable[[#This Row],[Tot '#]]*MouserListTable[[#This Row],[Price (USD)]]</f>
        <v>0</v>
      </c>
      <c r="Z141"/>
    </row>
    <row r="142" spans="1:26" s="104" customFormat="1" x14ac:dyDescent="0.25">
      <c r="A142" s="78" t="s">
        <v>887</v>
      </c>
      <c r="B142" s="78" t="s">
        <v>10</v>
      </c>
      <c r="C142" s="78" t="s">
        <v>1892</v>
      </c>
      <c r="D142" s="81" t="str">
        <f>IF(MouserListTable[[#This Row],[Vendor]]=FilterSpecs!$A$8,MouserListTable[[#This Row],[Mouser SKU]], MouserListTable[[#This Row],[Supplier SKU]])</f>
        <v>485-1568</v>
      </c>
      <c r="E142" s="94">
        <f>MouserListTable[[#This Row],[Tot '#]]-MouserListTable[[#This Row],['# Initial]]</f>
        <v>0</v>
      </c>
      <c r="F142" s="94">
        <f>IF(AND(MouserListTable[[#This Row],[Tag]]&lt;&gt;FilterSpecs!$F$12, MouserListTable[[#This Row],[Tag]]&lt;&gt;FilterSpecs!$F$9), MouserListTable[[#This Row],['#/Unit]]*FilterSpecs!$B$3+MouserListTable[[#This Row],[Extra Initial]],0)</f>
        <v>0</v>
      </c>
      <c r="G142" s="78"/>
      <c r="H142" s="150"/>
      <c r="I142" s="97" t="s">
        <v>2299</v>
      </c>
      <c r="J142" s="106"/>
      <c r="K142" s="118">
        <v>24.95</v>
      </c>
      <c r="L142" s="97" t="s">
        <v>1896</v>
      </c>
      <c r="M142" s="106"/>
      <c r="N142" s="154">
        <f>MouserListTable[[#This Row],['# Initial]]*MouserListTable[[#This Row],[Price (USD)]]</f>
        <v>0</v>
      </c>
      <c r="O142" s="81" t="s">
        <v>2298</v>
      </c>
      <c r="P142" s="150">
        <f t="shared" si="1"/>
        <v>129</v>
      </c>
      <c r="Q142" s="78" t="s">
        <v>1884</v>
      </c>
      <c r="R142"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485-1568</v>
      </c>
      <c r="S142" s="133" t="str">
        <f>HYPERLINK("https://www.mouser.com/ProductDetail/" &amp;MouserListTable[[#This Row],[Mouser SKU]])</f>
        <v>https://www.mouser.com/ProductDetail/485-1568</v>
      </c>
      <c r="T142" s="94">
        <v>0</v>
      </c>
      <c r="U142" s="94">
        <v>0</v>
      </c>
      <c r="V142" s="94">
        <v>0</v>
      </c>
      <c r="W142" s="94">
        <f>MouserListTable[[#This Row],['#/Unit]]*FilterSpecs!$C$3+MouserListTable[[#This Row],[Extra]]</f>
        <v>0</v>
      </c>
      <c r="X142" s="94">
        <f>IF(MouserListTable[[#This Row],[Tag]]=FilterSpecs!$F$7,MouserListTable[[#This Row],['#/Unit]]*MouserListTable[[#This Row],[Price (USD)]],0)</f>
        <v>0</v>
      </c>
      <c r="Y142" s="94">
        <f>MouserListTable[[#This Row],[Tot '#]]*MouserListTable[[#This Row],[Price (USD)]]</f>
        <v>0</v>
      </c>
      <c r="Z142"/>
    </row>
    <row r="143" spans="1:26" s="104" customFormat="1" x14ac:dyDescent="0.25">
      <c r="A143" s="78" t="s">
        <v>887</v>
      </c>
      <c r="B143" s="78" t="s">
        <v>10</v>
      </c>
      <c r="C143" s="78" t="s">
        <v>1892</v>
      </c>
      <c r="D143" s="81" t="str">
        <f>IF(MouserListTable[[#This Row],[Vendor]]=FilterSpecs!$A$8,MouserListTable[[#This Row],[Mouser SKU]], MouserListTable[[#This Row],[Supplier SKU]])</f>
        <v>485-164</v>
      </c>
      <c r="E143" s="94">
        <f>MouserListTable[[#This Row],[Tot '#]]-MouserListTable[[#This Row],['# Initial]]</f>
        <v>0</v>
      </c>
      <c r="F143" s="94">
        <f>IF(AND(MouserListTable[[#This Row],[Tag]]&lt;&gt;FilterSpecs!$F$12, MouserListTable[[#This Row],[Tag]]&lt;&gt;FilterSpecs!$F$9), MouserListTable[[#This Row],['#/Unit]]*FilterSpecs!$B$3+MouserListTable[[#This Row],[Extra Initial]],0)</f>
        <v>0</v>
      </c>
      <c r="G143" s="78"/>
      <c r="H143" s="150"/>
      <c r="I143" s="97" t="s">
        <v>2301</v>
      </c>
      <c r="J143" s="106"/>
      <c r="K143" s="118">
        <v>14.95</v>
      </c>
      <c r="L143" s="97" t="s">
        <v>1896</v>
      </c>
      <c r="M143" s="106"/>
      <c r="N143" s="154">
        <f>MouserListTable[[#This Row],['# Initial]]*MouserListTable[[#This Row],[Price (USD)]]</f>
        <v>0</v>
      </c>
      <c r="O143" s="81" t="s">
        <v>2300</v>
      </c>
      <c r="P143" s="150">
        <f t="shared" si="1"/>
        <v>130</v>
      </c>
      <c r="Q143" s="78" t="s">
        <v>1884</v>
      </c>
      <c r="R143"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485-164</v>
      </c>
      <c r="S143" s="133" t="str">
        <f>HYPERLINK("https://www.mouser.com/ProductDetail/" &amp;MouserListTable[[#This Row],[Mouser SKU]])</f>
        <v>https://www.mouser.com/ProductDetail/485-164</v>
      </c>
      <c r="T143" s="94">
        <v>0</v>
      </c>
      <c r="U143" s="94">
        <v>0</v>
      </c>
      <c r="V143" s="94">
        <v>0</v>
      </c>
      <c r="W143" s="94">
        <f>MouserListTable[[#This Row],['#/Unit]]*FilterSpecs!$C$3+MouserListTable[[#This Row],[Extra]]</f>
        <v>0</v>
      </c>
      <c r="X143" s="94">
        <f>IF(MouserListTable[[#This Row],[Tag]]=FilterSpecs!$F$7,MouserListTable[[#This Row],['#/Unit]]*MouserListTable[[#This Row],[Price (USD)]],0)</f>
        <v>0</v>
      </c>
      <c r="Y143" s="94">
        <f>MouserListTable[[#This Row],[Tot '#]]*MouserListTable[[#This Row],[Price (USD)]]</f>
        <v>0</v>
      </c>
      <c r="Z143"/>
    </row>
    <row r="144" spans="1:26" s="104" customFormat="1" x14ac:dyDescent="0.25">
      <c r="A144" s="78" t="s">
        <v>887</v>
      </c>
      <c r="B144" s="78" t="s">
        <v>10</v>
      </c>
      <c r="C144" s="78" t="s">
        <v>1892</v>
      </c>
      <c r="D144" s="81" t="str">
        <f>IF(MouserListTable[[#This Row],[Vendor]]=FilterSpecs!$A$8,MouserListTable[[#This Row],[Mouser SKU]], MouserListTable[[#This Row],[Supplier SKU]])</f>
        <v>485-1031</v>
      </c>
      <c r="E144" s="94">
        <f>MouserListTable[[#This Row],[Tot '#]]-MouserListTable[[#This Row],['# Initial]]</f>
        <v>0</v>
      </c>
      <c r="F144" s="94">
        <f>IF(AND(MouserListTable[[#This Row],[Tag]]&lt;&gt;FilterSpecs!$F$12, MouserListTable[[#This Row],[Tag]]&lt;&gt;FilterSpecs!$F$9), MouserListTable[[#This Row],['#/Unit]]*FilterSpecs!$B$3+MouserListTable[[#This Row],[Extra Initial]],0)</f>
        <v>0</v>
      </c>
      <c r="G144" s="78"/>
      <c r="H144" s="150"/>
      <c r="I144" s="97" t="s">
        <v>2303</v>
      </c>
      <c r="J144" s="106"/>
      <c r="K144" s="118">
        <v>15.95</v>
      </c>
      <c r="L144" s="97" t="s">
        <v>1896</v>
      </c>
      <c r="M144" s="106"/>
      <c r="N144" s="154">
        <f>MouserListTable[[#This Row],['# Initial]]*MouserListTable[[#This Row],[Price (USD)]]</f>
        <v>0</v>
      </c>
      <c r="O144" s="81" t="s">
        <v>2302</v>
      </c>
      <c r="P144" s="150">
        <f t="shared" si="1"/>
        <v>131</v>
      </c>
      <c r="Q144" s="78" t="s">
        <v>1884</v>
      </c>
      <c r="R144"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485-1031</v>
      </c>
      <c r="S144" s="133" t="str">
        <f>HYPERLINK("https://www.mouser.com/ProductDetail/" &amp;MouserListTable[[#This Row],[Mouser SKU]])</f>
        <v>https://www.mouser.com/ProductDetail/485-1031</v>
      </c>
      <c r="T144" s="94">
        <v>0</v>
      </c>
      <c r="U144" s="94">
        <v>0</v>
      </c>
      <c r="V144" s="94">
        <v>0</v>
      </c>
      <c r="W144" s="94">
        <f>MouserListTable[[#This Row],['#/Unit]]*FilterSpecs!$C$3+MouserListTable[[#This Row],[Extra]]</f>
        <v>0</v>
      </c>
      <c r="X144" s="94">
        <f>IF(MouserListTable[[#This Row],[Tag]]=FilterSpecs!$F$7,MouserListTable[[#This Row],['#/Unit]]*MouserListTable[[#This Row],[Price (USD)]],0)</f>
        <v>0</v>
      </c>
      <c r="Y144" s="94">
        <f>MouserListTable[[#This Row],[Tot '#]]*MouserListTable[[#This Row],[Price (USD)]]</f>
        <v>0</v>
      </c>
      <c r="Z144"/>
    </row>
    <row r="145" spans="1:26" s="104" customFormat="1" x14ac:dyDescent="0.25">
      <c r="A145" s="78" t="s">
        <v>887</v>
      </c>
      <c r="B145" s="78" t="s">
        <v>10</v>
      </c>
      <c r="C145" s="78" t="s">
        <v>1892</v>
      </c>
      <c r="D145" s="81" t="str">
        <f>IF(MouserListTable[[#This Row],[Vendor]]=FilterSpecs!$A$8,MouserListTable[[#This Row],[Mouser SKU]], MouserListTable[[#This Row],[Supplier SKU]])</f>
        <v>511-53L0-SATEL-I1</v>
      </c>
      <c r="E145" s="94">
        <f>MouserListTable[[#This Row],[Tot '#]]-MouserListTable[[#This Row],['# Initial]]</f>
        <v>0</v>
      </c>
      <c r="F145" s="94">
        <f>IF(AND(MouserListTable[[#This Row],[Tag]]&lt;&gt;FilterSpecs!$F$12, MouserListTable[[#This Row],[Tag]]&lt;&gt;FilterSpecs!$F$9), MouserListTable[[#This Row],['#/Unit]]*FilterSpecs!$B$3+MouserListTable[[#This Row],[Extra Initial]],0)</f>
        <v>5</v>
      </c>
      <c r="G145" s="78"/>
      <c r="H145" s="150"/>
      <c r="I145" s="78" t="s">
        <v>2523</v>
      </c>
      <c r="J145" s="78"/>
      <c r="K145" s="117">
        <v>18.5</v>
      </c>
      <c r="L145" s="94" t="s">
        <v>1897</v>
      </c>
      <c r="M145" s="78"/>
      <c r="N145" s="154">
        <f>MouserListTable[[#This Row],['# Initial]]*MouserListTable[[#This Row],[Price (USD)]]</f>
        <v>92.5</v>
      </c>
      <c r="O145" s="81" t="s">
        <v>2521</v>
      </c>
      <c r="P145" s="150">
        <f t="shared" si="1"/>
        <v>132</v>
      </c>
      <c r="Q145" s="78" t="s">
        <v>2524</v>
      </c>
      <c r="R145"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511-53L0-SATEL-I1</v>
      </c>
      <c r="S145" s="133" t="str">
        <f>HYPERLINK("https://www.mouser.com/ProductDetail/" &amp;MouserListTable[[#This Row],[Mouser SKU]])</f>
        <v>https://www.mouser.com/ProductDetail/511-53L0-SATEL-I1</v>
      </c>
      <c r="T145" s="94">
        <v>1</v>
      </c>
      <c r="U145" s="94">
        <v>0</v>
      </c>
      <c r="V145" s="94">
        <v>0</v>
      </c>
      <c r="W145" s="94">
        <f>MouserListTable[[#This Row],['#/Unit]]*FilterSpecs!$C$3+MouserListTable[[#This Row],[Extra]]</f>
        <v>5</v>
      </c>
      <c r="X145" s="94">
        <f>IF(MouserListTable[[#This Row],[Tag]]=FilterSpecs!$F$7,MouserListTable[[#This Row],['#/Unit]]*MouserListTable[[#This Row],[Price (USD)]],0)</f>
        <v>18.5</v>
      </c>
      <c r="Y145" s="94">
        <f>MouserListTable[[#This Row],[Tot '#]]*MouserListTable[[#This Row],[Price (USD)]]</f>
        <v>92.5</v>
      </c>
      <c r="Z145"/>
    </row>
    <row r="146" spans="1:26" s="106" customFormat="1" x14ac:dyDescent="0.25">
      <c r="A146" s="78" t="s">
        <v>887</v>
      </c>
      <c r="B146" s="78" t="s">
        <v>11</v>
      </c>
      <c r="C146" s="78" t="s">
        <v>1892</v>
      </c>
      <c r="D146" s="81" t="str">
        <f>IF(MouserListTable[[#This Row],[Vendor]]=FilterSpecs!$A$8,MouserListTable[[#This Row],[Mouser SKU]], MouserListTable[[#This Row],[Supplier SKU]])</f>
        <v>474-SEN-09196</v>
      </c>
      <c r="E146" s="94">
        <f>MouserListTable[[#This Row],[Tot '#]]-MouserListTable[[#This Row],['# Initial]]</f>
        <v>0</v>
      </c>
      <c r="F146" s="94">
        <f>IF(AND(MouserListTable[[#This Row],[Tag]]&lt;&gt;FilterSpecs!$F$12, MouserListTable[[#This Row],[Tag]]&lt;&gt;FilterSpecs!$F$9), MouserListTable[[#This Row],['#/Unit]]*FilterSpecs!$B$3+MouserListTable[[#This Row],[Extra Initial]],0)</f>
        <v>5</v>
      </c>
      <c r="G146" s="78" t="s">
        <v>103</v>
      </c>
      <c r="H146" s="150" t="s">
        <v>104</v>
      </c>
      <c r="I146" s="78" t="s">
        <v>105</v>
      </c>
      <c r="J146" s="106">
        <v>1</v>
      </c>
      <c r="K146" s="117">
        <v>2.95</v>
      </c>
      <c r="L146" s="78" t="s">
        <v>1897</v>
      </c>
      <c r="M146" s="81"/>
      <c r="N146" s="154">
        <f>MouserListTable[[#This Row],['# Initial]]*MouserListTable[[#This Row],[Price (USD)]]</f>
        <v>14.75</v>
      </c>
      <c r="O146" s="81" t="s">
        <v>102</v>
      </c>
      <c r="P146" s="150">
        <f t="shared" si="1"/>
        <v>133</v>
      </c>
      <c r="Q146" s="78" t="s">
        <v>5</v>
      </c>
      <c r="R146"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474-SEN-09196</v>
      </c>
      <c r="S146" s="133" t="str">
        <f>HYPERLINK("https://www.mouser.com/ProductDetail/" &amp;MouserListTable[[#This Row],[Mouser SKU]])</f>
        <v>https://www.mouser.com/ProductDetail/474-SEN-09196</v>
      </c>
      <c r="T146" s="94">
        <v>1</v>
      </c>
      <c r="U146" s="94">
        <v>0</v>
      </c>
      <c r="V146" s="94">
        <v>0</v>
      </c>
      <c r="W146" s="94">
        <f>MouserListTable[[#This Row],['#/Unit]]*FilterSpecs!$C$3+MouserListTable[[#This Row],[Extra]]</f>
        <v>5</v>
      </c>
      <c r="X146" s="94">
        <f>IF(MouserListTable[[#This Row],[Tag]]=FilterSpecs!$F$7,MouserListTable[[#This Row],['#/Unit]]*MouserListTable[[#This Row],[Price (USD)]],0)</f>
        <v>2.95</v>
      </c>
      <c r="Y146" s="94">
        <f>MouserListTable[[#This Row],[Tot '#]]*MouserListTable[[#This Row],[Price (USD)]]</f>
        <v>14.75</v>
      </c>
      <c r="Z146"/>
    </row>
    <row r="147" spans="1:26" s="106" customFormat="1" x14ac:dyDescent="0.25">
      <c r="A147" s="78" t="s">
        <v>887</v>
      </c>
      <c r="B147" s="78" t="s">
        <v>11</v>
      </c>
      <c r="C147" s="78" t="s">
        <v>1892</v>
      </c>
      <c r="D147" s="81" t="str">
        <f>IF(MouserListTable[[#This Row],[Vendor]]=FilterSpecs!$A$8,MouserListTable[[#This Row],[Mouser SKU]], MouserListTable[[#This Row],[Supplier SKU]])</f>
        <v>474-SEN-09197</v>
      </c>
      <c r="E147" s="94">
        <f>MouserListTable[[#This Row],[Tot '#]]-MouserListTable[[#This Row],['# Initial]]</f>
        <v>0</v>
      </c>
      <c r="F147" s="94">
        <f>IF(AND(MouserListTable[[#This Row],[Tag]]&lt;&gt;FilterSpecs!$F$12, MouserListTable[[#This Row],[Tag]]&lt;&gt;FilterSpecs!$F$9), MouserListTable[[#This Row],['#/Unit]]*FilterSpecs!$B$3+MouserListTable[[#This Row],[Extra Initial]],0)</f>
        <v>0</v>
      </c>
      <c r="G147" s="78" t="s">
        <v>1326</v>
      </c>
      <c r="H147" s="150" t="s">
        <v>1327</v>
      </c>
      <c r="I147" s="97" t="s">
        <v>1328</v>
      </c>
      <c r="J147" s="106">
        <v>1</v>
      </c>
      <c r="K147" s="118">
        <v>2.95</v>
      </c>
      <c r="L147" s="97" t="s">
        <v>1896</v>
      </c>
      <c r="N147" s="154">
        <f>MouserListTable[[#This Row],['# Initial]]*MouserListTable[[#This Row],[Price (USD)]]</f>
        <v>0</v>
      </c>
      <c r="O147" s="81" t="s">
        <v>1325</v>
      </c>
      <c r="P147" s="150">
        <f t="shared" si="1"/>
        <v>134</v>
      </c>
      <c r="Q147" s="78" t="s">
        <v>5</v>
      </c>
      <c r="R147"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474-SEN-09197</v>
      </c>
      <c r="S147" s="133" t="str">
        <f>HYPERLINK("https://www.mouser.com/ProductDetail/" &amp;MouserListTable[[#This Row],[Mouser SKU]])</f>
        <v>https://www.mouser.com/ProductDetail/474-SEN-09197</v>
      </c>
      <c r="T147" s="94">
        <v>0</v>
      </c>
      <c r="U147" s="94">
        <v>0</v>
      </c>
      <c r="V147" s="94">
        <v>0</v>
      </c>
      <c r="W147" s="94">
        <f>MouserListTable[[#This Row],['#/Unit]]*FilterSpecs!$C$3+MouserListTable[[#This Row],[Extra]]</f>
        <v>0</v>
      </c>
      <c r="X147" s="94">
        <f>IF(MouserListTable[[#This Row],[Tag]]=FilterSpecs!$F$7,MouserListTable[[#This Row],['#/Unit]]*MouserListTable[[#This Row],[Price (USD)]],0)</f>
        <v>0</v>
      </c>
      <c r="Y147" s="94">
        <f>MouserListTable[[#This Row],[Tot '#]]*MouserListTable[[#This Row],[Price (USD)]]</f>
        <v>0</v>
      </c>
      <c r="Z147"/>
    </row>
    <row r="148" spans="1:26" s="106" customFormat="1" x14ac:dyDescent="0.25">
      <c r="A148" s="78" t="s">
        <v>887</v>
      </c>
      <c r="B148" s="78" t="s">
        <v>11</v>
      </c>
      <c r="C148" s="78" t="s">
        <v>1892</v>
      </c>
      <c r="D148" s="81" t="str">
        <f>IF(MouserListTable[[#This Row],[Vendor]]=FilterSpecs!$A$8,MouserListTable[[#This Row],[Mouser SKU]], MouserListTable[[#This Row],[Supplier SKU]])</f>
        <v>474-SEN-09198</v>
      </c>
      <c r="E148" s="94">
        <f>MouserListTable[[#This Row],[Tot '#]]-MouserListTable[[#This Row],['# Initial]]</f>
        <v>0</v>
      </c>
      <c r="F148" s="94">
        <f>IF(AND(MouserListTable[[#This Row],[Tag]]&lt;&gt;FilterSpecs!$F$12, MouserListTable[[#This Row],[Tag]]&lt;&gt;FilterSpecs!$F$9), MouserListTable[[#This Row],['#/Unit]]*FilterSpecs!$B$3+MouserListTable[[#This Row],[Extra Initial]],0)</f>
        <v>0</v>
      </c>
      <c r="G148" s="78" t="s">
        <v>1330</v>
      </c>
      <c r="H148" s="150" t="s">
        <v>1331</v>
      </c>
      <c r="I148" s="97" t="s">
        <v>1332</v>
      </c>
      <c r="J148" s="106">
        <v>1</v>
      </c>
      <c r="K148" s="118">
        <v>2.95</v>
      </c>
      <c r="L148" s="97" t="s">
        <v>1896</v>
      </c>
      <c r="N148" s="154">
        <f>MouserListTable[[#This Row],['# Initial]]*MouserListTable[[#This Row],[Price (USD)]]</f>
        <v>0</v>
      </c>
      <c r="O148" s="81" t="s">
        <v>1329</v>
      </c>
      <c r="P148" s="150">
        <f t="shared" si="1"/>
        <v>135</v>
      </c>
      <c r="Q148" s="78" t="s">
        <v>5</v>
      </c>
      <c r="R148"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474-SEN-09198</v>
      </c>
      <c r="S148" s="133" t="str">
        <f>HYPERLINK("https://www.mouser.com/ProductDetail/" &amp;MouserListTable[[#This Row],[Mouser SKU]])</f>
        <v>https://www.mouser.com/ProductDetail/474-SEN-09198</v>
      </c>
      <c r="T148" s="94">
        <v>0</v>
      </c>
      <c r="U148" s="94">
        <v>0</v>
      </c>
      <c r="V148" s="94">
        <v>0</v>
      </c>
      <c r="W148" s="94">
        <f>MouserListTable[[#This Row],['#/Unit]]*FilterSpecs!$C$3+MouserListTable[[#This Row],[Extra]]</f>
        <v>0</v>
      </c>
      <c r="X148" s="94">
        <f>IF(MouserListTable[[#This Row],[Tag]]=FilterSpecs!$F$7,MouserListTable[[#This Row],['#/Unit]]*MouserListTable[[#This Row],[Price (USD)]],0)</f>
        <v>0</v>
      </c>
      <c r="Y148" s="94">
        <f>MouserListTable[[#This Row],[Tot '#]]*MouserListTable[[#This Row],[Price (USD)]]</f>
        <v>0</v>
      </c>
      <c r="Z148"/>
    </row>
    <row r="149" spans="1:26" s="106" customFormat="1" x14ac:dyDescent="0.25">
      <c r="A149" s="78" t="s">
        <v>887</v>
      </c>
      <c r="B149" s="78" t="s">
        <v>11</v>
      </c>
      <c r="C149" s="78" t="s">
        <v>1892</v>
      </c>
      <c r="D149" s="81" t="str">
        <f>IF(MouserListTable[[#This Row],[Vendor]]=FilterSpecs!$A$8,MouserListTable[[#This Row],[Mouser SKU]], MouserListTable[[#This Row],[Supplier SKU]])</f>
        <v>474-SEN-09199</v>
      </c>
      <c r="E149" s="94">
        <f>MouserListTable[[#This Row],[Tot '#]]-MouserListTable[[#This Row],['# Initial]]</f>
        <v>0</v>
      </c>
      <c r="F149" s="94">
        <f>IF(AND(MouserListTable[[#This Row],[Tag]]&lt;&gt;FilterSpecs!$F$12, MouserListTable[[#This Row],[Tag]]&lt;&gt;FilterSpecs!$F$9), MouserListTable[[#This Row],['#/Unit]]*FilterSpecs!$B$3+MouserListTable[[#This Row],[Extra Initial]],0)</f>
        <v>0</v>
      </c>
      <c r="G149" s="78" t="s">
        <v>1334</v>
      </c>
      <c r="H149" s="150" t="s">
        <v>1335</v>
      </c>
      <c r="I149" s="97" t="s">
        <v>1336</v>
      </c>
      <c r="J149" s="106">
        <v>1</v>
      </c>
      <c r="K149" s="118">
        <v>2.95</v>
      </c>
      <c r="L149" s="97" t="s">
        <v>1899</v>
      </c>
      <c r="N149" s="154">
        <f>MouserListTable[[#This Row],['# Initial]]*MouserListTable[[#This Row],[Price (USD)]]</f>
        <v>0</v>
      </c>
      <c r="O149" s="81" t="s">
        <v>1333</v>
      </c>
      <c r="P149" s="150">
        <f t="shared" si="1"/>
        <v>136</v>
      </c>
      <c r="Q149" s="78" t="s">
        <v>5</v>
      </c>
      <c r="R149"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474-SEN-09199</v>
      </c>
      <c r="S149" s="133" t="str">
        <f>HYPERLINK("https://www.mouser.com/ProductDetail/" &amp;MouserListTable[[#This Row],[Mouser SKU]])</f>
        <v>https://www.mouser.com/ProductDetail/474-SEN-09199</v>
      </c>
      <c r="T149" s="94">
        <v>0</v>
      </c>
      <c r="U149" s="94">
        <v>0</v>
      </c>
      <c r="V149" s="94">
        <v>0</v>
      </c>
      <c r="W149" s="94">
        <f>MouserListTable[[#This Row],['#/Unit]]*FilterSpecs!$C$3+MouserListTable[[#This Row],[Extra]]</f>
        <v>0</v>
      </c>
      <c r="X149" s="94">
        <f>IF(MouserListTable[[#This Row],[Tag]]=FilterSpecs!$F$7,MouserListTable[[#This Row],['#/Unit]]*MouserListTable[[#This Row],[Price (USD)]],0)</f>
        <v>0</v>
      </c>
      <c r="Y149" s="94">
        <f>MouserListTable[[#This Row],[Tot '#]]*MouserListTable[[#This Row],[Price (USD)]]</f>
        <v>0</v>
      </c>
      <c r="Z149"/>
    </row>
    <row r="150" spans="1:26" s="106" customFormat="1" x14ac:dyDescent="0.25">
      <c r="A150" s="78" t="s">
        <v>887</v>
      </c>
      <c r="B150" s="78" t="s">
        <v>11</v>
      </c>
      <c r="C150" s="78" t="s">
        <v>1892</v>
      </c>
      <c r="D150" s="81" t="str">
        <f>IF(MouserListTable[[#This Row],[Vendor]]=FilterSpecs!$A$8,MouserListTable[[#This Row],[Mouser SKU]], MouserListTable[[#This Row],[Supplier SKU]])</f>
        <v>485-1071</v>
      </c>
      <c r="E150" s="94">
        <f>MouserListTable[[#This Row],[Tot '#]]-MouserListTable[[#This Row],['# Initial]]</f>
        <v>0</v>
      </c>
      <c r="F150" s="94">
        <f>IF(AND(MouserListTable[[#This Row],[Tag]]&lt;&gt;FilterSpecs!$F$12, MouserListTable[[#This Row],[Tag]]&lt;&gt;FilterSpecs!$F$9), MouserListTable[[#This Row],['#/Unit]]*FilterSpecs!$B$3+MouserListTable[[#This Row],[Extra Initial]],0)</f>
        <v>0</v>
      </c>
      <c r="G150" s="78"/>
      <c r="H150" s="150"/>
      <c r="I150" s="97" t="s">
        <v>2307</v>
      </c>
      <c r="K150" s="118">
        <v>17.95</v>
      </c>
      <c r="L150" s="97" t="s">
        <v>1896</v>
      </c>
      <c r="N150" s="154">
        <f>MouserListTable[[#This Row],['# Initial]]*MouserListTable[[#This Row],[Price (USD)]]</f>
        <v>0</v>
      </c>
      <c r="O150" s="81" t="s">
        <v>2306</v>
      </c>
      <c r="P150" s="150">
        <f t="shared" si="1"/>
        <v>137</v>
      </c>
      <c r="Q150" s="78" t="s">
        <v>1884</v>
      </c>
      <c r="R150"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485-1071</v>
      </c>
      <c r="S150" s="133" t="str">
        <f>HYPERLINK("https://www.mouser.com/ProductDetail/" &amp;MouserListTable[[#This Row],[Mouser SKU]])</f>
        <v>https://www.mouser.com/ProductDetail/485-1071</v>
      </c>
      <c r="T150" s="94">
        <v>0</v>
      </c>
      <c r="U150" s="94">
        <v>0</v>
      </c>
      <c r="V150" s="94">
        <v>0</v>
      </c>
      <c r="W150" s="94">
        <f>MouserListTable[[#This Row],['#/Unit]]*FilterSpecs!$C$3+MouserListTable[[#This Row],[Extra]]</f>
        <v>0</v>
      </c>
      <c r="X150" s="94">
        <f>IF(MouserListTable[[#This Row],[Tag]]=FilterSpecs!$F$7,MouserListTable[[#This Row],['#/Unit]]*MouserListTable[[#This Row],[Price (USD)]],0)</f>
        <v>0</v>
      </c>
      <c r="Y150" s="94">
        <f>MouserListTable[[#This Row],[Tot '#]]*MouserListTable[[#This Row],[Price (USD)]]</f>
        <v>0</v>
      </c>
      <c r="Z150"/>
    </row>
    <row r="151" spans="1:26" s="106" customFormat="1" x14ac:dyDescent="0.25">
      <c r="A151" s="78" t="s">
        <v>887</v>
      </c>
      <c r="B151" s="78" t="s">
        <v>11</v>
      </c>
      <c r="C151" s="78" t="s">
        <v>1892</v>
      </c>
      <c r="D151" s="81" t="str">
        <f>IF(MouserListTable[[#This Row],[Vendor]]=FilterSpecs!$A$8,MouserListTable[[#This Row],[Mouser SKU]], MouserListTable[[#This Row],[Supplier SKU]])</f>
        <v>474-SEN-09674</v>
      </c>
      <c r="E151" s="94">
        <f>MouserListTable[[#This Row],[Tot '#]]-MouserListTable[[#This Row],['# Initial]]</f>
        <v>0</v>
      </c>
      <c r="F151" s="94">
        <f>IF(AND(MouserListTable[[#This Row],[Tag]]&lt;&gt;FilterSpecs!$F$12, MouserListTable[[#This Row],[Tag]]&lt;&gt;FilterSpecs!$F$9), MouserListTable[[#This Row],['#/Unit]]*FilterSpecs!$B$3+MouserListTable[[#This Row],[Extra Initial]],0)</f>
        <v>0</v>
      </c>
      <c r="G151" s="78" t="s">
        <v>1417</v>
      </c>
      <c r="H151" s="150" t="s">
        <v>1418</v>
      </c>
      <c r="I151" s="97" t="s">
        <v>1419</v>
      </c>
      <c r="J151" s="106">
        <v>1</v>
      </c>
      <c r="K151" s="118">
        <v>20.95</v>
      </c>
      <c r="L151" s="97" t="s">
        <v>1896</v>
      </c>
      <c r="N151" s="154">
        <f>MouserListTable[[#This Row],['# Initial]]*MouserListTable[[#This Row],[Price (USD)]]</f>
        <v>0</v>
      </c>
      <c r="O151" s="81" t="s">
        <v>1416</v>
      </c>
      <c r="P151" s="150">
        <f t="shared" si="1"/>
        <v>138</v>
      </c>
      <c r="Q151" s="78" t="s">
        <v>5</v>
      </c>
      <c r="R151"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474-SEN-09674</v>
      </c>
      <c r="S151" s="133" t="str">
        <f>HYPERLINK("https://www.mouser.com/ProductDetail/" &amp;MouserListTable[[#This Row],[Mouser SKU]])</f>
        <v>https://www.mouser.com/ProductDetail/474-SEN-09674</v>
      </c>
      <c r="T151" s="94">
        <v>0</v>
      </c>
      <c r="U151" s="94">
        <v>0</v>
      </c>
      <c r="V151" s="94">
        <v>0</v>
      </c>
      <c r="W151" s="94">
        <f>MouserListTable[[#This Row],['#/Unit]]*FilterSpecs!$C$3+MouserListTable[[#This Row],[Extra]]</f>
        <v>0</v>
      </c>
      <c r="X151" s="94">
        <f>IF(MouserListTable[[#This Row],[Tag]]=FilterSpecs!$F$7,MouserListTable[[#This Row],['#/Unit]]*MouserListTable[[#This Row],[Price (USD)]],0)</f>
        <v>0</v>
      </c>
      <c r="Y151" s="94">
        <f>MouserListTable[[#This Row],[Tot '#]]*MouserListTable[[#This Row],[Price (USD)]]</f>
        <v>0</v>
      </c>
      <c r="Z151"/>
    </row>
    <row r="152" spans="1:26" s="106" customFormat="1" x14ac:dyDescent="0.25">
      <c r="A152" s="97" t="s">
        <v>887</v>
      </c>
      <c r="B152" s="97" t="s">
        <v>11</v>
      </c>
      <c r="C152" s="78" t="s">
        <v>1892</v>
      </c>
      <c r="D152" s="81" t="str">
        <f>IF(MouserListTable[[#This Row],[Vendor]]=FilterSpecs!$A$8,MouserListTable[[#This Row],[Mouser SKU]], MouserListTable[[#This Row],[Supplier SKU]])</f>
        <v>474-SEN-09673</v>
      </c>
      <c r="E152" s="94">
        <f>MouserListTable[[#This Row],[Tot '#]]-MouserListTable[[#This Row],['# Initial]]</f>
        <v>0</v>
      </c>
      <c r="F152" s="94">
        <f>IF(AND(MouserListTable[[#This Row],[Tag]]&lt;&gt;FilterSpecs!$F$12, MouserListTable[[#This Row],[Tag]]&lt;&gt;FilterSpecs!$F$9), MouserListTable[[#This Row],['#/Unit]]*FilterSpecs!$B$3+MouserListTable[[#This Row],[Extra Initial]],0)</f>
        <v>0</v>
      </c>
      <c r="G152" s="78" t="s">
        <v>1421</v>
      </c>
      <c r="H152" s="150" t="s">
        <v>1422</v>
      </c>
      <c r="I152" s="78" t="s">
        <v>1423</v>
      </c>
      <c r="J152" s="78">
        <v>1</v>
      </c>
      <c r="K152" s="117">
        <v>5.95</v>
      </c>
      <c r="L152" s="78" t="s">
        <v>1896</v>
      </c>
      <c r="N152" s="154">
        <f>MouserListTable[[#This Row],['# Initial]]*MouserListTable[[#This Row],[Price (USD)]]</f>
        <v>0</v>
      </c>
      <c r="O152" s="81" t="s">
        <v>1420</v>
      </c>
      <c r="P152" s="150">
        <f t="shared" si="1"/>
        <v>139</v>
      </c>
      <c r="Q152" s="78" t="s">
        <v>5</v>
      </c>
      <c r="R152"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474-SEN-09673</v>
      </c>
      <c r="S152" s="133" t="str">
        <f>HYPERLINK("https://www.mouser.com/ProductDetail/" &amp;MouserListTable[[#This Row],[Mouser SKU]])</f>
        <v>https://www.mouser.com/ProductDetail/474-SEN-09673</v>
      </c>
      <c r="T152" s="94">
        <v>0</v>
      </c>
      <c r="U152" s="94">
        <v>0</v>
      </c>
      <c r="V152" s="94">
        <v>0</v>
      </c>
      <c r="W152" s="94">
        <f>MouserListTable[[#This Row],['#/Unit]]*FilterSpecs!$C$3+MouserListTable[[#This Row],[Extra]]</f>
        <v>0</v>
      </c>
      <c r="X152" s="94">
        <f>IF(MouserListTable[[#This Row],[Tag]]=FilterSpecs!$F$7,MouserListTable[[#This Row],['#/Unit]]*MouserListTable[[#This Row],[Price (USD)]],0)</f>
        <v>0</v>
      </c>
      <c r="Y152" s="94">
        <f>MouserListTable[[#This Row],[Tot '#]]*MouserListTable[[#This Row],[Price (USD)]]</f>
        <v>0</v>
      </c>
      <c r="Z152"/>
    </row>
    <row r="153" spans="1:26" s="106" customFormat="1" x14ac:dyDescent="0.25">
      <c r="A153" s="97" t="s">
        <v>887</v>
      </c>
      <c r="B153" s="97" t="s">
        <v>11</v>
      </c>
      <c r="C153" s="78" t="s">
        <v>1892</v>
      </c>
      <c r="D153" s="81" t="str">
        <f>IF(MouserListTable[[#This Row],[Vendor]]=FilterSpecs!$A$8,MouserListTable[[#This Row],[Mouser SKU]], MouserListTable[[#This Row],[Supplier SKU]])</f>
        <v>474-SEN-09376</v>
      </c>
      <c r="E153" s="94">
        <f>MouserListTable[[#This Row],[Tot '#]]-MouserListTable[[#This Row],['# Initial]]</f>
        <v>0</v>
      </c>
      <c r="F153" s="94">
        <f>IF(AND(MouserListTable[[#This Row],[Tag]]&lt;&gt;FilterSpecs!$F$12, MouserListTable[[#This Row],[Tag]]&lt;&gt;FilterSpecs!$F$9), MouserListTable[[#This Row],['#/Unit]]*FilterSpecs!$B$3+MouserListTable[[#This Row],[Extra Initial]],0)</f>
        <v>0</v>
      </c>
      <c r="G153" s="78" t="s">
        <v>669</v>
      </c>
      <c r="H153" s="150" t="s">
        <v>670</v>
      </c>
      <c r="I153" s="78" t="s">
        <v>671</v>
      </c>
      <c r="J153" s="78">
        <v>1</v>
      </c>
      <c r="K153" s="117">
        <v>9.9499999999999993</v>
      </c>
      <c r="L153" s="78" t="s">
        <v>1896</v>
      </c>
      <c r="N153" s="154">
        <f>MouserListTable[[#This Row],['# Initial]]*MouserListTable[[#This Row],[Price (USD)]]</f>
        <v>0</v>
      </c>
      <c r="O153" s="81" t="s">
        <v>668</v>
      </c>
      <c r="P153" s="150">
        <f t="shared" si="1"/>
        <v>140</v>
      </c>
      <c r="Q153" s="78" t="s">
        <v>5</v>
      </c>
      <c r="R153"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474-SEN-09376</v>
      </c>
      <c r="S153" s="133" t="str">
        <f>HYPERLINK("https://www.mouser.com/ProductDetail/" &amp;MouserListTable[[#This Row],[Mouser SKU]])</f>
        <v>https://www.mouser.com/ProductDetail/474-SEN-09376</v>
      </c>
      <c r="T153" s="94">
        <v>0</v>
      </c>
      <c r="U153" s="94">
        <v>0</v>
      </c>
      <c r="V153" s="94">
        <v>0</v>
      </c>
      <c r="W153" s="94">
        <f>MouserListTable[[#This Row],['#/Unit]]*FilterSpecs!$C$3+MouserListTable[[#This Row],[Extra]]</f>
        <v>0</v>
      </c>
      <c r="X153" s="94">
        <f>IF(MouserListTable[[#This Row],[Tag]]=FilterSpecs!$F$7,MouserListTable[[#This Row],['#/Unit]]*MouserListTable[[#This Row],[Price (USD)]],0)</f>
        <v>0</v>
      </c>
      <c r="Y153" s="94">
        <f>MouserListTable[[#This Row],[Tot '#]]*MouserListTable[[#This Row],[Price (USD)]]</f>
        <v>0</v>
      </c>
      <c r="Z153"/>
    </row>
    <row r="154" spans="1:26" s="106" customFormat="1" x14ac:dyDescent="0.25">
      <c r="A154" s="78" t="s">
        <v>887</v>
      </c>
      <c r="B154" s="78" t="s">
        <v>11</v>
      </c>
      <c r="C154" s="78" t="s">
        <v>1892</v>
      </c>
      <c r="D154" s="81" t="str">
        <f>IF(MouserListTable[[#This Row],[Vendor]]=FilterSpecs!$A$8,MouserListTable[[#This Row],[Mouser SKU]], MouserListTable[[#This Row],[Supplier SKU]])</f>
        <v>485-1075</v>
      </c>
      <c r="E154" s="94">
        <f>MouserListTable[[#This Row],[Tot '#]]-MouserListTable[[#This Row],['# Initial]]</f>
        <v>4</v>
      </c>
      <c r="F154" s="94">
        <f>IF(AND(MouserListTable[[#This Row],[Tag]]&lt;&gt;FilterSpecs!$F$12, MouserListTable[[#This Row],[Tag]]&lt;&gt;FilterSpecs!$F$9), MouserListTable[[#This Row],['#/Unit]]*FilterSpecs!$B$3+MouserListTable[[#This Row],[Extra Initial]],0)</f>
        <v>0</v>
      </c>
      <c r="G154" s="78"/>
      <c r="H154" s="150"/>
      <c r="I154" s="78" t="s">
        <v>2313</v>
      </c>
      <c r="J154" s="78"/>
      <c r="K154" s="117">
        <v>7.95</v>
      </c>
      <c r="L154" s="78" t="s">
        <v>1896</v>
      </c>
      <c r="M154" s="81"/>
      <c r="N154" s="154">
        <f>MouserListTable[[#This Row],['# Initial]]*MouserListTable[[#This Row],[Price (USD)]]</f>
        <v>0</v>
      </c>
      <c r="O154" s="81" t="s">
        <v>2312</v>
      </c>
      <c r="P154" s="150">
        <f t="shared" ref="P154:P217" si="2">IF($P153="List #",1,$P153+1)</f>
        <v>141</v>
      </c>
      <c r="Q154" s="78" t="s">
        <v>1884</v>
      </c>
      <c r="R154"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485-1075</v>
      </c>
      <c r="S154" s="133" t="str">
        <f>HYPERLINK("https://www.mouser.com/ProductDetail/" &amp;MouserListTable[[#This Row],[Mouser SKU]])</f>
        <v>https://www.mouser.com/ProductDetail/485-1075</v>
      </c>
      <c r="T154" s="94">
        <v>0</v>
      </c>
      <c r="U154" s="94">
        <v>4</v>
      </c>
      <c r="V154" s="94">
        <v>0</v>
      </c>
      <c r="W154" s="94">
        <f>MouserListTable[[#This Row],['#/Unit]]*FilterSpecs!$C$3+MouserListTable[[#This Row],[Extra]]</f>
        <v>4</v>
      </c>
      <c r="X154" s="94">
        <f>IF(MouserListTable[[#This Row],[Tag]]=FilterSpecs!$F$7,MouserListTable[[#This Row],['#/Unit]]*MouserListTable[[#This Row],[Price (USD)]],0)</f>
        <v>0</v>
      </c>
      <c r="Y154" s="94">
        <f>MouserListTable[[#This Row],[Tot '#]]*MouserListTable[[#This Row],[Price (USD)]]</f>
        <v>31.8</v>
      </c>
      <c r="Z154"/>
    </row>
    <row r="155" spans="1:26" s="106" customFormat="1" x14ac:dyDescent="0.25">
      <c r="A155" s="97" t="s">
        <v>887</v>
      </c>
      <c r="B155" s="97" t="s">
        <v>11</v>
      </c>
      <c r="C155" s="78" t="s">
        <v>1892</v>
      </c>
      <c r="D155" s="81" t="str">
        <f>IF(MouserListTable[[#This Row],[Vendor]]=FilterSpecs!$A$8,MouserListTable[[#This Row],[Mouser SKU]], MouserListTable[[#This Row],[Supplier SKU]])</f>
        <v>474-SEN-09375</v>
      </c>
      <c r="E155" s="94">
        <f>MouserListTable[[#This Row],[Tot '#]]-MouserListTable[[#This Row],['# Initial]]</f>
        <v>0</v>
      </c>
      <c r="F155" s="94">
        <f>IF(AND(MouserListTable[[#This Row],[Tag]]&lt;&gt;FilterSpecs!$F$12, MouserListTable[[#This Row],[Tag]]&lt;&gt;FilterSpecs!$F$9), MouserListTable[[#This Row],['#/Unit]]*FilterSpecs!$B$3+MouserListTable[[#This Row],[Extra Initial]],0)</f>
        <v>0</v>
      </c>
      <c r="G155" s="78" t="s">
        <v>1409</v>
      </c>
      <c r="H155" s="150" t="s">
        <v>1410</v>
      </c>
      <c r="I155" s="78" t="s">
        <v>1411</v>
      </c>
      <c r="J155" s="78">
        <v>1</v>
      </c>
      <c r="K155" s="117">
        <v>6.95</v>
      </c>
      <c r="L155" s="78" t="s">
        <v>1896</v>
      </c>
      <c r="N155" s="154">
        <f>MouserListTable[[#This Row],['# Initial]]*MouserListTable[[#This Row],[Price (USD)]]</f>
        <v>0</v>
      </c>
      <c r="O155" s="81" t="s">
        <v>1408</v>
      </c>
      <c r="P155" s="150">
        <f t="shared" si="2"/>
        <v>142</v>
      </c>
      <c r="Q155" s="78" t="s">
        <v>5</v>
      </c>
      <c r="R155"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474-SEN-09375</v>
      </c>
      <c r="S155" s="133" t="str">
        <f>HYPERLINK("https://www.mouser.com/ProductDetail/" &amp;MouserListTable[[#This Row],[Mouser SKU]])</f>
        <v>https://www.mouser.com/ProductDetail/474-SEN-09375</v>
      </c>
      <c r="T155" s="94">
        <v>0</v>
      </c>
      <c r="U155" s="94">
        <v>0</v>
      </c>
      <c r="V155" s="94">
        <v>0</v>
      </c>
      <c r="W155" s="94">
        <f>MouserListTable[[#This Row],['#/Unit]]*FilterSpecs!$C$3+MouserListTable[[#This Row],[Extra]]</f>
        <v>0</v>
      </c>
      <c r="X155" s="94">
        <f>IF(MouserListTable[[#This Row],[Tag]]=FilterSpecs!$F$7,MouserListTable[[#This Row],['#/Unit]]*MouserListTable[[#This Row],[Price (USD)]],0)</f>
        <v>0</v>
      </c>
      <c r="Y155" s="94">
        <f>MouserListTable[[#This Row],[Tot '#]]*MouserListTable[[#This Row],[Price (USD)]]</f>
        <v>0</v>
      </c>
      <c r="Z155"/>
    </row>
    <row r="156" spans="1:26" s="106" customFormat="1" x14ac:dyDescent="0.25">
      <c r="A156" s="97" t="s">
        <v>887</v>
      </c>
      <c r="B156" s="97" t="s">
        <v>11</v>
      </c>
      <c r="C156" s="78" t="s">
        <v>1892</v>
      </c>
      <c r="D156" s="81" t="str">
        <f>IF(MouserListTable[[#This Row],[Vendor]]=FilterSpecs!$A$8,MouserListTable[[#This Row],[Mouser SKU]], MouserListTable[[#This Row],[Supplier SKU]])</f>
        <v>474-SEN-08606</v>
      </c>
      <c r="E156" s="94">
        <f>MouserListTable[[#This Row],[Tot '#]]-MouserListTable[[#This Row],['# Initial]]</f>
        <v>0</v>
      </c>
      <c r="F156" s="94">
        <f>IF(AND(MouserListTable[[#This Row],[Tag]]&lt;&gt;FilterSpecs!$F$12, MouserListTable[[#This Row],[Tag]]&lt;&gt;FilterSpecs!$F$9), MouserListTable[[#This Row],['#/Unit]]*FilterSpecs!$B$3+MouserListTable[[#This Row],[Extra Initial]],0)</f>
        <v>0</v>
      </c>
      <c r="G156" s="78" t="s">
        <v>1413</v>
      </c>
      <c r="H156" s="150" t="s">
        <v>1414</v>
      </c>
      <c r="I156" s="78" t="s">
        <v>1415</v>
      </c>
      <c r="J156" s="78">
        <v>1</v>
      </c>
      <c r="K156" s="117">
        <v>12.95</v>
      </c>
      <c r="L156" s="78" t="s">
        <v>1896</v>
      </c>
      <c r="N156" s="154">
        <f>MouserListTable[[#This Row],['# Initial]]*MouserListTable[[#This Row],[Price (USD)]]</f>
        <v>0</v>
      </c>
      <c r="O156" s="81" t="s">
        <v>1412</v>
      </c>
      <c r="P156" s="150">
        <f t="shared" si="2"/>
        <v>143</v>
      </c>
      <c r="Q156" s="78" t="s">
        <v>5</v>
      </c>
      <c r="R156"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474-SEN-08606</v>
      </c>
      <c r="S156" s="133" t="str">
        <f>HYPERLINK("https://www.mouser.com/ProductDetail/" &amp;MouserListTable[[#This Row],[Mouser SKU]])</f>
        <v>https://www.mouser.com/ProductDetail/474-SEN-08606</v>
      </c>
      <c r="T156" s="94">
        <v>0</v>
      </c>
      <c r="U156" s="94">
        <v>0</v>
      </c>
      <c r="V156" s="94">
        <v>0</v>
      </c>
      <c r="W156" s="94">
        <f>MouserListTable[[#This Row],['#/Unit]]*FilterSpecs!$C$3+MouserListTable[[#This Row],[Extra]]</f>
        <v>0</v>
      </c>
      <c r="X156" s="94">
        <f>IF(MouserListTable[[#This Row],[Tag]]=FilterSpecs!$F$7,MouserListTable[[#This Row],['#/Unit]]*MouserListTable[[#This Row],[Price (USD)]],0)</f>
        <v>0</v>
      </c>
      <c r="Y156" s="94">
        <f>MouserListTable[[#This Row],[Tot '#]]*MouserListTable[[#This Row],[Price (USD)]]</f>
        <v>0</v>
      </c>
      <c r="Z156"/>
    </row>
    <row r="157" spans="1:26" s="106" customFormat="1" x14ac:dyDescent="0.25">
      <c r="A157" s="97" t="s">
        <v>887</v>
      </c>
      <c r="B157" s="97" t="s">
        <v>11</v>
      </c>
      <c r="C157" s="78" t="s">
        <v>1892</v>
      </c>
      <c r="D157" s="81" t="str">
        <f>IF(MouserListTable[[#This Row],[Vendor]]=FilterSpecs!$A$8,MouserListTable[[#This Row],[Mouser SKU]], MouserListTable[[#This Row],[Supplier SKU]])</f>
        <v>474-SEN-10293</v>
      </c>
      <c r="E157" s="94">
        <f>MouserListTable[[#This Row],[Tot '#]]-MouserListTable[[#This Row],['# Initial]]</f>
        <v>0</v>
      </c>
      <c r="F157" s="94">
        <f>IF(AND(MouserListTable[[#This Row],[Tag]]&lt;&gt;FilterSpecs!$F$12, MouserListTable[[#This Row],[Tag]]&lt;&gt;FilterSpecs!$F$9), MouserListTable[[#This Row],['#/Unit]]*FilterSpecs!$B$3+MouserListTable[[#This Row],[Extra Initial]],0)</f>
        <v>0</v>
      </c>
      <c r="G157" s="78" t="s">
        <v>713</v>
      </c>
      <c r="H157" s="150" t="s">
        <v>714</v>
      </c>
      <c r="I157" s="78" t="s">
        <v>715</v>
      </c>
      <c r="J157" s="78">
        <v>1</v>
      </c>
      <c r="K157" s="117">
        <v>1.5</v>
      </c>
      <c r="L157" s="78" t="s">
        <v>1899</v>
      </c>
      <c r="N157" s="154">
        <f>MouserListTable[[#This Row],['# Initial]]*MouserListTable[[#This Row],[Price (USD)]]</f>
        <v>0</v>
      </c>
      <c r="O157" s="81" t="s">
        <v>712</v>
      </c>
      <c r="P157" s="150">
        <f t="shared" si="2"/>
        <v>144</v>
      </c>
      <c r="Q157" s="78" t="s">
        <v>5</v>
      </c>
      <c r="R157"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474-SEN-10293</v>
      </c>
      <c r="S157" s="133" t="str">
        <f>HYPERLINK("https://www.mouser.com/ProductDetail/" &amp;MouserListTable[[#This Row],[Mouser SKU]])</f>
        <v>https://www.mouser.com/ProductDetail/474-SEN-10293</v>
      </c>
      <c r="T157" s="94">
        <v>0</v>
      </c>
      <c r="U157" s="94">
        <v>0</v>
      </c>
      <c r="V157" s="94">
        <v>0</v>
      </c>
      <c r="W157" s="94">
        <f>MouserListTable[[#This Row],['#/Unit]]*FilterSpecs!$C$3+MouserListTable[[#This Row],[Extra]]</f>
        <v>0</v>
      </c>
      <c r="X157" s="94">
        <f>IF(MouserListTable[[#This Row],[Tag]]=FilterSpecs!$F$7,MouserListTable[[#This Row],['#/Unit]]*MouserListTable[[#This Row],[Price (USD)]],0)</f>
        <v>0</v>
      </c>
      <c r="Y157" s="94">
        <f>MouserListTable[[#This Row],[Tot '#]]*MouserListTable[[#This Row],[Price (USD)]]</f>
        <v>0</v>
      </c>
      <c r="Z157"/>
    </row>
    <row r="158" spans="1:26" s="106" customFormat="1" x14ac:dyDescent="0.25">
      <c r="A158" s="97" t="s">
        <v>887</v>
      </c>
      <c r="B158" s="97" t="s">
        <v>11</v>
      </c>
      <c r="C158" s="78" t="s">
        <v>1892</v>
      </c>
      <c r="D158" s="81" t="str">
        <f>IF(MouserListTable[[#This Row],[Vendor]]=FilterSpecs!$A$8,MouserListTable[[#This Row],[Mouser SKU]], MouserListTable[[#This Row],[Supplier SKU]])</f>
        <v>485-1739</v>
      </c>
      <c r="E158" s="94">
        <f>MouserListTable[[#This Row],[Tot '#]]-MouserListTable[[#This Row],['# Initial]]</f>
        <v>0</v>
      </c>
      <c r="F158" s="94">
        <f>IF(AND(MouserListTable[[#This Row],[Tag]]&lt;&gt;FilterSpecs!$F$12, MouserListTable[[#This Row],[Tag]]&lt;&gt;FilterSpecs!$F$9), MouserListTable[[#This Row],['#/Unit]]*FilterSpecs!$B$3+MouserListTable[[#This Row],[Extra Initial]],0)</f>
        <v>0</v>
      </c>
      <c r="G158" s="78"/>
      <c r="H158" s="150"/>
      <c r="I158" s="78" t="s">
        <v>2309</v>
      </c>
      <c r="J158" s="78"/>
      <c r="K158" s="117">
        <v>0.95</v>
      </c>
      <c r="L158" s="78" t="s">
        <v>1896</v>
      </c>
      <c r="N158" s="154">
        <f>MouserListTable[[#This Row],['# Initial]]*MouserListTable[[#This Row],[Price (USD)]]</f>
        <v>0</v>
      </c>
      <c r="O158" s="81" t="s">
        <v>2308</v>
      </c>
      <c r="P158" s="150">
        <f t="shared" si="2"/>
        <v>145</v>
      </c>
      <c r="Q158" s="78" t="s">
        <v>1884</v>
      </c>
      <c r="R158"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485-1739</v>
      </c>
      <c r="S158" s="133" t="str">
        <f>HYPERLINK("https://www.mouser.com/ProductDetail/" &amp;MouserListTable[[#This Row],[Mouser SKU]])</f>
        <v>https://www.mouser.com/ProductDetail/485-1739</v>
      </c>
      <c r="T158" s="94">
        <v>0</v>
      </c>
      <c r="U158" s="94">
        <v>0</v>
      </c>
      <c r="V158" s="94">
        <v>0</v>
      </c>
      <c r="W158" s="94">
        <f>MouserListTable[[#This Row],['#/Unit]]*FilterSpecs!$C$3+MouserListTable[[#This Row],[Extra]]</f>
        <v>0</v>
      </c>
      <c r="X158" s="94">
        <f>IF(MouserListTable[[#This Row],[Tag]]=FilterSpecs!$F$7,MouserListTable[[#This Row],['#/Unit]]*MouserListTable[[#This Row],[Price (USD)]],0)</f>
        <v>0</v>
      </c>
      <c r="Y158" s="94">
        <f>MouserListTable[[#This Row],[Tot '#]]*MouserListTable[[#This Row],[Price (USD)]]</f>
        <v>0</v>
      </c>
      <c r="Z158"/>
    </row>
    <row r="159" spans="1:26" s="106" customFormat="1" x14ac:dyDescent="0.25">
      <c r="A159" s="78" t="s">
        <v>887</v>
      </c>
      <c r="B159" s="78" t="s">
        <v>11</v>
      </c>
      <c r="C159" s="78" t="s">
        <v>1892</v>
      </c>
      <c r="D159" s="81" t="str">
        <f>IF(MouserListTable[[#This Row],[Vendor]]=FilterSpecs!$A$8,MouserListTable[[#This Row],[Mouser SKU]], MouserListTable[[#This Row],[Supplier SKU]])</f>
        <v>474-SEN-10289</v>
      </c>
      <c r="E159" s="94">
        <f>MouserListTable[[#This Row],[Tot '#]]-MouserListTable[[#This Row],['# Initial]]</f>
        <v>0</v>
      </c>
      <c r="F159" s="94">
        <f>IF(AND(MouserListTable[[#This Row],[Tag]]&lt;&gt;FilterSpecs!$F$12, MouserListTable[[#This Row],[Tag]]&lt;&gt;FilterSpecs!$F$9), MouserListTable[[#This Row],['#/Unit]]*FilterSpecs!$B$3+MouserListTable[[#This Row],[Extra Initial]],0)</f>
        <v>5</v>
      </c>
      <c r="G159" s="78" t="s">
        <v>283</v>
      </c>
      <c r="H159" s="150" t="s">
        <v>284</v>
      </c>
      <c r="I159" s="78" t="s">
        <v>285</v>
      </c>
      <c r="J159" s="78">
        <v>1</v>
      </c>
      <c r="K159" s="117">
        <v>1.95</v>
      </c>
      <c r="L159" s="78" t="s">
        <v>1897</v>
      </c>
      <c r="M159" s="81"/>
      <c r="N159" s="154">
        <f>MouserListTable[[#This Row],['# Initial]]*MouserListTable[[#This Row],[Price (USD)]]</f>
        <v>9.75</v>
      </c>
      <c r="O159" s="81" t="s">
        <v>282</v>
      </c>
      <c r="P159" s="150">
        <f t="shared" si="2"/>
        <v>146</v>
      </c>
      <c r="Q159" s="78" t="s">
        <v>5</v>
      </c>
      <c r="R159"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474-SEN-10289</v>
      </c>
      <c r="S159" s="133" t="str">
        <f>HYPERLINK("https://www.mouser.com/ProductDetail/" &amp;MouserListTable[[#This Row],[Mouser SKU]])</f>
        <v>https://www.mouser.com/ProductDetail/474-SEN-10289</v>
      </c>
      <c r="T159" s="94">
        <v>1</v>
      </c>
      <c r="U159" s="94">
        <v>0</v>
      </c>
      <c r="V159" s="94">
        <v>0</v>
      </c>
      <c r="W159" s="94">
        <f>MouserListTable[[#This Row],['#/Unit]]*FilterSpecs!$C$3+MouserListTable[[#This Row],[Extra]]</f>
        <v>5</v>
      </c>
      <c r="X159" s="94">
        <f>IF(MouserListTable[[#This Row],[Tag]]=FilterSpecs!$F$7,MouserListTable[[#This Row],['#/Unit]]*MouserListTable[[#This Row],[Price (USD)]],0)</f>
        <v>1.95</v>
      </c>
      <c r="Y159" s="94">
        <f>MouserListTable[[#This Row],[Tot '#]]*MouserListTable[[#This Row],[Price (USD)]]</f>
        <v>9.75</v>
      </c>
      <c r="Z159"/>
    </row>
    <row r="160" spans="1:26" s="106" customFormat="1" x14ac:dyDescent="0.25">
      <c r="A160" s="97" t="s">
        <v>887</v>
      </c>
      <c r="B160" s="97" t="s">
        <v>11</v>
      </c>
      <c r="C160" s="78" t="s">
        <v>1892</v>
      </c>
      <c r="D160" s="81" t="str">
        <f>IF(MouserListTable[[#This Row],[Vendor]]=FilterSpecs!$A$8,MouserListTable[[#This Row],[Mouser SKU]], MouserListTable[[#This Row],[Supplier SKU]])</f>
        <v>485-1917</v>
      </c>
      <c r="E160" s="94">
        <f>MouserListTable[[#This Row],[Tot '#]]-MouserListTable[[#This Row],['# Initial]]</f>
        <v>0</v>
      </c>
      <c r="F160" s="94">
        <f>IF(AND(MouserListTable[[#This Row],[Tag]]&lt;&gt;FilterSpecs!$F$12, MouserListTable[[#This Row],[Tag]]&lt;&gt;FilterSpecs!$F$9), MouserListTable[[#This Row],['#/Unit]]*FilterSpecs!$B$3+MouserListTable[[#This Row],[Extra Initial]],0)</f>
        <v>0</v>
      </c>
      <c r="G160" s="78"/>
      <c r="H160" s="150"/>
      <c r="I160" s="78" t="s">
        <v>2305</v>
      </c>
      <c r="J160" s="78"/>
      <c r="K160" s="117">
        <v>18</v>
      </c>
      <c r="L160" s="78" t="s">
        <v>1896</v>
      </c>
      <c r="N160" s="154">
        <f>MouserListTable[[#This Row],['# Initial]]*MouserListTable[[#This Row],[Price (USD)]]</f>
        <v>0</v>
      </c>
      <c r="O160" s="81" t="s">
        <v>2304</v>
      </c>
      <c r="P160" s="150">
        <f t="shared" si="2"/>
        <v>147</v>
      </c>
      <c r="Q160" s="78" t="s">
        <v>1884</v>
      </c>
      <c r="R160"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485-1917</v>
      </c>
      <c r="S160" s="133" t="str">
        <f>HYPERLINK("https://www.mouser.com/ProductDetail/" &amp;MouserListTable[[#This Row],[Mouser SKU]])</f>
        <v>https://www.mouser.com/ProductDetail/485-1917</v>
      </c>
      <c r="T160" s="94">
        <v>0</v>
      </c>
      <c r="U160" s="94">
        <v>0</v>
      </c>
      <c r="V160" s="94">
        <v>0</v>
      </c>
      <c r="W160" s="94">
        <f>MouserListTable[[#This Row],['#/Unit]]*FilterSpecs!$C$3+MouserListTable[[#This Row],[Extra]]</f>
        <v>0</v>
      </c>
      <c r="X160" s="94">
        <f>IF(MouserListTable[[#This Row],[Tag]]=FilterSpecs!$F$7,MouserListTable[[#This Row],['#/Unit]]*MouserListTable[[#This Row],[Price (USD)]],0)</f>
        <v>0</v>
      </c>
      <c r="Y160" s="94">
        <f>MouserListTable[[#This Row],[Tot '#]]*MouserListTable[[#This Row],[Price (USD)]]</f>
        <v>0</v>
      </c>
      <c r="Z160"/>
    </row>
    <row r="161" spans="1:16382" s="106" customFormat="1" x14ac:dyDescent="0.25">
      <c r="A161" s="97" t="s">
        <v>887</v>
      </c>
      <c r="B161" s="97" t="s">
        <v>11</v>
      </c>
      <c r="C161" s="78" t="s">
        <v>1892</v>
      </c>
      <c r="D161" s="81" t="str">
        <f>IF(MouserListTable[[#This Row],[Vendor]]=FilterSpecs!$A$8,MouserListTable[[#This Row],[Mouser SKU]], MouserListTable[[#This Row],[Supplier SKU]])</f>
        <v>485-1361</v>
      </c>
      <c r="E161" s="94">
        <f>MouserListTable[[#This Row],[Tot '#]]-MouserListTable[[#This Row],['# Initial]]</f>
        <v>0</v>
      </c>
      <c r="F161" s="94">
        <f>IF(AND(MouserListTable[[#This Row],[Tag]]&lt;&gt;FilterSpecs!$F$12, MouserListTable[[#This Row],[Tag]]&lt;&gt;FilterSpecs!$F$9), MouserListTable[[#This Row],['#/Unit]]*FilterSpecs!$B$3+MouserListTable[[#This Row],[Extra Initial]],0)</f>
        <v>1</v>
      </c>
      <c r="G161" s="78"/>
      <c r="H161" s="150"/>
      <c r="I161" s="78" t="s">
        <v>2311</v>
      </c>
      <c r="J161" s="78"/>
      <c r="K161" s="117">
        <v>3.95</v>
      </c>
      <c r="L161" s="78" t="s">
        <v>1896</v>
      </c>
      <c r="M161" s="81"/>
      <c r="N161" s="154">
        <f>MouserListTable[[#This Row],['# Initial]]*MouserListTable[[#This Row],[Price (USD)]]</f>
        <v>3.95</v>
      </c>
      <c r="O161" s="81" t="s">
        <v>2310</v>
      </c>
      <c r="P161" s="150">
        <f t="shared" si="2"/>
        <v>148</v>
      </c>
      <c r="Q161" s="78" t="s">
        <v>1884</v>
      </c>
      <c r="R161"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485-1361</v>
      </c>
      <c r="S161" s="133" t="str">
        <f>HYPERLINK("https://www.mouser.com/ProductDetail/" &amp;MouserListTable[[#This Row],[Mouser SKU]])</f>
        <v>https://www.mouser.com/ProductDetail/485-1361</v>
      </c>
      <c r="T161" s="94">
        <v>0</v>
      </c>
      <c r="U161" s="94">
        <v>1</v>
      </c>
      <c r="V161" s="94">
        <v>1</v>
      </c>
      <c r="W161" s="94">
        <f>MouserListTable[[#This Row],['#/Unit]]*FilterSpecs!$C$3+MouserListTable[[#This Row],[Extra]]</f>
        <v>1</v>
      </c>
      <c r="X161" s="94">
        <f>IF(MouserListTable[[#This Row],[Tag]]=FilterSpecs!$F$7,MouserListTable[[#This Row],['#/Unit]]*MouserListTable[[#This Row],[Price (USD)]],0)</f>
        <v>0</v>
      </c>
      <c r="Y161" s="94">
        <f>MouserListTable[[#This Row],[Tot '#]]*MouserListTable[[#This Row],[Price (USD)]]</f>
        <v>3.95</v>
      </c>
      <c r="Z161"/>
    </row>
    <row r="162" spans="1:16382" s="106" customFormat="1" x14ac:dyDescent="0.25">
      <c r="A162" s="97" t="s">
        <v>887</v>
      </c>
      <c r="B162" s="97" t="s">
        <v>11</v>
      </c>
      <c r="C162" s="78" t="s">
        <v>1892</v>
      </c>
      <c r="D162" s="81" t="str">
        <f>IF(MouserListTable[[#This Row],[Vendor]]=FilterSpecs!$A$8,MouserListTable[[#This Row],[Mouser SKU]], MouserListTable[[#This Row],[Supplier SKU]])</f>
        <v>474-COM-14111</v>
      </c>
      <c r="E162" s="94">
        <f>MouserListTable[[#This Row],[Tot '#]]-MouserListTable[[#This Row],['# Initial]]</f>
        <v>0</v>
      </c>
      <c r="F162" s="94">
        <f>IF(AND(MouserListTable[[#This Row],[Tag]]&lt;&gt;FilterSpecs!$F$12, MouserListTable[[#This Row],[Tag]]&lt;&gt;FilterSpecs!$F$9), MouserListTable[[#This Row],['#/Unit]]*FilterSpecs!$B$3+MouserListTable[[#This Row],[Extra Initial]],0)</f>
        <v>2</v>
      </c>
      <c r="G162" s="78" t="s">
        <v>107</v>
      </c>
      <c r="H162" s="150" t="s">
        <v>108</v>
      </c>
      <c r="I162" s="78" t="s">
        <v>109</v>
      </c>
      <c r="J162" s="78">
        <v>1</v>
      </c>
      <c r="K162" s="117">
        <v>25</v>
      </c>
      <c r="L162" s="78" t="s">
        <v>1896</v>
      </c>
      <c r="M162" s="81"/>
      <c r="N162" s="154">
        <f>MouserListTable[[#This Row],['# Initial]]*MouserListTable[[#This Row],[Price (USD)]]</f>
        <v>50</v>
      </c>
      <c r="O162" s="81" t="s">
        <v>106</v>
      </c>
      <c r="P162" s="150">
        <f t="shared" si="2"/>
        <v>149</v>
      </c>
      <c r="Q162" s="78" t="s">
        <v>5</v>
      </c>
      <c r="R162"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474-COM-14111</v>
      </c>
      <c r="S162" s="133" t="str">
        <f>HYPERLINK("https://www.mouser.com/ProductDetail/" &amp;MouserListTable[[#This Row],[Mouser SKU]])</f>
        <v>https://www.mouser.com/ProductDetail/474-COM-14111</v>
      </c>
      <c r="T162" s="94">
        <v>0</v>
      </c>
      <c r="U162" s="94">
        <v>2</v>
      </c>
      <c r="V162" s="94">
        <v>2</v>
      </c>
      <c r="W162" s="94">
        <f>MouserListTable[[#This Row],['#/Unit]]*FilterSpecs!$C$3+MouserListTable[[#This Row],[Extra]]</f>
        <v>2</v>
      </c>
      <c r="X162" s="94">
        <f>IF(MouserListTable[[#This Row],[Tag]]=FilterSpecs!$F$7,MouserListTable[[#This Row],['#/Unit]]*MouserListTable[[#This Row],[Price (USD)]],0)</f>
        <v>0</v>
      </c>
      <c r="Y162" s="94">
        <f>MouserListTable[[#This Row],[Tot '#]]*MouserListTable[[#This Row],[Price (USD)]]</f>
        <v>50</v>
      </c>
      <c r="Z162"/>
    </row>
    <row r="163" spans="1:16382" s="106" customFormat="1" x14ac:dyDescent="0.25">
      <c r="A163" s="97" t="s">
        <v>887</v>
      </c>
      <c r="B163" s="97" t="s">
        <v>11</v>
      </c>
      <c r="C163" s="78" t="s">
        <v>1892</v>
      </c>
      <c r="D163" s="81" t="str">
        <f>IF(MouserListTable[[#This Row],[Vendor]]=FilterSpecs!$A$8,MouserListTable[[#This Row],[Mouser SKU]], MouserListTable[[#This Row],[Supplier SKU]])</f>
        <v>485-1168</v>
      </c>
      <c r="E163" s="94">
        <f>MouserListTable[[#This Row],[Tot '#]]-MouserListTable[[#This Row],['# Initial]]</f>
        <v>0</v>
      </c>
      <c r="F163" s="94">
        <f>IF(AND(MouserListTable[[#This Row],[Tag]]&lt;&gt;FilterSpecs!$F$12, MouserListTable[[#This Row],[Tag]]&lt;&gt;FilterSpecs!$F$9), MouserListTable[[#This Row],['#/Unit]]*FilterSpecs!$B$3+MouserListTable[[#This Row],[Extra Initial]],0)</f>
        <v>1</v>
      </c>
      <c r="G163" s="78"/>
      <c r="H163" s="150"/>
      <c r="I163" s="78" t="s">
        <v>2315</v>
      </c>
      <c r="J163" s="78"/>
      <c r="K163" s="117">
        <v>4.95</v>
      </c>
      <c r="L163" s="78" t="s">
        <v>1896</v>
      </c>
      <c r="M163" s="81"/>
      <c r="N163" s="154">
        <f>MouserListTable[[#This Row],['# Initial]]*MouserListTable[[#This Row],[Price (USD)]]</f>
        <v>4.95</v>
      </c>
      <c r="O163" s="81" t="s">
        <v>2314</v>
      </c>
      <c r="P163" s="150">
        <f t="shared" si="2"/>
        <v>150</v>
      </c>
      <c r="Q163" s="78" t="s">
        <v>1884</v>
      </c>
      <c r="R163"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485-1168</v>
      </c>
      <c r="S163" s="133" t="str">
        <f>HYPERLINK("https://www.mouser.com/ProductDetail/" &amp;MouserListTable[[#This Row],[Mouser SKU]])</f>
        <v>https://www.mouser.com/ProductDetail/485-1168</v>
      </c>
      <c r="T163" s="94">
        <v>0</v>
      </c>
      <c r="U163" s="94">
        <v>1</v>
      </c>
      <c r="V163" s="94">
        <v>1</v>
      </c>
      <c r="W163" s="94">
        <f>MouserListTable[[#This Row],['#/Unit]]*FilterSpecs!$C$3+MouserListTable[[#This Row],[Extra]]</f>
        <v>1</v>
      </c>
      <c r="X163" s="94">
        <f>IF(MouserListTable[[#This Row],[Tag]]=FilterSpecs!$F$7,MouserListTable[[#This Row],['#/Unit]]*MouserListTable[[#This Row],[Price (USD)]],0)</f>
        <v>0</v>
      </c>
      <c r="Y163" s="94">
        <f>MouserListTable[[#This Row],[Tot '#]]*MouserListTable[[#This Row],[Price (USD)]]</f>
        <v>4.95</v>
      </c>
      <c r="Z163"/>
    </row>
    <row r="164" spans="1:16382" s="153" customFormat="1" x14ac:dyDescent="0.25">
      <c r="A164" s="97" t="s">
        <v>887</v>
      </c>
      <c r="B164" s="97" t="s">
        <v>11</v>
      </c>
      <c r="C164" s="150" t="s">
        <v>1892</v>
      </c>
      <c r="D164" s="151" t="str">
        <f>IF(MouserListTable[[#This Row],[Vendor]]=FilterSpecs!$A$8,MouserListTable[[#This Row],[Mouser SKU]], MouserListTable[[#This Row],[Supplier SKU]])</f>
        <v>474-SEN-12041</v>
      </c>
      <c r="E164" s="152">
        <f>MouserListTable[[#This Row],[Tot '#]]-MouserListTable[[#This Row],['# Initial]]</f>
        <v>0</v>
      </c>
      <c r="F164" s="152">
        <f>IF(AND(MouserListTable[[#This Row],[Tag]]&lt;&gt;FilterSpecs!$F$12, MouserListTable[[#This Row],[Tag]]&lt;&gt;FilterSpecs!$F$9), MouserListTable[[#This Row],['#/Unit]]*FilterSpecs!$B$3+MouserListTable[[#This Row],[Extra Initial]],0)</f>
        <v>0</v>
      </c>
      <c r="G164" s="147" t="s">
        <v>1205</v>
      </c>
      <c r="H164" s="150" t="s">
        <v>1206</v>
      </c>
      <c r="I164" s="150" t="s">
        <v>1207</v>
      </c>
      <c r="J164" s="147">
        <v>5.95</v>
      </c>
      <c r="K164" s="150">
        <v>5.95</v>
      </c>
      <c r="L164" s="150" t="s">
        <v>1896</v>
      </c>
      <c r="M164" s="150"/>
      <c r="N164" s="154">
        <f>MouserListTable[[#This Row],['# Initial]]*MouserListTable[[#This Row],[Price (USD)]]</f>
        <v>0</v>
      </c>
      <c r="O164" s="150" t="s">
        <v>1204</v>
      </c>
      <c r="P164" s="150">
        <f t="shared" si="2"/>
        <v>151</v>
      </c>
      <c r="Q164" s="150" t="s">
        <v>5</v>
      </c>
      <c r="R16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474-SEN-12041</v>
      </c>
      <c r="S164" s="157" t="str">
        <f>HYPERLINK("https://www.mouser.com/ProductDetail/" &amp;MouserListTable[[#This Row],[Mouser SKU]])</f>
        <v>https://www.mouser.com/ProductDetail/474-SEN-12041</v>
      </c>
      <c r="T164" s="146"/>
      <c r="U164" s="146"/>
      <c r="V164" s="146"/>
      <c r="W164" s="146"/>
      <c r="X164" s="146"/>
      <c r="Y164" s="146"/>
      <c r="Z164" s="146"/>
      <c r="AA164" s="146"/>
      <c r="AB164" s="146"/>
      <c r="AC164" s="146"/>
      <c r="AD164" s="146"/>
      <c r="AE164" s="146"/>
      <c r="AF164" s="146"/>
      <c r="AG164" s="146"/>
      <c r="AH164" s="146"/>
      <c r="AI164" s="146"/>
      <c r="AJ164" s="146"/>
      <c r="AK164" s="146"/>
      <c r="AL164" s="146"/>
      <c r="AM164" s="146"/>
      <c r="AN164" s="146"/>
      <c r="AO164" s="146"/>
      <c r="AP164" s="146"/>
      <c r="AQ164" s="146"/>
      <c r="AR164" s="146"/>
      <c r="AS164" s="146"/>
      <c r="AT164" s="146"/>
      <c r="AU164" s="146"/>
      <c r="AV164" s="146"/>
      <c r="AW164" s="146"/>
      <c r="AX164" s="146"/>
      <c r="AY164" s="146"/>
      <c r="AZ164" s="146"/>
      <c r="BA164" s="146"/>
      <c r="BB164" s="146"/>
      <c r="BC164" s="146"/>
      <c r="BD164" s="146"/>
      <c r="BE164" s="146"/>
      <c r="BF164" s="146"/>
      <c r="BG164" s="146"/>
      <c r="BH164" s="146"/>
      <c r="BI164" s="146"/>
      <c r="BJ164" s="146"/>
      <c r="BK164" s="146"/>
      <c r="BL164" s="146"/>
      <c r="BM164" s="146"/>
      <c r="BN164" s="146"/>
      <c r="BO164" s="146"/>
      <c r="BP164" s="146"/>
      <c r="BQ164" s="146"/>
      <c r="BR164" s="146"/>
      <c r="BS164" s="146"/>
      <c r="BT164" s="146"/>
      <c r="BU164" s="146"/>
      <c r="BV164" s="146"/>
      <c r="BW164" s="146"/>
      <c r="BX164" s="146"/>
      <c r="BY164" s="146"/>
      <c r="BZ164" s="146"/>
      <c r="CA164" s="146"/>
      <c r="CB164" s="146"/>
      <c r="CC164" s="146"/>
      <c r="CD164" s="146"/>
      <c r="CE164" s="146"/>
      <c r="CF164" s="146"/>
      <c r="CG164" s="146"/>
      <c r="CH164" s="146"/>
      <c r="CI164" s="146"/>
      <c r="CJ164" s="146"/>
      <c r="CK164" s="146"/>
      <c r="CL164" s="146"/>
      <c r="CM164" s="146"/>
      <c r="CN164" s="146"/>
      <c r="CO164" s="146"/>
      <c r="CP164" s="146"/>
      <c r="CQ164" s="146"/>
      <c r="CR164" s="146"/>
      <c r="CS164" s="146"/>
      <c r="CT164" s="146"/>
      <c r="CU164" s="146"/>
      <c r="CV164" s="146"/>
      <c r="CW164" s="146"/>
      <c r="CX164" s="146"/>
      <c r="CY164" s="146"/>
      <c r="CZ164" s="146"/>
      <c r="DA164" s="146"/>
      <c r="DB164" s="146"/>
      <c r="DC164" s="146"/>
      <c r="DD164" s="146"/>
      <c r="DE164" s="146"/>
      <c r="DF164" s="146"/>
      <c r="DG164" s="146"/>
      <c r="DH164" s="146"/>
      <c r="DI164" s="146"/>
      <c r="DJ164" s="146"/>
      <c r="DK164" s="146"/>
      <c r="DL164" s="146"/>
      <c r="DM164" s="146"/>
      <c r="DN164" s="146"/>
      <c r="DO164" s="146"/>
      <c r="DP164" s="146"/>
      <c r="DQ164" s="146"/>
      <c r="DR164" s="146"/>
      <c r="DS164" s="146"/>
      <c r="DT164" s="146"/>
      <c r="DU164" s="146"/>
      <c r="DV164" s="146"/>
      <c r="DW164" s="146"/>
      <c r="DX164" s="146"/>
      <c r="DY164" s="146"/>
      <c r="DZ164" s="146"/>
      <c r="EA164" s="146"/>
      <c r="EB164" s="146"/>
      <c r="EC164" s="146"/>
      <c r="ED164" s="146"/>
      <c r="EE164" s="146"/>
      <c r="EF164" s="146"/>
      <c r="EG164" s="146"/>
      <c r="EH164" s="146"/>
      <c r="EI164" s="146"/>
      <c r="EJ164" s="146"/>
      <c r="EK164" s="146"/>
      <c r="EL164" s="146"/>
      <c r="EM164" s="146"/>
      <c r="EN164" s="146"/>
      <c r="EO164" s="146"/>
      <c r="EP164" s="146"/>
      <c r="EQ164" s="146"/>
      <c r="ER164" s="146"/>
      <c r="ES164" s="146"/>
      <c r="ET164" s="146"/>
      <c r="EU164" s="146"/>
      <c r="EV164" s="146"/>
      <c r="EW164" s="146"/>
      <c r="EX164" s="146"/>
      <c r="EY164" s="146"/>
      <c r="EZ164" s="146"/>
      <c r="FA164" s="146"/>
      <c r="FB164" s="146"/>
      <c r="FC164" s="146"/>
      <c r="FD164" s="146"/>
      <c r="FE164" s="146"/>
      <c r="FF164" s="146"/>
      <c r="FG164" s="146"/>
      <c r="FH164" s="146"/>
      <c r="FI164" s="146"/>
      <c r="FJ164" s="146"/>
      <c r="FK164" s="146"/>
      <c r="FL164" s="146"/>
      <c r="FM164" s="146"/>
      <c r="FN164" s="146"/>
      <c r="FO164" s="146"/>
      <c r="FP164" s="146"/>
      <c r="FQ164" s="146"/>
      <c r="FR164" s="146"/>
      <c r="FS164" s="146"/>
      <c r="FT164" s="146"/>
      <c r="FU164" s="146"/>
      <c r="FV164" s="146"/>
      <c r="FW164" s="146"/>
      <c r="FX164" s="146"/>
      <c r="FY164" s="146"/>
      <c r="FZ164" s="146"/>
      <c r="GA164" s="146"/>
      <c r="GB164" s="146"/>
      <c r="GC164" s="146"/>
      <c r="GD164" s="146"/>
      <c r="GE164" s="146"/>
      <c r="GF164" s="146"/>
      <c r="GG164" s="146"/>
      <c r="GH164" s="146"/>
      <c r="GI164" s="146"/>
      <c r="GJ164" s="146"/>
      <c r="GK164" s="146"/>
      <c r="GL164" s="146"/>
      <c r="GM164" s="146"/>
      <c r="GN164" s="146"/>
      <c r="GO164" s="146"/>
      <c r="GP164" s="146"/>
      <c r="GQ164" s="146"/>
      <c r="GR164" s="146"/>
      <c r="GS164" s="146"/>
      <c r="GT164" s="146"/>
      <c r="GU164" s="146"/>
      <c r="GV164" s="146"/>
      <c r="GW164" s="146"/>
      <c r="GX164" s="146"/>
      <c r="GY164" s="146"/>
      <c r="GZ164" s="146"/>
      <c r="HA164" s="146"/>
      <c r="HB164" s="146"/>
      <c r="HC164" s="146"/>
      <c r="HD164" s="146"/>
      <c r="HE164" s="146"/>
      <c r="HF164" s="146"/>
      <c r="HG164" s="146"/>
      <c r="HH164" s="146"/>
      <c r="HI164" s="146"/>
      <c r="HJ164" s="146"/>
      <c r="HK164" s="146"/>
      <c r="HL164" s="146"/>
      <c r="HM164" s="146"/>
      <c r="HN164" s="146"/>
      <c r="HO164" s="146"/>
      <c r="HP164" s="146"/>
      <c r="HQ164" s="146"/>
      <c r="HR164" s="146"/>
      <c r="HS164" s="146"/>
      <c r="HT164" s="146"/>
      <c r="HU164" s="146"/>
      <c r="HV164" s="146"/>
      <c r="HW164" s="146"/>
      <c r="HX164" s="146"/>
      <c r="HY164" s="146"/>
      <c r="HZ164" s="146"/>
      <c r="IA164" s="146"/>
      <c r="IB164" s="146"/>
      <c r="IC164" s="146"/>
      <c r="ID164" s="146"/>
      <c r="IE164" s="146"/>
      <c r="IF164" s="146"/>
      <c r="IG164" s="146"/>
      <c r="IH164" s="146"/>
      <c r="II164" s="146"/>
      <c r="IJ164" s="146"/>
      <c r="IK164" s="146"/>
      <c r="IL164" s="146"/>
      <c r="IM164" s="146"/>
      <c r="IN164" s="146"/>
      <c r="IO164" s="146"/>
      <c r="IP164" s="146"/>
      <c r="IQ164" s="146"/>
      <c r="IR164" s="146"/>
      <c r="IS164" s="146"/>
      <c r="IT164" s="146"/>
      <c r="IU164" s="146"/>
      <c r="IV164" s="146"/>
      <c r="IW164" s="146"/>
      <c r="IX164" s="146"/>
      <c r="IY164" s="146"/>
      <c r="IZ164" s="146"/>
      <c r="JA164" s="146"/>
      <c r="JB164" s="146"/>
      <c r="JC164" s="146"/>
      <c r="JD164" s="146"/>
      <c r="JE164" s="146"/>
      <c r="JF164" s="146"/>
      <c r="JG164" s="146"/>
      <c r="JH164" s="146"/>
      <c r="JI164" s="146"/>
      <c r="JJ164" s="146"/>
      <c r="JK164" s="146"/>
      <c r="JL164" s="146"/>
      <c r="JM164" s="146"/>
      <c r="JN164" s="146"/>
      <c r="JO164" s="146"/>
      <c r="JP164" s="146"/>
      <c r="JQ164" s="146"/>
      <c r="JR164" s="146"/>
      <c r="JS164" s="146"/>
      <c r="JT164" s="146"/>
      <c r="JU164" s="146"/>
      <c r="JV164" s="146"/>
      <c r="JW164" s="146"/>
      <c r="JX164" s="146"/>
      <c r="JY164" s="146"/>
      <c r="JZ164" s="146"/>
      <c r="KA164" s="146"/>
      <c r="KB164" s="146"/>
      <c r="KC164" s="146"/>
      <c r="KD164" s="146"/>
      <c r="KE164" s="146"/>
      <c r="KF164" s="146"/>
      <c r="KG164" s="146"/>
      <c r="KH164" s="146"/>
      <c r="KI164" s="146"/>
      <c r="KJ164" s="146"/>
      <c r="KK164" s="146"/>
      <c r="KL164" s="146"/>
      <c r="KM164" s="146"/>
      <c r="KN164" s="146"/>
      <c r="KO164" s="146"/>
      <c r="KP164" s="146"/>
      <c r="KQ164" s="146"/>
      <c r="KR164" s="146"/>
      <c r="KS164" s="146"/>
      <c r="KT164" s="146"/>
      <c r="KU164" s="146"/>
      <c r="KV164" s="146"/>
      <c r="KW164" s="146"/>
      <c r="KX164" s="146"/>
      <c r="KY164" s="146"/>
      <c r="KZ164" s="146"/>
      <c r="LA164" s="146"/>
      <c r="LB164" s="146"/>
      <c r="LC164" s="146"/>
      <c r="LD164" s="146"/>
      <c r="LE164" s="146"/>
      <c r="LF164" s="146"/>
      <c r="LG164" s="146"/>
      <c r="LH164" s="146"/>
      <c r="LI164" s="146"/>
      <c r="LJ164" s="146"/>
      <c r="LK164" s="146"/>
      <c r="LL164" s="146"/>
      <c r="LM164" s="146"/>
      <c r="LN164" s="146"/>
      <c r="LO164" s="146"/>
      <c r="LP164" s="146"/>
      <c r="LQ164" s="146"/>
      <c r="LR164" s="146"/>
      <c r="LS164" s="146"/>
      <c r="LT164" s="146"/>
      <c r="LU164" s="146"/>
      <c r="LV164" s="146"/>
      <c r="LW164" s="146"/>
      <c r="LX164" s="146"/>
      <c r="LY164" s="146"/>
      <c r="LZ164" s="146"/>
      <c r="MA164" s="146"/>
      <c r="MB164" s="146"/>
      <c r="MC164" s="146"/>
      <c r="MD164" s="146"/>
      <c r="ME164" s="146"/>
      <c r="MF164" s="146"/>
      <c r="MG164" s="146"/>
      <c r="MH164" s="146"/>
      <c r="MI164" s="146"/>
      <c r="MJ164" s="146"/>
      <c r="MK164" s="146"/>
      <c r="ML164" s="146"/>
      <c r="MM164" s="146"/>
      <c r="MN164" s="146"/>
      <c r="MO164" s="146"/>
      <c r="MP164" s="146"/>
      <c r="MQ164" s="146"/>
      <c r="MR164" s="146"/>
      <c r="MS164" s="146"/>
      <c r="MT164" s="146"/>
      <c r="MU164" s="146"/>
      <c r="MV164" s="146"/>
      <c r="MW164" s="146"/>
      <c r="MX164" s="146"/>
      <c r="MY164" s="146"/>
      <c r="MZ164" s="146"/>
      <c r="NA164" s="146"/>
      <c r="NB164" s="146"/>
      <c r="NC164" s="146"/>
      <c r="ND164" s="146"/>
      <c r="NE164" s="146"/>
      <c r="NF164" s="146"/>
      <c r="NG164" s="146"/>
      <c r="NH164" s="146"/>
      <c r="NI164" s="146"/>
      <c r="NJ164" s="146"/>
      <c r="NK164" s="146"/>
      <c r="NL164" s="146"/>
      <c r="NM164" s="146"/>
      <c r="NN164" s="146"/>
      <c r="NO164" s="146"/>
      <c r="NP164" s="146"/>
      <c r="NQ164" s="146"/>
      <c r="NR164" s="146"/>
      <c r="NS164" s="146"/>
      <c r="NT164" s="146"/>
      <c r="NU164" s="146"/>
      <c r="NV164" s="146"/>
      <c r="NW164" s="146"/>
      <c r="NX164" s="146"/>
      <c r="NY164" s="146"/>
      <c r="NZ164" s="146"/>
      <c r="OA164" s="146"/>
      <c r="OB164" s="146"/>
      <c r="OC164" s="146"/>
      <c r="OD164" s="146"/>
      <c r="OE164" s="146"/>
      <c r="OF164" s="146"/>
      <c r="OG164" s="146"/>
      <c r="OH164" s="146"/>
      <c r="OI164" s="146"/>
      <c r="OJ164" s="146"/>
      <c r="OK164" s="146"/>
      <c r="OL164" s="146"/>
      <c r="OM164" s="146"/>
      <c r="ON164" s="146"/>
      <c r="OO164" s="146"/>
      <c r="OP164" s="146"/>
      <c r="OQ164" s="146"/>
      <c r="OR164" s="146"/>
      <c r="OS164" s="146"/>
      <c r="OT164" s="146"/>
      <c r="OU164" s="146"/>
      <c r="OV164" s="146"/>
      <c r="OW164" s="146"/>
      <c r="OX164" s="146"/>
      <c r="OY164" s="146"/>
      <c r="OZ164" s="146"/>
      <c r="PA164" s="146"/>
      <c r="PB164" s="146"/>
      <c r="PC164" s="146"/>
      <c r="PD164" s="146"/>
      <c r="PE164" s="146"/>
      <c r="PF164" s="146"/>
      <c r="PG164" s="146"/>
      <c r="PH164" s="146"/>
      <c r="PI164" s="146"/>
      <c r="PJ164" s="146"/>
      <c r="PK164" s="146"/>
      <c r="PL164" s="146"/>
      <c r="PM164" s="146"/>
      <c r="PN164" s="146"/>
      <c r="PO164" s="146"/>
      <c r="PP164" s="146"/>
      <c r="PQ164" s="146"/>
      <c r="PR164" s="146"/>
      <c r="PS164" s="146"/>
      <c r="PT164" s="146"/>
      <c r="PU164" s="146"/>
      <c r="PV164" s="146"/>
      <c r="PW164" s="146"/>
      <c r="PX164" s="146"/>
      <c r="PY164" s="146"/>
      <c r="PZ164" s="146"/>
      <c r="QA164" s="146"/>
      <c r="QB164" s="146"/>
      <c r="QC164" s="146"/>
      <c r="QD164" s="146"/>
      <c r="QE164" s="146"/>
      <c r="QF164" s="146"/>
      <c r="QG164" s="146"/>
      <c r="QH164" s="146"/>
      <c r="QI164" s="146"/>
      <c r="QJ164" s="146"/>
      <c r="QK164" s="146"/>
      <c r="QL164" s="146"/>
      <c r="QM164" s="146"/>
      <c r="QN164" s="146"/>
      <c r="QO164" s="146"/>
      <c r="QP164" s="146"/>
      <c r="QQ164" s="146"/>
      <c r="QR164" s="146"/>
      <c r="QS164" s="146"/>
      <c r="QT164" s="146"/>
      <c r="QU164" s="146"/>
      <c r="QV164" s="146"/>
      <c r="QW164" s="146"/>
      <c r="QX164" s="146"/>
      <c r="QY164" s="146"/>
      <c r="QZ164" s="146"/>
      <c r="RA164" s="146"/>
      <c r="RB164" s="146"/>
      <c r="RC164" s="146"/>
      <c r="RD164" s="146"/>
      <c r="RE164" s="146"/>
      <c r="RF164" s="146"/>
      <c r="RG164" s="146"/>
      <c r="RH164" s="146"/>
      <c r="RI164" s="146"/>
      <c r="RJ164" s="146"/>
      <c r="RK164" s="146"/>
      <c r="RL164" s="146"/>
      <c r="RM164" s="146"/>
      <c r="RN164" s="146"/>
      <c r="RO164" s="146"/>
      <c r="RP164" s="146"/>
      <c r="RQ164" s="146"/>
      <c r="RR164" s="146"/>
      <c r="RS164" s="146"/>
      <c r="RT164" s="146"/>
      <c r="RU164" s="146"/>
      <c r="RV164" s="146"/>
      <c r="RW164" s="146"/>
      <c r="RX164" s="146"/>
      <c r="RY164" s="146"/>
      <c r="RZ164" s="146"/>
      <c r="SA164" s="146"/>
      <c r="SB164" s="146"/>
      <c r="SC164" s="146"/>
      <c r="SD164" s="146"/>
      <c r="SE164" s="146"/>
      <c r="SF164" s="146"/>
      <c r="SG164" s="146"/>
      <c r="SH164" s="146"/>
      <c r="SI164" s="146"/>
      <c r="SJ164" s="146"/>
      <c r="SK164" s="146"/>
      <c r="SL164" s="146"/>
      <c r="SM164" s="146"/>
      <c r="SN164" s="146"/>
      <c r="SO164" s="146"/>
      <c r="SP164" s="146"/>
      <c r="SQ164" s="146"/>
      <c r="SR164" s="146"/>
      <c r="SS164" s="146"/>
      <c r="ST164" s="146"/>
      <c r="SU164" s="146"/>
      <c r="SV164" s="146"/>
      <c r="SW164" s="146"/>
      <c r="SX164" s="146"/>
      <c r="SY164" s="146"/>
      <c r="SZ164" s="146"/>
      <c r="TA164" s="146"/>
      <c r="TB164" s="146"/>
      <c r="TC164" s="146"/>
      <c r="TD164" s="146"/>
      <c r="TE164" s="146"/>
      <c r="TF164" s="146"/>
      <c r="TG164" s="146"/>
      <c r="TH164" s="146"/>
      <c r="TI164" s="146"/>
      <c r="TJ164" s="146"/>
      <c r="TK164" s="146"/>
      <c r="TL164" s="146"/>
      <c r="TM164" s="146"/>
      <c r="TN164" s="146"/>
      <c r="TO164" s="146"/>
      <c r="TP164" s="146"/>
      <c r="TQ164" s="146"/>
      <c r="TR164" s="146"/>
      <c r="TS164" s="146"/>
      <c r="TT164" s="146"/>
      <c r="TU164" s="146"/>
      <c r="TV164" s="146"/>
      <c r="TW164" s="146"/>
      <c r="TX164" s="146"/>
      <c r="TY164" s="146"/>
      <c r="TZ164" s="146"/>
      <c r="UA164" s="146"/>
      <c r="UB164" s="146"/>
      <c r="UC164" s="146"/>
      <c r="UD164" s="146"/>
      <c r="UE164" s="146"/>
      <c r="UF164" s="146"/>
      <c r="UG164" s="146"/>
      <c r="UH164" s="146"/>
      <c r="UI164" s="146"/>
      <c r="UJ164" s="146"/>
      <c r="UK164" s="146"/>
      <c r="UL164" s="146"/>
      <c r="UM164" s="146"/>
      <c r="UN164" s="146"/>
      <c r="UO164" s="146"/>
      <c r="UP164" s="146"/>
      <c r="UQ164" s="146"/>
      <c r="UR164" s="146"/>
      <c r="US164" s="146"/>
      <c r="UT164" s="146"/>
      <c r="UU164" s="146"/>
      <c r="UV164" s="146"/>
      <c r="UW164" s="146"/>
      <c r="UX164" s="146"/>
      <c r="UY164" s="146"/>
      <c r="UZ164" s="146"/>
      <c r="VA164" s="146"/>
      <c r="VB164" s="146"/>
      <c r="VC164" s="146"/>
      <c r="VD164" s="146"/>
      <c r="VE164" s="146"/>
      <c r="VF164" s="146"/>
      <c r="VG164" s="146"/>
      <c r="VH164" s="146"/>
      <c r="VI164" s="146"/>
      <c r="VJ164" s="146"/>
      <c r="VK164" s="146"/>
      <c r="VL164" s="146"/>
      <c r="VM164" s="146"/>
      <c r="VN164" s="146"/>
      <c r="VO164" s="146"/>
      <c r="VP164" s="146"/>
      <c r="VQ164" s="146"/>
      <c r="VR164" s="146"/>
      <c r="VS164" s="146"/>
      <c r="VT164" s="146"/>
      <c r="VU164" s="146"/>
      <c r="VV164" s="146"/>
      <c r="VW164" s="146"/>
      <c r="VX164" s="146"/>
      <c r="VY164" s="146"/>
      <c r="VZ164" s="146"/>
      <c r="WA164" s="146"/>
      <c r="WB164" s="146"/>
      <c r="WC164" s="146"/>
      <c r="WD164" s="146"/>
      <c r="WE164" s="146"/>
      <c r="WF164" s="146"/>
      <c r="WG164" s="146"/>
      <c r="WH164" s="146"/>
      <c r="WI164" s="146"/>
      <c r="WJ164" s="146"/>
      <c r="WK164" s="146"/>
      <c r="WL164" s="146"/>
      <c r="WM164" s="146"/>
      <c r="WN164" s="146"/>
      <c r="WO164" s="146"/>
      <c r="WP164" s="146"/>
      <c r="WQ164" s="146"/>
      <c r="WR164" s="146"/>
      <c r="WS164" s="146"/>
      <c r="WT164" s="146"/>
      <c r="WU164" s="146"/>
      <c r="WV164" s="146"/>
      <c r="WW164" s="146"/>
      <c r="WX164" s="146"/>
      <c r="WY164" s="146"/>
      <c r="WZ164" s="146"/>
      <c r="XA164" s="146"/>
      <c r="XB164" s="146"/>
      <c r="XC164" s="146"/>
      <c r="XD164" s="146"/>
      <c r="XE164" s="146"/>
      <c r="XF164" s="146"/>
      <c r="XG164" s="146"/>
      <c r="XH164" s="146"/>
      <c r="XI164" s="146"/>
      <c r="XJ164" s="146"/>
      <c r="XK164" s="146"/>
      <c r="XL164" s="146"/>
      <c r="XM164" s="146"/>
      <c r="XN164" s="146"/>
      <c r="XO164" s="146"/>
      <c r="XP164" s="146"/>
      <c r="XQ164" s="146"/>
      <c r="XR164" s="146"/>
      <c r="XS164" s="146"/>
      <c r="XT164" s="146"/>
      <c r="XU164" s="146"/>
      <c r="XV164" s="146"/>
      <c r="XW164" s="146"/>
      <c r="XX164" s="146"/>
      <c r="XY164" s="146"/>
      <c r="XZ164" s="146"/>
      <c r="YA164" s="146"/>
      <c r="YB164" s="146"/>
      <c r="YC164" s="146"/>
      <c r="YD164" s="146"/>
      <c r="YE164" s="146"/>
      <c r="YF164" s="146"/>
      <c r="YG164" s="146"/>
      <c r="YH164" s="146"/>
      <c r="YI164" s="146"/>
      <c r="YJ164" s="146"/>
      <c r="YK164" s="146"/>
      <c r="YL164" s="146"/>
      <c r="YM164" s="146"/>
      <c r="YN164" s="146"/>
      <c r="YO164" s="146"/>
      <c r="YP164" s="146"/>
      <c r="YQ164" s="146"/>
      <c r="YR164" s="146"/>
      <c r="YS164" s="146"/>
      <c r="YT164" s="146"/>
      <c r="YU164" s="146"/>
      <c r="YV164" s="146"/>
      <c r="YW164" s="146"/>
      <c r="YX164" s="146"/>
      <c r="YY164" s="146"/>
      <c r="YZ164" s="146"/>
      <c r="ZA164" s="146"/>
      <c r="ZB164" s="146"/>
      <c r="ZC164" s="146"/>
      <c r="ZD164" s="146"/>
      <c r="ZE164" s="146"/>
      <c r="ZF164" s="146"/>
      <c r="ZG164" s="146"/>
      <c r="ZH164" s="146"/>
      <c r="ZI164" s="146"/>
      <c r="ZJ164" s="146"/>
      <c r="ZK164" s="146"/>
      <c r="ZL164" s="146"/>
      <c r="ZM164" s="146"/>
      <c r="ZN164" s="146"/>
      <c r="ZO164" s="146"/>
      <c r="ZP164" s="146"/>
      <c r="ZQ164" s="146"/>
      <c r="ZR164" s="146"/>
      <c r="ZS164" s="146"/>
      <c r="ZT164" s="146"/>
      <c r="ZU164" s="146"/>
      <c r="ZV164" s="146"/>
      <c r="ZW164" s="146"/>
      <c r="ZX164" s="146"/>
      <c r="ZY164" s="146"/>
      <c r="ZZ164" s="146"/>
      <c r="AAA164" s="146"/>
      <c r="AAB164" s="146"/>
      <c r="AAC164" s="146"/>
      <c r="AAD164" s="146"/>
      <c r="AAE164" s="146"/>
      <c r="AAF164" s="146"/>
      <c r="AAG164" s="146"/>
      <c r="AAH164" s="146"/>
      <c r="AAI164" s="146"/>
      <c r="AAJ164" s="146"/>
      <c r="AAK164" s="146"/>
      <c r="AAL164" s="146"/>
      <c r="AAM164" s="146"/>
      <c r="AAN164" s="146"/>
      <c r="AAO164" s="146"/>
      <c r="AAP164" s="146"/>
      <c r="AAQ164" s="146"/>
      <c r="AAR164" s="146"/>
      <c r="AAS164" s="146"/>
      <c r="AAT164" s="146"/>
      <c r="AAU164" s="146"/>
      <c r="AAV164" s="146"/>
      <c r="AAW164" s="146"/>
      <c r="AAX164" s="146"/>
      <c r="AAY164" s="146"/>
      <c r="AAZ164" s="146"/>
      <c r="ABA164" s="146"/>
      <c r="ABB164" s="146"/>
      <c r="ABC164" s="146"/>
      <c r="ABD164" s="146"/>
      <c r="ABE164" s="146"/>
      <c r="ABF164" s="146"/>
      <c r="ABG164" s="146"/>
      <c r="ABH164" s="146"/>
      <c r="ABI164" s="146"/>
      <c r="ABJ164" s="146"/>
      <c r="ABK164" s="146"/>
      <c r="ABL164" s="146"/>
      <c r="ABM164" s="146"/>
      <c r="ABN164" s="146"/>
      <c r="ABO164" s="146"/>
      <c r="ABP164" s="146"/>
      <c r="ABQ164" s="146"/>
      <c r="ABR164" s="146"/>
      <c r="ABS164" s="146"/>
      <c r="ABT164" s="146"/>
      <c r="ABU164" s="146"/>
      <c r="ABV164" s="146"/>
      <c r="ABW164" s="146"/>
      <c r="ABX164" s="146"/>
      <c r="ABY164" s="146"/>
      <c r="ABZ164" s="146"/>
      <c r="ACA164" s="146"/>
      <c r="ACB164" s="146"/>
      <c r="ACC164" s="146"/>
      <c r="ACD164" s="146"/>
      <c r="ACE164" s="146"/>
      <c r="ACF164" s="146"/>
      <c r="ACG164" s="146"/>
      <c r="ACH164" s="146"/>
      <c r="ACI164" s="146"/>
      <c r="ACJ164" s="146"/>
      <c r="ACK164" s="146"/>
      <c r="ACL164" s="146"/>
      <c r="ACM164" s="146"/>
      <c r="ACN164" s="146"/>
      <c r="ACO164" s="146"/>
      <c r="ACP164" s="146"/>
      <c r="ACQ164" s="146"/>
      <c r="ACR164" s="146"/>
      <c r="ACS164" s="146"/>
      <c r="ACT164" s="146"/>
      <c r="ACU164" s="146"/>
      <c r="ACV164" s="146"/>
      <c r="ACW164" s="146"/>
      <c r="ACX164" s="146"/>
      <c r="ACY164" s="146"/>
      <c r="ACZ164" s="146"/>
      <c r="ADA164" s="146"/>
      <c r="ADB164" s="146"/>
      <c r="ADC164" s="146"/>
      <c r="ADD164" s="146"/>
      <c r="ADE164" s="146"/>
      <c r="ADF164" s="146"/>
      <c r="ADG164" s="146"/>
      <c r="ADH164" s="146"/>
      <c r="ADI164" s="146"/>
      <c r="ADJ164" s="146"/>
      <c r="ADK164" s="146"/>
      <c r="ADL164" s="146"/>
      <c r="ADM164" s="146"/>
      <c r="ADN164" s="146"/>
      <c r="ADO164" s="146"/>
      <c r="ADP164" s="146"/>
      <c r="ADQ164" s="146"/>
      <c r="ADR164" s="146"/>
      <c r="ADS164" s="146"/>
      <c r="ADT164" s="146"/>
      <c r="ADU164" s="146"/>
      <c r="ADV164" s="146"/>
      <c r="ADW164" s="146"/>
      <c r="ADX164" s="146"/>
      <c r="ADY164" s="146"/>
      <c r="ADZ164" s="146"/>
      <c r="AEA164" s="146"/>
      <c r="AEB164" s="146"/>
      <c r="AEC164" s="146"/>
      <c r="AED164" s="146"/>
      <c r="AEE164" s="146"/>
      <c r="AEF164" s="146"/>
      <c r="AEG164" s="146"/>
      <c r="AEH164" s="146"/>
      <c r="AEI164" s="146"/>
      <c r="AEJ164" s="146"/>
      <c r="AEK164" s="146"/>
      <c r="AEL164" s="146"/>
      <c r="AEM164" s="146"/>
      <c r="AEN164" s="146"/>
      <c r="AEO164" s="146"/>
      <c r="AEP164" s="146"/>
      <c r="AEQ164" s="146"/>
      <c r="AER164" s="146"/>
      <c r="AES164" s="146"/>
      <c r="AET164" s="146"/>
      <c r="AEU164" s="146"/>
      <c r="AEV164" s="146"/>
      <c r="AEW164" s="146"/>
      <c r="AEX164" s="146"/>
      <c r="AEY164" s="146"/>
      <c r="AEZ164" s="146"/>
      <c r="AFA164" s="146"/>
      <c r="AFB164" s="146"/>
      <c r="AFC164" s="146"/>
      <c r="AFD164" s="146"/>
      <c r="AFE164" s="146"/>
      <c r="AFF164" s="146"/>
      <c r="AFG164" s="146"/>
      <c r="AFH164" s="146"/>
      <c r="AFI164" s="146"/>
      <c r="AFJ164" s="146"/>
      <c r="AFK164" s="146"/>
      <c r="AFL164" s="146"/>
      <c r="AFM164" s="146"/>
      <c r="AFN164" s="146"/>
      <c r="AFO164" s="146"/>
      <c r="AFP164" s="146"/>
      <c r="AFQ164" s="146"/>
      <c r="AFR164" s="146"/>
      <c r="AFS164" s="146"/>
      <c r="AFT164" s="146"/>
      <c r="AFU164" s="146"/>
      <c r="AFV164" s="146"/>
      <c r="AFW164" s="146"/>
      <c r="AFX164" s="146"/>
      <c r="AFY164" s="146"/>
      <c r="AFZ164" s="146"/>
      <c r="AGA164" s="146"/>
      <c r="AGB164" s="146"/>
      <c r="AGC164" s="146"/>
      <c r="AGD164" s="146"/>
      <c r="AGE164" s="146"/>
      <c r="AGF164" s="146"/>
      <c r="AGG164" s="146"/>
      <c r="AGH164" s="146"/>
      <c r="AGI164" s="146"/>
      <c r="AGJ164" s="146"/>
      <c r="AGK164" s="146"/>
      <c r="AGL164" s="146"/>
      <c r="AGM164" s="146"/>
      <c r="AGN164" s="146"/>
      <c r="AGO164" s="146"/>
      <c r="AGP164" s="146"/>
      <c r="AGQ164" s="146"/>
      <c r="AGR164" s="146"/>
      <c r="AGS164" s="146"/>
      <c r="AGT164" s="146"/>
      <c r="AGU164" s="146"/>
      <c r="AGV164" s="146"/>
      <c r="AGW164" s="146"/>
      <c r="AGX164" s="146"/>
      <c r="AGY164" s="146"/>
      <c r="AGZ164" s="146"/>
      <c r="AHA164" s="146"/>
      <c r="AHB164" s="146"/>
      <c r="AHC164" s="146"/>
      <c r="AHD164" s="146"/>
      <c r="AHE164" s="146"/>
      <c r="AHF164" s="146"/>
      <c r="AHG164" s="146"/>
      <c r="AHH164" s="146"/>
      <c r="AHI164" s="146"/>
      <c r="AHJ164" s="146"/>
      <c r="AHK164" s="146"/>
      <c r="AHL164" s="146"/>
      <c r="AHM164" s="146"/>
      <c r="AHN164" s="146"/>
      <c r="AHO164" s="146"/>
      <c r="AHP164" s="146"/>
      <c r="AHQ164" s="146"/>
      <c r="AHR164" s="146"/>
      <c r="AHS164" s="146"/>
      <c r="AHT164" s="146"/>
      <c r="AHU164" s="146"/>
      <c r="AHV164" s="146"/>
      <c r="AHW164" s="146"/>
      <c r="AHX164" s="146"/>
      <c r="AHY164" s="146"/>
      <c r="AHZ164" s="146"/>
      <c r="AIA164" s="146"/>
      <c r="AIB164" s="146"/>
      <c r="AIC164" s="146"/>
      <c r="AID164" s="146"/>
      <c r="AIE164" s="146"/>
      <c r="AIF164" s="146"/>
      <c r="AIG164" s="146"/>
      <c r="AIH164" s="146"/>
      <c r="AII164" s="146"/>
      <c r="AIJ164" s="146"/>
      <c r="AIK164" s="146"/>
      <c r="AIL164" s="146"/>
      <c r="AIM164" s="146"/>
      <c r="AIN164" s="146"/>
      <c r="AIO164" s="146"/>
      <c r="AIP164" s="146"/>
      <c r="AIQ164" s="146"/>
      <c r="AIR164" s="146"/>
      <c r="AIS164" s="146"/>
      <c r="AIT164" s="146"/>
      <c r="AIU164" s="146"/>
      <c r="AIV164" s="146"/>
      <c r="AIW164" s="146"/>
      <c r="AIX164" s="146"/>
      <c r="AIY164" s="146"/>
      <c r="AIZ164" s="146"/>
      <c r="AJA164" s="146"/>
      <c r="AJB164" s="146"/>
      <c r="AJC164" s="146"/>
      <c r="AJD164" s="146"/>
      <c r="AJE164" s="146"/>
      <c r="AJF164" s="146"/>
      <c r="AJG164" s="146"/>
      <c r="AJH164" s="146"/>
      <c r="AJI164" s="146"/>
      <c r="AJJ164" s="146"/>
      <c r="AJK164" s="146"/>
      <c r="AJL164" s="146"/>
      <c r="AJM164" s="146"/>
      <c r="AJN164" s="146"/>
      <c r="AJO164" s="146"/>
      <c r="AJP164" s="146"/>
      <c r="AJQ164" s="146"/>
      <c r="AJR164" s="146"/>
      <c r="AJS164" s="146"/>
      <c r="AJT164" s="146"/>
      <c r="AJU164" s="146"/>
      <c r="AJV164" s="146"/>
      <c r="AJW164" s="146"/>
      <c r="AJX164" s="146"/>
      <c r="AJY164" s="146"/>
      <c r="AJZ164" s="146"/>
      <c r="AKA164" s="146"/>
      <c r="AKB164" s="146"/>
      <c r="AKC164" s="146"/>
      <c r="AKD164" s="146"/>
      <c r="AKE164" s="146"/>
      <c r="AKF164" s="146"/>
      <c r="AKG164" s="146"/>
      <c r="AKH164" s="146"/>
      <c r="AKI164" s="146"/>
      <c r="AKJ164" s="146"/>
      <c r="AKK164" s="146"/>
      <c r="AKL164" s="146"/>
      <c r="AKM164" s="146"/>
      <c r="AKN164" s="146"/>
      <c r="AKO164" s="146"/>
      <c r="AKP164" s="146"/>
      <c r="AKQ164" s="146"/>
      <c r="AKR164" s="146"/>
      <c r="AKS164" s="146"/>
      <c r="AKT164" s="146"/>
      <c r="AKU164" s="146"/>
      <c r="AKV164" s="146"/>
      <c r="AKW164" s="146"/>
      <c r="AKX164" s="146"/>
      <c r="AKY164" s="146"/>
      <c r="AKZ164" s="146"/>
      <c r="ALA164" s="146"/>
      <c r="ALB164" s="146"/>
      <c r="ALC164" s="146"/>
      <c r="ALD164" s="146"/>
      <c r="ALE164" s="146"/>
      <c r="ALF164" s="146"/>
      <c r="ALG164" s="146"/>
      <c r="ALH164" s="146"/>
      <c r="ALI164" s="146"/>
      <c r="ALJ164" s="146"/>
      <c r="ALK164" s="146"/>
      <c r="ALL164" s="146"/>
      <c r="ALM164" s="146"/>
      <c r="ALN164" s="146"/>
      <c r="ALO164" s="146"/>
      <c r="ALP164" s="146"/>
      <c r="ALQ164" s="146"/>
      <c r="ALR164" s="146"/>
      <c r="ALS164" s="146"/>
      <c r="ALT164" s="146"/>
      <c r="ALU164" s="146"/>
      <c r="ALV164" s="146"/>
      <c r="ALW164" s="146"/>
      <c r="ALX164" s="146"/>
      <c r="ALY164" s="146"/>
      <c r="ALZ164" s="146"/>
      <c r="AMA164" s="146"/>
      <c r="AMB164" s="146"/>
      <c r="AMC164" s="146"/>
      <c r="AMD164" s="146"/>
      <c r="AME164" s="146"/>
      <c r="AMF164" s="146"/>
      <c r="AMG164" s="146"/>
      <c r="AMH164" s="146"/>
      <c r="AMI164" s="146"/>
      <c r="AMJ164" s="146"/>
      <c r="AMK164" s="146"/>
      <c r="AML164" s="146"/>
      <c r="AMM164" s="146"/>
      <c r="AMN164" s="146"/>
      <c r="AMO164" s="146"/>
      <c r="AMP164" s="146"/>
      <c r="AMQ164" s="146"/>
      <c r="AMR164" s="146"/>
      <c r="AMS164" s="146"/>
      <c r="AMT164" s="146"/>
      <c r="AMU164" s="146"/>
      <c r="AMV164" s="146"/>
      <c r="AMW164" s="146"/>
      <c r="AMX164" s="146"/>
      <c r="AMY164" s="146"/>
      <c r="AMZ164" s="146"/>
      <c r="ANA164" s="146"/>
      <c r="ANB164" s="146"/>
      <c r="ANC164" s="146"/>
      <c r="AND164" s="146"/>
      <c r="ANE164" s="146"/>
      <c r="ANF164" s="146"/>
      <c r="ANG164" s="146"/>
      <c r="ANH164" s="146"/>
      <c r="ANI164" s="146"/>
      <c r="ANJ164" s="146"/>
      <c r="ANK164" s="146"/>
      <c r="ANL164" s="146"/>
      <c r="ANM164" s="146"/>
      <c r="ANN164" s="146"/>
      <c r="ANO164" s="146"/>
      <c r="ANP164" s="146"/>
      <c r="ANQ164" s="146"/>
      <c r="ANR164" s="146"/>
      <c r="ANS164" s="146"/>
      <c r="ANT164" s="146"/>
      <c r="ANU164" s="146"/>
      <c r="ANV164" s="146"/>
      <c r="ANW164" s="146"/>
      <c r="ANX164" s="146"/>
      <c r="ANY164" s="146"/>
      <c r="ANZ164" s="146"/>
      <c r="AOA164" s="146"/>
      <c r="AOB164" s="146"/>
      <c r="AOC164" s="146"/>
      <c r="AOD164" s="146"/>
      <c r="AOE164" s="146"/>
      <c r="AOF164" s="146"/>
      <c r="AOG164" s="146"/>
      <c r="AOH164" s="146"/>
      <c r="AOI164" s="146"/>
      <c r="AOJ164" s="146"/>
      <c r="AOK164" s="146"/>
      <c r="AOL164" s="146"/>
      <c r="AOM164" s="146"/>
      <c r="AON164" s="146"/>
      <c r="AOO164" s="146"/>
      <c r="AOP164" s="146"/>
      <c r="AOQ164" s="146"/>
      <c r="AOR164" s="146"/>
      <c r="AOS164" s="146"/>
      <c r="AOT164" s="146"/>
      <c r="AOU164" s="146"/>
      <c r="AOV164" s="146"/>
      <c r="AOW164" s="146"/>
      <c r="AOX164" s="146"/>
      <c r="AOY164" s="146"/>
      <c r="AOZ164" s="146"/>
      <c r="APA164" s="146"/>
      <c r="APB164" s="146"/>
      <c r="APC164" s="146"/>
      <c r="APD164" s="146"/>
      <c r="APE164" s="146"/>
      <c r="APF164" s="146"/>
      <c r="APG164" s="146"/>
      <c r="APH164" s="146"/>
      <c r="API164" s="146"/>
      <c r="APJ164" s="146"/>
      <c r="APK164" s="146"/>
      <c r="APL164" s="146"/>
      <c r="APM164" s="146"/>
      <c r="APN164" s="146"/>
      <c r="APO164" s="146"/>
      <c r="APP164" s="146"/>
      <c r="APQ164" s="146"/>
      <c r="APR164" s="146"/>
      <c r="APS164" s="146"/>
      <c r="APT164" s="146"/>
      <c r="APU164" s="146"/>
      <c r="APV164" s="146"/>
      <c r="APW164" s="146"/>
      <c r="APX164" s="146"/>
      <c r="APY164" s="146"/>
      <c r="APZ164" s="146"/>
      <c r="AQA164" s="146"/>
      <c r="AQB164" s="146"/>
      <c r="AQC164" s="146"/>
      <c r="AQD164" s="146"/>
      <c r="AQE164" s="146"/>
      <c r="AQF164" s="146"/>
      <c r="AQG164" s="146"/>
      <c r="AQH164" s="146"/>
      <c r="AQI164" s="146"/>
      <c r="AQJ164" s="146"/>
      <c r="AQK164" s="146"/>
      <c r="AQL164" s="146"/>
      <c r="AQM164" s="146"/>
      <c r="AQN164" s="146"/>
      <c r="AQO164" s="146"/>
      <c r="AQP164" s="146"/>
      <c r="AQQ164" s="146"/>
      <c r="AQR164" s="146"/>
      <c r="AQS164" s="146"/>
      <c r="AQT164" s="146"/>
      <c r="AQU164" s="146"/>
      <c r="AQV164" s="146"/>
      <c r="AQW164" s="146"/>
      <c r="AQX164" s="146"/>
      <c r="AQY164" s="146"/>
      <c r="AQZ164" s="146"/>
      <c r="ARA164" s="146"/>
      <c r="ARB164" s="146"/>
      <c r="ARC164" s="146"/>
      <c r="ARD164" s="146"/>
      <c r="ARE164" s="146"/>
      <c r="ARF164" s="146"/>
      <c r="ARG164" s="146"/>
      <c r="ARH164" s="146"/>
      <c r="ARI164" s="146"/>
      <c r="ARJ164" s="146"/>
      <c r="ARK164" s="146"/>
      <c r="ARL164" s="146"/>
      <c r="ARM164" s="146"/>
      <c r="ARN164" s="146"/>
      <c r="ARO164" s="146"/>
      <c r="ARP164" s="146"/>
      <c r="ARQ164" s="146"/>
      <c r="ARR164" s="146"/>
      <c r="ARS164" s="146"/>
      <c r="ART164" s="146"/>
      <c r="ARU164" s="146"/>
      <c r="ARV164" s="146"/>
      <c r="ARW164" s="146"/>
      <c r="ARX164" s="146"/>
      <c r="ARY164" s="146"/>
      <c r="ARZ164" s="146"/>
      <c r="ASA164" s="146"/>
      <c r="ASB164" s="146"/>
      <c r="ASC164" s="146"/>
      <c r="ASD164" s="146"/>
      <c r="ASE164" s="146"/>
      <c r="ASF164" s="146"/>
      <c r="ASG164" s="146"/>
      <c r="ASH164" s="146"/>
      <c r="ASI164" s="146"/>
      <c r="ASJ164" s="146"/>
      <c r="ASK164" s="146"/>
      <c r="ASL164" s="146"/>
      <c r="ASM164" s="146"/>
      <c r="ASN164" s="146"/>
      <c r="ASO164" s="146"/>
      <c r="ASP164" s="146"/>
      <c r="ASQ164" s="146"/>
      <c r="ASR164" s="146"/>
      <c r="ASS164" s="146"/>
      <c r="AST164" s="146"/>
      <c r="ASU164" s="146"/>
      <c r="ASV164" s="146"/>
      <c r="ASW164" s="146"/>
      <c r="ASX164" s="146"/>
      <c r="ASY164" s="146"/>
      <c r="ASZ164" s="146"/>
      <c r="ATA164" s="146"/>
      <c r="ATB164" s="146"/>
      <c r="ATC164" s="146"/>
      <c r="ATD164" s="146"/>
      <c r="ATE164" s="146"/>
      <c r="ATF164" s="146"/>
      <c r="ATG164" s="146"/>
      <c r="ATH164" s="146"/>
      <c r="ATI164" s="146"/>
      <c r="ATJ164" s="146"/>
      <c r="ATK164" s="146"/>
      <c r="ATL164" s="146"/>
      <c r="ATM164" s="146"/>
      <c r="ATN164" s="146"/>
      <c r="ATO164" s="146"/>
      <c r="ATP164" s="146"/>
      <c r="ATQ164" s="146"/>
      <c r="ATR164" s="146"/>
      <c r="ATS164" s="146"/>
      <c r="ATT164" s="146"/>
      <c r="ATU164" s="146"/>
      <c r="ATV164" s="146"/>
      <c r="ATW164" s="146"/>
      <c r="ATX164" s="146"/>
      <c r="ATY164" s="146"/>
      <c r="ATZ164" s="146"/>
      <c r="AUA164" s="146"/>
      <c r="AUB164" s="146"/>
      <c r="AUC164" s="146"/>
      <c r="AUD164" s="146"/>
      <c r="AUE164" s="146"/>
      <c r="AUF164" s="146"/>
      <c r="AUG164" s="146"/>
      <c r="AUH164" s="146"/>
      <c r="AUI164" s="146"/>
      <c r="AUJ164" s="146"/>
      <c r="AUK164" s="146"/>
      <c r="AUL164" s="146"/>
      <c r="AUM164" s="146"/>
      <c r="AUN164" s="146"/>
      <c r="AUO164" s="146"/>
      <c r="AUP164" s="146"/>
      <c r="AUQ164" s="146"/>
      <c r="AUR164" s="146"/>
      <c r="AUS164" s="146"/>
      <c r="AUT164" s="146"/>
      <c r="AUU164" s="146"/>
      <c r="AUV164" s="146"/>
      <c r="AUW164" s="146"/>
      <c r="AUX164" s="146"/>
      <c r="AUY164" s="146"/>
      <c r="AUZ164" s="146"/>
      <c r="AVA164" s="146"/>
      <c r="AVB164" s="146"/>
      <c r="AVC164" s="146"/>
      <c r="AVD164" s="146"/>
      <c r="AVE164" s="146"/>
      <c r="AVF164" s="146"/>
      <c r="AVG164" s="146"/>
      <c r="AVH164" s="146"/>
      <c r="AVI164" s="146"/>
      <c r="AVJ164" s="146"/>
      <c r="AVK164" s="146"/>
      <c r="AVL164" s="146"/>
      <c r="AVM164" s="146"/>
      <c r="AVN164" s="146"/>
      <c r="AVO164" s="146"/>
      <c r="AVP164" s="146"/>
      <c r="AVQ164" s="146"/>
      <c r="AVR164" s="146"/>
      <c r="AVS164" s="146"/>
      <c r="AVT164" s="146"/>
      <c r="AVU164" s="146"/>
      <c r="AVV164" s="146"/>
      <c r="AVW164" s="146"/>
      <c r="AVX164" s="146"/>
      <c r="AVY164" s="146"/>
      <c r="AVZ164" s="146"/>
      <c r="AWA164" s="146"/>
      <c r="AWB164" s="146"/>
      <c r="AWC164" s="146"/>
      <c r="AWD164" s="146"/>
      <c r="AWE164" s="146"/>
      <c r="AWF164" s="146"/>
      <c r="AWG164" s="146"/>
      <c r="AWH164" s="146"/>
      <c r="AWI164" s="146"/>
      <c r="AWJ164" s="146"/>
      <c r="AWK164" s="146"/>
      <c r="AWL164" s="146"/>
      <c r="AWM164" s="146"/>
      <c r="AWN164" s="146"/>
      <c r="AWO164" s="146"/>
      <c r="AWP164" s="146"/>
      <c r="AWQ164" s="146"/>
      <c r="AWR164" s="146"/>
      <c r="AWS164" s="146"/>
      <c r="AWT164" s="146"/>
      <c r="AWU164" s="146"/>
      <c r="AWV164" s="146"/>
      <c r="AWW164" s="146"/>
      <c r="AWX164" s="146"/>
      <c r="AWY164" s="146"/>
      <c r="AWZ164" s="146"/>
      <c r="AXA164" s="146"/>
      <c r="AXB164" s="146"/>
      <c r="AXC164" s="146"/>
      <c r="AXD164" s="146"/>
      <c r="AXE164" s="146"/>
      <c r="AXF164" s="146"/>
      <c r="AXG164" s="146"/>
      <c r="AXH164" s="146"/>
      <c r="AXI164" s="146"/>
      <c r="AXJ164" s="146"/>
      <c r="AXK164" s="146"/>
      <c r="AXL164" s="146"/>
      <c r="AXM164" s="146"/>
      <c r="AXN164" s="146"/>
      <c r="AXO164" s="146"/>
      <c r="AXP164" s="146"/>
      <c r="AXQ164" s="146"/>
      <c r="AXR164" s="146"/>
      <c r="AXS164" s="146"/>
      <c r="AXT164" s="146"/>
      <c r="AXU164" s="146"/>
      <c r="AXV164" s="146"/>
      <c r="AXW164" s="146"/>
      <c r="AXX164" s="146"/>
      <c r="AXY164" s="146"/>
      <c r="AXZ164" s="146"/>
      <c r="AYA164" s="146"/>
      <c r="AYB164" s="146"/>
      <c r="AYC164" s="146"/>
      <c r="AYD164" s="146"/>
      <c r="AYE164" s="146"/>
      <c r="AYF164" s="146"/>
      <c r="AYG164" s="146"/>
      <c r="AYH164" s="146"/>
      <c r="AYI164" s="146"/>
      <c r="AYJ164" s="146"/>
      <c r="AYK164" s="146"/>
      <c r="AYL164" s="146"/>
      <c r="AYM164" s="146"/>
      <c r="AYN164" s="146"/>
      <c r="AYO164" s="146"/>
      <c r="AYP164" s="146"/>
      <c r="AYQ164" s="146"/>
      <c r="AYR164" s="146"/>
      <c r="AYS164" s="146"/>
      <c r="AYT164" s="146"/>
      <c r="AYU164" s="146"/>
      <c r="AYV164" s="146"/>
      <c r="AYW164" s="146"/>
      <c r="AYX164" s="146"/>
      <c r="AYY164" s="146"/>
      <c r="AYZ164" s="146"/>
      <c r="AZA164" s="146"/>
      <c r="AZB164" s="146"/>
      <c r="AZC164" s="146"/>
      <c r="AZD164" s="146"/>
      <c r="AZE164" s="146"/>
      <c r="AZF164" s="146"/>
      <c r="AZG164" s="146"/>
      <c r="AZH164" s="146"/>
      <c r="AZI164" s="146"/>
      <c r="AZJ164" s="146"/>
      <c r="AZK164" s="146"/>
      <c r="AZL164" s="146"/>
      <c r="AZM164" s="146"/>
      <c r="AZN164" s="146"/>
      <c r="AZO164" s="146"/>
      <c r="AZP164" s="146"/>
      <c r="AZQ164" s="146"/>
      <c r="AZR164" s="146"/>
      <c r="AZS164" s="146"/>
      <c r="AZT164" s="146"/>
      <c r="AZU164" s="146"/>
      <c r="AZV164" s="146"/>
      <c r="AZW164" s="146"/>
      <c r="AZX164" s="146"/>
      <c r="AZY164" s="146"/>
      <c r="AZZ164" s="146"/>
      <c r="BAA164" s="146"/>
      <c r="BAB164" s="146"/>
      <c r="BAC164" s="146"/>
      <c r="BAD164" s="146"/>
      <c r="BAE164" s="146"/>
      <c r="BAF164" s="146"/>
      <c r="BAG164" s="146"/>
      <c r="BAH164" s="146"/>
      <c r="BAI164" s="146"/>
      <c r="BAJ164" s="146"/>
      <c r="BAK164" s="146"/>
      <c r="BAL164" s="146"/>
      <c r="BAM164" s="146"/>
      <c r="BAN164" s="146"/>
      <c r="BAO164" s="146"/>
      <c r="BAP164" s="146"/>
      <c r="BAQ164" s="146"/>
      <c r="BAR164" s="146"/>
      <c r="BAS164" s="146"/>
      <c r="BAT164" s="146"/>
      <c r="BAU164" s="146"/>
      <c r="BAV164" s="146"/>
      <c r="BAW164" s="146"/>
      <c r="BAX164" s="146"/>
      <c r="BAY164" s="146"/>
      <c r="BAZ164" s="146"/>
      <c r="BBA164" s="146"/>
      <c r="BBB164" s="146"/>
      <c r="BBC164" s="146"/>
      <c r="BBD164" s="146"/>
      <c r="BBE164" s="146"/>
      <c r="BBF164" s="146"/>
      <c r="BBG164" s="146"/>
      <c r="BBH164" s="146"/>
      <c r="BBI164" s="146"/>
      <c r="BBJ164" s="146"/>
      <c r="BBK164" s="146"/>
      <c r="BBL164" s="146"/>
      <c r="BBM164" s="146"/>
      <c r="BBN164" s="146"/>
      <c r="BBO164" s="146"/>
      <c r="BBP164" s="146"/>
      <c r="BBQ164" s="146"/>
      <c r="BBR164" s="146"/>
      <c r="BBS164" s="146"/>
      <c r="BBT164" s="146"/>
      <c r="BBU164" s="146"/>
      <c r="BBV164" s="146"/>
      <c r="BBW164" s="146"/>
      <c r="BBX164" s="146"/>
      <c r="BBY164" s="146"/>
      <c r="BBZ164" s="146"/>
      <c r="BCA164" s="146"/>
      <c r="BCB164" s="146"/>
      <c r="BCC164" s="146"/>
      <c r="BCD164" s="146"/>
      <c r="BCE164" s="146"/>
      <c r="BCF164" s="146"/>
      <c r="BCG164" s="146"/>
      <c r="BCH164" s="146"/>
      <c r="BCI164" s="146"/>
      <c r="BCJ164" s="146"/>
      <c r="BCK164" s="146"/>
      <c r="BCL164" s="146"/>
      <c r="BCM164" s="146"/>
      <c r="BCN164" s="146"/>
      <c r="BCO164" s="146"/>
      <c r="BCP164" s="146"/>
      <c r="BCQ164" s="146"/>
      <c r="BCR164" s="146"/>
      <c r="BCS164" s="146"/>
      <c r="BCT164" s="146"/>
      <c r="BCU164" s="146"/>
      <c r="BCV164" s="146"/>
      <c r="BCW164" s="146"/>
      <c r="BCX164" s="146"/>
      <c r="BCY164" s="146"/>
      <c r="BCZ164" s="146"/>
      <c r="BDA164" s="146"/>
      <c r="BDB164" s="146"/>
      <c r="BDC164" s="146"/>
      <c r="BDD164" s="146"/>
      <c r="BDE164" s="146"/>
      <c r="BDF164" s="146"/>
      <c r="BDG164" s="146"/>
      <c r="BDH164" s="146"/>
      <c r="BDI164" s="146"/>
      <c r="BDJ164" s="146"/>
      <c r="BDK164" s="146"/>
      <c r="BDL164" s="146"/>
      <c r="BDM164" s="146"/>
      <c r="BDN164" s="146"/>
      <c r="BDO164" s="146"/>
      <c r="BDP164" s="146"/>
      <c r="BDQ164" s="146"/>
      <c r="BDR164" s="146"/>
      <c r="BDS164" s="146"/>
      <c r="BDT164" s="146"/>
      <c r="BDU164" s="146"/>
      <c r="BDV164" s="146"/>
      <c r="BDW164" s="146"/>
      <c r="BDX164" s="146"/>
      <c r="BDY164" s="146"/>
      <c r="BDZ164" s="146"/>
      <c r="BEA164" s="146"/>
      <c r="BEB164" s="146"/>
      <c r="BEC164" s="146"/>
      <c r="BED164" s="146"/>
      <c r="BEE164" s="146"/>
      <c r="BEF164" s="146"/>
      <c r="BEG164" s="146"/>
      <c r="BEH164" s="146"/>
      <c r="BEI164" s="146"/>
      <c r="BEJ164" s="146"/>
      <c r="BEK164" s="146"/>
      <c r="BEL164" s="146"/>
      <c r="BEM164" s="146"/>
      <c r="BEN164" s="146"/>
      <c r="BEO164" s="146"/>
      <c r="BEP164" s="146"/>
      <c r="BEQ164" s="146"/>
      <c r="BER164" s="146"/>
      <c r="BES164" s="146"/>
      <c r="BET164" s="146"/>
      <c r="BEU164" s="146"/>
      <c r="BEV164" s="146"/>
      <c r="BEW164" s="146"/>
      <c r="BEX164" s="146"/>
      <c r="BEY164" s="146"/>
      <c r="BEZ164" s="146"/>
      <c r="BFA164" s="146"/>
      <c r="BFB164" s="146"/>
      <c r="BFC164" s="146"/>
      <c r="BFD164" s="146"/>
      <c r="BFE164" s="146"/>
      <c r="BFF164" s="146"/>
      <c r="BFG164" s="146"/>
      <c r="BFH164" s="146"/>
      <c r="BFI164" s="146"/>
      <c r="BFJ164" s="146"/>
      <c r="BFK164" s="146"/>
      <c r="BFL164" s="146"/>
      <c r="BFM164" s="146"/>
      <c r="BFN164" s="146"/>
      <c r="BFO164" s="146"/>
      <c r="BFP164" s="146"/>
      <c r="BFQ164" s="146"/>
      <c r="BFR164" s="146"/>
      <c r="BFS164" s="146"/>
      <c r="BFT164" s="146"/>
      <c r="BFU164" s="146"/>
      <c r="BFV164" s="146"/>
      <c r="BFW164" s="146"/>
      <c r="BFX164" s="146"/>
      <c r="BFY164" s="146"/>
      <c r="BFZ164" s="146"/>
      <c r="BGA164" s="146"/>
      <c r="BGB164" s="146"/>
      <c r="BGC164" s="146"/>
      <c r="BGD164" s="146"/>
      <c r="BGE164" s="146"/>
      <c r="BGF164" s="146"/>
      <c r="BGG164" s="146"/>
      <c r="BGH164" s="146"/>
      <c r="BGI164" s="146"/>
      <c r="BGJ164" s="146"/>
      <c r="BGK164" s="146"/>
      <c r="BGL164" s="146"/>
      <c r="BGM164" s="146"/>
      <c r="BGN164" s="146"/>
      <c r="BGO164" s="146"/>
      <c r="BGP164" s="146"/>
      <c r="BGQ164" s="146"/>
      <c r="BGR164" s="146"/>
      <c r="BGS164" s="146"/>
      <c r="BGT164" s="146"/>
      <c r="BGU164" s="146"/>
      <c r="BGV164" s="146"/>
      <c r="BGW164" s="146"/>
      <c r="BGX164" s="146"/>
      <c r="BGY164" s="146"/>
      <c r="BGZ164" s="146"/>
      <c r="BHA164" s="146"/>
      <c r="BHB164" s="146"/>
      <c r="BHC164" s="146"/>
      <c r="BHD164" s="146"/>
      <c r="BHE164" s="146"/>
      <c r="BHF164" s="146"/>
      <c r="BHG164" s="146"/>
      <c r="BHH164" s="146"/>
      <c r="BHI164" s="146"/>
      <c r="BHJ164" s="146"/>
      <c r="BHK164" s="146"/>
      <c r="BHL164" s="146"/>
      <c r="BHM164" s="146"/>
      <c r="BHN164" s="146"/>
      <c r="BHO164" s="146"/>
      <c r="BHP164" s="146"/>
      <c r="BHQ164" s="146"/>
      <c r="BHR164" s="146"/>
      <c r="BHS164" s="146"/>
      <c r="BHT164" s="146"/>
      <c r="BHU164" s="146"/>
      <c r="BHV164" s="146"/>
      <c r="BHW164" s="146"/>
      <c r="BHX164" s="146"/>
      <c r="BHY164" s="146"/>
      <c r="BHZ164" s="146"/>
      <c r="BIA164" s="146"/>
      <c r="BIB164" s="146"/>
      <c r="BIC164" s="146"/>
      <c r="BID164" s="146"/>
      <c r="BIE164" s="146"/>
      <c r="BIF164" s="146"/>
      <c r="BIG164" s="146"/>
      <c r="BIH164" s="146"/>
      <c r="BII164" s="146"/>
      <c r="BIJ164" s="146"/>
      <c r="BIK164" s="146"/>
      <c r="BIL164" s="146"/>
      <c r="BIM164" s="146"/>
      <c r="BIN164" s="146"/>
      <c r="BIO164" s="146"/>
      <c r="BIP164" s="146"/>
      <c r="BIQ164" s="146"/>
      <c r="BIR164" s="146"/>
      <c r="BIS164" s="146"/>
      <c r="BIT164" s="146"/>
      <c r="BIU164" s="146"/>
      <c r="BIV164" s="146"/>
      <c r="BIW164" s="146"/>
      <c r="BIX164" s="146"/>
      <c r="BIY164" s="146"/>
      <c r="BIZ164" s="146"/>
      <c r="BJA164" s="146"/>
      <c r="BJB164" s="146"/>
      <c r="BJC164" s="146"/>
      <c r="BJD164" s="146"/>
      <c r="BJE164" s="146"/>
      <c r="BJF164" s="146"/>
      <c r="BJG164" s="146"/>
      <c r="BJH164" s="146"/>
      <c r="BJI164" s="146"/>
      <c r="BJJ164" s="146"/>
      <c r="BJK164" s="146"/>
      <c r="BJL164" s="146"/>
      <c r="BJM164" s="146"/>
      <c r="BJN164" s="146"/>
      <c r="BJO164" s="146"/>
      <c r="BJP164" s="146"/>
      <c r="BJQ164" s="146"/>
      <c r="BJR164" s="146"/>
      <c r="BJS164" s="146"/>
      <c r="BJT164" s="146"/>
      <c r="BJU164" s="146"/>
      <c r="BJV164" s="146"/>
      <c r="BJW164" s="146"/>
      <c r="BJX164" s="146"/>
      <c r="BJY164" s="146"/>
      <c r="BJZ164" s="146"/>
      <c r="BKA164" s="146"/>
      <c r="BKB164" s="146"/>
      <c r="BKC164" s="146"/>
      <c r="BKD164" s="146"/>
      <c r="BKE164" s="146"/>
      <c r="BKF164" s="146"/>
      <c r="BKG164" s="146"/>
      <c r="BKH164" s="146"/>
      <c r="BKI164" s="146"/>
      <c r="BKJ164" s="146"/>
      <c r="BKK164" s="146"/>
      <c r="BKL164" s="146"/>
      <c r="BKM164" s="146"/>
      <c r="BKN164" s="146"/>
      <c r="BKO164" s="146"/>
      <c r="BKP164" s="146"/>
      <c r="BKQ164" s="146"/>
      <c r="BKR164" s="146"/>
      <c r="BKS164" s="146"/>
      <c r="BKT164" s="146"/>
      <c r="BKU164" s="146"/>
      <c r="BKV164" s="146"/>
      <c r="BKW164" s="146"/>
      <c r="BKX164" s="146"/>
      <c r="BKY164" s="146"/>
      <c r="BKZ164" s="146"/>
      <c r="BLA164" s="146"/>
      <c r="BLB164" s="146"/>
      <c r="BLC164" s="146"/>
      <c r="BLD164" s="146"/>
      <c r="BLE164" s="146"/>
      <c r="BLF164" s="146"/>
      <c r="BLG164" s="146"/>
      <c r="BLH164" s="146"/>
      <c r="BLI164" s="146"/>
      <c r="BLJ164" s="146"/>
      <c r="BLK164" s="146"/>
      <c r="BLL164" s="146"/>
      <c r="BLM164" s="146"/>
      <c r="BLN164" s="146"/>
      <c r="BLO164" s="146"/>
      <c r="BLP164" s="146"/>
      <c r="BLQ164" s="146"/>
      <c r="BLR164" s="146"/>
      <c r="BLS164" s="146"/>
      <c r="BLT164" s="146"/>
      <c r="BLU164" s="146"/>
      <c r="BLV164" s="146"/>
      <c r="BLW164" s="146"/>
      <c r="BLX164" s="146"/>
      <c r="BLY164" s="146"/>
      <c r="BLZ164" s="146"/>
      <c r="BMA164" s="146"/>
      <c r="BMB164" s="146"/>
      <c r="BMC164" s="146"/>
      <c r="BMD164" s="146"/>
      <c r="BME164" s="146"/>
      <c r="BMF164" s="146"/>
      <c r="BMG164" s="146"/>
      <c r="BMH164" s="146"/>
      <c r="BMI164" s="146"/>
      <c r="BMJ164" s="146"/>
      <c r="BMK164" s="146"/>
      <c r="BML164" s="146"/>
      <c r="BMM164" s="146"/>
      <c r="BMN164" s="146"/>
      <c r="BMO164" s="146"/>
      <c r="BMP164" s="146"/>
      <c r="BMQ164" s="146"/>
      <c r="BMR164" s="146"/>
      <c r="BMS164" s="146"/>
      <c r="BMT164" s="146"/>
      <c r="BMU164" s="146"/>
      <c r="BMV164" s="146"/>
      <c r="BMW164" s="146"/>
      <c r="BMX164" s="146"/>
      <c r="BMY164" s="146"/>
      <c r="BMZ164" s="146"/>
      <c r="BNA164" s="146"/>
      <c r="BNB164" s="146"/>
      <c r="BNC164" s="146"/>
      <c r="BND164" s="146"/>
      <c r="BNE164" s="146"/>
      <c r="BNF164" s="146"/>
      <c r="BNG164" s="146"/>
      <c r="BNH164" s="146"/>
      <c r="BNI164" s="146"/>
      <c r="BNJ164" s="146"/>
      <c r="BNK164" s="146"/>
      <c r="BNL164" s="146"/>
      <c r="BNM164" s="146"/>
      <c r="BNN164" s="146"/>
      <c r="BNO164" s="146"/>
      <c r="BNP164" s="146"/>
      <c r="BNQ164" s="146"/>
      <c r="BNR164" s="146"/>
      <c r="BNS164" s="146"/>
      <c r="BNT164" s="146"/>
      <c r="BNU164" s="146"/>
      <c r="BNV164" s="146"/>
      <c r="BNW164" s="146"/>
      <c r="BNX164" s="146"/>
      <c r="BNY164" s="146"/>
      <c r="BNZ164" s="146"/>
      <c r="BOA164" s="146"/>
      <c r="BOB164" s="146"/>
      <c r="BOC164" s="146"/>
      <c r="BOD164" s="146"/>
      <c r="BOE164" s="146"/>
      <c r="BOF164" s="146"/>
      <c r="BOG164" s="146"/>
      <c r="BOH164" s="146"/>
      <c r="BOI164" s="146"/>
      <c r="BOJ164" s="146"/>
      <c r="BOK164" s="146"/>
      <c r="BOL164" s="146"/>
      <c r="BOM164" s="146"/>
      <c r="BON164" s="146"/>
      <c r="BOO164" s="146"/>
      <c r="BOP164" s="146"/>
      <c r="BOQ164" s="146"/>
      <c r="BOR164" s="146"/>
      <c r="BOS164" s="146"/>
      <c r="BOT164" s="146"/>
      <c r="BOU164" s="146"/>
      <c r="BOV164" s="146"/>
      <c r="BOW164" s="146"/>
      <c r="BOX164" s="146"/>
      <c r="BOY164" s="146"/>
      <c r="BOZ164" s="146"/>
      <c r="BPA164" s="146"/>
      <c r="BPB164" s="146"/>
      <c r="BPC164" s="146"/>
      <c r="BPD164" s="146"/>
      <c r="BPE164" s="146"/>
      <c r="BPF164" s="146"/>
      <c r="BPG164" s="146"/>
      <c r="BPH164" s="146"/>
      <c r="BPI164" s="146"/>
      <c r="BPJ164" s="146"/>
      <c r="BPK164" s="146"/>
      <c r="BPL164" s="146"/>
      <c r="BPM164" s="146"/>
      <c r="BPN164" s="146"/>
      <c r="BPO164" s="146"/>
      <c r="BPP164" s="146"/>
      <c r="BPQ164" s="146"/>
      <c r="BPR164" s="146"/>
      <c r="BPS164" s="146"/>
      <c r="BPT164" s="146"/>
      <c r="BPU164" s="146"/>
      <c r="BPV164" s="146"/>
      <c r="BPW164" s="146"/>
      <c r="BPX164" s="146"/>
      <c r="BPY164" s="146"/>
      <c r="BPZ164" s="146"/>
      <c r="BQA164" s="146"/>
      <c r="BQB164" s="146"/>
      <c r="BQC164" s="146"/>
      <c r="BQD164" s="146"/>
      <c r="BQE164" s="146"/>
      <c r="BQF164" s="146"/>
      <c r="BQG164" s="146"/>
      <c r="BQH164" s="146"/>
      <c r="BQI164" s="146"/>
      <c r="BQJ164" s="146"/>
      <c r="BQK164" s="146"/>
      <c r="BQL164" s="146"/>
      <c r="BQM164" s="146"/>
      <c r="BQN164" s="146"/>
      <c r="BQO164" s="146"/>
      <c r="BQP164" s="146"/>
      <c r="BQQ164" s="146"/>
      <c r="BQR164" s="146"/>
      <c r="BQS164" s="146"/>
      <c r="BQT164" s="146"/>
      <c r="BQU164" s="146"/>
      <c r="BQV164" s="146"/>
      <c r="BQW164" s="146"/>
      <c r="BQX164" s="146"/>
      <c r="BQY164" s="146"/>
      <c r="BQZ164" s="146"/>
      <c r="BRA164" s="146"/>
      <c r="BRB164" s="146"/>
      <c r="BRC164" s="146"/>
      <c r="BRD164" s="146"/>
      <c r="BRE164" s="146"/>
      <c r="BRF164" s="146"/>
      <c r="BRG164" s="146"/>
      <c r="BRH164" s="146"/>
      <c r="BRI164" s="146"/>
      <c r="BRJ164" s="146"/>
      <c r="BRK164" s="146"/>
      <c r="BRL164" s="146"/>
      <c r="BRM164" s="146"/>
      <c r="BRN164" s="146"/>
      <c r="BRO164" s="146"/>
      <c r="BRP164" s="146"/>
      <c r="BRQ164" s="146"/>
      <c r="BRR164" s="146"/>
      <c r="BRS164" s="146"/>
      <c r="BRT164" s="146"/>
      <c r="BRU164" s="146"/>
      <c r="BRV164" s="146"/>
      <c r="BRW164" s="146"/>
      <c r="BRX164" s="146"/>
      <c r="BRY164" s="146"/>
      <c r="BRZ164" s="146"/>
      <c r="BSA164" s="146"/>
      <c r="BSB164" s="146"/>
      <c r="BSC164" s="146"/>
      <c r="BSD164" s="146"/>
      <c r="BSE164" s="146"/>
      <c r="BSF164" s="146"/>
      <c r="BSG164" s="146"/>
      <c r="BSH164" s="146"/>
      <c r="BSI164" s="146"/>
      <c r="BSJ164" s="146"/>
      <c r="BSK164" s="146"/>
      <c r="BSL164" s="146"/>
      <c r="BSM164" s="146"/>
      <c r="BSN164" s="146"/>
      <c r="BSO164" s="146"/>
      <c r="BSP164" s="146"/>
      <c r="BSQ164" s="146"/>
      <c r="BSR164" s="146"/>
      <c r="BSS164" s="146"/>
      <c r="BST164" s="146"/>
      <c r="BSU164" s="146"/>
      <c r="BSV164" s="146"/>
      <c r="BSW164" s="146"/>
      <c r="BSX164" s="146"/>
      <c r="BSY164" s="146"/>
      <c r="BSZ164" s="146"/>
      <c r="BTA164" s="146"/>
      <c r="BTB164" s="146"/>
      <c r="BTC164" s="146"/>
      <c r="BTD164" s="146"/>
      <c r="BTE164" s="146"/>
      <c r="BTF164" s="146"/>
      <c r="BTG164" s="146"/>
      <c r="BTH164" s="146"/>
      <c r="BTI164" s="146"/>
      <c r="BTJ164" s="146"/>
      <c r="BTK164" s="146"/>
      <c r="BTL164" s="146"/>
      <c r="BTM164" s="146"/>
      <c r="BTN164" s="146"/>
      <c r="BTO164" s="146"/>
      <c r="BTP164" s="146"/>
      <c r="BTQ164" s="146"/>
      <c r="BTR164" s="146"/>
      <c r="BTS164" s="146"/>
      <c r="BTT164" s="146"/>
      <c r="BTU164" s="146"/>
      <c r="BTV164" s="146"/>
      <c r="BTW164" s="146"/>
      <c r="BTX164" s="146"/>
      <c r="BTY164" s="146"/>
      <c r="BTZ164" s="146"/>
      <c r="BUA164" s="146"/>
      <c r="BUB164" s="146"/>
      <c r="BUC164" s="146"/>
      <c r="BUD164" s="146"/>
      <c r="BUE164" s="146"/>
      <c r="BUF164" s="146"/>
      <c r="BUG164" s="146"/>
      <c r="BUH164" s="146"/>
      <c r="BUI164" s="146"/>
      <c r="BUJ164" s="146"/>
      <c r="BUK164" s="146"/>
      <c r="BUL164" s="146"/>
      <c r="BUM164" s="146"/>
      <c r="BUN164" s="146"/>
      <c r="BUO164" s="146"/>
      <c r="BUP164" s="146"/>
      <c r="BUQ164" s="146"/>
      <c r="BUR164" s="146"/>
      <c r="BUS164" s="146"/>
      <c r="BUT164" s="146"/>
      <c r="BUU164" s="146"/>
      <c r="BUV164" s="146"/>
      <c r="BUW164" s="146"/>
      <c r="BUX164" s="146"/>
      <c r="BUY164" s="146"/>
      <c r="BUZ164" s="146"/>
      <c r="BVA164" s="146"/>
      <c r="BVB164" s="146"/>
      <c r="BVC164" s="146"/>
      <c r="BVD164" s="146"/>
      <c r="BVE164" s="146"/>
      <c r="BVF164" s="146"/>
      <c r="BVG164" s="146"/>
      <c r="BVH164" s="146"/>
      <c r="BVI164" s="146"/>
      <c r="BVJ164" s="146"/>
      <c r="BVK164" s="146"/>
      <c r="BVL164" s="146"/>
      <c r="BVM164" s="146"/>
      <c r="BVN164" s="146"/>
      <c r="BVO164" s="146"/>
      <c r="BVP164" s="146"/>
      <c r="BVQ164" s="146"/>
      <c r="BVR164" s="146"/>
      <c r="BVS164" s="146"/>
      <c r="BVT164" s="146"/>
      <c r="BVU164" s="146"/>
      <c r="BVV164" s="146"/>
      <c r="BVW164" s="146"/>
      <c r="BVX164" s="146"/>
      <c r="BVY164" s="146"/>
      <c r="BVZ164" s="146"/>
      <c r="BWA164" s="146"/>
      <c r="BWB164" s="146"/>
      <c r="BWC164" s="146"/>
      <c r="BWD164" s="146"/>
      <c r="BWE164" s="146"/>
      <c r="BWF164" s="146"/>
      <c r="BWG164" s="146"/>
      <c r="BWH164" s="146"/>
      <c r="BWI164" s="146"/>
      <c r="BWJ164" s="146"/>
      <c r="BWK164" s="146"/>
      <c r="BWL164" s="146"/>
      <c r="BWM164" s="146"/>
      <c r="BWN164" s="146"/>
      <c r="BWO164" s="146"/>
      <c r="BWP164" s="146"/>
      <c r="BWQ164" s="146"/>
      <c r="BWR164" s="146"/>
      <c r="BWS164" s="146"/>
      <c r="BWT164" s="146"/>
      <c r="BWU164" s="146"/>
      <c r="BWV164" s="146"/>
      <c r="BWW164" s="146"/>
      <c r="BWX164" s="146"/>
      <c r="BWY164" s="146"/>
      <c r="BWZ164" s="146"/>
      <c r="BXA164" s="146"/>
      <c r="BXB164" s="146"/>
      <c r="BXC164" s="146"/>
      <c r="BXD164" s="146"/>
      <c r="BXE164" s="146"/>
      <c r="BXF164" s="146"/>
      <c r="BXG164" s="146"/>
      <c r="BXH164" s="146"/>
      <c r="BXI164" s="146"/>
      <c r="BXJ164" s="146"/>
      <c r="BXK164" s="146"/>
      <c r="BXL164" s="146"/>
      <c r="BXM164" s="146"/>
      <c r="BXN164" s="146"/>
      <c r="BXO164" s="146"/>
      <c r="BXP164" s="146"/>
      <c r="BXQ164" s="146"/>
      <c r="BXR164" s="146"/>
      <c r="BXS164" s="146"/>
      <c r="BXT164" s="146"/>
      <c r="BXU164" s="146"/>
      <c r="BXV164" s="146"/>
      <c r="BXW164" s="146"/>
      <c r="BXX164" s="146"/>
      <c r="BXY164" s="146"/>
      <c r="BXZ164" s="146"/>
      <c r="BYA164" s="146"/>
      <c r="BYB164" s="146"/>
      <c r="BYC164" s="146"/>
      <c r="BYD164" s="146"/>
      <c r="BYE164" s="146"/>
      <c r="BYF164" s="146"/>
      <c r="BYG164" s="146"/>
      <c r="BYH164" s="146"/>
      <c r="BYI164" s="146"/>
      <c r="BYJ164" s="146"/>
      <c r="BYK164" s="146"/>
      <c r="BYL164" s="146"/>
      <c r="BYM164" s="146"/>
      <c r="BYN164" s="146"/>
      <c r="BYO164" s="146"/>
      <c r="BYP164" s="146"/>
      <c r="BYQ164" s="146"/>
      <c r="BYR164" s="146"/>
      <c r="BYS164" s="146"/>
      <c r="BYT164" s="146"/>
      <c r="BYU164" s="146"/>
      <c r="BYV164" s="146"/>
      <c r="BYW164" s="146"/>
      <c r="BYX164" s="146"/>
      <c r="BYY164" s="146"/>
      <c r="BYZ164" s="146"/>
      <c r="BZA164" s="146"/>
      <c r="BZB164" s="146"/>
      <c r="BZC164" s="146"/>
      <c r="BZD164" s="146"/>
      <c r="BZE164" s="146"/>
      <c r="BZF164" s="146"/>
      <c r="BZG164" s="146"/>
      <c r="BZH164" s="146"/>
      <c r="BZI164" s="146"/>
      <c r="BZJ164" s="146"/>
      <c r="BZK164" s="146"/>
      <c r="BZL164" s="146"/>
      <c r="BZM164" s="146"/>
      <c r="BZN164" s="146"/>
      <c r="BZO164" s="146"/>
      <c r="BZP164" s="146"/>
      <c r="BZQ164" s="146"/>
      <c r="BZR164" s="146"/>
      <c r="BZS164" s="146"/>
      <c r="BZT164" s="146"/>
      <c r="BZU164" s="146"/>
      <c r="BZV164" s="146"/>
      <c r="BZW164" s="146"/>
      <c r="BZX164" s="146"/>
      <c r="BZY164" s="146"/>
      <c r="BZZ164" s="146"/>
      <c r="CAA164" s="146"/>
      <c r="CAB164" s="146"/>
      <c r="CAC164" s="146"/>
      <c r="CAD164" s="146"/>
      <c r="CAE164" s="146"/>
      <c r="CAF164" s="146"/>
      <c r="CAG164" s="146"/>
      <c r="CAH164" s="146"/>
      <c r="CAI164" s="146"/>
      <c r="CAJ164" s="146"/>
      <c r="CAK164" s="146"/>
      <c r="CAL164" s="146"/>
      <c r="CAM164" s="146"/>
      <c r="CAN164" s="146"/>
      <c r="CAO164" s="146"/>
      <c r="CAP164" s="146"/>
      <c r="CAQ164" s="146"/>
      <c r="CAR164" s="146"/>
      <c r="CAS164" s="146"/>
      <c r="CAT164" s="146"/>
      <c r="CAU164" s="146"/>
      <c r="CAV164" s="146"/>
      <c r="CAW164" s="146"/>
      <c r="CAX164" s="146"/>
      <c r="CAY164" s="146"/>
      <c r="CAZ164" s="146"/>
      <c r="CBA164" s="146"/>
      <c r="CBB164" s="146"/>
      <c r="CBC164" s="146"/>
      <c r="CBD164" s="146"/>
      <c r="CBE164" s="146"/>
      <c r="CBF164" s="146"/>
      <c r="CBG164" s="146"/>
      <c r="CBH164" s="146"/>
      <c r="CBI164" s="146"/>
      <c r="CBJ164" s="146"/>
      <c r="CBK164" s="146"/>
      <c r="CBL164" s="146"/>
      <c r="CBM164" s="146"/>
      <c r="CBN164" s="146"/>
      <c r="CBO164" s="146"/>
      <c r="CBP164" s="146"/>
      <c r="CBQ164" s="146"/>
      <c r="CBR164" s="146"/>
      <c r="CBS164" s="146"/>
      <c r="CBT164" s="146"/>
      <c r="CBU164" s="146"/>
      <c r="CBV164" s="146"/>
      <c r="CBW164" s="146"/>
      <c r="CBX164" s="146"/>
      <c r="CBY164" s="146"/>
      <c r="CBZ164" s="146"/>
      <c r="CCA164" s="146"/>
      <c r="CCB164" s="146"/>
      <c r="CCC164" s="146"/>
      <c r="CCD164" s="146"/>
      <c r="CCE164" s="146"/>
      <c r="CCF164" s="146"/>
      <c r="CCG164" s="146"/>
      <c r="CCH164" s="146"/>
      <c r="CCI164" s="146"/>
      <c r="CCJ164" s="146"/>
      <c r="CCK164" s="146"/>
      <c r="CCL164" s="146"/>
      <c r="CCM164" s="146"/>
      <c r="CCN164" s="146"/>
      <c r="CCO164" s="146"/>
      <c r="CCP164" s="146"/>
      <c r="CCQ164" s="146"/>
      <c r="CCR164" s="146"/>
      <c r="CCS164" s="146"/>
      <c r="CCT164" s="146"/>
      <c r="CCU164" s="146"/>
      <c r="CCV164" s="146"/>
      <c r="CCW164" s="146"/>
      <c r="CCX164" s="146"/>
      <c r="CCY164" s="146"/>
      <c r="CCZ164" s="146"/>
      <c r="CDA164" s="146"/>
      <c r="CDB164" s="146"/>
      <c r="CDC164" s="146"/>
      <c r="CDD164" s="146"/>
      <c r="CDE164" s="146"/>
      <c r="CDF164" s="146"/>
      <c r="CDG164" s="146"/>
      <c r="CDH164" s="146"/>
      <c r="CDI164" s="146"/>
      <c r="CDJ164" s="146"/>
      <c r="CDK164" s="146"/>
      <c r="CDL164" s="146"/>
      <c r="CDM164" s="146"/>
      <c r="CDN164" s="146"/>
      <c r="CDO164" s="146"/>
      <c r="CDP164" s="146"/>
      <c r="CDQ164" s="146"/>
      <c r="CDR164" s="146"/>
      <c r="CDS164" s="146"/>
      <c r="CDT164" s="146"/>
      <c r="CDU164" s="146"/>
      <c r="CDV164" s="146"/>
      <c r="CDW164" s="146"/>
      <c r="CDX164" s="146"/>
      <c r="CDY164" s="146"/>
      <c r="CDZ164" s="146"/>
      <c r="CEA164" s="146"/>
      <c r="CEB164" s="146"/>
      <c r="CEC164" s="146"/>
      <c r="CED164" s="146"/>
      <c r="CEE164" s="146"/>
      <c r="CEF164" s="146"/>
      <c r="CEG164" s="146"/>
      <c r="CEH164" s="146"/>
      <c r="CEI164" s="146"/>
      <c r="CEJ164" s="146"/>
      <c r="CEK164" s="146"/>
      <c r="CEL164" s="146"/>
      <c r="CEM164" s="146"/>
      <c r="CEN164" s="146"/>
      <c r="CEO164" s="146"/>
      <c r="CEP164" s="146"/>
      <c r="CEQ164" s="146"/>
      <c r="CER164" s="146"/>
      <c r="CES164" s="146"/>
      <c r="CET164" s="146"/>
      <c r="CEU164" s="146"/>
      <c r="CEV164" s="146"/>
      <c r="CEW164" s="146"/>
      <c r="CEX164" s="146"/>
      <c r="CEY164" s="146"/>
      <c r="CEZ164" s="146"/>
      <c r="CFA164" s="146"/>
      <c r="CFB164" s="146"/>
      <c r="CFC164" s="146"/>
      <c r="CFD164" s="146"/>
      <c r="CFE164" s="146"/>
      <c r="CFF164" s="146"/>
      <c r="CFG164" s="146"/>
      <c r="CFH164" s="146"/>
      <c r="CFI164" s="146"/>
      <c r="CFJ164" s="146"/>
      <c r="CFK164" s="146"/>
      <c r="CFL164" s="146"/>
      <c r="CFM164" s="146"/>
      <c r="CFN164" s="146"/>
      <c r="CFO164" s="146"/>
      <c r="CFP164" s="146"/>
      <c r="CFQ164" s="146"/>
      <c r="CFR164" s="146"/>
      <c r="CFS164" s="146"/>
      <c r="CFT164" s="146"/>
      <c r="CFU164" s="146"/>
      <c r="CFV164" s="146"/>
      <c r="CFW164" s="146"/>
      <c r="CFX164" s="146"/>
      <c r="CFY164" s="146"/>
      <c r="CFZ164" s="146"/>
      <c r="CGA164" s="146"/>
      <c r="CGB164" s="146"/>
      <c r="CGC164" s="146"/>
      <c r="CGD164" s="146"/>
      <c r="CGE164" s="146"/>
      <c r="CGF164" s="146"/>
      <c r="CGG164" s="146"/>
      <c r="CGH164" s="146"/>
      <c r="CGI164" s="146"/>
      <c r="CGJ164" s="146"/>
      <c r="CGK164" s="146"/>
      <c r="CGL164" s="146"/>
      <c r="CGM164" s="146"/>
      <c r="CGN164" s="146"/>
      <c r="CGO164" s="146"/>
      <c r="CGP164" s="146"/>
      <c r="CGQ164" s="146"/>
      <c r="CGR164" s="146"/>
      <c r="CGS164" s="146"/>
      <c r="CGT164" s="146"/>
      <c r="CGU164" s="146"/>
      <c r="CGV164" s="146"/>
      <c r="CGW164" s="146"/>
      <c r="CGX164" s="146"/>
      <c r="CGY164" s="146"/>
      <c r="CGZ164" s="146"/>
      <c r="CHA164" s="146"/>
      <c r="CHB164" s="146"/>
      <c r="CHC164" s="146"/>
      <c r="CHD164" s="146"/>
      <c r="CHE164" s="146"/>
      <c r="CHF164" s="146"/>
      <c r="CHG164" s="146"/>
      <c r="CHH164" s="146"/>
      <c r="CHI164" s="146"/>
      <c r="CHJ164" s="146"/>
      <c r="CHK164" s="146"/>
      <c r="CHL164" s="146"/>
      <c r="CHM164" s="146"/>
      <c r="CHN164" s="146"/>
      <c r="CHO164" s="146"/>
      <c r="CHP164" s="146"/>
      <c r="CHQ164" s="146"/>
      <c r="CHR164" s="146"/>
      <c r="CHS164" s="146"/>
      <c r="CHT164" s="146"/>
      <c r="CHU164" s="146"/>
      <c r="CHV164" s="146"/>
      <c r="CHW164" s="146"/>
      <c r="CHX164" s="146"/>
      <c r="CHY164" s="146"/>
      <c r="CHZ164" s="146"/>
      <c r="CIA164" s="146"/>
      <c r="CIB164" s="146"/>
      <c r="CIC164" s="146"/>
      <c r="CID164" s="146"/>
      <c r="CIE164" s="146"/>
      <c r="CIF164" s="146"/>
      <c r="CIG164" s="146"/>
      <c r="CIH164" s="146"/>
      <c r="CII164" s="146"/>
      <c r="CIJ164" s="146"/>
      <c r="CIK164" s="146"/>
      <c r="CIL164" s="146"/>
      <c r="CIM164" s="146"/>
      <c r="CIN164" s="146"/>
      <c r="CIO164" s="146"/>
      <c r="CIP164" s="146"/>
      <c r="CIQ164" s="146"/>
      <c r="CIR164" s="146"/>
      <c r="CIS164" s="146"/>
      <c r="CIT164" s="146"/>
      <c r="CIU164" s="146"/>
      <c r="CIV164" s="146"/>
      <c r="CIW164" s="146"/>
      <c r="CIX164" s="146"/>
      <c r="CIY164" s="146"/>
      <c r="CIZ164" s="146"/>
      <c r="CJA164" s="146"/>
      <c r="CJB164" s="146"/>
      <c r="CJC164" s="146"/>
      <c r="CJD164" s="146"/>
      <c r="CJE164" s="146"/>
      <c r="CJF164" s="146"/>
      <c r="CJG164" s="146"/>
      <c r="CJH164" s="146"/>
      <c r="CJI164" s="146"/>
      <c r="CJJ164" s="146"/>
      <c r="CJK164" s="146"/>
      <c r="CJL164" s="146"/>
      <c r="CJM164" s="146"/>
      <c r="CJN164" s="146"/>
      <c r="CJO164" s="146"/>
      <c r="CJP164" s="146"/>
      <c r="CJQ164" s="146"/>
      <c r="CJR164" s="146"/>
      <c r="CJS164" s="146"/>
      <c r="CJT164" s="146"/>
      <c r="CJU164" s="146"/>
      <c r="CJV164" s="146"/>
      <c r="CJW164" s="146"/>
      <c r="CJX164" s="146"/>
      <c r="CJY164" s="146"/>
      <c r="CJZ164" s="146"/>
      <c r="CKA164" s="146"/>
      <c r="CKB164" s="146"/>
      <c r="CKC164" s="146"/>
      <c r="CKD164" s="146"/>
      <c r="CKE164" s="146"/>
      <c r="CKF164" s="146"/>
      <c r="CKG164" s="146"/>
      <c r="CKH164" s="146"/>
      <c r="CKI164" s="146"/>
      <c r="CKJ164" s="146"/>
      <c r="CKK164" s="146"/>
      <c r="CKL164" s="146"/>
      <c r="CKM164" s="146"/>
      <c r="CKN164" s="146"/>
      <c r="CKO164" s="146"/>
      <c r="CKP164" s="146"/>
      <c r="CKQ164" s="146"/>
      <c r="CKR164" s="146"/>
      <c r="CKS164" s="146"/>
      <c r="CKT164" s="146"/>
      <c r="CKU164" s="146"/>
      <c r="CKV164" s="146"/>
      <c r="CKW164" s="146"/>
      <c r="CKX164" s="146"/>
      <c r="CKY164" s="146"/>
      <c r="CKZ164" s="146"/>
      <c r="CLA164" s="146"/>
      <c r="CLB164" s="146"/>
      <c r="CLC164" s="146"/>
      <c r="CLD164" s="146"/>
      <c r="CLE164" s="146"/>
      <c r="CLF164" s="146"/>
      <c r="CLG164" s="146"/>
      <c r="CLH164" s="146"/>
      <c r="CLI164" s="146"/>
      <c r="CLJ164" s="146"/>
      <c r="CLK164" s="146"/>
      <c r="CLL164" s="146"/>
      <c r="CLM164" s="146"/>
      <c r="CLN164" s="146"/>
      <c r="CLO164" s="146"/>
      <c r="CLP164" s="146"/>
      <c r="CLQ164" s="146"/>
      <c r="CLR164" s="146"/>
      <c r="CLS164" s="146"/>
      <c r="CLT164" s="146"/>
      <c r="CLU164" s="146"/>
      <c r="CLV164" s="146"/>
      <c r="CLW164" s="146"/>
      <c r="CLX164" s="146"/>
      <c r="CLY164" s="146"/>
      <c r="CLZ164" s="146"/>
      <c r="CMA164" s="146"/>
      <c r="CMB164" s="146"/>
      <c r="CMC164" s="146"/>
      <c r="CMD164" s="146"/>
      <c r="CME164" s="146"/>
      <c r="CMF164" s="146"/>
      <c r="CMG164" s="146"/>
      <c r="CMH164" s="146"/>
      <c r="CMI164" s="146"/>
      <c r="CMJ164" s="146"/>
      <c r="CMK164" s="146"/>
      <c r="CML164" s="146"/>
      <c r="CMM164" s="146"/>
      <c r="CMN164" s="146"/>
      <c r="CMO164" s="146"/>
      <c r="CMP164" s="146"/>
      <c r="CMQ164" s="146"/>
      <c r="CMR164" s="146"/>
      <c r="CMS164" s="146"/>
      <c r="CMT164" s="146"/>
      <c r="CMU164" s="146"/>
      <c r="CMV164" s="146"/>
      <c r="CMW164" s="146"/>
      <c r="CMX164" s="146"/>
      <c r="CMY164" s="146"/>
      <c r="CMZ164" s="146"/>
      <c r="CNA164" s="146"/>
      <c r="CNB164" s="146"/>
      <c r="CNC164" s="146"/>
      <c r="CND164" s="146"/>
      <c r="CNE164" s="146"/>
      <c r="CNF164" s="146"/>
      <c r="CNG164" s="146"/>
      <c r="CNH164" s="146"/>
      <c r="CNI164" s="146"/>
      <c r="CNJ164" s="146"/>
      <c r="CNK164" s="146"/>
      <c r="CNL164" s="146"/>
      <c r="CNM164" s="146"/>
      <c r="CNN164" s="146"/>
      <c r="CNO164" s="146"/>
      <c r="CNP164" s="146"/>
      <c r="CNQ164" s="146"/>
      <c r="CNR164" s="146"/>
      <c r="CNS164" s="146"/>
      <c r="CNT164" s="146"/>
      <c r="CNU164" s="146"/>
      <c r="CNV164" s="146"/>
      <c r="CNW164" s="146"/>
      <c r="CNX164" s="146"/>
      <c r="CNY164" s="146"/>
      <c r="CNZ164" s="146"/>
      <c r="COA164" s="146"/>
      <c r="COB164" s="146"/>
      <c r="COC164" s="146"/>
      <c r="COD164" s="146"/>
      <c r="COE164" s="146"/>
      <c r="COF164" s="146"/>
      <c r="COG164" s="146"/>
      <c r="COH164" s="146"/>
      <c r="COI164" s="146"/>
      <c r="COJ164" s="146"/>
      <c r="COK164" s="146"/>
      <c r="COL164" s="146"/>
      <c r="COM164" s="146"/>
      <c r="CON164" s="146"/>
      <c r="COO164" s="146"/>
      <c r="COP164" s="146"/>
      <c r="COQ164" s="146"/>
      <c r="COR164" s="146"/>
      <c r="COS164" s="146"/>
      <c r="COT164" s="146"/>
      <c r="COU164" s="146"/>
      <c r="COV164" s="146"/>
      <c r="COW164" s="146"/>
      <c r="COX164" s="146"/>
      <c r="COY164" s="146"/>
      <c r="COZ164" s="146"/>
      <c r="CPA164" s="146"/>
      <c r="CPB164" s="146"/>
      <c r="CPC164" s="146"/>
      <c r="CPD164" s="146"/>
      <c r="CPE164" s="146"/>
      <c r="CPF164" s="146"/>
      <c r="CPG164" s="146"/>
      <c r="CPH164" s="146"/>
      <c r="CPI164" s="146"/>
      <c r="CPJ164" s="146"/>
      <c r="CPK164" s="146"/>
      <c r="CPL164" s="146"/>
      <c r="CPM164" s="146"/>
      <c r="CPN164" s="146"/>
      <c r="CPO164" s="146"/>
      <c r="CPP164" s="146"/>
      <c r="CPQ164" s="146"/>
      <c r="CPR164" s="146"/>
      <c r="CPS164" s="146"/>
      <c r="CPT164" s="146"/>
      <c r="CPU164" s="146"/>
      <c r="CPV164" s="146"/>
      <c r="CPW164" s="146"/>
      <c r="CPX164" s="146"/>
      <c r="CPY164" s="146"/>
      <c r="CPZ164" s="146"/>
      <c r="CQA164" s="146"/>
      <c r="CQB164" s="146"/>
      <c r="CQC164" s="146"/>
      <c r="CQD164" s="146"/>
      <c r="CQE164" s="146"/>
      <c r="CQF164" s="146"/>
      <c r="CQG164" s="146"/>
      <c r="CQH164" s="146"/>
      <c r="CQI164" s="146"/>
      <c r="CQJ164" s="146"/>
      <c r="CQK164" s="146"/>
      <c r="CQL164" s="146"/>
      <c r="CQM164" s="146"/>
      <c r="CQN164" s="146"/>
      <c r="CQO164" s="146"/>
      <c r="CQP164" s="146"/>
      <c r="CQQ164" s="146"/>
      <c r="CQR164" s="146"/>
      <c r="CQS164" s="146"/>
      <c r="CQT164" s="146"/>
      <c r="CQU164" s="146"/>
      <c r="CQV164" s="146"/>
      <c r="CQW164" s="146"/>
      <c r="CQX164" s="146"/>
      <c r="CQY164" s="146"/>
      <c r="CQZ164" s="146"/>
      <c r="CRA164" s="146"/>
      <c r="CRB164" s="146"/>
      <c r="CRC164" s="146"/>
      <c r="CRD164" s="146"/>
      <c r="CRE164" s="146"/>
      <c r="CRF164" s="146"/>
      <c r="CRG164" s="146"/>
      <c r="CRH164" s="146"/>
      <c r="CRI164" s="146"/>
      <c r="CRJ164" s="146"/>
      <c r="CRK164" s="146"/>
      <c r="CRL164" s="146"/>
      <c r="CRM164" s="146"/>
      <c r="CRN164" s="146"/>
      <c r="CRO164" s="146"/>
      <c r="CRP164" s="146"/>
      <c r="CRQ164" s="146"/>
      <c r="CRR164" s="146"/>
      <c r="CRS164" s="146"/>
      <c r="CRT164" s="146"/>
      <c r="CRU164" s="146"/>
      <c r="CRV164" s="146"/>
      <c r="CRW164" s="146"/>
      <c r="CRX164" s="146"/>
      <c r="CRY164" s="146"/>
      <c r="CRZ164" s="146"/>
      <c r="CSA164" s="146"/>
      <c r="CSB164" s="146"/>
      <c r="CSC164" s="146"/>
      <c r="CSD164" s="146"/>
      <c r="CSE164" s="146"/>
      <c r="CSF164" s="146"/>
      <c r="CSG164" s="146"/>
      <c r="CSH164" s="146"/>
      <c r="CSI164" s="146"/>
      <c r="CSJ164" s="146"/>
      <c r="CSK164" s="146"/>
      <c r="CSL164" s="146"/>
      <c r="CSM164" s="146"/>
      <c r="CSN164" s="146"/>
      <c r="CSO164" s="146"/>
      <c r="CSP164" s="146"/>
      <c r="CSQ164" s="146"/>
      <c r="CSR164" s="146"/>
      <c r="CSS164" s="146"/>
      <c r="CST164" s="146"/>
      <c r="CSU164" s="146"/>
      <c r="CSV164" s="146"/>
      <c r="CSW164" s="146"/>
      <c r="CSX164" s="146"/>
      <c r="CSY164" s="146"/>
      <c r="CSZ164" s="146"/>
      <c r="CTA164" s="146"/>
      <c r="CTB164" s="146"/>
      <c r="CTC164" s="146"/>
      <c r="CTD164" s="146"/>
      <c r="CTE164" s="146"/>
      <c r="CTF164" s="146"/>
      <c r="CTG164" s="146"/>
      <c r="CTH164" s="146"/>
      <c r="CTI164" s="146"/>
      <c r="CTJ164" s="146"/>
      <c r="CTK164" s="146"/>
      <c r="CTL164" s="146"/>
      <c r="CTM164" s="146"/>
      <c r="CTN164" s="146"/>
      <c r="CTO164" s="146"/>
      <c r="CTP164" s="146"/>
      <c r="CTQ164" s="146"/>
      <c r="CTR164" s="146"/>
      <c r="CTS164" s="146"/>
      <c r="CTT164" s="146"/>
      <c r="CTU164" s="146"/>
      <c r="CTV164" s="146"/>
      <c r="CTW164" s="146"/>
      <c r="CTX164" s="146"/>
      <c r="CTY164" s="146"/>
      <c r="CTZ164" s="146"/>
      <c r="CUA164" s="146"/>
      <c r="CUB164" s="146"/>
      <c r="CUC164" s="146"/>
      <c r="CUD164" s="146"/>
      <c r="CUE164" s="146"/>
      <c r="CUF164" s="146"/>
      <c r="CUG164" s="146"/>
      <c r="CUH164" s="146"/>
      <c r="CUI164" s="146"/>
      <c r="CUJ164" s="146"/>
      <c r="CUK164" s="146"/>
      <c r="CUL164" s="146"/>
      <c r="CUM164" s="146"/>
      <c r="CUN164" s="146"/>
      <c r="CUO164" s="146"/>
      <c r="CUP164" s="146"/>
      <c r="CUQ164" s="146"/>
      <c r="CUR164" s="146"/>
      <c r="CUS164" s="146"/>
      <c r="CUT164" s="146"/>
      <c r="CUU164" s="146"/>
      <c r="CUV164" s="146"/>
      <c r="CUW164" s="146"/>
      <c r="CUX164" s="146"/>
      <c r="CUY164" s="146"/>
      <c r="CUZ164" s="146"/>
      <c r="CVA164" s="146"/>
      <c r="CVB164" s="146"/>
      <c r="CVC164" s="146"/>
      <c r="CVD164" s="146"/>
      <c r="CVE164" s="146"/>
      <c r="CVF164" s="146"/>
      <c r="CVG164" s="146"/>
      <c r="CVH164" s="146"/>
      <c r="CVI164" s="146"/>
      <c r="CVJ164" s="146"/>
      <c r="CVK164" s="146"/>
      <c r="CVL164" s="146"/>
      <c r="CVM164" s="146"/>
      <c r="CVN164" s="146"/>
      <c r="CVO164" s="146"/>
      <c r="CVP164" s="146"/>
      <c r="CVQ164" s="146"/>
      <c r="CVR164" s="146"/>
      <c r="CVS164" s="146"/>
      <c r="CVT164" s="146"/>
      <c r="CVU164" s="146"/>
      <c r="CVV164" s="146"/>
      <c r="CVW164" s="146"/>
      <c r="CVX164" s="146"/>
      <c r="CVY164" s="146"/>
      <c r="CVZ164" s="146"/>
      <c r="CWA164" s="146"/>
      <c r="CWB164" s="146"/>
      <c r="CWC164" s="146"/>
      <c r="CWD164" s="146"/>
      <c r="CWE164" s="146"/>
      <c r="CWF164" s="146"/>
      <c r="CWG164" s="146"/>
      <c r="CWH164" s="146"/>
      <c r="CWI164" s="146"/>
      <c r="CWJ164" s="146"/>
      <c r="CWK164" s="146"/>
      <c r="CWL164" s="146"/>
      <c r="CWM164" s="146"/>
      <c r="CWN164" s="146"/>
      <c r="CWO164" s="146"/>
      <c r="CWP164" s="146"/>
      <c r="CWQ164" s="146"/>
      <c r="CWR164" s="146"/>
      <c r="CWS164" s="146"/>
      <c r="CWT164" s="146"/>
      <c r="CWU164" s="146"/>
      <c r="CWV164" s="146"/>
      <c r="CWW164" s="146"/>
      <c r="CWX164" s="146"/>
      <c r="CWY164" s="146"/>
      <c r="CWZ164" s="146"/>
      <c r="CXA164" s="146"/>
      <c r="CXB164" s="146"/>
      <c r="CXC164" s="146"/>
      <c r="CXD164" s="146"/>
      <c r="CXE164" s="146"/>
      <c r="CXF164" s="146"/>
      <c r="CXG164" s="146"/>
      <c r="CXH164" s="146"/>
      <c r="CXI164" s="146"/>
      <c r="CXJ164" s="146"/>
      <c r="CXK164" s="146"/>
      <c r="CXL164" s="146"/>
      <c r="CXM164" s="146"/>
      <c r="CXN164" s="146"/>
      <c r="CXO164" s="146"/>
      <c r="CXP164" s="146"/>
      <c r="CXQ164" s="146"/>
      <c r="CXR164" s="146"/>
      <c r="CXS164" s="146"/>
      <c r="CXT164" s="146"/>
      <c r="CXU164" s="146"/>
      <c r="CXV164" s="146"/>
      <c r="CXW164" s="146"/>
      <c r="CXX164" s="146"/>
      <c r="CXY164" s="146"/>
      <c r="CXZ164" s="146"/>
      <c r="CYA164" s="146"/>
      <c r="CYB164" s="146"/>
      <c r="CYC164" s="146"/>
      <c r="CYD164" s="146"/>
      <c r="CYE164" s="146"/>
      <c r="CYF164" s="146"/>
      <c r="CYG164" s="146"/>
      <c r="CYH164" s="146"/>
      <c r="CYI164" s="146"/>
      <c r="CYJ164" s="146"/>
      <c r="CYK164" s="146"/>
      <c r="CYL164" s="146"/>
      <c r="CYM164" s="146"/>
      <c r="CYN164" s="146"/>
      <c r="CYO164" s="146"/>
      <c r="CYP164" s="146"/>
      <c r="CYQ164" s="146"/>
      <c r="CYR164" s="146"/>
      <c r="CYS164" s="146"/>
      <c r="CYT164" s="146"/>
      <c r="CYU164" s="146"/>
      <c r="CYV164" s="146"/>
      <c r="CYW164" s="146"/>
      <c r="CYX164" s="146"/>
      <c r="CYY164" s="146"/>
      <c r="CYZ164" s="146"/>
      <c r="CZA164" s="146"/>
      <c r="CZB164" s="146"/>
      <c r="CZC164" s="146"/>
      <c r="CZD164" s="146"/>
      <c r="CZE164" s="146"/>
      <c r="CZF164" s="146"/>
      <c r="CZG164" s="146"/>
      <c r="CZH164" s="146"/>
      <c r="CZI164" s="146"/>
      <c r="CZJ164" s="146"/>
      <c r="CZK164" s="146"/>
      <c r="CZL164" s="146"/>
      <c r="CZM164" s="146"/>
      <c r="CZN164" s="146"/>
      <c r="CZO164" s="146"/>
      <c r="CZP164" s="146"/>
      <c r="CZQ164" s="146"/>
      <c r="CZR164" s="146"/>
      <c r="CZS164" s="146"/>
      <c r="CZT164" s="146"/>
      <c r="CZU164" s="146"/>
      <c r="CZV164" s="146"/>
      <c r="CZW164" s="146"/>
      <c r="CZX164" s="146"/>
      <c r="CZY164" s="146"/>
      <c r="CZZ164" s="146"/>
      <c r="DAA164" s="146"/>
      <c r="DAB164" s="146"/>
      <c r="DAC164" s="146"/>
      <c r="DAD164" s="146"/>
      <c r="DAE164" s="146"/>
      <c r="DAF164" s="146"/>
      <c r="DAG164" s="146"/>
      <c r="DAH164" s="146"/>
      <c r="DAI164" s="146"/>
      <c r="DAJ164" s="146"/>
      <c r="DAK164" s="146"/>
      <c r="DAL164" s="146"/>
      <c r="DAM164" s="146"/>
      <c r="DAN164" s="146"/>
      <c r="DAO164" s="146"/>
      <c r="DAP164" s="146"/>
      <c r="DAQ164" s="146"/>
      <c r="DAR164" s="146"/>
      <c r="DAS164" s="146"/>
      <c r="DAT164" s="146"/>
      <c r="DAU164" s="146"/>
      <c r="DAV164" s="146"/>
      <c r="DAW164" s="146"/>
      <c r="DAX164" s="146"/>
      <c r="DAY164" s="146"/>
      <c r="DAZ164" s="146"/>
      <c r="DBA164" s="146"/>
      <c r="DBB164" s="146"/>
      <c r="DBC164" s="146"/>
      <c r="DBD164" s="146"/>
      <c r="DBE164" s="146"/>
      <c r="DBF164" s="146"/>
      <c r="DBG164" s="146"/>
      <c r="DBH164" s="146"/>
      <c r="DBI164" s="146"/>
      <c r="DBJ164" s="146"/>
      <c r="DBK164" s="146"/>
      <c r="DBL164" s="146"/>
      <c r="DBM164" s="146"/>
      <c r="DBN164" s="146"/>
      <c r="DBO164" s="146"/>
      <c r="DBP164" s="146"/>
      <c r="DBQ164" s="146"/>
      <c r="DBR164" s="146"/>
      <c r="DBS164" s="146"/>
      <c r="DBT164" s="146"/>
      <c r="DBU164" s="146"/>
      <c r="DBV164" s="146"/>
      <c r="DBW164" s="146"/>
      <c r="DBX164" s="146"/>
      <c r="DBY164" s="146"/>
      <c r="DBZ164" s="146"/>
      <c r="DCA164" s="146"/>
      <c r="DCB164" s="146"/>
      <c r="DCC164" s="146"/>
      <c r="DCD164" s="146"/>
      <c r="DCE164" s="146"/>
      <c r="DCF164" s="146"/>
      <c r="DCG164" s="146"/>
      <c r="DCH164" s="146"/>
      <c r="DCI164" s="146"/>
      <c r="DCJ164" s="146"/>
      <c r="DCK164" s="146"/>
      <c r="DCL164" s="146"/>
      <c r="DCM164" s="146"/>
      <c r="DCN164" s="146"/>
      <c r="DCO164" s="146"/>
      <c r="DCP164" s="146"/>
      <c r="DCQ164" s="146"/>
      <c r="DCR164" s="146"/>
      <c r="DCS164" s="146"/>
      <c r="DCT164" s="146"/>
      <c r="DCU164" s="146"/>
      <c r="DCV164" s="146"/>
      <c r="DCW164" s="146"/>
      <c r="DCX164" s="146"/>
      <c r="DCY164" s="146"/>
      <c r="DCZ164" s="146"/>
      <c r="DDA164" s="146"/>
      <c r="DDB164" s="146"/>
      <c r="DDC164" s="146"/>
      <c r="DDD164" s="146"/>
      <c r="DDE164" s="146"/>
      <c r="DDF164" s="146"/>
      <c r="DDG164" s="146"/>
      <c r="DDH164" s="146"/>
      <c r="DDI164" s="146"/>
      <c r="DDJ164" s="146"/>
      <c r="DDK164" s="146"/>
      <c r="DDL164" s="146"/>
      <c r="DDM164" s="146"/>
      <c r="DDN164" s="146"/>
      <c r="DDO164" s="146"/>
      <c r="DDP164" s="146"/>
      <c r="DDQ164" s="146"/>
      <c r="DDR164" s="146"/>
      <c r="DDS164" s="146"/>
      <c r="DDT164" s="146"/>
      <c r="DDU164" s="146"/>
      <c r="DDV164" s="146"/>
      <c r="DDW164" s="146"/>
      <c r="DDX164" s="146"/>
      <c r="DDY164" s="146"/>
      <c r="DDZ164" s="146"/>
      <c r="DEA164" s="146"/>
      <c r="DEB164" s="146"/>
      <c r="DEC164" s="146"/>
      <c r="DED164" s="146"/>
      <c r="DEE164" s="146"/>
      <c r="DEF164" s="146"/>
      <c r="DEG164" s="146"/>
      <c r="DEH164" s="146"/>
      <c r="DEI164" s="146"/>
      <c r="DEJ164" s="146"/>
      <c r="DEK164" s="146"/>
      <c r="DEL164" s="146"/>
      <c r="DEM164" s="146"/>
      <c r="DEN164" s="146"/>
      <c r="DEO164" s="146"/>
      <c r="DEP164" s="146"/>
      <c r="DEQ164" s="146"/>
      <c r="DER164" s="146"/>
      <c r="DES164" s="146"/>
      <c r="DET164" s="146"/>
      <c r="DEU164" s="146"/>
      <c r="DEV164" s="146"/>
      <c r="DEW164" s="146"/>
      <c r="DEX164" s="146"/>
      <c r="DEY164" s="146"/>
      <c r="DEZ164" s="146"/>
      <c r="DFA164" s="146"/>
      <c r="DFB164" s="146"/>
      <c r="DFC164" s="146"/>
      <c r="DFD164" s="146"/>
      <c r="DFE164" s="146"/>
      <c r="DFF164" s="146"/>
      <c r="DFG164" s="146"/>
      <c r="DFH164" s="146"/>
      <c r="DFI164" s="146"/>
      <c r="DFJ164" s="146"/>
      <c r="DFK164" s="146"/>
      <c r="DFL164" s="146"/>
      <c r="DFM164" s="146"/>
      <c r="DFN164" s="146"/>
      <c r="DFO164" s="146"/>
      <c r="DFP164" s="146"/>
      <c r="DFQ164" s="146"/>
      <c r="DFR164" s="146"/>
      <c r="DFS164" s="146"/>
      <c r="DFT164" s="146"/>
      <c r="DFU164" s="146"/>
      <c r="DFV164" s="146"/>
      <c r="DFW164" s="146"/>
      <c r="DFX164" s="146"/>
      <c r="DFY164" s="146"/>
      <c r="DFZ164" s="146"/>
      <c r="DGA164" s="146"/>
      <c r="DGB164" s="146"/>
      <c r="DGC164" s="146"/>
      <c r="DGD164" s="146"/>
      <c r="DGE164" s="146"/>
      <c r="DGF164" s="146"/>
      <c r="DGG164" s="146"/>
      <c r="DGH164" s="146"/>
      <c r="DGI164" s="146"/>
      <c r="DGJ164" s="146"/>
      <c r="DGK164" s="146"/>
      <c r="DGL164" s="146"/>
      <c r="DGM164" s="146"/>
      <c r="DGN164" s="146"/>
      <c r="DGO164" s="146"/>
      <c r="DGP164" s="146"/>
      <c r="DGQ164" s="146"/>
      <c r="DGR164" s="146"/>
      <c r="DGS164" s="146"/>
      <c r="DGT164" s="146"/>
      <c r="DGU164" s="146"/>
      <c r="DGV164" s="146"/>
      <c r="DGW164" s="146"/>
      <c r="DGX164" s="146"/>
      <c r="DGY164" s="146"/>
      <c r="DGZ164" s="146"/>
      <c r="DHA164" s="146"/>
      <c r="DHB164" s="146"/>
      <c r="DHC164" s="146"/>
      <c r="DHD164" s="146"/>
      <c r="DHE164" s="146"/>
      <c r="DHF164" s="146"/>
      <c r="DHG164" s="146"/>
      <c r="DHH164" s="146"/>
      <c r="DHI164" s="146"/>
      <c r="DHJ164" s="146"/>
      <c r="DHK164" s="146"/>
      <c r="DHL164" s="146"/>
      <c r="DHM164" s="146"/>
      <c r="DHN164" s="146"/>
      <c r="DHO164" s="146"/>
      <c r="DHP164" s="146"/>
      <c r="DHQ164" s="146"/>
      <c r="DHR164" s="146"/>
      <c r="DHS164" s="146"/>
      <c r="DHT164" s="146"/>
      <c r="DHU164" s="146"/>
      <c r="DHV164" s="146"/>
      <c r="DHW164" s="146"/>
      <c r="DHX164" s="146"/>
      <c r="DHY164" s="146"/>
      <c r="DHZ164" s="146"/>
      <c r="DIA164" s="146"/>
      <c r="DIB164" s="146"/>
      <c r="DIC164" s="146"/>
      <c r="DID164" s="146"/>
      <c r="DIE164" s="146"/>
      <c r="DIF164" s="146"/>
      <c r="DIG164" s="146"/>
      <c r="DIH164" s="146"/>
      <c r="DII164" s="146"/>
      <c r="DIJ164" s="146"/>
      <c r="DIK164" s="146"/>
      <c r="DIL164" s="146"/>
      <c r="DIM164" s="146"/>
      <c r="DIN164" s="146"/>
      <c r="DIO164" s="146"/>
      <c r="DIP164" s="146"/>
      <c r="DIQ164" s="146"/>
      <c r="DIR164" s="146"/>
      <c r="DIS164" s="146"/>
      <c r="DIT164" s="146"/>
      <c r="DIU164" s="146"/>
      <c r="DIV164" s="146"/>
      <c r="DIW164" s="146"/>
      <c r="DIX164" s="146"/>
      <c r="DIY164" s="146"/>
      <c r="DIZ164" s="146"/>
      <c r="DJA164" s="146"/>
      <c r="DJB164" s="146"/>
      <c r="DJC164" s="146"/>
      <c r="DJD164" s="146"/>
      <c r="DJE164" s="146"/>
      <c r="DJF164" s="146"/>
      <c r="DJG164" s="146"/>
      <c r="DJH164" s="146"/>
      <c r="DJI164" s="146"/>
      <c r="DJJ164" s="146"/>
      <c r="DJK164" s="146"/>
      <c r="DJL164" s="146"/>
      <c r="DJM164" s="146"/>
      <c r="DJN164" s="146"/>
      <c r="DJO164" s="146"/>
      <c r="DJP164" s="146"/>
      <c r="DJQ164" s="146"/>
      <c r="DJR164" s="146"/>
      <c r="DJS164" s="146"/>
      <c r="DJT164" s="146"/>
      <c r="DJU164" s="146"/>
      <c r="DJV164" s="146"/>
      <c r="DJW164" s="146"/>
      <c r="DJX164" s="146"/>
      <c r="DJY164" s="146"/>
      <c r="DJZ164" s="146"/>
      <c r="DKA164" s="146"/>
      <c r="DKB164" s="146"/>
      <c r="DKC164" s="146"/>
      <c r="DKD164" s="146"/>
      <c r="DKE164" s="146"/>
      <c r="DKF164" s="146"/>
      <c r="DKG164" s="146"/>
      <c r="DKH164" s="146"/>
      <c r="DKI164" s="146"/>
      <c r="DKJ164" s="146"/>
      <c r="DKK164" s="146"/>
      <c r="DKL164" s="146"/>
      <c r="DKM164" s="146"/>
      <c r="DKN164" s="146"/>
      <c r="DKO164" s="146"/>
      <c r="DKP164" s="146"/>
      <c r="DKQ164" s="146"/>
      <c r="DKR164" s="146"/>
      <c r="DKS164" s="146"/>
      <c r="DKT164" s="146"/>
      <c r="DKU164" s="146"/>
      <c r="DKV164" s="146"/>
      <c r="DKW164" s="146"/>
      <c r="DKX164" s="146"/>
      <c r="DKY164" s="146"/>
      <c r="DKZ164" s="146"/>
      <c r="DLA164" s="146"/>
      <c r="DLB164" s="146"/>
      <c r="DLC164" s="146"/>
      <c r="DLD164" s="146"/>
      <c r="DLE164" s="146"/>
      <c r="DLF164" s="146"/>
      <c r="DLG164" s="146"/>
      <c r="DLH164" s="146"/>
      <c r="DLI164" s="146"/>
      <c r="DLJ164" s="146"/>
      <c r="DLK164" s="146"/>
      <c r="DLL164" s="146"/>
      <c r="DLM164" s="146"/>
      <c r="DLN164" s="146"/>
      <c r="DLO164" s="146"/>
      <c r="DLP164" s="146"/>
      <c r="DLQ164" s="146"/>
      <c r="DLR164" s="146"/>
      <c r="DLS164" s="146"/>
      <c r="DLT164" s="146"/>
      <c r="DLU164" s="146"/>
      <c r="DLV164" s="146"/>
      <c r="DLW164" s="146"/>
      <c r="DLX164" s="146"/>
      <c r="DLY164" s="146"/>
      <c r="DLZ164" s="146"/>
      <c r="DMA164" s="146"/>
      <c r="DMB164" s="146"/>
      <c r="DMC164" s="146"/>
      <c r="DMD164" s="146"/>
      <c r="DME164" s="146"/>
      <c r="DMF164" s="146"/>
      <c r="DMG164" s="146"/>
      <c r="DMH164" s="146"/>
      <c r="DMI164" s="146"/>
      <c r="DMJ164" s="146"/>
      <c r="DMK164" s="146"/>
      <c r="DML164" s="146"/>
      <c r="DMM164" s="146"/>
      <c r="DMN164" s="146"/>
      <c r="DMO164" s="146"/>
      <c r="DMP164" s="146"/>
      <c r="DMQ164" s="146"/>
      <c r="DMR164" s="146"/>
      <c r="DMS164" s="146"/>
      <c r="DMT164" s="146"/>
      <c r="DMU164" s="146"/>
      <c r="DMV164" s="146"/>
      <c r="DMW164" s="146"/>
      <c r="DMX164" s="146"/>
      <c r="DMY164" s="146"/>
      <c r="DMZ164" s="146"/>
      <c r="DNA164" s="146"/>
      <c r="DNB164" s="146"/>
      <c r="DNC164" s="146"/>
      <c r="DND164" s="146"/>
      <c r="DNE164" s="146"/>
      <c r="DNF164" s="146"/>
      <c r="DNG164" s="146"/>
      <c r="DNH164" s="146"/>
      <c r="DNI164" s="146"/>
      <c r="DNJ164" s="146"/>
      <c r="DNK164" s="146"/>
      <c r="DNL164" s="146"/>
      <c r="DNM164" s="146"/>
      <c r="DNN164" s="146"/>
      <c r="DNO164" s="146"/>
      <c r="DNP164" s="146"/>
      <c r="DNQ164" s="146"/>
      <c r="DNR164" s="146"/>
      <c r="DNS164" s="146"/>
      <c r="DNT164" s="146"/>
      <c r="DNU164" s="146"/>
      <c r="DNV164" s="146"/>
      <c r="DNW164" s="146"/>
      <c r="DNX164" s="146"/>
      <c r="DNY164" s="146"/>
      <c r="DNZ164" s="146"/>
      <c r="DOA164" s="146"/>
      <c r="DOB164" s="146"/>
      <c r="DOC164" s="146"/>
      <c r="DOD164" s="146"/>
      <c r="DOE164" s="146"/>
      <c r="DOF164" s="146"/>
      <c r="DOG164" s="146"/>
      <c r="DOH164" s="146"/>
      <c r="DOI164" s="146"/>
      <c r="DOJ164" s="146"/>
      <c r="DOK164" s="146"/>
      <c r="DOL164" s="146"/>
      <c r="DOM164" s="146"/>
      <c r="DON164" s="146"/>
      <c r="DOO164" s="146"/>
      <c r="DOP164" s="146"/>
      <c r="DOQ164" s="146"/>
      <c r="DOR164" s="146"/>
      <c r="DOS164" s="146"/>
      <c r="DOT164" s="146"/>
      <c r="DOU164" s="146"/>
      <c r="DOV164" s="146"/>
      <c r="DOW164" s="146"/>
      <c r="DOX164" s="146"/>
      <c r="DOY164" s="146"/>
      <c r="DOZ164" s="146"/>
      <c r="DPA164" s="146"/>
      <c r="DPB164" s="146"/>
      <c r="DPC164" s="146"/>
      <c r="DPD164" s="146"/>
      <c r="DPE164" s="146"/>
      <c r="DPF164" s="146"/>
      <c r="DPG164" s="146"/>
      <c r="DPH164" s="146"/>
      <c r="DPI164" s="146"/>
      <c r="DPJ164" s="146"/>
      <c r="DPK164" s="146"/>
      <c r="DPL164" s="146"/>
      <c r="DPM164" s="146"/>
      <c r="DPN164" s="146"/>
      <c r="DPO164" s="146"/>
      <c r="DPP164" s="146"/>
      <c r="DPQ164" s="146"/>
      <c r="DPR164" s="146"/>
      <c r="DPS164" s="146"/>
      <c r="DPT164" s="146"/>
      <c r="DPU164" s="146"/>
      <c r="DPV164" s="146"/>
      <c r="DPW164" s="146"/>
      <c r="DPX164" s="146"/>
      <c r="DPY164" s="146"/>
      <c r="DPZ164" s="146"/>
      <c r="DQA164" s="146"/>
      <c r="DQB164" s="146"/>
      <c r="DQC164" s="146"/>
      <c r="DQD164" s="146"/>
      <c r="DQE164" s="146"/>
      <c r="DQF164" s="146"/>
      <c r="DQG164" s="146"/>
      <c r="DQH164" s="146"/>
      <c r="DQI164" s="146"/>
      <c r="DQJ164" s="146"/>
      <c r="DQK164" s="146"/>
      <c r="DQL164" s="146"/>
      <c r="DQM164" s="146"/>
      <c r="DQN164" s="146"/>
      <c r="DQO164" s="146"/>
      <c r="DQP164" s="146"/>
      <c r="DQQ164" s="146"/>
      <c r="DQR164" s="146"/>
      <c r="DQS164" s="146"/>
      <c r="DQT164" s="146"/>
      <c r="DQU164" s="146"/>
      <c r="DQV164" s="146"/>
      <c r="DQW164" s="146"/>
      <c r="DQX164" s="146"/>
      <c r="DQY164" s="146"/>
      <c r="DQZ164" s="146"/>
      <c r="DRA164" s="146"/>
      <c r="DRB164" s="146"/>
      <c r="DRC164" s="146"/>
      <c r="DRD164" s="146"/>
      <c r="DRE164" s="146"/>
      <c r="DRF164" s="146"/>
      <c r="DRG164" s="146"/>
      <c r="DRH164" s="146"/>
      <c r="DRI164" s="146"/>
      <c r="DRJ164" s="146"/>
      <c r="DRK164" s="146"/>
      <c r="DRL164" s="146"/>
      <c r="DRM164" s="146"/>
      <c r="DRN164" s="146"/>
      <c r="DRO164" s="146"/>
      <c r="DRP164" s="146"/>
      <c r="DRQ164" s="146"/>
      <c r="DRR164" s="146"/>
      <c r="DRS164" s="146"/>
      <c r="DRT164" s="146"/>
      <c r="DRU164" s="146"/>
      <c r="DRV164" s="146"/>
      <c r="DRW164" s="146"/>
      <c r="DRX164" s="146"/>
      <c r="DRY164" s="146"/>
      <c r="DRZ164" s="146"/>
      <c r="DSA164" s="146"/>
      <c r="DSB164" s="146"/>
      <c r="DSC164" s="146"/>
      <c r="DSD164" s="146"/>
      <c r="DSE164" s="146"/>
      <c r="DSF164" s="146"/>
      <c r="DSG164" s="146"/>
      <c r="DSH164" s="146"/>
      <c r="DSI164" s="146"/>
      <c r="DSJ164" s="146"/>
      <c r="DSK164" s="146"/>
      <c r="DSL164" s="146"/>
      <c r="DSM164" s="146"/>
      <c r="DSN164" s="146"/>
      <c r="DSO164" s="146"/>
      <c r="DSP164" s="146"/>
      <c r="DSQ164" s="146"/>
      <c r="DSR164" s="146"/>
      <c r="DSS164" s="146"/>
      <c r="DST164" s="146"/>
      <c r="DSU164" s="146"/>
      <c r="DSV164" s="146"/>
      <c r="DSW164" s="146"/>
      <c r="DSX164" s="146"/>
      <c r="DSY164" s="146"/>
      <c r="DSZ164" s="146"/>
      <c r="DTA164" s="146"/>
      <c r="DTB164" s="146"/>
      <c r="DTC164" s="146"/>
      <c r="DTD164" s="146"/>
      <c r="DTE164" s="146"/>
      <c r="DTF164" s="146"/>
      <c r="DTG164" s="146"/>
      <c r="DTH164" s="146"/>
      <c r="DTI164" s="146"/>
      <c r="DTJ164" s="146"/>
      <c r="DTK164" s="146"/>
      <c r="DTL164" s="146"/>
      <c r="DTM164" s="146"/>
      <c r="DTN164" s="146"/>
      <c r="DTO164" s="146"/>
      <c r="DTP164" s="146"/>
      <c r="DTQ164" s="146"/>
      <c r="DTR164" s="146"/>
      <c r="DTS164" s="146"/>
      <c r="DTT164" s="146"/>
      <c r="DTU164" s="146"/>
      <c r="DTV164" s="146"/>
      <c r="DTW164" s="146"/>
      <c r="DTX164" s="146"/>
      <c r="DTY164" s="146"/>
      <c r="DTZ164" s="146"/>
      <c r="DUA164" s="146"/>
      <c r="DUB164" s="146"/>
      <c r="DUC164" s="146"/>
      <c r="DUD164" s="146"/>
      <c r="DUE164" s="146"/>
      <c r="DUF164" s="146"/>
      <c r="DUG164" s="146"/>
      <c r="DUH164" s="146"/>
      <c r="DUI164" s="146"/>
      <c r="DUJ164" s="146"/>
      <c r="DUK164" s="146"/>
      <c r="DUL164" s="146"/>
      <c r="DUM164" s="146"/>
      <c r="DUN164" s="146"/>
      <c r="DUO164" s="146"/>
      <c r="DUP164" s="146"/>
      <c r="DUQ164" s="146"/>
      <c r="DUR164" s="146"/>
      <c r="DUS164" s="146"/>
      <c r="DUT164" s="146"/>
      <c r="DUU164" s="146"/>
      <c r="DUV164" s="146"/>
      <c r="DUW164" s="146"/>
      <c r="DUX164" s="146"/>
      <c r="DUY164" s="146"/>
      <c r="DUZ164" s="146"/>
      <c r="DVA164" s="146"/>
      <c r="DVB164" s="146"/>
      <c r="DVC164" s="146"/>
      <c r="DVD164" s="146"/>
      <c r="DVE164" s="146"/>
      <c r="DVF164" s="146"/>
      <c r="DVG164" s="146"/>
      <c r="DVH164" s="146"/>
      <c r="DVI164" s="146"/>
      <c r="DVJ164" s="146"/>
      <c r="DVK164" s="146"/>
      <c r="DVL164" s="146"/>
      <c r="DVM164" s="146"/>
      <c r="DVN164" s="146"/>
      <c r="DVO164" s="146"/>
      <c r="DVP164" s="146"/>
      <c r="DVQ164" s="146"/>
      <c r="DVR164" s="146"/>
      <c r="DVS164" s="146"/>
      <c r="DVT164" s="146"/>
      <c r="DVU164" s="146"/>
      <c r="DVV164" s="146"/>
      <c r="DVW164" s="146"/>
      <c r="DVX164" s="146"/>
      <c r="DVY164" s="146"/>
      <c r="DVZ164" s="146"/>
      <c r="DWA164" s="146"/>
      <c r="DWB164" s="146"/>
      <c r="DWC164" s="146"/>
      <c r="DWD164" s="146"/>
      <c r="DWE164" s="146"/>
      <c r="DWF164" s="146"/>
      <c r="DWG164" s="146"/>
      <c r="DWH164" s="146"/>
      <c r="DWI164" s="146"/>
      <c r="DWJ164" s="146"/>
      <c r="DWK164" s="146"/>
      <c r="DWL164" s="146"/>
      <c r="DWM164" s="146"/>
      <c r="DWN164" s="146"/>
      <c r="DWO164" s="146"/>
      <c r="DWP164" s="146"/>
      <c r="DWQ164" s="146"/>
      <c r="DWR164" s="146"/>
      <c r="DWS164" s="146"/>
      <c r="DWT164" s="146"/>
      <c r="DWU164" s="146"/>
      <c r="DWV164" s="146"/>
      <c r="DWW164" s="146"/>
      <c r="DWX164" s="146"/>
      <c r="DWY164" s="146"/>
      <c r="DWZ164" s="146"/>
      <c r="DXA164" s="146"/>
      <c r="DXB164" s="146"/>
      <c r="DXC164" s="146"/>
      <c r="DXD164" s="146"/>
      <c r="DXE164" s="146"/>
      <c r="DXF164" s="146"/>
      <c r="DXG164" s="146"/>
      <c r="DXH164" s="146"/>
      <c r="DXI164" s="146"/>
      <c r="DXJ164" s="146"/>
      <c r="DXK164" s="146"/>
      <c r="DXL164" s="146"/>
      <c r="DXM164" s="146"/>
      <c r="DXN164" s="146"/>
      <c r="DXO164" s="146"/>
      <c r="DXP164" s="146"/>
      <c r="DXQ164" s="146"/>
      <c r="DXR164" s="146"/>
      <c r="DXS164" s="146"/>
      <c r="DXT164" s="146"/>
      <c r="DXU164" s="146"/>
      <c r="DXV164" s="146"/>
      <c r="DXW164" s="146"/>
      <c r="DXX164" s="146"/>
      <c r="DXY164" s="146"/>
      <c r="DXZ164" s="146"/>
      <c r="DYA164" s="146"/>
      <c r="DYB164" s="146"/>
      <c r="DYC164" s="146"/>
      <c r="DYD164" s="146"/>
      <c r="DYE164" s="146"/>
      <c r="DYF164" s="146"/>
      <c r="DYG164" s="146"/>
      <c r="DYH164" s="146"/>
      <c r="DYI164" s="146"/>
      <c r="DYJ164" s="146"/>
      <c r="DYK164" s="146"/>
      <c r="DYL164" s="146"/>
      <c r="DYM164" s="146"/>
      <c r="DYN164" s="146"/>
      <c r="DYO164" s="146"/>
      <c r="DYP164" s="146"/>
      <c r="DYQ164" s="146"/>
      <c r="DYR164" s="146"/>
      <c r="DYS164" s="146"/>
      <c r="DYT164" s="146"/>
      <c r="DYU164" s="146"/>
      <c r="DYV164" s="146"/>
      <c r="DYW164" s="146"/>
      <c r="DYX164" s="146"/>
      <c r="DYY164" s="146"/>
      <c r="DYZ164" s="146"/>
      <c r="DZA164" s="146"/>
      <c r="DZB164" s="146"/>
      <c r="DZC164" s="146"/>
      <c r="DZD164" s="146"/>
      <c r="DZE164" s="146"/>
      <c r="DZF164" s="146"/>
      <c r="DZG164" s="146"/>
      <c r="DZH164" s="146"/>
      <c r="DZI164" s="146"/>
      <c r="DZJ164" s="146"/>
      <c r="DZK164" s="146"/>
      <c r="DZL164" s="146"/>
      <c r="DZM164" s="146"/>
      <c r="DZN164" s="146"/>
      <c r="DZO164" s="146"/>
      <c r="DZP164" s="146"/>
      <c r="DZQ164" s="146"/>
      <c r="DZR164" s="146"/>
      <c r="DZS164" s="146"/>
      <c r="DZT164" s="146"/>
      <c r="DZU164" s="146"/>
      <c r="DZV164" s="146"/>
      <c r="DZW164" s="146"/>
      <c r="DZX164" s="146"/>
      <c r="DZY164" s="146"/>
      <c r="DZZ164" s="146"/>
      <c r="EAA164" s="146"/>
      <c r="EAB164" s="146"/>
      <c r="EAC164" s="146"/>
      <c r="EAD164" s="146"/>
      <c r="EAE164" s="146"/>
      <c r="EAF164" s="146"/>
      <c r="EAG164" s="146"/>
      <c r="EAH164" s="146"/>
      <c r="EAI164" s="146"/>
      <c r="EAJ164" s="146"/>
      <c r="EAK164" s="146"/>
      <c r="EAL164" s="146"/>
      <c r="EAM164" s="146"/>
      <c r="EAN164" s="146"/>
      <c r="EAO164" s="146"/>
      <c r="EAP164" s="146"/>
      <c r="EAQ164" s="146"/>
      <c r="EAR164" s="146"/>
      <c r="EAS164" s="146"/>
      <c r="EAT164" s="146"/>
      <c r="EAU164" s="146"/>
      <c r="EAV164" s="146"/>
      <c r="EAW164" s="146"/>
      <c r="EAX164" s="146"/>
      <c r="EAY164" s="146"/>
      <c r="EAZ164" s="146"/>
      <c r="EBA164" s="146"/>
      <c r="EBB164" s="146"/>
      <c r="EBC164" s="146"/>
      <c r="EBD164" s="146"/>
      <c r="EBE164" s="146"/>
      <c r="EBF164" s="146"/>
      <c r="EBG164" s="146"/>
      <c r="EBH164" s="146"/>
      <c r="EBI164" s="146"/>
      <c r="EBJ164" s="146"/>
      <c r="EBK164" s="146"/>
      <c r="EBL164" s="146"/>
      <c r="EBM164" s="146"/>
      <c r="EBN164" s="146"/>
      <c r="EBO164" s="146"/>
      <c r="EBP164" s="146"/>
      <c r="EBQ164" s="146"/>
      <c r="EBR164" s="146"/>
      <c r="EBS164" s="146"/>
      <c r="EBT164" s="146"/>
      <c r="EBU164" s="146"/>
      <c r="EBV164" s="146"/>
      <c r="EBW164" s="146"/>
      <c r="EBX164" s="146"/>
      <c r="EBY164" s="146"/>
      <c r="EBZ164" s="146"/>
      <c r="ECA164" s="146"/>
      <c r="ECB164" s="146"/>
      <c r="ECC164" s="146"/>
      <c r="ECD164" s="146"/>
      <c r="ECE164" s="146"/>
      <c r="ECF164" s="146"/>
      <c r="ECG164" s="146"/>
      <c r="ECH164" s="146"/>
      <c r="ECI164" s="146"/>
      <c r="ECJ164" s="146"/>
      <c r="ECK164" s="146"/>
      <c r="ECL164" s="146"/>
      <c r="ECM164" s="146"/>
      <c r="ECN164" s="146"/>
      <c r="ECO164" s="146"/>
      <c r="ECP164" s="146"/>
      <c r="ECQ164" s="146"/>
      <c r="ECR164" s="146"/>
      <c r="ECS164" s="146"/>
      <c r="ECT164" s="146"/>
      <c r="ECU164" s="146"/>
      <c r="ECV164" s="146"/>
      <c r="ECW164" s="146"/>
      <c r="ECX164" s="146"/>
      <c r="ECY164" s="146"/>
      <c r="ECZ164" s="146"/>
      <c r="EDA164" s="146"/>
      <c r="EDB164" s="146"/>
      <c r="EDC164" s="146"/>
      <c r="EDD164" s="146"/>
      <c r="EDE164" s="146"/>
      <c r="EDF164" s="146"/>
      <c r="EDG164" s="146"/>
      <c r="EDH164" s="146"/>
      <c r="EDI164" s="146"/>
      <c r="EDJ164" s="146"/>
      <c r="EDK164" s="146"/>
      <c r="EDL164" s="146"/>
      <c r="EDM164" s="146"/>
      <c r="EDN164" s="146"/>
      <c r="EDO164" s="146"/>
      <c r="EDP164" s="146"/>
      <c r="EDQ164" s="146"/>
      <c r="EDR164" s="146"/>
      <c r="EDS164" s="146"/>
      <c r="EDT164" s="146"/>
      <c r="EDU164" s="146"/>
      <c r="EDV164" s="146"/>
      <c r="EDW164" s="146"/>
      <c r="EDX164" s="146"/>
      <c r="EDY164" s="146"/>
      <c r="EDZ164" s="146"/>
      <c r="EEA164" s="146"/>
      <c r="EEB164" s="146"/>
      <c r="EEC164" s="146"/>
      <c r="EED164" s="146"/>
      <c r="EEE164" s="146"/>
      <c r="EEF164" s="146"/>
      <c r="EEG164" s="146"/>
      <c r="EEH164" s="146"/>
      <c r="EEI164" s="146"/>
      <c r="EEJ164" s="146"/>
      <c r="EEK164" s="146"/>
      <c r="EEL164" s="146"/>
      <c r="EEM164" s="146"/>
      <c r="EEN164" s="146"/>
      <c r="EEO164" s="146"/>
      <c r="EEP164" s="146"/>
      <c r="EEQ164" s="146"/>
      <c r="EER164" s="146"/>
      <c r="EES164" s="146"/>
      <c r="EET164" s="146"/>
      <c r="EEU164" s="146"/>
      <c r="EEV164" s="146"/>
      <c r="EEW164" s="146"/>
      <c r="EEX164" s="146"/>
      <c r="EEY164" s="146"/>
      <c r="EEZ164" s="146"/>
      <c r="EFA164" s="146"/>
      <c r="EFB164" s="146"/>
      <c r="EFC164" s="146"/>
      <c r="EFD164" s="146"/>
      <c r="EFE164" s="146"/>
      <c r="EFF164" s="146"/>
      <c r="EFG164" s="146"/>
      <c r="EFH164" s="146"/>
      <c r="EFI164" s="146"/>
      <c r="EFJ164" s="146"/>
      <c r="EFK164" s="146"/>
      <c r="EFL164" s="146"/>
      <c r="EFM164" s="146"/>
      <c r="EFN164" s="146"/>
      <c r="EFO164" s="146"/>
      <c r="EFP164" s="146"/>
      <c r="EFQ164" s="146"/>
      <c r="EFR164" s="146"/>
      <c r="EFS164" s="146"/>
      <c r="EFT164" s="146"/>
      <c r="EFU164" s="146"/>
      <c r="EFV164" s="146"/>
      <c r="EFW164" s="146"/>
      <c r="EFX164" s="146"/>
      <c r="EFY164" s="146"/>
      <c r="EFZ164" s="146"/>
      <c r="EGA164" s="146"/>
      <c r="EGB164" s="146"/>
      <c r="EGC164" s="146"/>
      <c r="EGD164" s="146"/>
      <c r="EGE164" s="146"/>
      <c r="EGF164" s="146"/>
      <c r="EGG164" s="146"/>
      <c r="EGH164" s="146"/>
      <c r="EGI164" s="146"/>
      <c r="EGJ164" s="146"/>
      <c r="EGK164" s="146"/>
      <c r="EGL164" s="146"/>
      <c r="EGM164" s="146"/>
      <c r="EGN164" s="146"/>
      <c r="EGO164" s="146"/>
      <c r="EGP164" s="146"/>
      <c r="EGQ164" s="146"/>
      <c r="EGR164" s="146"/>
      <c r="EGS164" s="146"/>
      <c r="EGT164" s="146"/>
      <c r="EGU164" s="146"/>
      <c r="EGV164" s="146"/>
      <c r="EGW164" s="146"/>
      <c r="EGX164" s="146"/>
      <c r="EGY164" s="146"/>
      <c r="EGZ164" s="146"/>
      <c r="EHA164" s="146"/>
      <c r="EHB164" s="146"/>
      <c r="EHC164" s="146"/>
      <c r="EHD164" s="146"/>
      <c r="EHE164" s="146"/>
      <c r="EHF164" s="146"/>
      <c r="EHG164" s="146"/>
      <c r="EHH164" s="146"/>
      <c r="EHI164" s="146"/>
      <c r="EHJ164" s="146"/>
      <c r="EHK164" s="146"/>
      <c r="EHL164" s="146"/>
      <c r="EHM164" s="146"/>
      <c r="EHN164" s="146"/>
      <c r="EHO164" s="146"/>
      <c r="EHP164" s="146"/>
      <c r="EHQ164" s="146"/>
      <c r="EHR164" s="146"/>
      <c r="EHS164" s="146"/>
      <c r="EHT164" s="146"/>
      <c r="EHU164" s="146"/>
      <c r="EHV164" s="146"/>
      <c r="EHW164" s="146"/>
      <c r="EHX164" s="146"/>
      <c r="EHY164" s="146"/>
      <c r="EHZ164" s="146"/>
      <c r="EIA164" s="146"/>
      <c r="EIB164" s="146"/>
      <c r="EIC164" s="146"/>
      <c r="EID164" s="146"/>
      <c r="EIE164" s="146"/>
      <c r="EIF164" s="146"/>
      <c r="EIG164" s="146"/>
      <c r="EIH164" s="146"/>
      <c r="EII164" s="146"/>
      <c r="EIJ164" s="146"/>
      <c r="EIK164" s="146"/>
      <c r="EIL164" s="146"/>
      <c r="EIM164" s="146"/>
      <c r="EIN164" s="146"/>
      <c r="EIO164" s="146"/>
      <c r="EIP164" s="146"/>
      <c r="EIQ164" s="146"/>
      <c r="EIR164" s="146"/>
      <c r="EIS164" s="146"/>
      <c r="EIT164" s="146"/>
      <c r="EIU164" s="146"/>
      <c r="EIV164" s="146"/>
      <c r="EIW164" s="146"/>
      <c r="EIX164" s="146"/>
      <c r="EIY164" s="146"/>
      <c r="EIZ164" s="146"/>
      <c r="EJA164" s="146"/>
      <c r="EJB164" s="146"/>
      <c r="EJC164" s="146"/>
      <c r="EJD164" s="146"/>
      <c r="EJE164" s="146"/>
      <c r="EJF164" s="146"/>
      <c r="EJG164" s="146"/>
      <c r="EJH164" s="146"/>
      <c r="EJI164" s="146"/>
      <c r="EJJ164" s="146"/>
      <c r="EJK164" s="146"/>
      <c r="EJL164" s="146"/>
      <c r="EJM164" s="146"/>
      <c r="EJN164" s="146"/>
      <c r="EJO164" s="146"/>
      <c r="EJP164" s="146"/>
      <c r="EJQ164" s="146"/>
      <c r="EJR164" s="146"/>
      <c r="EJS164" s="146"/>
      <c r="EJT164" s="146"/>
      <c r="EJU164" s="146"/>
      <c r="EJV164" s="146"/>
      <c r="EJW164" s="146"/>
      <c r="EJX164" s="146"/>
      <c r="EJY164" s="146"/>
      <c r="EJZ164" s="146"/>
      <c r="EKA164" s="146"/>
      <c r="EKB164" s="146"/>
      <c r="EKC164" s="146"/>
      <c r="EKD164" s="146"/>
      <c r="EKE164" s="146"/>
      <c r="EKF164" s="146"/>
      <c r="EKG164" s="146"/>
      <c r="EKH164" s="146"/>
      <c r="EKI164" s="146"/>
      <c r="EKJ164" s="146"/>
      <c r="EKK164" s="146"/>
      <c r="EKL164" s="146"/>
      <c r="EKM164" s="146"/>
      <c r="EKN164" s="146"/>
      <c r="EKO164" s="146"/>
      <c r="EKP164" s="146"/>
      <c r="EKQ164" s="146"/>
      <c r="EKR164" s="146"/>
      <c r="EKS164" s="146"/>
      <c r="EKT164" s="146"/>
      <c r="EKU164" s="146"/>
      <c r="EKV164" s="146"/>
      <c r="EKW164" s="146"/>
      <c r="EKX164" s="146"/>
      <c r="EKY164" s="146"/>
      <c r="EKZ164" s="146"/>
      <c r="ELA164" s="146"/>
      <c r="ELB164" s="146"/>
      <c r="ELC164" s="146"/>
      <c r="ELD164" s="146"/>
      <c r="ELE164" s="146"/>
      <c r="ELF164" s="146"/>
      <c r="ELG164" s="146"/>
      <c r="ELH164" s="146"/>
      <c r="ELI164" s="146"/>
      <c r="ELJ164" s="146"/>
      <c r="ELK164" s="146"/>
      <c r="ELL164" s="146"/>
      <c r="ELM164" s="146"/>
      <c r="ELN164" s="146"/>
      <c r="ELO164" s="146"/>
      <c r="ELP164" s="146"/>
      <c r="ELQ164" s="146"/>
      <c r="ELR164" s="146"/>
      <c r="ELS164" s="146"/>
      <c r="ELT164" s="146"/>
      <c r="ELU164" s="146"/>
      <c r="ELV164" s="146"/>
      <c r="ELW164" s="146"/>
      <c r="ELX164" s="146"/>
      <c r="ELY164" s="146"/>
      <c r="ELZ164" s="146"/>
      <c r="EMA164" s="146"/>
      <c r="EMB164" s="146"/>
      <c r="EMC164" s="146"/>
      <c r="EMD164" s="146"/>
      <c r="EME164" s="146"/>
      <c r="EMF164" s="146"/>
      <c r="EMG164" s="146"/>
      <c r="EMH164" s="146"/>
      <c r="EMI164" s="146"/>
      <c r="EMJ164" s="146"/>
      <c r="EMK164" s="146"/>
      <c r="EML164" s="146"/>
      <c r="EMM164" s="146"/>
      <c r="EMN164" s="146"/>
      <c r="EMO164" s="146"/>
      <c r="EMP164" s="146"/>
      <c r="EMQ164" s="146"/>
      <c r="EMR164" s="146"/>
      <c r="EMS164" s="146"/>
      <c r="EMT164" s="146"/>
      <c r="EMU164" s="146"/>
      <c r="EMV164" s="146"/>
      <c r="EMW164" s="146"/>
      <c r="EMX164" s="146"/>
      <c r="EMY164" s="146"/>
      <c r="EMZ164" s="146"/>
      <c r="ENA164" s="146"/>
      <c r="ENB164" s="146"/>
      <c r="ENC164" s="146"/>
      <c r="END164" s="146"/>
      <c r="ENE164" s="146"/>
      <c r="ENF164" s="146"/>
      <c r="ENG164" s="146"/>
      <c r="ENH164" s="146"/>
      <c r="ENI164" s="146"/>
      <c r="ENJ164" s="146"/>
      <c r="ENK164" s="146"/>
      <c r="ENL164" s="146"/>
      <c r="ENM164" s="146"/>
      <c r="ENN164" s="146"/>
      <c r="ENO164" s="146"/>
      <c r="ENP164" s="146"/>
      <c r="ENQ164" s="146"/>
      <c r="ENR164" s="146"/>
      <c r="ENS164" s="146"/>
      <c r="ENT164" s="146"/>
      <c r="ENU164" s="146"/>
      <c r="ENV164" s="146"/>
      <c r="ENW164" s="146"/>
      <c r="ENX164" s="146"/>
      <c r="ENY164" s="146"/>
      <c r="ENZ164" s="146"/>
      <c r="EOA164" s="146"/>
      <c r="EOB164" s="146"/>
      <c r="EOC164" s="146"/>
      <c r="EOD164" s="146"/>
      <c r="EOE164" s="146"/>
      <c r="EOF164" s="146"/>
      <c r="EOG164" s="146"/>
      <c r="EOH164" s="146"/>
      <c r="EOI164" s="146"/>
      <c r="EOJ164" s="146"/>
      <c r="EOK164" s="146"/>
      <c r="EOL164" s="146"/>
      <c r="EOM164" s="146"/>
      <c r="EON164" s="146"/>
      <c r="EOO164" s="146"/>
      <c r="EOP164" s="146"/>
      <c r="EOQ164" s="146"/>
      <c r="EOR164" s="146"/>
      <c r="EOS164" s="146"/>
      <c r="EOT164" s="146"/>
      <c r="EOU164" s="146"/>
      <c r="EOV164" s="146"/>
      <c r="EOW164" s="146"/>
      <c r="EOX164" s="146"/>
      <c r="EOY164" s="146"/>
      <c r="EOZ164" s="146"/>
      <c r="EPA164" s="146"/>
      <c r="EPB164" s="146"/>
      <c r="EPC164" s="146"/>
      <c r="EPD164" s="146"/>
      <c r="EPE164" s="146"/>
      <c r="EPF164" s="146"/>
      <c r="EPG164" s="146"/>
      <c r="EPH164" s="146"/>
      <c r="EPI164" s="146"/>
      <c r="EPJ164" s="146"/>
      <c r="EPK164" s="146"/>
      <c r="EPL164" s="146"/>
      <c r="EPM164" s="146"/>
      <c r="EPN164" s="146"/>
      <c r="EPO164" s="146"/>
      <c r="EPP164" s="146"/>
      <c r="EPQ164" s="146"/>
      <c r="EPR164" s="146"/>
      <c r="EPS164" s="146"/>
      <c r="EPT164" s="146"/>
      <c r="EPU164" s="146"/>
      <c r="EPV164" s="146"/>
      <c r="EPW164" s="146"/>
      <c r="EPX164" s="146"/>
      <c r="EPY164" s="146"/>
      <c r="EPZ164" s="146"/>
      <c r="EQA164" s="146"/>
      <c r="EQB164" s="146"/>
      <c r="EQC164" s="146"/>
      <c r="EQD164" s="146"/>
      <c r="EQE164" s="146"/>
      <c r="EQF164" s="146"/>
      <c r="EQG164" s="146"/>
      <c r="EQH164" s="146"/>
      <c r="EQI164" s="146"/>
      <c r="EQJ164" s="146"/>
      <c r="EQK164" s="146"/>
      <c r="EQL164" s="146"/>
      <c r="EQM164" s="146"/>
      <c r="EQN164" s="146"/>
      <c r="EQO164" s="146"/>
      <c r="EQP164" s="146"/>
      <c r="EQQ164" s="146"/>
      <c r="EQR164" s="146"/>
      <c r="EQS164" s="146"/>
      <c r="EQT164" s="146"/>
      <c r="EQU164" s="146"/>
      <c r="EQV164" s="146"/>
      <c r="EQW164" s="146"/>
      <c r="EQX164" s="146"/>
      <c r="EQY164" s="146"/>
      <c r="EQZ164" s="146"/>
      <c r="ERA164" s="146"/>
      <c r="ERB164" s="146"/>
      <c r="ERC164" s="146"/>
      <c r="ERD164" s="146"/>
      <c r="ERE164" s="146"/>
      <c r="ERF164" s="146"/>
      <c r="ERG164" s="146"/>
      <c r="ERH164" s="146"/>
      <c r="ERI164" s="146"/>
      <c r="ERJ164" s="146"/>
      <c r="ERK164" s="146"/>
      <c r="ERL164" s="146"/>
      <c r="ERM164" s="146"/>
      <c r="ERN164" s="146"/>
      <c r="ERO164" s="146"/>
      <c r="ERP164" s="146"/>
      <c r="ERQ164" s="146"/>
      <c r="ERR164" s="146"/>
      <c r="ERS164" s="146"/>
      <c r="ERT164" s="146"/>
      <c r="ERU164" s="146"/>
      <c r="ERV164" s="146"/>
      <c r="ERW164" s="146"/>
      <c r="ERX164" s="146"/>
      <c r="ERY164" s="146"/>
      <c r="ERZ164" s="146"/>
      <c r="ESA164" s="146"/>
      <c r="ESB164" s="146"/>
      <c r="ESC164" s="146"/>
      <c r="ESD164" s="146"/>
      <c r="ESE164" s="146"/>
      <c r="ESF164" s="146"/>
      <c r="ESG164" s="146"/>
      <c r="ESH164" s="146"/>
      <c r="ESI164" s="146"/>
      <c r="ESJ164" s="146"/>
      <c r="ESK164" s="146"/>
      <c r="ESL164" s="146"/>
      <c r="ESM164" s="146"/>
      <c r="ESN164" s="146"/>
      <c r="ESO164" s="146"/>
      <c r="ESP164" s="146"/>
      <c r="ESQ164" s="146"/>
      <c r="ESR164" s="146"/>
      <c r="ESS164" s="146"/>
      <c r="EST164" s="146"/>
      <c r="ESU164" s="146"/>
      <c r="ESV164" s="146"/>
      <c r="ESW164" s="146"/>
      <c r="ESX164" s="146"/>
      <c r="ESY164" s="146"/>
      <c r="ESZ164" s="146"/>
      <c r="ETA164" s="146"/>
      <c r="ETB164" s="146"/>
      <c r="ETC164" s="146"/>
      <c r="ETD164" s="146"/>
      <c r="ETE164" s="146"/>
      <c r="ETF164" s="146"/>
      <c r="ETG164" s="146"/>
      <c r="ETH164" s="146"/>
      <c r="ETI164" s="146"/>
      <c r="ETJ164" s="146"/>
      <c r="ETK164" s="146"/>
      <c r="ETL164" s="146"/>
      <c r="ETM164" s="146"/>
      <c r="ETN164" s="146"/>
      <c r="ETO164" s="146"/>
      <c r="ETP164" s="146"/>
      <c r="ETQ164" s="146"/>
      <c r="ETR164" s="146"/>
      <c r="ETS164" s="146"/>
      <c r="ETT164" s="146"/>
      <c r="ETU164" s="146"/>
      <c r="ETV164" s="146"/>
      <c r="ETW164" s="146"/>
      <c r="ETX164" s="146"/>
      <c r="ETY164" s="146"/>
      <c r="ETZ164" s="146"/>
      <c r="EUA164" s="146"/>
      <c r="EUB164" s="146"/>
      <c r="EUC164" s="146"/>
      <c r="EUD164" s="146"/>
      <c r="EUE164" s="146"/>
      <c r="EUF164" s="146"/>
      <c r="EUG164" s="146"/>
      <c r="EUH164" s="146"/>
      <c r="EUI164" s="146"/>
      <c r="EUJ164" s="146"/>
      <c r="EUK164" s="146"/>
      <c r="EUL164" s="146"/>
      <c r="EUM164" s="146"/>
      <c r="EUN164" s="146"/>
      <c r="EUO164" s="146"/>
      <c r="EUP164" s="146"/>
      <c r="EUQ164" s="146"/>
      <c r="EUR164" s="146"/>
      <c r="EUS164" s="146"/>
      <c r="EUT164" s="146"/>
      <c r="EUU164" s="146"/>
      <c r="EUV164" s="146"/>
      <c r="EUW164" s="146"/>
      <c r="EUX164" s="146"/>
      <c r="EUY164" s="146"/>
      <c r="EUZ164" s="146"/>
      <c r="EVA164" s="146"/>
      <c r="EVB164" s="146"/>
      <c r="EVC164" s="146"/>
      <c r="EVD164" s="146"/>
      <c r="EVE164" s="146"/>
      <c r="EVF164" s="146"/>
      <c r="EVG164" s="146"/>
      <c r="EVH164" s="146"/>
      <c r="EVI164" s="146"/>
      <c r="EVJ164" s="146"/>
      <c r="EVK164" s="146"/>
      <c r="EVL164" s="146"/>
      <c r="EVM164" s="146"/>
      <c r="EVN164" s="146"/>
      <c r="EVO164" s="146"/>
      <c r="EVP164" s="146"/>
      <c r="EVQ164" s="146"/>
      <c r="EVR164" s="146"/>
      <c r="EVS164" s="146"/>
      <c r="EVT164" s="146"/>
      <c r="EVU164" s="146"/>
      <c r="EVV164" s="146"/>
      <c r="EVW164" s="146"/>
      <c r="EVX164" s="146"/>
      <c r="EVY164" s="146"/>
      <c r="EVZ164" s="146"/>
      <c r="EWA164" s="146"/>
      <c r="EWB164" s="146"/>
      <c r="EWC164" s="146"/>
      <c r="EWD164" s="146"/>
      <c r="EWE164" s="146"/>
      <c r="EWF164" s="146"/>
      <c r="EWG164" s="146"/>
      <c r="EWH164" s="146"/>
      <c r="EWI164" s="146"/>
      <c r="EWJ164" s="146"/>
      <c r="EWK164" s="146"/>
      <c r="EWL164" s="146"/>
      <c r="EWM164" s="146"/>
      <c r="EWN164" s="146"/>
      <c r="EWO164" s="146"/>
      <c r="EWP164" s="146"/>
      <c r="EWQ164" s="146"/>
      <c r="EWR164" s="146"/>
      <c r="EWS164" s="146"/>
      <c r="EWT164" s="146"/>
      <c r="EWU164" s="146"/>
      <c r="EWV164" s="146"/>
      <c r="EWW164" s="146"/>
      <c r="EWX164" s="146"/>
      <c r="EWY164" s="146"/>
      <c r="EWZ164" s="146"/>
      <c r="EXA164" s="146"/>
      <c r="EXB164" s="146"/>
      <c r="EXC164" s="146"/>
      <c r="EXD164" s="146"/>
      <c r="EXE164" s="146"/>
      <c r="EXF164" s="146"/>
      <c r="EXG164" s="146"/>
      <c r="EXH164" s="146"/>
      <c r="EXI164" s="146"/>
      <c r="EXJ164" s="146"/>
      <c r="EXK164" s="146"/>
      <c r="EXL164" s="146"/>
      <c r="EXM164" s="146"/>
      <c r="EXN164" s="146"/>
      <c r="EXO164" s="146"/>
      <c r="EXP164" s="146"/>
      <c r="EXQ164" s="146"/>
      <c r="EXR164" s="146"/>
      <c r="EXS164" s="146"/>
      <c r="EXT164" s="146"/>
      <c r="EXU164" s="146"/>
      <c r="EXV164" s="146"/>
      <c r="EXW164" s="146"/>
      <c r="EXX164" s="146"/>
      <c r="EXY164" s="146"/>
      <c r="EXZ164" s="146"/>
      <c r="EYA164" s="146"/>
      <c r="EYB164" s="146"/>
      <c r="EYC164" s="146"/>
      <c r="EYD164" s="146"/>
      <c r="EYE164" s="146"/>
      <c r="EYF164" s="146"/>
      <c r="EYG164" s="146"/>
      <c r="EYH164" s="146"/>
      <c r="EYI164" s="146"/>
      <c r="EYJ164" s="146"/>
      <c r="EYK164" s="146"/>
      <c r="EYL164" s="146"/>
      <c r="EYM164" s="146"/>
      <c r="EYN164" s="146"/>
      <c r="EYO164" s="146"/>
      <c r="EYP164" s="146"/>
      <c r="EYQ164" s="146"/>
      <c r="EYR164" s="146"/>
      <c r="EYS164" s="146"/>
      <c r="EYT164" s="146"/>
      <c r="EYU164" s="146"/>
      <c r="EYV164" s="146"/>
      <c r="EYW164" s="146"/>
      <c r="EYX164" s="146"/>
      <c r="EYY164" s="146"/>
      <c r="EYZ164" s="146"/>
      <c r="EZA164" s="146"/>
      <c r="EZB164" s="146"/>
      <c r="EZC164" s="146"/>
      <c r="EZD164" s="146"/>
      <c r="EZE164" s="146"/>
      <c r="EZF164" s="146"/>
      <c r="EZG164" s="146"/>
      <c r="EZH164" s="146"/>
      <c r="EZI164" s="146"/>
      <c r="EZJ164" s="146"/>
      <c r="EZK164" s="146"/>
      <c r="EZL164" s="146"/>
      <c r="EZM164" s="146"/>
      <c r="EZN164" s="146"/>
      <c r="EZO164" s="146"/>
      <c r="EZP164" s="146"/>
      <c r="EZQ164" s="146"/>
      <c r="EZR164" s="146"/>
      <c r="EZS164" s="146"/>
      <c r="EZT164" s="146"/>
      <c r="EZU164" s="146"/>
      <c r="EZV164" s="146"/>
      <c r="EZW164" s="146"/>
      <c r="EZX164" s="146"/>
      <c r="EZY164" s="146"/>
      <c r="EZZ164" s="146"/>
      <c r="FAA164" s="146"/>
      <c r="FAB164" s="146"/>
      <c r="FAC164" s="146"/>
      <c r="FAD164" s="146"/>
      <c r="FAE164" s="146"/>
      <c r="FAF164" s="146"/>
      <c r="FAG164" s="146"/>
      <c r="FAH164" s="146"/>
      <c r="FAI164" s="146"/>
      <c r="FAJ164" s="146"/>
      <c r="FAK164" s="146"/>
      <c r="FAL164" s="146"/>
      <c r="FAM164" s="146"/>
      <c r="FAN164" s="146"/>
      <c r="FAO164" s="146"/>
      <c r="FAP164" s="146"/>
      <c r="FAQ164" s="146"/>
      <c r="FAR164" s="146"/>
      <c r="FAS164" s="146"/>
      <c r="FAT164" s="146"/>
      <c r="FAU164" s="146"/>
      <c r="FAV164" s="146"/>
      <c r="FAW164" s="146"/>
      <c r="FAX164" s="146"/>
      <c r="FAY164" s="146"/>
      <c r="FAZ164" s="146"/>
      <c r="FBA164" s="146"/>
      <c r="FBB164" s="146"/>
      <c r="FBC164" s="146"/>
      <c r="FBD164" s="146"/>
      <c r="FBE164" s="146"/>
      <c r="FBF164" s="146"/>
      <c r="FBG164" s="146"/>
      <c r="FBH164" s="146"/>
      <c r="FBI164" s="146"/>
      <c r="FBJ164" s="146"/>
      <c r="FBK164" s="146"/>
      <c r="FBL164" s="146"/>
      <c r="FBM164" s="146"/>
      <c r="FBN164" s="146"/>
      <c r="FBO164" s="146"/>
      <c r="FBP164" s="146"/>
      <c r="FBQ164" s="146"/>
      <c r="FBR164" s="146"/>
      <c r="FBS164" s="146"/>
      <c r="FBT164" s="146"/>
      <c r="FBU164" s="146"/>
      <c r="FBV164" s="146"/>
      <c r="FBW164" s="146"/>
      <c r="FBX164" s="146"/>
      <c r="FBY164" s="146"/>
      <c r="FBZ164" s="146"/>
      <c r="FCA164" s="146"/>
      <c r="FCB164" s="146"/>
      <c r="FCC164" s="146"/>
      <c r="FCD164" s="146"/>
      <c r="FCE164" s="146"/>
      <c r="FCF164" s="146"/>
      <c r="FCG164" s="146"/>
      <c r="FCH164" s="146"/>
      <c r="FCI164" s="146"/>
      <c r="FCJ164" s="146"/>
      <c r="FCK164" s="146"/>
      <c r="FCL164" s="146"/>
      <c r="FCM164" s="146"/>
      <c r="FCN164" s="146"/>
      <c r="FCO164" s="146"/>
      <c r="FCP164" s="146"/>
      <c r="FCQ164" s="146"/>
      <c r="FCR164" s="146"/>
      <c r="FCS164" s="146"/>
      <c r="FCT164" s="146"/>
      <c r="FCU164" s="146"/>
      <c r="FCV164" s="146"/>
      <c r="FCW164" s="146"/>
      <c r="FCX164" s="146"/>
      <c r="FCY164" s="146"/>
      <c r="FCZ164" s="146"/>
      <c r="FDA164" s="146"/>
      <c r="FDB164" s="146"/>
      <c r="FDC164" s="146"/>
      <c r="FDD164" s="146"/>
      <c r="FDE164" s="146"/>
      <c r="FDF164" s="146"/>
      <c r="FDG164" s="146"/>
      <c r="FDH164" s="146"/>
      <c r="FDI164" s="146"/>
      <c r="FDJ164" s="146"/>
      <c r="FDK164" s="146"/>
      <c r="FDL164" s="146"/>
      <c r="FDM164" s="146"/>
      <c r="FDN164" s="146"/>
      <c r="FDO164" s="146"/>
      <c r="FDP164" s="146"/>
      <c r="FDQ164" s="146"/>
      <c r="FDR164" s="146"/>
      <c r="FDS164" s="146"/>
      <c r="FDT164" s="146"/>
      <c r="FDU164" s="146"/>
      <c r="FDV164" s="146"/>
      <c r="FDW164" s="146"/>
      <c r="FDX164" s="146"/>
      <c r="FDY164" s="146"/>
      <c r="FDZ164" s="146"/>
      <c r="FEA164" s="146"/>
      <c r="FEB164" s="146"/>
      <c r="FEC164" s="146"/>
      <c r="FED164" s="146"/>
      <c r="FEE164" s="146"/>
      <c r="FEF164" s="146"/>
      <c r="FEG164" s="146"/>
      <c r="FEH164" s="146"/>
      <c r="FEI164" s="146"/>
      <c r="FEJ164" s="146"/>
      <c r="FEK164" s="146"/>
      <c r="FEL164" s="146"/>
      <c r="FEM164" s="146"/>
      <c r="FEN164" s="146"/>
      <c r="FEO164" s="146"/>
      <c r="FEP164" s="146"/>
      <c r="FEQ164" s="146"/>
      <c r="FER164" s="146"/>
      <c r="FES164" s="146"/>
      <c r="FET164" s="146"/>
      <c r="FEU164" s="146"/>
      <c r="FEV164" s="146"/>
      <c r="FEW164" s="146"/>
      <c r="FEX164" s="146"/>
      <c r="FEY164" s="146"/>
      <c r="FEZ164" s="146"/>
      <c r="FFA164" s="146"/>
      <c r="FFB164" s="146"/>
      <c r="FFC164" s="146"/>
      <c r="FFD164" s="146"/>
      <c r="FFE164" s="146"/>
      <c r="FFF164" s="146"/>
      <c r="FFG164" s="146"/>
      <c r="FFH164" s="146"/>
      <c r="FFI164" s="146"/>
      <c r="FFJ164" s="146"/>
      <c r="FFK164" s="146"/>
      <c r="FFL164" s="146"/>
      <c r="FFM164" s="146"/>
      <c r="FFN164" s="146"/>
      <c r="FFO164" s="146"/>
      <c r="FFP164" s="146"/>
      <c r="FFQ164" s="146"/>
      <c r="FFR164" s="146"/>
      <c r="FFS164" s="146"/>
      <c r="FFT164" s="146"/>
      <c r="FFU164" s="146"/>
      <c r="FFV164" s="146"/>
      <c r="FFW164" s="146"/>
      <c r="FFX164" s="146"/>
      <c r="FFY164" s="146"/>
      <c r="FFZ164" s="146"/>
      <c r="FGA164" s="146"/>
      <c r="FGB164" s="146"/>
      <c r="FGC164" s="146"/>
      <c r="FGD164" s="146"/>
      <c r="FGE164" s="146"/>
      <c r="FGF164" s="146"/>
      <c r="FGG164" s="146"/>
      <c r="FGH164" s="146"/>
      <c r="FGI164" s="146"/>
      <c r="FGJ164" s="146"/>
      <c r="FGK164" s="146"/>
      <c r="FGL164" s="146"/>
      <c r="FGM164" s="146"/>
      <c r="FGN164" s="146"/>
      <c r="FGO164" s="146"/>
      <c r="FGP164" s="146"/>
      <c r="FGQ164" s="146"/>
      <c r="FGR164" s="146"/>
      <c r="FGS164" s="146"/>
      <c r="FGT164" s="146"/>
      <c r="FGU164" s="146"/>
      <c r="FGV164" s="146"/>
      <c r="FGW164" s="146"/>
      <c r="FGX164" s="146"/>
      <c r="FGY164" s="146"/>
      <c r="FGZ164" s="146"/>
      <c r="FHA164" s="146"/>
      <c r="FHB164" s="146"/>
      <c r="FHC164" s="146"/>
      <c r="FHD164" s="146"/>
      <c r="FHE164" s="146"/>
      <c r="FHF164" s="146"/>
      <c r="FHG164" s="146"/>
      <c r="FHH164" s="146"/>
      <c r="FHI164" s="146"/>
      <c r="FHJ164" s="146"/>
      <c r="FHK164" s="146"/>
      <c r="FHL164" s="146"/>
      <c r="FHM164" s="146"/>
      <c r="FHN164" s="146"/>
      <c r="FHO164" s="146"/>
      <c r="FHP164" s="146"/>
      <c r="FHQ164" s="146"/>
      <c r="FHR164" s="146"/>
      <c r="FHS164" s="146"/>
      <c r="FHT164" s="146"/>
      <c r="FHU164" s="146"/>
      <c r="FHV164" s="146"/>
      <c r="FHW164" s="146"/>
      <c r="FHX164" s="146"/>
      <c r="FHY164" s="146"/>
      <c r="FHZ164" s="146"/>
      <c r="FIA164" s="146"/>
      <c r="FIB164" s="146"/>
      <c r="FIC164" s="146"/>
      <c r="FID164" s="146"/>
      <c r="FIE164" s="146"/>
      <c r="FIF164" s="146"/>
      <c r="FIG164" s="146"/>
      <c r="FIH164" s="146"/>
      <c r="FII164" s="146"/>
      <c r="FIJ164" s="146"/>
      <c r="FIK164" s="146"/>
      <c r="FIL164" s="146"/>
      <c r="FIM164" s="146"/>
      <c r="FIN164" s="146"/>
      <c r="FIO164" s="146"/>
      <c r="FIP164" s="146"/>
      <c r="FIQ164" s="146"/>
      <c r="FIR164" s="146"/>
      <c r="FIS164" s="146"/>
      <c r="FIT164" s="146"/>
      <c r="FIU164" s="146"/>
      <c r="FIV164" s="146"/>
      <c r="FIW164" s="146"/>
      <c r="FIX164" s="146"/>
      <c r="FIY164" s="146"/>
      <c r="FIZ164" s="146"/>
      <c r="FJA164" s="146"/>
      <c r="FJB164" s="146"/>
      <c r="FJC164" s="146"/>
      <c r="FJD164" s="146"/>
      <c r="FJE164" s="146"/>
      <c r="FJF164" s="146"/>
      <c r="FJG164" s="146"/>
      <c r="FJH164" s="146"/>
      <c r="FJI164" s="146"/>
      <c r="FJJ164" s="146"/>
      <c r="FJK164" s="146"/>
      <c r="FJL164" s="146"/>
      <c r="FJM164" s="146"/>
      <c r="FJN164" s="146"/>
      <c r="FJO164" s="146"/>
      <c r="FJP164" s="146"/>
      <c r="FJQ164" s="146"/>
      <c r="FJR164" s="146"/>
      <c r="FJS164" s="146"/>
      <c r="FJT164" s="146"/>
      <c r="FJU164" s="146"/>
      <c r="FJV164" s="146"/>
      <c r="FJW164" s="146"/>
      <c r="FJX164" s="146"/>
      <c r="FJY164" s="146"/>
      <c r="FJZ164" s="146"/>
      <c r="FKA164" s="146"/>
      <c r="FKB164" s="146"/>
      <c r="FKC164" s="146"/>
      <c r="FKD164" s="146"/>
      <c r="FKE164" s="146"/>
      <c r="FKF164" s="146"/>
      <c r="FKG164" s="146"/>
      <c r="FKH164" s="146"/>
      <c r="FKI164" s="146"/>
      <c r="FKJ164" s="146"/>
      <c r="FKK164" s="146"/>
      <c r="FKL164" s="146"/>
      <c r="FKM164" s="146"/>
      <c r="FKN164" s="146"/>
      <c r="FKO164" s="146"/>
      <c r="FKP164" s="146"/>
      <c r="FKQ164" s="146"/>
      <c r="FKR164" s="146"/>
      <c r="FKS164" s="146"/>
      <c r="FKT164" s="146"/>
      <c r="FKU164" s="146"/>
      <c r="FKV164" s="146"/>
      <c r="FKW164" s="146"/>
      <c r="FKX164" s="146"/>
      <c r="FKY164" s="146"/>
      <c r="FKZ164" s="146"/>
      <c r="FLA164" s="146"/>
      <c r="FLB164" s="146"/>
      <c r="FLC164" s="146"/>
      <c r="FLD164" s="146"/>
      <c r="FLE164" s="146"/>
      <c r="FLF164" s="146"/>
      <c r="FLG164" s="146"/>
      <c r="FLH164" s="146"/>
      <c r="FLI164" s="146"/>
      <c r="FLJ164" s="146"/>
      <c r="FLK164" s="146"/>
      <c r="FLL164" s="146"/>
      <c r="FLM164" s="146"/>
      <c r="FLN164" s="146"/>
      <c r="FLO164" s="146"/>
      <c r="FLP164" s="146"/>
      <c r="FLQ164" s="146"/>
      <c r="FLR164" s="146"/>
      <c r="FLS164" s="146"/>
      <c r="FLT164" s="146"/>
      <c r="FLU164" s="146"/>
      <c r="FLV164" s="146"/>
      <c r="FLW164" s="146"/>
      <c r="FLX164" s="146"/>
      <c r="FLY164" s="146"/>
      <c r="FLZ164" s="146"/>
      <c r="FMA164" s="146"/>
      <c r="FMB164" s="146"/>
      <c r="FMC164" s="146"/>
      <c r="FMD164" s="146"/>
      <c r="FME164" s="146"/>
      <c r="FMF164" s="146"/>
      <c r="FMG164" s="146"/>
      <c r="FMH164" s="146"/>
      <c r="FMI164" s="146"/>
      <c r="FMJ164" s="146"/>
      <c r="FMK164" s="146"/>
      <c r="FML164" s="146"/>
      <c r="FMM164" s="146"/>
      <c r="FMN164" s="146"/>
      <c r="FMO164" s="146"/>
      <c r="FMP164" s="146"/>
      <c r="FMQ164" s="146"/>
      <c r="FMR164" s="146"/>
      <c r="FMS164" s="146"/>
      <c r="FMT164" s="146"/>
      <c r="FMU164" s="146"/>
      <c r="FMV164" s="146"/>
      <c r="FMW164" s="146"/>
      <c r="FMX164" s="146"/>
      <c r="FMY164" s="146"/>
      <c r="FMZ164" s="146"/>
      <c r="FNA164" s="146"/>
      <c r="FNB164" s="146"/>
      <c r="FNC164" s="146"/>
      <c r="FND164" s="146"/>
      <c r="FNE164" s="146"/>
      <c r="FNF164" s="146"/>
      <c r="FNG164" s="146"/>
      <c r="FNH164" s="146"/>
      <c r="FNI164" s="146"/>
      <c r="FNJ164" s="146"/>
      <c r="FNK164" s="146"/>
      <c r="FNL164" s="146"/>
      <c r="FNM164" s="146"/>
      <c r="FNN164" s="146"/>
      <c r="FNO164" s="146"/>
      <c r="FNP164" s="146"/>
      <c r="FNQ164" s="146"/>
      <c r="FNR164" s="146"/>
      <c r="FNS164" s="146"/>
      <c r="FNT164" s="146"/>
      <c r="FNU164" s="146"/>
      <c r="FNV164" s="146"/>
      <c r="FNW164" s="146"/>
      <c r="FNX164" s="146"/>
      <c r="FNY164" s="146"/>
      <c r="FNZ164" s="146"/>
      <c r="FOA164" s="146"/>
      <c r="FOB164" s="146"/>
      <c r="FOC164" s="146"/>
      <c r="FOD164" s="146"/>
      <c r="FOE164" s="146"/>
      <c r="FOF164" s="146"/>
      <c r="FOG164" s="146"/>
      <c r="FOH164" s="146"/>
      <c r="FOI164" s="146"/>
      <c r="FOJ164" s="146"/>
      <c r="FOK164" s="146"/>
      <c r="FOL164" s="146"/>
      <c r="FOM164" s="146"/>
      <c r="FON164" s="146"/>
      <c r="FOO164" s="146"/>
      <c r="FOP164" s="146"/>
      <c r="FOQ164" s="146"/>
      <c r="FOR164" s="146"/>
      <c r="FOS164" s="146"/>
      <c r="FOT164" s="146"/>
      <c r="FOU164" s="146"/>
      <c r="FOV164" s="146"/>
      <c r="FOW164" s="146"/>
      <c r="FOX164" s="146"/>
      <c r="FOY164" s="146"/>
      <c r="FOZ164" s="146"/>
      <c r="FPA164" s="146"/>
      <c r="FPB164" s="146"/>
      <c r="FPC164" s="146"/>
      <c r="FPD164" s="146"/>
      <c r="FPE164" s="146"/>
      <c r="FPF164" s="146"/>
      <c r="FPG164" s="146"/>
      <c r="FPH164" s="146"/>
      <c r="FPI164" s="146"/>
      <c r="FPJ164" s="146"/>
      <c r="FPK164" s="146"/>
      <c r="FPL164" s="146"/>
      <c r="FPM164" s="146"/>
      <c r="FPN164" s="146"/>
      <c r="FPO164" s="146"/>
      <c r="FPP164" s="146"/>
      <c r="FPQ164" s="146"/>
      <c r="FPR164" s="146"/>
      <c r="FPS164" s="146"/>
      <c r="FPT164" s="146"/>
      <c r="FPU164" s="146"/>
      <c r="FPV164" s="146"/>
      <c r="FPW164" s="146"/>
      <c r="FPX164" s="146"/>
      <c r="FPY164" s="146"/>
      <c r="FPZ164" s="146"/>
      <c r="FQA164" s="146"/>
      <c r="FQB164" s="146"/>
      <c r="FQC164" s="146"/>
      <c r="FQD164" s="146"/>
      <c r="FQE164" s="146"/>
      <c r="FQF164" s="146"/>
      <c r="FQG164" s="146"/>
      <c r="FQH164" s="146"/>
      <c r="FQI164" s="146"/>
      <c r="FQJ164" s="146"/>
      <c r="FQK164" s="146"/>
      <c r="FQL164" s="146"/>
      <c r="FQM164" s="146"/>
      <c r="FQN164" s="146"/>
      <c r="FQO164" s="146"/>
      <c r="FQP164" s="146"/>
      <c r="FQQ164" s="146"/>
      <c r="FQR164" s="146"/>
      <c r="FQS164" s="146"/>
      <c r="FQT164" s="146"/>
      <c r="FQU164" s="146"/>
      <c r="FQV164" s="146"/>
      <c r="FQW164" s="146"/>
      <c r="FQX164" s="146"/>
      <c r="FQY164" s="146"/>
      <c r="FQZ164" s="146"/>
      <c r="FRA164" s="146"/>
      <c r="FRB164" s="146"/>
      <c r="FRC164" s="146"/>
      <c r="FRD164" s="146"/>
      <c r="FRE164" s="146"/>
      <c r="FRF164" s="146"/>
      <c r="FRG164" s="146"/>
      <c r="FRH164" s="146"/>
      <c r="FRI164" s="146"/>
      <c r="FRJ164" s="146"/>
      <c r="FRK164" s="146"/>
      <c r="FRL164" s="146"/>
      <c r="FRM164" s="146"/>
      <c r="FRN164" s="146"/>
      <c r="FRO164" s="146"/>
      <c r="FRP164" s="146"/>
      <c r="FRQ164" s="146"/>
      <c r="FRR164" s="146"/>
      <c r="FRS164" s="146"/>
      <c r="FRT164" s="146"/>
      <c r="FRU164" s="146"/>
      <c r="FRV164" s="146"/>
      <c r="FRW164" s="146"/>
      <c r="FRX164" s="146"/>
      <c r="FRY164" s="146"/>
      <c r="FRZ164" s="146"/>
      <c r="FSA164" s="146"/>
      <c r="FSB164" s="146"/>
      <c r="FSC164" s="146"/>
      <c r="FSD164" s="146"/>
      <c r="FSE164" s="146"/>
      <c r="FSF164" s="146"/>
      <c r="FSG164" s="146"/>
      <c r="FSH164" s="146"/>
      <c r="FSI164" s="146"/>
      <c r="FSJ164" s="146"/>
      <c r="FSK164" s="146"/>
      <c r="FSL164" s="146"/>
      <c r="FSM164" s="146"/>
      <c r="FSN164" s="146"/>
      <c r="FSO164" s="146"/>
      <c r="FSP164" s="146"/>
      <c r="FSQ164" s="146"/>
      <c r="FSR164" s="146"/>
      <c r="FSS164" s="146"/>
      <c r="FST164" s="146"/>
      <c r="FSU164" s="146"/>
      <c r="FSV164" s="146"/>
      <c r="FSW164" s="146"/>
      <c r="FSX164" s="146"/>
      <c r="FSY164" s="146"/>
      <c r="FSZ164" s="146"/>
      <c r="FTA164" s="146"/>
      <c r="FTB164" s="146"/>
      <c r="FTC164" s="146"/>
      <c r="FTD164" s="146"/>
      <c r="FTE164" s="146"/>
      <c r="FTF164" s="146"/>
      <c r="FTG164" s="146"/>
      <c r="FTH164" s="146"/>
      <c r="FTI164" s="146"/>
      <c r="FTJ164" s="146"/>
      <c r="FTK164" s="146"/>
      <c r="FTL164" s="146"/>
      <c r="FTM164" s="146"/>
      <c r="FTN164" s="146"/>
      <c r="FTO164" s="146"/>
      <c r="FTP164" s="146"/>
      <c r="FTQ164" s="146"/>
      <c r="FTR164" s="146"/>
      <c r="FTS164" s="146"/>
      <c r="FTT164" s="146"/>
      <c r="FTU164" s="146"/>
      <c r="FTV164" s="146"/>
      <c r="FTW164" s="146"/>
      <c r="FTX164" s="146"/>
      <c r="FTY164" s="146"/>
      <c r="FTZ164" s="146"/>
      <c r="FUA164" s="146"/>
      <c r="FUB164" s="146"/>
      <c r="FUC164" s="146"/>
      <c r="FUD164" s="146"/>
      <c r="FUE164" s="146"/>
      <c r="FUF164" s="146"/>
      <c r="FUG164" s="146"/>
      <c r="FUH164" s="146"/>
      <c r="FUI164" s="146"/>
      <c r="FUJ164" s="146"/>
      <c r="FUK164" s="146"/>
      <c r="FUL164" s="146"/>
      <c r="FUM164" s="146"/>
      <c r="FUN164" s="146"/>
      <c r="FUO164" s="146"/>
      <c r="FUP164" s="146"/>
      <c r="FUQ164" s="146"/>
      <c r="FUR164" s="146"/>
      <c r="FUS164" s="146"/>
      <c r="FUT164" s="146"/>
      <c r="FUU164" s="146"/>
      <c r="FUV164" s="146"/>
      <c r="FUW164" s="146"/>
      <c r="FUX164" s="146"/>
      <c r="FUY164" s="146"/>
      <c r="FUZ164" s="146"/>
      <c r="FVA164" s="146"/>
      <c r="FVB164" s="146"/>
      <c r="FVC164" s="146"/>
      <c r="FVD164" s="146"/>
      <c r="FVE164" s="146"/>
      <c r="FVF164" s="146"/>
      <c r="FVG164" s="146"/>
      <c r="FVH164" s="146"/>
      <c r="FVI164" s="146"/>
      <c r="FVJ164" s="146"/>
      <c r="FVK164" s="146"/>
      <c r="FVL164" s="146"/>
      <c r="FVM164" s="146"/>
      <c r="FVN164" s="146"/>
      <c r="FVO164" s="146"/>
      <c r="FVP164" s="146"/>
      <c r="FVQ164" s="146"/>
      <c r="FVR164" s="146"/>
      <c r="FVS164" s="146"/>
      <c r="FVT164" s="146"/>
      <c r="FVU164" s="146"/>
      <c r="FVV164" s="146"/>
      <c r="FVW164" s="146"/>
      <c r="FVX164" s="146"/>
      <c r="FVY164" s="146"/>
      <c r="FVZ164" s="146"/>
      <c r="FWA164" s="146"/>
      <c r="FWB164" s="146"/>
      <c r="FWC164" s="146"/>
      <c r="FWD164" s="146"/>
      <c r="FWE164" s="146"/>
      <c r="FWF164" s="146"/>
      <c r="FWG164" s="146"/>
      <c r="FWH164" s="146"/>
      <c r="FWI164" s="146"/>
      <c r="FWJ164" s="146"/>
      <c r="FWK164" s="146"/>
      <c r="FWL164" s="146"/>
      <c r="FWM164" s="146"/>
      <c r="FWN164" s="146"/>
      <c r="FWO164" s="146"/>
      <c r="FWP164" s="146"/>
      <c r="FWQ164" s="146"/>
      <c r="FWR164" s="146"/>
      <c r="FWS164" s="146"/>
      <c r="FWT164" s="146"/>
      <c r="FWU164" s="146"/>
      <c r="FWV164" s="146"/>
      <c r="FWW164" s="146"/>
      <c r="FWX164" s="146"/>
      <c r="FWY164" s="146"/>
      <c r="FWZ164" s="146"/>
      <c r="FXA164" s="146"/>
      <c r="FXB164" s="146"/>
      <c r="FXC164" s="146"/>
      <c r="FXD164" s="146"/>
      <c r="FXE164" s="146"/>
      <c r="FXF164" s="146"/>
      <c r="FXG164" s="146"/>
      <c r="FXH164" s="146"/>
      <c r="FXI164" s="146"/>
      <c r="FXJ164" s="146"/>
      <c r="FXK164" s="146"/>
      <c r="FXL164" s="146"/>
      <c r="FXM164" s="146"/>
      <c r="FXN164" s="146"/>
      <c r="FXO164" s="146"/>
      <c r="FXP164" s="146"/>
      <c r="FXQ164" s="146"/>
      <c r="FXR164" s="146"/>
      <c r="FXS164" s="146"/>
      <c r="FXT164" s="146"/>
      <c r="FXU164" s="146"/>
      <c r="FXV164" s="146"/>
      <c r="FXW164" s="146"/>
      <c r="FXX164" s="146"/>
      <c r="FXY164" s="146"/>
      <c r="FXZ164" s="146"/>
      <c r="FYA164" s="146"/>
      <c r="FYB164" s="146"/>
      <c r="FYC164" s="146"/>
      <c r="FYD164" s="146"/>
      <c r="FYE164" s="146"/>
      <c r="FYF164" s="146"/>
      <c r="FYG164" s="146"/>
      <c r="FYH164" s="146"/>
      <c r="FYI164" s="146"/>
      <c r="FYJ164" s="146"/>
      <c r="FYK164" s="146"/>
      <c r="FYL164" s="146"/>
      <c r="FYM164" s="146"/>
      <c r="FYN164" s="146"/>
      <c r="FYO164" s="146"/>
      <c r="FYP164" s="146"/>
      <c r="FYQ164" s="146"/>
      <c r="FYR164" s="146"/>
      <c r="FYS164" s="146"/>
      <c r="FYT164" s="146"/>
      <c r="FYU164" s="146"/>
      <c r="FYV164" s="146"/>
      <c r="FYW164" s="146"/>
      <c r="FYX164" s="146"/>
      <c r="FYY164" s="146"/>
      <c r="FYZ164" s="146"/>
      <c r="FZA164" s="146"/>
      <c r="FZB164" s="146"/>
      <c r="FZC164" s="146"/>
      <c r="FZD164" s="146"/>
      <c r="FZE164" s="146"/>
      <c r="FZF164" s="146"/>
      <c r="FZG164" s="146"/>
      <c r="FZH164" s="146"/>
      <c r="FZI164" s="146"/>
      <c r="FZJ164" s="146"/>
      <c r="FZK164" s="146"/>
      <c r="FZL164" s="146"/>
      <c r="FZM164" s="146"/>
      <c r="FZN164" s="146"/>
      <c r="FZO164" s="146"/>
      <c r="FZP164" s="146"/>
      <c r="FZQ164" s="146"/>
      <c r="FZR164" s="146"/>
      <c r="FZS164" s="146"/>
      <c r="FZT164" s="146"/>
      <c r="FZU164" s="146"/>
      <c r="FZV164" s="146"/>
      <c r="FZW164" s="146"/>
      <c r="FZX164" s="146"/>
      <c r="FZY164" s="146"/>
      <c r="FZZ164" s="146"/>
      <c r="GAA164" s="146"/>
      <c r="GAB164" s="146"/>
      <c r="GAC164" s="146"/>
      <c r="GAD164" s="146"/>
      <c r="GAE164" s="146"/>
      <c r="GAF164" s="146"/>
      <c r="GAG164" s="146"/>
      <c r="GAH164" s="146"/>
      <c r="GAI164" s="146"/>
      <c r="GAJ164" s="146"/>
      <c r="GAK164" s="146"/>
      <c r="GAL164" s="146"/>
      <c r="GAM164" s="146"/>
      <c r="GAN164" s="146"/>
      <c r="GAO164" s="146"/>
      <c r="GAP164" s="146"/>
      <c r="GAQ164" s="146"/>
      <c r="GAR164" s="146"/>
      <c r="GAS164" s="146"/>
      <c r="GAT164" s="146"/>
      <c r="GAU164" s="146"/>
      <c r="GAV164" s="146"/>
      <c r="GAW164" s="146"/>
      <c r="GAX164" s="146"/>
      <c r="GAY164" s="146"/>
      <c r="GAZ164" s="146"/>
      <c r="GBA164" s="146"/>
      <c r="GBB164" s="146"/>
      <c r="GBC164" s="146"/>
      <c r="GBD164" s="146"/>
      <c r="GBE164" s="146"/>
      <c r="GBF164" s="146"/>
      <c r="GBG164" s="146"/>
      <c r="GBH164" s="146"/>
      <c r="GBI164" s="146"/>
      <c r="GBJ164" s="146"/>
      <c r="GBK164" s="146"/>
      <c r="GBL164" s="146"/>
      <c r="GBM164" s="146"/>
      <c r="GBN164" s="146"/>
      <c r="GBO164" s="146"/>
      <c r="GBP164" s="146"/>
      <c r="GBQ164" s="146"/>
      <c r="GBR164" s="146"/>
      <c r="GBS164" s="146"/>
      <c r="GBT164" s="146"/>
      <c r="GBU164" s="146"/>
      <c r="GBV164" s="146"/>
      <c r="GBW164" s="146"/>
      <c r="GBX164" s="146"/>
      <c r="GBY164" s="146"/>
      <c r="GBZ164" s="146"/>
      <c r="GCA164" s="146"/>
      <c r="GCB164" s="146"/>
      <c r="GCC164" s="146"/>
      <c r="GCD164" s="146"/>
      <c r="GCE164" s="146"/>
      <c r="GCF164" s="146"/>
      <c r="GCG164" s="146"/>
      <c r="GCH164" s="146"/>
      <c r="GCI164" s="146"/>
      <c r="GCJ164" s="146"/>
      <c r="GCK164" s="146"/>
      <c r="GCL164" s="146"/>
      <c r="GCM164" s="146"/>
      <c r="GCN164" s="146"/>
      <c r="GCO164" s="146"/>
      <c r="GCP164" s="146"/>
      <c r="GCQ164" s="146"/>
      <c r="GCR164" s="146"/>
      <c r="GCS164" s="146"/>
      <c r="GCT164" s="146"/>
      <c r="GCU164" s="146"/>
      <c r="GCV164" s="146"/>
      <c r="GCW164" s="146"/>
      <c r="GCX164" s="146"/>
      <c r="GCY164" s="146"/>
      <c r="GCZ164" s="146"/>
      <c r="GDA164" s="146"/>
      <c r="GDB164" s="146"/>
      <c r="GDC164" s="146"/>
      <c r="GDD164" s="146"/>
      <c r="GDE164" s="146"/>
      <c r="GDF164" s="146"/>
      <c r="GDG164" s="146"/>
      <c r="GDH164" s="146"/>
      <c r="GDI164" s="146"/>
      <c r="GDJ164" s="146"/>
      <c r="GDK164" s="146"/>
      <c r="GDL164" s="146"/>
      <c r="GDM164" s="146"/>
      <c r="GDN164" s="146"/>
      <c r="GDO164" s="146"/>
      <c r="GDP164" s="146"/>
      <c r="GDQ164" s="146"/>
      <c r="GDR164" s="146"/>
      <c r="GDS164" s="146"/>
      <c r="GDT164" s="146"/>
      <c r="GDU164" s="146"/>
      <c r="GDV164" s="146"/>
      <c r="GDW164" s="146"/>
      <c r="GDX164" s="146"/>
      <c r="GDY164" s="146"/>
      <c r="GDZ164" s="146"/>
      <c r="GEA164" s="146"/>
      <c r="GEB164" s="146"/>
      <c r="GEC164" s="146"/>
      <c r="GED164" s="146"/>
      <c r="GEE164" s="146"/>
      <c r="GEF164" s="146"/>
      <c r="GEG164" s="146"/>
      <c r="GEH164" s="146"/>
      <c r="GEI164" s="146"/>
      <c r="GEJ164" s="146"/>
      <c r="GEK164" s="146"/>
      <c r="GEL164" s="146"/>
      <c r="GEM164" s="146"/>
      <c r="GEN164" s="146"/>
      <c r="GEO164" s="146"/>
      <c r="GEP164" s="146"/>
      <c r="GEQ164" s="146"/>
      <c r="GER164" s="146"/>
      <c r="GES164" s="146"/>
      <c r="GET164" s="146"/>
      <c r="GEU164" s="146"/>
      <c r="GEV164" s="146"/>
      <c r="GEW164" s="146"/>
      <c r="GEX164" s="146"/>
      <c r="GEY164" s="146"/>
      <c r="GEZ164" s="146"/>
      <c r="GFA164" s="146"/>
      <c r="GFB164" s="146"/>
      <c r="GFC164" s="146"/>
      <c r="GFD164" s="146"/>
      <c r="GFE164" s="146"/>
      <c r="GFF164" s="146"/>
      <c r="GFG164" s="146"/>
      <c r="GFH164" s="146"/>
      <c r="GFI164" s="146"/>
      <c r="GFJ164" s="146"/>
      <c r="GFK164" s="146"/>
      <c r="GFL164" s="146"/>
      <c r="GFM164" s="146"/>
      <c r="GFN164" s="146"/>
      <c r="GFO164" s="146"/>
      <c r="GFP164" s="146"/>
      <c r="GFQ164" s="146"/>
      <c r="GFR164" s="146"/>
      <c r="GFS164" s="146"/>
      <c r="GFT164" s="146"/>
      <c r="GFU164" s="146"/>
      <c r="GFV164" s="146"/>
      <c r="GFW164" s="146"/>
      <c r="GFX164" s="146"/>
      <c r="GFY164" s="146"/>
      <c r="GFZ164" s="146"/>
      <c r="GGA164" s="146"/>
      <c r="GGB164" s="146"/>
      <c r="GGC164" s="146"/>
      <c r="GGD164" s="146"/>
      <c r="GGE164" s="146"/>
      <c r="GGF164" s="146"/>
      <c r="GGG164" s="146"/>
      <c r="GGH164" s="146"/>
      <c r="GGI164" s="146"/>
      <c r="GGJ164" s="146"/>
      <c r="GGK164" s="146"/>
      <c r="GGL164" s="146"/>
      <c r="GGM164" s="146"/>
      <c r="GGN164" s="146"/>
      <c r="GGO164" s="146"/>
      <c r="GGP164" s="146"/>
      <c r="GGQ164" s="146"/>
      <c r="GGR164" s="146"/>
      <c r="GGS164" s="146"/>
      <c r="GGT164" s="146"/>
      <c r="GGU164" s="146"/>
      <c r="GGV164" s="146"/>
      <c r="GGW164" s="146"/>
      <c r="GGX164" s="146"/>
      <c r="GGY164" s="146"/>
      <c r="GGZ164" s="146"/>
      <c r="GHA164" s="146"/>
      <c r="GHB164" s="146"/>
      <c r="GHC164" s="146"/>
      <c r="GHD164" s="146"/>
      <c r="GHE164" s="146"/>
      <c r="GHF164" s="146"/>
      <c r="GHG164" s="146"/>
      <c r="GHH164" s="146"/>
      <c r="GHI164" s="146"/>
      <c r="GHJ164" s="146"/>
      <c r="GHK164" s="146"/>
      <c r="GHL164" s="146"/>
      <c r="GHM164" s="146"/>
      <c r="GHN164" s="146"/>
      <c r="GHO164" s="146"/>
      <c r="GHP164" s="146"/>
      <c r="GHQ164" s="146"/>
      <c r="GHR164" s="146"/>
      <c r="GHS164" s="146"/>
      <c r="GHT164" s="146"/>
      <c r="GHU164" s="146"/>
      <c r="GHV164" s="146"/>
      <c r="GHW164" s="146"/>
      <c r="GHX164" s="146"/>
      <c r="GHY164" s="146"/>
      <c r="GHZ164" s="146"/>
      <c r="GIA164" s="146"/>
      <c r="GIB164" s="146"/>
      <c r="GIC164" s="146"/>
      <c r="GID164" s="146"/>
      <c r="GIE164" s="146"/>
      <c r="GIF164" s="146"/>
      <c r="GIG164" s="146"/>
      <c r="GIH164" s="146"/>
      <c r="GII164" s="146"/>
      <c r="GIJ164" s="146"/>
      <c r="GIK164" s="146"/>
      <c r="GIL164" s="146"/>
      <c r="GIM164" s="146"/>
      <c r="GIN164" s="146"/>
      <c r="GIO164" s="146"/>
      <c r="GIP164" s="146"/>
      <c r="GIQ164" s="146"/>
      <c r="GIR164" s="146"/>
      <c r="GIS164" s="146"/>
      <c r="GIT164" s="146"/>
      <c r="GIU164" s="146"/>
      <c r="GIV164" s="146"/>
      <c r="GIW164" s="146"/>
      <c r="GIX164" s="146"/>
      <c r="GIY164" s="146"/>
      <c r="GIZ164" s="146"/>
      <c r="GJA164" s="146"/>
      <c r="GJB164" s="146"/>
      <c r="GJC164" s="146"/>
      <c r="GJD164" s="146"/>
      <c r="GJE164" s="146"/>
      <c r="GJF164" s="146"/>
      <c r="GJG164" s="146"/>
      <c r="GJH164" s="146"/>
      <c r="GJI164" s="146"/>
      <c r="GJJ164" s="146"/>
      <c r="GJK164" s="146"/>
      <c r="GJL164" s="146"/>
      <c r="GJM164" s="146"/>
      <c r="GJN164" s="146"/>
      <c r="GJO164" s="146"/>
      <c r="GJP164" s="146"/>
      <c r="GJQ164" s="146"/>
      <c r="GJR164" s="146"/>
      <c r="GJS164" s="146"/>
      <c r="GJT164" s="146"/>
      <c r="GJU164" s="146"/>
      <c r="GJV164" s="146"/>
      <c r="GJW164" s="146"/>
      <c r="GJX164" s="146"/>
      <c r="GJY164" s="146"/>
      <c r="GJZ164" s="146"/>
      <c r="GKA164" s="146"/>
      <c r="GKB164" s="146"/>
      <c r="GKC164" s="146"/>
      <c r="GKD164" s="146"/>
      <c r="GKE164" s="146"/>
      <c r="GKF164" s="146"/>
      <c r="GKG164" s="146"/>
      <c r="GKH164" s="146"/>
      <c r="GKI164" s="146"/>
      <c r="GKJ164" s="146"/>
      <c r="GKK164" s="146"/>
      <c r="GKL164" s="146"/>
      <c r="GKM164" s="146"/>
      <c r="GKN164" s="146"/>
      <c r="GKO164" s="146"/>
      <c r="GKP164" s="146"/>
      <c r="GKQ164" s="146"/>
      <c r="GKR164" s="146"/>
      <c r="GKS164" s="146"/>
      <c r="GKT164" s="146"/>
      <c r="GKU164" s="146"/>
      <c r="GKV164" s="146"/>
      <c r="GKW164" s="146"/>
      <c r="GKX164" s="146"/>
      <c r="GKY164" s="146"/>
      <c r="GKZ164" s="146"/>
      <c r="GLA164" s="146"/>
      <c r="GLB164" s="146"/>
      <c r="GLC164" s="146"/>
      <c r="GLD164" s="146"/>
      <c r="GLE164" s="146"/>
      <c r="GLF164" s="146"/>
      <c r="GLG164" s="146"/>
      <c r="GLH164" s="146"/>
      <c r="GLI164" s="146"/>
      <c r="GLJ164" s="146"/>
      <c r="GLK164" s="146"/>
      <c r="GLL164" s="146"/>
      <c r="GLM164" s="146"/>
      <c r="GLN164" s="146"/>
      <c r="GLO164" s="146"/>
      <c r="GLP164" s="146"/>
      <c r="GLQ164" s="146"/>
      <c r="GLR164" s="146"/>
      <c r="GLS164" s="146"/>
      <c r="GLT164" s="146"/>
      <c r="GLU164" s="146"/>
      <c r="GLV164" s="146"/>
      <c r="GLW164" s="146"/>
      <c r="GLX164" s="146"/>
      <c r="GLY164" s="146"/>
      <c r="GLZ164" s="146"/>
      <c r="GMA164" s="146"/>
      <c r="GMB164" s="146"/>
      <c r="GMC164" s="146"/>
      <c r="GMD164" s="146"/>
      <c r="GME164" s="146"/>
      <c r="GMF164" s="146"/>
      <c r="GMG164" s="146"/>
      <c r="GMH164" s="146"/>
      <c r="GMI164" s="146"/>
      <c r="GMJ164" s="146"/>
      <c r="GMK164" s="146"/>
      <c r="GML164" s="146"/>
      <c r="GMM164" s="146"/>
      <c r="GMN164" s="146"/>
      <c r="GMO164" s="146"/>
      <c r="GMP164" s="146"/>
      <c r="GMQ164" s="146"/>
      <c r="GMR164" s="146"/>
      <c r="GMS164" s="146"/>
      <c r="GMT164" s="146"/>
      <c r="GMU164" s="146"/>
      <c r="GMV164" s="146"/>
      <c r="GMW164" s="146"/>
      <c r="GMX164" s="146"/>
      <c r="GMY164" s="146"/>
      <c r="GMZ164" s="146"/>
      <c r="GNA164" s="146"/>
      <c r="GNB164" s="146"/>
      <c r="GNC164" s="146"/>
      <c r="GND164" s="146"/>
      <c r="GNE164" s="146"/>
      <c r="GNF164" s="146"/>
      <c r="GNG164" s="146"/>
      <c r="GNH164" s="146"/>
      <c r="GNI164" s="146"/>
      <c r="GNJ164" s="146"/>
      <c r="GNK164" s="146"/>
      <c r="GNL164" s="146"/>
      <c r="GNM164" s="146"/>
      <c r="GNN164" s="146"/>
      <c r="GNO164" s="146"/>
      <c r="GNP164" s="146"/>
      <c r="GNQ164" s="146"/>
      <c r="GNR164" s="146"/>
      <c r="GNS164" s="146"/>
      <c r="GNT164" s="146"/>
      <c r="GNU164" s="146"/>
      <c r="GNV164" s="146"/>
      <c r="GNW164" s="146"/>
      <c r="GNX164" s="146"/>
      <c r="GNY164" s="146"/>
      <c r="GNZ164" s="146"/>
      <c r="GOA164" s="146"/>
      <c r="GOB164" s="146"/>
      <c r="GOC164" s="146"/>
      <c r="GOD164" s="146"/>
      <c r="GOE164" s="146"/>
      <c r="GOF164" s="146"/>
      <c r="GOG164" s="146"/>
      <c r="GOH164" s="146"/>
      <c r="GOI164" s="146"/>
      <c r="GOJ164" s="146"/>
      <c r="GOK164" s="146"/>
      <c r="GOL164" s="146"/>
      <c r="GOM164" s="146"/>
      <c r="GON164" s="146"/>
      <c r="GOO164" s="146"/>
      <c r="GOP164" s="146"/>
      <c r="GOQ164" s="146"/>
      <c r="GOR164" s="146"/>
      <c r="GOS164" s="146"/>
      <c r="GOT164" s="146"/>
      <c r="GOU164" s="146"/>
      <c r="GOV164" s="146"/>
      <c r="GOW164" s="146"/>
      <c r="GOX164" s="146"/>
      <c r="GOY164" s="146"/>
      <c r="GOZ164" s="146"/>
      <c r="GPA164" s="146"/>
      <c r="GPB164" s="146"/>
      <c r="GPC164" s="146"/>
      <c r="GPD164" s="146"/>
      <c r="GPE164" s="146"/>
      <c r="GPF164" s="146"/>
      <c r="GPG164" s="146"/>
      <c r="GPH164" s="146"/>
      <c r="GPI164" s="146"/>
      <c r="GPJ164" s="146"/>
      <c r="GPK164" s="146"/>
      <c r="GPL164" s="146"/>
      <c r="GPM164" s="146"/>
      <c r="GPN164" s="146"/>
      <c r="GPO164" s="146"/>
      <c r="GPP164" s="146"/>
      <c r="GPQ164" s="146"/>
      <c r="GPR164" s="146"/>
      <c r="GPS164" s="146"/>
      <c r="GPT164" s="146"/>
      <c r="GPU164" s="146"/>
      <c r="GPV164" s="146"/>
      <c r="GPW164" s="146"/>
      <c r="GPX164" s="146"/>
      <c r="GPY164" s="146"/>
      <c r="GPZ164" s="146"/>
      <c r="GQA164" s="146"/>
      <c r="GQB164" s="146"/>
      <c r="GQC164" s="146"/>
      <c r="GQD164" s="146"/>
      <c r="GQE164" s="146"/>
      <c r="GQF164" s="146"/>
      <c r="GQG164" s="146"/>
      <c r="GQH164" s="146"/>
      <c r="GQI164" s="146"/>
      <c r="GQJ164" s="146"/>
      <c r="GQK164" s="146"/>
      <c r="GQL164" s="146"/>
      <c r="GQM164" s="146"/>
      <c r="GQN164" s="146"/>
      <c r="GQO164" s="146"/>
      <c r="GQP164" s="146"/>
      <c r="GQQ164" s="146"/>
      <c r="GQR164" s="146"/>
      <c r="GQS164" s="146"/>
      <c r="GQT164" s="146"/>
      <c r="GQU164" s="146"/>
      <c r="GQV164" s="146"/>
      <c r="GQW164" s="146"/>
      <c r="GQX164" s="146"/>
      <c r="GQY164" s="146"/>
      <c r="GQZ164" s="146"/>
      <c r="GRA164" s="146"/>
      <c r="GRB164" s="146"/>
      <c r="GRC164" s="146"/>
      <c r="GRD164" s="146"/>
      <c r="GRE164" s="146"/>
      <c r="GRF164" s="146"/>
      <c r="GRG164" s="146"/>
      <c r="GRH164" s="146"/>
      <c r="GRI164" s="146"/>
      <c r="GRJ164" s="146"/>
      <c r="GRK164" s="146"/>
      <c r="GRL164" s="146"/>
      <c r="GRM164" s="146"/>
      <c r="GRN164" s="146"/>
      <c r="GRO164" s="146"/>
      <c r="GRP164" s="146"/>
      <c r="GRQ164" s="146"/>
      <c r="GRR164" s="146"/>
      <c r="GRS164" s="146"/>
      <c r="GRT164" s="146"/>
      <c r="GRU164" s="146"/>
      <c r="GRV164" s="146"/>
      <c r="GRW164" s="146"/>
      <c r="GRX164" s="146"/>
      <c r="GRY164" s="146"/>
      <c r="GRZ164" s="146"/>
      <c r="GSA164" s="146"/>
      <c r="GSB164" s="146"/>
      <c r="GSC164" s="146"/>
      <c r="GSD164" s="146"/>
      <c r="GSE164" s="146"/>
      <c r="GSF164" s="146"/>
      <c r="GSG164" s="146"/>
      <c r="GSH164" s="146"/>
      <c r="GSI164" s="146"/>
      <c r="GSJ164" s="146"/>
      <c r="GSK164" s="146"/>
      <c r="GSL164" s="146"/>
      <c r="GSM164" s="146"/>
      <c r="GSN164" s="146"/>
      <c r="GSO164" s="146"/>
      <c r="GSP164" s="146"/>
      <c r="GSQ164" s="146"/>
      <c r="GSR164" s="146"/>
      <c r="GSS164" s="146"/>
      <c r="GST164" s="146"/>
      <c r="GSU164" s="146"/>
      <c r="GSV164" s="146"/>
      <c r="GSW164" s="146"/>
      <c r="GSX164" s="146"/>
      <c r="GSY164" s="146"/>
      <c r="GSZ164" s="146"/>
      <c r="GTA164" s="146"/>
      <c r="GTB164" s="146"/>
      <c r="GTC164" s="146"/>
      <c r="GTD164" s="146"/>
      <c r="GTE164" s="146"/>
      <c r="GTF164" s="146"/>
      <c r="GTG164" s="146"/>
      <c r="GTH164" s="146"/>
      <c r="GTI164" s="146"/>
      <c r="GTJ164" s="146"/>
      <c r="GTK164" s="146"/>
      <c r="GTL164" s="146"/>
      <c r="GTM164" s="146"/>
      <c r="GTN164" s="146"/>
      <c r="GTO164" s="146"/>
      <c r="GTP164" s="146"/>
      <c r="GTQ164" s="146"/>
      <c r="GTR164" s="146"/>
      <c r="GTS164" s="146"/>
      <c r="GTT164" s="146"/>
      <c r="GTU164" s="146"/>
      <c r="GTV164" s="146"/>
      <c r="GTW164" s="146"/>
      <c r="GTX164" s="146"/>
      <c r="GTY164" s="146"/>
      <c r="GTZ164" s="146"/>
      <c r="GUA164" s="146"/>
      <c r="GUB164" s="146"/>
      <c r="GUC164" s="146"/>
      <c r="GUD164" s="146"/>
      <c r="GUE164" s="146"/>
      <c r="GUF164" s="146"/>
      <c r="GUG164" s="146"/>
      <c r="GUH164" s="146"/>
      <c r="GUI164" s="146"/>
      <c r="GUJ164" s="146"/>
      <c r="GUK164" s="146"/>
      <c r="GUL164" s="146"/>
      <c r="GUM164" s="146"/>
      <c r="GUN164" s="146"/>
      <c r="GUO164" s="146"/>
      <c r="GUP164" s="146"/>
      <c r="GUQ164" s="146"/>
      <c r="GUR164" s="146"/>
      <c r="GUS164" s="146"/>
      <c r="GUT164" s="146"/>
      <c r="GUU164" s="146"/>
      <c r="GUV164" s="146"/>
      <c r="GUW164" s="146"/>
      <c r="GUX164" s="146"/>
      <c r="GUY164" s="146"/>
      <c r="GUZ164" s="146"/>
      <c r="GVA164" s="146"/>
      <c r="GVB164" s="146"/>
      <c r="GVC164" s="146"/>
      <c r="GVD164" s="146"/>
      <c r="GVE164" s="146"/>
      <c r="GVF164" s="146"/>
      <c r="GVG164" s="146"/>
      <c r="GVH164" s="146"/>
      <c r="GVI164" s="146"/>
      <c r="GVJ164" s="146"/>
      <c r="GVK164" s="146"/>
      <c r="GVL164" s="146"/>
      <c r="GVM164" s="146"/>
      <c r="GVN164" s="146"/>
      <c r="GVO164" s="146"/>
      <c r="GVP164" s="146"/>
      <c r="GVQ164" s="146"/>
      <c r="GVR164" s="146"/>
      <c r="GVS164" s="146"/>
      <c r="GVT164" s="146"/>
      <c r="GVU164" s="146"/>
      <c r="GVV164" s="146"/>
      <c r="GVW164" s="146"/>
      <c r="GVX164" s="146"/>
      <c r="GVY164" s="146"/>
      <c r="GVZ164" s="146"/>
      <c r="GWA164" s="146"/>
      <c r="GWB164" s="146"/>
      <c r="GWC164" s="146"/>
      <c r="GWD164" s="146"/>
      <c r="GWE164" s="146"/>
      <c r="GWF164" s="146"/>
      <c r="GWG164" s="146"/>
      <c r="GWH164" s="146"/>
      <c r="GWI164" s="146"/>
      <c r="GWJ164" s="146"/>
      <c r="GWK164" s="146"/>
      <c r="GWL164" s="146"/>
      <c r="GWM164" s="146"/>
      <c r="GWN164" s="146"/>
      <c r="GWO164" s="146"/>
      <c r="GWP164" s="146"/>
      <c r="GWQ164" s="146"/>
      <c r="GWR164" s="146"/>
      <c r="GWS164" s="146"/>
      <c r="GWT164" s="146"/>
      <c r="GWU164" s="146"/>
      <c r="GWV164" s="146"/>
      <c r="GWW164" s="146"/>
      <c r="GWX164" s="146"/>
      <c r="GWY164" s="146"/>
      <c r="GWZ164" s="146"/>
      <c r="GXA164" s="146"/>
      <c r="GXB164" s="146"/>
      <c r="GXC164" s="146"/>
      <c r="GXD164" s="146"/>
      <c r="GXE164" s="146"/>
      <c r="GXF164" s="146"/>
      <c r="GXG164" s="146"/>
      <c r="GXH164" s="146"/>
      <c r="GXI164" s="146"/>
      <c r="GXJ164" s="146"/>
      <c r="GXK164" s="146"/>
      <c r="GXL164" s="146"/>
      <c r="GXM164" s="146"/>
      <c r="GXN164" s="146"/>
      <c r="GXO164" s="146"/>
      <c r="GXP164" s="146"/>
      <c r="GXQ164" s="146"/>
      <c r="GXR164" s="146"/>
      <c r="GXS164" s="146"/>
      <c r="GXT164" s="146"/>
      <c r="GXU164" s="146"/>
      <c r="GXV164" s="146"/>
      <c r="GXW164" s="146"/>
      <c r="GXX164" s="146"/>
      <c r="GXY164" s="146"/>
      <c r="GXZ164" s="146"/>
      <c r="GYA164" s="146"/>
      <c r="GYB164" s="146"/>
      <c r="GYC164" s="146"/>
      <c r="GYD164" s="146"/>
      <c r="GYE164" s="146"/>
      <c r="GYF164" s="146"/>
      <c r="GYG164" s="146"/>
      <c r="GYH164" s="146"/>
      <c r="GYI164" s="146"/>
      <c r="GYJ164" s="146"/>
      <c r="GYK164" s="146"/>
      <c r="GYL164" s="146"/>
      <c r="GYM164" s="146"/>
      <c r="GYN164" s="146"/>
      <c r="GYO164" s="146"/>
      <c r="GYP164" s="146"/>
      <c r="GYQ164" s="146"/>
      <c r="GYR164" s="146"/>
      <c r="GYS164" s="146"/>
      <c r="GYT164" s="146"/>
      <c r="GYU164" s="146"/>
      <c r="GYV164" s="146"/>
      <c r="GYW164" s="146"/>
      <c r="GYX164" s="146"/>
      <c r="GYY164" s="146"/>
      <c r="GYZ164" s="146"/>
      <c r="GZA164" s="146"/>
      <c r="GZB164" s="146"/>
      <c r="GZC164" s="146"/>
      <c r="GZD164" s="146"/>
      <c r="GZE164" s="146"/>
      <c r="GZF164" s="146"/>
      <c r="GZG164" s="146"/>
      <c r="GZH164" s="146"/>
      <c r="GZI164" s="146"/>
      <c r="GZJ164" s="146"/>
      <c r="GZK164" s="146"/>
      <c r="GZL164" s="146"/>
      <c r="GZM164" s="146"/>
      <c r="GZN164" s="146"/>
      <c r="GZO164" s="146"/>
      <c r="GZP164" s="146"/>
      <c r="GZQ164" s="146"/>
      <c r="GZR164" s="146"/>
      <c r="GZS164" s="146"/>
      <c r="GZT164" s="146"/>
      <c r="GZU164" s="146"/>
      <c r="GZV164" s="146"/>
      <c r="GZW164" s="146"/>
      <c r="GZX164" s="146"/>
      <c r="GZY164" s="146"/>
      <c r="GZZ164" s="146"/>
      <c r="HAA164" s="146"/>
      <c r="HAB164" s="146"/>
      <c r="HAC164" s="146"/>
      <c r="HAD164" s="146"/>
      <c r="HAE164" s="146"/>
      <c r="HAF164" s="146"/>
      <c r="HAG164" s="146"/>
      <c r="HAH164" s="146"/>
      <c r="HAI164" s="146"/>
      <c r="HAJ164" s="146"/>
      <c r="HAK164" s="146"/>
      <c r="HAL164" s="146"/>
      <c r="HAM164" s="146"/>
      <c r="HAN164" s="146"/>
      <c r="HAO164" s="146"/>
      <c r="HAP164" s="146"/>
      <c r="HAQ164" s="146"/>
      <c r="HAR164" s="146"/>
      <c r="HAS164" s="146"/>
      <c r="HAT164" s="146"/>
      <c r="HAU164" s="146"/>
      <c r="HAV164" s="146"/>
      <c r="HAW164" s="146"/>
      <c r="HAX164" s="146"/>
      <c r="HAY164" s="146"/>
      <c r="HAZ164" s="146"/>
      <c r="HBA164" s="146"/>
      <c r="HBB164" s="146"/>
      <c r="HBC164" s="146"/>
      <c r="HBD164" s="146"/>
      <c r="HBE164" s="146"/>
      <c r="HBF164" s="146"/>
      <c r="HBG164" s="146"/>
      <c r="HBH164" s="146"/>
      <c r="HBI164" s="146"/>
      <c r="HBJ164" s="146"/>
      <c r="HBK164" s="146"/>
      <c r="HBL164" s="146"/>
      <c r="HBM164" s="146"/>
      <c r="HBN164" s="146"/>
      <c r="HBO164" s="146"/>
      <c r="HBP164" s="146"/>
      <c r="HBQ164" s="146"/>
      <c r="HBR164" s="146"/>
      <c r="HBS164" s="146"/>
      <c r="HBT164" s="146"/>
      <c r="HBU164" s="146"/>
      <c r="HBV164" s="146"/>
      <c r="HBW164" s="146"/>
      <c r="HBX164" s="146"/>
      <c r="HBY164" s="146"/>
      <c r="HBZ164" s="146"/>
      <c r="HCA164" s="146"/>
      <c r="HCB164" s="146"/>
      <c r="HCC164" s="146"/>
      <c r="HCD164" s="146"/>
      <c r="HCE164" s="146"/>
      <c r="HCF164" s="146"/>
      <c r="HCG164" s="146"/>
      <c r="HCH164" s="146"/>
      <c r="HCI164" s="146"/>
      <c r="HCJ164" s="146"/>
      <c r="HCK164" s="146"/>
      <c r="HCL164" s="146"/>
      <c r="HCM164" s="146"/>
      <c r="HCN164" s="146"/>
      <c r="HCO164" s="146"/>
      <c r="HCP164" s="146"/>
      <c r="HCQ164" s="146"/>
      <c r="HCR164" s="146"/>
      <c r="HCS164" s="146"/>
      <c r="HCT164" s="146"/>
      <c r="HCU164" s="146"/>
      <c r="HCV164" s="146"/>
      <c r="HCW164" s="146"/>
      <c r="HCX164" s="146"/>
      <c r="HCY164" s="146"/>
      <c r="HCZ164" s="146"/>
      <c r="HDA164" s="146"/>
      <c r="HDB164" s="146"/>
      <c r="HDC164" s="146"/>
      <c r="HDD164" s="146"/>
      <c r="HDE164" s="146"/>
      <c r="HDF164" s="146"/>
      <c r="HDG164" s="146"/>
      <c r="HDH164" s="146"/>
      <c r="HDI164" s="146"/>
      <c r="HDJ164" s="146"/>
      <c r="HDK164" s="146"/>
      <c r="HDL164" s="146"/>
      <c r="HDM164" s="146"/>
      <c r="HDN164" s="146"/>
      <c r="HDO164" s="146"/>
      <c r="HDP164" s="146"/>
      <c r="HDQ164" s="146"/>
      <c r="HDR164" s="146"/>
      <c r="HDS164" s="146"/>
      <c r="HDT164" s="146"/>
      <c r="HDU164" s="146"/>
      <c r="HDV164" s="146"/>
      <c r="HDW164" s="146"/>
      <c r="HDX164" s="146"/>
      <c r="HDY164" s="146"/>
      <c r="HDZ164" s="146"/>
      <c r="HEA164" s="146"/>
      <c r="HEB164" s="146"/>
      <c r="HEC164" s="146"/>
      <c r="HED164" s="146"/>
      <c r="HEE164" s="146"/>
      <c r="HEF164" s="146"/>
      <c r="HEG164" s="146"/>
      <c r="HEH164" s="146"/>
      <c r="HEI164" s="146"/>
      <c r="HEJ164" s="146"/>
      <c r="HEK164" s="146"/>
      <c r="HEL164" s="146"/>
      <c r="HEM164" s="146"/>
      <c r="HEN164" s="146"/>
      <c r="HEO164" s="146"/>
      <c r="HEP164" s="146"/>
      <c r="HEQ164" s="146"/>
      <c r="HER164" s="146"/>
      <c r="HES164" s="146"/>
      <c r="HET164" s="146"/>
      <c r="HEU164" s="146"/>
      <c r="HEV164" s="146"/>
      <c r="HEW164" s="146"/>
      <c r="HEX164" s="146"/>
      <c r="HEY164" s="146"/>
      <c r="HEZ164" s="146"/>
      <c r="HFA164" s="146"/>
      <c r="HFB164" s="146"/>
      <c r="HFC164" s="146"/>
      <c r="HFD164" s="146"/>
      <c r="HFE164" s="146"/>
      <c r="HFF164" s="146"/>
      <c r="HFG164" s="146"/>
      <c r="HFH164" s="146"/>
      <c r="HFI164" s="146"/>
      <c r="HFJ164" s="146"/>
      <c r="HFK164" s="146"/>
      <c r="HFL164" s="146"/>
      <c r="HFM164" s="146"/>
      <c r="HFN164" s="146"/>
      <c r="HFO164" s="146"/>
      <c r="HFP164" s="146"/>
      <c r="HFQ164" s="146"/>
      <c r="HFR164" s="146"/>
      <c r="HFS164" s="146"/>
      <c r="HFT164" s="146"/>
      <c r="HFU164" s="146"/>
      <c r="HFV164" s="146"/>
      <c r="HFW164" s="146"/>
      <c r="HFX164" s="146"/>
      <c r="HFY164" s="146"/>
      <c r="HFZ164" s="146"/>
      <c r="HGA164" s="146"/>
      <c r="HGB164" s="146"/>
      <c r="HGC164" s="146"/>
      <c r="HGD164" s="146"/>
      <c r="HGE164" s="146"/>
      <c r="HGF164" s="146"/>
      <c r="HGG164" s="146"/>
      <c r="HGH164" s="146"/>
      <c r="HGI164" s="146"/>
      <c r="HGJ164" s="146"/>
      <c r="HGK164" s="146"/>
      <c r="HGL164" s="146"/>
      <c r="HGM164" s="146"/>
      <c r="HGN164" s="146"/>
      <c r="HGO164" s="146"/>
      <c r="HGP164" s="146"/>
      <c r="HGQ164" s="146"/>
      <c r="HGR164" s="146"/>
      <c r="HGS164" s="146"/>
      <c r="HGT164" s="146"/>
      <c r="HGU164" s="146"/>
      <c r="HGV164" s="146"/>
      <c r="HGW164" s="146"/>
      <c r="HGX164" s="146"/>
      <c r="HGY164" s="146"/>
      <c r="HGZ164" s="146"/>
      <c r="HHA164" s="146"/>
      <c r="HHB164" s="146"/>
      <c r="HHC164" s="146"/>
      <c r="HHD164" s="146"/>
      <c r="HHE164" s="146"/>
      <c r="HHF164" s="146"/>
      <c r="HHG164" s="146"/>
      <c r="HHH164" s="146"/>
      <c r="HHI164" s="146"/>
      <c r="HHJ164" s="146"/>
      <c r="HHK164" s="146"/>
      <c r="HHL164" s="146"/>
      <c r="HHM164" s="146"/>
      <c r="HHN164" s="146"/>
      <c r="HHO164" s="146"/>
      <c r="HHP164" s="146"/>
      <c r="HHQ164" s="146"/>
      <c r="HHR164" s="146"/>
      <c r="HHS164" s="146"/>
      <c r="HHT164" s="146"/>
      <c r="HHU164" s="146"/>
      <c r="HHV164" s="146"/>
      <c r="HHW164" s="146"/>
      <c r="HHX164" s="146"/>
      <c r="HHY164" s="146"/>
      <c r="HHZ164" s="146"/>
      <c r="HIA164" s="146"/>
      <c r="HIB164" s="146"/>
      <c r="HIC164" s="146"/>
      <c r="HID164" s="146"/>
      <c r="HIE164" s="146"/>
      <c r="HIF164" s="146"/>
      <c r="HIG164" s="146"/>
      <c r="HIH164" s="146"/>
      <c r="HII164" s="146"/>
      <c r="HIJ164" s="146"/>
      <c r="HIK164" s="146"/>
      <c r="HIL164" s="146"/>
      <c r="HIM164" s="146"/>
      <c r="HIN164" s="146"/>
      <c r="HIO164" s="146"/>
      <c r="HIP164" s="146"/>
      <c r="HIQ164" s="146"/>
      <c r="HIR164" s="146"/>
      <c r="HIS164" s="146"/>
      <c r="HIT164" s="146"/>
      <c r="HIU164" s="146"/>
      <c r="HIV164" s="146"/>
      <c r="HIW164" s="146"/>
      <c r="HIX164" s="146"/>
      <c r="HIY164" s="146"/>
      <c r="HIZ164" s="146"/>
      <c r="HJA164" s="146"/>
      <c r="HJB164" s="146"/>
      <c r="HJC164" s="146"/>
      <c r="HJD164" s="146"/>
      <c r="HJE164" s="146"/>
      <c r="HJF164" s="146"/>
      <c r="HJG164" s="146"/>
      <c r="HJH164" s="146"/>
      <c r="HJI164" s="146"/>
      <c r="HJJ164" s="146"/>
      <c r="HJK164" s="146"/>
      <c r="HJL164" s="146"/>
      <c r="HJM164" s="146"/>
      <c r="HJN164" s="146"/>
      <c r="HJO164" s="146"/>
      <c r="HJP164" s="146"/>
      <c r="HJQ164" s="146"/>
      <c r="HJR164" s="146"/>
      <c r="HJS164" s="146"/>
      <c r="HJT164" s="146"/>
      <c r="HJU164" s="146"/>
      <c r="HJV164" s="146"/>
      <c r="HJW164" s="146"/>
      <c r="HJX164" s="146"/>
      <c r="HJY164" s="146"/>
      <c r="HJZ164" s="146"/>
      <c r="HKA164" s="146"/>
      <c r="HKB164" s="146"/>
      <c r="HKC164" s="146"/>
      <c r="HKD164" s="146"/>
      <c r="HKE164" s="146"/>
      <c r="HKF164" s="146"/>
      <c r="HKG164" s="146"/>
      <c r="HKH164" s="146"/>
      <c r="HKI164" s="146"/>
      <c r="HKJ164" s="146"/>
      <c r="HKK164" s="146"/>
      <c r="HKL164" s="146"/>
      <c r="HKM164" s="146"/>
      <c r="HKN164" s="146"/>
      <c r="HKO164" s="146"/>
      <c r="HKP164" s="146"/>
      <c r="HKQ164" s="146"/>
      <c r="HKR164" s="146"/>
      <c r="HKS164" s="146"/>
      <c r="HKT164" s="146"/>
      <c r="HKU164" s="146"/>
      <c r="HKV164" s="146"/>
      <c r="HKW164" s="146"/>
      <c r="HKX164" s="146"/>
      <c r="HKY164" s="146"/>
      <c r="HKZ164" s="146"/>
      <c r="HLA164" s="146"/>
      <c r="HLB164" s="146"/>
      <c r="HLC164" s="146"/>
      <c r="HLD164" s="146"/>
      <c r="HLE164" s="146"/>
      <c r="HLF164" s="146"/>
      <c r="HLG164" s="146"/>
      <c r="HLH164" s="146"/>
      <c r="HLI164" s="146"/>
      <c r="HLJ164" s="146"/>
      <c r="HLK164" s="146"/>
      <c r="HLL164" s="146"/>
      <c r="HLM164" s="146"/>
      <c r="HLN164" s="146"/>
      <c r="HLO164" s="146"/>
      <c r="HLP164" s="146"/>
      <c r="HLQ164" s="146"/>
      <c r="HLR164" s="146"/>
      <c r="HLS164" s="146"/>
      <c r="HLT164" s="146"/>
      <c r="HLU164" s="146"/>
      <c r="HLV164" s="146"/>
      <c r="HLW164" s="146"/>
      <c r="HLX164" s="146"/>
      <c r="HLY164" s="146"/>
      <c r="HLZ164" s="146"/>
      <c r="HMA164" s="146"/>
      <c r="HMB164" s="146"/>
      <c r="HMC164" s="146"/>
      <c r="HMD164" s="146"/>
      <c r="HME164" s="146"/>
      <c r="HMF164" s="146"/>
      <c r="HMG164" s="146"/>
      <c r="HMH164" s="146"/>
      <c r="HMI164" s="146"/>
      <c r="HMJ164" s="146"/>
      <c r="HMK164" s="146"/>
      <c r="HML164" s="146"/>
      <c r="HMM164" s="146"/>
      <c r="HMN164" s="146"/>
      <c r="HMO164" s="146"/>
      <c r="HMP164" s="146"/>
      <c r="HMQ164" s="146"/>
      <c r="HMR164" s="146"/>
      <c r="HMS164" s="146"/>
      <c r="HMT164" s="146"/>
      <c r="HMU164" s="146"/>
      <c r="HMV164" s="146"/>
      <c r="HMW164" s="146"/>
      <c r="HMX164" s="146"/>
      <c r="HMY164" s="146"/>
      <c r="HMZ164" s="146"/>
      <c r="HNA164" s="146"/>
      <c r="HNB164" s="146"/>
      <c r="HNC164" s="146"/>
      <c r="HND164" s="146"/>
      <c r="HNE164" s="146"/>
      <c r="HNF164" s="146"/>
      <c r="HNG164" s="146"/>
      <c r="HNH164" s="146"/>
      <c r="HNI164" s="146"/>
      <c r="HNJ164" s="146"/>
      <c r="HNK164" s="146"/>
      <c r="HNL164" s="146"/>
      <c r="HNM164" s="146"/>
      <c r="HNN164" s="146"/>
      <c r="HNO164" s="146"/>
      <c r="HNP164" s="146"/>
      <c r="HNQ164" s="146"/>
      <c r="HNR164" s="146"/>
      <c r="HNS164" s="146"/>
      <c r="HNT164" s="146"/>
      <c r="HNU164" s="146"/>
      <c r="HNV164" s="146"/>
      <c r="HNW164" s="146"/>
      <c r="HNX164" s="146"/>
      <c r="HNY164" s="146"/>
      <c r="HNZ164" s="146"/>
      <c r="HOA164" s="146"/>
      <c r="HOB164" s="146"/>
      <c r="HOC164" s="146"/>
      <c r="HOD164" s="146"/>
      <c r="HOE164" s="146"/>
      <c r="HOF164" s="146"/>
      <c r="HOG164" s="146"/>
      <c r="HOH164" s="146"/>
      <c r="HOI164" s="146"/>
      <c r="HOJ164" s="146"/>
      <c r="HOK164" s="146"/>
      <c r="HOL164" s="146"/>
      <c r="HOM164" s="146"/>
      <c r="HON164" s="146"/>
      <c r="HOO164" s="146"/>
      <c r="HOP164" s="146"/>
      <c r="HOQ164" s="146"/>
      <c r="HOR164" s="146"/>
      <c r="HOS164" s="146"/>
      <c r="HOT164" s="146"/>
      <c r="HOU164" s="146"/>
      <c r="HOV164" s="146"/>
      <c r="HOW164" s="146"/>
      <c r="HOX164" s="146"/>
      <c r="HOY164" s="146"/>
      <c r="HOZ164" s="146"/>
      <c r="HPA164" s="146"/>
      <c r="HPB164" s="146"/>
      <c r="HPC164" s="146"/>
      <c r="HPD164" s="146"/>
      <c r="HPE164" s="146"/>
      <c r="HPF164" s="146"/>
      <c r="HPG164" s="146"/>
      <c r="HPH164" s="146"/>
      <c r="HPI164" s="146"/>
      <c r="HPJ164" s="146"/>
      <c r="HPK164" s="146"/>
      <c r="HPL164" s="146"/>
      <c r="HPM164" s="146"/>
      <c r="HPN164" s="146"/>
      <c r="HPO164" s="146"/>
      <c r="HPP164" s="146"/>
      <c r="HPQ164" s="146"/>
      <c r="HPR164" s="146"/>
      <c r="HPS164" s="146"/>
      <c r="HPT164" s="146"/>
      <c r="HPU164" s="146"/>
      <c r="HPV164" s="146"/>
      <c r="HPW164" s="146"/>
      <c r="HPX164" s="146"/>
      <c r="HPY164" s="146"/>
      <c r="HPZ164" s="146"/>
      <c r="HQA164" s="146"/>
      <c r="HQB164" s="146"/>
      <c r="HQC164" s="146"/>
      <c r="HQD164" s="146"/>
      <c r="HQE164" s="146"/>
      <c r="HQF164" s="146"/>
      <c r="HQG164" s="146"/>
      <c r="HQH164" s="146"/>
      <c r="HQI164" s="146"/>
      <c r="HQJ164" s="146"/>
      <c r="HQK164" s="146"/>
      <c r="HQL164" s="146"/>
      <c r="HQM164" s="146"/>
      <c r="HQN164" s="146"/>
      <c r="HQO164" s="146"/>
      <c r="HQP164" s="146"/>
      <c r="HQQ164" s="146"/>
      <c r="HQR164" s="146"/>
      <c r="HQS164" s="146"/>
      <c r="HQT164" s="146"/>
      <c r="HQU164" s="146"/>
      <c r="HQV164" s="146"/>
      <c r="HQW164" s="146"/>
      <c r="HQX164" s="146"/>
      <c r="HQY164" s="146"/>
      <c r="HQZ164" s="146"/>
      <c r="HRA164" s="146"/>
      <c r="HRB164" s="146"/>
      <c r="HRC164" s="146"/>
      <c r="HRD164" s="146"/>
      <c r="HRE164" s="146"/>
      <c r="HRF164" s="146"/>
      <c r="HRG164" s="146"/>
      <c r="HRH164" s="146"/>
      <c r="HRI164" s="146"/>
      <c r="HRJ164" s="146"/>
      <c r="HRK164" s="146"/>
      <c r="HRL164" s="146"/>
      <c r="HRM164" s="146"/>
      <c r="HRN164" s="146"/>
      <c r="HRO164" s="146"/>
      <c r="HRP164" s="146"/>
      <c r="HRQ164" s="146"/>
      <c r="HRR164" s="146"/>
      <c r="HRS164" s="146"/>
      <c r="HRT164" s="146"/>
      <c r="HRU164" s="146"/>
      <c r="HRV164" s="146"/>
      <c r="HRW164" s="146"/>
      <c r="HRX164" s="146"/>
      <c r="HRY164" s="146"/>
      <c r="HRZ164" s="146"/>
      <c r="HSA164" s="146"/>
      <c r="HSB164" s="146"/>
      <c r="HSC164" s="146"/>
      <c r="HSD164" s="146"/>
      <c r="HSE164" s="146"/>
      <c r="HSF164" s="146"/>
      <c r="HSG164" s="146"/>
      <c r="HSH164" s="146"/>
      <c r="HSI164" s="146"/>
      <c r="HSJ164" s="146"/>
      <c r="HSK164" s="146"/>
      <c r="HSL164" s="146"/>
      <c r="HSM164" s="146"/>
      <c r="HSN164" s="146"/>
      <c r="HSO164" s="146"/>
      <c r="HSP164" s="146"/>
      <c r="HSQ164" s="146"/>
      <c r="HSR164" s="146"/>
      <c r="HSS164" s="146"/>
      <c r="HST164" s="146"/>
      <c r="HSU164" s="146"/>
      <c r="HSV164" s="146"/>
      <c r="HSW164" s="146"/>
      <c r="HSX164" s="146"/>
      <c r="HSY164" s="146"/>
      <c r="HSZ164" s="146"/>
      <c r="HTA164" s="146"/>
      <c r="HTB164" s="146"/>
      <c r="HTC164" s="146"/>
      <c r="HTD164" s="146"/>
      <c r="HTE164" s="146"/>
      <c r="HTF164" s="146"/>
      <c r="HTG164" s="146"/>
      <c r="HTH164" s="146"/>
      <c r="HTI164" s="146"/>
      <c r="HTJ164" s="146"/>
      <c r="HTK164" s="146"/>
      <c r="HTL164" s="146"/>
      <c r="HTM164" s="146"/>
      <c r="HTN164" s="146"/>
      <c r="HTO164" s="146"/>
      <c r="HTP164" s="146"/>
      <c r="HTQ164" s="146"/>
      <c r="HTR164" s="146"/>
      <c r="HTS164" s="146"/>
      <c r="HTT164" s="146"/>
      <c r="HTU164" s="146"/>
      <c r="HTV164" s="146"/>
      <c r="HTW164" s="146"/>
      <c r="HTX164" s="146"/>
      <c r="HTY164" s="146"/>
      <c r="HTZ164" s="146"/>
      <c r="HUA164" s="146"/>
      <c r="HUB164" s="146"/>
      <c r="HUC164" s="146"/>
      <c r="HUD164" s="146"/>
      <c r="HUE164" s="146"/>
      <c r="HUF164" s="146"/>
      <c r="HUG164" s="146"/>
      <c r="HUH164" s="146"/>
      <c r="HUI164" s="146"/>
      <c r="HUJ164" s="146"/>
      <c r="HUK164" s="146"/>
      <c r="HUL164" s="146"/>
      <c r="HUM164" s="146"/>
      <c r="HUN164" s="146"/>
      <c r="HUO164" s="146"/>
      <c r="HUP164" s="146"/>
      <c r="HUQ164" s="146"/>
      <c r="HUR164" s="146"/>
      <c r="HUS164" s="146"/>
      <c r="HUT164" s="146"/>
      <c r="HUU164" s="146"/>
      <c r="HUV164" s="146"/>
      <c r="HUW164" s="146"/>
      <c r="HUX164" s="146"/>
      <c r="HUY164" s="146"/>
      <c r="HUZ164" s="146"/>
      <c r="HVA164" s="146"/>
      <c r="HVB164" s="146"/>
      <c r="HVC164" s="146"/>
      <c r="HVD164" s="146"/>
      <c r="HVE164" s="146"/>
      <c r="HVF164" s="146"/>
      <c r="HVG164" s="146"/>
      <c r="HVH164" s="146"/>
      <c r="HVI164" s="146"/>
      <c r="HVJ164" s="146"/>
      <c r="HVK164" s="146"/>
      <c r="HVL164" s="146"/>
      <c r="HVM164" s="146"/>
      <c r="HVN164" s="146"/>
      <c r="HVO164" s="146"/>
      <c r="HVP164" s="146"/>
      <c r="HVQ164" s="146"/>
      <c r="HVR164" s="146"/>
      <c r="HVS164" s="146"/>
      <c r="HVT164" s="146"/>
      <c r="HVU164" s="146"/>
      <c r="HVV164" s="146"/>
      <c r="HVW164" s="146"/>
      <c r="HVX164" s="146"/>
      <c r="HVY164" s="146"/>
      <c r="HVZ164" s="146"/>
      <c r="HWA164" s="146"/>
      <c r="HWB164" s="146"/>
      <c r="HWC164" s="146"/>
      <c r="HWD164" s="146"/>
      <c r="HWE164" s="146"/>
      <c r="HWF164" s="146"/>
      <c r="HWG164" s="146"/>
      <c r="HWH164" s="146"/>
      <c r="HWI164" s="146"/>
      <c r="HWJ164" s="146"/>
      <c r="HWK164" s="146"/>
      <c r="HWL164" s="146"/>
      <c r="HWM164" s="146"/>
      <c r="HWN164" s="146"/>
      <c r="HWO164" s="146"/>
      <c r="HWP164" s="146"/>
      <c r="HWQ164" s="146"/>
      <c r="HWR164" s="146"/>
      <c r="HWS164" s="146"/>
      <c r="HWT164" s="146"/>
      <c r="HWU164" s="146"/>
      <c r="HWV164" s="146"/>
      <c r="HWW164" s="146"/>
      <c r="HWX164" s="146"/>
      <c r="HWY164" s="146"/>
      <c r="HWZ164" s="146"/>
      <c r="HXA164" s="146"/>
      <c r="HXB164" s="146"/>
      <c r="HXC164" s="146"/>
      <c r="HXD164" s="146"/>
      <c r="HXE164" s="146"/>
      <c r="HXF164" s="146"/>
      <c r="HXG164" s="146"/>
      <c r="HXH164" s="146"/>
      <c r="HXI164" s="146"/>
      <c r="HXJ164" s="146"/>
      <c r="HXK164" s="146"/>
      <c r="HXL164" s="146"/>
      <c r="HXM164" s="146"/>
      <c r="HXN164" s="146"/>
      <c r="HXO164" s="146"/>
      <c r="HXP164" s="146"/>
      <c r="HXQ164" s="146"/>
      <c r="HXR164" s="146"/>
      <c r="HXS164" s="146"/>
      <c r="HXT164" s="146"/>
      <c r="HXU164" s="146"/>
      <c r="HXV164" s="146"/>
      <c r="HXW164" s="146"/>
      <c r="HXX164" s="146"/>
      <c r="HXY164" s="146"/>
      <c r="HXZ164" s="146"/>
      <c r="HYA164" s="146"/>
      <c r="HYB164" s="146"/>
      <c r="HYC164" s="146"/>
      <c r="HYD164" s="146"/>
      <c r="HYE164" s="146"/>
      <c r="HYF164" s="146"/>
      <c r="HYG164" s="146"/>
      <c r="HYH164" s="146"/>
      <c r="HYI164" s="146"/>
      <c r="HYJ164" s="146"/>
      <c r="HYK164" s="146"/>
      <c r="HYL164" s="146"/>
      <c r="HYM164" s="146"/>
      <c r="HYN164" s="146"/>
      <c r="HYO164" s="146"/>
      <c r="HYP164" s="146"/>
      <c r="HYQ164" s="146"/>
      <c r="HYR164" s="146"/>
      <c r="HYS164" s="146"/>
      <c r="HYT164" s="146"/>
      <c r="HYU164" s="146"/>
      <c r="HYV164" s="146"/>
      <c r="HYW164" s="146"/>
      <c r="HYX164" s="146"/>
      <c r="HYY164" s="146"/>
      <c r="HYZ164" s="146"/>
      <c r="HZA164" s="146"/>
      <c r="HZB164" s="146"/>
      <c r="HZC164" s="146"/>
      <c r="HZD164" s="146"/>
      <c r="HZE164" s="146"/>
      <c r="HZF164" s="146"/>
      <c r="HZG164" s="146"/>
      <c r="HZH164" s="146"/>
      <c r="HZI164" s="146"/>
      <c r="HZJ164" s="146"/>
      <c r="HZK164" s="146"/>
      <c r="HZL164" s="146"/>
      <c r="HZM164" s="146"/>
      <c r="HZN164" s="146"/>
      <c r="HZO164" s="146"/>
      <c r="HZP164" s="146"/>
      <c r="HZQ164" s="146"/>
      <c r="HZR164" s="146"/>
      <c r="HZS164" s="146"/>
      <c r="HZT164" s="146"/>
      <c r="HZU164" s="146"/>
      <c r="HZV164" s="146"/>
      <c r="HZW164" s="146"/>
      <c r="HZX164" s="146"/>
      <c r="HZY164" s="146"/>
      <c r="HZZ164" s="146"/>
      <c r="IAA164" s="146"/>
      <c r="IAB164" s="146"/>
      <c r="IAC164" s="146"/>
      <c r="IAD164" s="146"/>
      <c r="IAE164" s="146"/>
      <c r="IAF164" s="146"/>
      <c r="IAG164" s="146"/>
      <c r="IAH164" s="146"/>
      <c r="IAI164" s="146"/>
      <c r="IAJ164" s="146"/>
      <c r="IAK164" s="146"/>
      <c r="IAL164" s="146"/>
      <c r="IAM164" s="146"/>
      <c r="IAN164" s="146"/>
      <c r="IAO164" s="146"/>
      <c r="IAP164" s="146"/>
      <c r="IAQ164" s="146"/>
      <c r="IAR164" s="146"/>
      <c r="IAS164" s="146"/>
      <c r="IAT164" s="146"/>
      <c r="IAU164" s="146"/>
      <c r="IAV164" s="146"/>
      <c r="IAW164" s="146"/>
      <c r="IAX164" s="146"/>
      <c r="IAY164" s="146"/>
      <c r="IAZ164" s="146"/>
      <c r="IBA164" s="146"/>
      <c r="IBB164" s="146"/>
      <c r="IBC164" s="146"/>
      <c r="IBD164" s="146"/>
      <c r="IBE164" s="146"/>
      <c r="IBF164" s="146"/>
      <c r="IBG164" s="146"/>
      <c r="IBH164" s="146"/>
      <c r="IBI164" s="146"/>
      <c r="IBJ164" s="146"/>
      <c r="IBK164" s="146"/>
      <c r="IBL164" s="146"/>
      <c r="IBM164" s="146"/>
      <c r="IBN164" s="146"/>
      <c r="IBO164" s="146"/>
      <c r="IBP164" s="146"/>
      <c r="IBQ164" s="146"/>
      <c r="IBR164" s="146"/>
      <c r="IBS164" s="146"/>
      <c r="IBT164" s="146"/>
      <c r="IBU164" s="146"/>
      <c r="IBV164" s="146"/>
      <c r="IBW164" s="146"/>
      <c r="IBX164" s="146"/>
      <c r="IBY164" s="146"/>
      <c r="IBZ164" s="146"/>
      <c r="ICA164" s="146"/>
      <c r="ICB164" s="146"/>
      <c r="ICC164" s="146"/>
      <c r="ICD164" s="146"/>
      <c r="ICE164" s="146"/>
      <c r="ICF164" s="146"/>
      <c r="ICG164" s="146"/>
      <c r="ICH164" s="146"/>
      <c r="ICI164" s="146"/>
      <c r="ICJ164" s="146"/>
      <c r="ICK164" s="146"/>
      <c r="ICL164" s="146"/>
      <c r="ICM164" s="146"/>
      <c r="ICN164" s="146"/>
      <c r="ICO164" s="146"/>
      <c r="ICP164" s="146"/>
      <c r="ICQ164" s="146"/>
      <c r="ICR164" s="146"/>
      <c r="ICS164" s="146"/>
      <c r="ICT164" s="146"/>
      <c r="ICU164" s="146"/>
      <c r="ICV164" s="146"/>
      <c r="ICW164" s="146"/>
      <c r="ICX164" s="146"/>
      <c r="ICY164" s="146"/>
      <c r="ICZ164" s="146"/>
      <c r="IDA164" s="146"/>
      <c r="IDB164" s="146"/>
      <c r="IDC164" s="146"/>
      <c r="IDD164" s="146"/>
      <c r="IDE164" s="146"/>
      <c r="IDF164" s="146"/>
      <c r="IDG164" s="146"/>
      <c r="IDH164" s="146"/>
      <c r="IDI164" s="146"/>
      <c r="IDJ164" s="146"/>
      <c r="IDK164" s="146"/>
      <c r="IDL164" s="146"/>
      <c r="IDM164" s="146"/>
      <c r="IDN164" s="146"/>
      <c r="IDO164" s="146"/>
      <c r="IDP164" s="146"/>
      <c r="IDQ164" s="146"/>
      <c r="IDR164" s="146"/>
      <c r="IDS164" s="146"/>
      <c r="IDT164" s="146"/>
      <c r="IDU164" s="146"/>
      <c r="IDV164" s="146"/>
      <c r="IDW164" s="146"/>
      <c r="IDX164" s="146"/>
      <c r="IDY164" s="146"/>
      <c r="IDZ164" s="146"/>
      <c r="IEA164" s="146"/>
      <c r="IEB164" s="146"/>
      <c r="IEC164" s="146"/>
      <c r="IED164" s="146"/>
      <c r="IEE164" s="146"/>
      <c r="IEF164" s="146"/>
      <c r="IEG164" s="146"/>
      <c r="IEH164" s="146"/>
      <c r="IEI164" s="146"/>
      <c r="IEJ164" s="146"/>
      <c r="IEK164" s="146"/>
      <c r="IEL164" s="146"/>
      <c r="IEM164" s="146"/>
      <c r="IEN164" s="146"/>
      <c r="IEO164" s="146"/>
      <c r="IEP164" s="146"/>
      <c r="IEQ164" s="146"/>
      <c r="IER164" s="146"/>
      <c r="IES164" s="146"/>
      <c r="IET164" s="146"/>
      <c r="IEU164" s="146"/>
      <c r="IEV164" s="146"/>
      <c r="IEW164" s="146"/>
      <c r="IEX164" s="146"/>
      <c r="IEY164" s="146"/>
      <c r="IEZ164" s="146"/>
      <c r="IFA164" s="146"/>
      <c r="IFB164" s="146"/>
      <c r="IFC164" s="146"/>
      <c r="IFD164" s="146"/>
      <c r="IFE164" s="146"/>
      <c r="IFF164" s="146"/>
      <c r="IFG164" s="146"/>
      <c r="IFH164" s="146"/>
      <c r="IFI164" s="146"/>
      <c r="IFJ164" s="146"/>
      <c r="IFK164" s="146"/>
      <c r="IFL164" s="146"/>
      <c r="IFM164" s="146"/>
      <c r="IFN164" s="146"/>
      <c r="IFO164" s="146"/>
      <c r="IFP164" s="146"/>
      <c r="IFQ164" s="146"/>
      <c r="IFR164" s="146"/>
      <c r="IFS164" s="146"/>
      <c r="IFT164" s="146"/>
      <c r="IFU164" s="146"/>
      <c r="IFV164" s="146"/>
      <c r="IFW164" s="146"/>
      <c r="IFX164" s="146"/>
      <c r="IFY164" s="146"/>
      <c r="IFZ164" s="146"/>
      <c r="IGA164" s="146"/>
      <c r="IGB164" s="146"/>
      <c r="IGC164" s="146"/>
      <c r="IGD164" s="146"/>
      <c r="IGE164" s="146"/>
      <c r="IGF164" s="146"/>
      <c r="IGG164" s="146"/>
      <c r="IGH164" s="146"/>
      <c r="IGI164" s="146"/>
      <c r="IGJ164" s="146"/>
      <c r="IGK164" s="146"/>
      <c r="IGL164" s="146"/>
      <c r="IGM164" s="146"/>
      <c r="IGN164" s="146"/>
      <c r="IGO164" s="146"/>
      <c r="IGP164" s="146"/>
      <c r="IGQ164" s="146"/>
      <c r="IGR164" s="146"/>
      <c r="IGS164" s="146"/>
      <c r="IGT164" s="146"/>
      <c r="IGU164" s="146"/>
      <c r="IGV164" s="146"/>
      <c r="IGW164" s="146"/>
      <c r="IGX164" s="146"/>
      <c r="IGY164" s="146"/>
      <c r="IGZ164" s="146"/>
      <c r="IHA164" s="146"/>
      <c r="IHB164" s="146"/>
      <c r="IHC164" s="146"/>
      <c r="IHD164" s="146"/>
      <c r="IHE164" s="146"/>
      <c r="IHF164" s="146"/>
      <c r="IHG164" s="146"/>
      <c r="IHH164" s="146"/>
      <c r="IHI164" s="146"/>
      <c r="IHJ164" s="146"/>
      <c r="IHK164" s="146"/>
      <c r="IHL164" s="146"/>
      <c r="IHM164" s="146"/>
      <c r="IHN164" s="146"/>
      <c r="IHO164" s="146"/>
      <c r="IHP164" s="146"/>
      <c r="IHQ164" s="146"/>
      <c r="IHR164" s="146"/>
      <c r="IHS164" s="146"/>
      <c r="IHT164" s="146"/>
      <c r="IHU164" s="146"/>
      <c r="IHV164" s="146"/>
      <c r="IHW164" s="146"/>
      <c r="IHX164" s="146"/>
      <c r="IHY164" s="146"/>
      <c r="IHZ164" s="146"/>
      <c r="IIA164" s="146"/>
      <c r="IIB164" s="146"/>
      <c r="IIC164" s="146"/>
      <c r="IID164" s="146"/>
      <c r="IIE164" s="146"/>
      <c r="IIF164" s="146"/>
      <c r="IIG164" s="146"/>
      <c r="IIH164" s="146"/>
      <c r="III164" s="146"/>
      <c r="IIJ164" s="146"/>
      <c r="IIK164" s="146"/>
      <c r="IIL164" s="146"/>
      <c r="IIM164" s="146"/>
      <c r="IIN164" s="146"/>
      <c r="IIO164" s="146"/>
      <c r="IIP164" s="146"/>
      <c r="IIQ164" s="146"/>
      <c r="IIR164" s="146"/>
      <c r="IIS164" s="146"/>
      <c r="IIT164" s="146"/>
      <c r="IIU164" s="146"/>
      <c r="IIV164" s="146"/>
      <c r="IIW164" s="146"/>
      <c r="IIX164" s="146"/>
      <c r="IIY164" s="146"/>
      <c r="IIZ164" s="146"/>
      <c r="IJA164" s="146"/>
      <c r="IJB164" s="146"/>
      <c r="IJC164" s="146"/>
      <c r="IJD164" s="146"/>
      <c r="IJE164" s="146"/>
      <c r="IJF164" s="146"/>
      <c r="IJG164" s="146"/>
      <c r="IJH164" s="146"/>
      <c r="IJI164" s="146"/>
      <c r="IJJ164" s="146"/>
      <c r="IJK164" s="146"/>
      <c r="IJL164" s="146"/>
      <c r="IJM164" s="146"/>
      <c r="IJN164" s="146"/>
      <c r="IJO164" s="146"/>
      <c r="IJP164" s="146"/>
      <c r="IJQ164" s="146"/>
      <c r="IJR164" s="146"/>
      <c r="IJS164" s="146"/>
      <c r="IJT164" s="146"/>
      <c r="IJU164" s="146"/>
      <c r="IJV164" s="146"/>
      <c r="IJW164" s="146"/>
      <c r="IJX164" s="146"/>
      <c r="IJY164" s="146"/>
      <c r="IJZ164" s="146"/>
      <c r="IKA164" s="146"/>
      <c r="IKB164" s="146"/>
      <c r="IKC164" s="146"/>
      <c r="IKD164" s="146"/>
      <c r="IKE164" s="146"/>
      <c r="IKF164" s="146"/>
      <c r="IKG164" s="146"/>
      <c r="IKH164" s="146"/>
      <c r="IKI164" s="146"/>
      <c r="IKJ164" s="146"/>
      <c r="IKK164" s="146"/>
      <c r="IKL164" s="146"/>
      <c r="IKM164" s="146"/>
      <c r="IKN164" s="146"/>
      <c r="IKO164" s="146"/>
      <c r="IKP164" s="146"/>
      <c r="IKQ164" s="146"/>
      <c r="IKR164" s="146"/>
      <c r="IKS164" s="146"/>
      <c r="IKT164" s="146"/>
      <c r="IKU164" s="146"/>
      <c r="IKV164" s="146"/>
      <c r="IKW164" s="146"/>
      <c r="IKX164" s="146"/>
      <c r="IKY164" s="146"/>
      <c r="IKZ164" s="146"/>
      <c r="ILA164" s="146"/>
      <c r="ILB164" s="146"/>
      <c r="ILC164" s="146"/>
      <c r="ILD164" s="146"/>
      <c r="ILE164" s="146"/>
      <c r="ILF164" s="146"/>
      <c r="ILG164" s="146"/>
      <c r="ILH164" s="146"/>
      <c r="ILI164" s="146"/>
      <c r="ILJ164" s="146"/>
      <c r="ILK164" s="146"/>
      <c r="ILL164" s="146"/>
      <c r="ILM164" s="146"/>
      <c r="ILN164" s="146"/>
      <c r="ILO164" s="146"/>
      <c r="ILP164" s="146"/>
      <c r="ILQ164" s="146"/>
      <c r="ILR164" s="146"/>
      <c r="ILS164" s="146"/>
      <c r="ILT164" s="146"/>
      <c r="ILU164" s="146"/>
      <c r="ILV164" s="146"/>
      <c r="ILW164" s="146"/>
      <c r="ILX164" s="146"/>
      <c r="ILY164" s="146"/>
      <c r="ILZ164" s="146"/>
      <c r="IMA164" s="146"/>
      <c r="IMB164" s="146"/>
      <c r="IMC164" s="146"/>
      <c r="IMD164" s="146"/>
      <c r="IME164" s="146"/>
      <c r="IMF164" s="146"/>
      <c r="IMG164" s="146"/>
      <c r="IMH164" s="146"/>
      <c r="IMI164" s="146"/>
      <c r="IMJ164" s="146"/>
      <c r="IMK164" s="146"/>
      <c r="IML164" s="146"/>
      <c r="IMM164" s="146"/>
      <c r="IMN164" s="146"/>
      <c r="IMO164" s="146"/>
      <c r="IMP164" s="146"/>
      <c r="IMQ164" s="146"/>
      <c r="IMR164" s="146"/>
      <c r="IMS164" s="146"/>
      <c r="IMT164" s="146"/>
      <c r="IMU164" s="146"/>
      <c r="IMV164" s="146"/>
      <c r="IMW164" s="146"/>
      <c r="IMX164" s="146"/>
      <c r="IMY164" s="146"/>
      <c r="IMZ164" s="146"/>
      <c r="INA164" s="146"/>
      <c r="INB164" s="146"/>
      <c r="INC164" s="146"/>
      <c r="IND164" s="146"/>
      <c r="INE164" s="146"/>
      <c r="INF164" s="146"/>
      <c r="ING164" s="146"/>
      <c r="INH164" s="146"/>
      <c r="INI164" s="146"/>
      <c r="INJ164" s="146"/>
      <c r="INK164" s="146"/>
      <c r="INL164" s="146"/>
      <c r="INM164" s="146"/>
      <c r="INN164" s="146"/>
      <c r="INO164" s="146"/>
      <c r="INP164" s="146"/>
      <c r="INQ164" s="146"/>
      <c r="INR164" s="146"/>
      <c r="INS164" s="146"/>
      <c r="INT164" s="146"/>
      <c r="INU164" s="146"/>
      <c r="INV164" s="146"/>
      <c r="INW164" s="146"/>
      <c r="INX164" s="146"/>
      <c r="INY164" s="146"/>
      <c r="INZ164" s="146"/>
      <c r="IOA164" s="146"/>
      <c r="IOB164" s="146"/>
      <c r="IOC164" s="146"/>
      <c r="IOD164" s="146"/>
      <c r="IOE164" s="146"/>
      <c r="IOF164" s="146"/>
      <c r="IOG164" s="146"/>
      <c r="IOH164" s="146"/>
      <c r="IOI164" s="146"/>
      <c r="IOJ164" s="146"/>
      <c r="IOK164" s="146"/>
      <c r="IOL164" s="146"/>
      <c r="IOM164" s="146"/>
      <c r="ION164" s="146"/>
      <c r="IOO164" s="146"/>
      <c r="IOP164" s="146"/>
      <c r="IOQ164" s="146"/>
      <c r="IOR164" s="146"/>
      <c r="IOS164" s="146"/>
      <c r="IOT164" s="146"/>
      <c r="IOU164" s="146"/>
      <c r="IOV164" s="146"/>
      <c r="IOW164" s="146"/>
      <c r="IOX164" s="146"/>
      <c r="IOY164" s="146"/>
      <c r="IOZ164" s="146"/>
      <c r="IPA164" s="146"/>
      <c r="IPB164" s="146"/>
      <c r="IPC164" s="146"/>
      <c r="IPD164" s="146"/>
      <c r="IPE164" s="146"/>
      <c r="IPF164" s="146"/>
      <c r="IPG164" s="146"/>
      <c r="IPH164" s="146"/>
      <c r="IPI164" s="146"/>
      <c r="IPJ164" s="146"/>
      <c r="IPK164" s="146"/>
      <c r="IPL164" s="146"/>
      <c r="IPM164" s="146"/>
      <c r="IPN164" s="146"/>
      <c r="IPO164" s="146"/>
      <c r="IPP164" s="146"/>
      <c r="IPQ164" s="146"/>
      <c r="IPR164" s="146"/>
      <c r="IPS164" s="146"/>
      <c r="IPT164" s="146"/>
      <c r="IPU164" s="146"/>
      <c r="IPV164" s="146"/>
      <c r="IPW164" s="146"/>
      <c r="IPX164" s="146"/>
      <c r="IPY164" s="146"/>
      <c r="IPZ164" s="146"/>
      <c r="IQA164" s="146"/>
      <c r="IQB164" s="146"/>
      <c r="IQC164" s="146"/>
      <c r="IQD164" s="146"/>
      <c r="IQE164" s="146"/>
      <c r="IQF164" s="146"/>
      <c r="IQG164" s="146"/>
      <c r="IQH164" s="146"/>
      <c r="IQI164" s="146"/>
      <c r="IQJ164" s="146"/>
      <c r="IQK164" s="146"/>
      <c r="IQL164" s="146"/>
      <c r="IQM164" s="146"/>
      <c r="IQN164" s="146"/>
      <c r="IQO164" s="146"/>
      <c r="IQP164" s="146"/>
      <c r="IQQ164" s="146"/>
      <c r="IQR164" s="146"/>
      <c r="IQS164" s="146"/>
      <c r="IQT164" s="146"/>
      <c r="IQU164" s="146"/>
      <c r="IQV164" s="146"/>
      <c r="IQW164" s="146"/>
      <c r="IQX164" s="146"/>
      <c r="IQY164" s="146"/>
      <c r="IQZ164" s="146"/>
      <c r="IRA164" s="146"/>
      <c r="IRB164" s="146"/>
      <c r="IRC164" s="146"/>
      <c r="IRD164" s="146"/>
      <c r="IRE164" s="146"/>
      <c r="IRF164" s="146"/>
      <c r="IRG164" s="146"/>
      <c r="IRH164" s="146"/>
      <c r="IRI164" s="146"/>
      <c r="IRJ164" s="146"/>
      <c r="IRK164" s="146"/>
      <c r="IRL164" s="146"/>
      <c r="IRM164" s="146"/>
      <c r="IRN164" s="146"/>
      <c r="IRO164" s="146"/>
      <c r="IRP164" s="146"/>
      <c r="IRQ164" s="146"/>
      <c r="IRR164" s="146"/>
      <c r="IRS164" s="146"/>
      <c r="IRT164" s="146"/>
      <c r="IRU164" s="146"/>
      <c r="IRV164" s="146"/>
      <c r="IRW164" s="146"/>
      <c r="IRX164" s="146"/>
      <c r="IRY164" s="146"/>
      <c r="IRZ164" s="146"/>
      <c r="ISA164" s="146"/>
      <c r="ISB164" s="146"/>
      <c r="ISC164" s="146"/>
      <c r="ISD164" s="146"/>
      <c r="ISE164" s="146"/>
      <c r="ISF164" s="146"/>
      <c r="ISG164" s="146"/>
      <c r="ISH164" s="146"/>
      <c r="ISI164" s="146"/>
      <c r="ISJ164" s="146"/>
      <c r="ISK164" s="146"/>
      <c r="ISL164" s="146"/>
      <c r="ISM164" s="146"/>
      <c r="ISN164" s="146"/>
      <c r="ISO164" s="146"/>
      <c r="ISP164" s="146"/>
      <c r="ISQ164" s="146"/>
      <c r="ISR164" s="146"/>
      <c r="ISS164" s="146"/>
      <c r="IST164" s="146"/>
      <c r="ISU164" s="146"/>
      <c r="ISV164" s="146"/>
      <c r="ISW164" s="146"/>
      <c r="ISX164" s="146"/>
      <c r="ISY164" s="146"/>
      <c r="ISZ164" s="146"/>
      <c r="ITA164" s="146"/>
      <c r="ITB164" s="146"/>
      <c r="ITC164" s="146"/>
      <c r="ITD164" s="146"/>
      <c r="ITE164" s="146"/>
      <c r="ITF164" s="146"/>
      <c r="ITG164" s="146"/>
      <c r="ITH164" s="146"/>
      <c r="ITI164" s="146"/>
      <c r="ITJ164" s="146"/>
      <c r="ITK164" s="146"/>
      <c r="ITL164" s="146"/>
      <c r="ITM164" s="146"/>
      <c r="ITN164" s="146"/>
      <c r="ITO164" s="146"/>
      <c r="ITP164" s="146"/>
      <c r="ITQ164" s="146"/>
      <c r="ITR164" s="146"/>
      <c r="ITS164" s="146"/>
      <c r="ITT164" s="146"/>
      <c r="ITU164" s="146"/>
      <c r="ITV164" s="146"/>
      <c r="ITW164" s="146"/>
      <c r="ITX164" s="146"/>
      <c r="ITY164" s="146"/>
      <c r="ITZ164" s="146"/>
      <c r="IUA164" s="146"/>
      <c r="IUB164" s="146"/>
      <c r="IUC164" s="146"/>
      <c r="IUD164" s="146"/>
      <c r="IUE164" s="146"/>
      <c r="IUF164" s="146"/>
      <c r="IUG164" s="146"/>
      <c r="IUH164" s="146"/>
      <c r="IUI164" s="146"/>
      <c r="IUJ164" s="146"/>
      <c r="IUK164" s="146"/>
      <c r="IUL164" s="146"/>
      <c r="IUM164" s="146"/>
      <c r="IUN164" s="146"/>
      <c r="IUO164" s="146"/>
      <c r="IUP164" s="146"/>
      <c r="IUQ164" s="146"/>
      <c r="IUR164" s="146"/>
      <c r="IUS164" s="146"/>
      <c r="IUT164" s="146"/>
      <c r="IUU164" s="146"/>
      <c r="IUV164" s="146"/>
      <c r="IUW164" s="146"/>
      <c r="IUX164" s="146"/>
      <c r="IUY164" s="146"/>
      <c r="IUZ164" s="146"/>
      <c r="IVA164" s="146"/>
      <c r="IVB164" s="146"/>
      <c r="IVC164" s="146"/>
      <c r="IVD164" s="146"/>
      <c r="IVE164" s="146"/>
      <c r="IVF164" s="146"/>
      <c r="IVG164" s="146"/>
      <c r="IVH164" s="146"/>
      <c r="IVI164" s="146"/>
      <c r="IVJ164" s="146"/>
      <c r="IVK164" s="146"/>
      <c r="IVL164" s="146"/>
      <c r="IVM164" s="146"/>
      <c r="IVN164" s="146"/>
      <c r="IVO164" s="146"/>
      <c r="IVP164" s="146"/>
      <c r="IVQ164" s="146"/>
      <c r="IVR164" s="146"/>
      <c r="IVS164" s="146"/>
      <c r="IVT164" s="146"/>
      <c r="IVU164" s="146"/>
      <c r="IVV164" s="146"/>
      <c r="IVW164" s="146"/>
      <c r="IVX164" s="146"/>
      <c r="IVY164" s="146"/>
      <c r="IVZ164" s="146"/>
      <c r="IWA164" s="146"/>
      <c r="IWB164" s="146"/>
      <c r="IWC164" s="146"/>
      <c r="IWD164" s="146"/>
      <c r="IWE164" s="146"/>
      <c r="IWF164" s="146"/>
      <c r="IWG164" s="146"/>
      <c r="IWH164" s="146"/>
      <c r="IWI164" s="146"/>
      <c r="IWJ164" s="146"/>
      <c r="IWK164" s="146"/>
      <c r="IWL164" s="146"/>
      <c r="IWM164" s="146"/>
      <c r="IWN164" s="146"/>
      <c r="IWO164" s="146"/>
      <c r="IWP164" s="146"/>
      <c r="IWQ164" s="146"/>
      <c r="IWR164" s="146"/>
      <c r="IWS164" s="146"/>
      <c r="IWT164" s="146"/>
      <c r="IWU164" s="146"/>
      <c r="IWV164" s="146"/>
      <c r="IWW164" s="146"/>
      <c r="IWX164" s="146"/>
      <c r="IWY164" s="146"/>
      <c r="IWZ164" s="146"/>
      <c r="IXA164" s="146"/>
      <c r="IXB164" s="146"/>
      <c r="IXC164" s="146"/>
      <c r="IXD164" s="146"/>
      <c r="IXE164" s="146"/>
      <c r="IXF164" s="146"/>
      <c r="IXG164" s="146"/>
      <c r="IXH164" s="146"/>
      <c r="IXI164" s="146"/>
      <c r="IXJ164" s="146"/>
      <c r="IXK164" s="146"/>
      <c r="IXL164" s="146"/>
      <c r="IXM164" s="146"/>
      <c r="IXN164" s="146"/>
      <c r="IXO164" s="146"/>
      <c r="IXP164" s="146"/>
      <c r="IXQ164" s="146"/>
      <c r="IXR164" s="146"/>
      <c r="IXS164" s="146"/>
      <c r="IXT164" s="146"/>
      <c r="IXU164" s="146"/>
      <c r="IXV164" s="146"/>
      <c r="IXW164" s="146"/>
      <c r="IXX164" s="146"/>
      <c r="IXY164" s="146"/>
      <c r="IXZ164" s="146"/>
      <c r="IYA164" s="146"/>
      <c r="IYB164" s="146"/>
      <c r="IYC164" s="146"/>
      <c r="IYD164" s="146"/>
      <c r="IYE164" s="146"/>
      <c r="IYF164" s="146"/>
      <c r="IYG164" s="146"/>
      <c r="IYH164" s="146"/>
      <c r="IYI164" s="146"/>
      <c r="IYJ164" s="146"/>
      <c r="IYK164" s="146"/>
      <c r="IYL164" s="146"/>
      <c r="IYM164" s="146"/>
      <c r="IYN164" s="146"/>
      <c r="IYO164" s="146"/>
      <c r="IYP164" s="146"/>
      <c r="IYQ164" s="146"/>
      <c r="IYR164" s="146"/>
      <c r="IYS164" s="146"/>
      <c r="IYT164" s="146"/>
      <c r="IYU164" s="146"/>
      <c r="IYV164" s="146"/>
      <c r="IYW164" s="146"/>
      <c r="IYX164" s="146"/>
      <c r="IYY164" s="146"/>
      <c r="IYZ164" s="146"/>
      <c r="IZA164" s="146"/>
      <c r="IZB164" s="146"/>
      <c r="IZC164" s="146"/>
      <c r="IZD164" s="146"/>
      <c r="IZE164" s="146"/>
      <c r="IZF164" s="146"/>
      <c r="IZG164" s="146"/>
      <c r="IZH164" s="146"/>
      <c r="IZI164" s="146"/>
      <c r="IZJ164" s="146"/>
      <c r="IZK164" s="146"/>
      <c r="IZL164" s="146"/>
      <c r="IZM164" s="146"/>
      <c r="IZN164" s="146"/>
      <c r="IZO164" s="146"/>
      <c r="IZP164" s="146"/>
      <c r="IZQ164" s="146"/>
      <c r="IZR164" s="146"/>
      <c r="IZS164" s="146"/>
      <c r="IZT164" s="146"/>
      <c r="IZU164" s="146"/>
      <c r="IZV164" s="146"/>
      <c r="IZW164" s="146"/>
      <c r="IZX164" s="146"/>
      <c r="IZY164" s="146"/>
      <c r="IZZ164" s="146"/>
      <c r="JAA164" s="146"/>
      <c r="JAB164" s="146"/>
      <c r="JAC164" s="146"/>
      <c r="JAD164" s="146"/>
      <c r="JAE164" s="146"/>
      <c r="JAF164" s="146"/>
      <c r="JAG164" s="146"/>
      <c r="JAH164" s="146"/>
      <c r="JAI164" s="146"/>
      <c r="JAJ164" s="146"/>
      <c r="JAK164" s="146"/>
      <c r="JAL164" s="146"/>
      <c r="JAM164" s="146"/>
      <c r="JAN164" s="146"/>
      <c r="JAO164" s="146"/>
      <c r="JAP164" s="146"/>
      <c r="JAQ164" s="146"/>
      <c r="JAR164" s="146"/>
      <c r="JAS164" s="146"/>
      <c r="JAT164" s="146"/>
      <c r="JAU164" s="146"/>
      <c r="JAV164" s="146"/>
      <c r="JAW164" s="146"/>
      <c r="JAX164" s="146"/>
      <c r="JAY164" s="146"/>
      <c r="JAZ164" s="146"/>
      <c r="JBA164" s="146"/>
      <c r="JBB164" s="146"/>
      <c r="JBC164" s="146"/>
      <c r="JBD164" s="146"/>
      <c r="JBE164" s="146"/>
      <c r="JBF164" s="146"/>
      <c r="JBG164" s="146"/>
      <c r="JBH164" s="146"/>
      <c r="JBI164" s="146"/>
      <c r="JBJ164" s="146"/>
      <c r="JBK164" s="146"/>
      <c r="JBL164" s="146"/>
      <c r="JBM164" s="146"/>
      <c r="JBN164" s="146"/>
      <c r="JBO164" s="146"/>
      <c r="JBP164" s="146"/>
      <c r="JBQ164" s="146"/>
      <c r="JBR164" s="146"/>
      <c r="JBS164" s="146"/>
      <c r="JBT164" s="146"/>
      <c r="JBU164" s="146"/>
      <c r="JBV164" s="146"/>
      <c r="JBW164" s="146"/>
      <c r="JBX164" s="146"/>
      <c r="JBY164" s="146"/>
      <c r="JBZ164" s="146"/>
      <c r="JCA164" s="146"/>
      <c r="JCB164" s="146"/>
      <c r="JCC164" s="146"/>
      <c r="JCD164" s="146"/>
      <c r="JCE164" s="146"/>
      <c r="JCF164" s="146"/>
      <c r="JCG164" s="146"/>
      <c r="JCH164" s="146"/>
      <c r="JCI164" s="146"/>
      <c r="JCJ164" s="146"/>
      <c r="JCK164" s="146"/>
      <c r="JCL164" s="146"/>
      <c r="JCM164" s="146"/>
      <c r="JCN164" s="146"/>
      <c r="JCO164" s="146"/>
      <c r="JCP164" s="146"/>
      <c r="JCQ164" s="146"/>
      <c r="JCR164" s="146"/>
      <c r="JCS164" s="146"/>
      <c r="JCT164" s="146"/>
      <c r="JCU164" s="146"/>
      <c r="JCV164" s="146"/>
      <c r="JCW164" s="146"/>
      <c r="JCX164" s="146"/>
      <c r="JCY164" s="146"/>
      <c r="JCZ164" s="146"/>
      <c r="JDA164" s="146"/>
      <c r="JDB164" s="146"/>
      <c r="JDC164" s="146"/>
      <c r="JDD164" s="146"/>
      <c r="JDE164" s="146"/>
      <c r="JDF164" s="146"/>
      <c r="JDG164" s="146"/>
      <c r="JDH164" s="146"/>
      <c r="JDI164" s="146"/>
      <c r="JDJ164" s="146"/>
      <c r="JDK164" s="146"/>
      <c r="JDL164" s="146"/>
      <c r="JDM164" s="146"/>
      <c r="JDN164" s="146"/>
      <c r="JDO164" s="146"/>
      <c r="JDP164" s="146"/>
      <c r="JDQ164" s="146"/>
      <c r="JDR164" s="146"/>
      <c r="JDS164" s="146"/>
      <c r="JDT164" s="146"/>
      <c r="JDU164" s="146"/>
      <c r="JDV164" s="146"/>
      <c r="JDW164" s="146"/>
      <c r="JDX164" s="146"/>
      <c r="JDY164" s="146"/>
      <c r="JDZ164" s="146"/>
      <c r="JEA164" s="146"/>
      <c r="JEB164" s="146"/>
      <c r="JEC164" s="146"/>
      <c r="JED164" s="146"/>
      <c r="JEE164" s="146"/>
      <c r="JEF164" s="146"/>
      <c r="JEG164" s="146"/>
      <c r="JEH164" s="146"/>
      <c r="JEI164" s="146"/>
      <c r="JEJ164" s="146"/>
      <c r="JEK164" s="146"/>
      <c r="JEL164" s="146"/>
      <c r="JEM164" s="146"/>
      <c r="JEN164" s="146"/>
      <c r="JEO164" s="146"/>
      <c r="JEP164" s="146"/>
      <c r="JEQ164" s="146"/>
      <c r="JER164" s="146"/>
      <c r="JES164" s="146"/>
      <c r="JET164" s="146"/>
      <c r="JEU164" s="146"/>
      <c r="JEV164" s="146"/>
      <c r="JEW164" s="146"/>
      <c r="JEX164" s="146"/>
      <c r="JEY164" s="146"/>
      <c r="JEZ164" s="146"/>
      <c r="JFA164" s="146"/>
      <c r="JFB164" s="146"/>
      <c r="JFC164" s="146"/>
      <c r="JFD164" s="146"/>
      <c r="JFE164" s="146"/>
      <c r="JFF164" s="146"/>
      <c r="JFG164" s="146"/>
      <c r="JFH164" s="146"/>
      <c r="JFI164" s="146"/>
      <c r="JFJ164" s="146"/>
      <c r="JFK164" s="146"/>
      <c r="JFL164" s="146"/>
      <c r="JFM164" s="146"/>
      <c r="JFN164" s="146"/>
      <c r="JFO164" s="146"/>
      <c r="JFP164" s="146"/>
      <c r="JFQ164" s="146"/>
      <c r="JFR164" s="146"/>
      <c r="JFS164" s="146"/>
      <c r="JFT164" s="146"/>
      <c r="JFU164" s="146"/>
      <c r="JFV164" s="146"/>
      <c r="JFW164" s="146"/>
      <c r="JFX164" s="146"/>
      <c r="JFY164" s="146"/>
      <c r="JFZ164" s="146"/>
      <c r="JGA164" s="146"/>
      <c r="JGB164" s="146"/>
      <c r="JGC164" s="146"/>
      <c r="JGD164" s="146"/>
      <c r="JGE164" s="146"/>
      <c r="JGF164" s="146"/>
      <c r="JGG164" s="146"/>
      <c r="JGH164" s="146"/>
      <c r="JGI164" s="146"/>
      <c r="JGJ164" s="146"/>
      <c r="JGK164" s="146"/>
      <c r="JGL164" s="146"/>
      <c r="JGM164" s="146"/>
      <c r="JGN164" s="146"/>
      <c r="JGO164" s="146"/>
      <c r="JGP164" s="146"/>
      <c r="JGQ164" s="146"/>
      <c r="JGR164" s="146"/>
      <c r="JGS164" s="146"/>
      <c r="JGT164" s="146"/>
      <c r="JGU164" s="146"/>
      <c r="JGV164" s="146"/>
      <c r="JGW164" s="146"/>
      <c r="JGX164" s="146"/>
      <c r="JGY164" s="146"/>
      <c r="JGZ164" s="146"/>
      <c r="JHA164" s="146"/>
      <c r="JHB164" s="146"/>
      <c r="JHC164" s="146"/>
      <c r="JHD164" s="146"/>
      <c r="JHE164" s="146"/>
      <c r="JHF164" s="146"/>
      <c r="JHG164" s="146"/>
      <c r="JHH164" s="146"/>
      <c r="JHI164" s="146"/>
      <c r="JHJ164" s="146"/>
      <c r="JHK164" s="146"/>
      <c r="JHL164" s="146"/>
      <c r="JHM164" s="146"/>
      <c r="JHN164" s="146"/>
      <c r="JHO164" s="146"/>
      <c r="JHP164" s="146"/>
      <c r="JHQ164" s="146"/>
      <c r="JHR164" s="146"/>
      <c r="JHS164" s="146"/>
      <c r="JHT164" s="146"/>
      <c r="JHU164" s="146"/>
      <c r="JHV164" s="146"/>
      <c r="JHW164" s="146"/>
      <c r="JHX164" s="146"/>
      <c r="JHY164" s="146"/>
      <c r="JHZ164" s="146"/>
      <c r="JIA164" s="146"/>
      <c r="JIB164" s="146"/>
      <c r="JIC164" s="146"/>
      <c r="JID164" s="146"/>
      <c r="JIE164" s="146"/>
      <c r="JIF164" s="146"/>
      <c r="JIG164" s="146"/>
      <c r="JIH164" s="146"/>
      <c r="JII164" s="146"/>
      <c r="JIJ164" s="146"/>
      <c r="JIK164" s="146"/>
      <c r="JIL164" s="146"/>
      <c r="JIM164" s="146"/>
      <c r="JIN164" s="146"/>
      <c r="JIO164" s="146"/>
      <c r="JIP164" s="146"/>
      <c r="JIQ164" s="146"/>
      <c r="JIR164" s="146"/>
      <c r="JIS164" s="146"/>
      <c r="JIT164" s="146"/>
      <c r="JIU164" s="146"/>
      <c r="JIV164" s="146"/>
      <c r="JIW164" s="146"/>
      <c r="JIX164" s="146"/>
      <c r="JIY164" s="146"/>
      <c r="JIZ164" s="146"/>
      <c r="JJA164" s="146"/>
      <c r="JJB164" s="146"/>
      <c r="JJC164" s="146"/>
      <c r="JJD164" s="146"/>
      <c r="JJE164" s="146"/>
      <c r="JJF164" s="146"/>
      <c r="JJG164" s="146"/>
      <c r="JJH164" s="146"/>
      <c r="JJI164" s="146"/>
      <c r="JJJ164" s="146"/>
      <c r="JJK164" s="146"/>
      <c r="JJL164" s="146"/>
      <c r="JJM164" s="146"/>
      <c r="JJN164" s="146"/>
      <c r="JJO164" s="146"/>
      <c r="JJP164" s="146"/>
      <c r="JJQ164" s="146"/>
      <c r="JJR164" s="146"/>
      <c r="JJS164" s="146"/>
      <c r="JJT164" s="146"/>
      <c r="JJU164" s="146"/>
      <c r="JJV164" s="146"/>
      <c r="JJW164" s="146"/>
      <c r="JJX164" s="146"/>
      <c r="JJY164" s="146"/>
      <c r="JJZ164" s="146"/>
      <c r="JKA164" s="146"/>
      <c r="JKB164" s="146"/>
      <c r="JKC164" s="146"/>
      <c r="JKD164" s="146"/>
      <c r="JKE164" s="146"/>
      <c r="JKF164" s="146"/>
      <c r="JKG164" s="146"/>
      <c r="JKH164" s="146"/>
      <c r="JKI164" s="146"/>
      <c r="JKJ164" s="146"/>
      <c r="JKK164" s="146"/>
      <c r="JKL164" s="146"/>
      <c r="JKM164" s="146"/>
      <c r="JKN164" s="146"/>
      <c r="JKO164" s="146"/>
      <c r="JKP164" s="146"/>
      <c r="JKQ164" s="146"/>
      <c r="JKR164" s="146"/>
      <c r="JKS164" s="146"/>
      <c r="JKT164" s="146"/>
      <c r="JKU164" s="146"/>
      <c r="JKV164" s="146"/>
      <c r="JKW164" s="146"/>
      <c r="JKX164" s="146"/>
      <c r="JKY164" s="146"/>
      <c r="JKZ164" s="146"/>
      <c r="JLA164" s="146"/>
      <c r="JLB164" s="146"/>
      <c r="JLC164" s="146"/>
      <c r="JLD164" s="146"/>
      <c r="JLE164" s="146"/>
      <c r="JLF164" s="146"/>
      <c r="JLG164" s="146"/>
      <c r="JLH164" s="146"/>
      <c r="JLI164" s="146"/>
      <c r="JLJ164" s="146"/>
      <c r="JLK164" s="146"/>
      <c r="JLL164" s="146"/>
      <c r="JLM164" s="146"/>
      <c r="JLN164" s="146"/>
      <c r="JLO164" s="146"/>
      <c r="JLP164" s="146"/>
      <c r="JLQ164" s="146"/>
      <c r="JLR164" s="146"/>
      <c r="JLS164" s="146"/>
      <c r="JLT164" s="146"/>
      <c r="JLU164" s="146"/>
      <c r="JLV164" s="146"/>
      <c r="JLW164" s="146"/>
      <c r="JLX164" s="146"/>
      <c r="JLY164" s="146"/>
      <c r="JLZ164" s="146"/>
      <c r="JMA164" s="146"/>
      <c r="JMB164" s="146"/>
      <c r="JMC164" s="146"/>
      <c r="JMD164" s="146"/>
      <c r="JME164" s="146"/>
      <c r="JMF164" s="146"/>
      <c r="JMG164" s="146"/>
      <c r="JMH164" s="146"/>
      <c r="JMI164" s="146"/>
      <c r="JMJ164" s="146"/>
      <c r="JMK164" s="146"/>
      <c r="JML164" s="146"/>
      <c r="JMM164" s="146"/>
      <c r="JMN164" s="146"/>
      <c r="JMO164" s="146"/>
      <c r="JMP164" s="146"/>
      <c r="JMQ164" s="146"/>
      <c r="JMR164" s="146"/>
      <c r="JMS164" s="146"/>
      <c r="JMT164" s="146"/>
      <c r="JMU164" s="146"/>
      <c r="JMV164" s="146"/>
      <c r="JMW164" s="146"/>
      <c r="JMX164" s="146"/>
      <c r="JMY164" s="146"/>
      <c r="JMZ164" s="146"/>
      <c r="JNA164" s="146"/>
      <c r="JNB164" s="146"/>
      <c r="JNC164" s="146"/>
      <c r="JND164" s="146"/>
      <c r="JNE164" s="146"/>
      <c r="JNF164" s="146"/>
      <c r="JNG164" s="146"/>
      <c r="JNH164" s="146"/>
      <c r="JNI164" s="146"/>
      <c r="JNJ164" s="146"/>
      <c r="JNK164" s="146"/>
      <c r="JNL164" s="146"/>
      <c r="JNM164" s="146"/>
      <c r="JNN164" s="146"/>
      <c r="JNO164" s="146"/>
      <c r="JNP164" s="146"/>
      <c r="JNQ164" s="146"/>
      <c r="JNR164" s="146"/>
      <c r="JNS164" s="146"/>
      <c r="JNT164" s="146"/>
      <c r="JNU164" s="146"/>
      <c r="JNV164" s="146"/>
      <c r="JNW164" s="146"/>
      <c r="JNX164" s="146"/>
      <c r="JNY164" s="146"/>
      <c r="JNZ164" s="146"/>
      <c r="JOA164" s="146"/>
      <c r="JOB164" s="146"/>
      <c r="JOC164" s="146"/>
      <c r="JOD164" s="146"/>
      <c r="JOE164" s="146"/>
      <c r="JOF164" s="146"/>
      <c r="JOG164" s="146"/>
      <c r="JOH164" s="146"/>
      <c r="JOI164" s="146"/>
      <c r="JOJ164" s="146"/>
      <c r="JOK164" s="146"/>
      <c r="JOL164" s="146"/>
      <c r="JOM164" s="146"/>
      <c r="JON164" s="146"/>
      <c r="JOO164" s="146"/>
      <c r="JOP164" s="146"/>
      <c r="JOQ164" s="146"/>
      <c r="JOR164" s="146"/>
      <c r="JOS164" s="146"/>
      <c r="JOT164" s="146"/>
      <c r="JOU164" s="146"/>
      <c r="JOV164" s="146"/>
      <c r="JOW164" s="146"/>
      <c r="JOX164" s="146"/>
      <c r="JOY164" s="146"/>
      <c r="JOZ164" s="146"/>
      <c r="JPA164" s="146"/>
      <c r="JPB164" s="146"/>
      <c r="JPC164" s="146"/>
      <c r="JPD164" s="146"/>
      <c r="JPE164" s="146"/>
      <c r="JPF164" s="146"/>
      <c r="JPG164" s="146"/>
      <c r="JPH164" s="146"/>
      <c r="JPI164" s="146"/>
      <c r="JPJ164" s="146"/>
      <c r="JPK164" s="146"/>
      <c r="JPL164" s="146"/>
      <c r="JPM164" s="146"/>
      <c r="JPN164" s="146"/>
      <c r="JPO164" s="146"/>
      <c r="JPP164" s="146"/>
      <c r="JPQ164" s="146"/>
      <c r="JPR164" s="146"/>
      <c r="JPS164" s="146"/>
      <c r="JPT164" s="146"/>
      <c r="JPU164" s="146"/>
      <c r="JPV164" s="146"/>
      <c r="JPW164" s="146"/>
      <c r="JPX164" s="146"/>
      <c r="JPY164" s="146"/>
      <c r="JPZ164" s="146"/>
      <c r="JQA164" s="146"/>
      <c r="JQB164" s="146"/>
      <c r="JQC164" s="146"/>
      <c r="JQD164" s="146"/>
      <c r="JQE164" s="146"/>
      <c r="JQF164" s="146"/>
      <c r="JQG164" s="146"/>
      <c r="JQH164" s="146"/>
      <c r="JQI164" s="146"/>
      <c r="JQJ164" s="146"/>
      <c r="JQK164" s="146"/>
      <c r="JQL164" s="146"/>
      <c r="JQM164" s="146"/>
      <c r="JQN164" s="146"/>
      <c r="JQO164" s="146"/>
      <c r="JQP164" s="146"/>
      <c r="JQQ164" s="146"/>
      <c r="JQR164" s="146"/>
      <c r="JQS164" s="146"/>
      <c r="JQT164" s="146"/>
      <c r="JQU164" s="146"/>
      <c r="JQV164" s="146"/>
      <c r="JQW164" s="146"/>
      <c r="JQX164" s="146"/>
      <c r="JQY164" s="146"/>
      <c r="JQZ164" s="146"/>
      <c r="JRA164" s="146"/>
      <c r="JRB164" s="146"/>
      <c r="JRC164" s="146"/>
      <c r="JRD164" s="146"/>
      <c r="JRE164" s="146"/>
      <c r="JRF164" s="146"/>
      <c r="JRG164" s="146"/>
      <c r="JRH164" s="146"/>
      <c r="JRI164" s="146"/>
      <c r="JRJ164" s="146"/>
      <c r="JRK164" s="146"/>
      <c r="JRL164" s="146"/>
      <c r="JRM164" s="146"/>
      <c r="JRN164" s="146"/>
      <c r="JRO164" s="146"/>
      <c r="JRP164" s="146"/>
      <c r="JRQ164" s="146"/>
      <c r="JRR164" s="146"/>
      <c r="JRS164" s="146"/>
      <c r="JRT164" s="146"/>
      <c r="JRU164" s="146"/>
      <c r="JRV164" s="146"/>
      <c r="JRW164" s="146"/>
      <c r="JRX164" s="146"/>
      <c r="JRY164" s="146"/>
      <c r="JRZ164" s="146"/>
      <c r="JSA164" s="146"/>
      <c r="JSB164" s="146"/>
      <c r="JSC164" s="146"/>
      <c r="JSD164" s="146"/>
      <c r="JSE164" s="146"/>
      <c r="JSF164" s="146"/>
      <c r="JSG164" s="146"/>
      <c r="JSH164" s="146"/>
      <c r="JSI164" s="146"/>
      <c r="JSJ164" s="146"/>
      <c r="JSK164" s="146"/>
      <c r="JSL164" s="146"/>
      <c r="JSM164" s="146"/>
      <c r="JSN164" s="146"/>
      <c r="JSO164" s="146"/>
      <c r="JSP164" s="146"/>
      <c r="JSQ164" s="146"/>
      <c r="JSR164" s="146"/>
      <c r="JSS164" s="146"/>
      <c r="JST164" s="146"/>
      <c r="JSU164" s="146"/>
      <c r="JSV164" s="146"/>
      <c r="JSW164" s="146"/>
      <c r="JSX164" s="146"/>
      <c r="JSY164" s="146"/>
      <c r="JSZ164" s="146"/>
      <c r="JTA164" s="146"/>
      <c r="JTB164" s="146"/>
      <c r="JTC164" s="146"/>
      <c r="JTD164" s="146"/>
      <c r="JTE164" s="146"/>
      <c r="JTF164" s="146"/>
      <c r="JTG164" s="146"/>
      <c r="JTH164" s="146"/>
      <c r="JTI164" s="146"/>
      <c r="JTJ164" s="146"/>
      <c r="JTK164" s="146"/>
      <c r="JTL164" s="146"/>
      <c r="JTM164" s="146"/>
      <c r="JTN164" s="146"/>
      <c r="JTO164" s="146"/>
      <c r="JTP164" s="146"/>
      <c r="JTQ164" s="146"/>
      <c r="JTR164" s="146"/>
      <c r="JTS164" s="146"/>
      <c r="JTT164" s="146"/>
      <c r="JTU164" s="146"/>
      <c r="JTV164" s="146"/>
      <c r="JTW164" s="146"/>
      <c r="JTX164" s="146"/>
      <c r="JTY164" s="146"/>
      <c r="JTZ164" s="146"/>
      <c r="JUA164" s="146"/>
      <c r="JUB164" s="146"/>
      <c r="JUC164" s="146"/>
      <c r="JUD164" s="146"/>
      <c r="JUE164" s="146"/>
      <c r="JUF164" s="146"/>
      <c r="JUG164" s="146"/>
      <c r="JUH164" s="146"/>
      <c r="JUI164" s="146"/>
      <c r="JUJ164" s="146"/>
      <c r="JUK164" s="146"/>
      <c r="JUL164" s="146"/>
      <c r="JUM164" s="146"/>
      <c r="JUN164" s="146"/>
      <c r="JUO164" s="146"/>
      <c r="JUP164" s="146"/>
      <c r="JUQ164" s="146"/>
      <c r="JUR164" s="146"/>
      <c r="JUS164" s="146"/>
      <c r="JUT164" s="146"/>
      <c r="JUU164" s="146"/>
      <c r="JUV164" s="146"/>
      <c r="JUW164" s="146"/>
      <c r="JUX164" s="146"/>
      <c r="JUY164" s="146"/>
      <c r="JUZ164" s="146"/>
      <c r="JVA164" s="146"/>
      <c r="JVB164" s="146"/>
      <c r="JVC164" s="146"/>
      <c r="JVD164" s="146"/>
      <c r="JVE164" s="146"/>
      <c r="JVF164" s="146"/>
      <c r="JVG164" s="146"/>
      <c r="JVH164" s="146"/>
      <c r="JVI164" s="146"/>
      <c r="JVJ164" s="146"/>
      <c r="JVK164" s="146"/>
      <c r="JVL164" s="146"/>
      <c r="JVM164" s="146"/>
      <c r="JVN164" s="146"/>
      <c r="JVO164" s="146"/>
      <c r="JVP164" s="146"/>
      <c r="JVQ164" s="146"/>
      <c r="JVR164" s="146"/>
      <c r="JVS164" s="146"/>
      <c r="JVT164" s="146"/>
      <c r="JVU164" s="146"/>
      <c r="JVV164" s="146"/>
      <c r="JVW164" s="146"/>
      <c r="JVX164" s="146"/>
      <c r="JVY164" s="146"/>
      <c r="JVZ164" s="146"/>
      <c r="JWA164" s="146"/>
      <c r="JWB164" s="146"/>
      <c r="JWC164" s="146"/>
      <c r="JWD164" s="146"/>
      <c r="JWE164" s="146"/>
      <c r="JWF164" s="146"/>
      <c r="JWG164" s="146"/>
      <c r="JWH164" s="146"/>
      <c r="JWI164" s="146"/>
      <c r="JWJ164" s="146"/>
      <c r="JWK164" s="146"/>
      <c r="JWL164" s="146"/>
      <c r="JWM164" s="146"/>
      <c r="JWN164" s="146"/>
      <c r="JWO164" s="146"/>
      <c r="JWP164" s="146"/>
      <c r="JWQ164" s="146"/>
      <c r="JWR164" s="146"/>
      <c r="JWS164" s="146"/>
      <c r="JWT164" s="146"/>
      <c r="JWU164" s="146"/>
      <c r="JWV164" s="146"/>
      <c r="JWW164" s="146"/>
      <c r="JWX164" s="146"/>
      <c r="JWY164" s="146"/>
      <c r="JWZ164" s="146"/>
      <c r="JXA164" s="146"/>
      <c r="JXB164" s="146"/>
      <c r="JXC164" s="146"/>
      <c r="JXD164" s="146"/>
      <c r="JXE164" s="146"/>
      <c r="JXF164" s="146"/>
      <c r="JXG164" s="146"/>
      <c r="JXH164" s="146"/>
      <c r="JXI164" s="146"/>
      <c r="JXJ164" s="146"/>
      <c r="JXK164" s="146"/>
      <c r="JXL164" s="146"/>
      <c r="JXM164" s="146"/>
      <c r="JXN164" s="146"/>
      <c r="JXO164" s="146"/>
      <c r="JXP164" s="146"/>
      <c r="JXQ164" s="146"/>
      <c r="JXR164" s="146"/>
      <c r="JXS164" s="146"/>
      <c r="JXT164" s="146"/>
      <c r="JXU164" s="146"/>
      <c r="JXV164" s="146"/>
      <c r="JXW164" s="146"/>
      <c r="JXX164" s="146"/>
      <c r="JXY164" s="146"/>
      <c r="JXZ164" s="146"/>
      <c r="JYA164" s="146"/>
      <c r="JYB164" s="146"/>
      <c r="JYC164" s="146"/>
      <c r="JYD164" s="146"/>
      <c r="JYE164" s="146"/>
      <c r="JYF164" s="146"/>
      <c r="JYG164" s="146"/>
      <c r="JYH164" s="146"/>
      <c r="JYI164" s="146"/>
      <c r="JYJ164" s="146"/>
      <c r="JYK164" s="146"/>
      <c r="JYL164" s="146"/>
      <c r="JYM164" s="146"/>
      <c r="JYN164" s="146"/>
      <c r="JYO164" s="146"/>
      <c r="JYP164" s="146"/>
      <c r="JYQ164" s="146"/>
      <c r="JYR164" s="146"/>
      <c r="JYS164" s="146"/>
      <c r="JYT164" s="146"/>
      <c r="JYU164" s="146"/>
      <c r="JYV164" s="146"/>
      <c r="JYW164" s="146"/>
      <c r="JYX164" s="146"/>
      <c r="JYY164" s="146"/>
      <c r="JYZ164" s="146"/>
      <c r="JZA164" s="146"/>
      <c r="JZB164" s="146"/>
      <c r="JZC164" s="146"/>
      <c r="JZD164" s="146"/>
      <c r="JZE164" s="146"/>
      <c r="JZF164" s="146"/>
      <c r="JZG164" s="146"/>
      <c r="JZH164" s="146"/>
      <c r="JZI164" s="146"/>
      <c r="JZJ164" s="146"/>
      <c r="JZK164" s="146"/>
      <c r="JZL164" s="146"/>
      <c r="JZM164" s="146"/>
      <c r="JZN164" s="146"/>
      <c r="JZO164" s="146"/>
      <c r="JZP164" s="146"/>
      <c r="JZQ164" s="146"/>
      <c r="JZR164" s="146"/>
      <c r="JZS164" s="146"/>
      <c r="JZT164" s="146"/>
      <c r="JZU164" s="146"/>
      <c r="JZV164" s="146"/>
      <c r="JZW164" s="146"/>
      <c r="JZX164" s="146"/>
      <c r="JZY164" s="146"/>
      <c r="JZZ164" s="146"/>
      <c r="KAA164" s="146"/>
      <c r="KAB164" s="146"/>
      <c r="KAC164" s="146"/>
      <c r="KAD164" s="146"/>
      <c r="KAE164" s="146"/>
      <c r="KAF164" s="146"/>
      <c r="KAG164" s="146"/>
      <c r="KAH164" s="146"/>
      <c r="KAI164" s="146"/>
      <c r="KAJ164" s="146"/>
      <c r="KAK164" s="146"/>
      <c r="KAL164" s="146"/>
      <c r="KAM164" s="146"/>
      <c r="KAN164" s="146"/>
      <c r="KAO164" s="146"/>
      <c r="KAP164" s="146"/>
      <c r="KAQ164" s="146"/>
      <c r="KAR164" s="146"/>
      <c r="KAS164" s="146"/>
      <c r="KAT164" s="146"/>
      <c r="KAU164" s="146"/>
      <c r="KAV164" s="146"/>
      <c r="KAW164" s="146"/>
      <c r="KAX164" s="146"/>
      <c r="KAY164" s="146"/>
      <c r="KAZ164" s="146"/>
      <c r="KBA164" s="146"/>
      <c r="KBB164" s="146"/>
      <c r="KBC164" s="146"/>
      <c r="KBD164" s="146"/>
      <c r="KBE164" s="146"/>
      <c r="KBF164" s="146"/>
      <c r="KBG164" s="146"/>
      <c r="KBH164" s="146"/>
      <c r="KBI164" s="146"/>
      <c r="KBJ164" s="146"/>
      <c r="KBK164" s="146"/>
      <c r="KBL164" s="146"/>
      <c r="KBM164" s="146"/>
      <c r="KBN164" s="146"/>
      <c r="KBO164" s="146"/>
      <c r="KBP164" s="146"/>
      <c r="KBQ164" s="146"/>
      <c r="KBR164" s="146"/>
      <c r="KBS164" s="146"/>
      <c r="KBT164" s="146"/>
      <c r="KBU164" s="146"/>
      <c r="KBV164" s="146"/>
      <c r="KBW164" s="146"/>
      <c r="KBX164" s="146"/>
      <c r="KBY164" s="146"/>
      <c r="KBZ164" s="146"/>
      <c r="KCA164" s="146"/>
      <c r="KCB164" s="146"/>
      <c r="KCC164" s="146"/>
      <c r="KCD164" s="146"/>
      <c r="KCE164" s="146"/>
      <c r="KCF164" s="146"/>
      <c r="KCG164" s="146"/>
      <c r="KCH164" s="146"/>
      <c r="KCI164" s="146"/>
      <c r="KCJ164" s="146"/>
      <c r="KCK164" s="146"/>
      <c r="KCL164" s="146"/>
      <c r="KCM164" s="146"/>
      <c r="KCN164" s="146"/>
      <c r="KCO164" s="146"/>
      <c r="KCP164" s="146"/>
      <c r="KCQ164" s="146"/>
      <c r="KCR164" s="146"/>
      <c r="KCS164" s="146"/>
      <c r="KCT164" s="146"/>
      <c r="KCU164" s="146"/>
      <c r="KCV164" s="146"/>
      <c r="KCW164" s="146"/>
      <c r="KCX164" s="146"/>
      <c r="KCY164" s="146"/>
      <c r="KCZ164" s="146"/>
      <c r="KDA164" s="146"/>
      <c r="KDB164" s="146"/>
      <c r="KDC164" s="146"/>
      <c r="KDD164" s="146"/>
      <c r="KDE164" s="146"/>
      <c r="KDF164" s="146"/>
      <c r="KDG164" s="146"/>
      <c r="KDH164" s="146"/>
      <c r="KDI164" s="146"/>
      <c r="KDJ164" s="146"/>
      <c r="KDK164" s="146"/>
      <c r="KDL164" s="146"/>
      <c r="KDM164" s="146"/>
      <c r="KDN164" s="146"/>
      <c r="KDO164" s="146"/>
      <c r="KDP164" s="146"/>
      <c r="KDQ164" s="146"/>
      <c r="KDR164" s="146"/>
      <c r="KDS164" s="146"/>
      <c r="KDT164" s="146"/>
      <c r="KDU164" s="146"/>
      <c r="KDV164" s="146"/>
      <c r="KDW164" s="146"/>
      <c r="KDX164" s="146"/>
      <c r="KDY164" s="146"/>
      <c r="KDZ164" s="146"/>
      <c r="KEA164" s="146"/>
      <c r="KEB164" s="146"/>
      <c r="KEC164" s="146"/>
      <c r="KED164" s="146"/>
      <c r="KEE164" s="146"/>
      <c r="KEF164" s="146"/>
      <c r="KEG164" s="146"/>
      <c r="KEH164" s="146"/>
      <c r="KEI164" s="146"/>
      <c r="KEJ164" s="146"/>
      <c r="KEK164" s="146"/>
      <c r="KEL164" s="146"/>
      <c r="KEM164" s="146"/>
      <c r="KEN164" s="146"/>
      <c r="KEO164" s="146"/>
      <c r="KEP164" s="146"/>
      <c r="KEQ164" s="146"/>
      <c r="KER164" s="146"/>
      <c r="KES164" s="146"/>
      <c r="KET164" s="146"/>
      <c r="KEU164" s="146"/>
      <c r="KEV164" s="146"/>
      <c r="KEW164" s="146"/>
      <c r="KEX164" s="146"/>
      <c r="KEY164" s="146"/>
      <c r="KEZ164" s="146"/>
      <c r="KFA164" s="146"/>
      <c r="KFB164" s="146"/>
      <c r="KFC164" s="146"/>
      <c r="KFD164" s="146"/>
      <c r="KFE164" s="146"/>
      <c r="KFF164" s="146"/>
      <c r="KFG164" s="146"/>
      <c r="KFH164" s="146"/>
      <c r="KFI164" s="146"/>
      <c r="KFJ164" s="146"/>
      <c r="KFK164" s="146"/>
      <c r="KFL164" s="146"/>
      <c r="KFM164" s="146"/>
      <c r="KFN164" s="146"/>
      <c r="KFO164" s="146"/>
      <c r="KFP164" s="146"/>
      <c r="KFQ164" s="146"/>
      <c r="KFR164" s="146"/>
      <c r="KFS164" s="146"/>
      <c r="KFT164" s="146"/>
      <c r="KFU164" s="146"/>
      <c r="KFV164" s="146"/>
      <c r="KFW164" s="146"/>
      <c r="KFX164" s="146"/>
      <c r="KFY164" s="146"/>
      <c r="KFZ164" s="146"/>
      <c r="KGA164" s="146"/>
      <c r="KGB164" s="146"/>
      <c r="KGC164" s="146"/>
      <c r="KGD164" s="146"/>
      <c r="KGE164" s="146"/>
      <c r="KGF164" s="146"/>
      <c r="KGG164" s="146"/>
      <c r="KGH164" s="146"/>
      <c r="KGI164" s="146"/>
      <c r="KGJ164" s="146"/>
      <c r="KGK164" s="146"/>
      <c r="KGL164" s="146"/>
      <c r="KGM164" s="146"/>
      <c r="KGN164" s="146"/>
      <c r="KGO164" s="146"/>
      <c r="KGP164" s="146"/>
      <c r="KGQ164" s="146"/>
      <c r="KGR164" s="146"/>
      <c r="KGS164" s="146"/>
      <c r="KGT164" s="146"/>
      <c r="KGU164" s="146"/>
      <c r="KGV164" s="146"/>
      <c r="KGW164" s="146"/>
      <c r="KGX164" s="146"/>
      <c r="KGY164" s="146"/>
      <c r="KGZ164" s="146"/>
      <c r="KHA164" s="146"/>
      <c r="KHB164" s="146"/>
      <c r="KHC164" s="146"/>
      <c r="KHD164" s="146"/>
      <c r="KHE164" s="146"/>
      <c r="KHF164" s="146"/>
      <c r="KHG164" s="146"/>
      <c r="KHH164" s="146"/>
      <c r="KHI164" s="146"/>
      <c r="KHJ164" s="146"/>
      <c r="KHK164" s="146"/>
      <c r="KHL164" s="146"/>
      <c r="KHM164" s="146"/>
      <c r="KHN164" s="146"/>
      <c r="KHO164" s="146"/>
      <c r="KHP164" s="146"/>
      <c r="KHQ164" s="146"/>
      <c r="KHR164" s="146"/>
      <c r="KHS164" s="146"/>
      <c r="KHT164" s="146"/>
      <c r="KHU164" s="146"/>
      <c r="KHV164" s="146"/>
      <c r="KHW164" s="146"/>
      <c r="KHX164" s="146"/>
      <c r="KHY164" s="146"/>
      <c r="KHZ164" s="146"/>
      <c r="KIA164" s="146"/>
      <c r="KIB164" s="146"/>
      <c r="KIC164" s="146"/>
      <c r="KID164" s="146"/>
      <c r="KIE164" s="146"/>
      <c r="KIF164" s="146"/>
      <c r="KIG164" s="146"/>
      <c r="KIH164" s="146"/>
      <c r="KII164" s="146"/>
      <c r="KIJ164" s="146"/>
      <c r="KIK164" s="146"/>
      <c r="KIL164" s="146"/>
      <c r="KIM164" s="146"/>
      <c r="KIN164" s="146"/>
      <c r="KIO164" s="146"/>
      <c r="KIP164" s="146"/>
      <c r="KIQ164" s="146"/>
      <c r="KIR164" s="146"/>
      <c r="KIS164" s="146"/>
      <c r="KIT164" s="146"/>
      <c r="KIU164" s="146"/>
      <c r="KIV164" s="146"/>
      <c r="KIW164" s="146"/>
      <c r="KIX164" s="146"/>
      <c r="KIY164" s="146"/>
      <c r="KIZ164" s="146"/>
      <c r="KJA164" s="146"/>
      <c r="KJB164" s="146"/>
      <c r="KJC164" s="146"/>
      <c r="KJD164" s="146"/>
      <c r="KJE164" s="146"/>
      <c r="KJF164" s="146"/>
      <c r="KJG164" s="146"/>
      <c r="KJH164" s="146"/>
      <c r="KJI164" s="146"/>
      <c r="KJJ164" s="146"/>
      <c r="KJK164" s="146"/>
      <c r="KJL164" s="146"/>
      <c r="KJM164" s="146"/>
      <c r="KJN164" s="146"/>
      <c r="KJO164" s="146"/>
      <c r="KJP164" s="146"/>
      <c r="KJQ164" s="146"/>
      <c r="KJR164" s="146"/>
      <c r="KJS164" s="146"/>
      <c r="KJT164" s="146"/>
      <c r="KJU164" s="146"/>
      <c r="KJV164" s="146"/>
      <c r="KJW164" s="146"/>
      <c r="KJX164" s="146"/>
      <c r="KJY164" s="146"/>
      <c r="KJZ164" s="146"/>
      <c r="KKA164" s="146"/>
      <c r="KKB164" s="146"/>
      <c r="KKC164" s="146"/>
      <c r="KKD164" s="146"/>
      <c r="KKE164" s="146"/>
      <c r="KKF164" s="146"/>
      <c r="KKG164" s="146"/>
      <c r="KKH164" s="146"/>
      <c r="KKI164" s="146"/>
      <c r="KKJ164" s="146"/>
      <c r="KKK164" s="146"/>
      <c r="KKL164" s="146"/>
      <c r="KKM164" s="146"/>
      <c r="KKN164" s="146"/>
      <c r="KKO164" s="146"/>
      <c r="KKP164" s="146"/>
      <c r="KKQ164" s="146"/>
      <c r="KKR164" s="146"/>
      <c r="KKS164" s="146"/>
      <c r="KKT164" s="146"/>
      <c r="KKU164" s="146"/>
      <c r="KKV164" s="146"/>
      <c r="KKW164" s="146"/>
      <c r="KKX164" s="146"/>
      <c r="KKY164" s="146"/>
      <c r="KKZ164" s="146"/>
      <c r="KLA164" s="146"/>
      <c r="KLB164" s="146"/>
      <c r="KLC164" s="146"/>
      <c r="KLD164" s="146"/>
      <c r="KLE164" s="146"/>
      <c r="KLF164" s="146"/>
      <c r="KLG164" s="146"/>
      <c r="KLH164" s="146"/>
      <c r="KLI164" s="146"/>
      <c r="KLJ164" s="146"/>
      <c r="KLK164" s="146"/>
      <c r="KLL164" s="146"/>
      <c r="KLM164" s="146"/>
      <c r="KLN164" s="146"/>
      <c r="KLO164" s="146"/>
      <c r="KLP164" s="146"/>
      <c r="KLQ164" s="146"/>
      <c r="KLR164" s="146"/>
      <c r="KLS164" s="146"/>
      <c r="KLT164" s="146"/>
      <c r="KLU164" s="146"/>
      <c r="KLV164" s="146"/>
      <c r="KLW164" s="146"/>
      <c r="KLX164" s="146"/>
      <c r="KLY164" s="146"/>
      <c r="KLZ164" s="146"/>
      <c r="KMA164" s="146"/>
      <c r="KMB164" s="146"/>
      <c r="KMC164" s="146"/>
      <c r="KMD164" s="146"/>
      <c r="KME164" s="146"/>
      <c r="KMF164" s="146"/>
      <c r="KMG164" s="146"/>
      <c r="KMH164" s="146"/>
      <c r="KMI164" s="146"/>
      <c r="KMJ164" s="146"/>
      <c r="KMK164" s="146"/>
      <c r="KML164" s="146"/>
      <c r="KMM164" s="146"/>
      <c r="KMN164" s="146"/>
      <c r="KMO164" s="146"/>
      <c r="KMP164" s="146"/>
      <c r="KMQ164" s="146"/>
      <c r="KMR164" s="146"/>
      <c r="KMS164" s="146"/>
      <c r="KMT164" s="146"/>
      <c r="KMU164" s="146"/>
      <c r="KMV164" s="146"/>
      <c r="KMW164" s="146"/>
      <c r="KMX164" s="146"/>
      <c r="KMY164" s="146"/>
      <c r="KMZ164" s="146"/>
      <c r="KNA164" s="146"/>
      <c r="KNB164" s="146"/>
      <c r="KNC164" s="146"/>
      <c r="KND164" s="146"/>
      <c r="KNE164" s="146"/>
      <c r="KNF164" s="146"/>
      <c r="KNG164" s="146"/>
      <c r="KNH164" s="146"/>
      <c r="KNI164" s="146"/>
      <c r="KNJ164" s="146"/>
      <c r="KNK164" s="146"/>
      <c r="KNL164" s="146"/>
      <c r="KNM164" s="146"/>
      <c r="KNN164" s="146"/>
      <c r="KNO164" s="146"/>
      <c r="KNP164" s="146"/>
      <c r="KNQ164" s="146"/>
      <c r="KNR164" s="146"/>
      <c r="KNS164" s="146"/>
      <c r="KNT164" s="146"/>
      <c r="KNU164" s="146"/>
      <c r="KNV164" s="146"/>
      <c r="KNW164" s="146"/>
      <c r="KNX164" s="146"/>
      <c r="KNY164" s="146"/>
      <c r="KNZ164" s="146"/>
      <c r="KOA164" s="146"/>
      <c r="KOB164" s="146"/>
      <c r="KOC164" s="146"/>
      <c r="KOD164" s="146"/>
      <c r="KOE164" s="146"/>
      <c r="KOF164" s="146"/>
      <c r="KOG164" s="146"/>
      <c r="KOH164" s="146"/>
      <c r="KOI164" s="146"/>
      <c r="KOJ164" s="146"/>
      <c r="KOK164" s="146"/>
      <c r="KOL164" s="146"/>
      <c r="KOM164" s="146"/>
      <c r="KON164" s="146"/>
      <c r="KOO164" s="146"/>
      <c r="KOP164" s="146"/>
      <c r="KOQ164" s="146"/>
      <c r="KOR164" s="146"/>
      <c r="KOS164" s="146"/>
      <c r="KOT164" s="146"/>
      <c r="KOU164" s="146"/>
      <c r="KOV164" s="146"/>
      <c r="KOW164" s="146"/>
      <c r="KOX164" s="146"/>
      <c r="KOY164" s="146"/>
      <c r="KOZ164" s="146"/>
      <c r="KPA164" s="146"/>
      <c r="KPB164" s="146"/>
      <c r="KPC164" s="146"/>
      <c r="KPD164" s="146"/>
      <c r="KPE164" s="146"/>
      <c r="KPF164" s="146"/>
      <c r="KPG164" s="146"/>
      <c r="KPH164" s="146"/>
      <c r="KPI164" s="146"/>
      <c r="KPJ164" s="146"/>
      <c r="KPK164" s="146"/>
      <c r="KPL164" s="146"/>
      <c r="KPM164" s="146"/>
      <c r="KPN164" s="146"/>
      <c r="KPO164" s="146"/>
      <c r="KPP164" s="146"/>
      <c r="KPQ164" s="146"/>
      <c r="KPR164" s="146"/>
      <c r="KPS164" s="146"/>
      <c r="KPT164" s="146"/>
      <c r="KPU164" s="146"/>
      <c r="KPV164" s="146"/>
      <c r="KPW164" s="146"/>
      <c r="KPX164" s="146"/>
      <c r="KPY164" s="146"/>
      <c r="KPZ164" s="146"/>
      <c r="KQA164" s="146"/>
      <c r="KQB164" s="146"/>
      <c r="KQC164" s="146"/>
      <c r="KQD164" s="146"/>
      <c r="KQE164" s="146"/>
      <c r="KQF164" s="146"/>
      <c r="KQG164" s="146"/>
      <c r="KQH164" s="146"/>
      <c r="KQI164" s="146"/>
      <c r="KQJ164" s="146"/>
      <c r="KQK164" s="146"/>
      <c r="KQL164" s="146"/>
      <c r="KQM164" s="146"/>
      <c r="KQN164" s="146"/>
      <c r="KQO164" s="146"/>
      <c r="KQP164" s="146"/>
      <c r="KQQ164" s="146"/>
      <c r="KQR164" s="146"/>
      <c r="KQS164" s="146"/>
      <c r="KQT164" s="146"/>
      <c r="KQU164" s="146"/>
      <c r="KQV164" s="146"/>
      <c r="KQW164" s="146"/>
      <c r="KQX164" s="146"/>
      <c r="KQY164" s="146"/>
      <c r="KQZ164" s="146"/>
      <c r="KRA164" s="146"/>
      <c r="KRB164" s="146"/>
      <c r="KRC164" s="146"/>
      <c r="KRD164" s="146"/>
      <c r="KRE164" s="146"/>
      <c r="KRF164" s="146"/>
      <c r="KRG164" s="146"/>
      <c r="KRH164" s="146"/>
      <c r="KRI164" s="146"/>
      <c r="KRJ164" s="146"/>
      <c r="KRK164" s="146"/>
      <c r="KRL164" s="146"/>
      <c r="KRM164" s="146"/>
      <c r="KRN164" s="146"/>
      <c r="KRO164" s="146"/>
      <c r="KRP164" s="146"/>
      <c r="KRQ164" s="146"/>
      <c r="KRR164" s="146"/>
      <c r="KRS164" s="146"/>
      <c r="KRT164" s="146"/>
      <c r="KRU164" s="146"/>
      <c r="KRV164" s="146"/>
      <c r="KRW164" s="146"/>
      <c r="KRX164" s="146"/>
      <c r="KRY164" s="146"/>
      <c r="KRZ164" s="146"/>
      <c r="KSA164" s="146"/>
      <c r="KSB164" s="146"/>
      <c r="KSC164" s="146"/>
      <c r="KSD164" s="146"/>
      <c r="KSE164" s="146"/>
      <c r="KSF164" s="146"/>
      <c r="KSG164" s="146"/>
      <c r="KSH164" s="146"/>
      <c r="KSI164" s="146"/>
      <c r="KSJ164" s="146"/>
      <c r="KSK164" s="146"/>
      <c r="KSL164" s="146"/>
      <c r="KSM164" s="146"/>
      <c r="KSN164" s="146"/>
      <c r="KSO164" s="146"/>
      <c r="KSP164" s="146"/>
      <c r="KSQ164" s="146"/>
      <c r="KSR164" s="146"/>
      <c r="KSS164" s="146"/>
      <c r="KST164" s="146"/>
      <c r="KSU164" s="146"/>
      <c r="KSV164" s="146"/>
      <c r="KSW164" s="146"/>
      <c r="KSX164" s="146"/>
      <c r="KSY164" s="146"/>
      <c r="KSZ164" s="146"/>
      <c r="KTA164" s="146"/>
      <c r="KTB164" s="146"/>
      <c r="KTC164" s="146"/>
      <c r="KTD164" s="146"/>
      <c r="KTE164" s="146"/>
      <c r="KTF164" s="146"/>
      <c r="KTG164" s="146"/>
      <c r="KTH164" s="146"/>
      <c r="KTI164" s="146"/>
      <c r="KTJ164" s="146"/>
      <c r="KTK164" s="146"/>
      <c r="KTL164" s="146"/>
      <c r="KTM164" s="146"/>
      <c r="KTN164" s="146"/>
      <c r="KTO164" s="146"/>
      <c r="KTP164" s="146"/>
      <c r="KTQ164" s="146"/>
      <c r="KTR164" s="146"/>
      <c r="KTS164" s="146"/>
      <c r="KTT164" s="146"/>
      <c r="KTU164" s="146"/>
      <c r="KTV164" s="146"/>
      <c r="KTW164" s="146"/>
      <c r="KTX164" s="146"/>
      <c r="KTY164" s="146"/>
      <c r="KTZ164" s="146"/>
      <c r="KUA164" s="146"/>
      <c r="KUB164" s="146"/>
      <c r="KUC164" s="146"/>
      <c r="KUD164" s="146"/>
      <c r="KUE164" s="146"/>
      <c r="KUF164" s="146"/>
      <c r="KUG164" s="146"/>
      <c r="KUH164" s="146"/>
      <c r="KUI164" s="146"/>
      <c r="KUJ164" s="146"/>
      <c r="KUK164" s="146"/>
      <c r="KUL164" s="146"/>
      <c r="KUM164" s="146"/>
      <c r="KUN164" s="146"/>
      <c r="KUO164" s="146"/>
      <c r="KUP164" s="146"/>
      <c r="KUQ164" s="146"/>
      <c r="KUR164" s="146"/>
      <c r="KUS164" s="146"/>
      <c r="KUT164" s="146"/>
      <c r="KUU164" s="146"/>
      <c r="KUV164" s="146"/>
      <c r="KUW164" s="146"/>
      <c r="KUX164" s="146"/>
      <c r="KUY164" s="146"/>
      <c r="KUZ164" s="146"/>
      <c r="KVA164" s="146"/>
      <c r="KVB164" s="146"/>
      <c r="KVC164" s="146"/>
      <c r="KVD164" s="146"/>
      <c r="KVE164" s="146"/>
      <c r="KVF164" s="146"/>
      <c r="KVG164" s="146"/>
      <c r="KVH164" s="146"/>
      <c r="KVI164" s="146"/>
      <c r="KVJ164" s="146"/>
      <c r="KVK164" s="146"/>
      <c r="KVL164" s="146"/>
      <c r="KVM164" s="146"/>
      <c r="KVN164" s="146"/>
      <c r="KVO164" s="146"/>
      <c r="KVP164" s="146"/>
      <c r="KVQ164" s="146"/>
      <c r="KVR164" s="146"/>
      <c r="KVS164" s="146"/>
      <c r="KVT164" s="146"/>
      <c r="KVU164" s="146"/>
      <c r="KVV164" s="146"/>
      <c r="KVW164" s="146"/>
      <c r="KVX164" s="146"/>
      <c r="KVY164" s="146"/>
      <c r="KVZ164" s="146"/>
      <c r="KWA164" s="146"/>
      <c r="KWB164" s="146"/>
      <c r="KWC164" s="146"/>
      <c r="KWD164" s="146"/>
      <c r="KWE164" s="146"/>
      <c r="KWF164" s="146"/>
      <c r="KWG164" s="146"/>
      <c r="KWH164" s="146"/>
      <c r="KWI164" s="146"/>
      <c r="KWJ164" s="146"/>
      <c r="KWK164" s="146"/>
      <c r="KWL164" s="146"/>
      <c r="KWM164" s="146"/>
      <c r="KWN164" s="146"/>
      <c r="KWO164" s="146"/>
      <c r="KWP164" s="146"/>
      <c r="KWQ164" s="146"/>
      <c r="KWR164" s="146"/>
      <c r="KWS164" s="146"/>
      <c r="KWT164" s="146"/>
      <c r="KWU164" s="146"/>
      <c r="KWV164" s="146"/>
      <c r="KWW164" s="146"/>
      <c r="KWX164" s="146"/>
      <c r="KWY164" s="146"/>
      <c r="KWZ164" s="146"/>
      <c r="KXA164" s="146"/>
      <c r="KXB164" s="146"/>
      <c r="KXC164" s="146"/>
      <c r="KXD164" s="146"/>
      <c r="KXE164" s="146"/>
      <c r="KXF164" s="146"/>
      <c r="KXG164" s="146"/>
      <c r="KXH164" s="146"/>
      <c r="KXI164" s="146"/>
      <c r="KXJ164" s="146"/>
      <c r="KXK164" s="146"/>
      <c r="KXL164" s="146"/>
      <c r="KXM164" s="146"/>
      <c r="KXN164" s="146"/>
      <c r="KXO164" s="146"/>
      <c r="KXP164" s="146"/>
      <c r="KXQ164" s="146"/>
      <c r="KXR164" s="146"/>
      <c r="KXS164" s="146"/>
      <c r="KXT164" s="146"/>
      <c r="KXU164" s="146"/>
      <c r="KXV164" s="146"/>
      <c r="KXW164" s="146"/>
      <c r="KXX164" s="146"/>
      <c r="KXY164" s="146"/>
      <c r="KXZ164" s="146"/>
      <c r="KYA164" s="146"/>
      <c r="KYB164" s="146"/>
      <c r="KYC164" s="146"/>
      <c r="KYD164" s="146"/>
      <c r="KYE164" s="146"/>
      <c r="KYF164" s="146"/>
      <c r="KYG164" s="146"/>
      <c r="KYH164" s="146"/>
      <c r="KYI164" s="146"/>
      <c r="KYJ164" s="146"/>
      <c r="KYK164" s="146"/>
      <c r="KYL164" s="146"/>
      <c r="KYM164" s="146"/>
      <c r="KYN164" s="146"/>
      <c r="KYO164" s="146"/>
      <c r="KYP164" s="146"/>
      <c r="KYQ164" s="146"/>
      <c r="KYR164" s="146"/>
      <c r="KYS164" s="146"/>
      <c r="KYT164" s="146"/>
      <c r="KYU164" s="146"/>
      <c r="KYV164" s="146"/>
      <c r="KYW164" s="146"/>
      <c r="KYX164" s="146"/>
      <c r="KYY164" s="146"/>
      <c r="KYZ164" s="146"/>
      <c r="KZA164" s="146"/>
      <c r="KZB164" s="146"/>
      <c r="KZC164" s="146"/>
      <c r="KZD164" s="146"/>
      <c r="KZE164" s="146"/>
      <c r="KZF164" s="146"/>
      <c r="KZG164" s="146"/>
      <c r="KZH164" s="146"/>
      <c r="KZI164" s="146"/>
      <c r="KZJ164" s="146"/>
      <c r="KZK164" s="146"/>
      <c r="KZL164" s="146"/>
      <c r="KZM164" s="146"/>
      <c r="KZN164" s="146"/>
      <c r="KZO164" s="146"/>
      <c r="KZP164" s="146"/>
      <c r="KZQ164" s="146"/>
      <c r="KZR164" s="146"/>
      <c r="KZS164" s="146"/>
      <c r="KZT164" s="146"/>
      <c r="KZU164" s="146"/>
      <c r="KZV164" s="146"/>
      <c r="KZW164" s="146"/>
      <c r="KZX164" s="146"/>
      <c r="KZY164" s="146"/>
      <c r="KZZ164" s="146"/>
      <c r="LAA164" s="146"/>
      <c r="LAB164" s="146"/>
      <c r="LAC164" s="146"/>
      <c r="LAD164" s="146"/>
      <c r="LAE164" s="146"/>
      <c r="LAF164" s="146"/>
      <c r="LAG164" s="146"/>
      <c r="LAH164" s="146"/>
      <c r="LAI164" s="146"/>
      <c r="LAJ164" s="146"/>
      <c r="LAK164" s="146"/>
      <c r="LAL164" s="146"/>
      <c r="LAM164" s="146"/>
      <c r="LAN164" s="146"/>
      <c r="LAO164" s="146"/>
      <c r="LAP164" s="146"/>
      <c r="LAQ164" s="146"/>
      <c r="LAR164" s="146"/>
      <c r="LAS164" s="146"/>
      <c r="LAT164" s="146"/>
      <c r="LAU164" s="146"/>
      <c r="LAV164" s="146"/>
      <c r="LAW164" s="146"/>
      <c r="LAX164" s="146"/>
      <c r="LAY164" s="146"/>
      <c r="LAZ164" s="146"/>
      <c r="LBA164" s="146"/>
      <c r="LBB164" s="146"/>
      <c r="LBC164" s="146"/>
      <c r="LBD164" s="146"/>
      <c r="LBE164" s="146"/>
      <c r="LBF164" s="146"/>
      <c r="LBG164" s="146"/>
      <c r="LBH164" s="146"/>
      <c r="LBI164" s="146"/>
      <c r="LBJ164" s="146"/>
      <c r="LBK164" s="146"/>
      <c r="LBL164" s="146"/>
      <c r="LBM164" s="146"/>
      <c r="LBN164" s="146"/>
      <c r="LBO164" s="146"/>
      <c r="LBP164" s="146"/>
      <c r="LBQ164" s="146"/>
      <c r="LBR164" s="146"/>
      <c r="LBS164" s="146"/>
      <c r="LBT164" s="146"/>
      <c r="LBU164" s="146"/>
      <c r="LBV164" s="146"/>
      <c r="LBW164" s="146"/>
      <c r="LBX164" s="146"/>
      <c r="LBY164" s="146"/>
      <c r="LBZ164" s="146"/>
      <c r="LCA164" s="146"/>
      <c r="LCB164" s="146"/>
      <c r="LCC164" s="146"/>
      <c r="LCD164" s="146"/>
      <c r="LCE164" s="146"/>
      <c r="LCF164" s="146"/>
      <c r="LCG164" s="146"/>
      <c r="LCH164" s="146"/>
      <c r="LCI164" s="146"/>
      <c r="LCJ164" s="146"/>
      <c r="LCK164" s="146"/>
      <c r="LCL164" s="146"/>
      <c r="LCM164" s="146"/>
      <c r="LCN164" s="146"/>
      <c r="LCO164" s="146"/>
      <c r="LCP164" s="146"/>
      <c r="LCQ164" s="146"/>
      <c r="LCR164" s="146"/>
      <c r="LCS164" s="146"/>
      <c r="LCT164" s="146"/>
      <c r="LCU164" s="146"/>
      <c r="LCV164" s="146"/>
      <c r="LCW164" s="146"/>
      <c r="LCX164" s="146"/>
      <c r="LCY164" s="146"/>
      <c r="LCZ164" s="146"/>
      <c r="LDA164" s="146"/>
      <c r="LDB164" s="146"/>
      <c r="LDC164" s="146"/>
      <c r="LDD164" s="146"/>
      <c r="LDE164" s="146"/>
      <c r="LDF164" s="146"/>
      <c r="LDG164" s="146"/>
      <c r="LDH164" s="146"/>
      <c r="LDI164" s="146"/>
      <c r="LDJ164" s="146"/>
      <c r="LDK164" s="146"/>
      <c r="LDL164" s="146"/>
      <c r="LDM164" s="146"/>
      <c r="LDN164" s="146"/>
      <c r="LDO164" s="146"/>
      <c r="LDP164" s="146"/>
      <c r="LDQ164" s="146"/>
      <c r="LDR164" s="146"/>
      <c r="LDS164" s="146"/>
      <c r="LDT164" s="146"/>
      <c r="LDU164" s="146"/>
      <c r="LDV164" s="146"/>
      <c r="LDW164" s="146"/>
      <c r="LDX164" s="146"/>
      <c r="LDY164" s="146"/>
      <c r="LDZ164" s="146"/>
      <c r="LEA164" s="146"/>
      <c r="LEB164" s="146"/>
      <c r="LEC164" s="146"/>
      <c r="LED164" s="146"/>
      <c r="LEE164" s="146"/>
      <c r="LEF164" s="146"/>
      <c r="LEG164" s="146"/>
      <c r="LEH164" s="146"/>
      <c r="LEI164" s="146"/>
      <c r="LEJ164" s="146"/>
      <c r="LEK164" s="146"/>
      <c r="LEL164" s="146"/>
      <c r="LEM164" s="146"/>
      <c r="LEN164" s="146"/>
      <c r="LEO164" s="146"/>
      <c r="LEP164" s="146"/>
      <c r="LEQ164" s="146"/>
      <c r="LER164" s="146"/>
      <c r="LES164" s="146"/>
      <c r="LET164" s="146"/>
      <c r="LEU164" s="146"/>
      <c r="LEV164" s="146"/>
      <c r="LEW164" s="146"/>
      <c r="LEX164" s="146"/>
      <c r="LEY164" s="146"/>
      <c r="LEZ164" s="146"/>
      <c r="LFA164" s="146"/>
      <c r="LFB164" s="146"/>
      <c r="LFC164" s="146"/>
      <c r="LFD164" s="146"/>
      <c r="LFE164" s="146"/>
      <c r="LFF164" s="146"/>
      <c r="LFG164" s="146"/>
      <c r="LFH164" s="146"/>
      <c r="LFI164" s="146"/>
      <c r="LFJ164" s="146"/>
      <c r="LFK164" s="146"/>
      <c r="LFL164" s="146"/>
      <c r="LFM164" s="146"/>
      <c r="LFN164" s="146"/>
      <c r="LFO164" s="146"/>
      <c r="LFP164" s="146"/>
      <c r="LFQ164" s="146"/>
      <c r="LFR164" s="146"/>
      <c r="LFS164" s="146"/>
      <c r="LFT164" s="146"/>
      <c r="LFU164" s="146"/>
      <c r="LFV164" s="146"/>
      <c r="LFW164" s="146"/>
      <c r="LFX164" s="146"/>
      <c r="LFY164" s="146"/>
      <c r="LFZ164" s="146"/>
      <c r="LGA164" s="146"/>
      <c r="LGB164" s="146"/>
      <c r="LGC164" s="146"/>
      <c r="LGD164" s="146"/>
      <c r="LGE164" s="146"/>
      <c r="LGF164" s="146"/>
      <c r="LGG164" s="146"/>
      <c r="LGH164" s="146"/>
      <c r="LGI164" s="146"/>
      <c r="LGJ164" s="146"/>
      <c r="LGK164" s="146"/>
      <c r="LGL164" s="146"/>
      <c r="LGM164" s="146"/>
      <c r="LGN164" s="146"/>
      <c r="LGO164" s="146"/>
      <c r="LGP164" s="146"/>
      <c r="LGQ164" s="146"/>
      <c r="LGR164" s="146"/>
      <c r="LGS164" s="146"/>
      <c r="LGT164" s="146"/>
      <c r="LGU164" s="146"/>
      <c r="LGV164" s="146"/>
      <c r="LGW164" s="146"/>
      <c r="LGX164" s="146"/>
      <c r="LGY164" s="146"/>
      <c r="LGZ164" s="146"/>
      <c r="LHA164" s="146"/>
      <c r="LHB164" s="146"/>
      <c r="LHC164" s="146"/>
      <c r="LHD164" s="146"/>
      <c r="LHE164" s="146"/>
      <c r="LHF164" s="146"/>
      <c r="LHG164" s="146"/>
      <c r="LHH164" s="146"/>
      <c r="LHI164" s="146"/>
      <c r="LHJ164" s="146"/>
      <c r="LHK164" s="146"/>
      <c r="LHL164" s="146"/>
      <c r="LHM164" s="146"/>
      <c r="LHN164" s="146"/>
      <c r="LHO164" s="146"/>
      <c r="LHP164" s="146"/>
      <c r="LHQ164" s="146"/>
      <c r="LHR164" s="146"/>
      <c r="LHS164" s="146"/>
      <c r="LHT164" s="146"/>
      <c r="LHU164" s="146"/>
      <c r="LHV164" s="146"/>
      <c r="LHW164" s="146"/>
      <c r="LHX164" s="146"/>
      <c r="LHY164" s="146"/>
      <c r="LHZ164" s="146"/>
      <c r="LIA164" s="146"/>
      <c r="LIB164" s="146"/>
      <c r="LIC164" s="146"/>
      <c r="LID164" s="146"/>
      <c r="LIE164" s="146"/>
      <c r="LIF164" s="146"/>
      <c r="LIG164" s="146"/>
      <c r="LIH164" s="146"/>
      <c r="LII164" s="146"/>
      <c r="LIJ164" s="146"/>
      <c r="LIK164" s="146"/>
      <c r="LIL164" s="146"/>
      <c r="LIM164" s="146"/>
      <c r="LIN164" s="146"/>
      <c r="LIO164" s="146"/>
      <c r="LIP164" s="146"/>
      <c r="LIQ164" s="146"/>
      <c r="LIR164" s="146"/>
      <c r="LIS164" s="146"/>
      <c r="LIT164" s="146"/>
      <c r="LIU164" s="146"/>
      <c r="LIV164" s="146"/>
      <c r="LIW164" s="146"/>
      <c r="LIX164" s="146"/>
      <c r="LIY164" s="146"/>
      <c r="LIZ164" s="146"/>
      <c r="LJA164" s="146"/>
      <c r="LJB164" s="146"/>
      <c r="LJC164" s="146"/>
      <c r="LJD164" s="146"/>
      <c r="LJE164" s="146"/>
      <c r="LJF164" s="146"/>
      <c r="LJG164" s="146"/>
      <c r="LJH164" s="146"/>
      <c r="LJI164" s="146"/>
      <c r="LJJ164" s="146"/>
      <c r="LJK164" s="146"/>
      <c r="LJL164" s="146"/>
      <c r="LJM164" s="146"/>
      <c r="LJN164" s="146"/>
      <c r="LJO164" s="146"/>
      <c r="LJP164" s="146"/>
      <c r="LJQ164" s="146"/>
      <c r="LJR164" s="146"/>
      <c r="LJS164" s="146"/>
      <c r="LJT164" s="146"/>
      <c r="LJU164" s="146"/>
      <c r="LJV164" s="146"/>
      <c r="LJW164" s="146"/>
      <c r="LJX164" s="146"/>
      <c r="LJY164" s="146"/>
      <c r="LJZ164" s="146"/>
      <c r="LKA164" s="146"/>
      <c r="LKB164" s="146"/>
      <c r="LKC164" s="146"/>
      <c r="LKD164" s="146"/>
      <c r="LKE164" s="146"/>
      <c r="LKF164" s="146"/>
      <c r="LKG164" s="146"/>
      <c r="LKH164" s="146"/>
      <c r="LKI164" s="146"/>
      <c r="LKJ164" s="146"/>
      <c r="LKK164" s="146"/>
      <c r="LKL164" s="146"/>
      <c r="LKM164" s="146"/>
      <c r="LKN164" s="146"/>
      <c r="LKO164" s="146"/>
      <c r="LKP164" s="146"/>
      <c r="LKQ164" s="146"/>
      <c r="LKR164" s="146"/>
      <c r="LKS164" s="146"/>
      <c r="LKT164" s="146"/>
      <c r="LKU164" s="146"/>
      <c r="LKV164" s="146"/>
      <c r="LKW164" s="146"/>
      <c r="LKX164" s="146"/>
      <c r="LKY164" s="146"/>
      <c r="LKZ164" s="146"/>
      <c r="LLA164" s="146"/>
      <c r="LLB164" s="146"/>
      <c r="LLC164" s="146"/>
      <c r="LLD164" s="146"/>
      <c r="LLE164" s="146"/>
      <c r="LLF164" s="146"/>
      <c r="LLG164" s="146"/>
      <c r="LLH164" s="146"/>
      <c r="LLI164" s="146"/>
      <c r="LLJ164" s="146"/>
      <c r="LLK164" s="146"/>
      <c r="LLL164" s="146"/>
      <c r="LLM164" s="146"/>
      <c r="LLN164" s="146"/>
      <c r="LLO164" s="146"/>
      <c r="LLP164" s="146"/>
      <c r="LLQ164" s="146"/>
      <c r="LLR164" s="146"/>
      <c r="LLS164" s="146"/>
      <c r="LLT164" s="146"/>
      <c r="LLU164" s="146"/>
      <c r="LLV164" s="146"/>
      <c r="LLW164" s="146"/>
      <c r="LLX164" s="146"/>
      <c r="LLY164" s="146"/>
      <c r="LLZ164" s="146"/>
      <c r="LMA164" s="146"/>
      <c r="LMB164" s="146"/>
      <c r="LMC164" s="146"/>
      <c r="LMD164" s="146"/>
      <c r="LME164" s="146"/>
      <c r="LMF164" s="146"/>
      <c r="LMG164" s="146"/>
      <c r="LMH164" s="146"/>
      <c r="LMI164" s="146"/>
      <c r="LMJ164" s="146"/>
      <c r="LMK164" s="146"/>
      <c r="LML164" s="146"/>
      <c r="LMM164" s="146"/>
      <c r="LMN164" s="146"/>
      <c r="LMO164" s="146"/>
      <c r="LMP164" s="146"/>
      <c r="LMQ164" s="146"/>
      <c r="LMR164" s="146"/>
      <c r="LMS164" s="146"/>
      <c r="LMT164" s="146"/>
      <c r="LMU164" s="146"/>
      <c r="LMV164" s="146"/>
      <c r="LMW164" s="146"/>
      <c r="LMX164" s="146"/>
      <c r="LMY164" s="146"/>
      <c r="LMZ164" s="146"/>
      <c r="LNA164" s="146"/>
      <c r="LNB164" s="146"/>
      <c r="LNC164" s="146"/>
      <c r="LND164" s="146"/>
      <c r="LNE164" s="146"/>
      <c r="LNF164" s="146"/>
      <c r="LNG164" s="146"/>
      <c r="LNH164" s="146"/>
      <c r="LNI164" s="146"/>
      <c r="LNJ164" s="146"/>
      <c r="LNK164" s="146"/>
      <c r="LNL164" s="146"/>
      <c r="LNM164" s="146"/>
      <c r="LNN164" s="146"/>
      <c r="LNO164" s="146"/>
      <c r="LNP164" s="146"/>
      <c r="LNQ164" s="146"/>
      <c r="LNR164" s="146"/>
      <c r="LNS164" s="146"/>
      <c r="LNT164" s="146"/>
      <c r="LNU164" s="146"/>
      <c r="LNV164" s="146"/>
      <c r="LNW164" s="146"/>
      <c r="LNX164" s="146"/>
      <c r="LNY164" s="146"/>
      <c r="LNZ164" s="146"/>
      <c r="LOA164" s="146"/>
      <c r="LOB164" s="146"/>
      <c r="LOC164" s="146"/>
      <c r="LOD164" s="146"/>
      <c r="LOE164" s="146"/>
      <c r="LOF164" s="146"/>
      <c r="LOG164" s="146"/>
      <c r="LOH164" s="146"/>
      <c r="LOI164" s="146"/>
      <c r="LOJ164" s="146"/>
      <c r="LOK164" s="146"/>
      <c r="LOL164" s="146"/>
      <c r="LOM164" s="146"/>
      <c r="LON164" s="146"/>
      <c r="LOO164" s="146"/>
      <c r="LOP164" s="146"/>
      <c r="LOQ164" s="146"/>
      <c r="LOR164" s="146"/>
      <c r="LOS164" s="146"/>
      <c r="LOT164" s="146"/>
      <c r="LOU164" s="146"/>
      <c r="LOV164" s="146"/>
      <c r="LOW164" s="146"/>
      <c r="LOX164" s="146"/>
      <c r="LOY164" s="146"/>
      <c r="LOZ164" s="146"/>
      <c r="LPA164" s="146"/>
      <c r="LPB164" s="146"/>
      <c r="LPC164" s="146"/>
      <c r="LPD164" s="146"/>
      <c r="LPE164" s="146"/>
      <c r="LPF164" s="146"/>
      <c r="LPG164" s="146"/>
      <c r="LPH164" s="146"/>
      <c r="LPI164" s="146"/>
      <c r="LPJ164" s="146"/>
      <c r="LPK164" s="146"/>
      <c r="LPL164" s="146"/>
      <c r="LPM164" s="146"/>
      <c r="LPN164" s="146"/>
      <c r="LPO164" s="146"/>
      <c r="LPP164" s="146"/>
      <c r="LPQ164" s="146"/>
      <c r="LPR164" s="146"/>
      <c r="LPS164" s="146"/>
      <c r="LPT164" s="146"/>
      <c r="LPU164" s="146"/>
      <c r="LPV164" s="146"/>
      <c r="LPW164" s="146"/>
      <c r="LPX164" s="146"/>
      <c r="LPY164" s="146"/>
      <c r="LPZ164" s="146"/>
      <c r="LQA164" s="146"/>
      <c r="LQB164" s="146"/>
      <c r="LQC164" s="146"/>
      <c r="LQD164" s="146"/>
      <c r="LQE164" s="146"/>
      <c r="LQF164" s="146"/>
      <c r="LQG164" s="146"/>
      <c r="LQH164" s="146"/>
      <c r="LQI164" s="146"/>
      <c r="LQJ164" s="146"/>
      <c r="LQK164" s="146"/>
      <c r="LQL164" s="146"/>
      <c r="LQM164" s="146"/>
      <c r="LQN164" s="146"/>
      <c r="LQO164" s="146"/>
      <c r="LQP164" s="146"/>
      <c r="LQQ164" s="146"/>
      <c r="LQR164" s="146"/>
      <c r="LQS164" s="146"/>
      <c r="LQT164" s="146"/>
      <c r="LQU164" s="146"/>
      <c r="LQV164" s="146"/>
      <c r="LQW164" s="146"/>
      <c r="LQX164" s="146"/>
      <c r="LQY164" s="146"/>
      <c r="LQZ164" s="146"/>
      <c r="LRA164" s="146"/>
      <c r="LRB164" s="146"/>
      <c r="LRC164" s="146"/>
      <c r="LRD164" s="146"/>
      <c r="LRE164" s="146"/>
      <c r="LRF164" s="146"/>
      <c r="LRG164" s="146"/>
      <c r="LRH164" s="146"/>
      <c r="LRI164" s="146"/>
      <c r="LRJ164" s="146"/>
      <c r="LRK164" s="146"/>
      <c r="LRL164" s="146"/>
      <c r="LRM164" s="146"/>
      <c r="LRN164" s="146"/>
      <c r="LRO164" s="146"/>
      <c r="LRP164" s="146"/>
      <c r="LRQ164" s="146"/>
      <c r="LRR164" s="146"/>
      <c r="LRS164" s="146"/>
      <c r="LRT164" s="146"/>
      <c r="LRU164" s="146"/>
      <c r="LRV164" s="146"/>
      <c r="LRW164" s="146"/>
      <c r="LRX164" s="146"/>
      <c r="LRY164" s="146"/>
      <c r="LRZ164" s="146"/>
      <c r="LSA164" s="146"/>
      <c r="LSB164" s="146"/>
      <c r="LSC164" s="146"/>
      <c r="LSD164" s="146"/>
      <c r="LSE164" s="146"/>
      <c r="LSF164" s="146"/>
      <c r="LSG164" s="146"/>
      <c r="LSH164" s="146"/>
      <c r="LSI164" s="146"/>
      <c r="LSJ164" s="146"/>
      <c r="LSK164" s="146"/>
      <c r="LSL164" s="146"/>
      <c r="LSM164" s="146"/>
      <c r="LSN164" s="146"/>
      <c r="LSO164" s="146"/>
      <c r="LSP164" s="146"/>
      <c r="LSQ164" s="146"/>
      <c r="LSR164" s="146"/>
      <c r="LSS164" s="146"/>
      <c r="LST164" s="146"/>
      <c r="LSU164" s="146"/>
      <c r="LSV164" s="146"/>
      <c r="LSW164" s="146"/>
      <c r="LSX164" s="146"/>
      <c r="LSY164" s="146"/>
      <c r="LSZ164" s="146"/>
      <c r="LTA164" s="146"/>
      <c r="LTB164" s="146"/>
      <c r="LTC164" s="146"/>
      <c r="LTD164" s="146"/>
      <c r="LTE164" s="146"/>
      <c r="LTF164" s="146"/>
      <c r="LTG164" s="146"/>
      <c r="LTH164" s="146"/>
      <c r="LTI164" s="146"/>
      <c r="LTJ164" s="146"/>
      <c r="LTK164" s="146"/>
      <c r="LTL164" s="146"/>
      <c r="LTM164" s="146"/>
      <c r="LTN164" s="146"/>
      <c r="LTO164" s="146"/>
      <c r="LTP164" s="146"/>
      <c r="LTQ164" s="146"/>
      <c r="LTR164" s="146"/>
      <c r="LTS164" s="146"/>
      <c r="LTT164" s="146"/>
      <c r="LTU164" s="146"/>
      <c r="LTV164" s="146"/>
      <c r="LTW164" s="146"/>
      <c r="LTX164" s="146"/>
      <c r="LTY164" s="146"/>
      <c r="LTZ164" s="146"/>
      <c r="LUA164" s="146"/>
      <c r="LUB164" s="146"/>
      <c r="LUC164" s="146"/>
      <c r="LUD164" s="146"/>
      <c r="LUE164" s="146"/>
      <c r="LUF164" s="146"/>
      <c r="LUG164" s="146"/>
      <c r="LUH164" s="146"/>
      <c r="LUI164" s="146"/>
      <c r="LUJ164" s="146"/>
      <c r="LUK164" s="146"/>
      <c r="LUL164" s="146"/>
      <c r="LUM164" s="146"/>
      <c r="LUN164" s="146"/>
      <c r="LUO164" s="146"/>
      <c r="LUP164" s="146"/>
      <c r="LUQ164" s="146"/>
      <c r="LUR164" s="146"/>
      <c r="LUS164" s="146"/>
      <c r="LUT164" s="146"/>
      <c r="LUU164" s="146"/>
      <c r="LUV164" s="146"/>
      <c r="LUW164" s="146"/>
      <c r="LUX164" s="146"/>
      <c r="LUY164" s="146"/>
      <c r="LUZ164" s="146"/>
      <c r="LVA164" s="146"/>
      <c r="LVB164" s="146"/>
      <c r="LVC164" s="146"/>
      <c r="LVD164" s="146"/>
      <c r="LVE164" s="146"/>
      <c r="LVF164" s="146"/>
      <c r="LVG164" s="146"/>
      <c r="LVH164" s="146"/>
      <c r="LVI164" s="146"/>
      <c r="LVJ164" s="146"/>
      <c r="LVK164" s="146"/>
      <c r="LVL164" s="146"/>
      <c r="LVM164" s="146"/>
      <c r="LVN164" s="146"/>
      <c r="LVO164" s="146"/>
      <c r="LVP164" s="146"/>
      <c r="LVQ164" s="146"/>
      <c r="LVR164" s="146"/>
      <c r="LVS164" s="146"/>
      <c r="LVT164" s="146"/>
      <c r="LVU164" s="146"/>
      <c r="LVV164" s="146"/>
      <c r="LVW164" s="146"/>
      <c r="LVX164" s="146"/>
      <c r="LVY164" s="146"/>
      <c r="LVZ164" s="146"/>
      <c r="LWA164" s="146"/>
      <c r="LWB164" s="146"/>
      <c r="LWC164" s="146"/>
      <c r="LWD164" s="146"/>
      <c r="LWE164" s="146"/>
      <c r="LWF164" s="146"/>
      <c r="LWG164" s="146"/>
      <c r="LWH164" s="146"/>
      <c r="LWI164" s="146"/>
      <c r="LWJ164" s="146"/>
      <c r="LWK164" s="146"/>
      <c r="LWL164" s="146"/>
      <c r="LWM164" s="146"/>
      <c r="LWN164" s="146"/>
      <c r="LWO164" s="146"/>
      <c r="LWP164" s="146"/>
      <c r="LWQ164" s="146"/>
      <c r="LWR164" s="146"/>
      <c r="LWS164" s="146"/>
      <c r="LWT164" s="146"/>
      <c r="LWU164" s="146"/>
      <c r="LWV164" s="146"/>
      <c r="LWW164" s="146"/>
      <c r="LWX164" s="146"/>
      <c r="LWY164" s="146"/>
      <c r="LWZ164" s="146"/>
      <c r="LXA164" s="146"/>
      <c r="LXB164" s="146"/>
      <c r="LXC164" s="146"/>
      <c r="LXD164" s="146"/>
      <c r="LXE164" s="146"/>
      <c r="LXF164" s="146"/>
      <c r="LXG164" s="146"/>
      <c r="LXH164" s="146"/>
      <c r="LXI164" s="146"/>
      <c r="LXJ164" s="146"/>
      <c r="LXK164" s="146"/>
      <c r="LXL164" s="146"/>
      <c r="LXM164" s="146"/>
      <c r="LXN164" s="146"/>
      <c r="LXO164" s="146"/>
      <c r="LXP164" s="146"/>
      <c r="LXQ164" s="146"/>
      <c r="LXR164" s="146"/>
      <c r="LXS164" s="146"/>
      <c r="LXT164" s="146"/>
      <c r="LXU164" s="146"/>
      <c r="LXV164" s="146"/>
      <c r="LXW164" s="146"/>
      <c r="LXX164" s="146"/>
      <c r="LXY164" s="146"/>
      <c r="LXZ164" s="146"/>
      <c r="LYA164" s="146"/>
      <c r="LYB164" s="146"/>
      <c r="LYC164" s="146"/>
      <c r="LYD164" s="146"/>
      <c r="LYE164" s="146"/>
      <c r="LYF164" s="146"/>
      <c r="LYG164" s="146"/>
      <c r="LYH164" s="146"/>
      <c r="LYI164" s="146"/>
      <c r="LYJ164" s="146"/>
      <c r="LYK164" s="146"/>
      <c r="LYL164" s="146"/>
      <c r="LYM164" s="146"/>
      <c r="LYN164" s="146"/>
      <c r="LYO164" s="146"/>
      <c r="LYP164" s="146"/>
      <c r="LYQ164" s="146"/>
      <c r="LYR164" s="146"/>
      <c r="LYS164" s="146"/>
      <c r="LYT164" s="146"/>
      <c r="LYU164" s="146"/>
      <c r="LYV164" s="146"/>
      <c r="LYW164" s="146"/>
      <c r="LYX164" s="146"/>
      <c r="LYY164" s="146"/>
      <c r="LYZ164" s="146"/>
      <c r="LZA164" s="146"/>
      <c r="LZB164" s="146"/>
      <c r="LZC164" s="146"/>
      <c r="LZD164" s="146"/>
      <c r="LZE164" s="146"/>
      <c r="LZF164" s="146"/>
      <c r="LZG164" s="146"/>
      <c r="LZH164" s="146"/>
      <c r="LZI164" s="146"/>
      <c r="LZJ164" s="146"/>
      <c r="LZK164" s="146"/>
      <c r="LZL164" s="146"/>
      <c r="LZM164" s="146"/>
      <c r="LZN164" s="146"/>
      <c r="LZO164" s="146"/>
      <c r="LZP164" s="146"/>
      <c r="LZQ164" s="146"/>
      <c r="LZR164" s="146"/>
      <c r="LZS164" s="146"/>
      <c r="LZT164" s="146"/>
      <c r="LZU164" s="146"/>
      <c r="LZV164" s="146"/>
      <c r="LZW164" s="146"/>
      <c r="LZX164" s="146"/>
      <c r="LZY164" s="146"/>
      <c r="LZZ164" s="146"/>
      <c r="MAA164" s="146"/>
      <c r="MAB164" s="146"/>
      <c r="MAC164" s="146"/>
      <c r="MAD164" s="146"/>
      <c r="MAE164" s="146"/>
      <c r="MAF164" s="146"/>
      <c r="MAG164" s="146"/>
      <c r="MAH164" s="146"/>
      <c r="MAI164" s="146"/>
      <c r="MAJ164" s="146"/>
      <c r="MAK164" s="146"/>
      <c r="MAL164" s="146"/>
      <c r="MAM164" s="146"/>
      <c r="MAN164" s="146"/>
      <c r="MAO164" s="146"/>
      <c r="MAP164" s="146"/>
      <c r="MAQ164" s="146"/>
      <c r="MAR164" s="146"/>
      <c r="MAS164" s="146"/>
      <c r="MAT164" s="146"/>
      <c r="MAU164" s="146"/>
      <c r="MAV164" s="146"/>
      <c r="MAW164" s="146"/>
      <c r="MAX164" s="146"/>
      <c r="MAY164" s="146"/>
      <c r="MAZ164" s="146"/>
      <c r="MBA164" s="146"/>
      <c r="MBB164" s="146"/>
      <c r="MBC164" s="146"/>
      <c r="MBD164" s="146"/>
      <c r="MBE164" s="146"/>
      <c r="MBF164" s="146"/>
      <c r="MBG164" s="146"/>
      <c r="MBH164" s="146"/>
      <c r="MBI164" s="146"/>
      <c r="MBJ164" s="146"/>
      <c r="MBK164" s="146"/>
      <c r="MBL164" s="146"/>
      <c r="MBM164" s="146"/>
      <c r="MBN164" s="146"/>
      <c r="MBO164" s="146"/>
      <c r="MBP164" s="146"/>
      <c r="MBQ164" s="146"/>
      <c r="MBR164" s="146"/>
      <c r="MBS164" s="146"/>
      <c r="MBT164" s="146"/>
      <c r="MBU164" s="146"/>
      <c r="MBV164" s="146"/>
      <c r="MBW164" s="146"/>
      <c r="MBX164" s="146"/>
      <c r="MBY164" s="146"/>
      <c r="MBZ164" s="146"/>
      <c r="MCA164" s="146"/>
      <c r="MCB164" s="146"/>
      <c r="MCC164" s="146"/>
      <c r="MCD164" s="146"/>
      <c r="MCE164" s="146"/>
      <c r="MCF164" s="146"/>
      <c r="MCG164" s="146"/>
      <c r="MCH164" s="146"/>
      <c r="MCI164" s="146"/>
      <c r="MCJ164" s="146"/>
      <c r="MCK164" s="146"/>
      <c r="MCL164" s="146"/>
      <c r="MCM164" s="146"/>
      <c r="MCN164" s="146"/>
      <c r="MCO164" s="146"/>
      <c r="MCP164" s="146"/>
      <c r="MCQ164" s="146"/>
      <c r="MCR164" s="146"/>
      <c r="MCS164" s="146"/>
      <c r="MCT164" s="146"/>
      <c r="MCU164" s="146"/>
      <c r="MCV164" s="146"/>
      <c r="MCW164" s="146"/>
      <c r="MCX164" s="146"/>
      <c r="MCY164" s="146"/>
      <c r="MCZ164" s="146"/>
      <c r="MDA164" s="146"/>
      <c r="MDB164" s="146"/>
      <c r="MDC164" s="146"/>
      <c r="MDD164" s="146"/>
      <c r="MDE164" s="146"/>
      <c r="MDF164" s="146"/>
      <c r="MDG164" s="146"/>
      <c r="MDH164" s="146"/>
      <c r="MDI164" s="146"/>
      <c r="MDJ164" s="146"/>
      <c r="MDK164" s="146"/>
      <c r="MDL164" s="146"/>
      <c r="MDM164" s="146"/>
      <c r="MDN164" s="146"/>
      <c r="MDO164" s="146"/>
      <c r="MDP164" s="146"/>
      <c r="MDQ164" s="146"/>
      <c r="MDR164" s="146"/>
      <c r="MDS164" s="146"/>
      <c r="MDT164" s="146"/>
      <c r="MDU164" s="146"/>
      <c r="MDV164" s="146"/>
      <c r="MDW164" s="146"/>
      <c r="MDX164" s="146"/>
      <c r="MDY164" s="146"/>
      <c r="MDZ164" s="146"/>
      <c r="MEA164" s="146"/>
      <c r="MEB164" s="146"/>
      <c r="MEC164" s="146"/>
      <c r="MED164" s="146"/>
      <c r="MEE164" s="146"/>
      <c r="MEF164" s="146"/>
      <c r="MEG164" s="146"/>
      <c r="MEH164" s="146"/>
      <c r="MEI164" s="146"/>
      <c r="MEJ164" s="146"/>
      <c r="MEK164" s="146"/>
      <c r="MEL164" s="146"/>
      <c r="MEM164" s="146"/>
      <c r="MEN164" s="146"/>
      <c r="MEO164" s="146"/>
      <c r="MEP164" s="146"/>
      <c r="MEQ164" s="146"/>
      <c r="MER164" s="146"/>
      <c r="MES164" s="146"/>
      <c r="MET164" s="146"/>
      <c r="MEU164" s="146"/>
      <c r="MEV164" s="146"/>
      <c r="MEW164" s="146"/>
      <c r="MEX164" s="146"/>
      <c r="MEY164" s="146"/>
      <c r="MEZ164" s="146"/>
      <c r="MFA164" s="146"/>
      <c r="MFB164" s="146"/>
      <c r="MFC164" s="146"/>
      <c r="MFD164" s="146"/>
      <c r="MFE164" s="146"/>
      <c r="MFF164" s="146"/>
      <c r="MFG164" s="146"/>
      <c r="MFH164" s="146"/>
      <c r="MFI164" s="146"/>
      <c r="MFJ164" s="146"/>
      <c r="MFK164" s="146"/>
      <c r="MFL164" s="146"/>
      <c r="MFM164" s="146"/>
      <c r="MFN164" s="146"/>
      <c r="MFO164" s="146"/>
      <c r="MFP164" s="146"/>
      <c r="MFQ164" s="146"/>
      <c r="MFR164" s="146"/>
      <c r="MFS164" s="146"/>
      <c r="MFT164" s="146"/>
      <c r="MFU164" s="146"/>
      <c r="MFV164" s="146"/>
      <c r="MFW164" s="146"/>
      <c r="MFX164" s="146"/>
      <c r="MFY164" s="146"/>
      <c r="MFZ164" s="146"/>
      <c r="MGA164" s="146"/>
      <c r="MGB164" s="146"/>
      <c r="MGC164" s="146"/>
      <c r="MGD164" s="146"/>
      <c r="MGE164" s="146"/>
      <c r="MGF164" s="146"/>
      <c r="MGG164" s="146"/>
      <c r="MGH164" s="146"/>
      <c r="MGI164" s="146"/>
      <c r="MGJ164" s="146"/>
      <c r="MGK164" s="146"/>
      <c r="MGL164" s="146"/>
      <c r="MGM164" s="146"/>
      <c r="MGN164" s="146"/>
      <c r="MGO164" s="146"/>
      <c r="MGP164" s="146"/>
      <c r="MGQ164" s="146"/>
      <c r="MGR164" s="146"/>
      <c r="MGS164" s="146"/>
      <c r="MGT164" s="146"/>
      <c r="MGU164" s="146"/>
      <c r="MGV164" s="146"/>
      <c r="MGW164" s="146"/>
      <c r="MGX164" s="146"/>
      <c r="MGY164" s="146"/>
      <c r="MGZ164" s="146"/>
      <c r="MHA164" s="146"/>
      <c r="MHB164" s="146"/>
      <c r="MHC164" s="146"/>
      <c r="MHD164" s="146"/>
      <c r="MHE164" s="146"/>
      <c r="MHF164" s="146"/>
      <c r="MHG164" s="146"/>
      <c r="MHH164" s="146"/>
      <c r="MHI164" s="146"/>
      <c r="MHJ164" s="146"/>
      <c r="MHK164" s="146"/>
      <c r="MHL164" s="146"/>
      <c r="MHM164" s="146"/>
      <c r="MHN164" s="146"/>
      <c r="MHO164" s="146"/>
      <c r="MHP164" s="146"/>
      <c r="MHQ164" s="146"/>
      <c r="MHR164" s="146"/>
      <c r="MHS164" s="146"/>
      <c r="MHT164" s="146"/>
      <c r="MHU164" s="146"/>
      <c r="MHV164" s="146"/>
      <c r="MHW164" s="146"/>
      <c r="MHX164" s="146"/>
      <c r="MHY164" s="146"/>
      <c r="MHZ164" s="146"/>
      <c r="MIA164" s="146"/>
      <c r="MIB164" s="146"/>
      <c r="MIC164" s="146"/>
      <c r="MID164" s="146"/>
      <c r="MIE164" s="146"/>
      <c r="MIF164" s="146"/>
      <c r="MIG164" s="146"/>
      <c r="MIH164" s="146"/>
      <c r="MII164" s="146"/>
      <c r="MIJ164" s="146"/>
      <c r="MIK164" s="146"/>
      <c r="MIL164" s="146"/>
      <c r="MIM164" s="146"/>
      <c r="MIN164" s="146"/>
      <c r="MIO164" s="146"/>
      <c r="MIP164" s="146"/>
      <c r="MIQ164" s="146"/>
      <c r="MIR164" s="146"/>
      <c r="MIS164" s="146"/>
      <c r="MIT164" s="146"/>
      <c r="MIU164" s="146"/>
      <c r="MIV164" s="146"/>
      <c r="MIW164" s="146"/>
      <c r="MIX164" s="146"/>
      <c r="MIY164" s="146"/>
      <c r="MIZ164" s="146"/>
      <c r="MJA164" s="146"/>
      <c r="MJB164" s="146"/>
      <c r="MJC164" s="146"/>
      <c r="MJD164" s="146"/>
      <c r="MJE164" s="146"/>
      <c r="MJF164" s="146"/>
      <c r="MJG164" s="146"/>
      <c r="MJH164" s="146"/>
      <c r="MJI164" s="146"/>
      <c r="MJJ164" s="146"/>
      <c r="MJK164" s="146"/>
      <c r="MJL164" s="146"/>
      <c r="MJM164" s="146"/>
      <c r="MJN164" s="146"/>
      <c r="MJO164" s="146"/>
      <c r="MJP164" s="146"/>
      <c r="MJQ164" s="146"/>
      <c r="MJR164" s="146"/>
      <c r="MJS164" s="146"/>
      <c r="MJT164" s="146"/>
      <c r="MJU164" s="146"/>
      <c r="MJV164" s="146"/>
      <c r="MJW164" s="146"/>
      <c r="MJX164" s="146"/>
      <c r="MJY164" s="146"/>
      <c r="MJZ164" s="146"/>
      <c r="MKA164" s="146"/>
      <c r="MKB164" s="146"/>
      <c r="MKC164" s="146"/>
      <c r="MKD164" s="146"/>
      <c r="MKE164" s="146"/>
      <c r="MKF164" s="146"/>
      <c r="MKG164" s="146"/>
      <c r="MKH164" s="146"/>
      <c r="MKI164" s="146"/>
      <c r="MKJ164" s="146"/>
      <c r="MKK164" s="146"/>
      <c r="MKL164" s="146"/>
      <c r="MKM164" s="146"/>
      <c r="MKN164" s="146"/>
      <c r="MKO164" s="146"/>
      <c r="MKP164" s="146"/>
      <c r="MKQ164" s="146"/>
      <c r="MKR164" s="146"/>
      <c r="MKS164" s="146"/>
      <c r="MKT164" s="146"/>
      <c r="MKU164" s="146"/>
      <c r="MKV164" s="146"/>
      <c r="MKW164" s="146"/>
      <c r="MKX164" s="146"/>
      <c r="MKY164" s="146"/>
      <c r="MKZ164" s="146"/>
      <c r="MLA164" s="146"/>
      <c r="MLB164" s="146"/>
      <c r="MLC164" s="146"/>
      <c r="MLD164" s="146"/>
      <c r="MLE164" s="146"/>
      <c r="MLF164" s="146"/>
      <c r="MLG164" s="146"/>
      <c r="MLH164" s="146"/>
      <c r="MLI164" s="146"/>
      <c r="MLJ164" s="146"/>
      <c r="MLK164" s="146"/>
      <c r="MLL164" s="146"/>
      <c r="MLM164" s="146"/>
      <c r="MLN164" s="146"/>
      <c r="MLO164" s="146"/>
      <c r="MLP164" s="146"/>
      <c r="MLQ164" s="146"/>
      <c r="MLR164" s="146"/>
      <c r="MLS164" s="146"/>
      <c r="MLT164" s="146"/>
      <c r="MLU164" s="146"/>
      <c r="MLV164" s="146"/>
      <c r="MLW164" s="146"/>
      <c r="MLX164" s="146"/>
      <c r="MLY164" s="146"/>
      <c r="MLZ164" s="146"/>
      <c r="MMA164" s="146"/>
      <c r="MMB164" s="146"/>
      <c r="MMC164" s="146"/>
      <c r="MMD164" s="146"/>
      <c r="MME164" s="146"/>
      <c r="MMF164" s="146"/>
      <c r="MMG164" s="146"/>
      <c r="MMH164" s="146"/>
      <c r="MMI164" s="146"/>
      <c r="MMJ164" s="146"/>
      <c r="MMK164" s="146"/>
      <c r="MML164" s="146"/>
      <c r="MMM164" s="146"/>
      <c r="MMN164" s="146"/>
      <c r="MMO164" s="146"/>
      <c r="MMP164" s="146"/>
      <c r="MMQ164" s="146"/>
      <c r="MMR164" s="146"/>
      <c r="MMS164" s="146"/>
      <c r="MMT164" s="146"/>
      <c r="MMU164" s="146"/>
      <c r="MMV164" s="146"/>
      <c r="MMW164" s="146"/>
      <c r="MMX164" s="146"/>
      <c r="MMY164" s="146"/>
      <c r="MMZ164" s="146"/>
      <c r="MNA164" s="146"/>
      <c r="MNB164" s="146"/>
      <c r="MNC164" s="146"/>
      <c r="MND164" s="146"/>
      <c r="MNE164" s="146"/>
      <c r="MNF164" s="146"/>
      <c r="MNG164" s="146"/>
      <c r="MNH164" s="146"/>
      <c r="MNI164" s="146"/>
      <c r="MNJ164" s="146"/>
      <c r="MNK164" s="146"/>
      <c r="MNL164" s="146"/>
      <c r="MNM164" s="146"/>
      <c r="MNN164" s="146"/>
      <c r="MNO164" s="146"/>
      <c r="MNP164" s="146"/>
      <c r="MNQ164" s="146"/>
      <c r="MNR164" s="146"/>
      <c r="MNS164" s="146"/>
      <c r="MNT164" s="146"/>
      <c r="MNU164" s="146"/>
      <c r="MNV164" s="146"/>
      <c r="MNW164" s="146"/>
      <c r="MNX164" s="146"/>
      <c r="MNY164" s="146"/>
      <c r="MNZ164" s="146"/>
      <c r="MOA164" s="146"/>
      <c r="MOB164" s="146"/>
      <c r="MOC164" s="146"/>
      <c r="MOD164" s="146"/>
      <c r="MOE164" s="146"/>
      <c r="MOF164" s="146"/>
      <c r="MOG164" s="146"/>
      <c r="MOH164" s="146"/>
      <c r="MOI164" s="146"/>
      <c r="MOJ164" s="146"/>
      <c r="MOK164" s="146"/>
      <c r="MOL164" s="146"/>
      <c r="MOM164" s="146"/>
      <c r="MON164" s="146"/>
      <c r="MOO164" s="146"/>
      <c r="MOP164" s="146"/>
      <c r="MOQ164" s="146"/>
      <c r="MOR164" s="146"/>
      <c r="MOS164" s="146"/>
      <c r="MOT164" s="146"/>
      <c r="MOU164" s="146"/>
      <c r="MOV164" s="146"/>
      <c r="MOW164" s="146"/>
      <c r="MOX164" s="146"/>
      <c r="MOY164" s="146"/>
      <c r="MOZ164" s="146"/>
      <c r="MPA164" s="146"/>
      <c r="MPB164" s="146"/>
      <c r="MPC164" s="146"/>
      <c r="MPD164" s="146"/>
      <c r="MPE164" s="146"/>
      <c r="MPF164" s="146"/>
      <c r="MPG164" s="146"/>
      <c r="MPH164" s="146"/>
      <c r="MPI164" s="146"/>
      <c r="MPJ164" s="146"/>
      <c r="MPK164" s="146"/>
      <c r="MPL164" s="146"/>
      <c r="MPM164" s="146"/>
      <c r="MPN164" s="146"/>
      <c r="MPO164" s="146"/>
      <c r="MPP164" s="146"/>
      <c r="MPQ164" s="146"/>
      <c r="MPR164" s="146"/>
      <c r="MPS164" s="146"/>
      <c r="MPT164" s="146"/>
      <c r="MPU164" s="146"/>
      <c r="MPV164" s="146"/>
      <c r="MPW164" s="146"/>
      <c r="MPX164" s="146"/>
      <c r="MPY164" s="146"/>
      <c r="MPZ164" s="146"/>
      <c r="MQA164" s="146"/>
      <c r="MQB164" s="146"/>
      <c r="MQC164" s="146"/>
      <c r="MQD164" s="146"/>
      <c r="MQE164" s="146"/>
      <c r="MQF164" s="146"/>
      <c r="MQG164" s="146"/>
      <c r="MQH164" s="146"/>
      <c r="MQI164" s="146"/>
      <c r="MQJ164" s="146"/>
      <c r="MQK164" s="146"/>
      <c r="MQL164" s="146"/>
      <c r="MQM164" s="146"/>
      <c r="MQN164" s="146"/>
      <c r="MQO164" s="146"/>
      <c r="MQP164" s="146"/>
      <c r="MQQ164" s="146"/>
      <c r="MQR164" s="146"/>
      <c r="MQS164" s="146"/>
      <c r="MQT164" s="146"/>
      <c r="MQU164" s="146"/>
      <c r="MQV164" s="146"/>
      <c r="MQW164" s="146"/>
      <c r="MQX164" s="146"/>
      <c r="MQY164" s="146"/>
      <c r="MQZ164" s="146"/>
      <c r="MRA164" s="146"/>
      <c r="MRB164" s="146"/>
      <c r="MRC164" s="146"/>
      <c r="MRD164" s="146"/>
      <c r="MRE164" s="146"/>
      <c r="MRF164" s="146"/>
      <c r="MRG164" s="146"/>
      <c r="MRH164" s="146"/>
      <c r="MRI164" s="146"/>
      <c r="MRJ164" s="146"/>
      <c r="MRK164" s="146"/>
      <c r="MRL164" s="146"/>
      <c r="MRM164" s="146"/>
      <c r="MRN164" s="146"/>
      <c r="MRO164" s="146"/>
      <c r="MRP164" s="146"/>
      <c r="MRQ164" s="146"/>
      <c r="MRR164" s="146"/>
      <c r="MRS164" s="146"/>
      <c r="MRT164" s="146"/>
      <c r="MRU164" s="146"/>
      <c r="MRV164" s="146"/>
      <c r="MRW164" s="146"/>
      <c r="MRX164" s="146"/>
      <c r="MRY164" s="146"/>
      <c r="MRZ164" s="146"/>
      <c r="MSA164" s="146"/>
      <c r="MSB164" s="146"/>
      <c r="MSC164" s="146"/>
      <c r="MSD164" s="146"/>
      <c r="MSE164" s="146"/>
      <c r="MSF164" s="146"/>
      <c r="MSG164" s="146"/>
      <c r="MSH164" s="146"/>
      <c r="MSI164" s="146"/>
      <c r="MSJ164" s="146"/>
      <c r="MSK164" s="146"/>
      <c r="MSL164" s="146"/>
      <c r="MSM164" s="146"/>
      <c r="MSN164" s="146"/>
      <c r="MSO164" s="146"/>
      <c r="MSP164" s="146"/>
      <c r="MSQ164" s="146"/>
      <c r="MSR164" s="146"/>
      <c r="MSS164" s="146"/>
      <c r="MST164" s="146"/>
      <c r="MSU164" s="146"/>
      <c r="MSV164" s="146"/>
      <c r="MSW164" s="146"/>
      <c r="MSX164" s="146"/>
      <c r="MSY164" s="146"/>
      <c r="MSZ164" s="146"/>
      <c r="MTA164" s="146"/>
      <c r="MTB164" s="146"/>
      <c r="MTC164" s="146"/>
      <c r="MTD164" s="146"/>
      <c r="MTE164" s="146"/>
      <c r="MTF164" s="146"/>
      <c r="MTG164" s="146"/>
      <c r="MTH164" s="146"/>
      <c r="MTI164" s="146"/>
      <c r="MTJ164" s="146"/>
      <c r="MTK164" s="146"/>
      <c r="MTL164" s="146"/>
      <c r="MTM164" s="146"/>
      <c r="MTN164" s="146"/>
      <c r="MTO164" s="146"/>
      <c r="MTP164" s="146"/>
      <c r="MTQ164" s="146"/>
      <c r="MTR164" s="146"/>
      <c r="MTS164" s="146"/>
      <c r="MTT164" s="146"/>
      <c r="MTU164" s="146"/>
      <c r="MTV164" s="146"/>
      <c r="MTW164" s="146"/>
      <c r="MTX164" s="146"/>
      <c r="MTY164" s="146"/>
      <c r="MTZ164" s="146"/>
      <c r="MUA164" s="146"/>
      <c r="MUB164" s="146"/>
      <c r="MUC164" s="146"/>
      <c r="MUD164" s="146"/>
      <c r="MUE164" s="146"/>
      <c r="MUF164" s="146"/>
      <c r="MUG164" s="146"/>
      <c r="MUH164" s="146"/>
      <c r="MUI164" s="146"/>
      <c r="MUJ164" s="146"/>
      <c r="MUK164" s="146"/>
      <c r="MUL164" s="146"/>
      <c r="MUM164" s="146"/>
      <c r="MUN164" s="146"/>
      <c r="MUO164" s="146"/>
      <c r="MUP164" s="146"/>
      <c r="MUQ164" s="146"/>
      <c r="MUR164" s="146"/>
      <c r="MUS164" s="146"/>
      <c r="MUT164" s="146"/>
      <c r="MUU164" s="146"/>
      <c r="MUV164" s="146"/>
      <c r="MUW164" s="146"/>
      <c r="MUX164" s="146"/>
      <c r="MUY164" s="146"/>
      <c r="MUZ164" s="146"/>
      <c r="MVA164" s="146"/>
      <c r="MVB164" s="146"/>
      <c r="MVC164" s="146"/>
      <c r="MVD164" s="146"/>
      <c r="MVE164" s="146"/>
      <c r="MVF164" s="146"/>
      <c r="MVG164" s="146"/>
      <c r="MVH164" s="146"/>
      <c r="MVI164" s="146"/>
      <c r="MVJ164" s="146"/>
      <c r="MVK164" s="146"/>
      <c r="MVL164" s="146"/>
      <c r="MVM164" s="146"/>
      <c r="MVN164" s="146"/>
      <c r="MVO164" s="146"/>
      <c r="MVP164" s="146"/>
      <c r="MVQ164" s="146"/>
      <c r="MVR164" s="146"/>
      <c r="MVS164" s="146"/>
      <c r="MVT164" s="146"/>
      <c r="MVU164" s="146"/>
      <c r="MVV164" s="146"/>
      <c r="MVW164" s="146"/>
      <c r="MVX164" s="146"/>
      <c r="MVY164" s="146"/>
      <c r="MVZ164" s="146"/>
      <c r="MWA164" s="146"/>
      <c r="MWB164" s="146"/>
      <c r="MWC164" s="146"/>
      <c r="MWD164" s="146"/>
      <c r="MWE164" s="146"/>
      <c r="MWF164" s="146"/>
      <c r="MWG164" s="146"/>
      <c r="MWH164" s="146"/>
      <c r="MWI164" s="146"/>
      <c r="MWJ164" s="146"/>
      <c r="MWK164" s="146"/>
      <c r="MWL164" s="146"/>
      <c r="MWM164" s="146"/>
      <c r="MWN164" s="146"/>
      <c r="MWO164" s="146"/>
      <c r="MWP164" s="146"/>
      <c r="MWQ164" s="146"/>
      <c r="MWR164" s="146"/>
      <c r="MWS164" s="146"/>
      <c r="MWT164" s="146"/>
      <c r="MWU164" s="146"/>
      <c r="MWV164" s="146"/>
      <c r="MWW164" s="146"/>
      <c r="MWX164" s="146"/>
      <c r="MWY164" s="146"/>
      <c r="MWZ164" s="146"/>
      <c r="MXA164" s="146"/>
      <c r="MXB164" s="146"/>
      <c r="MXC164" s="146"/>
      <c r="MXD164" s="146"/>
      <c r="MXE164" s="146"/>
      <c r="MXF164" s="146"/>
      <c r="MXG164" s="146"/>
      <c r="MXH164" s="146"/>
      <c r="MXI164" s="146"/>
      <c r="MXJ164" s="146"/>
      <c r="MXK164" s="146"/>
      <c r="MXL164" s="146"/>
      <c r="MXM164" s="146"/>
      <c r="MXN164" s="146"/>
      <c r="MXO164" s="146"/>
      <c r="MXP164" s="146"/>
      <c r="MXQ164" s="146"/>
      <c r="MXR164" s="146"/>
      <c r="MXS164" s="146"/>
      <c r="MXT164" s="146"/>
      <c r="MXU164" s="146"/>
      <c r="MXV164" s="146"/>
      <c r="MXW164" s="146"/>
      <c r="MXX164" s="146"/>
      <c r="MXY164" s="146"/>
      <c r="MXZ164" s="146"/>
      <c r="MYA164" s="146"/>
      <c r="MYB164" s="146"/>
      <c r="MYC164" s="146"/>
      <c r="MYD164" s="146"/>
      <c r="MYE164" s="146"/>
      <c r="MYF164" s="146"/>
      <c r="MYG164" s="146"/>
      <c r="MYH164" s="146"/>
      <c r="MYI164" s="146"/>
      <c r="MYJ164" s="146"/>
      <c r="MYK164" s="146"/>
      <c r="MYL164" s="146"/>
      <c r="MYM164" s="146"/>
      <c r="MYN164" s="146"/>
      <c r="MYO164" s="146"/>
      <c r="MYP164" s="146"/>
      <c r="MYQ164" s="146"/>
      <c r="MYR164" s="146"/>
      <c r="MYS164" s="146"/>
      <c r="MYT164" s="146"/>
      <c r="MYU164" s="146"/>
      <c r="MYV164" s="146"/>
      <c r="MYW164" s="146"/>
      <c r="MYX164" s="146"/>
      <c r="MYY164" s="146"/>
      <c r="MYZ164" s="146"/>
      <c r="MZA164" s="146"/>
      <c r="MZB164" s="146"/>
      <c r="MZC164" s="146"/>
      <c r="MZD164" s="146"/>
      <c r="MZE164" s="146"/>
      <c r="MZF164" s="146"/>
      <c r="MZG164" s="146"/>
      <c r="MZH164" s="146"/>
      <c r="MZI164" s="146"/>
      <c r="MZJ164" s="146"/>
      <c r="MZK164" s="146"/>
      <c r="MZL164" s="146"/>
      <c r="MZM164" s="146"/>
      <c r="MZN164" s="146"/>
      <c r="MZO164" s="146"/>
      <c r="MZP164" s="146"/>
      <c r="MZQ164" s="146"/>
      <c r="MZR164" s="146"/>
      <c r="MZS164" s="146"/>
      <c r="MZT164" s="146"/>
      <c r="MZU164" s="146"/>
      <c r="MZV164" s="146"/>
      <c r="MZW164" s="146"/>
      <c r="MZX164" s="146"/>
      <c r="MZY164" s="146"/>
      <c r="MZZ164" s="146"/>
      <c r="NAA164" s="146"/>
      <c r="NAB164" s="146"/>
      <c r="NAC164" s="146"/>
      <c r="NAD164" s="146"/>
      <c r="NAE164" s="146"/>
      <c r="NAF164" s="146"/>
      <c r="NAG164" s="146"/>
      <c r="NAH164" s="146"/>
      <c r="NAI164" s="146"/>
      <c r="NAJ164" s="146"/>
      <c r="NAK164" s="146"/>
      <c r="NAL164" s="146"/>
      <c r="NAM164" s="146"/>
      <c r="NAN164" s="146"/>
      <c r="NAO164" s="146"/>
      <c r="NAP164" s="146"/>
      <c r="NAQ164" s="146"/>
      <c r="NAR164" s="146"/>
      <c r="NAS164" s="146"/>
      <c r="NAT164" s="146"/>
      <c r="NAU164" s="146"/>
      <c r="NAV164" s="146"/>
      <c r="NAW164" s="146"/>
      <c r="NAX164" s="146"/>
      <c r="NAY164" s="146"/>
      <c r="NAZ164" s="146"/>
      <c r="NBA164" s="146"/>
      <c r="NBB164" s="146"/>
      <c r="NBC164" s="146"/>
      <c r="NBD164" s="146"/>
      <c r="NBE164" s="146"/>
      <c r="NBF164" s="146"/>
      <c r="NBG164" s="146"/>
      <c r="NBH164" s="146"/>
      <c r="NBI164" s="146"/>
      <c r="NBJ164" s="146"/>
      <c r="NBK164" s="146"/>
      <c r="NBL164" s="146"/>
      <c r="NBM164" s="146"/>
      <c r="NBN164" s="146"/>
      <c r="NBO164" s="146"/>
      <c r="NBP164" s="146"/>
      <c r="NBQ164" s="146"/>
      <c r="NBR164" s="146"/>
      <c r="NBS164" s="146"/>
      <c r="NBT164" s="146"/>
      <c r="NBU164" s="146"/>
      <c r="NBV164" s="146"/>
      <c r="NBW164" s="146"/>
      <c r="NBX164" s="146"/>
      <c r="NBY164" s="146"/>
      <c r="NBZ164" s="146"/>
      <c r="NCA164" s="146"/>
      <c r="NCB164" s="146"/>
      <c r="NCC164" s="146"/>
      <c r="NCD164" s="146"/>
      <c r="NCE164" s="146"/>
      <c r="NCF164" s="146"/>
      <c r="NCG164" s="146"/>
      <c r="NCH164" s="146"/>
      <c r="NCI164" s="146"/>
      <c r="NCJ164" s="146"/>
      <c r="NCK164" s="146"/>
      <c r="NCL164" s="146"/>
      <c r="NCM164" s="146"/>
      <c r="NCN164" s="146"/>
      <c r="NCO164" s="146"/>
      <c r="NCP164" s="146"/>
      <c r="NCQ164" s="146"/>
      <c r="NCR164" s="146"/>
      <c r="NCS164" s="146"/>
      <c r="NCT164" s="146"/>
      <c r="NCU164" s="146"/>
      <c r="NCV164" s="146"/>
      <c r="NCW164" s="146"/>
      <c r="NCX164" s="146"/>
      <c r="NCY164" s="146"/>
      <c r="NCZ164" s="146"/>
      <c r="NDA164" s="146"/>
      <c r="NDB164" s="146"/>
      <c r="NDC164" s="146"/>
      <c r="NDD164" s="146"/>
      <c r="NDE164" s="146"/>
      <c r="NDF164" s="146"/>
      <c r="NDG164" s="146"/>
      <c r="NDH164" s="146"/>
      <c r="NDI164" s="146"/>
      <c r="NDJ164" s="146"/>
      <c r="NDK164" s="146"/>
      <c r="NDL164" s="146"/>
      <c r="NDM164" s="146"/>
      <c r="NDN164" s="146"/>
      <c r="NDO164" s="146"/>
      <c r="NDP164" s="146"/>
      <c r="NDQ164" s="146"/>
      <c r="NDR164" s="146"/>
      <c r="NDS164" s="146"/>
      <c r="NDT164" s="146"/>
      <c r="NDU164" s="146"/>
      <c r="NDV164" s="146"/>
      <c r="NDW164" s="146"/>
      <c r="NDX164" s="146"/>
      <c r="NDY164" s="146"/>
      <c r="NDZ164" s="146"/>
      <c r="NEA164" s="146"/>
      <c r="NEB164" s="146"/>
      <c r="NEC164" s="146"/>
      <c r="NED164" s="146"/>
      <c r="NEE164" s="146"/>
      <c r="NEF164" s="146"/>
      <c r="NEG164" s="146"/>
      <c r="NEH164" s="146"/>
      <c r="NEI164" s="146"/>
      <c r="NEJ164" s="146"/>
      <c r="NEK164" s="146"/>
      <c r="NEL164" s="146"/>
      <c r="NEM164" s="146"/>
      <c r="NEN164" s="146"/>
      <c r="NEO164" s="146"/>
      <c r="NEP164" s="146"/>
      <c r="NEQ164" s="146"/>
      <c r="NER164" s="146"/>
      <c r="NES164" s="146"/>
      <c r="NET164" s="146"/>
      <c r="NEU164" s="146"/>
      <c r="NEV164" s="146"/>
      <c r="NEW164" s="146"/>
      <c r="NEX164" s="146"/>
      <c r="NEY164" s="146"/>
      <c r="NEZ164" s="146"/>
      <c r="NFA164" s="146"/>
      <c r="NFB164" s="146"/>
      <c r="NFC164" s="146"/>
      <c r="NFD164" s="146"/>
      <c r="NFE164" s="146"/>
      <c r="NFF164" s="146"/>
      <c r="NFG164" s="146"/>
      <c r="NFH164" s="146"/>
      <c r="NFI164" s="146"/>
      <c r="NFJ164" s="146"/>
      <c r="NFK164" s="146"/>
      <c r="NFL164" s="146"/>
      <c r="NFM164" s="146"/>
      <c r="NFN164" s="146"/>
      <c r="NFO164" s="146"/>
      <c r="NFP164" s="146"/>
      <c r="NFQ164" s="146"/>
      <c r="NFR164" s="146"/>
      <c r="NFS164" s="146"/>
      <c r="NFT164" s="146"/>
      <c r="NFU164" s="146"/>
      <c r="NFV164" s="146"/>
      <c r="NFW164" s="146"/>
      <c r="NFX164" s="146"/>
      <c r="NFY164" s="146"/>
      <c r="NFZ164" s="146"/>
      <c r="NGA164" s="146"/>
      <c r="NGB164" s="146"/>
      <c r="NGC164" s="146"/>
      <c r="NGD164" s="146"/>
      <c r="NGE164" s="146"/>
      <c r="NGF164" s="146"/>
      <c r="NGG164" s="146"/>
      <c r="NGH164" s="146"/>
      <c r="NGI164" s="146"/>
      <c r="NGJ164" s="146"/>
      <c r="NGK164" s="146"/>
      <c r="NGL164" s="146"/>
      <c r="NGM164" s="146"/>
      <c r="NGN164" s="146"/>
      <c r="NGO164" s="146"/>
      <c r="NGP164" s="146"/>
      <c r="NGQ164" s="146"/>
      <c r="NGR164" s="146"/>
      <c r="NGS164" s="146"/>
      <c r="NGT164" s="146"/>
      <c r="NGU164" s="146"/>
      <c r="NGV164" s="146"/>
      <c r="NGW164" s="146"/>
      <c r="NGX164" s="146"/>
      <c r="NGY164" s="146"/>
      <c r="NGZ164" s="146"/>
      <c r="NHA164" s="146"/>
      <c r="NHB164" s="146"/>
      <c r="NHC164" s="146"/>
      <c r="NHD164" s="146"/>
      <c r="NHE164" s="146"/>
      <c r="NHF164" s="146"/>
      <c r="NHG164" s="146"/>
      <c r="NHH164" s="146"/>
      <c r="NHI164" s="146"/>
      <c r="NHJ164" s="146"/>
      <c r="NHK164" s="146"/>
      <c r="NHL164" s="146"/>
      <c r="NHM164" s="146"/>
      <c r="NHN164" s="146"/>
      <c r="NHO164" s="146"/>
      <c r="NHP164" s="146"/>
      <c r="NHQ164" s="146"/>
      <c r="NHR164" s="146"/>
      <c r="NHS164" s="146"/>
      <c r="NHT164" s="146"/>
      <c r="NHU164" s="146"/>
      <c r="NHV164" s="146"/>
      <c r="NHW164" s="146"/>
      <c r="NHX164" s="146"/>
      <c r="NHY164" s="146"/>
      <c r="NHZ164" s="146"/>
      <c r="NIA164" s="146"/>
      <c r="NIB164" s="146"/>
      <c r="NIC164" s="146"/>
      <c r="NID164" s="146"/>
      <c r="NIE164" s="146"/>
      <c r="NIF164" s="146"/>
      <c r="NIG164" s="146"/>
      <c r="NIH164" s="146"/>
      <c r="NII164" s="146"/>
      <c r="NIJ164" s="146"/>
      <c r="NIK164" s="146"/>
      <c r="NIL164" s="146"/>
      <c r="NIM164" s="146"/>
      <c r="NIN164" s="146"/>
      <c r="NIO164" s="146"/>
      <c r="NIP164" s="146"/>
      <c r="NIQ164" s="146"/>
      <c r="NIR164" s="146"/>
      <c r="NIS164" s="146"/>
      <c r="NIT164" s="146"/>
      <c r="NIU164" s="146"/>
      <c r="NIV164" s="146"/>
      <c r="NIW164" s="146"/>
      <c r="NIX164" s="146"/>
      <c r="NIY164" s="146"/>
      <c r="NIZ164" s="146"/>
      <c r="NJA164" s="146"/>
      <c r="NJB164" s="146"/>
      <c r="NJC164" s="146"/>
      <c r="NJD164" s="146"/>
      <c r="NJE164" s="146"/>
      <c r="NJF164" s="146"/>
      <c r="NJG164" s="146"/>
      <c r="NJH164" s="146"/>
      <c r="NJI164" s="146"/>
      <c r="NJJ164" s="146"/>
      <c r="NJK164" s="146"/>
      <c r="NJL164" s="146"/>
      <c r="NJM164" s="146"/>
      <c r="NJN164" s="146"/>
      <c r="NJO164" s="146"/>
      <c r="NJP164" s="146"/>
      <c r="NJQ164" s="146"/>
      <c r="NJR164" s="146"/>
      <c r="NJS164" s="146"/>
      <c r="NJT164" s="146"/>
      <c r="NJU164" s="146"/>
      <c r="NJV164" s="146"/>
      <c r="NJW164" s="146"/>
      <c r="NJX164" s="146"/>
      <c r="NJY164" s="146"/>
      <c r="NJZ164" s="146"/>
      <c r="NKA164" s="146"/>
      <c r="NKB164" s="146"/>
      <c r="NKC164" s="146"/>
      <c r="NKD164" s="146"/>
      <c r="NKE164" s="146"/>
      <c r="NKF164" s="146"/>
      <c r="NKG164" s="146"/>
      <c r="NKH164" s="146"/>
      <c r="NKI164" s="146"/>
      <c r="NKJ164" s="146"/>
      <c r="NKK164" s="146"/>
      <c r="NKL164" s="146"/>
      <c r="NKM164" s="146"/>
      <c r="NKN164" s="146"/>
      <c r="NKO164" s="146"/>
      <c r="NKP164" s="146"/>
      <c r="NKQ164" s="146"/>
      <c r="NKR164" s="146"/>
      <c r="NKS164" s="146"/>
      <c r="NKT164" s="146"/>
      <c r="NKU164" s="146"/>
      <c r="NKV164" s="146"/>
      <c r="NKW164" s="146"/>
      <c r="NKX164" s="146"/>
      <c r="NKY164" s="146"/>
      <c r="NKZ164" s="146"/>
      <c r="NLA164" s="146"/>
      <c r="NLB164" s="146"/>
      <c r="NLC164" s="146"/>
      <c r="NLD164" s="146"/>
      <c r="NLE164" s="146"/>
      <c r="NLF164" s="146"/>
      <c r="NLG164" s="146"/>
      <c r="NLH164" s="146"/>
      <c r="NLI164" s="146"/>
      <c r="NLJ164" s="146"/>
      <c r="NLK164" s="146"/>
      <c r="NLL164" s="146"/>
      <c r="NLM164" s="146"/>
      <c r="NLN164" s="146"/>
      <c r="NLO164" s="146"/>
      <c r="NLP164" s="146"/>
      <c r="NLQ164" s="146"/>
      <c r="NLR164" s="146"/>
      <c r="NLS164" s="146"/>
      <c r="NLT164" s="146"/>
      <c r="NLU164" s="146"/>
      <c r="NLV164" s="146"/>
      <c r="NLW164" s="146"/>
      <c r="NLX164" s="146"/>
      <c r="NLY164" s="146"/>
      <c r="NLZ164" s="146"/>
      <c r="NMA164" s="146"/>
      <c r="NMB164" s="146"/>
      <c r="NMC164" s="146"/>
      <c r="NMD164" s="146"/>
      <c r="NME164" s="146"/>
      <c r="NMF164" s="146"/>
      <c r="NMG164" s="146"/>
      <c r="NMH164" s="146"/>
      <c r="NMI164" s="146"/>
      <c r="NMJ164" s="146"/>
      <c r="NMK164" s="146"/>
      <c r="NML164" s="146"/>
      <c r="NMM164" s="146"/>
      <c r="NMN164" s="146"/>
      <c r="NMO164" s="146"/>
      <c r="NMP164" s="146"/>
      <c r="NMQ164" s="146"/>
      <c r="NMR164" s="146"/>
      <c r="NMS164" s="146"/>
      <c r="NMT164" s="146"/>
      <c r="NMU164" s="146"/>
      <c r="NMV164" s="146"/>
      <c r="NMW164" s="146"/>
      <c r="NMX164" s="146"/>
      <c r="NMY164" s="146"/>
      <c r="NMZ164" s="146"/>
      <c r="NNA164" s="146"/>
      <c r="NNB164" s="146"/>
      <c r="NNC164" s="146"/>
      <c r="NND164" s="146"/>
      <c r="NNE164" s="146"/>
      <c r="NNF164" s="146"/>
      <c r="NNG164" s="146"/>
      <c r="NNH164" s="146"/>
      <c r="NNI164" s="146"/>
      <c r="NNJ164" s="146"/>
      <c r="NNK164" s="146"/>
      <c r="NNL164" s="146"/>
      <c r="NNM164" s="146"/>
      <c r="NNN164" s="146"/>
      <c r="NNO164" s="146"/>
      <c r="NNP164" s="146"/>
      <c r="NNQ164" s="146"/>
      <c r="NNR164" s="146"/>
      <c r="NNS164" s="146"/>
      <c r="NNT164" s="146"/>
      <c r="NNU164" s="146"/>
      <c r="NNV164" s="146"/>
      <c r="NNW164" s="146"/>
      <c r="NNX164" s="146"/>
      <c r="NNY164" s="146"/>
      <c r="NNZ164" s="146"/>
      <c r="NOA164" s="146"/>
      <c r="NOB164" s="146"/>
      <c r="NOC164" s="146"/>
      <c r="NOD164" s="146"/>
      <c r="NOE164" s="146"/>
      <c r="NOF164" s="146"/>
      <c r="NOG164" s="146"/>
      <c r="NOH164" s="146"/>
      <c r="NOI164" s="146"/>
      <c r="NOJ164" s="146"/>
      <c r="NOK164" s="146"/>
      <c r="NOL164" s="146"/>
      <c r="NOM164" s="146"/>
      <c r="NON164" s="146"/>
      <c r="NOO164" s="146"/>
      <c r="NOP164" s="146"/>
      <c r="NOQ164" s="146"/>
      <c r="NOR164" s="146"/>
      <c r="NOS164" s="146"/>
      <c r="NOT164" s="146"/>
      <c r="NOU164" s="146"/>
      <c r="NOV164" s="146"/>
      <c r="NOW164" s="146"/>
      <c r="NOX164" s="146"/>
      <c r="NOY164" s="146"/>
      <c r="NOZ164" s="146"/>
      <c r="NPA164" s="146"/>
      <c r="NPB164" s="146"/>
      <c r="NPC164" s="146"/>
      <c r="NPD164" s="146"/>
      <c r="NPE164" s="146"/>
      <c r="NPF164" s="146"/>
      <c r="NPG164" s="146"/>
      <c r="NPH164" s="146"/>
      <c r="NPI164" s="146"/>
      <c r="NPJ164" s="146"/>
      <c r="NPK164" s="146"/>
      <c r="NPL164" s="146"/>
      <c r="NPM164" s="146"/>
      <c r="NPN164" s="146"/>
      <c r="NPO164" s="146"/>
      <c r="NPP164" s="146"/>
      <c r="NPQ164" s="146"/>
      <c r="NPR164" s="146"/>
      <c r="NPS164" s="146"/>
      <c r="NPT164" s="146"/>
      <c r="NPU164" s="146"/>
      <c r="NPV164" s="146"/>
      <c r="NPW164" s="146"/>
      <c r="NPX164" s="146"/>
      <c r="NPY164" s="146"/>
      <c r="NPZ164" s="146"/>
      <c r="NQA164" s="146"/>
      <c r="NQB164" s="146"/>
      <c r="NQC164" s="146"/>
      <c r="NQD164" s="146"/>
      <c r="NQE164" s="146"/>
      <c r="NQF164" s="146"/>
      <c r="NQG164" s="146"/>
      <c r="NQH164" s="146"/>
      <c r="NQI164" s="146"/>
      <c r="NQJ164" s="146"/>
      <c r="NQK164" s="146"/>
      <c r="NQL164" s="146"/>
      <c r="NQM164" s="146"/>
      <c r="NQN164" s="146"/>
      <c r="NQO164" s="146"/>
      <c r="NQP164" s="146"/>
      <c r="NQQ164" s="146"/>
      <c r="NQR164" s="146"/>
      <c r="NQS164" s="146"/>
      <c r="NQT164" s="146"/>
      <c r="NQU164" s="146"/>
      <c r="NQV164" s="146"/>
      <c r="NQW164" s="146"/>
      <c r="NQX164" s="146"/>
      <c r="NQY164" s="146"/>
      <c r="NQZ164" s="146"/>
      <c r="NRA164" s="146"/>
      <c r="NRB164" s="146"/>
      <c r="NRC164" s="146"/>
      <c r="NRD164" s="146"/>
      <c r="NRE164" s="146"/>
      <c r="NRF164" s="146"/>
      <c r="NRG164" s="146"/>
      <c r="NRH164" s="146"/>
      <c r="NRI164" s="146"/>
      <c r="NRJ164" s="146"/>
      <c r="NRK164" s="146"/>
      <c r="NRL164" s="146"/>
      <c r="NRM164" s="146"/>
      <c r="NRN164" s="146"/>
      <c r="NRO164" s="146"/>
      <c r="NRP164" s="146"/>
      <c r="NRQ164" s="146"/>
      <c r="NRR164" s="146"/>
      <c r="NRS164" s="146"/>
      <c r="NRT164" s="146"/>
      <c r="NRU164" s="146"/>
      <c r="NRV164" s="146"/>
      <c r="NRW164" s="146"/>
      <c r="NRX164" s="146"/>
      <c r="NRY164" s="146"/>
      <c r="NRZ164" s="146"/>
      <c r="NSA164" s="146"/>
      <c r="NSB164" s="146"/>
      <c r="NSC164" s="146"/>
      <c r="NSD164" s="146"/>
      <c r="NSE164" s="146"/>
      <c r="NSF164" s="146"/>
      <c r="NSG164" s="146"/>
      <c r="NSH164" s="146"/>
      <c r="NSI164" s="146"/>
      <c r="NSJ164" s="146"/>
      <c r="NSK164" s="146"/>
      <c r="NSL164" s="146"/>
      <c r="NSM164" s="146"/>
      <c r="NSN164" s="146"/>
      <c r="NSO164" s="146"/>
      <c r="NSP164" s="146"/>
      <c r="NSQ164" s="146"/>
      <c r="NSR164" s="146"/>
      <c r="NSS164" s="146"/>
      <c r="NST164" s="146"/>
      <c r="NSU164" s="146"/>
      <c r="NSV164" s="146"/>
      <c r="NSW164" s="146"/>
      <c r="NSX164" s="146"/>
      <c r="NSY164" s="146"/>
      <c r="NSZ164" s="146"/>
      <c r="NTA164" s="146"/>
      <c r="NTB164" s="146"/>
      <c r="NTC164" s="146"/>
      <c r="NTD164" s="146"/>
      <c r="NTE164" s="146"/>
      <c r="NTF164" s="146"/>
      <c r="NTG164" s="146"/>
      <c r="NTH164" s="146"/>
      <c r="NTI164" s="146"/>
      <c r="NTJ164" s="146"/>
      <c r="NTK164" s="146"/>
      <c r="NTL164" s="146"/>
      <c r="NTM164" s="146"/>
      <c r="NTN164" s="146"/>
      <c r="NTO164" s="146"/>
      <c r="NTP164" s="146"/>
      <c r="NTQ164" s="146"/>
      <c r="NTR164" s="146"/>
      <c r="NTS164" s="146"/>
      <c r="NTT164" s="146"/>
      <c r="NTU164" s="146"/>
      <c r="NTV164" s="146"/>
      <c r="NTW164" s="146"/>
      <c r="NTX164" s="146"/>
      <c r="NTY164" s="146"/>
      <c r="NTZ164" s="146"/>
      <c r="NUA164" s="146"/>
      <c r="NUB164" s="146"/>
      <c r="NUC164" s="146"/>
      <c r="NUD164" s="146"/>
      <c r="NUE164" s="146"/>
      <c r="NUF164" s="146"/>
      <c r="NUG164" s="146"/>
      <c r="NUH164" s="146"/>
      <c r="NUI164" s="146"/>
      <c r="NUJ164" s="146"/>
      <c r="NUK164" s="146"/>
      <c r="NUL164" s="146"/>
      <c r="NUM164" s="146"/>
      <c r="NUN164" s="146"/>
      <c r="NUO164" s="146"/>
      <c r="NUP164" s="146"/>
      <c r="NUQ164" s="146"/>
      <c r="NUR164" s="146"/>
      <c r="NUS164" s="146"/>
      <c r="NUT164" s="146"/>
      <c r="NUU164" s="146"/>
      <c r="NUV164" s="146"/>
      <c r="NUW164" s="146"/>
      <c r="NUX164" s="146"/>
      <c r="NUY164" s="146"/>
      <c r="NUZ164" s="146"/>
      <c r="NVA164" s="146"/>
      <c r="NVB164" s="146"/>
      <c r="NVC164" s="146"/>
      <c r="NVD164" s="146"/>
      <c r="NVE164" s="146"/>
      <c r="NVF164" s="146"/>
      <c r="NVG164" s="146"/>
      <c r="NVH164" s="146"/>
      <c r="NVI164" s="146"/>
      <c r="NVJ164" s="146"/>
      <c r="NVK164" s="146"/>
      <c r="NVL164" s="146"/>
      <c r="NVM164" s="146"/>
      <c r="NVN164" s="146"/>
      <c r="NVO164" s="146"/>
      <c r="NVP164" s="146"/>
      <c r="NVQ164" s="146"/>
      <c r="NVR164" s="146"/>
      <c r="NVS164" s="146"/>
      <c r="NVT164" s="146"/>
      <c r="NVU164" s="146"/>
      <c r="NVV164" s="146"/>
      <c r="NVW164" s="146"/>
      <c r="NVX164" s="146"/>
      <c r="NVY164" s="146"/>
      <c r="NVZ164" s="146"/>
      <c r="NWA164" s="146"/>
      <c r="NWB164" s="146"/>
      <c r="NWC164" s="146"/>
      <c r="NWD164" s="146"/>
      <c r="NWE164" s="146"/>
      <c r="NWF164" s="146"/>
      <c r="NWG164" s="146"/>
      <c r="NWH164" s="146"/>
      <c r="NWI164" s="146"/>
      <c r="NWJ164" s="146"/>
      <c r="NWK164" s="146"/>
      <c r="NWL164" s="146"/>
      <c r="NWM164" s="146"/>
      <c r="NWN164" s="146"/>
      <c r="NWO164" s="146"/>
      <c r="NWP164" s="146"/>
      <c r="NWQ164" s="146"/>
      <c r="NWR164" s="146"/>
      <c r="NWS164" s="146"/>
      <c r="NWT164" s="146"/>
      <c r="NWU164" s="146"/>
      <c r="NWV164" s="146"/>
      <c r="NWW164" s="146"/>
      <c r="NWX164" s="146"/>
      <c r="NWY164" s="146"/>
      <c r="NWZ164" s="146"/>
      <c r="NXA164" s="146"/>
      <c r="NXB164" s="146"/>
      <c r="NXC164" s="146"/>
      <c r="NXD164" s="146"/>
      <c r="NXE164" s="146"/>
      <c r="NXF164" s="146"/>
      <c r="NXG164" s="146"/>
      <c r="NXH164" s="146"/>
      <c r="NXI164" s="146"/>
      <c r="NXJ164" s="146"/>
      <c r="NXK164" s="146"/>
      <c r="NXL164" s="146"/>
      <c r="NXM164" s="146"/>
      <c r="NXN164" s="146"/>
      <c r="NXO164" s="146"/>
      <c r="NXP164" s="146"/>
      <c r="NXQ164" s="146"/>
      <c r="NXR164" s="146"/>
      <c r="NXS164" s="146"/>
      <c r="NXT164" s="146"/>
      <c r="NXU164" s="146"/>
      <c r="NXV164" s="146"/>
      <c r="NXW164" s="146"/>
      <c r="NXX164" s="146"/>
      <c r="NXY164" s="146"/>
      <c r="NXZ164" s="146"/>
      <c r="NYA164" s="146"/>
      <c r="NYB164" s="146"/>
      <c r="NYC164" s="146"/>
      <c r="NYD164" s="146"/>
      <c r="NYE164" s="146"/>
      <c r="NYF164" s="146"/>
      <c r="NYG164" s="146"/>
      <c r="NYH164" s="146"/>
      <c r="NYI164" s="146"/>
      <c r="NYJ164" s="146"/>
      <c r="NYK164" s="146"/>
      <c r="NYL164" s="146"/>
      <c r="NYM164" s="146"/>
      <c r="NYN164" s="146"/>
      <c r="NYO164" s="146"/>
      <c r="NYP164" s="146"/>
      <c r="NYQ164" s="146"/>
      <c r="NYR164" s="146"/>
      <c r="NYS164" s="146"/>
      <c r="NYT164" s="146"/>
      <c r="NYU164" s="146"/>
      <c r="NYV164" s="146"/>
      <c r="NYW164" s="146"/>
      <c r="NYX164" s="146"/>
      <c r="NYY164" s="146"/>
      <c r="NYZ164" s="146"/>
      <c r="NZA164" s="146"/>
      <c r="NZB164" s="146"/>
      <c r="NZC164" s="146"/>
      <c r="NZD164" s="146"/>
      <c r="NZE164" s="146"/>
      <c r="NZF164" s="146"/>
      <c r="NZG164" s="146"/>
      <c r="NZH164" s="146"/>
      <c r="NZI164" s="146"/>
      <c r="NZJ164" s="146"/>
      <c r="NZK164" s="146"/>
      <c r="NZL164" s="146"/>
      <c r="NZM164" s="146"/>
      <c r="NZN164" s="146"/>
      <c r="NZO164" s="146"/>
      <c r="NZP164" s="146"/>
      <c r="NZQ164" s="146"/>
      <c r="NZR164" s="146"/>
      <c r="NZS164" s="146"/>
      <c r="NZT164" s="146"/>
      <c r="NZU164" s="146"/>
      <c r="NZV164" s="146"/>
      <c r="NZW164" s="146"/>
      <c r="NZX164" s="146"/>
      <c r="NZY164" s="146"/>
      <c r="NZZ164" s="146"/>
      <c r="OAA164" s="146"/>
      <c r="OAB164" s="146"/>
      <c r="OAC164" s="146"/>
      <c r="OAD164" s="146"/>
      <c r="OAE164" s="146"/>
      <c r="OAF164" s="146"/>
      <c r="OAG164" s="146"/>
      <c r="OAH164" s="146"/>
      <c r="OAI164" s="146"/>
      <c r="OAJ164" s="146"/>
      <c r="OAK164" s="146"/>
      <c r="OAL164" s="146"/>
      <c r="OAM164" s="146"/>
      <c r="OAN164" s="146"/>
      <c r="OAO164" s="146"/>
      <c r="OAP164" s="146"/>
      <c r="OAQ164" s="146"/>
      <c r="OAR164" s="146"/>
      <c r="OAS164" s="146"/>
      <c r="OAT164" s="146"/>
      <c r="OAU164" s="146"/>
      <c r="OAV164" s="146"/>
      <c r="OAW164" s="146"/>
      <c r="OAX164" s="146"/>
      <c r="OAY164" s="146"/>
      <c r="OAZ164" s="146"/>
      <c r="OBA164" s="146"/>
      <c r="OBB164" s="146"/>
      <c r="OBC164" s="146"/>
      <c r="OBD164" s="146"/>
      <c r="OBE164" s="146"/>
      <c r="OBF164" s="146"/>
      <c r="OBG164" s="146"/>
      <c r="OBH164" s="146"/>
      <c r="OBI164" s="146"/>
      <c r="OBJ164" s="146"/>
      <c r="OBK164" s="146"/>
      <c r="OBL164" s="146"/>
      <c r="OBM164" s="146"/>
      <c r="OBN164" s="146"/>
      <c r="OBO164" s="146"/>
      <c r="OBP164" s="146"/>
      <c r="OBQ164" s="146"/>
      <c r="OBR164" s="146"/>
      <c r="OBS164" s="146"/>
      <c r="OBT164" s="146"/>
      <c r="OBU164" s="146"/>
      <c r="OBV164" s="146"/>
      <c r="OBW164" s="146"/>
      <c r="OBX164" s="146"/>
      <c r="OBY164" s="146"/>
      <c r="OBZ164" s="146"/>
      <c r="OCA164" s="146"/>
      <c r="OCB164" s="146"/>
      <c r="OCC164" s="146"/>
      <c r="OCD164" s="146"/>
      <c r="OCE164" s="146"/>
      <c r="OCF164" s="146"/>
      <c r="OCG164" s="146"/>
      <c r="OCH164" s="146"/>
      <c r="OCI164" s="146"/>
      <c r="OCJ164" s="146"/>
      <c r="OCK164" s="146"/>
      <c r="OCL164" s="146"/>
      <c r="OCM164" s="146"/>
      <c r="OCN164" s="146"/>
      <c r="OCO164" s="146"/>
      <c r="OCP164" s="146"/>
      <c r="OCQ164" s="146"/>
      <c r="OCR164" s="146"/>
      <c r="OCS164" s="146"/>
      <c r="OCT164" s="146"/>
      <c r="OCU164" s="146"/>
      <c r="OCV164" s="146"/>
      <c r="OCW164" s="146"/>
      <c r="OCX164" s="146"/>
      <c r="OCY164" s="146"/>
      <c r="OCZ164" s="146"/>
      <c r="ODA164" s="146"/>
      <c r="ODB164" s="146"/>
      <c r="ODC164" s="146"/>
      <c r="ODD164" s="146"/>
      <c r="ODE164" s="146"/>
      <c r="ODF164" s="146"/>
      <c r="ODG164" s="146"/>
      <c r="ODH164" s="146"/>
      <c r="ODI164" s="146"/>
      <c r="ODJ164" s="146"/>
      <c r="ODK164" s="146"/>
      <c r="ODL164" s="146"/>
      <c r="ODM164" s="146"/>
      <c r="ODN164" s="146"/>
      <c r="ODO164" s="146"/>
      <c r="ODP164" s="146"/>
      <c r="ODQ164" s="146"/>
      <c r="ODR164" s="146"/>
      <c r="ODS164" s="146"/>
      <c r="ODT164" s="146"/>
      <c r="ODU164" s="146"/>
      <c r="ODV164" s="146"/>
      <c r="ODW164" s="146"/>
      <c r="ODX164" s="146"/>
      <c r="ODY164" s="146"/>
      <c r="ODZ164" s="146"/>
      <c r="OEA164" s="146"/>
      <c r="OEB164" s="146"/>
      <c r="OEC164" s="146"/>
      <c r="OED164" s="146"/>
      <c r="OEE164" s="146"/>
      <c r="OEF164" s="146"/>
      <c r="OEG164" s="146"/>
      <c r="OEH164" s="146"/>
      <c r="OEI164" s="146"/>
      <c r="OEJ164" s="146"/>
      <c r="OEK164" s="146"/>
      <c r="OEL164" s="146"/>
      <c r="OEM164" s="146"/>
      <c r="OEN164" s="146"/>
      <c r="OEO164" s="146"/>
      <c r="OEP164" s="146"/>
      <c r="OEQ164" s="146"/>
      <c r="OER164" s="146"/>
      <c r="OES164" s="146"/>
      <c r="OET164" s="146"/>
      <c r="OEU164" s="146"/>
      <c r="OEV164" s="146"/>
      <c r="OEW164" s="146"/>
      <c r="OEX164" s="146"/>
      <c r="OEY164" s="146"/>
      <c r="OEZ164" s="146"/>
      <c r="OFA164" s="146"/>
      <c r="OFB164" s="146"/>
      <c r="OFC164" s="146"/>
      <c r="OFD164" s="146"/>
      <c r="OFE164" s="146"/>
      <c r="OFF164" s="146"/>
      <c r="OFG164" s="146"/>
      <c r="OFH164" s="146"/>
      <c r="OFI164" s="146"/>
      <c r="OFJ164" s="146"/>
      <c r="OFK164" s="146"/>
      <c r="OFL164" s="146"/>
      <c r="OFM164" s="146"/>
      <c r="OFN164" s="146"/>
      <c r="OFO164" s="146"/>
      <c r="OFP164" s="146"/>
      <c r="OFQ164" s="146"/>
      <c r="OFR164" s="146"/>
      <c r="OFS164" s="146"/>
      <c r="OFT164" s="146"/>
      <c r="OFU164" s="146"/>
      <c r="OFV164" s="146"/>
      <c r="OFW164" s="146"/>
      <c r="OFX164" s="146"/>
      <c r="OFY164" s="146"/>
      <c r="OFZ164" s="146"/>
      <c r="OGA164" s="146"/>
      <c r="OGB164" s="146"/>
      <c r="OGC164" s="146"/>
      <c r="OGD164" s="146"/>
      <c r="OGE164" s="146"/>
      <c r="OGF164" s="146"/>
      <c r="OGG164" s="146"/>
      <c r="OGH164" s="146"/>
      <c r="OGI164" s="146"/>
      <c r="OGJ164" s="146"/>
      <c r="OGK164" s="146"/>
      <c r="OGL164" s="146"/>
      <c r="OGM164" s="146"/>
      <c r="OGN164" s="146"/>
      <c r="OGO164" s="146"/>
      <c r="OGP164" s="146"/>
      <c r="OGQ164" s="146"/>
      <c r="OGR164" s="146"/>
      <c r="OGS164" s="146"/>
      <c r="OGT164" s="146"/>
      <c r="OGU164" s="146"/>
      <c r="OGV164" s="146"/>
      <c r="OGW164" s="146"/>
      <c r="OGX164" s="146"/>
      <c r="OGY164" s="146"/>
      <c r="OGZ164" s="146"/>
      <c r="OHA164" s="146"/>
      <c r="OHB164" s="146"/>
      <c r="OHC164" s="146"/>
      <c r="OHD164" s="146"/>
      <c r="OHE164" s="146"/>
      <c r="OHF164" s="146"/>
      <c r="OHG164" s="146"/>
      <c r="OHH164" s="146"/>
      <c r="OHI164" s="146"/>
      <c r="OHJ164" s="146"/>
      <c r="OHK164" s="146"/>
      <c r="OHL164" s="146"/>
      <c r="OHM164" s="146"/>
      <c r="OHN164" s="146"/>
      <c r="OHO164" s="146"/>
      <c r="OHP164" s="146"/>
      <c r="OHQ164" s="146"/>
      <c r="OHR164" s="146"/>
      <c r="OHS164" s="146"/>
      <c r="OHT164" s="146"/>
      <c r="OHU164" s="146"/>
      <c r="OHV164" s="146"/>
      <c r="OHW164" s="146"/>
      <c r="OHX164" s="146"/>
      <c r="OHY164" s="146"/>
      <c r="OHZ164" s="146"/>
      <c r="OIA164" s="146"/>
      <c r="OIB164" s="146"/>
      <c r="OIC164" s="146"/>
      <c r="OID164" s="146"/>
      <c r="OIE164" s="146"/>
      <c r="OIF164" s="146"/>
      <c r="OIG164" s="146"/>
      <c r="OIH164" s="146"/>
      <c r="OII164" s="146"/>
      <c r="OIJ164" s="146"/>
      <c r="OIK164" s="146"/>
      <c r="OIL164" s="146"/>
      <c r="OIM164" s="146"/>
      <c r="OIN164" s="146"/>
      <c r="OIO164" s="146"/>
      <c r="OIP164" s="146"/>
      <c r="OIQ164" s="146"/>
      <c r="OIR164" s="146"/>
      <c r="OIS164" s="146"/>
      <c r="OIT164" s="146"/>
      <c r="OIU164" s="146"/>
      <c r="OIV164" s="146"/>
      <c r="OIW164" s="146"/>
      <c r="OIX164" s="146"/>
      <c r="OIY164" s="146"/>
      <c r="OIZ164" s="146"/>
      <c r="OJA164" s="146"/>
      <c r="OJB164" s="146"/>
      <c r="OJC164" s="146"/>
      <c r="OJD164" s="146"/>
      <c r="OJE164" s="146"/>
      <c r="OJF164" s="146"/>
      <c r="OJG164" s="146"/>
      <c r="OJH164" s="146"/>
      <c r="OJI164" s="146"/>
      <c r="OJJ164" s="146"/>
      <c r="OJK164" s="146"/>
      <c r="OJL164" s="146"/>
      <c r="OJM164" s="146"/>
      <c r="OJN164" s="146"/>
      <c r="OJO164" s="146"/>
      <c r="OJP164" s="146"/>
      <c r="OJQ164" s="146"/>
      <c r="OJR164" s="146"/>
      <c r="OJS164" s="146"/>
      <c r="OJT164" s="146"/>
      <c r="OJU164" s="146"/>
      <c r="OJV164" s="146"/>
      <c r="OJW164" s="146"/>
      <c r="OJX164" s="146"/>
      <c r="OJY164" s="146"/>
      <c r="OJZ164" s="146"/>
      <c r="OKA164" s="146"/>
      <c r="OKB164" s="146"/>
      <c r="OKC164" s="146"/>
      <c r="OKD164" s="146"/>
      <c r="OKE164" s="146"/>
      <c r="OKF164" s="146"/>
      <c r="OKG164" s="146"/>
      <c r="OKH164" s="146"/>
      <c r="OKI164" s="146"/>
      <c r="OKJ164" s="146"/>
      <c r="OKK164" s="146"/>
      <c r="OKL164" s="146"/>
      <c r="OKM164" s="146"/>
      <c r="OKN164" s="146"/>
      <c r="OKO164" s="146"/>
      <c r="OKP164" s="146"/>
      <c r="OKQ164" s="146"/>
      <c r="OKR164" s="146"/>
      <c r="OKS164" s="146"/>
      <c r="OKT164" s="146"/>
      <c r="OKU164" s="146"/>
      <c r="OKV164" s="146"/>
      <c r="OKW164" s="146"/>
      <c r="OKX164" s="146"/>
      <c r="OKY164" s="146"/>
      <c r="OKZ164" s="146"/>
      <c r="OLA164" s="146"/>
      <c r="OLB164" s="146"/>
      <c r="OLC164" s="146"/>
      <c r="OLD164" s="146"/>
      <c r="OLE164" s="146"/>
      <c r="OLF164" s="146"/>
      <c r="OLG164" s="146"/>
      <c r="OLH164" s="146"/>
      <c r="OLI164" s="146"/>
      <c r="OLJ164" s="146"/>
      <c r="OLK164" s="146"/>
      <c r="OLL164" s="146"/>
      <c r="OLM164" s="146"/>
      <c r="OLN164" s="146"/>
      <c r="OLO164" s="146"/>
      <c r="OLP164" s="146"/>
      <c r="OLQ164" s="146"/>
      <c r="OLR164" s="146"/>
      <c r="OLS164" s="146"/>
      <c r="OLT164" s="146"/>
      <c r="OLU164" s="146"/>
      <c r="OLV164" s="146"/>
      <c r="OLW164" s="146"/>
      <c r="OLX164" s="146"/>
      <c r="OLY164" s="146"/>
      <c r="OLZ164" s="146"/>
      <c r="OMA164" s="146"/>
      <c r="OMB164" s="146"/>
      <c r="OMC164" s="146"/>
      <c r="OMD164" s="146"/>
      <c r="OME164" s="146"/>
      <c r="OMF164" s="146"/>
      <c r="OMG164" s="146"/>
      <c r="OMH164" s="146"/>
      <c r="OMI164" s="146"/>
      <c r="OMJ164" s="146"/>
      <c r="OMK164" s="146"/>
      <c r="OML164" s="146"/>
      <c r="OMM164" s="146"/>
      <c r="OMN164" s="146"/>
      <c r="OMO164" s="146"/>
      <c r="OMP164" s="146"/>
      <c r="OMQ164" s="146"/>
      <c r="OMR164" s="146"/>
      <c r="OMS164" s="146"/>
      <c r="OMT164" s="146"/>
      <c r="OMU164" s="146"/>
      <c r="OMV164" s="146"/>
      <c r="OMW164" s="146"/>
      <c r="OMX164" s="146"/>
      <c r="OMY164" s="146"/>
      <c r="OMZ164" s="146"/>
      <c r="ONA164" s="146"/>
      <c r="ONB164" s="146"/>
      <c r="ONC164" s="146"/>
      <c r="OND164" s="146"/>
      <c r="ONE164" s="146"/>
      <c r="ONF164" s="146"/>
      <c r="ONG164" s="146"/>
      <c r="ONH164" s="146"/>
      <c r="ONI164" s="146"/>
      <c r="ONJ164" s="146"/>
      <c r="ONK164" s="146"/>
      <c r="ONL164" s="146"/>
      <c r="ONM164" s="146"/>
      <c r="ONN164" s="146"/>
      <c r="ONO164" s="146"/>
      <c r="ONP164" s="146"/>
      <c r="ONQ164" s="146"/>
      <c r="ONR164" s="146"/>
      <c r="ONS164" s="146"/>
      <c r="ONT164" s="146"/>
      <c r="ONU164" s="146"/>
      <c r="ONV164" s="146"/>
      <c r="ONW164" s="146"/>
      <c r="ONX164" s="146"/>
      <c r="ONY164" s="146"/>
      <c r="ONZ164" s="146"/>
      <c r="OOA164" s="146"/>
      <c r="OOB164" s="146"/>
      <c r="OOC164" s="146"/>
      <c r="OOD164" s="146"/>
      <c r="OOE164" s="146"/>
      <c r="OOF164" s="146"/>
      <c r="OOG164" s="146"/>
      <c r="OOH164" s="146"/>
      <c r="OOI164" s="146"/>
      <c r="OOJ164" s="146"/>
      <c r="OOK164" s="146"/>
      <c r="OOL164" s="146"/>
      <c r="OOM164" s="146"/>
      <c r="OON164" s="146"/>
      <c r="OOO164" s="146"/>
      <c r="OOP164" s="146"/>
      <c r="OOQ164" s="146"/>
      <c r="OOR164" s="146"/>
      <c r="OOS164" s="146"/>
      <c r="OOT164" s="146"/>
      <c r="OOU164" s="146"/>
      <c r="OOV164" s="146"/>
      <c r="OOW164" s="146"/>
      <c r="OOX164" s="146"/>
      <c r="OOY164" s="146"/>
      <c r="OOZ164" s="146"/>
      <c r="OPA164" s="146"/>
      <c r="OPB164" s="146"/>
      <c r="OPC164" s="146"/>
      <c r="OPD164" s="146"/>
      <c r="OPE164" s="146"/>
      <c r="OPF164" s="146"/>
      <c r="OPG164" s="146"/>
      <c r="OPH164" s="146"/>
      <c r="OPI164" s="146"/>
      <c r="OPJ164" s="146"/>
      <c r="OPK164" s="146"/>
      <c r="OPL164" s="146"/>
      <c r="OPM164" s="146"/>
      <c r="OPN164" s="146"/>
      <c r="OPO164" s="146"/>
      <c r="OPP164" s="146"/>
      <c r="OPQ164" s="146"/>
      <c r="OPR164" s="146"/>
      <c r="OPS164" s="146"/>
      <c r="OPT164" s="146"/>
      <c r="OPU164" s="146"/>
      <c r="OPV164" s="146"/>
      <c r="OPW164" s="146"/>
      <c r="OPX164" s="146"/>
      <c r="OPY164" s="146"/>
      <c r="OPZ164" s="146"/>
      <c r="OQA164" s="146"/>
      <c r="OQB164" s="146"/>
      <c r="OQC164" s="146"/>
      <c r="OQD164" s="146"/>
      <c r="OQE164" s="146"/>
      <c r="OQF164" s="146"/>
      <c r="OQG164" s="146"/>
      <c r="OQH164" s="146"/>
      <c r="OQI164" s="146"/>
      <c r="OQJ164" s="146"/>
      <c r="OQK164" s="146"/>
      <c r="OQL164" s="146"/>
      <c r="OQM164" s="146"/>
      <c r="OQN164" s="146"/>
      <c r="OQO164" s="146"/>
      <c r="OQP164" s="146"/>
      <c r="OQQ164" s="146"/>
      <c r="OQR164" s="146"/>
      <c r="OQS164" s="146"/>
      <c r="OQT164" s="146"/>
      <c r="OQU164" s="146"/>
      <c r="OQV164" s="146"/>
      <c r="OQW164" s="146"/>
      <c r="OQX164" s="146"/>
      <c r="OQY164" s="146"/>
      <c r="OQZ164" s="146"/>
      <c r="ORA164" s="146"/>
      <c r="ORB164" s="146"/>
      <c r="ORC164" s="146"/>
      <c r="ORD164" s="146"/>
      <c r="ORE164" s="146"/>
      <c r="ORF164" s="146"/>
      <c r="ORG164" s="146"/>
      <c r="ORH164" s="146"/>
      <c r="ORI164" s="146"/>
      <c r="ORJ164" s="146"/>
      <c r="ORK164" s="146"/>
      <c r="ORL164" s="146"/>
      <c r="ORM164" s="146"/>
      <c r="ORN164" s="146"/>
      <c r="ORO164" s="146"/>
      <c r="ORP164" s="146"/>
      <c r="ORQ164" s="146"/>
      <c r="ORR164" s="146"/>
      <c r="ORS164" s="146"/>
      <c r="ORT164" s="146"/>
      <c r="ORU164" s="146"/>
      <c r="ORV164" s="146"/>
      <c r="ORW164" s="146"/>
      <c r="ORX164" s="146"/>
      <c r="ORY164" s="146"/>
      <c r="ORZ164" s="146"/>
      <c r="OSA164" s="146"/>
      <c r="OSB164" s="146"/>
      <c r="OSC164" s="146"/>
      <c r="OSD164" s="146"/>
      <c r="OSE164" s="146"/>
      <c r="OSF164" s="146"/>
      <c r="OSG164" s="146"/>
      <c r="OSH164" s="146"/>
      <c r="OSI164" s="146"/>
      <c r="OSJ164" s="146"/>
      <c r="OSK164" s="146"/>
      <c r="OSL164" s="146"/>
      <c r="OSM164" s="146"/>
      <c r="OSN164" s="146"/>
      <c r="OSO164" s="146"/>
      <c r="OSP164" s="146"/>
      <c r="OSQ164" s="146"/>
      <c r="OSR164" s="146"/>
      <c r="OSS164" s="146"/>
      <c r="OST164" s="146"/>
      <c r="OSU164" s="146"/>
      <c r="OSV164" s="146"/>
      <c r="OSW164" s="146"/>
      <c r="OSX164" s="146"/>
      <c r="OSY164" s="146"/>
      <c r="OSZ164" s="146"/>
      <c r="OTA164" s="146"/>
      <c r="OTB164" s="146"/>
      <c r="OTC164" s="146"/>
      <c r="OTD164" s="146"/>
      <c r="OTE164" s="146"/>
      <c r="OTF164" s="146"/>
      <c r="OTG164" s="146"/>
      <c r="OTH164" s="146"/>
      <c r="OTI164" s="146"/>
      <c r="OTJ164" s="146"/>
      <c r="OTK164" s="146"/>
      <c r="OTL164" s="146"/>
      <c r="OTM164" s="146"/>
      <c r="OTN164" s="146"/>
      <c r="OTO164" s="146"/>
      <c r="OTP164" s="146"/>
      <c r="OTQ164" s="146"/>
      <c r="OTR164" s="146"/>
      <c r="OTS164" s="146"/>
      <c r="OTT164" s="146"/>
      <c r="OTU164" s="146"/>
      <c r="OTV164" s="146"/>
      <c r="OTW164" s="146"/>
      <c r="OTX164" s="146"/>
      <c r="OTY164" s="146"/>
      <c r="OTZ164" s="146"/>
      <c r="OUA164" s="146"/>
      <c r="OUB164" s="146"/>
      <c r="OUC164" s="146"/>
      <c r="OUD164" s="146"/>
      <c r="OUE164" s="146"/>
      <c r="OUF164" s="146"/>
      <c r="OUG164" s="146"/>
      <c r="OUH164" s="146"/>
      <c r="OUI164" s="146"/>
      <c r="OUJ164" s="146"/>
      <c r="OUK164" s="146"/>
      <c r="OUL164" s="146"/>
      <c r="OUM164" s="146"/>
      <c r="OUN164" s="146"/>
      <c r="OUO164" s="146"/>
      <c r="OUP164" s="146"/>
      <c r="OUQ164" s="146"/>
      <c r="OUR164" s="146"/>
      <c r="OUS164" s="146"/>
      <c r="OUT164" s="146"/>
      <c r="OUU164" s="146"/>
      <c r="OUV164" s="146"/>
      <c r="OUW164" s="146"/>
      <c r="OUX164" s="146"/>
      <c r="OUY164" s="146"/>
      <c r="OUZ164" s="146"/>
      <c r="OVA164" s="146"/>
      <c r="OVB164" s="146"/>
      <c r="OVC164" s="146"/>
      <c r="OVD164" s="146"/>
      <c r="OVE164" s="146"/>
      <c r="OVF164" s="146"/>
      <c r="OVG164" s="146"/>
      <c r="OVH164" s="146"/>
      <c r="OVI164" s="146"/>
      <c r="OVJ164" s="146"/>
      <c r="OVK164" s="146"/>
      <c r="OVL164" s="146"/>
      <c r="OVM164" s="146"/>
      <c r="OVN164" s="146"/>
      <c r="OVO164" s="146"/>
      <c r="OVP164" s="146"/>
      <c r="OVQ164" s="146"/>
      <c r="OVR164" s="146"/>
      <c r="OVS164" s="146"/>
      <c r="OVT164" s="146"/>
      <c r="OVU164" s="146"/>
      <c r="OVV164" s="146"/>
      <c r="OVW164" s="146"/>
      <c r="OVX164" s="146"/>
      <c r="OVY164" s="146"/>
      <c r="OVZ164" s="146"/>
      <c r="OWA164" s="146"/>
      <c r="OWB164" s="146"/>
      <c r="OWC164" s="146"/>
      <c r="OWD164" s="146"/>
      <c r="OWE164" s="146"/>
      <c r="OWF164" s="146"/>
      <c r="OWG164" s="146"/>
      <c r="OWH164" s="146"/>
      <c r="OWI164" s="146"/>
      <c r="OWJ164" s="146"/>
      <c r="OWK164" s="146"/>
      <c r="OWL164" s="146"/>
      <c r="OWM164" s="146"/>
      <c r="OWN164" s="146"/>
      <c r="OWO164" s="146"/>
      <c r="OWP164" s="146"/>
      <c r="OWQ164" s="146"/>
      <c r="OWR164" s="146"/>
      <c r="OWS164" s="146"/>
      <c r="OWT164" s="146"/>
      <c r="OWU164" s="146"/>
      <c r="OWV164" s="146"/>
      <c r="OWW164" s="146"/>
      <c r="OWX164" s="146"/>
      <c r="OWY164" s="146"/>
      <c r="OWZ164" s="146"/>
      <c r="OXA164" s="146"/>
      <c r="OXB164" s="146"/>
      <c r="OXC164" s="146"/>
      <c r="OXD164" s="146"/>
      <c r="OXE164" s="146"/>
      <c r="OXF164" s="146"/>
      <c r="OXG164" s="146"/>
      <c r="OXH164" s="146"/>
      <c r="OXI164" s="146"/>
      <c r="OXJ164" s="146"/>
      <c r="OXK164" s="146"/>
      <c r="OXL164" s="146"/>
      <c r="OXM164" s="146"/>
      <c r="OXN164" s="146"/>
      <c r="OXO164" s="146"/>
      <c r="OXP164" s="146"/>
      <c r="OXQ164" s="146"/>
      <c r="OXR164" s="146"/>
      <c r="OXS164" s="146"/>
      <c r="OXT164" s="146"/>
      <c r="OXU164" s="146"/>
      <c r="OXV164" s="146"/>
      <c r="OXW164" s="146"/>
      <c r="OXX164" s="146"/>
      <c r="OXY164" s="146"/>
      <c r="OXZ164" s="146"/>
      <c r="OYA164" s="146"/>
      <c r="OYB164" s="146"/>
      <c r="OYC164" s="146"/>
      <c r="OYD164" s="146"/>
      <c r="OYE164" s="146"/>
      <c r="OYF164" s="146"/>
      <c r="OYG164" s="146"/>
      <c r="OYH164" s="146"/>
      <c r="OYI164" s="146"/>
      <c r="OYJ164" s="146"/>
      <c r="OYK164" s="146"/>
      <c r="OYL164" s="146"/>
      <c r="OYM164" s="146"/>
      <c r="OYN164" s="146"/>
      <c r="OYO164" s="146"/>
      <c r="OYP164" s="146"/>
      <c r="OYQ164" s="146"/>
      <c r="OYR164" s="146"/>
      <c r="OYS164" s="146"/>
      <c r="OYT164" s="146"/>
      <c r="OYU164" s="146"/>
      <c r="OYV164" s="146"/>
      <c r="OYW164" s="146"/>
      <c r="OYX164" s="146"/>
      <c r="OYY164" s="146"/>
      <c r="OYZ164" s="146"/>
      <c r="OZA164" s="146"/>
      <c r="OZB164" s="146"/>
      <c r="OZC164" s="146"/>
      <c r="OZD164" s="146"/>
      <c r="OZE164" s="146"/>
      <c r="OZF164" s="146"/>
      <c r="OZG164" s="146"/>
      <c r="OZH164" s="146"/>
      <c r="OZI164" s="146"/>
      <c r="OZJ164" s="146"/>
      <c r="OZK164" s="146"/>
      <c r="OZL164" s="146"/>
      <c r="OZM164" s="146"/>
      <c r="OZN164" s="146"/>
      <c r="OZO164" s="146"/>
      <c r="OZP164" s="146"/>
      <c r="OZQ164" s="146"/>
      <c r="OZR164" s="146"/>
      <c r="OZS164" s="146"/>
      <c r="OZT164" s="146"/>
      <c r="OZU164" s="146"/>
      <c r="OZV164" s="146"/>
      <c r="OZW164" s="146"/>
      <c r="OZX164" s="146"/>
      <c r="OZY164" s="146"/>
      <c r="OZZ164" s="146"/>
      <c r="PAA164" s="146"/>
      <c r="PAB164" s="146"/>
      <c r="PAC164" s="146"/>
      <c r="PAD164" s="146"/>
      <c r="PAE164" s="146"/>
      <c r="PAF164" s="146"/>
      <c r="PAG164" s="146"/>
      <c r="PAH164" s="146"/>
      <c r="PAI164" s="146"/>
      <c r="PAJ164" s="146"/>
      <c r="PAK164" s="146"/>
      <c r="PAL164" s="146"/>
      <c r="PAM164" s="146"/>
      <c r="PAN164" s="146"/>
      <c r="PAO164" s="146"/>
      <c r="PAP164" s="146"/>
      <c r="PAQ164" s="146"/>
      <c r="PAR164" s="146"/>
      <c r="PAS164" s="146"/>
      <c r="PAT164" s="146"/>
      <c r="PAU164" s="146"/>
      <c r="PAV164" s="146"/>
      <c r="PAW164" s="146"/>
      <c r="PAX164" s="146"/>
      <c r="PAY164" s="146"/>
      <c r="PAZ164" s="146"/>
      <c r="PBA164" s="146"/>
      <c r="PBB164" s="146"/>
      <c r="PBC164" s="146"/>
      <c r="PBD164" s="146"/>
      <c r="PBE164" s="146"/>
      <c r="PBF164" s="146"/>
      <c r="PBG164" s="146"/>
      <c r="PBH164" s="146"/>
      <c r="PBI164" s="146"/>
      <c r="PBJ164" s="146"/>
      <c r="PBK164" s="146"/>
      <c r="PBL164" s="146"/>
      <c r="PBM164" s="146"/>
      <c r="PBN164" s="146"/>
      <c r="PBO164" s="146"/>
      <c r="PBP164" s="146"/>
      <c r="PBQ164" s="146"/>
      <c r="PBR164" s="146"/>
      <c r="PBS164" s="146"/>
      <c r="PBT164" s="146"/>
      <c r="PBU164" s="146"/>
      <c r="PBV164" s="146"/>
      <c r="PBW164" s="146"/>
      <c r="PBX164" s="146"/>
      <c r="PBY164" s="146"/>
      <c r="PBZ164" s="146"/>
      <c r="PCA164" s="146"/>
      <c r="PCB164" s="146"/>
      <c r="PCC164" s="146"/>
      <c r="PCD164" s="146"/>
      <c r="PCE164" s="146"/>
      <c r="PCF164" s="146"/>
      <c r="PCG164" s="146"/>
      <c r="PCH164" s="146"/>
      <c r="PCI164" s="146"/>
      <c r="PCJ164" s="146"/>
      <c r="PCK164" s="146"/>
      <c r="PCL164" s="146"/>
      <c r="PCM164" s="146"/>
      <c r="PCN164" s="146"/>
      <c r="PCO164" s="146"/>
      <c r="PCP164" s="146"/>
      <c r="PCQ164" s="146"/>
      <c r="PCR164" s="146"/>
      <c r="PCS164" s="146"/>
      <c r="PCT164" s="146"/>
      <c r="PCU164" s="146"/>
      <c r="PCV164" s="146"/>
      <c r="PCW164" s="146"/>
      <c r="PCX164" s="146"/>
      <c r="PCY164" s="146"/>
      <c r="PCZ164" s="146"/>
      <c r="PDA164" s="146"/>
      <c r="PDB164" s="146"/>
      <c r="PDC164" s="146"/>
      <c r="PDD164" s="146"/>
      <c r="PDE164" s="146"/>
      <c r="PDF164" s="146"/>
      <c r="PDG164" s="146"/>
      <c r="PDH164" s="146"/>
      <c r="PDI164" s="146"/>
      <c r="PDJ164" s="146"/>
      <c r="PDK164" s="146"/>
      <c r="PDL164" s="146"/>
      <c r="PDM164" s="146"/>
      <c r="PDN164" s="146"/>
      <c r="PDO164" s="146"/>
      <c r="PDP164" s="146"/>
      <c r="PDQ164" s="146"/>
      <c r="PDR164" s="146"/>
      <c r="PDS164" s="146"/>
      <c r="PDT164" s="146"/>
      <c r="PDU164" s="146"/>
      <c r="PDV164" s="146"/>
      <c r="PDW164" s="146"/>
      <c r="PDX164" s="146"/>
      <c r="PDY164" s="146"/>
      <c r="PDZ164" s="146"/>
      <c r="PEA164" s="146"/>
      <c r="PEB164" s="146"/>
      <c r="PEC164" s="146"/>
      <c r="PED164" s="146"/>
      <c r="PEE164" s="146"/>
      <c r="PEF164" s="146"/>
      <c r="PEG164" s="146"/>
      <c r="PEH164" s="146"/>
      <c r="PEI164" s="146"/>
      <c r="PEJ164" s="146"/>
      <c r="PEK164" s="146"/>
      <c r="PEL164" s="146"/>
      <c r="PEM164" s="146"/>
      <c r="PEN164" s="146"/>
      <c r="PEO164" s="146"/>
      <c r="PEP164" s="146"/>
      <c r="PEQ164" s="146"/>
      <c r="PER164" s="146"/>
      <c r="PES164" s="146"/>
      <c r="PET164" s="146"/>
      <c r="PEU164" s="146"/>
      <c r="PEV164" s="146"/>
      <c r="PEW164" s="146"/>
      <c r="PEX164" s="146"/>
      <c r="PEY164" s="146"/>
      <c r="PEZ164" s="146"/>
      <c r="PFA164" s="146"/>
      <c r="PFB164" s="146"/>
      <c r="PFC164" s="146"/>
      <c r="PFD164" s="146"/>
      <c r="PFE164" s="146"/>
      <c r="PFF164" s="146"/>
      <c r="PFG164" s="146"/>
      <c r="PFH164" s="146"/>
      <c r="PFI164" s="146"/>
      <c r="PFJ164" s="146"/>
      <c r="PFK164" s="146"/>
      <c r="PFL164" s="146"/>
      <c r="PFM164" s="146"/>
      <c r="PFN164" s="146"/>
      <c r="PFO164" s="146"/>
      <c r="PFP164" s="146"/>
      <c r="PFQ164" s="146"/>
      <c r="PFR164" s="146"/>
      <c r="PFS164" s="146"/>
      <c r="PFT164" s="146"/>
      <c r="PFU164" s="146"/>
      <c r="PFV164" s="146"/>
      <c r="PFW164" s="146"/>
      <c r="PFX164" s="146"/>
      <c r="PFY164" s="146"/>
      <c r="PFZ164" s="146"/>
      <c r="PGA164" s="146"/>
      <c r="PGB164" s="146"/>
      <c r="PGC164" s="146"/>
      <c r="PGD164" s="146"/>
      <c r="PGE164" s="146"/>
      <c r="PGF164" s="146"/>
      <c r="PGG164" s="146"/>
      <c r="PGH164" s="146"/>
      <c r="PGI164" s="146"/>
      <c r="PGJ164" s="146"/>
      <c r="PGK164" s="146"/>
      <c r="PGL164" s="146"/>
      <c r="PGM164" s="146"/>
      <c r="PGN164" s="146"/>
      <c r="PGO164" s="146"/>
      <c r="PGP164" s="146"/>
      <c r="PGQ164" s="146"/>
      <c r="PGR164" s="146"/>
      <c r="PGS164" s="146"/>
      <c r="PGT164" s="146"/>
      <c r="PGU164" s="146"/>
      <c r="PGV164" s="146"/>
      <c r="PGW164" s="146"/>
      <c r="PGX164" s="146"/>
      <c r="PGY164" s="146"/>
      <c r="PGZ164" s="146"/>
      <c r="PHA164" s="146"/>
      <c r="PHB164" s="146"/>
      <c r="PHC164" s="146"/>
      <c r="PHD164" s="146"/>
      <c r="PHE164" s="146"/>
      <c r="PHF164" s="146"/>
      <c r="PHG164" s="146"/>
      <c r="PHH164" s="146"/>
      <c r="PHI164" s="146"/>
      <c r="PHJ164" s="146"/>
      <c r="PHK164" s="146"/>
      <c r="PHL164" s="146"/>
      <c r="PHM164" s="146"/>
      <c r="PHN164" s="146"/>
      <c r="PHO164" s="146"/>
      <c r="PHP164" s="146"/>
      <c r="PHQ164" s="146"/>
      <c r="PHR164" s="146"/>
      <c r="PHS164" s="146"/>
      <c r="PHT164" s="146"/>
      <c r="PHU164" s="146"/>
      <c r="PHV164" s="146"/>
      <c r="PHW164" s="146"/>
      <c r="PHX164" s="146"/>
      <c r="PHY164" s="146"/>
      <c r="PHZ164" s="146"/>
      <c r="PIA164" s="146"/>
      <c r="PIB164" s="146"/>
      <c r="PIC164" s="146"/>
      <c r="PID164" s="146"/>
      <c r="PIE164" s="146"/>
      <c r="PIF164" s="146"/>
      <c r="PIG164" s="146"/>
      <c r="PIH164" s="146"/>
      <c r="PII164" s="146"/>
      <c r="PIJ164" s="146"/>
      <c r="PIK164" s="146"/>
      <c r="PIL164" s="146"/>
      <c r="PIM164" s="146"/>
      <c r="PIN164" s="146"/>
      <c r="PIO164" s="146"/>
      <c r="PIP164" s="146"/>
      <c r="PIQ164" s="146"/>
      <c r="PIR164" s="146"/>
      <c r="PIS164" s="146"/>
      <c r="PIT164" s="146"/>
      <c r="PIU164" s="146"/>
      <c r="PIV164" s="146"/>
      <c r="PIW164" s="146"/>
      <c r="PIX164" s="146"/>
      <c r="PIY164" s="146"/>
      <c r="PIZ164" s="146"/>
      <c r="PJA164" s="146"/>
      <c r="PJB164" s="146"/>
      <c r="PJC164" s="146"/>
      <c r="PJD164" s="146"/>
      <c r="PJE164" s="146"/>
      <c r="PJF164" s="146"/>
      <c r="PJG164" s="146"/>
      <c r="PJH164" s="146"/>
      <c r="PJI164" s="146"/>
      <c r="PJJ164" s="146"/>
      <c r="PJK164" s="146"/>
      <c r="PJL164" s="146"/>
      <c r="PJM164" s="146"/>
      <c r="PJN164" s="146"/>
      <c r="PJO164" s="146"/>
      <c r="PJP164" s="146"/>
      <c r="PJQ164" s="146"/>
      <c r="PJR164" s="146"/>
      <c r="PJS164" s="146"/>
      <c r="PJT164" s="146"/>
      <c r="PJU164" s="146"/>
      <c r="PJV164" s="146"/>
      <c r="PJW164" s="146"/>
      <c r="PJX164" s="146"/>
      <c r="PJY164" s="146"/>
      <c r="PJZ164" s="146"/>
      <c r="PKA164" s="146"/>
      <c r="PKB164" s="146"/>
      <c r="PKC164" s="146"/>
      <c r="PKD164" s="146"/>
      <c r="PKE164" s="146"/>
      <c r="PKF164" s="146"/>
      <c r="PKG164" s="146"/>
      <c r="PKH164" s="146"/>
      <c r="PKI164" s="146"/>
      <c r="PKJ164" s="146"/>
      <c r="PKK164" s="146"/>
      <c r="PKL164" s="146"/>
      <c r="PKM164" s="146"/>
      <c r="PKN164" s="146"/>
      <c r="PKO164" s="146"/>
      <c r="PKP164" s="146"/>
      <c r="PKQ164" s="146"/>
      <c r="PKR164" s="146"/>
      <c r="PKS164" s="146"/>
      <c r="PKT164" s="146"/>
      <c r="PKU164" s="146"/>
      <c r="PKV164" s="146"/>
      <c r="PKW164" s="146"/>
      <c r="PKX164" s="146"/>
      <c r="PKY164" s="146"/>
      <c r="PKZ164" s="146"/>
      <c r="PLA164" s="146"/>
      <c r="PLB164" s="146"/>
      <c r="PLC164" s="146"/>
      <c r="PLD164" s="146"/>
      <c r="PLE164" s="146"/>
      <c r="PLF164" s="146"/>
      <c r="PLG164" s="146"/>
      <c r="PLH164" s="146"/>
      <c r="PLI164" s="146"/>
      <c r="PLJ164" s="146"/>
      <c r="PLK164" s="146"/>
      <c r="PLL164" s="146"/>
      <c r="PLM164" s="146"/>
      <c r="PLN164" s="146"/>
      <c r="PLO164" s="146"/>
      <c r="PLP164" s="146"/>
      <c r="PLQ164" s="146"/>
      <c r="PLR164" s="146"/>
      <c r="PLS164" s="146"/>
      <c r="PLT164" s="146"/>
      <c r="PLU164" s="146"/>
      <c r="PLV164" s="146"/>
      <c r="PLW164" s="146"/>
      <c r="PLX164" s="146"/>
      <c r="PLY164" s="146"/>
      <c r="PLZ164" s="146"/>
      <c r="PMA164" s="146"/>
      <c r="PMB164" s="146"/>
      <c r="PMC164" s="146"/>
      <c r="PMD164" s="146"/>
      <c r="PME164" s="146"/>
      <c r="PMF164" s="146"/>
      <c r="PMG164" s="146"/>
      <c r="PMH164" s="146"/>
      <c r="PMI164" s="146"/>
      <c r="PMJ164" s="146"/>
      <c r="PMK164" s="146"/>
      <c r="PML164" s="146"/>
      <c r="PMM164" s="146"/>
      <c r="PMN164" s="146"/>
      <c r="PMO164" s="146"/>
      <c r="PMP164" s="146"/>
      <c r="PMQ164" s="146"/>
      <c r="PMR164" s="146"/>
      <c r="PMS164" s="146"/>
      <c r="PMT164" s="146"/>
      <c r="PMU164" s="146"/>
      <c r="PMV164" s="146"/>
      <c r="PMW164" s="146"/>
      <c r="PMX164" s="146"/>
      <c r="PMY164" s="146"/>
      <c r="PMZ164" s="146"/>
      <c r="PNA164" s="146"/>
      <c r="PNB164" s="146"/>
      <c r="PNC164" s="146"/>
      <c r="PND164" s="146"/>
      <c r="PNE164" s="146"/>
      <c r="PNF164" s="146"/>
      <c r="PNG164" s="146"/>
      <c r="PNH164" s="146"/>
      <c r="PNI164" s="146"/>
      <c r="PNJ164" s="146"/>
      <c r="PNK164" s="146"/>
      <c r="PNL164" s="146"/>
      <c r="PNM164" s="146"/>
      <c r="PNN164" s="146"/>
      <c r="PNO164" s="146"/>
      <c r="PNP164" s="146"/>
      <c r="PNQ164" s="146"/>
      <c r="PNR164" s="146"/>
      <c r="PNS164" s="146"/>
      <c r="PNT164" s="146"/>
      <c r="PNU164" s="146"/>
      <c r="PNV164" s="146"/>
      <c r="PNW164" s="146"/>
      <c r="PNX164" s="146"/>
      <c r="PNY164" s="146"/>
      <c r="PNZ164" s="146"/>
      <c r="POA164" s="146"/>
      <c r="POB164" s="146"/>
      <c r="POC164" s="146"/>
      <c r="POD164" s="146"/>
      <c r="POE164" s="146"/>
      <c r="POF164" s="146"/>
      <c r="POG164" s="146"/>
      <c r="POH164" s="146"/>
      <c r="POI164" s="146"/>
      <c r="POJ164" s="146"/>
      <c r="POK164" s="146"/>
      <c r="POL164" s="146"/>
      <c r="POM164" s="146"/>
      <c r="PON164" s="146"/>
      <c r="POO164" s="146"/>
      <c r="POP164" s="146"/>
      <c r="POQ164" s="146"/>
      <c r="POR164" s="146"/>
      <c r="POS164" s="146"/>
      <c r="POT164" s="146"/>
      <c r="POU164" s="146"/>
      <c r="POV164" s="146"/>
      <c r="POW164" s="146"/>
      <c r="POX164" s="146"/>
      <c r="POY164" s="146"/>
      <c r="POZ164" s="146"/>
      <c r="PPA164" s="146"/>
      <c r="PPB164" s="146"/>
      <c r="PPC164" s="146"/>
      <c r="PPD164" s="146"/>
      <c r="PPE164" s="146"/>
      <c r="PPF164" s="146"/>
      <c r="PPG164" s="146"/>
      <c r="PPH164" s="146"/>
      <c r="PPI164" s="146"/>
      <c r="PPJ164" s="146"/>
      <c r="PPK164" s="146"/>
      <c r="PPL164" s="146"/>
      <c r="PPM164" s="146"/>
      <c r="PPN164" s="146"/>
      <c r="PPO164" s="146"/>
      <c r="PPP164" s="146"/>
      <c r="PPQ164" s="146"/>
      <c r="PPR164" s="146"/>
      <c r="PPS164" s="146"/>
      <c r="PPT164" s="146"/>
      <c r="PPU164" s="146"/>
      <c r="PPV164" s="146"/>
      <c r="PPW164" s="146"/>
      <c r="PPX164" s="146"/>
      <c r="PPY164" s="146"/>
      <c r="PPZ164" s="146"/>
      <c r="PQA164" s="146"/>
      <c r="PQB164" s="146"/>
      <c r="PQC164" s="146"/>
      <c r="PQD164" s="146"/>
      <c r="PQE164" s="146"/>
      <c r="PQF164" s="146"/>
      <c r="PQG164" s="146"/>
      <c r="PQH164" s="146"/>
      <c r="PQI164" s="146"/>
      <c r="PQJ164" s="146"/>
      <c r="PQK164" s="146"/>
      <c r="PQL164" s="146"/>
      <c r="PQM164" s="146"/>
      <c r="PQN164" s="146"/>
      <c r="PQO164" s="146"/>
      <c r="PQP164" s="146"/>
      <c r="PQQ164" s="146"/>
      <c r="PQR164" s="146"/>
      <c r="PQS164" s="146"/>
      <c r="PQT164" s="146"/>
      <c r="PQU164" s="146"/>
      <c r="PQV164" s="146"/>
      <c r="PQW164" s="146"/>
      <c r="PQX164" s="146"/>
      <c r="PQY164" s="146"/>
      <c r="PQZ164" s="146"/>
      <c r="PRA164" s="146"/>
      <c r="PRB164" s="146"/>
      <c r="PRC164" s="146"/>
      <c r="PRD164" s="146"/>
      <c r="PRE164" s="146"/>
      <c r="PRF164" s="146"/>
      <c r="PRG164" s="146"/>
      <c r="PRH164" s="146"/>
      <c r="PRI164" s="146"/>
      <c r="PRJ164" s="146"/>
      <c r="PRK164" s="146"/>
      <c r="PRL164" s="146"/>
      <c r="PRM164" s="146"/>
      <c r="PRN164" s="146"/>
      <c r="PRO164" s="146"/>
      <c r="PRP164" s="146"/>
      <c r="PRQ164" s="146"/>
      <c r="PRR164" s="146"/>
      <c r="PRS164" s="146"/>
      <c r="PRT164" s="146"/>
      <c r="PRU164" s="146"/>
      <c r="PRV164" s="146"/>
      <c r="PRW164" s="146"/>
      <c r="PRX164" s="146"/>
      <c r="PRY164" s="146"/>
      <c r="PRZ164" s="146"/>
      <c r="PSA164" s="146"/>
      <c r="PSB164" s="146"/>
      <c r="PSC164" s="146"/>
      <c r="PSD164" s="146"/>
      <c r="PSE164" s="146"/>
      <c r="PSF164" s="146"/>
      <c r="PSG164" s="146"/>
      <c r="PSH164" s="146"/>
      <c r="PSI164" s="146"/>
      <c r="PSJ164" s="146"/>
      <c r="PSK164" s="146"/>
      <c r="PSL164" s="146"/>
      <c r="PSM164" s="146"/>
      <c r="PSN164" s="146"/>
      <c r="PSO164" s="146"/>
      <c r="PSP164" s="146"/>
      <c r="PSQ164" s="146"/>
      <c r="PSR164" s="146"/>
      <c r="PSS164" s="146"/>
      <c r="PST164" s="146"/>
      <c r="PSU164" s="146"/>
      <c r="PSV164" s="146"/>
      <c r="PSW164" s="146"/>
      <c r="PSX164" s="146"/>
      <c r="PSY164" s="146"/>
      <c r="PSZ164" s="146"/>
      <c r="PTA164" s="146"/>
      <c r="PTB164" s="146"/>
      <c r="PTC164" s="146"/>
      <c r="PTD164" s="146"/>
      <c r="PTE164" s="146"/>
      <c r="PTF164" s="146"/>
      <c r="PTG164" s="146"/>
      <c r="PTH164" s="146"/>
      <c r="PTI164" s="146"/>
      <c r="PTJ164" s="146"/>
      <c r="PTK164" s="146"/>
      <c r="PTL164" s="146"/>
      <c r="PTM164" s="146"/>
      <c r="PTN164" s="146"/>
      <c r="PTO164" s="146"/>
      <c r="PTP164" s="146"/>
      <c r="PTQ164" s="146"/>
      <c r="PTR164" s="146"/>
      <c r="PTS164" s="146"/>
      <c r="PTT164" s="146"/>
      <c r="PTU164" s="146"/>
      <c r="PTV164" s="146"/>
      <c r="PTW164" s="146"/>
      <c r="PTX164" s="146"/>
      <c r="PTY164" s="146"/>
      <c r="PTZ164" s="146"/>
      <c r="PUA164" s="146"/>
      <c r="PUB164" s="146"/>
      <c r="PUC164" s="146"/>
      <c r="PUD164" s="146"/>
      <c r="PUE164" s="146"/>
      <c r="PUF164" s="146"/>
      <c r="PUG164" s="146"/>
      <c r="PUH164" s="146"/>
      <c r="PUI164" s="146"/>
      <c r="PUJ164" s="146"/>
      <c r="PUK164" s="146"/>
      <c r="PUL164" s="146"/>
      <c r="PUM164" s="146"/>
      <c r="PUN164" s="146"/>
      <c r="PUO164" s="146"/>
      <c r="PUP164" s="146"/>
      <c r="PUQ164" s="146"/>
      <c r="PUR164" s="146"/>
      <c r="PUS164" s="146"/>
      <c r="PUT164" s="146"/>
      <c r="PUU164" s="146"/>
      <c r="PUV164" s="146"/>
      <c r="PUW164" s="146"/>
      <c r="PUX164" s="146"/>
      <c r="PUY164" s="146"/>
      <c r="PUZ164" s="146"/>
      <c r="PVA164" s="146"/>
      <c r="PVB164" s="146"/>
      <c r="PVC164" s="146"/>
      <c r="PVD164" s="146"/>
      <c r="PVE164" s="146"/>
      <c r="PVF164" s="146"/>
      <c r="PVG164" s="146"/>
      <c r="PVH164" s="146"/>
      <c r="PVI164" s="146"/>
      <c r="PVJ164" s="146"/>
      <c r="PVK164" s="146"/>
      <c r="PVL164" s="146"/>
      <c r="PVM164" s="146"/>
      <c r="PVN164" s="146"/>
      <c r="PVO164" s="146"/>
      <c r="PVP164" s="146"/>
      <c r="PVQ164" s="146"/>
      <c r="PVR164" s="146"/>
      <c r="PVS164" s="146"/>
      <c r="PVT164" s="146"/>
      <c r="PVU164" s="146"/>
      <c r="PVV164" s="146"/>
      <c r="PVW164" s="146"/>
      <c r="PVX164" s="146"/>
      <c r="PVY164" s="146"/>
      <c r="PVZ164" s="146"/>
      <c r="PWA164" s="146"/>
      <c r="PWB164" s="146"/>
      <c r="PWC164" s="146"/>
      <c r="PWD164" s="146"/>
      <c r="PWE164" s="146"/>
      <c r="PWF164" s="146"/>
      <c r="PWG164" s="146"/>
      <c r="PWH164" s="146"/>
      <c r="PWI164" s="146"/>
      <c r="PWJ164" s="146"/>
      <c r="PWK164" s="146"/>
      <c r="PWL164" s="146"/>
      <c r="PWM164" s="146"/>
      <c r="PWN164" s="146"/>
      <c r="PWO164" s="146"/>
      <c r="PWP164" s="146"/>
      <c r="PWQ164" s="146"/>
      <c r="PWR164" s="146"/>
      <c r="PWS164" s="146"/>
      <c r="PWT164" s="146"/>
      <c r="PWU164" s="146"/>
      <c r="PWV164" s="146"/>
      <c r="PWW164" s="146"/>
      <c r="PWX164" s="146"/>
      <c r="PWY164" s="146"/>
      <c r="PWZ164" s="146"/>
      <c r="PXA164" s="146"/>
      <c r="PXB164" s="146"/>
      <c r="PXC164" s="146"/>
      <c r="PXD164" s="146"/>
      <c r="PXE164" s="146"/>
      <c r="PXF164" s="146"/>
      <c r="PXG164" s="146"/>
      <c r="PXH164" s="146"/>
      <c r="PXI164" s="146"/>
      <c r="PXJ164" s="146"/>
      <c r="PXK164" s="146"/>
      <c r="PXL164" s="146"/>
      <c r="PXM164" s="146"/>
      <c r="PXN164" s="146"/>
      <c r="PXO164" s="146"/>
      <c r="PXP164" s="146"/>
      <c r="PXQ164" s="146"/>
      <c r="PXR164" s="146"/>
      <c r="PXS164" s="146"/>
      <c r="PXT164" s="146"/>
      <c r="PXU164" s="146"/>
      <c r="PXV164" s="146"/>
      <c r="PXW164" s="146"/>
      <c r="PXX164" s="146"/>
      <c r="PXY164" s="146"/>
      <c r="PXZ164" s="146"/>
      <c r="PYA164" s="146"/>
      <c r="PYB164" s="146"/>
      <c r="PYC164" s="146"/>
      <c r="PYD164" s="146"/>
      <c r="PYE164" s="146"/>
      <c r="PYF164" s="146"/>
      <c r="PYG164" s="146"/>
      <c r="PYH164" s="146"/>
      <c r="PYI164" s="146"/>
      <c r="PYJ164" s="146"/>
      <c r="PYK164" s="146"/>
      <c r="PYL164" s="146"/>
      <c r="PYM164" s="146"/>
      <c r="PYN164" s="146"/>
      <c r="PYO164" s="146"/>
      <c r="PYP164" s="146"/>
      <c r="PYQ164" s="146"/>
      <c r="PYR164" s="146"/>
      <c r="PYS164" s="146"/>
      <c r="PYT164" s="146"/>
      <c r="PYU164" s="146"/>
      <c r="PYV164" s="146"/>
      <c r="PYW164" s="146"/>
      <c r="PYX164" s="146"/>
      <c r="PYY164" s="146"/>
      <c r="PYZ164" s="146"/>
      <c r="PZA164" s="146"/>
      <c r="PZB164" s="146"/>
      <c r="PZC164" s="146"/>
      <c r="PZD164" s="146"/>
      <c r="PZE164" s="146"/>
      <c r="PZF164" s="146"/>
      <c r="PZG164" s="146"/>
      <c r="PZH164" s="146"/>
      <c r="PZI164" s="146"/>
      <c r="PZJ164" s="146"/>
      <c r="PZK164" s="146"/>
      <c r="PZL164" s="146"/>
      <c r="PZM164" s="146"/>
      <c r="PZN164" s="146"/>
      <c r="PZO164" s="146"/>
      <c r="PZP164" s="146"/>
      <c r="PZQ164" s="146"/>
      <c r="PZR164" s="146"/>
      <c r="PZS164" s="146"/>
      <c r="PZT164" s="146"/>
      <c r="PZU164" s="146"/>
      <c r="PZV164" s="146"/>
      <c r="PZW164" s="146"/>
      <c r="PZX164" s="146"/>
      <c r="PZY164" s="146"/>
      <c r="PZZ164" s="146"/>
      <c r="QAA164" s="146"/>
      <c r="QAB164" s="146"/>
      <c r="QAC164" s="146"/>
      <c r="QAD164" s="146"/>
      <c r="QAE164" s="146"/>
      <c r="QAF164" s="146"/>
      <c r="QAG164" s="146"/>
      <c r="QAH164" s="146"/>
      <c r="QAI164" s="146"/>
      <c r="QAJ164" s="146"/>
      <c r="QAK164" s="146"/>
      <c r="QAL164" s="146"/>
      <c r="QAM164" s="146"/>
      <c r="QAN164" s="146"/>
      <c r="QAO164" s="146"/>
      <c r="QAP164" s="146"/>
      <c r="QAQ164" s="146"/>
      <c r="QAR164" s="146"/>
      <c r="QAS164" s="146"/>
      <c r="QAT164" s="146"/>
      <c r="QAU164" s="146"/>
      <c r="QAV164" s="146"/>
      <c r="QAW164" s="146"/>
      <c r="QAX164" s="146"/>
      <c r="QAY164" s="146"/>
      <c r="QAZ164" s="146"/>
      <c r="QBA164" s="146"/>
      <c r="QBB164" s="146"/>
      <c r="QBC164" s="146"/>
      <c r="QBD164" s="146"/>
      <c r="QBE164" s="146"/>
      <c r="QBF164" s="146"/>
      <c r="QBG164" s="146"/>
      <c r="QBH164" s="146"/>
      <c r="QBI164" s="146"/>
      <c r="QBJ164" s="146"/>
      <c r="QBK164" s="146"/>
      <c r="QBL164" s="146"/>
      <c r="QBM164" s="146"/>
      <c r="QBN164" s="146"/>
      <c r="QBO164" s="146"/>
      <c r="QBP164" s="146"/>
      <c r="QBQ164" s="146"/>
      <c r="QBR164" s="146"/>
      <c r="QBS164" s="146"/>
      <c r="QBT164" s="146"/>
      <c r="QBU164" s="146"/>
      <c r="QBV164" s="146"/>
      <c r="QBW164" s="146"/>
      <c r="QBX164" s="146"/>
      <c r="QBY164" s="146"/>
      <c r="QBZ164" s="146"/>
      <c r="QCA164" s="146"/>
      <c r="QCB164" s="146"/>
      <c r="QCC164" s="146"/>
      <c r="QCD164" s="146"/>
      <c r="QCE164" s="146"/>
      <c r="QCF164" s="146"/>
      <c r="QCG164" s="146"/>
      <c r="QCH164" s="146"/>
      <c r="QCI164" s="146"/>
      <c r="QCJ164" s="146"/>
      <c r="QCK164" s="146"/>
      <c r="QCL164" s="146"/>
      <c r="QCM164" s="146"/>
      <c r="QCN164" s="146"/>
      <c r="QCO164" s="146"/>
      <c r="QCP164" s="146"/>
      <c r="QCQ164" s="146"/>
      <c r="QCR164" s="146"/>
      <c r="QCS164" s="146"/>
      <c r="QCT164" s="146"/>
      <c r="QCU164" s="146"/>
      <c r="QCV164" s="146"/>
      <c r="QCW164" s="146"/>
      <c r="QCX164" s="146"/>
      <c r="QCY164" s="146"/>
      <c r="QCZ164" s="146"/>
      <c r="QDA164" s="146"/>
      <c r="QDB164" s="146"/>
      <c r="QDC164" s="146"/>
      <c r="QDD164" s="146"/>
      <c r="QDE164" s="146"/>
      <c r="QDF164" s="146"/>
      <c r="QDG164" s="146"/>
      <c r="QDH164" s="146"/>
      <c r="QDI164" s="146"/>
      <c r="QDJ164" s="146"/>
      <c r="QDK164" s="146"/>
      <c r="QDL164" s="146"/>
      <c r="QDM164" s="146"/>
      <c r="QDN164" s="146"/>
      <c r="QDO164" s="146"/>
      <c r="QDP164" s="146"/>
      <c r="QDQ164" s="146"/>
      <c r="QDR164" s="146"/>
      <c r="QDS164" s="146"/>
      <c r="QDT164" s="146"/>
      <c r="QDU164" s="146"/>
      <c r="QDV164" s="146"/>
      <c r="QDW164" s="146"/>
      <c r="QDX164" s="146"/>
      <c r="QDY164" s="146"/>
      <c r="QDZ164" s="146"/>
      <c r="QEA164" s="146"/>
      <c r="QEB164" s="146"/>
      <c r="QEC164" s="146"/>
      <c r="QED164" s="146"/>
      <c r="QEE164" s="146"/>
      <c r="QEF164" s="146"/>
      <c r="QEG164" s="146"/>
      <c r="QEH164" s="146"/>
      <c r="QEI164" s="146"/>
      <c r="QEJ164" s="146"/>
      <c r="QEK164" s="146"/>
      <c r="QEL164" s="146"/>
      <c r="QEM164" s="146"/>
      <c r="QEN164" s="146"/>
      <c r="QEO164" s="146"/>
      <c r="QEP164" s="146"/>
      <c r="QEQ164" s="146"/>
      <c r="QER164" s="146"/>
      <c r="QES164" s="146"/>
      <c r="QET164" s="146"/>
      <c r="QEU164" s="146"/>
      <c r="QEV164" s="146"/>
      <c r="QEW164" s="146"/>
      <c r="QEX164" s="146"/>
      <c r="QEY164" s="146"/>
      <c r="QEZ164" s="146"/>
      <c r="QFA164" s="146"/>
      <c r="QFB164" s="146"/>
      <c r="QFC164" s="146"/>
      <c r="QFD164" s="146"/>
      <c r="QFE164" s="146"/>
      <c r="QFF164" s="146"/>
      <c r="QFG164" s="146"/>
      <c r="QFH164" s="146"/>
      <c r="QFI164" s="146"/>
      <c r="QFJ164" s="146"/>
      <c r="QFK164" s="146"/>
      <c r="QFL164" s="146"/>
      <c r="QFM164" s="146"/>
      <c r="QFN164" s="146"/>
      <c r="QFO164" s="146"/>
      <c r="QFP164" s="146"/>
      <c r="QFQ164" s="146"/>
      <c r="QFR164" s="146"/>
      <c r="QFS164" s="146"/>
      <c r="QFT164" s="146"/>
      <c r="QFU164" s="146"/>
      <c r="QFV164" s="146"/>
      <c r="QFW164" s="146"/>
      <c r="QFX164" s="146"/>
      <c r="QFY164" s="146"/>
      <c r="QFZ164" s="146"/>
      <c r="QGA164" s="146"/>
      <c r="QGB164" s="146"/>
      <c r="QGC164" s="146"/>
      <c r="QGD164" s="146"/>
      <c r="QGE164" s="146"/>
      <c r="QGF164" s="146"/>
      <c r="QGG164" s="146"/>
      <c r="QGH164" s="146"/>
      <c r="QGI164" s="146"/>
      <c r="QGJ164" s="146"/>
      <c r="QGK164" s="146"/>
      <c r="QGL164" s="146"/>
      <c r="QGM164" s="146"/>
      <c r="QGN164" s="146"/>
      <c r="QGO164" s="146"/>
      <c r="QGP164" s="146"/>
      <c r="QGQ164" s="146"/>
      <c r="QGR164" s="146"/>
      <c r="QGS164" s="146"/>
      <c r="QGT164" s="146"/>
      <c r="QGU164" s="146"/>
      <c r="QGV164" s="146"/>
      <c r="QGW164" s="146"/>
      <c r="QGX164" s="146"/>
      <c r="QGY164" s="146"/>
      <c r="QGZ164" s="146"/>
      <c r="QHA164" s="146"/>
      <c r="QHB164" s="146"/>
      <c r="QHC164" s="146"/>
      <c r="QHD164" s="146"/>
      <c r="QHE164" s="146"/>
      <c r="QHF164" s="146"/>
      <c r="QHG164" s="146"/>
      <c r="QHH164" s="146"/>
      <c r="QHI164" s="146"/>
      <c r="QHJ164" s="146"/>
      <c r="QHK164" s="146"/>
      <c r="QHL164" s="146"/>
      <c r="QHM164" s="146"/>
      <c r="QHN164" s="146"/>
      <c r="QHO164" s="146"/>
      <c r="QHP164" s="146"/>
      <c r="QHQ164" s="146"/>
      <c r="QHR164" s="146"/>
      <c r="QHS164" s="146"/>
      <c r="QHT164" s="146"/>
      <c r="QHU164" s="146"/>
      <c r="QHV164" s="146"/>
      <c r="QHW164" s="146"/>
      <c r="QHX164" s="146"/>
      <c r="QHY164" s="146"/>
      <c r="QHZ164" s="146"/>
      <c r="QIA164" s="146"/>
      <c r="QIB164" s="146"/>
      <c r="QIC164" s="146"/>
      <c r="QID164" s="146"/>
      <c r="QIE164" s="146"/>
      <c r="QIF164" s="146"/>
      <c r="QIG164" s="146"/>
      <c r="QIH164" s="146"/>
      <c r="QII164" s="146"/>
      <c r="QIJ164" s="146"/>
      <c r="QIK164" s="146"/>
      <c r="QIL164" s="146"/>
      <c r="QIM164" s="146"/>
      <c r="QIN164" s="146"/>
      <c r="QIO164" s="146"/>
      <c r="QIP164" s="146"/>
      <c r="QIQ164" s="146"/>
      <c r="QIR164" s="146"/>
      <c r="QIS164" s="146"/>
      <c r="QIT164" s="146"/>
      <c r="QIU164" s="146"/>
      <c r="QIV164" s="146"/>
      <c r="QIW164" s="146"/>
      <c r="QIX164" s="146"/>
      <c r="QIY164" s="146"/>
      <c r="QIZ164" s="146"/>
      <c r="QJA164" s="146"/>
      <c r="QJB164" s="146"/>
      <c r="QJC164" s="146"/>
      <c r="QJD164" s="146"/>
      <c r="QJE164" s="146"/>
      <c r="QJF164" s="146"/>
      <c r="QJG164" s="146"/>
      <c r="QJH164" s="146"/>
      <c r="QJI164" s="146"/>
      <c r="QJJ164" s="146"/>
      <c r="QJK164" s="146"/>
      <c r="QJL164" s="146"/>
      <c r="QJM164" s="146"/>
      <c r="QJN164" s="146"/>
      <c r="QJO164" s="146"/>
      <c r="QJP164" s="146"/>
      <c r="QJQ164" s="146"/>
      <c r="QJR164" s="146"/>
      <c r="QJS164" s="146"/>
      <c r="QJT164" s="146"/>
      <c r="QJU164" s="146"/>
      <c r="QJV164" s="146"/>
      <c r="QJW164" s="146"/>
      <c r="QJX164" s="146"/>
      <c r="QJY164" s="146"/>
      <c r="QJZ164" s="146"/>
      <c r="QKA164" s="146"/>
      <c r="QKB164" s="146"/>
      <c r="QKC164" s="146"/>
      <c r="QKD164" s="146"/>
      <c r="QKE164" s="146"/>
      <c r="QKF164" s="146"/>
      <c r="QKG164" s="146"/>
      <c r="QKH164" s="146"/>
      <c r="QKI164" s="146"/>
      <c r="QKJ164" s="146"/>
      <c r="QKK164" s="146"/>
      <c r="QKL164" s="146"/>
      <c r="QKM164" s="146"/>
      <c r="QKN164" s="146"/>
      <c r="QKO164" s="146"/>
      <c r="QKP164" s="146"/>
      <c r="QKQ164" s="146"/>
      <c r="QKR164" s="146"/>
      <c r="QKS164" s="146"/>
      <c r="QKT164" s="146"/>
      <c r="QKU164" s="146"/>
      <c r="QKV164" s="146"/>
      <c r="QKW164" s="146"/>
      <c r="QKX164" s="146"/>
      <c r="QKY164" s="146"/>
      <c r="QKZ164" s="146"/>
      <c r="QLA164" s="146"/>
      <c r="QLB164" s="146"/>
      <c r="QLC164" s="146"/>
      <c r="QLD164" s="146"/>
      <c r="QLE164" s="146"/>
      <c r="QLF164" s="146"/>
      <c r="QLG164" s="146"/>
      <c r="QLH164" s="146"/>
      <c r="QLI164" s="146"/>
      <c r="QLJ164" s="146"/>
      <c r="QLK164" s="146"/>
      <c r="QLL164" s="146"/>
      <c r="QLM164" s="146"/>
      <c r="QLN164" s="146"/>
      <c r="QLO164" s="146"/>
      <c r="QLP164" s="146"/>
      <c r="QLQ164" s="146"/>
      <c r="QLR164" s="146"/>
      <c r="QLS164" s="146"/>
      <c r="QLT164" s="146"/>
      <c r="QLU164" s="146"/>
      <c r="QLV164" s="146"/>
      <c r="QLW164" s="146"/>
      <c r="QLX164" s="146"/>
      <c r="QLY164" s="146"/>
      <c r="QLZ164" s="146"/>
      <c r="QMA164" s="146"/>
      <c r="QMB164" s="146"/>
      <c r="QMC164" s="146"/>
      <c r="QMD164" s="146"/>
      <c r="QME164" s="146"/>
      <c r="QMF164" s="146"/>
      <c r="QMG164" s="146"/>
      <c r="QMH164" s="146"/>
      <c r="QMI164" s="146"/>
      <c r="QMJ164" s="146"/>
      <c r="QMK164" s="146"/>
      <c r="QML164" s="146"/>
      <c r="QMM164" s="146"/>
      <c r="QMN164" s="146"/>
      <c r="QMO164" s="146"/>
      <c r="QMP164" s="146"/>
      <c r="QMQ164" s="146"/>
      <c r="QMR164" s="146"/>
      <c r="QMS164" s="146"/>
      <c r="QMT164" s="146"/>
      <c r="QMU164" s="146"/>
      <c r="QMV164" s="146"/>
      <c r="QMW164" s="146"/>
      <c r="QMX164" s="146"/>
      <c r="QMY164" s="146"/>
      <c r="QMZ164" s="146"/>
      <c r="QNA164" s="146"/>
      <c r="QNB164" s="146"/>
      <c r="QNC164" s="146"/>
      <c r="QND164" s="146"/>
      <c r="QNE164" s="146"/>
      <c r="QNF164" s="146"/>
      <c r="QNG164" s="146"/>
      <c r="QNH164" s="146"/>
      <c r="QNI164" s="146"/>
      <c r="QNJ164" s="146"/>
      <c r="QNK164" s="146"/>
      <c r="QNL164" s="146"/>
      <c r="QNM164" s="146"/>
      <c r="QNN164" s="146"/>
      <c r="QNO164" s="146"/>
      <c r="QNP164" s="146"/>
      <c r="QNQ164" s="146"/>
      <c r="QNR164" s="146"/>
      <c r="QNS164" s="146"/>
      <c r="QNT164" s="146"/>
      <c r="QNU164" s="146"/>
      <c r="QNV164" s="146"/>
      <c r="QNW164" s="146"/>
      <c r="QNX164" s="146"/>
      <c r="QNY164" s="146"/>
      <c r="QNZ164" s="146"/>
      <c r="QOA164" s="146"/>
      <c r="QOB164" s="146"/>
      <c r="QOC164" s="146"/>
      <c r="QOD164" s="146"/>
      <c r="QOE164" s="146"/>
      <c r="QOF164" s="146"/>
      <c r="QOG164" s="146"/>
      <c r="QOH164" s="146"/>
      <c r="QOI164" s="146"/>
      <c r="QOJ164" s="146"/>
      <c r="QOK164" s="146"/>
      <c r="QOL164" s="146"/>
      <c r="QOM164" s="146"/>
      <c r="QON164" s="146"/>
      <c r="QOO164" s="146"/>
      <c r="QOP164" s="146"/>
      <c r="QOQ164" s="146"/>
      <c r="QOR164" s="146"/>
      <c r="QOS164" s="146"/>
      <c r="QOT164" s="146"/>
      <c r="QOU164" s="146"/>
      <c r="QOV164" s="146"/>
      <c r="QOW164" s="146"/>
      <c r="QOX164" s="146"/>
      <c r="QOY164" s="146"/>
      <c r="QOZ164" s="146"/>
      <c r="QPA164" s="146"/>
      <c r="QPB164" s="146"/>
      <c r="QPC164" s="146"/>
      <c r="QPD164" s="146"/>
      <c r="QPE164" s="146"/>
      <c r="QPF164" s="146"/>
      <c r="QPG164" s="146"/>
      <c r="QPH164" s="146"/>
      <c r="QPI164" s="146"/>
      <c r="QPJ164" s="146"/>
      <c r="QPK164" s="146"/>
      <c r="QPL164" s="146"/>
      <c r="QPM164" s="146"/>
      <c r="QPN164" s="146"/>
      <c r="QPO164" s="146"/>
      <c r="QPP164" s="146"/>
      <c r="QPQ164" s="146"/>
      <c r="QPR164" s="146"/>
      <c r="QPS164" s="146"/>
      <c r="QPT164" s="146"/>
      <c r="QPU164" s="146"/>
      <c r="QPV164" s="146"/>
      <c r="QPW164" s="146"/>
      <c r="QPX164" s="146"/>
      <c r="QPY164" s="146"/>
      <c r="QPZ164" s="146"/>
      <c r="QQA164" s="146"/>
      <c r="QQB164" s="146"/>
      <c r="QQC164" s="146"/>
      <c r="QQD164" s="146"/>
      <c r="QQE164" s="146"/>
      <c r="QQF164" s="146"/>
      <c r="QQG164" s="146"/>
      <c r="QQH164" s="146"/>
      <c r="QQI164" s="146"/>
      <c r="QQJ164" s="146"/>
      <c r="QQK164" s="146"/>
      <c r="QQL164" s="146"/>
      <c r="QQM164" s="146"/>
      <c r="QQN164" s="146"/>
      <c r="QQO164" s="146"/>
      <c r="QQP164" s="146"/>
      <c r="QQQ164" s="146"/>
      <c r="QQR164" s="146"/>
      <c r="QQS164" s="146"/>
      <c r="QQT164" s="146"/>
      <c r="QQU164" s="146"/>
      <c r="QQV164" s="146"/>
      <c r="QQW164" s="146"/>
      <c r="QQX164" s="146"/>
      <c r="QQY164" s="146"/>
      <c r="QQZ164" s="146"/>
      <c r="QRA164" s="146"/>
      <c r="QRB164" s="146"/>
      <c r="QRC164" s="146"/>
      <c r="QRD164" s="146"/>
      <c r="QRE164" s="146"/>
      <c r="QRF164" s="146"/>
      <c r="QRG164" s="146"/>
      <c r="QRH164" s="146"/>
      <c r="QRI164" s="146"/>
      <c r="QRJ164" s="146"/>
      <c r="QRK164" s="146"/>
      <c r="QRL164" s="146"/>
      <c r="QRM164" s="146"/>
      <c r="QRN164" s="146"/>
      <c r="QRO164" s="146"/>
      <c r="QRP164" s="146"/>
      <c r="QRQ164" s="146"/>
      <c r="QRR164" s="146"/>
      <c r="QRS164" s="146"/>
      <c r="QRT164" s="146"/>
      <c r="QRU164" s="146"/>
      <c r="QRV164" s="146"/>
      <c r="QRW164" s="146"/>
      <c r="QRX164" s="146"/>
      <c r="QRY164" s="146"/>
      <c r="QRZ164" s="146"/>
      <c r="QSA164" s="146"/>
      <c r="QSB164" s="146"/>
      <c r="QSC164" s="146"/>
      <c r="QSD164" s="146"/>
      <c r="QSE164" s="146"/>
      <c r="QSF164" s="146"/>
      <c r="QSG164" s="146"/>
      <c r="QSH164" s="146"/>
      <c r="QSI164" s="146"/>
      <c r="QSJ164" s="146"/>
      <c r="QSK164" s="146"/>
      <c r="QSL164" s="146"/>
      <c r="QSM164" s="146"/>
      <c r="QSN164" s="146"/>
      <c r="QSO164" s="146"/>
      <c r="QSP164" s="146"/>
      <c r="QSQ164" s="146"/>
      <c r="QSR164" s="146"/>
      <c r="QSS164" s="146"/>
      <c r="QST164" s="146"/>
      <c r="QSU164" s="146"/>
      <c r="QSV164" s="146"/>
      <c r="QSW164" s="146"/>
      <c r="QSX164" s="146"/>
      <c r="QSY164" s="146"/>
      <c r="QSZ164" s="146"/>
      <c r="QTA164" s="146"/>
      <c r="QTB164" s="146"/>
      <c r="QTC164" s="146"/>
      <c r="QTD164" s="146"/>
      <c r="QTE164" s="146"/>
      <c r="QTF164" s="146"/>
      <c r="QTG164" s="146"/>
      <c r="QTH164" s="146"/>
      <c r="QTI164" s="146"/>
      <c r="QTJ164" s="146"/>
      <c r="QTK164" s="146"/>
      <c r="QTL164" s="146"/>
      <c r="QTM164" s="146"/>
      <c r="QTN164" s="146"/>
      <c r="QTO164" s="146"/>
      <c r="QTP164" s="146"/>
      <c r="QTQ164" s="146"/>
      <c r="QTR164" s="146"/>
      <c r="QTS164" s="146"/>
      <c r="QTT164" s="146"/>
      <c r="QTU164" s="146"/>
      <c r="QTV164" s="146"/>
      <c r="QTW164" s="146"/>
      <c r="QTX164" s="146"/>
      <c r="QTY164" s="146"/>
      <c r="QTZ164" s="146"/>
      <c r="QUA164" s="146"/>
      <c r="QUB164" s="146"/>
      <c r="QUC164" s="146"/>
      <c r="QUD164" s="146"/>
      <c r="QUE164" s="146"/>
      <c r="QUF164" s="146"/>
      <c r="QUG164" s="146"/>
      <c r="QUH164" s="146"/>
      <c r="QUI164" s="146"/>
      <c r="QUJ164" s="146"/>
      <c r="QUK164" s="146"/>
      <c r="QUL164" s="146"/>
      <c r="QUM164" s="146"/>
      <c r="QUN164" s="146"/>
      <c r="QUO164" s="146"/>
      <c r="QUP164" s="146"/>
      <c r="QUQ164" s="146"/>
      <c r="QUR164" s="146"/>
      <c r="QUS164" s="146"/>
      <c r="QUT164" s="146"/>
      <c r="QUU164" s="146"/>
      <c r="QUV164" s="146"/>
      <c r="QUW164" s="146"/>
      <c r="QUX164" s="146"/>
      <c r="QUY164" s="146"/>
      <c r="QUZ164" s="146"/>
      <c r="QVA164" s="146"/>
      <c r="QVB164" s="146"/>
      <c r="QVC164" s="146"/>
      <c r="QVD164" s="146"/>
      <c r="QVE164" s="146"/>
      <c r="QVF164" s="146"/>
      <c r="QVG164" s="146"/>
      <c r="QVH164" s="146"/>
      <c r="QVI164" s="146"/>
      <c r="QVJ164" s="146"/>
      <c r="QVK164" s="146"/>
      <c r="QVL164" s="146"/>
      <c r="QVM164" s="146"/>
      <c r="QVN164" s="146"/>
      <c r="QVO164" s="146"/>
      <c r="QVP164" s="146"/>
      <c r="QVQ164" s="146"/>
      <c r="QVR164" s="146"/>
      <c r="QVS164" s="146"/>
      <c r="QVT164" s="146"/>
      <c r="QVU164" s="146"/>
      <c r="QVV164" s="146"/>
      <c r="QVW164" s="146"/>
      <c r="QVX164" s="146"/>
      <c r="QVY164" s="146"/>
      <c r="QVZ164" s="146"/>
      <c r="QWA164" s="146"/>
      <c r="QWB164" s="146"/>
      <c r="QWC164" s="146"/>
      <c r="QWD164" s="146"/>
      <c r="QWE164" s="146"/>
      <c r="QWF164" s="146"/>
      <c r="QWG164" s="146"/>
      <c r="QWH164" s="146"/>
      <c r="QWI164" s="146"/>
      <c r="QWJ164" s="146"/>
      <c r="QWK164" s="146"/>
      <c r="QWL164" s="146"/>
      <c r="QWM164" s="146"/>
      <c r="QWN164" s="146"/>
      <c r="QWO164" s="146"/>
      <c r="QWP164" s="146"/>
      <c r="QWQ164" s="146"/>
      <c r="QWR164" s="146"/>
      <c r="QWS164" s="146"/>
      <c r="QWT164" s="146"/>
      <c r="QWU164" s="146"/>
      <c r="QWV164" s="146"/>
      <c r="QWW164" s="146"/>
      <c r="QWX164" s="146"/>
      <c r="QWY164" s="146"/>
      <c r="QWZ164" s="146"/>
      <c r="QXA164" s="146"/>
      <c r="QXB164" s="146"/>
      <c r="QXC164" s="146"/>
      <c r="QXD164" s="146"/>
      <c r="QXE164" s="146"/>
      <c r="QXF164" s="146"/>
      <c r="QXG164" s="146"/>
      <c r="QXH164" s="146"/>
      <c r="QXI164" s="146"/>
      <c r="QXJ164" s="146"/>
      <c r="QXK164" s="146"/>
      <c r="QXL164" s="146"/>
      <c r="QXM164" s="146"/>
      <c r="QXN164" s="146"/>
      <c r="QXO164" s="146"/>
      <c r="QXP164" s="146"/>
      <c r="QXQ164" s="146"/>
      <c r="QXR164" s="146"/>
      <c r="QXS164" s="146"/>
      <c r="QXT164" s="146"/>
      <c r="QXU164" s="146"/>
      <c r="QXV164" s="146"/>
      <c r="QXW164" s="146"/>
      <c r="QXX164" s="146"/>
      <c r="QXY164" s="146"/>
      <c r="QXZ164" s="146"/>
      <c r="QYA164" s="146"/>
      <c r="QYB164" s="146"/>
      <c r="QYC164" s="146"/>
      <c r="QYD164" s="146"/>
      <c r="QYE164" s="146"/>
      <c r="QYF164" s="146"/>
      <c r="QYG164" s="146"/>
      <c r="QYH164" s="146"/>
      <c r="QYI164" s="146"/>
      <c r="QYJ164" s="146"/>
      <c r="QYK164" s="146"/>
      <c r="QYL164" s="146"/>
      <c r="QYM164" s="146"/>
      <c r="QYN164" s="146"/>
      <c r="QYO164" s="146"/>
      <c r="QYP164" s="146"/>
      <c r="QYQ164" s="146"/>
      <c r="QYR164" s="146"/>
      <c r="QYS164" s="146"/>
      <c r="QYT164" s="146"/>
      <c r="QYU164" s="146"/>
      <c r="QYV164" s="146"/>
      <c r="QYW164" s="146"/>
      <c r="QYX164" s="146"/>
      <c r="QYY164" s="146"/>
      <c r="QYZ164" s="146"/>
      <c r="QZA164" s="146"/>
      <c r="QZB164" s="146"/>
      <c r="QZC164" s="146"/>
      <c r="QZD164" s="146"/>
      <c r="QZE164" s="146"/>
      <c r="QZF164" s="146"/>
      <c r="QZG164" s="146"/>
      <c r="QZH164" s="146"/>
      <c r="QZI164" s="146"/>
      <c r="QZJ164" s="146"/>
      <c r="QZK164" s="146"/>
      <c r="QZL164" s="146"/>
      <c r="QZM164" s="146"/>
      <c r="QZN164" s="146"/>
      <c r="QZO164" s="146"/>
      <c r="QZP164" s="146"/>
      <c r="QZQ164" s="146"/>
      <c r="QZR164" s="146"/>
      <c r="QZS164" s="146"/>
      <c r="QZT164" s="146"/>
      <c r="QZU164" s="146"/>
      <c r="QZV164" s="146"/>
      <c r="QZW164" s="146"/>
      <c r="QZX164" s="146"/>
      <c r="QZY164" s="146"/>
      <c r="QZZ164" s="146"/>
      <c r="RAA164" s="146"/>
      <c r="RAB164" s="146"/>
      <c r="RAC164" s="146"/>
      <c r="RAD164" s="146"/>
      <c r="RAE164" s="146"/>
      <c r="RAF164" s="146"/>
      <c r="RAG164" s="146"/>
      <c r="RAH164" s="146"/>
      <c r="RAI164" s="146"/>
      <c r="RAJ164" s="146"/>
      <c r="RAK164" s="146"/>
      <c r="RAL164" s="146"/>
      <c r="RAM164" s="146"/>
      <c r="RAN164" s="146"/>
      <c r="RAO164" s="146"/>
      <c r="RAP164" s="146"/>
      <c r="RAQ164" s="146"/>
      <c r="RAR164" s="146"/>
      <c r="RAS164" s="146"/>
      <c r="RAT164" s="146"/>
      <c r="RAU164" s="146"/>
      <c r="RAV164" s="146"/>
      <c r="RAW164" s="146"/>
      <c r="RAX164" s="146"/>
      <c r="RAY164" s="146"/>
      <c r="RAZ164" s="146"/>
      <c r="RBA164" s="146"/>
      <c r="RBB164" s="146"/>
      <c r="RBC164" s="146"/>
      <c r="RBD164" s="146"/>
      <c r="RBE164" s="146"/>
      <c r="RBF164" s="146"/>
      <c r="RBG164" s="146"/>
      <c r="RBH164" s="146"/>
      <c r="RBI164" s="146"/>
      <c r="RBJ164" s="146"/>
      <c r="RBK164" s="146"/>
      <c r="RBL164" s="146"/>
      <c r="RBM164" s="146"/>
      <c r="RBN164" s="146"/>
      <c r="RBO164" s="146"/>
      <c r="RBP164" s="146"/>
      <c r="RBQ164" s="146"/>
      <c r="RBR164" s="146"/>
      <c r="RBS164" s="146"/>
      <c r="RBT164" s="146"/>
      <c r="RBU164" s="146"/>
      <c r="RBV164" s="146"/>
      <c r="RBW164" s="146"/>
      <c r="RBX164" s="146"/>
      <c r="RBY164" s="146"/>
      <c r="RBZ164" s="146"/>
      <c r="RCA164" s="146"/>
      <c r="RCB164" s="146"/>
      <c r="RCC164" s="146"/>
      <c r="RCD164" s="146"/>
      <c r="RCE164" s="146"/>
      <c r="RCF164" s="146"/>
      <c r="RCG164" s="146"/>
      <c r="RCH164" s="146"/>
      <c r="RCI164" s="146"/>
      <c r="RCJ164" s="146"/>
      <c r="RCK164" s="146"/>
      <c r="RCL164" s="146"/>
      <c r="RCM164" s="146"/>
      <c r="RCN164" s="146"/>
      <c r="RCO164" s="146"/>
      <c r="RCP164" s="146"/>
      <c r="RCQ164" s="146"/>
      <c r="RCR164" s="146"/>
      <c r="RCS164" s="146"/>
      <c r="RCT164" s="146"/>
      <c r="RCU164" s="146"/>
      <c r="RCV164" s="146"/>
      <c r="RCW164" s="146"/>
      <c r="RCX164" s="146"/>
      <c r="RCY164" s="146"/>
      <c r="RCZ164" s="146"/>
      <c r="RDA164" s="146"/>
      <c r="RDB164" s="146"/>
      <c r="RDC164" s="146"/>
      <c r="RDD164" s="146"/>
      <c r="RDE164" s="146"/>
      <c r="RDF164" s="146"/>
      <c r="RDG164" s="146"/>
      <c r="RDH164" s="146"/>
      <c r="RDI164" s="146"/>
      <c r="RDJ164" s="146"/>
      <c r="RDK164" s="146"/>
      <c r="RDL164" s="146"/>
      <c r="RDM164" s="146"/>
      <c r="RDN164" s="146"/>
      <c r="RDO164" s="146"/>
      <c r="RDP164" s="146"/>
      <c r="RDQ164" s="146"/>
      <c r="RDR164" s="146"/>
      <c r="RDS164" s="146"/>
      <c r="RDT164" s="146"/>
      <c r="RDU164" s="146"/>
      <c r="RDV164" s="146"/>
      <c r="RDW164" s="146"/>
      <c r="RDX164" s="146"/>
      <c r="RDY164" s="146"/>
      <c r="RDZ164" s="146"/>
      <c r="REA164" s="146"/>
      <c r="REB164" s="146"/>
      <c r="REC164" s="146"/>
      <c r="RED164" s="146"/>
      <c r="REE164" s="146"/>
      <c r="REF164" s="146"/>
      <c r="REG164" s="146"/>
      <c r="REH164" s="146"/>
      <c r="REI164" s="146"/>
      <c r="REJ164" s="146"/>
      <c r="REK164" s="146"/>
      <c r="REL164" s="146"/>
      <c r="REM164" s="146"/>
      <c r="REN164" s="146"/>
      <c r="REO164" s="146"/>
      <c r="REP164" s="146"/>
      <c r="REQ164" s="146"/>
      <c r="RER164" s="146"/>
      <c r="RES164" s="146"/>
      <c r="RET164" s="146"/>
      <c r="REU164" s="146"/>
      <c r="REV164" s="146"/>
      <c r="REW164" s="146"/>
      <c r="REX164" s="146"/>
      <c r="REY164" s="146"/>
      <c r="REZ164" s="146"/>
      <c r="RFA164" s="146"/>
      <c r="RFB164" s="146"/>
      <c r="RFC164" s="146"/>
      <c r="RFD164" s="146"/>
      <c r="RFE164" s="146"/>
      <c r="RFF164" s="146"/>
      <c r="RFG164" s="146"/>
      <c r="RFH164" s="146"/>
      <c r="RFI164" s="146"/>
      <c r="RFJ164" s="146"/>
      <c r="RFK164" s="146"/>
      <c r="RFL164" s="146"/>
      <c r="RFM164" s="146"/>
      <c r="RFN164" s="146"/>
      <c r="RFO164" s="146"/>
      <c r="RFP164" s="146"/>
      <c r="RFQ164" s="146"/>
      <c r="RFR164" s="146"/>
      <c r="RFS164" s="146"/>
      <c r="RFT164" s="146"/>
      <c r="RFU164" s="146"/>
      <c r="RFV164" s="146"/>
      <c r="RFW164" s="146"/>
      <c r="RFX164" s="146"/>
      <c r="RFY164" s="146"/>
      <c r="RFZ164" s="146"/>
      <c r="RGA164" s="146"/>
      <c r="RGB164" s="146"/>
      <c r="RGC164" s="146"/>
      <c r="RGD164" s="146"/>
      <c r="RGE164" s="146"/>
      <c r="RGF164" s="146"/>
      <c r="RGG164" s="146"/>
      <c r="RGH164" s="146"/>
      <c r="RGI164" s="146"/>
      <c r="RGJ164" s="146"/>
      <c r="RGK164" s="146"/>
      <c r="RGL164" s="146"/>
      <c r="RGM164" s="146"/>
      <c r="RGN164" s="146"/>
      <c r="RGO164" s="146"/>
      <c r="RGP164" s="146"/>
      <c r="RGQ164" s="146"/>
      <c r="RGR164" s="146"/>
      <c r="RGS164" s="146"/>
      <c r="RGT164" s="146"/>
      <c r="RGU164" s="146"/>
      <c r="RGV164" s="146"/>
      <c r="RGW164" s="146"/>
      <c r="RGX164" s="146"/>
      <c r="RGY164" s="146"/>
      <c r="RGZ164" s="146"/>
      <c r="RHA164" s="146"/>
      <c r="RHB164" s="146"/>
      <c r="RHC164" s="146"/>
      <c r="RHD164" s="146"/>
      <c r="RHE164" s="146"/>
      <c r="RHF164" s="146"/>
      <c r="RHG164" s="146"/>
      <c r="RHH164" s="146"/>
      <c r="RHI164" s="146"/>
      <c r="RHJ164" s="146"/>
      <c r="RHK164" s="146"/>
      <c r="RHL164" s="146"/>
      <c r="RHM164" s="146"/>
      <c r="RHN164" s="146"/>
      <c r="RHO164" s="146"/>
      <c r="RHP164" s="146"/>
      <c r="RHQ164" s="146"/>
      <c r="RHR164" s="146"/>
      <c r="RHS164" s="146"/>
      <c r="RHT164" s="146"/>
      <c r="RHU164" s="146"/>
      <c r="RHV164" s="146"/>
      <c r="RHW164" s="146"/>
      <c r="RHX164" s="146"/>
      <c r="RHY164" s="146"/>
      <c r="RHZ164" s="146"/>
      <c r="RIA164" s="146"/>
      <c r="RIB164" s="146"/>
      <c r="RIC164" s="146"/>
      <c r="RID164" s="146"/>
      <c r="RIE164" s="146"/>
      <c r="RIF164" s="146"/>
      <c r="RIG164" s="146"/>
      <c r="RIH164" s="146"/>
      <c r="RII164" s="146"/>
      <c r="RIJ164" s="146"/>
      <c r="RIK164" s="146"/>
      <c r="RIL164" s="146"/>
      <c r="RIM164" s="146"/>
      <c r="RIN164" s="146"/>
      <c r="RIO164" s="146"/>
      <c r="RIP164" s="146"/>
      <c r="RIQ164" s="146"/>
      <c r="RIR164" s="146"/>
      <c r="RIS164" s="146"/>
      <c r="RIT164" s="146"/>
      <c r="RIU164" s="146"/>
      <c r="RIV164" s="146"/>
      <c r="RIW164" s="146"/>
      <c r="RIX164" s="146"/>
      <c r="RIY164" s="146"/>
      <c r="RIZ164" s="146"/>
      <c r="RJA164" s="146"/>
      <c r="RJB164" s="146"/>
      <c r="RJC164" s="146"/>
      <c r="RJD164" s="146"/>
      <c r="RJE164" s="146"/>
      <c r="RJF164" s="146"/>
      <c r="RJG164" s="146"/>
      <c r="RJH164" s="146"/>
      <c r="RJI164" s="146"/>
      <c r="RJJ164" s="146"/>
      <c r="RJK164" s="146"/>
      <c r="RJL164" s="146"/>
      <c r="RJM164" s="146"/>
      <c r="RJN164" s="146"/>
      <c r="RJO164" s="146"/>
      <c r="RJP164" s="146"/>
      <c r="RJQ164" s="146"/>
      <c r="RJR164" s="146"/>
      <c r="RJS164" s="146"/>
      <c r="RJT164" s="146"/>
      <c r="RJU164" s="146"/>
      <c r="RJV164" s="146"/>
      <c r="RJW164" s="146"/>
      <c r="RJX164" s="146"/>
      <c r="RJY164" s="146"/>
      <c r="RJZ164" s="146"/>
      <c r="RKA164" s="146"/>
      <c r="RKB164" s="146"/>
      <c r="RKC164" s="146"/>
      <c r="RKD164" s="146"/>
      <c r="RKE164" s="146"/>
      <c r="RKF164" s="146"/>
      <c r="RKG164" s="146"/>
      <c r="RKH164" s="146"/>
      <c r="RKI164" s="146"/>
      <c r="RKJ164" s="146"/>
      <c r="RKK164" s="146"/>
      <c r="RKL164" s="146"/>
      <c r="RKM164" s="146"/>
      <c r="RKN164" s="146"/>
      <c r="RKO164" s="146"/>
      <c r="RKP164" s="146"/>
      <c r="RKQ164" s="146"/>
      <c r="RKR164" s="146"/>
      <c r="RKS164" s="146"/>
      <c r="RKT164" s="146"/>
      <c r="RKU164" s="146"/>
      <c r="RKV164" s="146"/>
      <c r="RKW164" s="146"/>
      <c r="RKX164" s="146"/>
      <c r="RKY164" s="146"/>
      <c r="RKZ164" s="146"/>
      <c r="RLA164" s="146"/>
      <c r="RLB164" s="146"/>
      <c r="RLC164" s="146"/>
      <c r="RLD164" s="146"/>
      <c r="RLE164" s="146"/>
      <c r="RLF164" s="146"/>
      <c r="RLG164" s="146"/>
      <c r="RLH164" s="146"/>
      <c r="RLI164" s="146"/>
      <c r="RLJ164" s="146"/>
      <c r="RLK164" s="146"/>
      <c r="RLL164" s="146"/>
      <c r="RLM164" s="146"/>
      <c r="RLN164" s="146"/>
      <c r="RLO164" s="146"/>
      <c r="RLP164" s="146"/>
      <c r="RLQ164" s="146"/>
      <c r="RLR164" s="146"/>
      <c r="RLS164" s="146"/>
      <c r="RLT164" s="146"/>
      <c r="RLU164" s="146"/>
      <c r="RLV164" s="146"/>
      <c r="RLW164" s="146"/>
      <c r="RLX164" s="146"/>
      <c r="RLY164" s="146"/>
      <c r="RLZ164" s="146"/>
      <c r="RMA164" s="146"/>
      <c r="RMB164" s="146"/>
      <c r="RMC164" s="146"/>
      <c r="RMD164" s="146"/>
      <c r="RME164" s="146"/>
      <c r="RMF164" s="146"/>
      <c r="RMG164" s="146"/>
      <c r="RMH164" s="146"/>
      <c r="RMI164" s="146"/>
      <c r="RMJ164" s="146"/>
      <c r="RMK164" s="146"/>
      <c r="RML164" s="146"/>
      <c r="RMM164" s="146"/>
      <c r="RMN164" s="146"/>
      <c r="RMO164" s="146"/>
      <c r="RMP164" s="146"/>
      <c r="RMQ164" s="146"/>
      <c r="RMR164" s="146"/>
      <c r="RMS164" s="146"/>
      <c r="RMT164" s="146"/>
      <c r="RMU164" s="146"/>
      <c r="RMV164" s="146"/>
      <c r="RMW164" s="146"/>
      <c r="RMX164" s="146"/>
      <c r="RMY164" s="146"/>
      <c r="RMZ164" s="146"/>
      <c r="RNA164" s="146"/>
      <c r="RNB164" s="146"/>
      <c r="RNC164" s="146"/>
      <c r="RND164" s="146"/>
      <c r="RNE164" s="146"/>
      <c r="RNF164" s="146"/>
      <c r="RNG164" s="146"/>
      <c r="RNH164" s="146"/>
      <c r="RNI164" s="146"/>
      <c r="RNJ164" s="146"/>
      <c r="RNK164" s="146"/>
      <c r="RNL164" s="146"/>
      <c r="RNM164" s="146"/>
      <c r="RNN164" s="146"/>
      <c r="RNO164" s="146"/>
      <c r="RNP164" s="146"/>
      <c r="RNQ164" s="146"/>
      <c r="RNR164" s="146"/>
      <c r="RNS164" s="146"/>
      <c r="RNT164" s="146"/>
      <c r="RNU164" s="146"/>
      <c r="RNV164" s="146"/>
      <c r="RNW164" s="146"/>
      <c r="RNX164" s="146"/>
      <c r="RNY164" s="146"/>
      <c r="RNZ164" s="146"/>
      <c r="ROA164" s="146"/>
      <c r="ROB164" s="146"/>
      <c r="ROC164" s="146"/>
      <c r="ROD164" s="146"/>
      <c r="ROE164" s="146"/>
      <c r="ROF164" s="146"/>
      <c r="ROG164" s="146"/>
      <c r="ROH164" s="146"/>
      <c r="ROI164" s="146"/>
      <c r="ROJ164" s="146"/>
      <c r="ROK164" s="146"/>
      <c r="ROL164" s="146"/>
      <c r="ROM164" s="146"/>
      <c r="RON164" s="146"/>
      <c r="ROO164" s="146"/>
      <c r="ROP164" s="146"/>
      <c r="ROQ164" s="146"/>
      <c r="ROR164" s="146"/>
      <c r="ROS164" s="146"/>
      <c r="ROT164" s="146"/>
      <c r="ROU164" s="146"/>
      <c r="ROV164" s="146"/>
      <c r="ROW164" s="146"/>
      <c r="ROX164" s="146"/>
      <c r="ROY164" s="146"/>
      <c r="ROZ164" s="146"/>
      <c r="RPA164" s="146"/>
      <c r="RPB164" s="146"/>
      <c r="RPC164" s="146"/>
      <c r="RPD164" s="146"/>
      <c r="RPE164" s="146"/>
      <c r="RPF164" s="146"/>
      <c r="RPG164" s="146"/>
      <c r="RPH164" s="146"/>
      <c r="RPI164" s="146"/>
      <c r="RPJ164" s="146"/>
      <c r="RPK164" s="146"/>
      <c r="RPL164" s="146"/>
      <c r="RPM164" s="146"/>
      <c r="RPN164" s="146"/>
      <c r="RPO164" s="146"/>
      <c r="RPP164" s="146"/>
      <c r="RPQ164" s="146"/>
      <c r="RPR164" s="146"/>
      <c r="RPS164" s="146"/>
      <c r="RPT164" s="146"/>
      <c r="RPU164" s="146"/>
      <c r="RPV164" s="146"/>
      <c r="RPW164" s="146"/>
      <c r="RPX164" s="146"/>
      <c r="RPY164" s="146"/>
      <c r="RPZ164" s="146"/>
      <c r="RQA164" s="146"/>
      <c r="RQB164" s="146"/>
      <c r="RQC164" s="146"/>
      <c r="RQD164" s="146"/>
      <c r="RQE164" s="146"/>
      <c r="RQF164" s="146"/>
      <c r="RQG164" s="146"/>
      <c r="RQH164" s="146"/>
      <c r="RQI164" s="146"/>
      <c r="RQJ164" s="146"/>
      <c r="RQK164" s="146"/>
      <c r="RQL164" s="146"/>
      <c r="RQM164" s="146"/>
      <c r="RQN164" s="146"/>
      <c r="RQO164" s="146"/>
      <c r="RQP164" s="146"/>
      <c r="RQQ164" s="146"/>
      <c r="RQR164" s="146"/>
      <c r="RQS164" s="146"/>
      <c r="RQT164" s="146"/>
      <c r="RQU164" s="146"/>
      <c r="RQV164" s="146"/>
      <c r="RQW164" s="146"/>
      <c r="RQX164" s="146"/>
      <c r="RQY164" s="146"/>
      <c r="RQZ164" s="146"/>
      <c r="RRA164" s="146"/>
      <c r="RRB164" s="146"/>
      <c r="RRC164" s="146"/>
      <c r="RRD164" s="146"/>
      <c r="RRE164" s="146"/>
      <c r="RRF164" s="146"/>
      <c r="RRG164" s="146"/>
      <c r="RRH164" s="146"/>
      <c r="RRI164" s="146"/>
      <c r="RRJ164" s="146"/>
      <c r="RRK164" s="146"/>
      <c r="RRL164" s="146"/>
      <c r="RRM164" s="146"/>
      <c r="RRN164" s="146"/>
      <c r="RRO164" s="146"/>
      <c r="RRP164" s="146"/>
      <c r="RRQ164" s="146"/>
      <c r="RRR164" s="146"/>
      <c r="RRS164" s="146"/>
      <c r="RRT164" s="146"/>
      <c r="RRU164" s="146"/>
      <c r="RRV164" s="146"/>
      <c r="RRW164" s="146"/>
      <c r="RRX164" s="146"/>
      <c r="RRY164" s="146"/>
      <c r="RRZ164" s="146"/>
      <c r="RSA164" s="146"/>
      <c r="RSB164" s="146"/>
      <c r="RSC164" s="146"/>
      <c r="RSD164" s="146"/>
      <c r="RSE164" s="146"/>
      <c r="RSF164" s="146"/>
      <c r="RSG164" s="146"/>
      <c r="RSH164" s="146"/>
      <c r="RSI164" s="146"/>
      <c r="RSJ164" s="146"/>
      <c r="RSK164" s="146"/>
      <c r="RSL164" s="146"/>
      <c r="RSM164" s="146"/>
      <c r="RSN164" s="146"/>
      <c r="RSO164" s="146"/>
      <c r="RSP164" s="146"/>
      <c r="RSQ164" s="146"/>
      <c r="RSR164" s="146"/>
      <c r="RSS164" s="146"/>
      <c r="RST164" s="146"/>
      <c r="RSU164" s="146"/>
      <c r="RSV164" s="146"/>
      <c r="RSW164" s="146"/>
      <c r="RSX164" s="146"/>
      <c r="RSY164" s="146"/>
      <c r="RSZ164" s="146"/>
      <c r="RTA164" s="146"/>
      <c r="RTB164" s="146"/>
      <c r="RTC164" s="146"/>
      <c r="RTD164" s="146"/>
      <c r="RTE164" s="146"/>
      <c r="RTF164" s="146"/>
      <c r="RTG164" s="146"/>
      <c r="RTH164" s="146"/>
      <c r="RTI164" s="146"/>
      <c r="RTJ164" s="146"/>
      <c r="RTK164" s="146"/>
      <c r="RTL164" s="146"/>
      <c r="RTM164" s="146"/>
      <c r="RTN164" s="146"/>
      <c r="RTO164" s="146"/>
      <c r="RTP164" s="146"/>
      <c r="RTQ164" s="146"/>
      <c r="RTR164" s="146"/>
      <c r="RTS164" s="146"/>
      <c r="RTT164" s="146"/>
      <c r="RTU164" s="146"/>
      <c r="RTV164" s="146"/>
      <c r="RTW164" s="146"/>
      <c r="RTX164" s="146"/>
      <c r="RTY164" s="146"/>
      <c r="RTZ164" s="146"/>
      <c r="RUA164" s="146"/>
      <c r="RUB164" s="146"/>
      <c r="RUC164" s="146"/>
      <c r="RUD164" s="146"/>
      <c r="RUE164" s="146"/>
      <c r="RUF164" s="146"/>
      <c r="RUG164" s="146"/>
      <c r="RUH164" s="146"/>
      <c r="RUI164" s="146"/>
      <c r="RUJ164" s="146"/>
      <c r="RUK164" s="146"/>
      <c r="RUL164" s="146"/>
      <c r="RUM164" s="146"/>
      <c r="RUN164" s="146"/>
      <c r="RUO164" s="146"/>
      <c r="RUP164" s="146"/>
      <c r="RUQ164" s="146"/>
      <c r="RUR164" s="146"/>
      <c r="RUS164" s="146"/>
      <c r="RUT164" s="146"/>
      <c r="RUU164" s="146"/>
      <c r="RUV164" s="146"/>
      <c r="RUW164" s="146"/>
      <c r="RUX164" s="146"/>
      <c r="RUY164" s="146"/>
      <c r="RUZ164" s="146"/>
      <c r="RVA164" s="146"/>
      <c r="RVB164" s="146"/>
      <c r="RVC164" s="146"/>
      <c r="RVD164" s="146"/>
      <c r="RVE164" s="146"/>
      <c r="RVF164" s="146"/>
      <c r="RVG164" s="146"/>
      <c r="RVH164" s="146"/>
      <c r="RVI164" s="146"/>
      <c r="RVJ164" s="146"/>
      <c r="RVK164" s="146"/>
      <c r="RVL164" s="146"/>
      <c r="RVM164" s="146"/>
      <c r="RVN164" s="146"/>
      <c r="RVO164" s="146"/>
      <c r="RVP164" s="146"/>
      <c r="RVQ164" s="146"/>
      <c r="RVR164" s="146"/>
      <c r="RVS164" s="146"/>
      <c r="RVT164" s="146"/>
      <c r="RVU164" s="146"/>
      <c r="RVV164" s="146"/>
      <c r="RVW164" s="146"/>
      <c r="RVX164" s="146"/>
      <c r="RVY164" s="146"/>
      <c r="RVZ164" s="146"/>
      <c r="RWA164" s="146"/>
      <c r="RWB164" s="146"/>
      <c r="RWC164" s="146"/>
      <c r="RWD164" s="146"/>
      <c r="RWE164" s="146"/>
      <c r="RWF164" s="146"/>
      <c r="RWG164" s="146"/>
      <c r="RWH164" s="146"/>
      <c r="RWI164" s="146"/>
      <c r="RWJ164" s="146"/>
      <c r="RWK164" s="146"/>
      <c r="RWL164" s="146"/>
      <c r="RWM164" s="146"/>
      <c r="RWN164" s="146"/>
      <c r="RWO164" s="146"/>
      <c r="RWP164" s="146"/>
      <c r="RWQ164" s="146"/>
      <c r="RWR164" s="146"/>
      <c r="RWS164" s="146"/>
      <c r="RWT164" s="146"/>
      <c r="RWU164" s="146"/>
      <c r="RWV164" s="146"/>
      <c r="RWW164" s="146"/>
      <c r="RWX164" s="146"/>
      <c r="RWY164" s="146"/>
      <c r="RWZ164" s="146"/>
      <c r="RXA164" s="146"/>
      <c r="RXB164" s="146"/>
      <c r="RXC164" s="146"/>
      <c r="RXD164" s="146"/>
      <c r="RXE164" s="146"/>
      <c r="RXF164" s="146"/>
      <c r="RXG164" s="146"/>
      <c r="RXH164" s="146"/>
      <c r="RXI164" s="146"/>
      <c r="RXJ164" s="146"/>
      <c r="RXK164" s="146"/>
      <c r="RXL164" s="146"/>
      <c r="RXM164" s="146"/>
      <c r="RXN164" s="146"/>
      <c r="RXO164" s="146"/>
      <c r="RXP164" s="146"/>
      <c r="RXQ164" s="146"/>
      <c r="RXR164" s="146"/>
      <c r="RXS164" s="146"/>
      <c r="RXT164" s="146"/>
      <c r="RXU164" s="146"/>
      <c r="RXV164" s="146"/>
      <c r="RXW164" s="146"/>
      <c r="RXX164" s="146"/>
      <c r="RXY164" s="146"/>
      <c r="RXZ164" s="146"/>
      <c r="RYA164" s="146"/>
      <c r="RYB164" s="146"/>
      <c r="RYC164" s="146"/>
      <c r="RYD164" s="146"/>
      <c r="RYE164" s="146"/>
      <c r="RYF164" s="146"/>
      <c r="RYG164" s="146"/>
      <c r="RYH164" s="146"/>
      <c r="RYI164" s="146"/>
      <c r="RYJ164" s="146"/>
      <c r="RYK164" s="146"/>
      <c r="RYL164" s="146"/>
      <c r="RYM164" s="146"/>
      <c r="RYN164" s="146"/>
      <c r="RYO164" s="146"/>
      <c r="RYP164" s="146"/>
      <c r="RYQ164" s="146"/>
      <c r="RYR164" s="146"/>
      <c r="RYS164" s="146"/>
      <c r="RYT164" s="146"/>
      <c r="RYU164" s="146"/>
      <c r="RYV164" s="146"/>
      <c r="RYW164" s="146"/>
      <c r="RYX164" s="146"/>
      <c r="RYY164" s="146"/>
      <c r="RYZ164" s="146"/>
      <c r="RZA164" s="146"/>
      <c r="RZB164" s="146"/>
      <c r="RZC164" s="146"/>
      <c r="RZD164" s="146"/>
      <c r="RZE164" s="146"/>
      <c r="RZF164" s="146"/>
      <c r="RZG164" s="146"/>
      <c r="RZH164" s="146"/>
      <c r="RZI164" s="146"/>
      <c r="RZJ164" s="146"/>
      <c r="RZK164" s="146"/>
      <c r="RZL164" s="146"/>
      <c r="RZM164" s="146"/>
      <c r="RZN164" s="146"/>
      <c r="RZO164" s="146"/>
      <c r="RZP164" s="146"/>
      <c r="RZQ164" s="146"/>
      <c r="RZR164" s="146"/>
      <c r="RZS164" s="146"/>
      <c r="RZT164" s="146"/>
      <c r="RZU164" s="146"/>
      <c r="RZV164" s="146"/>
      <c r="RZW164" s="146"/>
      <c r="RZX164" s="146"/>
      <c r="RZY164" s="146"/>
      <c r="RZZ164" s="146"/>
      <c r="SAA164" s="146"/>
      <c r="SAB164" s="146"/>
      <c r="SAC164" s="146"/>
      <c r="SAD164" s="146"/>
      <c r="SAE164" s="146"/>
      <c r="SAF164" s="146"/>
      <c r="SAG164" s="146"/>
      <c r="SAH164" s="146"/>
      <c r="SAI164" s="146"/>
      <c r="SAJ164" s="146"/>
      <c r="SAK164" s="146"/>
      <c r="SAL164" s="146"/>
      <c r="SAM164" s="146"/>
      <c r="SAN164" s="146"/>
      <c r="SAO164" s="146"/>
      <c r="SAP164" s="146"/>
      <c r="SAQ164" s="146"/>
      <c r="SAR164" s="146"/>
      <c r="SAS164" s="146"/>
      <c r="SAT164" s="146"/>
      <c r="SAU164" s="146"/>
      <c r="SAV164" s="146"/>
      <c r="SAW164" s="146"/>
      <c r="SAX164" s="146"/>
      <c r="SAY164" s="146"/>
      <c r="SAZ164" s="146"/>
      <c r="SBA164" s="146"/>
      <c r="SBB164" s="146"/>
      <c r="SBC164" s="146"/>
      <c r="SBD164" s="146"/>
      <c r="SBE164" s="146"/>
      <c r="SBF164" s="146"/>
      <c r="SBG164" s="146"/>
      <c r="SBH164" s="146"/>
      <c r="SBI164" s="146"/>
      <c r="SBJ164" s="146"/>
      <c r="SBK164" s="146"/>
      <c r="SBL164" s="146"/>
      <c r="SBM164" s="146"/>
      <c r="SBN164" s="146"/>
      <c r="SBO164" s="146"/>
      <c r="SBP164" s="146"/>
      <c r="SBQ164" s="146"/>
      <c r="SBR164" s="146"/>
      <c r="SBS164" s="146"/>
      <c r="SBT164" s="146"/>
      <c r="SBU164" s="146"/>
      <c r="SBV164" s="146"/>
      <c r="SBW164" s="146"/>
      <c r="SBX164" s="146"/>
      <c r="SBY164" s="146"/>
      <c r="SBZ164" s="146"/>
      <c r="SCA164" s="146"/>
      <c r="SCB164" s="146"/>
      <c r="SCC164" s="146"/>
      <c r="SCD164" s="146"/>
      <c r="SCE164" s="146"/>
      <c r="SCF164" s="146"/>
      <c r="SCG164" s="146"/>
      <c r="SCH164" s="146"/>
      <c r="SCI164" s="146"/>
      <c r="SCJ164" s="146"/>
      <c r="SCK164" s="146"/>
      <c r="SCL164" s="146"/>
      <c r="SCM164" s="146"/>
      <c r="SCN164" s="146"/>
      <c r="SCO164" s="146"/>
      <c r="SCP164" s="146"/>
      <c r="SCQ164" s="146"/>
      <c r="SCR164" s="146"/>
      <c r="SCS164" s="146"/>
      <c r="SCT164" s="146"/>
      <c r="SCU164" s="146"/>
      <c r="SCV164" s="146"/>
      <c r="SCW164" s="146"/>
      <c r="SCX164" s="146"/>
      <c r="SCY164" s="146"/>
      <c r="SCZ164" s="146"/>
      <c r="SDA164" s="146"/>
      <c r="SDB164" s="146"/>
      <c r="SDC164" s="146"/>
      <c r="SDD164" s="146"/>
      <c r="SDE164" s="146"/>
      <c r="SDF164" s="146"/>
      <c r="SDG164" s="146"/>
      <c r="SDH164" s="146"/>
      <c r="SDI164" s="146"/>
      <c r="SDJ164" s="146"/>
      <c r="SDK164" s="146"/>
      <c r="SDL164" s="146"/>
      <c r="SDM164" s="146"/>
      <c r="SDN164" s="146"/>
      <c r="SDO164" s="146"/>
      <c r="SDP164" s="146"/>
      <c r="SDQ164" s="146"/>
      <c r="SDR164" s="146"/>
      <c r="SDS164" s="146"/>
      <c r="SDT164" s="146"/>
      <c r="SDU164" s="146"/>
      <c r="SDV164" s="146"/>
      <c r="SDW164" s="146"/>
      <c r="SDX164" s="146"/>
      <c r="SDY164" s="146"/>
      <c r="SDZ164" s="146"/>
      <c r="SEA164" s="146"/>
      <c r="SEB164" s="146"/>
      <c r="SEC164" s="146"/>
      <c r="SED164" s="146"/>
      <c r="SEE164" s="146"/>
      <c r="SEF164" s="146"/>
      <c r="SEG164" s="146"/>
      <c r="SEH164" s="146"/>
      <c r="SEI164" s="146"/>
      <c r="SEJ164" s="146"/>
      <c r="SEK164" s="146"/>
      <c r="SEL164" s="146"/>
      <c r="SEM164" s="146"/>
      <c r="SEN164" s="146"/>
      <c r="SEO164" s="146"/>
      <c r="SEP164" s="146"/>
      <c r="SEQ164" s="146"/>
      <c r="SER164" s="146"/>
      <c r="SES164" s="146"/>
      <c r="SET164" s="146"/>
      <c r="SEU164" s="146"/>
      <c r="SEV164" s="146"/>
      <c r="SEW164" s="146"/>
      <c r="SEX164" s="146"/>
      <c r="SEY164" s="146"/>
      <c r="SEZ164" s="146"/>
      <c r="SFA164" s="146"/>
      <c r="SFB164" s="146"/>
      <c r="SFC164" s="146"/>
      <c r="SFD164" s="146"/>
      <c r="SFE164" s="146"/>
      <c r="SFF164" s="146"/>
      <c r="SFG164" s="146"/>
      <c r="SFH164" s="146"/>
      <c r="SFI164" s="146"/>
      <c r="SFJ164" s="146"/>
      <c r="SFK164" s="146"/>
      <c r="SFL164" s="146"/>
      <c r="SFM164" s="146"/>
      <c r="SFN164" s="146"/>
      <c r="SFO164" s="146"/>
      <c r="SFP164" s="146"/>
      <c r="SFQ164" s="146"/>
      <c r="SFR164" s="146"/>
      <c r="SFS164" s="146"/>
      <c r="SFT164" s="146"/>
      <c r="SFU164" s="146"/>
      <c r="SFV164" s="146"/>
      <c r="SFW164" s="146"/>
      <c r="SFX164" s="146"/>
      <c r="SFY164" s="146"/>
      <c r="SFZ164" s="146"/>
      <c r="SGA164" s="146"/>
      <c r="SGB164" s="146"/>
      <c r="SGC164" s="146"/>
      <c r="SGD164" s="146"/>
      <c r="SGE164" s="146"/>
      <c r="SGF164" s="146"/>
      <c r="SGG164" s="146"/>
      <c r="SGH164" s="146"/>
      <c r="SGI164" s="146"/>
      <c r="SGJ164" s="146"/>
      <c r="SGK164" s="146"/>
      <c r="SGL164" s="146"/>
      <c r="SGM164" s="146"/>
      <c r="SGN164" s="146"/>
      <c r="SGO164" s="146"/>
      <c r="SGP164" s="146"/>
      <c r="SGQ164" s="146"/>
      <c r="SGR164" s="146"/>
      <c r="SGS164" s="146"/>
      <c r="SGT164" s="146"/>
      <c r="SGU164" s="146"/>
      <c r="SGV164" s="146"/>
      <c r="SGW164" s="146"/>
      <c r="SGX164" s="146"/>
      <c r="SGY164" s="146"/>
      <c r="SGZ164" s="146"/>
      <c r="SHA164" s="146"/>
      <c r="SHB164" s="146"/>
      <c r="SHC164" s="146"/>
      <c r="SHD164" s="146"/>
      <c r="SHE164" s="146"/>
      <c r="SHF164" s="146"/>
      <c r="SHG164" s="146"/>
      <c r="SHH164" s="146"/>
      <c r="SHI164" s="146"/>
      <c r="SHJ164" s="146"/>
      <c r="SHK164" s="146"/>
      <c r="SHL164" s="146"/>
      <c r="SHM164" s="146"/>
      <c r="SHN164" s="146"/>
      <c r="SHO164" s="146"/>
      <c r="SHP164" s="146"/>
      <c r="SHQ164" s="146"/>
      <c r="SHR164" s="146"/>
      <c r="SHS164" s="146"/>
      <c r="SHT164" s="146"/>
      <c r="SHU164" s="146"/>
      <c r="SHV164" s="146"/>
      <c r="SHW164" s="146"/>
      <c r="SHX164" s="146"/>
      <c r="SHY164" s="146"/>
      <c r="SHZ164" s="146"/>
      <c r="SIA164" s="146"/>
      <c r="SIB164" s="146"/>
      <c r="SIC164" s="146"/>
      <c r="SID164" s="146"/>
      <c r="SIE164" s="146"/>
      <c r="SIF164" s="146"/>
      <c r="SIG164" s="146"/>
      <c r="SIH164" s="146"/>
      <c r="SII164" s="146"/>
      <c r="SIJ164" s="146"/>
      <c r="SIK164" s="146"/>
      <c r="SIL164" s="146"/>
      <c r="SIM164" s="146"/>
      <c r="SIN164" s="146"/>
      <c r="SIO164" s="146"/>
      <c r="SIP164" s="146"/>
      <c r="SIQ164" s="146"/>
      <c r="SIR164" s="146"/>
      <c r="SIS164" s="146"/>
      <c r="SIT164" s="146"/>
      <c r="SIU164" s="146"/>
      <c r="SIV164" s="146"/>
      <c r="SIW164" s="146"/>
      <c r="SIX164" s="146"/>
      <c r="SIY164" s="146"/>
      <c r="SIZ164" s="146"/>
      <c r="SJA164" s="146"/>
      <c r="SJB164" s="146"/>
      <c r="SJC164" s="146"/>
      <c r="SJD164" s="146"/>
      <c r="SJE164" s="146"/>
      <c r="SJF164" s="146"/>
      <c r="SJG164" s="146"/>
      <c r="SJH164" s="146"/>
      <c r="SJI164" s="146"/>
      <c r="SJJ164" s="146"/>
      <c r="SJK164" s="146"/>
      <c r="SJL164" s="146"/>
      <c r="SJM164" s="146"/>
      <c r="SJN164" s="146"/>
      <c r="SJO164" s="146"/>
      <c r="SJP164" s="146"/>
      <c r="SJQ164" s="146"/>
      <c r="SJR164" s="146"/>
      <c r="SJS164" s="146"/>
      <c r="SJT164" s="146"/>
      <c r="SJU164" s="146"/>
      <c r="SJV164" s="146"/>
      <c r="SJW164" s="146"/>
      <c r="SJX164" s="146"/>
      <c r="SJY164" s="146"/>
      <c r="SJZ164" s="146"/>
      <c r="SKA164" s="146"/>
      <c r="SKB164" s="146"/>
      <c r="SKC164" s="146"/>
      <c r="SKD164" s="146"/>
      <c r="SKE164" s="146"/>
      <c r="SKF164" s="146"/>
      <c r="SKG164" s="146"/>
      <c r="SKH164" s="146"/>
      <c r="SKI164" s="146"/>
      <c r="SKJ164" s="146"/>
      <c r="SKK164" s="146"/>
      <c r="SKL164" s="146"/>
      <c r="SKM164" s="146"/>
      <c r="SKN164" s="146"/>
      <c r="SKO164" s="146"/>
      <c r="SKP164" s="146"/>
      <c r="SKQ164" s="146"/>
      <c r="SKR164" s="146"/>
      <c r="SKS164" s="146"/>
      <c r="SKT164" s="146"/>
      <c r="SKU164" s="146"/>
      <c r="SKV164" s="146"/>
      <c r="SKW164" s="146"/>
      <c r="SKX164" s="146"/>
      <c r="SKY164" s="146"/>
      <c r="SKZ164" s="146"/>
      <c r="SLA164" s="146"/>
      <c r="SLB164" s="146"/>
      <c r="SLC164" s="146"/>
      <c r="SLD164" s="146"/>
      <c r="SLE164" s="146"/>
      <c r="SLF164" s="146"/>
      <c r="SLG164" s="146"/>
      <c r="SLH164" s="146"/>
      <c r="SLI164" s="146"/>
      <c r="SLJ164" s="146"/>
      <c r="SLK164" s="146"/>
      <c r="SLL164" s="146"/>
      <c r="SLM164" s="146"/>
      <c r="SLN164" s="146"/>
      <c r="SLO164" s="146"/>
      <c r="SLP164" s="146"/>
      <c r="SLQ164" s="146"/>
      <c r="SLR164" s="146"/>
      <c r="SLS164" s="146"/>
      <c r="SLT164" s="146"/>
      <c r="SLU164" s="146"/>
      <c r="SLV164" s="146"/>
      <c r="SLW164" s="146"/>
      <c r="SLX164" s="146"/>
      <c r="SLY164" s="146"/>
      <c r="SLZ164" s="146"/>
      <c r="SMA164" s="146"/>
      <c r="SMB164" s="146"/>
      <c r="SMC164" s="146"/>
      <c r="SMD164" s="146"/>
      <c r="SME164" s="146"/>
      <c r="SMF164" s="146"/>
      <c r="SMG164" s="146"/>
      <c r="SMH164" s="146"/>
      <c r="SMI164" s="146"/>
      <c r="SMJ164" s="146"/>
      <c r="SMK164" s="146"/>
      <c r="SML164" s="146"/>
      <c r="SMM164" s="146"/>
      <c r="SMN164" s="146"/>
      <c r="SMO164" s="146"/>
      <c r="SMP164" s="146"/>
      <c r="SMQ164" s="146"/>
      <c r="SMR164" s="146"/>
      <c r="SMS164" s="146"/>
      <c r="SMT164" s="146"/>
      <c r="SMU164" s="146"/>
      <c r="SMV164" s="146"/>
      <c r="SMW164" s="146"/>
      <c r="SMX164" s="146"/>
      <c r="SMY164" s="146"/>
      <c r="SMZ164" s="146"/>
      <c r="SNA164" s="146"/>
      <c r="SNB164" s="146"/>
      <c r="SNC164" s="146"/>
      <c r="SND164" s="146"/>
      <c r="SNE164" s="146"/>
      <c r="SNF164" s="146"/>
      <c r="SNG164" s="146"/>
      <c r="SNH164" s="146"/>
      <c r="SNI164" s="146"/>
      <c r="SNJ164" s="146"/>
      <c r="SNK164" s="146"/>
      <c r="SNL164" s="146"/>
      <c r="SNM164" s="146"/>
      <c r="SNN164" s="146"/>
      <c r="SNO164" s="146"/>
      <c r="SNP164" s="146"/>
      <c r="SNQ164" s="146"/>
      <c r="SNR164" s="146"/>
      <c r="SNS164" s="146"/>
      <c r="SNT164" s="146"/>
      <c r="SNU164" s="146"/>
      <c r="SNV164" s="146"/>
      <c r="SNW164" s="146"/>
      <c r="SNX164" s="146"/>
      <c r="SNY164" s="146"/>
      <c r="SNZ164" s="146"/>
      <c r="SOA164" s="146"/>
      <c r="SOB164" s="146"/>
      <c r="SOC164" s="146"/>
      <c r="SOD164" s="146"/>
      <c r="SOE164" s="146"/>
      <c r="SOF164" s="146"/>
      <c r="SOG164" s="146"/>
      <c r="SOH164" s="146"/>
      <c r="SOI164" s="146"/>
      <c r="SOJ164" s="146"/>
      <c r="SOK164" s="146"/>
      <c r="SOL164" s="146"/>
      <c r="SOM164" s="146"/>
      <c r="SON164" s="146"/>
      <c r="SOO164" s="146"/>
      <c r="SOP164" s="146"/>
      <c r="SOQ164" s="146"/>
      <c r="SOR164" s="146"/>
      <c r="SOS164" s="146"/>
      <c r="SOT164" s="146"/>
      <c r="SOU164" s="146"/>
      <c r="SOV164" s="146"/>
      <c r="SOW164" s="146"/>
      <c r="SOX164" s="146"/>
      <c r="SOY164" s="146"/>
      <c r="SOZ164" s="146"/>
      <c r="SPA164" s="146"/>
      <c r="SPB164" s="146"/>
      <c r="SPC164" s="146"/>
      <c r="SPD164" s="146"/>
      <c r="SPE164" s="146"/>
      <c r="SPF164" s="146"/>
      <c r="SPG164" s="146"/>
      <c r="SPH164" s="146"/>
      <c r="SPI164" s="146"/>
      <c r="SPJ164" s="146"/>
      <c r="SPK164" s="146"/>
      <c r="SPL164" s="146"/>
      <c r="SPM164" s="146"/>
      <c r="SPN164" s="146"/>
      <c r="SPO164" s="146"/>
      <c r="SPP164" s="146"/>
      <c r="SPQ164" s="146"/>
      <c r="SPR164" s="146"/>
      <c r="SPS164" s="146"/>
      <c r="SPT164" s="146"/>
      <c r="SPU164" s="146"/>
      <c r="SPV164" s="146"/>
      <c r="SPW164" s="146"/>
      <c r="SPX164" s="146"/>
      <c r="SPY164" s="146"/>
      <c r="SPZ164" s="146"/>
      <c r="SQA164" s="146"/>
      <c r="SQB164" s="146"/>
      <c r="SQC164" s="146"/>
      <c r="SQD164" s="146"/>
      <c r="SQE164" s="146"/>
      <c r="SQF164" s="146"/>
      <c r="SQG164" s="146"/>
      <c r="SQH164" s="146"/>
      <c r="SQI164" s="146"/>
      <c r="SQJ164" s="146"/>
      <c r="SQK164" s="146"/>
      <c r="SQL164" s="146"/>
      <c r="SQM164" s="146"/>
      <c r="SQN164" s="146"/>
      <c r="SQO164" s="146"/>
      <c r="SQP164" s="146"/>
      <c r="SQQ164" s="146"/>
      <c r="SQR164" s="146"/>
      <c r="SQS164" s="146"/>
      <c r="SQT164" s="146"/>
      <c r="SQU164" s="146"/>
      <c r="SQV164" s="146"/>
      <c r="SQW164" s="146"/>
      <c r="SQX164" s="146"/>
      <c r="SQY164" s="146"/>
      <c r="SQZ164" s="146"/>
      <c r="SRA164" s="146"/>
      <c r="SRB164" s="146"/>
      <c r="SRC164" s="146"/>
      <c r="SRD164" s="146"/>
      <c r="SRE164" s="146"/>
      <c r="SRF164" s="146"/>
      <c r="SRG164" s="146"/>
      <c r="SRH164" s="146"/>
      <c r="SRI164" s="146"/>
      <c r="SRJ164" s="146"/>
      <c r="SRK164" s="146"/>
      <c r="SRL164" s="146"/>
      <c r="SRM164" s="146"/>
      <c r="SRN164" s="146"/>
      <c r="SRO164" s="146"/>
      <c r="SRP164" s="146"/>
      <c r="SRQ164" s="146"/>
      <c r="SRR164" s="146"/>
      <c r="SRS164" s="146"/>
      <c r="SRT164" s="146"/>
      <c r="SRU164" s="146"/>
      <c r="SRV164" s="146"/>
      <c r="SRW164" s="146"/>
      <c r="SRX164" s="146"/>
      <c r="SRY164" s="146"/>
      <c r="SRZ164" s="146"/>
      <c r="SSA164" s="146"/>
      <c r="SSB164" s="146"/>
      <c r="SSC164" s="146"/>
      <c r="SSD164" s="146"/>
      <c r="SSE164" s="146"/>
      <c r="SSF164" s="146"/>
      <c r="SSG164" s="146"/>
      <c r="SSH164" s="146"/>
      <c r="SSI164" s="146"/>
      <c r="SSJ164" s="146"/>
      <c r="SSK164" s="146"/>
      <c r="SSL164" s="146"/>
      <c r="SSM164" s="146"/>
      <c r="SSN164" s="146"/>
      <c r="SSO164" s="146"/>
      <c r="SSP164" s="146"/>
      <c r="SSQ164" s="146"/>
      <c r="SSR164" s="146"/>
      <c r="SSS164" s="146"/>
      <c r="SST164" s="146"/>
      <c r="SSU164" s="146"/>
      <c r="SSV164" s="146"/>
      <c r="SSW164" s="146"/>
      <c r="SSX164" s="146"/>
      <c r="SSY164" s="146"/>
      <c r="SSZ164" s="146"/>
      <c r="STA164" s="146"/>
      <c r="STB164" s="146"/>
      <c r="STC164" s="146"/>
      <c r="STD164" s="146"/>
      <c r="STE164" s="146"/>
      <c r="STF164" s="146"/>
      <c r="STG164" s="146"/>
      <c r="STH164" s="146"/>
      <c r="STI164" s="146"/>
      <c r="STJ164" s="146"/>
      <c r="STK164" s="146"/>
      <c r="STL164" s="146"/>
      <c r="STM164" s="146"/>
      <c r="STN164" s="146"/>
      <c r="STO164" s="146"/>
      <c r="STP164" s="146"/>
      <c r="STQ164" s="146"/>
      <c r="STR164" s="146"/>
      <c r="STS164" s="146"/>
      <c r="STT164" s="146"/>
      <c r="STU164" s="146"/>
      <c r="STV164" s="146"/>
      <c r="STW164" s="146"/>
      <c r="STX164" s="146"/>
      <c r="STY164" s="146"/>
      <c r="STZ164" s="146"/>
      <c r="SUA164" s="146"/>
      <c r="SUB164" s="146"/>
      <c r="SUC164" s="146"/>
      <c r="SUD164" s="146"/>
      <c r="SUE164" s="146"/>
      <c r="SUF164" s="146"/>
      <c r="SUG164" s="146"/>
      <c r="SUH164" s="146"/>
      <c r="SUI164" s="146"/>
      <c r="SUJ164" s="146"/>
      <c r="SUK164" s="146"/>
      <c r="SUL164" s="146"/>
      <c r="SUM164" s="146"/>
      <c r="SUN164" s="146"/>
      <c r="SUO164" s="146"/>
      <c r="SUP164" s="146"/>
      <c r="SUQ164" s="146"/>
      <c r="SUR164" s="146"/>
      <c r="SUS164" s="146"/>
      <c r="SUT164" s="146"/>
      <c r="SUU164" s="146"/>
      <c r="SUV164" s="146"/>
      <c r="SUW164" s="146"/>
      <c r="SUX164" s="146"/>
      <c r="SUY164" s="146"/>
      <c r="SUZ164" s="146"/>
      <c r="SVA164" s="146"/>
      <c r="SVB164" s="146"/>
      <c r="SVC164" s="146"/>
      <c r="SVD164" s="146"/>
      <c r="SVE164" s="146"/>
      <c r="SVF164" s="146"/>
      <c r="SVG164" s="146"/>
      <c r="SVH164" s="146"/>
      <c r="SVI164" s="146"/>
      <c r="SVJ164" s="146"/>
      <c r="SVK164" s="146"/>
      <c r="SVL164" s="146"/>
      <c r="SVM164" s="146"/>
      <c r="SVN164" s="146"/>
      <c r="SVO164" s="146"/>
      <c r="SVP164" s="146"/>
      <c r="SVQ164" s="146"/>
      <c r="SVR164" s="146"/>
      <c r="SVS164" s="146"/>
      <c r="SVT164" s="146"/>
      <c r="SVU164" s="146"/>
      <c r="SVV164" s="146"/>
      <c r="SVW164" s="146"/>
      <c r="SVX164" s="146"/>
      <c r="SVY164" s="146"/>
      <c r="SVZ164" s="146"/>
      <c r="SWA164" s="146"/>
      <c r="SWB164" s="146"/>
      <c r="SWC164" s="146"/>
      <c r="SWD164" s="146"/>
      <c r="SWE164" s="146"/>
      <c r="SWF164" s="146"/>
      <c r="SWG164" s="146"/>
      <c r="SWH164" s="146"/>
      <c r="SWI164" s="146"/>
      <c r="SWJ164" s="146"/>
      <c r="SWK164" s="146"/>
      <c r="SWL164" s="146"/>
      <c r="SWM164" s="146"/>
      <c r="SWN164" s="146"/>
      <c r="SWO164" s="146"/>
      <c r="SWP164" s="146"/>
      <c r="SWQ164" s="146"/>
      <c r="SWR164" s="146"/>
      <c r="SWS164" s="146"/>
      <c r="SWT164" s="146"/>
      <c r="SWU164" s="146"/>
      <c r="SWV164" s="146"/>
      <c r="SWW164" s="146"/>
      <c r="SWX164" s="146"/>
      <c r="SWY164" s="146"/>
      <c r="SWZ164" s="146"/>
      <c r="SXA164" s="146"/>
      <c r="SXB164" s="146"/>
      <c r="SXC164" s="146"/>
      <c r="SXD164" s="146"/>
      <c r="SXE164" s="146"/>
      <c r="SXF164" s="146"/>
      <c r="SXG164" s="146"/>
      <c r="SXH164" s="146"/>
      <c r="SXI164" s="146"/>
      <c r="SXJ164" s="146"/>
      <c r="SXK164" s="146"/>
      <c r="SXL164" s="146"/>
      <c r="SXM164" s="146"/>
      <c r="SXN164" s="146"/>
      <c r="SXO164" s="146"/>
      <c r="SXP164" s="146"/>
      <c r="SXQ164" s="146"/>
      <c r="SXR164" s="146"/>
      <c r="SXS164" s="146"/>
      <c r="SXT164" s="146"/>
      <c r="SXU164" s="146"/>
      <c r="SXV164" s="146"/>
      <c r="SXW164" s="146"/>
      <c r="SXX164" s="146"/>
      <c r="SXY164" s="146"/>
      <c r="SXZ164" s="146"/>
      <c r="SYA164" s="146"/>
      <c r="SYB164" s="146"/>
      <c r="SYC164" s="146"/>
      <c r="SYD164" s="146"/>
      <c r="SYE164" s="146"/>
      <c r="SYF164" s="146"/>
      <c r="SYG164" s="146"/>
      <c r="SYH164" s="146"/>
      <c r="SYI164" s="146"/>
      <c r="SYJ164" s="146"/>
      <c r="SYK164" s="146"/>
      <c r="SYL164" s="146"/>
      <c r="SYM164" s="146"/>
      <c r="SYN164" s="146"/>
      <c r="SYO164" s="146"/>
      <c r="SYP164" s="146"/>
      <c r="SYQ164" s="146"/>
      <c r="SYR164" s="146"/>
      <c r="SYS164" s="146"/>
      <c r="SYT164" s="146"/>
      <c r="SYU164" s="146"/>
      <c r="SYV164" s="146"/>
      <c r="SYW164" s="146"/>
      <c r="SYX164" s="146"/>
      <c r="SYY164" s="146"/>
      <c r="SYZ164" s="146"/>
      <c r="SZA164" s="146"/>
      <c r="SZB164" s="146"/>
      <c r="SZC164" s="146"/>
      <c r="SZD164" s="146"/>
      <c r="SZE164" s="146"/>
      <c r="SZF164" s="146"/>
      <c r="SZG164" s="146"/>
      <c r="SZH164" s="146"/>
      <c r="SZI164" s="146"/>
      <c r="SZJ164" s="146"/>
      <c r="SZK164" s="146"/>
      <c r="SZL164" s="146"/>
      <c r="SZM164" s="146"/>
      <c r="SZN164" s="146"/>
      <c r="SZO164" s="146"/>
      <c r="SZP164" s="146"/>
      <c r="SZQ164" s="146"/>
      <c r="SZR164" s="146"/>
      <c r="SZS164" s="146"/>
      <c r="SZT164" s="146"/>
      <c r="SZU164" s="146"/>
      <c r="SZV164" s="146"/>
      <c r="SZW164" s="146"/>
      <c r="SZX164" s="146"/>
      <c r="SZY164" s="146"/>
      <c r="SZZ164" s="146"/>
      <c r="TAA164" s="146"/>
      <c r="TAB164" s="146"/>
      <c r="TAC164" s="146"/>
      <c r="TAD164" s="146"/>
      <c r="TAE164" s="146"/>
      <c r="TAF164" s="146"/>
      <c r="TAG164" s="146"/>
      <c r="TAH164" s="146"/>
      <c r="TAI164" s="146"/>
      <c r="TAJ164" s="146"/>
      <c r="TAK164" s="146"/>
      <c r="TAL164" s="146"/>
      <c r="TAM164" s="146"/>
      <c r="TAN164" s="146"/>
      <c r="TAO164" s="146"/>
      <c r="TAP164" s="146"/>
      <c r="TAQ164" s="146"/>
      <c r="TAR164" s="146"/>
      <c r="TAS164" s="146"/>
      <c r="TAT164" s="146"/>
      <c r="TAU164" s="146"/>
      <c r="TAV164" s="146"/>
      <c r="TAW164" s="146"/>
      <c r="TAX164" s="146"/>
      <c r="TAY164" s="146"/>
      <c r="TAZ164" s="146"/>
      <c r="TBA164" s="146"/>
      <c r="TBB164" s="146"/>
      <c r="TBC164" s="146"/>
      <c r="TBD164" s="146"/>
      <c r="TBE164" s="146"/>
      <c r="TBF164" s="146"/>
      <c r="TBG164" s="146"/>
      <c r="TBH164" s="146"/>
      <c r="TBI164" s="146"/>
      <c r="TBJ164" s="146"/>
      <c r="TBK164" s="146"/>
      <c r="TBL164" s="146"/>
      <c r="TBM164" s="146"/>
      <c r="TBN164" s="146"/>
      <c r="TBO164" s="146"/>
      <c r="TBP164" s="146"/>
      <c r="TBQ164" s="146"/>
      <c r="TBR164" s="146"/>
      <c r="TBS164" s="146"/>
      <c r="TBT164" s="146"/>
      <c r="TBU164" s="146"/>
      <c r="TBV164" s="146"/>
      <c r="TBW164" s="146"/>
      <c r="TBX164" s="146"/>
      <c r="TBY164" s="146"/>
      <c r="TBZ164" s="146"/>
      <c r="TCA164" s="146"/>
      <c r="TCB164" s="146"/>
      <c r="TCC164" s="146"/>
      <c r="TCD164" s="146"/>
      <c r="TCE164" s="146"/>
      <c r="TCF164" s="146"/>
      <c r="TCG164" s="146"/>
      <c r="TCH164" s="146"/>
      <c r="TCI164" s="146"/>
      <c r="TCJ164" s="146"/>
      <c r="TCK164" s="146"/>
      <c r="TCL164" s="146"/>
      <c r="TCM164" s="146"/>
      <c r="TCN164" s="146"/>
      <c r="TCO164" s="146"/>
      <c r="TCP164" s="146"/>
      <c r="TCQ164" s="146"/>
      <c r="TCR164" s="146"/>
      <c r="TCS164" s="146"/>
      <c r="TCT164" s="146"/>
      <c r="TCU164" s="146"/>
      <c r="TCV164" s="146"/>
      <c r="TCW164" s="146"/>
      <c r="TCX164" s="146"/>
      <c r="TCY164" s="146"/>
      <c r="TCZ164" s="146"/>
      <c r="TDA164" s="146"/>
      <c r="TDB164" s="146"/>
      <c r="TDC164" s="146"/>
      <c r="TDD164" s="146"/>
      <c r="TDE164" s="146"/>
      <c r="TDF164" s="146"/>
      <c r="TDG164" s="146"/>
      <c r="TDH164" s="146"/>
      <c r="TDI164" s="146"/>
      <c r="TDJ164" s="146"/>
      <c r="TDK164" s="146"/>
      <c r="TDL164" s="146"/>
      <c r="TDM164" s="146"/>
      <c r="TDN164" s="146"/>
      <c r="TDO164" s="146"/>
      <c r="TDP164" s="146"/>
      <c r="TDQ164" s="146"/>
      <c r="TDR164" s="146"/>
      <c r="TDS164" s="146"/>
      <c r="TDT164" s="146"/>
      <c r="TDU164" s="146"/>
      <c r="TDV164" s="146"/>
      <c r="TDW164" s="146"/>
      <c r="TDX164" s="146"/>
      <c r="TDY164" s="146"/>
      <c r="TDZ164" s="146"/>
      <c r="TEA164" s="146"/>
      <c r="TEB164" s="146"/>
      <c r="TEC164" s="146"/>
      <c r="TED164" s="146"/>
      <c r="TEE164" s="146"/>
      <c r="TEF164" s="146"/>
      <c r="TEG164" s="146"/>
      <c r="TEH164" s="146"/>
      <c r="TEI164" s="146"/>
      <c r="TEJ164" s="146"/>
      <c r="TEK164" s="146"/>
      <c r="TEL164" s="146"/>
      <c r="TEM164" s="146"/>
      <c r="TEN164" s="146"/>
      <c r="TEO164" s="146"/>
      <c r="TEP164" s="146"/>
      <c r="TEQ164" s="146"/>
      <c r="TER164" s="146"/>
      <c r="TES164" s="146"/>
      <c r="TET164" s="146"/>
      <c r="TEU164" s="146"/>
      <c r="TEV164" s="146"/>
      <c r="TEW164" s="146"/>
      <c r="TEX164" s="146"/>
      <c r="TEY164" s="146"/>
      <c r="TEZ164" s="146"/>
      <c r="TFA164" s="146"/>
      <c r="TFB164" s="146"/>
      <c r="TFC164" s="146"/>
      <c r="TFD164" s="146"/>
      <c r="TFE164" s="146"/>
      <c r="TFF164" s="146"/>
      <c r="TFG164" s="146"/>
      <c r="TFH164" s="146"/>
      <c r="TFI164" s="146"/>
      <c r="TFJ164" s="146"/>
      <c r="TFK164" s="146"/>
      <c r="TFL164" s="146"/>
      <c r="TFM164" s="146"/>
      <c r="TFN164" s="146"/>
      <c r="TFO164" s="146"/>
      <c r="TFP164" s="146"/>
      <c r="TFQ164" s="146"/>
      <c r="TFR164" s="146"/>
      <c r="TFS164" s="146"/>
      <c r="TFT164" s="146"/>
      <c r="TFU164" s="146"/>
      <c r="TFV164" s="146"/>
      <c r="TFW164" s="146"/>
      <c r="TFX164" s="146"/>
      <c r="TFY164" s="146"/>
      <c r="TFZ164" s="146"/>
      <c r="TGA164" s="146"/>
      <c r="TGB164" s="146"/>
      <c r="TGC164" s="146"/>
      <c r="TGD164" s="146"/>
      <c r="TGE164" s="146"/>
      <c r="TGF164" s="146"/>
      <c r="TGG164" s="146"/>
      <c r="TGH164" s="146"/>
      <c r="TGI164" s="146"/>
      <c r="TGJ164" s="146"/>
      <c r="TGK164" s="146"/>
      <c r="TGL164" s="146"/>
      <c r="TGM164" s="146"/>
      <c r="TGN164" s="146"/>
      <c r="TGO164" s="146"/>
      <c r="TGP164" s="146"/>
      <c r="TGQ164" s="146"/>
      <c r="TGR164" s="146"/>
      <c r="TGS164" s="146"/>
      <c r="TGT164" s="146"/>
      <c r="TGU164" s="146"/>
      <c r="TGV164" s="146"/>
      <c r="TGW164" s="146"/>
      <c r="TGX164" s="146"/>
      <c r="TGY164" s="146"/>
      <c r="TGZ164" s="146"/>
      <c r="THA164" s="146"/>
      <c r="THB164" s="146"/>
      <c r="THC164" s="146"/>
      <c r="THD164" s="146"/>
      <c r="THE164" s="146"/>
      <c r="THF164" s="146"/>
      <c r="THG164" s="146"/>
      <c r="THH164" s="146"/>
      <c r="THI164" s="146"/>
      <c r="THJ164" s="146"/>
      <c r="THK164" s="146"/>
      <c r="THL164" s="146"/>
      <c r="THM164" s="146"/>
      <c r="THN164" s="146"/>
      <c r="THO164" s="146"/>
      <c r="THP164" s="146"/>
      <c r="THQ164" s="146"/>
      <c r="THR164" s="146"/>
      <c r="THS164" s="146"/>
      <c r="THT164" s="146"/>
      <c r="THU164" s="146"/>
      <c r="THV164" s="146"/>
      <c r="THW164" s="146"/>
      <c r="THX164" s="146"/>
      <c r="THY164" s="146"/>
      <c r="THZ164" s="146"/>
      <c r="TIA164" s="146"/>
      <c r="TIB164" s="146"/>
      <c r="TIC164" s="146"/>
      <c r="TID164" s="146"/>
      <c r="TIE164" s="146"/>
      <c r="TIF164" s="146"/>
      <c r="TIG164" s="146"/>
      <c r="TIH164" s="146"/>
      <c r="TII164" s="146"/>
      <c r="TIJ164" s="146"/>
      <c r="TIK164" s="146"/>
      <c r="TIL164" s="146"/>
      <c r="TIM164" s="146"/>
      <c r="TIN164" s="146"/>
      <c r="TIO164" s="146"/>
      <c r="TIP164" s="146"/>
      <c r="TIQ164" s="146"/>
      <c r="TIR164" s="146"/>
      <c r="TIS164" s="146"/>
      <c r="TIT164" s="146"/>
      <c r="TIU164" s="146"/>
      <c r="TIV164" s="146"/>
      <c r="TIW164" s="146"/>
      <c r="TIX164" s="146"/>
      <c r="TIY164" s="146"/>
      <c r="TIZ164" s="146"/>
      <c r="TJA164" s="146"/>
      <c r="TJB164" s="146"/>
      <c r="TJC164" s="146"/>
      <c r="TJD164" s="146"/>
      <c r="TJE164" s="146"/>
      <c r="TJF164" s="146"/>
      <c r="TJG164" s="146"/>
      <c r="TJH164" s="146"/>
      <c r="TJI164" s="146"/>
      <c r="TJJ164" s="146"/>
      <c r="TJK164" s="146"/>
      <c r="TJL164" s="146"/>
      <c r="TJM164" s="146"/>
      <c r="TJN164" s="146"/>
      <c r="TJO164" s="146"/>
      <c r="TJP164" s="146"/>
      <c r="TJQ164" s="146"/>
      <c r="TJR164" s="146"/>
      <c r="TJS164" s="146"/>
      <c r="TJT164" s="146"/>
      <c r="TJU164" s="146"/>
      <c r="TJV164" s="146"/>
      <c r="TJW164" s="146"/>
      <c r="TJX164" s="146"/>
      <c r="TJY164" s="146"/>
      <c r="TJZ164" s="146"/>
      <c r="TKA164" s="146"/>
      <c r="TKB164" s="146"/>
      <c r="TKC164" s="146"/>
      <c r="TKD164" s="146"/>
      <c r="TKE164" s="146"/>
      <c r="TKF164" s="146"/>
      <c r="TKG164" s="146"/>
      <c r="TKH164" s="146"/>
      <c r="TKI164" s="146"/>
      <c r="TKJ164" s="146"/>
      <c r="TKK164" s="146"/>
      <c r="TKL164" s="146"/>
      <c r="TKM164" s="146"/>
      <c r="TKN164" s="146"/>
      <c r="TKO164" s="146"/>
      <c r="TKP164" s="146"/>
      <c r="TKQ164" s="146"/>
      <c r="TKR164" s="146"/>
      <c r="TKS164" s="146"/>
      <c r="TKT164" s="146"/>
      <c r="TKU164" s="146"/>
      <c r="TKV164" s="146"/>
      <c r="TKW164" s="146"/>
      <c r="TKX164" s="146"/>
      <c r="TKY164" s="146"/>
      <c r="TKZ164" s="146"/>
      <c r="TLA164" s="146"/>
      <c r="TLB164" s="146"/>
      <c r="TLC164" s="146"/>
      <c r="TLD164" s="146"/>
      <c r="TLE164" s="146"/>
      <c r="TLF164" s="146"/>
      <c r="TLG164" s="146"/>
      <c r="TLH164" s="146"/>
      <c r="TLI164" s="146"/>
      <c r="TLJ164" s="146"/>
      <c r="TLK164" s="146"/>
      <c r="TLL164" s="146"/>
      <c r="TLM164" s="146"/>
      <c r="TLN164" s="146"/>
      <c r="TLO164" s="146"/>
      <c r="TLP164" s="146"/>
      <c r="TLQ164" s="146"/>
      <c r="TLR164" s="146"/>
      <c r="TLS164" s="146"/>
      <c r="TLT164" s="146"/>
      <c r="TLU164" s="146"/>
      <c r="TLV164" s="146"/>
      <c r="TLW164" s="146"/>
      <c r="TLX164" s="146"/>
      <c r="TLY164" s="146"/>
      <c r="TLZ164" s="146"/>
      <c r="TMA164" s="146"/>
      <c r="TMB164" s="146"/>
      <c r="TMC164" s="146"/>
      <c r="TMD164" s="146"/>
      <c r="TME164" s="146"/>
      <c r="TMF164" s="146"/>
      <c r="TMG164" s="146"/>
      <c r="TMH164" s="146"/>
      <c r="TMI164" s="146"/>
      <c r="TMJ164" s="146"/>
      <c r="TMK164" s="146"/>
      <c r="TML164" s="146"/>
      <c r="TMM164" s="146"/>
      <c r="TMN164" s="146"/>
      <c r="TMO164" s="146"/>
      <c r="TMP164" s="146"/>
      <c r="TMQ164" s="146"/>
      <c r="TMR164" s="146"/>
      <c r="TMS164" s="146"/>
      <c r="TMT164" s="146"/>
      <c r="TMU164" s="146"/>
      <c r="TMV164" s="146"/>
      <c r="TMW164" s="146"/>
      <c r="TMX164" s="146"/>
      <c r="TMY164" s="146"/>
      <c r="TMZ164" s="146"/>
      <c r="TNA164" s="146"/>
      <c r="TNB164" s="146"/>
      <c r="TNC164" s="146"/>
      <c r="TND164" s="146"/>
      <c r="TNE164" s="146"/>
      <c r="TNF164" s="146"/>
      <c r="TNG164" s="146"/>
      <c r="TNH164" s="146"/>
      <c r="TNI164" s="146"/>
      <c r="TNJ164" s="146"/>
      <c r="TNK164" s="146"/>
      <c r="TNL164" s="146"/>
      <c r="TNM164" s="146"/>
      <c r="TNN164" s="146"/>
      <c r="TNO164" s="146"/>
      <c r="TNP164" s="146"/>
      <c r="TNQ164" s="146"/>
      <c r="TNR164" s="146"/>
      <c r="TNS164" s="146"/>
      <c r="TNT164" s="146"/>
      <c r="TNU164" s="146"/>
      <c r="TNV164" s="146"/>
      <c r="TNW164" s="146"/>
      <c r="TNX164" s="146"/>
      <c r="TNY164" s="146"/>
      <c r="TNZ164" s="146"/>
      <c r="TOA164" s="146"/>
      <c r="TOB164" s="146"/>
      <c r="TOC164" s="146"/>
      <c r="TOD164" s="146"/>
      <c r="TOE164" s="146"/>
      <c r="TOF164" s="146"/>
      <c r="TOG164" s="146"/>
      <c r="TOH164" s="146"/>
      <c r="TOI164" s="146"/>
      <c r="TOJ164" s="146"/>
      <c r="TOK164" s="146"/>
      <c r="TOL164" s="146"/>
      <c r="TOM164" s="146"/>
      <c r="TON164" s="146"/>
      <c r="TOO164" s="146"/>
      <c r="TOP164" s="146"/>
      <c r="TOQ164" s="146"/>
      <c r="TOR164" s="146"/>
      <c r="TOS164" s="146"/>
      <c r="TOT164" s="146"/>
      <c r="TOU164" s="146"/>
      <c r="TOV164" s="146"/>
      <c r="TOW164" s="146"/>
      <c r="TOX164" s="146"/>
      <c r="TOY164" s="146"/>
      <c r="TOZ164" s="146"/>
      <c r="TPA164" s="146"/>
      <c r="TPB164" s="146"/>
      <c r="TPC164" s="146"/>
      <c r="TPD164" s="146"/>
      <c r="TPE164" s="146"/>
      <c r="TPF164" s="146"/>
      <c r="TPG164" s="146"/>
      <c r="TPH164" s="146"/>
      <c r="TPI164" s="146"/>
      <c r="TPJ164" s="146"/>
      <c r="TPK164" s="146"/>
      <c r="TPL164" s="146"/>
      <c r="TPM164" s="146"/>
      <c r="TPN164" s="146"/>
      <c r="TPO164" s="146"/>
      <c r="TPP164" s="146"/>
      <c r="TPQ164" s="146"/>
      <c r="TPR164" s="146"/>
      <c r="TPS164" s="146"/>
      <c r="TPT164" s="146"/>
      <c r="TPU164" s="146"/>
      <c r="TPV164" s="146"/>
      <c r="TPW164" s="146"/>
      <c r="TPX164" s="146"/>
      <c r="TPY164" s="146"/>
      <c r="TPZ164" s="146"/>
      <c r="TQA164" s="146"/>
      <c r="TQB164" s="146"/>
      <c r="TQC164" s="146"/>
      <c r="TQD164" s="146"/>
      <c r="TQE164" s="146"/>
      <c r="TQF164" s="146"/>
      <c r="TQG164" s="146"/>
      <c r="TQH164" s="146"/>
      <c r="TQI164" s="146"/>
      <c r="TQJ164" s="146"/>
      <c r="TQK164" s="146"/>
      <c r="TQL164" s="146"/>
      <c r="TQM164" s="146"/>
      <c r="TQN164" s="146"/>
      <c r="TQO164" s="146"/>
      <c r="TQP164" s="146"/>
      <c r="TQQ164" s="146"/>
      <c r="TQR164" s="146"/>
      <c r="TQS164" s="146"/>
      <c r="TQT164" s="146"/>
      <c r="TQU164" s="146"/>
      <c r="TQV164" s="146"/>
      <c r="TQW164" s="146"/>
      <c r="TQX164" s="146"/>
      <c r="TQY164" s="146"/>
      <c r="TQZ164" s="146"/>
      <c r="TRA164" s="146"/>
      <c r="TRB164" s="146"/>
      <c r="TRC164" s="146"/>
      <c r="TRD164" s="146"/>
      <c r="TRE164" s="146"/>
      <c r="TRF164" s="146"/>
      <c r="TRG164" s="146"/>
      <c r="TRH164" s="146"/>
      <c r="TRI164" s="146"/>
      <c r="TRJ164" s="146"/>
      <c r="TRK164" s="146"/>
      <c r="TRL164" s="146"/>
      <c r="TRM164" s="146"/>
      <c r="TRN164" s="146"/>
      <c r="TRO164" s="146"/>
      <c r="TRP164" s="146"/>
      <c r="TRQ164" s="146"/>
      <c r="TRR164" s="146"/>
      <c r="TRS164" s="146"/>
      <c r="TRT164" s="146"/>
      <c r="TRU164" s="146"/>
      <c r="TRV164" s="146"/>
      <c r="TRW164" s="146"/>
      <c r="TRX164" s="146"/>
      <c r="TRY164" s="146"/>
      <c r="TRZ164" s="146"/>
      <c r="TSA164" s="146"/>
      <c r="TSB164" s="146"/>
      <c r="TSC164" s="146"/>
      <c r="TSD164" s="146"/>
      <c r="TSE164" s="146"/>
      <c r="TSF164" s="146"/>
      <c r="TSG164" s="146"/>
      <c r="TSH164" s="146"/>
      <c r="TSI164" s="146"/>
      <c r="TSJ164" s="146"/>
      <c r="TSK164" s="146"/>
      <c r="TSL164" s="146"/>
      <c r="TSM164" s="146"/>
      <c r="TSN164" s="146"/>
      <c r="TSO164" s="146"/>
      <c r="TSP164" s="146"/>
      <c r="TSQ164" s="146"/>
      <c r="TSR164" s="146"/>
      <c r="TSS164" s="146"/>
      <c r="TST164" s="146"/>
      <c r="TSU164" s="146"/>
      <c r="TSV164" s="146"/>
      <c r="TSW164" s="146"/>
      <c r="TSX164" s="146"/>
      <c r="TSY164" s="146"/>
      <c r="TSZ164" s="146"/>
      <c r="TTA164" s="146"/>
      <c r="TTB164" s="146"/>
      <c r="TTC164" s="146"/>
      <c r="TTD164" s="146"/>
      <c r="TTE164" s="146"/>
      <c r="TTF164" s="146"/>
      <c r="TTG164" s="146"/>
      <c r="TTH164" s="146"/>
      <c r="TTI164" s="146"/>
      <c r="TTJ164" s="146"/>
      <c r="TTK164" s="146"/>
      <c r="TTL164" s="146"/>
      <c r="TTM164" s="146"/>
      <c r="TTN164" s="146"/>
      <c r="TTO164" s="146"/>
      <c r="TTP164" s="146"/>
      <c r="TTQ164" s="146"/>
      <c r="TTR164" s="146"/>
      <c r="TTS164" s="146"/>
      <c r="TTT164" s="146"/>
      <c r="TTU164" s="146"/>
      <c r="TTV164" s="146"/>
      <c r="TTW164" s="146"/>
      <c r="TTX164" s="146"/>
      <c r="TTY164" s="146"/>
      <c r="TTZ164" s="146"/>
      <c r="TUA164" s="146"/>
      <c r="TUB164" s="146"/>
      <c r="TUC164" s="146"/>
      <c r="TUD164" s="146"/>
      <c r="TUE164" s="146"/>
      <c r="TUF164" s="146"/>
      <c r="TUG164" s="146"/>
      <c r="TUH164" s="146"/>
      <c r="TUI164" s="146"/>
      <c r="TUJ164" s="146"/>
      <c r="TUK164" s="146"/>
      <c r="TUL164" s="146"/>
      <c r="TUM164" s="146"/>
      <c r="TUN164" s="146"/>
      <c r="TUO164" s="146"/>
      <c r="TUP164" s="146"/>
      <c r="TUQ164" s="146"/>
      <c r="TUR164" s="146"/>
      <c r="TUS164" s="146"/>
      <c r="TUT164" s="146"/>
      <c r="TUU164" s="146"/>
      <c r="TUV164" s="146"/>
      <c r="TUW164" s="146"/>
      <c r="TUX164" s="146"/>
      <c r="TUY164" s="146"/>
      <c r="TUZ164" s="146"/>
      <c r="TVA164" s="146"/>
      <c r="TVB164" s="146"/>
      <c r="TVC164" s="146"/>
      <c r="TVD164" s="146"/>
      <c r="TVE164" s="146"/>
      <c r="TVF164" s="146"/>
      <c r="TVG164" s="146"/>
      <c r="TVH164" s="146"/>
      <c r="TVI164" s="146"/>
      <c r="TVJ164" s="146"/>
      <c r="TVK164" s="146"/>
      <c r="TVL164" s="146"/>
      <c r="TVM164" s="146"/>
      <c r="TVN164" s="146"/>
      <c r="TVO164" s="146"/>
      <c r="TVP164" s="146"/>
      <c r="TVQ164" s="146"/>
      <c r="TVR164" s="146"/>
      <c r="TVS164" s="146"/>
      <c r="TVT164" s="146"/>
      <c r="TVU164" s="146"/>
      <c r="TVV164" s="146"/>
      <c r="TVW164" s="146"/>
      <c r="TVX164" s="146"/>
      <c r="TVY164" s="146"/>
      <c r="TVZ164" s="146"/>
      <c r="TWA164" s="146"/>
      <c r="TWB164" s="146"/>
      <c r="TWC164" s="146"/>
      <c r="TWD164" s="146"/>
      <c r="TWE164" s="146"/>
      <c r="TWF164" s="146"/>
      <c r="TWG164" s="146"/>
      <c r="TWH164" s="146"/>
      <c r="TWI164" s="146"/>
      <c r="TWJ164" s="146"/>
      <c r="TWK164" s="146"/>
      <c r="TWL164" s="146"/>
      <c r="TWM164" s="146"/>
      <c r="TWN164" s="146"/>
      <c r="TWO164" s="146"/>
      <c r="TWP164" s="146"/>
      <c r="TWQ164" s="146"/>
      <c r="TWR164" s="146"/>
      <c r="TWS164" s="146"/>
      <c r="TWT164" s="146"/>
      <c r="TWU164" s="146"/>
      <c r="TWV164" s="146"/>
      <c r="TWW164" s="146"/>
      <c r="TWX164" s="146"/>
      <c r="TWY164" s="146"/>
      <c r="TWZ164" s="146"/>
      <c r="TXA164" s="146"/>
      <c r="TXB164" s="146"/>
      <c r="TXC164" s="146"/>
      <c r="TXD164" s="146"/>
      <c r="TXE164" s="146"/>
      <c r="TXF164" s="146"/>
      <c r="TXG164" s="146"/>
      <c r="TXH164" s="146"/>
      <c r="TXI164" s="146"/>
      <c r="TXJ164" s="146"/>
      <c r="TXK164" s="146"/>
      <c r="TXL164" s="146"/>
      <c r="TXM164" s="146"/>
      <c r="TXN164" s="146"/>
      <c r="TXO164" s="146"/>
      <c r="TXP164" s="146"/>
      <c r="TXQ164" s="146"/>
      <c r="TXR164" s="146"/>
      <c r="TXS164" s="146"/>
      <c r="TXT164" s="146"/>
      <c r="TXU164" s="146"/>
      <c r="TXV164" s="146"/>
      <c r="TXW164" s="146"/>
      <c r="TXX164" s="146"/>
      <c r="TXY164" s="146"/>
      <c r="TXZ164" s="146"/>
      <c r="TYA164" s="146"/>
      <c r="TYB164" s="146"/>
      <c r="TYC164" s="146"/>
      <c r="TYD164" s="146"/>
      <c r="TYE164" s="146"/>
      <c r="TYF164" s="146"/>
      <c r="TYG164" s="146"/>
      <c r="TYH164" s="146"/>
      <c r="TYI164" s="146"/>
      <c r="TYJ164" s="146"/>
      <c r="TYK164" s="146"/>
      <c r="TYL164" s="146"/>
      <c r="TYM164" s="146"/>
      <c r="TYN164" s="146"/>
      <c r="TYO164" s="146"/>
      <c r="TYP164" s="146"/>
      <c r="TYQ164" s="146"/>
      <c r="TYR164" s="146"/>
      <c r="TYS164" s="146"/>
      <c r="TYT164" s="146"/>
      <c r="TYU164" s="146"/>
      <c r="TYV164" s="146"/>
      <c r="TYW164" s="146"/>
      <c r="TYX164" s="146"/>
      <c r="TYY164" s="146"/>
      <c r="TYZ164" s="146"/>
      <c r="TZA164" s="146"/>
      <c r="TZB164" s="146"/>
      <c r="TZC164" s="146"/>
      <c r="TZD164" s="146"/>
      <c r="TZE164" s="146"/>
      <c r="TZF164" s="146"/>
      <c r="TZG164" s="146"/>
      <c r="TZH164" s="146"/>
      <c r="TZI164" s="146"/>
      <c r="TZJ164" s="146"/>
      <c r="TZK164" s="146"/>
      <c r="TZL164" s="146"/>
      <c r="TZM164" s="146"/>
      <c r="TZN164" s="146"/>
      <c r="TZO164" s="146"/>
      <c r="TZP164" s="146"/>
      <c r="TZQ164" s="146"/>
      <c r="TZR164" s="146"/>
      <c r="TZS164" s="146"/>
      <c r="TZT164" s="146"/>
      <c r="TZU164" s="146"/>
      <c r="TZV164" s="146"/>
      <c r="TZW164" s="146"/>
      <c r="TZX164" s="146"/>
      <c r="TZY164" s="146"/>
      <c r="TZZ164" s="146"/>
      <c r="UAA164" s="146"/>
      <c r="UAB164" s="146"/>
      <c r="UAC164" s="146"/>
      <c r="UAD164" s="146"/>
      <c r="UAE164" s="146"/>
      <c r="UAF164" s="146"/>
      <c r="UAG164" s="146"/>
      <c r="UAH164" s="146"/>
      <c r="UAI164" s="146"/>
      <c r="UAJ164" s="146"/>
      <c r="UAK164" s="146"/>
      <c r="UAL164" s="146"/>
      <c r="UAM164" s="146"/>
      <c r="UAN164" s="146"/>
      <c r="UAO164" s="146"/>
      <c r="UAP164" s="146"/>
      <c r="UAQ164" s="146"/>
      <c r="UAR164" s="146"/>
      <c r="UAS164" s="146"/>
      <c r="UAT164" s="146"/>
      <c r="UAU164" s="146"/>
      <c r="UAV164" s="146"/>
      <c r="UAW164" s="146"/>
      <c r="UAX164" s="146"/>
      <c r="UAY164" s="146"/>
      <c r="UAZ164" s="146"/>
      <c r="UBA164" s="146"/>
      <c r="UBB164" s="146"/>
      <c r="UBC164" s="146"/>
      <c r="UBD164" s="146"/>
      <c r="UBE164" s="146"/>
      <c r="UBF164" s="146"/>
      <c r="UBG164" s="146"/>
      <c r="UBH164" s="146"/>
      <c r="UBI164" s="146"/>
      <c r="UBJ164" s="146"/>
      <c r="UBK164" s="146"/>
      <c r="UBL164" s="146"/>
      <c r="UBM164" s="146"/>
      <c r="UBN164" s="146"/>
      <c r="UBO164" s="146"/>
      <c r="UBP164" s="146"/>
      <c r="UBQ164" s="146"/>
      <c r="UBR164" s="146"/>
      <c r="UBS164" s="146"/>
      <c r="UBT164" s="146"/>
      <c r="UBU164" s="146"/>
      <c r="UBV164" s="146"/>
      <c r="UBW164" s="146"/>
      <c r="UBX164" s="146"/>
      <c r="UBY164" s="146"/>
      <c r="UBZ164" s="146"/>
      <c r="UCA164" s="146"/>
      <c r="UCB164" s="146"/>
      <c r="UCC164" s="146"/>
      <c r="UCD164" s="146"/>
      <c r="UCE164" s="146"/>
      <c r="UCF164" s="146"/>
      <c r="UCG164" s="146"/>
      <c r="UCH164" s="146"/>
      <c r="UCI164" s="146"/>
      <c r="UCJ164" s="146"/>
      <c r="UCK164" s="146"/>
      <c r="UCL164" s="146"/>
      <c r="UCM164" s="146"/>
      <c r="UCN164" s="146"/>
      <c r="UCO164" s="146"/>
      <c r="UCP164" s="146"/>
      <c r="UCQ164" s="146"/>
      <c r="UCR164" s="146"/>
      <c r="UCS164" s="146"/>
      <c r="UCT164" s="146"/>
      <c r="UCU164" s="146"/>
      <c r="UCV164" s="146"/>
      <c r="UCW164" s="146"/>
      <c r="UCX164" s="146"/>
      <c r="UCY164" s="146"/>
      <c r="UCZ164" s="146"/>
      <c r="UDA164" s="146"/>
      <c r="UDB164" s="146"/>
      <c r="UDC164" s="146"/>
      <c r="UDD164" s="146"/>
      <c r="UDE164" s="146"/>
      <c r="UDF164" s="146"/>
      <c r="UDG164" s="146"/>
      <c r="UDH164" s="146"/>
      <c r="UDI164" s="146"/>
      <c r="UDJ164" s="146"/>
      <c r="UDK164" s="146"/>
      <c r="UDL164" s="146"/>
      <c r="UDM164" s="146"/>
      <c r="UDN164" s="146"/>
      <c r="UDO164" s="146"/>
      <c r="UDP164" s="146"/>
      <c r="UDQ164" s="146"/>
      <c r="UDR164" s="146"/>
      <c r="UDS164" s="146"/>
      <c r="UDT164" s="146"/>
      <c r="UDU164" s="146"/>
      <c r="UDV164" s="146"/>
      <c r="UDW164" s="146"/>
      <c r="UDX164" s="146"/>
      <c r="UDY164" s="146"/>
      <c r="UDZ164" s="146"/>
      <c r="UEA164" s="146"/>
      <c r="UEB164" s="146"/>
      <c r="UEC164" s="146"/>
      <c r="UED164" s="146"/>
      <c r="UEE164" s="146"/>
      <c r="UEF164" s="146"/>
      <c r="UEG164" s="146"/>
      <c r="UEH164" s="146"/>
      <c r="UEI164" s="146"/>
      <c r="UEJ164" s="146"/>
      <c r="UEK164" s="146"/>
      <c r="UEL164" s="146"/>
      <c r="UEM164" s="146"/>
      <c r="UEN164" s="146"/>
      <c r="UEO164" s="146"/>
      <c r="UEP164" s="146"/>
      <c r="UEQ164" s="146"/>
      <c r="UER164" s="146"/>
      <c r="UES164" s="146"/>
      <c r="UET164" s="146"/>
      <c r="UEU164" s="146"/>
      <c r="UEV164" s="146"/>
      <c r="UEW164" s="146"/>
      <c r="UEX164" s="146"/>
      <c r="UEY164" s="146"/>
      <c r="UEZ164" s="146"/>
      <c r="UFA164" s="146"/>
      <c r="UFB164" s="146"/>
      <c r="UFC164" s="146"/>
      <c r="UFD164" s="146"/>
      <c r="UFE164" s="146"/>
      <c r="UFF164" s="146"/>
      <c r="UFG164" s="146"/>
      <c r="UFH164" s="146"/>
      <c r="UFI164" s="146"/>
      <c r="UFJ164" s="146"/>
      <c r="UFK164" s="146"/>
      <c r="UFL164" s="146"/>
      <c r="UFM164" s="146"/>
      <c r="UFN164" s="146"/>
      <c r="UFO164" s="146"/>
      <c r="UFP164" s="146"/>
      <c r="UFQ164" s="146"/>
      <c r="UFR164" s="146"/>
      <c r="UFS164" s="146"/>
      <c r="UFT164" s="146"/>
      <c r="UFU164" s="146"/>
      <c r="UFV164" s="146"/>
      <c r="UFW164" s="146"/>
      <c r="UFX164" s="146"/>
      <c r="UFY164" s="146"/>
      <c r="UFZ164" s="146"/>
      <c r="UGA164" s="146"/>
      <c r="UGB164" s="146"/>
      <c r="UGC164" s="146"/>
      <c r="UGD164" s="146"/>
      <c r="UGE164" s="146"/>
      <c r="UGF164" s="146"/>
      <c r="UGG164" s="146"/>
      <c r="UGH164" s="146"/>
      <c r="UGI164" s="146"/>
      <c r="UGJ164" s="146"/>
      <c r="UGK164" s="146"/>
      <c r="UGL164" s="146"/>
      <c r="UGM164" s="146"/>
      <c r="UGN164" s="146"/>
      <c r="UGO164" s="146"/>
      <c r="UGP164" s="146"/>
      <c r="UGQ164" s="146"/>
      <c r="UGR164" s="146"/>
      <c r="UGS164" s="146"/>
      <c r="UGT164" s="146"/>
      <c r="UGU164" s="146"/>
      <c r="UGV164" s="146"/>
      <c r="UGW164" s="146"/>
      <c r="UGX164" s="146"/>
      <c r="UGY164" s="146"/>
      <c r="UGZ164" s="146"/>
      <c r="UHA164" s="146"/>
      <c r="UHB164" s="146"/>
      <c r="UHC164" s="146"/>
      <c r="UHD164" s="146"/>
      <c r="UHE164" s="146"/>
      <c r="UHF164" s="146"/>
      <c r="UHG164" s="146"/>
      <c r="UHH164" s="146"/>
      <c r="UHI164" s="146"/>
      <c r="UHJ164" s="146"/>
      <c r="UHK164" s="146"/>
      <c r="UHL164" s="146"/>
      <c r="UHM164" s="146"/>
      <c r="UHN164" s="146"/>
      <c r="UHO164" s="146"/>
      <c r="UHP164" s="146"/>
      <c r="UHQ164" s="146"/>
      <c r="UHR164" s="146"/>
      <c r="UHS164" s="146"/>
      <c r="UHT164" s="146"/>
      <c r="UHU164" s="146"/>
      <c r="UHV164" s="146"/>
      <c r="UHW164" s="146"/>
      <c r="UHX164" s="146"/>
      <c r="UHY164" s="146"/>
      <c r="UHZ164" s="146"/>
      <c r="UIA164" s="146"/>
      <c r="UIB164" s="146"/>
      <c r="UIC164" s="146"/>
      <c r="UID164" s="146"/>
      <c r="UIE164" s="146"/>
      <c r="UIF164" s="146"/>
      <c r="UIG164" s="146"/>
      <c r="UIH164" s="146"/>
      <c r="UII164" s="146"/>
      <c r="UIJ164" s="146"/>
      <c r="UIK164" s="146"/>
      <c r="UIL164" s="146"/>
      <c r="UIM164" s="146"/>
      <c r="UIN164" s="146"/>
      <c r="UIO164" s="146"/>
      <c r="UIP164" s="146"/>
      <c r="UIQ164" s="146"/>
      <c r="UIR164" s="146"/>
      <c r="UIS164" s="146"/>
      <c r="UIT164" s="146"/>
      <c r="UIU164" s="146"/>
      <c r="UIV164" s="146"/>
      <c r="UIW164" s="146"/>
      <c r="UIX164" s="146"/>
      <c r="UIY164" s="146"/>
      <c r="UIZ164" s="146"/>
      <c r="UJA164" s="146"/>
      <c r="UJB164" s="146"/>
      <c r="UJC164" s="146"/>
      <c r="UJD164" s="146"/>
      <c r="UJE164" s="146"/>
      <c r="UJF164" s="146"/>
      <c r="UJG164" s="146"/>
      <c r="UJH164" s="146"/>
      <c r="UJI164" s="146"/>
      <c r="UJJ164" s="146"/>
      <c r="UJK164" s="146"/>
      <c r="UJL164" s="146"/>
      <c r="UJM164" s="146"/>
      <c r="UJN164" s="146"/>
      <c r="UJO164" s="146"/>
      <c r="UJP164" s="146"/>
      <c r="UJQ164" s="146"/>
      <c r="UJR164" s="146"/>
      <c r="UJS164" s="146"/>
      <c r="UJT164" s="146"/>
      <c r="UJU164" s="146"/>
      <c r="UJV164" s="146"/>
      <c r="UJW164" s="146"/>
      <c r="UJX164" s="146"/>
      <c r="UJY164" s="146"/>
      <c r="UJZ164" s="146"/>
      <c r="UKA164" s="146"/>
      <c r="UKB164" s="146"/>
      <c r="UKC164" s="146"/>
      <c r="UKD164" s="146"/>
      <c r="UKE164" s="146"/>
      <c r="UKF164" s="146"/>
      <c r="UKG164" s="146"/>
      <c r="UKH164" s="146"/>
      <c r="UKI164" s="146"/>
      <c r="UKJ164" s="146"/>
      <c r="UKK164" s="146"/>
      <c r="UKL164" s="146"/>
      <c r="UKM164" s="146"/>
      <c r="UKN164" s="146"/>
      <c r="UKO164" s="146"/>
      <c r="UKP164" s="146"/>
      <c r="UKQ164" s="146"/>
      <c r="UKR164" s="146"/>
      <c r="UKS164" s="146"/>
      <c r="UKT164" s="146"/>
      <c r="UKU164" s="146"/>
      <c r="UKV164" s="146"/>
      <c r="UKW164" s="146"/>
      <c r="UKX164" s="146"/>
      <c r="UKY164" s="146"/>
      <c r="UKZ164" s="146"/>
      <c r="ULA164" s="146"/>
      <c r="ULB164" s="146"/>
      <c r="ULC164" s="146"/>
      <c r="ULD164" s="146"/>
      <c r="ULE164" s="146"/>
      <c r="ULF164" s="146"/>
      <c r="ULG164" s="146"/>
      <c r="ULH164" s="146"/>
      <c r="ULI164" s="146"/>
      <c r="ULJ164" s="146"/>
      <c r="ULK164" s="146"/>
      <c r="ULL164" s="146"/>
      <c r="ULM164" s="146"/>
      <c r="ULN164" s="146"/>
      <c r="ULO164" s="146"/>
      <c r="ULP164" s="146"/>
      <c r="ULQ164" s="146"/>
      <c r="ULR164" s="146"/>
      <c r="ULS164" s="146"/>
      <c r="ULT164" s="146"/>
      <c r="ULU164" s="146"/>
      <c r="ULV164" s="146"/>
      <c r="ULW164" s="146"/>
      <c r="ULX164" s="146"/>
      <c r="ULY164" s="146"/>
      <c r="ULZ164" s="146"/>
      <c r="UMA164" s="146"/>
      <c r="UMB164" s="146"/>
      <c r="UMC164" s="146"/>
      <c r="UMD164" s="146"/>
      <c r="UME164" s="146"/>
      <c r="UMF164" s="146"/>
      <c r="UMG164" s="146"/>
      <c r="UMH164" s="146"/>
      <c r="UMI164" s="146"/>
      <c r="UMJ164" s="146"/>
      <c r="UMK164" s="146"/>
      <c r="UML164" s="146"/>
      <c r="UMM164" s="146"/>
      <c r="UMN164" s="146"/>
      <c r="UMO164" s="146"/>
      <c r="UMP164" s="146"/>
      <c r="UMQ164" s="146"/>
      <c r="UMR164" s="146"/>
      <c r="UMS164" s="146"/>
      <c r="UMT164" s="146"/>
      <c r="UMU164" s="146"/>
      <c r="UMV164" s="146"/>
      <c r="UMW164" s="146"/>
      <c r="UMX164" s="146"/>
      <c r="UMY164" s="146"/>
      <c r="UMZ164" s="146"/>
      <c r="UNA164" s="146"/>
      <c r="UNB164" s="146"/>
      <c r="UNC164" s="146"/>
      <c r="UND164" s="146"/>
      <c r="UNE164" s="146"/>
      <c r="UNF164" s="146"/>
      <c r="UNG164" s="146"/>
      <c r="UNH164" s="146"/>
      <c r="UNI164" s="146"/>
      <c r="UNJ164" s="146"/>
      <c r="UNK164" s="146"/>
      <c r="UNL164" s="146"/>
      <c r="UNM164" s="146"/>
      <c r="UNN164" s="146"/>
      <c r="UNO164" s="146"/>
      <c r="UNP164" s="146"/>
      <c r="UNQ164" s="146"/>
      <c r="UNR164" s="146"/>
      <c r="UNS164" s="146"/>
      <c r="UNT164" s="146"/>
      <c r="UNU164" s="146"/>
      <c r="UNV164" s="146"/>
      <c r="UNW164" s="146"/>
      <c r="UNX164" s="146"/>
      <c r="UNY164" s="146"/>
      <c r="UNZ164" s="146"/>
      <c r="UOA164" s="146"/>
      <c r="UOB164" s="146"/>
      <c r="UOC164" s="146"/>
      <c r="UOD164" s="146"/>
      <c r="UOE164" s="146"/>
      <c r="UOF164" s="146"/>
      <c r="UOG164" s="146"/>
      <c r="UOH164" s="146"/>
      <c r="UOI164" s="146"/>
      <c r="UOJ164" s="146"/>
      <c r="UOK164" s="146"/>
      <c r="UOL164" s="146"/>
      <c r="UOM164" s="146"/>
      <c r="UON164" s="146"/>
      <c r="UOO164" s="146"/>
      <c r="UOP164" s="146"/>
      <c r="UOQ164" s="146"/>
      <c r="UOR164" s="146"/>
      <c r="UOS164" s="146"/>
      <c r="UOT164" s="146"/>
      <c r="UOU164" s="146"/>
      <c r="UOV164" s="146"/>
      <c r="UOW164" s="146"/>
      <c r="UOX164" s="146"/>
      <c r="UOY164" s="146"/>
      <c r="UOZ164" s="146"/>
      <c r="UPA164" s="146"/>
      <c r="UPB164" s="146"/>
      <c r="UPC164" s="146"/>
      <c r="UPD164" s="146"/>
      <c r="UPE164" s="146"/>
      <c r="UPF164" s="146"/>
      <c r="UPG164" s="146"/>
      <c r="UPH164" s="146"/>
      <c r="UPI164" s="146"/>
      <c r="UPJ164" s="146"/>
      <c r="UPK164" s="146"/>
      <c r="UPL164" s="146"/>
      <c r="UPM164" s="146"/>
      <c r="UPN164" s="146"/>
      <c r="UPO164" s="146"/>
      <c r="UPP164" s="146"/>
      <c r="UPQ164" s="146"/>
      <c r="UPR164" s="146"/>
      <c r="UPS164" s="146"/>
      <c r="UPT164" s="146"/>
      <c r="UPU164" s="146"/>
      <c r="UPV164" s="146"/>
      <c r="UPW164" s="146"/>
      <c r="UPX164" s="146"/>
      <c r="UPY164" s="146"/>
      <c r="UPZ164" s="146"/>
      <c r="UQA164" s="146"/>
      <c r="UQB164" s="146"/>
      <c r="UQC164" s="146"/>
      <c r="UQD164" s="146"/>
      <c r="UQE164" s="146"/>
      <c r="UQF164" s="146"/>
      <c r="UQG164" s="146"/>
      <c r="UQH164" s="146"/>
      <c r="UQI164" s="146"/>
      <c r="UQJ164" s="146"/>
      <c r="UQK164" s="146"/>
      <c r="UQL164" s="146"/>
      <c r="UQM164" s="146"/>
      <c r="UQN164" s="146"/>
      <c r="UQO164" s="146"/>
      <c r="UQP164" s="146"/>
      <c r="UQQ164" s="146"/>
      <c r="UQR164" s="146"/>
      <c r="UQS164" s="146"/>
      <c r="UQT164" s="146"/>
      <c r="UQU164" s="146"/>
      <c r="UQV164" s="146"/>
      <c r="UQW164" s="146"/>
      <c r="UQX164" s="146"/>
      <c r="UQY164" s="146"/>
      <c r="UQZ164" s="146"/>
      <c r="URA164" s="146"/>
      <c r="URB164" s="146"/>
      <c r="URC164" s="146"/>
      <c r="URD164" s="146"/>
      <c r="URE164" s="146"/>
      <c r="URF164" s="146"/>
      <c r="URG164" s="146"/>
      <c r="URH164" s="146"/>
      <c r="URI164" s="146"/>
      <c r="URJ164" s="146"/>
      <c r="URK164" s="146"/>
      <c r="URL164" s="146"/>
      <c r="URM164" s="146"/>
      <c r="URN164" s="146"/>
      <c r="URO164" s="146"/>
      <c r="URP164" s="146"/>
      <c r="URQ164" s="146"/>
      <c r="URR164" s="146"/>
      <c r="URS164" s="146"/>
      <c r="URT164" s="146"/>
      <c r="URU164" s="146"/>
      <c r="URV164" s="146"/>
      <c r="URW164" s="146"/>
      <c r="URX164" s="146"/>
      <c r="URY164" s="146"/>
      <c r="URZ164" s="146"/>
      <c r="USA164" s="146"/>
      <c r="USB164" s="146"/>
      <c r="USC164" s="146"/>
      <c r="USD164" s="146"/>
      <c r="USE164" s="146"/>
      <c r="USF164" s="146"/>
      <c r="USG164" s="146"/>
      <c r="USH164" s="146"/>
      <c r="USI164" s="146"/>
      <c r="USJ164" s="146"/>
      <c r="USK164" s="146"/>
      <c r="USL164" s="146"/>
      <c r="USM164" s="146"/>
      <c r="USN164" s="146"/>
      <c r="USO164" s="146"/>
      <c r="USP164" s="146"/>
      <c r="USQ164" s="146"/>
      <c r="USR164" s="146"/>
      <c r="USS164" s="146"/>
      <c r="UST164" s="146"/>
      <c r="USU164" s="146"/>
      <c r="USV164" s="146"/>
      <c r="USW164" s="146"/>
      <c r="USX164" s="146"/>
      <c r="USY164" s="146"/>
      <c r="USZ164" s="146"/>
      <c r="UTA164" s="146"/>
      <c r="UTB164" s="146"/>
      <c r="UTC164" s="146"/>
      <c r="UTD164" s="146"/>
      <c r="UTE164" s="146"/>
      <c r="UTF164" s="146"/>
      <c r="UTG164" s="146"/>
      <c r="UTH164" s="146"/>
      <c r="UTI164" s="146"/>
      <c r="UTJ164" s="146"/>
      <c r="UTK164" s="146"/>
      <c r="UTL164" s="146"/>
      <c r="UTM164" s="146"/>
      <c r="UTN164" s="146"/>
      <c r="UTO164" s="146"/>
      <c r="UTP164" s="146"/>
      <c r="UTQ164" s="146"/>
      <c r="UTR164" s="146"/>
      <c r="UTS164" s="146"/>
      <c r="UTT164" s="146"/>
      <c r="UTU164" s="146"/>
      <c r="UTV164" s="146"/>
      <c r="UTW164" s="146"/>
      <c r="UTX164" s="146"/>
      <c r="UTY164" s="146"/>
      <c r="UTZ164" s="146"/>
      <c r="UUA164" s="146"/>
      <c r="UUB164" s="146"/>
      <c r="UUC164" s="146"/>
      <c r="UUD164" s="146"/>
      <c r="UUE164" s="146"/>
      <c r="UUF164" s="146"/>
      <c r="UUG164" s="146"/>
      <c r="UUH164" s="146"/>
      <c r="UUI164" s="146"/>
      <c r="UUJ164" s="146"/>
      <c r="UUK164" s="146"/>
      <c r="UUL164" s="146"/>
      <c r="UUM164" s="146"/>
      <c r="UUN164" s="146"/>
      <c r="UUO164" s="146"/>
      <c r="UUP164" s="146"/>
      <c r="UUQ164" s="146"/>
      <c r="UUR164" s="146"/>
      <c r="UUS164" s="146"/>
      <c r="UUT164" s="146"/>
      <c r="UUU164" s="146"/>
      <c r="UUV164" s="146"/>
      <c r="UUW164" s="146"/>
      <c r="UUX164" s="146"/>
      <c r="UUY164" s="146"/>
      <c r="UUZ164" s="146"/>
      <c r="UVA164" s="146"/>
      <c r="UVB164" s="146"/>
      <c r="UVC164" s="146"/>
      <c r="UVD164" s="146"/>
      <c r="UVE164" s="146"/>
      <c r="UVF164" s="146"/>
      <c r="UVG164" s="146"/>
      <c r="UVH164" s="146"/>
      <c r="UVI164" s="146"/>
      <c r="UVJ164" s="146"/>
      <c r="UVK164" s="146"/>
      <c r="UVL164" s="146"/>
      <c r="UVM164" s="146"/>
      <c r="UVN164" s="146"/>
      <c r="UVO164" s="146"/>
      <c r="UVP164" s="146"/>
      <c r="UVQ164" s="146"/>
      <c r="UVR164" s="146"/>
      <c r="UVS164" s="146"/>
      <c r="UVT164" s="146"/>
      <c r="UVU164" s="146"/>
      <c r="UVV164" s="146"/>
      <c r="UVW164" s="146"/>
      <c r="UVX164" s="146"/>
      <c r="UVY164" s="146"/>
      <c r="UVZ164" s="146"/>
      <c r="UWA164" s="146"/>
      <c r="UWB164" s="146"/>
      <c r="UWC164" s="146"/>
      <c r="UWD164" s="146"/>
      <c r="UWE164" s="146"/>
      <c r="UWF164" s="146"/>
      <c r="UWG164" s="146"/>
      <c r="UWH164" s="146"/>
      <c r="UWI164" s="146"/>
      <c r="UWJ164" s="146"/>
      <c r="UWK164" s="146"/>
      <c r="UWL164" s="146"/>
      <c r="UWM164" s="146"/>
      <c r="UWN164" s="146"/>
      <c r="UWO164" s="146"/>
      <c r="UWP164" s="146"/>
      <c r="UWQ164" s="146"/>
      <c r="UWR164" s="146"/>
      <c r="UWS164" s="146"/>
      <c r="UWT164" s="146"/>
      <c r="UWU164" s="146"/>
      <c r="UWV164" s="146"/>
      <c r="UWW164" s="146"/>
      <c r="UWX164" s="146"/>
      <c r="UWY164" s="146"/>
      <c r="UWZ164" s="146"/>
      <c r="UXA164" s="146"/>
      <c r="UXB164" s="146"/>
      <c r="UXC164" s="146"/>
      <c r="UXD164" s="146"/>
      <c r="UXE164" s="146"/>
      <c r="UXF164" s="146"/>
      <c r="UXG164" s="146"/>
      <c r="UXH164" s="146"/>
      <c r="UXI164" s="146"/>
      <c r="UXJ164" s="146"/>
      <c r="UXK164" s="146"/>
      <c r="UXL164" s="146"/>
      <c r="UXM164" s="146"/>
      <c r="UXN164" s="146"/>
      <c r="UXO164" s="146"/>
      <c r="UXP164" s="146"/>
      <c r="UXQ164" s="146"/>
      <c r="UXR164" s="146"/>
      <c r="UXS164" s="146"/>
      <c r="UXT164" s="146"/>
      <c r="UXU164" s="146"/>
      <c r="UXV164" s="146"/>
      <c r="UXW164" s="146"/>
      <c r="UXX164" s="146"/>
      <c r="UXY164" s="146"/>
      <c r="UXZ164" s="146"/>
      <c r="UYA164" s="146"/>
      <c r="UYB164" s="146"/>
      <c r="UYC164" s="146"/>
      <c r="UYD164" s="146"/>
      <c r="UYE164" s="146"/>
      <c r="UYF164" s="146"/>
      <c r="UYG164" s="146"/>
      <c r="UYH164" s="146"/>
      <c r="UYI164" s="146"/>
      <c r="UYJ164" s="146"/>
      <c r="UYK164" s="146"/>
      <c r="UYL164" s="146"/>
      <c r="UYM164" s="146"/>
      <c r="UYN164" s="146"/>
      <c r="UYO164" s="146"/>
      <c r="UYP164" s="146"/>
      <c r="UYQ164" s="146"/>
      <c r="UYR164" s="146"/>
      <c r="UYS164" s="146"/>
      <c r="UYT164" s="146"/>
      <c r="UYU164" s="146"/>
      <c r="UYV164" s="146"/>
      <c r="UYW164" s="146"/>
      <c r="UYX164" s="146"/>
      <c r="UYY164" s="146"/>
      <c r="UYZ164" s="146"/>
      <c r="UZA164" s="146"/>
      <c r="UZB164" s="146"/>
      <c r="UZC164" s="146"/>
      <c r="UZD164" s="146"/>
      <c r="UZE164" s="146"/>
      <c r="UZF164" s="146"/>
      <c r="UZG164" s="146"/>
      <c r="UZH164" s="146"/>
      <c r="UZI164" s="146"/>
      <c r="UZJ164" s="146"/>
      <c r="UZK164" s="146"/>
      <c r="UZL164" s="146"/>
      <c r="UZM164" s="146"/>
      <c r="UZN164" s="146"/>
      <c r="UZO164" s="146"/>
      <c r="UZP164" s="146"/>
      <c r="UZQ164" s="146"/>
      <c r="UZR164" s="146"/>
      <c r="UZS164" s="146"/>
      <c r="UZT164" s="146"/>
      <c r="UZU164" s="146"/>
      <c r="UZV164" s="146"/>
      <c r="UZW164" s="146"/>
      <c r="UZX164" s="146"/>
      <c r="UZY164" s="146"/>
      <c r="UZZ164" s="146"/>
      <c r="VAA164" s="146"/>
      <c r="VAB164" s="146"/>
      <c r="VAC164" s="146"/>
      <c r="VAD164" s="146"/>
      <c r="VAE164" s="146"/>
      <c r="VAF164" s="146"/>
      <c r="VAG164" s="146"/>
      <c r="VAH164" s="146"/>
      <c r="VAI164" s="146"/>
      <c r="VAJ164" s="146"/>
      <c r="VAK164" s="146"/>
      <c r="VAL164" s="146"/>
      <c r="VAM164" s="146"/>
      <c r="VAN164" s="146"/>
      <c r="VAO164" s="146"/>
      <c r="VAP164" s="146"/>
      <c r="VAQ164" s="146"/>
      <c r="VAR164" s="146"/>
      <c r="VAS164" s="146"/>
      <c r="VAT164" s="146"/>
      <c r="VAU164" s="146"/>
      <c r="VAV164" s="146"/>
      <c r="VAW164" s="146"/>
      <c r="VAX164" s="146"/>
      <c r="VAY164" s="146"/>
      <c r="VAZ164" s="146"/>
      <c r="VBA164" s="146"/>
      <c r="VBB164" s="146"/>
      <c r="VBC164" s="146"/>
      <c r="VBD164" s="146"/>
      <c r="VBE164" s="146"/>
      <c r="VBF164" s="146"/>
      <c r="VBG164" s="146"/>
      <c r="VBH164" s="146"/>
      <c r="VBI164" s="146"/>
      <c r="VBJ164" s="146"/>
      <c r="VBK164" s="146"/>
      <c r="VBL164" s="146"/>
      <c r="VBM164" s="146"/>
      <c r="VBN164" s="146"/>
      <c r="VBO164" s="146"/>
      <c r="VBP164" s="146"/>
      <c r="VBQ164" s="146"/>
      <c r="VBR164" s="146"/>
      <c r="VBS164" s="146"/>
      <c r="VBT164" s="146"/>
      <c r="VBU164" s="146"/>
      <c r="VBV164" s="146"/>
      <c r="VBW164" s="146"/>
      <c r="VBX164" s="146"/>
      <c r="VBY164" s="146"/>
      <c r="VBZ164" s="146"/>
      <c r="VCA164" s="146"/>
      <c r="VCB164" s="146"/>
      <c r="VCC164" s="146"/>
      <c r="VCD164" s="146"/>
      <c r="VCE164" s="146"/>
      <c r="VCF164" s="146"/>
      <c r="VCG164" s="146"/>
      <c r="VCH164" s="146"/>
      <c r="VCI164" s="146"/>
      <c r="VCJ164" s="146"/>
      <c r="VCK164" s="146"/>
      <c r="VCL164" s="146"/>
      <c r="VCM164" s="146"/>
      <c r="VCN164" s="146"/>
      <c r="VCO164" s="146"/>
      <c r="VCP164" s="146"/>
      <c r="VCQ164" s="146"/>
      <c r="VCR164" s="146"/>
      <c r="VCS164" s="146"/>
      <c r="VCT164" s="146"/>
      <c r="VCU164" s="146"/>
      <c r="VCV164" s="146"/>
      <c r="VCW164" s="146"/>
      <c r="VCX164" s="146"/>
      <c r="VCY164" s="146"/>
      <c r="VCZ164" s="146"/>
      <c r="VDA164" s="146"/>
      <c r="VDB164" s="146"/>
      <c r="VDC164" s="146"/>
      <c r="VDD164" s="146"/>
      <c r="VDE164" s="146"/>
      <c r="VDF164" s="146"/>
      <c r="VDG164" s="146"/>
      <c r="VDH164" s="146"/>
      <c r="VDI164" s="146"/>
      <c r="VDJ164" s="146"/>
      <c r="VDK164" s="146"/>
      <c r="VDL164" s="146"/>
      <c r="VDM164" s="146"/>
      <c r="VDN164" s="146"/>
      <c r="VDO164" s="146"/>
      <c r="VDP164" s="146"/>
      <c r="VDQ164" s="146"/>
      <c r="VDR164" s="146"/>
      <c r="VDS164" s="146"/>
      <c r="VDT164" s="146"/>
      <c r="VDU164" s="146"/>
      <c r="VDV164" s="146"/>
      <c r="VDW164" s="146"/>
      <c r="VDX164" s="146"/>
      <c r="VDY164" s="146"/>
      <c r="VDZ164" s="146"/>
      <c r="VEA164" s="146"/>
      <c r="VEB164" s="146"/>
      <c r="VEC164" s="146"/>
      <c r="VED164" s="146"/>
      <c r="VEE164" s="146"/>
      <c r="VEF164" s="146"/>
      <c r="VEG164" s="146"/>
      <c r="VEH164" s="146"/>
      <c r="VEI164" s="146"/>
      <c r="VEJ164" s="146"/>
      <c r="VEK164" s="146"/>
      <c r="VEL164" s="146"/>
      <c r="VEM164" s="146"/>
      <c r="VEN164" s="146"/>
      <c r="VEO164" s="146"/>
      <c r="VEP164" s="146"/>
      <c r="VEQ164" s="146"/>
      <c r="VER164" s="146"/>
      <c r="VES164" s="146"/>
      <c r="VET164" s="146"/>
      <c r="VEU164" s="146"/>
      <c r="VEV164" s="146"/>
      <c r="VEW164" s="146"/>
      <c r="VEX164" s="146"/>
      <c r="VEY164" s="146"/>
      <c r="VEZ164" s="146"/>
      <c r="VFA164" s="146"/>
      <c r="VFB164" s="146"/>
      <c r="VFC164" s="146"/>
      <c r="VFD164" s="146"/>
      <c r="VFE164" s="146"/>
      <c r="VFF164" s="146"/>
      <c r="VFG164" s="146"/>
      <c r="VFH164" s="146"/>
      <c r="VFI164" s="146"/>
      <c r="VFJ164" s="146"/>
      <c r="VFK164" s="146"/>
      <c r="VFL164" s="146"/>
      <c r="VFM164" s="146"/>
      <c r="VFN164" s="146"/>
      <c r="VFO164" s="146"/>
      <c r="VFP164" s="146"/>
      <c r="VFQ164" s="146"/>
      <c r="VFR164" s="146"/>
      <c r="VFS164" s="146"/>
      <c r="VFT164" s="146"/>
      <c r="VFU164" s="146"/>
      <c r="VFV164" s="146"/>
      <c r="VFW164" s="146"/>
      <c r="VFX164" s="146"/>
      <c r="VFY164" s="146"/>
      <c r="VFZ164" s="146"/>
      <c r="VGA164" s="146"/>
      <c r="VGB164" s="146"/>
      <c r="VGC164" s="146"/>
      <c r="VGD164" s="146"/>
      <c r="VGE164" s="146"/>
      <c r="VGF164" s="146"/>
      <c r="VGG164" s="146"/>
      <c r="VGH164" s="146"/>
      <c r="VGI164" s="146"/>
      <c r="VGJ164" s="146"/>
      <c r="VGK164" s="146"/>
      <c r="VGL164" s="146"/>
      <c r="VGM164" s="146"/>
      <c r="VGN164" s="146"/>
      <c r="VGO164" s="146"/>
      <c r="VGP164" s="146"/>
      <c r="VGQ164" s="146"/>
      <c r="VGR164" s="146"/>
      <c r="VGS164" s="146"/>
      <c r="VGT164" s="146"/>
      <c r="VGU164" s="146"/>
      <c r="VGV164" s="146"/>
      <c r="VGW164" s="146"/>
      <c r="VGX164" s="146"/>
      <c r="VGY164" s="146"/>
      <c r="VGZ164" s="146"/>
      <c r="VHA164" s="146"/>
      <c r="VHB164" s="146"/>
      <c r="VHC164" s="146"/>
      <c r="VHD164" s="146"/>
      <c r="VHE164" s="146"/>
      <c r="VHF164" s="146"/>
      <c r="VHG164" s="146"/>
      <c r="VHH164" s="146"/>
      <c r="VHI164" s="146"/>
      <c r="VHJ164" s="146"/>
      <c r="VHK164" s="146"/>
      <c r="VHL164" s="146"/>
      <c r="VHM164" s="146"/>
      <c r="VHN164" s="146"/>
      <c r="VHO164" s="146"/>
      <c r="VHP164" s="146"/>
      <c r="VHQ164" s="146"/>
      <c r="VHR164" s="146"/>
      <c r="VHS164" s="146"/>
      <c r="VHT164" s="146"/>
      <c r="VHU164" s="146"/>
      <c r="VHV164" s="146"/>
      <c r="VHW164" s="146"/>
      <c r="VHX164" s="146"/>
      <c r="VHY164" s="146"/>
      <c r="VHZ164" s="146"/>
      <c r="VIA164" s="146"/>
      <c r="VIB164" s="146"/>
      <c r="VIC164" s="146"/>
      <c r="VID164" s="146"/>
      <c r="VIE164" s="146"/>
      <c r="VIF164" s="146"/>
      <c r="VIG164" s="146"/>
      <c r="VIH164" s="146"/>
      <c r="VII164" s="146"/>
      <c r="VIJ164" s="146"/>
      <c r="VIK164" s="146"/>
      <c r="VIL164" s="146"/>
      <c r="VIM164" s="146"/>
      <c r="VIN164" s="146"/>
      <c r="VIO164" s="146"/>
      <c r="VIP164" s="146"/>
      <c r="VIQ164" s="146"/>
      <c r="VIR164" s="146"/>
      <c r="VIS164" s="146"/>
      <c r="VIT164" s="146"/>
      <c r="VIU164" s="146"/>
      <c r="VIV164" s="146"/>
      <c r="VIW164" s="146"/>
      <c r="VIX164" s="146"/>
      <c r="VIY164" s="146"/>
      <c r="VIZ164" s="146"/>
      <c r="VJA164" s="146"/>
      <c r="VJB164" s="146"/>
      <c r="VJC164" s="146"/>
      <c r="VJD164" s="146"/>
      <c r="VJE164" s="146"/>
      <c r="VJF164" s="146"/>
      <c r="VJG164" s="146"/>
      <c r="VJH164" s="146"/>
      <c r="VJI164" s="146"/>
      <c r="VJJ164" s="146"/>
      <c r="VJK164" s="146"/>
      <c r="VJL164" s="146"/>
      <c r="VJM164" s="146"/>
      <c r="VJN164" s="146"/>
      <c r="VJO164" s="146"/>
      <c r="VJP164" s="146"/>
      <c r="VJQ164" s="146"/>
      <c r="VJR164" s="146"/>
      <c r="VJS164" s="146"/>
      <c r="VJT164" s="146"/>
      <c r="VJU164" s="146"/>
      <c r="VJV164" s="146"/>
      <c r="VJW164" s="146"/>
      <c r="VJX164" s="146"/>
      <c r="VJY164" s="146"/>
      <c r="VJZ164" s="146"/>
      <c r="VKA164" s="146"/>
      <c r="VKB164" s="146"/>
      <c r="VKC164" s="146"/>
      <c r="VKD164" s="146"/>
      <c r="VKE164" s="146"/>
      <c r="VKF164" s="146"/>
      <c r="VKG164" s="146"/>
      <c r="VKH164" s="146"/>
      <c r="VKI164" s="146"/>
      <c r="VKJ164" s="146"/>
      <c r="VKK164" s="146"/>
      <c r="VKL164" s="146"/>
      <c r="VKM164" s="146"/>
      <c r="VKN164" s="146"/>
      <c r="VKO164" s="146"/>
      <c r="VKP164" s="146"/>
      <c r="VKQ164" s="146"/>
      <c r="VKR164" s="146"/>
      <c r="VKS164" s="146"/>
      <c r="VKT164" s="146"/>
      <c r="VKU164" s="146"/>
      <c r="VKV164" s="146"/>
      <c r="VKW164" s="146"/>
      <c r="VKX164" s="146"/>
      <c r="VKY164" s="146"/>
      <c r="VKZ164" s="146"/>
      <c r="VLA164" s="146"/>
      <c r="VLB164" s="146"/>
      <c r="VLC164" s="146"/>
      <c r="VLD164" s="146"/>
      <c r="VLE164" s="146"/>
      <c r="VLF164" s="146"/>
      <c r="VLG164" s="146"/>
      <c r="VLH164" s="146"/>
      <c r="VLI164" s="146"/>
      <c r="VLJ164" s="146"/>
      <c r="VLK164" s="146"/>
      <c r="VLL164" s="146"/>
      <c r="VLM164" s="146"/>
      <c r="VLN164" s="146"/>
      <c r="VLO164" s="146"/>
      <c r="VLP164" s="146"/>
      <c r="VLQ164" s="146"/>
      <c r="VLR164" s="146"/>
      <c r="VLS164" s="146"/>
      <c r="VLT164" s="146"/>
      <c r="VLU164" s="146"/>
      <c r="VLV164" s="146"/>
      <c r="VLW164" s="146"/>
      <c r="VLX164" s="146"/>
      <c r="VLY164" s="146"/>
      <c r="VLZ164" s="146"/>
      <c r="VMA164" s="146"/>
      <c r="VMB164" s="146"/>
      <c r="VMC164" s="146"/>
      <c r="VMD164" s="146"/>
      <c r="VME164" s="146"/>
      <c r="VMF164" s="146"/>
      <c r="VMG164" s="146"/>
      <c r="VMH164" s="146"/>
      <c r="VMI164" s="146"/>
      <c r="VMJ164" s="146"/>
      <c r="VMK164" s="146"/>
      <c r="VML164" s="146"/>
      <c r="VMM164" s="146"/>
      <c r="VMN164" s="146"/>
      <c r="VMO164" s="146"/>
      <c r="VMP164" s="146"/>
      <c r="VMQ164" s="146"/>
      <c r="VMR164" s="146"/>
      <c r="VMS164" s="146"/>
      <c r="VMT164" s="146"/>
      <c r="VMU164" s="146"/>
      <c r="VMV164" s="146"/>
      <c r="VMW164" s="146"/>
      <c r="VMX164" s="146"/>
      <c r="VMY164" s="146"/>
      <c r="VMZ164" s="146"/>
      <c r="VNA164" s="146"/>
      <c r="VNB164" s="146"/>
      <c r="VNC164" s="146"/>
      <c r="VND164" s="146"/>
      <c r="VNE164" s="146"/>
      <c r="VNF164" s="146"/>
      <c r="VNG164" s="146"/>
      <c r="VNH164" s="146"/>
      <c r="VNI164" s="146"/>
      <c r="VNJ164" s="146"/>
      <c r="VNK164" s="146"/>
      <c r="VNL164" s="146"/>
      <c r="VNM164" s="146"/>
      <c r="VNN164" s="146"/>
      <c r="VNO164" s="146"/>
      <c r="VNP164" s="146"/>
      <c r="VNQ164" s="146"/>
      <c r="VNR164" s="146"/>
      <c r="VNS164" s="146"/>
      <c r="VNT164" s="146"/>
      <c r="VNU164" s="146"/>
      <c r="VNV164" s="146"/>
      <c r="VNW164" s="146"/>
      <c r="VNX164" s="146"/>
      <c r="VNY164" s="146"/>
      <c r="VNZ164" s="146"/>
      <c r="VOA164" s="146"/>
      <c r="VOB164" s="146"/>
      <c r="VOC164" s="146"/>
      <c r="VOD164" s="146"/>
      <c r="VOE164" s="146"/>
      <c r="VOF164" s="146"/>
      <c r="VOG164" s="146"/>
      <c r="VOH164" s="146"/>
      <c r="VOI164" s="146"/>
      <c r="VOJ164" s="146"/>
      <c r="VOK164" s="146"/>
      <c r="VOL164" s="146"/>
      <c r="VOM164" s="146"/>
      <c r="VON164" s="146"/>
      <c r="VOO164" s="146"/>
      <c r="VOP164" s="146"/>
      <c r="VOQ164" s="146"/>
      <c r="VOR164" s="146"/>
      <c r="VOS164" s="146"/>
      <c r="VOT164" s="146"/>
      <c r="VOU164" s="146"/>
      <c r="VOV164" s="146"/>
      <c r="VOW164" s="146"/>
      <c r="VOX164" s="146"/>
      <c r="VOY164" s="146"/>
      <c r="VOZ164" s="146"/>
      <c r="VPA164" s="146"/>
      <c r="VPB164" s="146"/>
      <c r="VPC164" s="146"/>
      <c r="VPD164" s="146"/>
      <c r="VPE164" s="146"/>
      <c r="VPF164" s="146"/>
      <c r="VPG164" s="146"/>
      <c r="VPH164" s="146"/>
      <c r="VPI164" s="146"/>
      <c r="VPJ164" s="146"/>
      <c r="VPK164" s="146"/>
      <c r="VPL164" s="146"/>
      <c r="VPM164" s="146"/>
      <c r="VPN164" s="146"/>
      <c r="VPO164" s="146"/>
      <c r="VPP164" s="146"/>
      <c r="VPQ164" s="146"/>
      <c r="VPR164" s="146"/>
      <c r="VPS164" s="146"/>
      <c r="VPT164" s="146"/>
      <c r="VPU164" s="146"/>
      <c r="VPV164" s="146"/>
      <c r="VPW164" s="146"/>
      <c r="VPX164" s="146"/>
      <c r="VPY164" s="146"/>
      <c r="VPZ164" s="146"/>
      <c r="VQA164" s="146"/>
      <c r="VQB164" s="146"/>
      <c r="VQC164" s="146"/>
      <c r="VQD164" s="146"/>
      <c r="VQE164" s="146"/>
      <c r="VQF164" s="146"/>
      <c r="VQG164" s="146"/>
      <c r="VQH164" s="146"/>
      <c r="VQI164" s="146"/>
      <c r="VQJ164" s="146"/>
      <c r="VQK164" s="146"/>
      <c r="VQL164" s="146"/>
      <c r="VQM164" s="146"/>
      <c r="VQN164" s="146"/>
      <c r="VQO164" s="146"/>
      <c r="VQP164" s="146"/>
      <c r="VQQ164" s="146"/>
      <c r="VQR164" s="146"/>
      <c r="VQS164" s="146"/>
      <c r="VQT164" s="146"/>
      <c r="VQU164" s="146"/>
      <c r="VQV164" s="146"/>
      <c r="VQW164" s="146"/>
      <c r="VQX164" s="146"/>
      <c r="VQY164" s="146"/>
      <c r="VQZ164" s="146"/>
      <c r="VRA164" s="146"/>
      <c r="VRB164" s="146"/>
      <c r="VRC164" s="146"/>
      <c r="VRD164" s="146"/>
      <c r="VRE164" s="146"/>
      <c r="VRF164" s="146"/>
      <c r="VRG164" s="146"/>
      <c r="VRH164" s="146"/>
      <c r="VRI164" s="146"/>
      <c r="VRJ164" s="146"/>
      <c r="VRK164" s="146"/>
      <c r="VRL164" s="146"/>
      <c r="VRM164" s="146"/>
      <c r="VRN164" s="146"/>
      <c r="VRO164" s="146"/>
      <c r="VRP164" s="146"/>
      <c r="VRQ164" s="146"/>
      <c r="VRR164" s="146"/>
      <c r="VRS164" s="146"/>
      <c r="VRT164" s="146"/>
      <c r="VRU164" s="146"/>
      <c r="VRV164" s="146"/>
      <c r="VRW164" s="146"/>
      <c r="VRX164" s="146"/>
      <c r="VRY164" s="146"/>
      <c r="VRZ164" s="146"/>
      <c r="VSA164" s="146"/>
      <c r="VSB164" s="146"/>
      <c r="VSC164" s="146"/>
      <c r="VSD164" s="146"/>
      <c r="VSE164" s="146"/>
      <c r="VSF164" s="146"/>
      <c r="VSG164" s="146"/>
      <c r="VSH164" s="146"/>
      <c r="VSI164" s="146"/>
      <c r="VSJ164" s="146"/>
      <c r="VSK164" s="146"/>
      <c r="VSL164" s="146"/>
      <c r="VSM164" s="146"/>
      <c r="VSN164" s="146"/>
      <c r="VSO164" s="146"/>
      <c r="VSP164" s="146"/>
      <c r="VSQ164" s="146"/>
      <c r="VSR164" s="146"/>
      <c r="VSS164" s="146"/>
      <c r="VST164" s="146"/>
      <c r="VSU164" s="146"/>
      <c r="VSV164" s="146"/>
      <c r="VSW164" s="146"/>
      <c r="VSX164" s="146"/>
      <c r="VSY164" s="146"/>
      <c r="VSZ164" s="146"/>
      <c r="VTA164" s="146"/>
      <c r="VTB164" s="146"/>
      <c r="VTC164" s="146"/>
      <c r="VTD164" s="146"/>
      <c r="VTE164" s="146"/>
      <c r="VTF164" s="146"/>
      <c r="VTG164" s="146"/>
      <c r="VTH164" s="146"/>
      <c r="VTI164" s="146"/>
      <c r="VTJ164" s="146"/>
      <c r="VTK164" s="146"/>
      <c r="VTL164" s="146"/>
      <c r="VTM164" s="146"/>
      <c r="VTN164" s="146"/>
      <c r="VTO164" s="146"/>
      <c r="VTP164" s="146"/>
      <c r="VTQ164" s="146"/>
      <c r="VTR164" s="146"/>
      <c r="VTS164" s="146"/>
      <c r="VTT164" s="146"/>
      <c r="VTU164" s="146"/>
      <c r="VTV164" s="146"/>
      <c r="VTW164" s="146"/>
      <c r="VTX164" s="146"/>
      <c r="VTY164" s="146"/>
      <c r="VTZ164" s="146"/>
      <c r="VUA164" s="146"/>
      <c r="VUB164" s="146"/>
      <c r="VUC164" s="146"/>
      <c r="VUD164" s="146"/>
      <c r="VUE164" s="146"/>
      <c r="VUF164" s="146"/>
      <c r="VUG164" s="146"/>
      <c r="VUH164" s="146"/>
      <c r="VUI164" s="146"/>
      <c r="VUJ164" s="146"/>
      <c r="VUK164" s="146"/>
      <c r="VUL164" s="146"/>
      <c r="VUM164" s="146"/>
      <c r="VUN164" s="146"/>
      <c r="VUO164" s="146"/>
      <c r="VUP164" s="146"/>
      <c r="VUQ164" s="146"/>
      <c r="VUR164" s="146"/>
      <c r="VUS164" s="146"/>
      <c r="VUT164" s="146"/>
      <c r="VUU164" s="146"/>
      <c r="VUV164" s="146"/>
      <c r="VUW164" s="146"/>
      <c r="VUX164" s="146"/>
      <c r="VUY164" s="146"/>
      <c r="VUZ164" s="146"/>
      <c r="VVA164" s="146"/>
      <c r="VVB164" s="146"/>
      <c r="VVC164" s="146"/>
      <c r="VVD164" s="146"/>
      <c r="VVE164" s="146"/>
      <c r="VVF164" s="146"/>
      <c r="VVG164" s="146"/>
      <c r="VVH164" s="146"/>
      <c r="VVI164" s="146"/>
      <c r="VVJ164" s="146"/>
      <c r="VVK164" s="146"/>
      <c r="VVL164" s="146"/>
      <c r="VVM164" s="146"/>
      <c r="VVN164" s="146"/>
      <c r="VVO164" s="146"/>
      <c r="VVP164" s="146"/>
      <c r="VVQ164" s="146"/>
      <c r="VVR164" s="146"/>
      <c r="VVS164" s="146"/>
      <c r="VVT164" s="146"/>
      <c r="VVU164" s="146"/>
      <c r="VVV164" s="146"/>
      <c r="VVW164" s="146"/>
      <c r="VVX164" s="146"/>
      <c r="VVY164" s="146"/>
      <c r="VVZ164" s="146"/>
      <c r="VWA164" s="146"/>
      <c r="VWB164" s="146"/>
      <c r="VWC164" s="146"/>
      <c r="VWD164" s="146"/>
      <c r="VWE164" s="146"/>
      <c r="VWF164" s="146"/>
      <c r="VWG164" s="146"/>
      <c r="VWH164" s="146"/>
      <c r="VWI164" s="146"/>
      <c r="VWJ164" s="146"/>
      <c r="VWK164" s="146"/>
      <c r="VWL164" s="146"/>
      <c r="VWM164" s="146"/>
      <c r="VWN164" s="146"/>
      <c r="VWO164" s="146"/>
      <c r="VWP164" s="146"/>
      <c r="VWQ164" s="146"/>
      <c r="VWR164" s="146"/>
      <c r="VWS164" s="146"/>
      <c r="VWT164" s="146"/>
      <c r="VWU164" s="146"/>
      <c r="VWV164" s="146"/>
      <c r="VWW164" s="146"/>
      <c r="VWX164" s="146"/>
      <c r="VWY164" s="146"/>
      <c r="VWZ164" s="146"/>
      <c r="VXA164" s="146"/>
      <c r="VXB164" s="146"/>
      <c r="VXC164" s="146"/>
      <c r="VXD164" s="146"/>
      <c r="VXE164" s="146"/>
      <c r="VXF164" s="146"/>
      <c r="VXG164" s="146"/>
      <c r="VXH164" s="146"/>
      <c r="VXI164" s="146"/>
      <c r="VXJ164" s="146"/>
      <c r="VXK164" s="146"/>
      <c r="VXL164" s="146"/>
      <c r="VXM164" s="146"/>
      <c r="VXN164" s="146"/>
      <c r="VXO164" s="146"/>
      <c r="VXP164" s="146"/>
      <c r="VXQ164" s="146"/>
      <c r="VXR164" s="146"/>
      <c r="VXS164" s="146"/>
      <c r="VXT164" s="146"/>
      <c r="VXU164" s="146"/>
      <c r="VXV164" s="146"/>
      <c r="VXW164" s="146"/>
      <c r="VXX164" s="146"/>
      <c r="VXY164" s="146"/>
      <c r="VXZ164" s="146"/>
      <c r="VYA164" s="146"/>
      <c r="VYB164" s="146"/>
      <c r="VYC164" s="146"/>
      <c r="VYD164" s="146"/>
      <c r="VYE164" s="146"/>
      <c r="VYF164" s="146"/>
      <c r="VYG164" s="146"/>
      <c r="VYH164" s="146"/>
      <c r="VYI164" s="146"/>
      <c r="VYJ164" s="146"/>
      <c r="VYK164" s="146"/>
      <c r="VYL164" s="146"/>
      <c r="VYM164" s="146"/>
      <c r="VYN164" s="146"/>
      <c r="VYO164" s="146"/>
      <c r="VYP164" s="146"/>
      <c r="VYQ164" s="146"/>
      <c r="VYR164" s="146"/>
      <c r="VYS164" s="146"/>
      <c r="VYT164" s="146"/>
      <c r="VYU164" s="146"/>
      <c r="VYV164" s="146"/>
      <c r="VYW164" s="146"/>
      <c r="VYX164" s="146"/>
      <c r="VYY164" s="146"/>
      <c r="VYZ164" s="146"/>
      <c r="VZA164" s="146"/>
      <c r="VZB164" s="146"/>
      <c r="VZC164" s="146"/>
      <c r="VZD164" s="146"/>
      <c r="VZE164" s="146"/>
      <c r="VZF164" s="146"/>
      <c r="VZG164" s="146"/>
      <c r="VZH164" s="146"/>
      <c r="VZI164" s="146"/>
      <c r="VZJ164" s="146"/>
      <c r="VZK164" s="146"/>
      <c r="VZL164" s="146"/>
      <c r="VZM164" s="146"/>
      <c r="VZN164" s="146"/>
      <c r="VZO164" s="146"/>
      <c r="VZP164" s="146"/>
      <c r="VZQ164" s="146"/>
      <c r="VZR164" s="146"/>
      <c r="VZS164" s="146"/>
      <c r="VZT164" s="146"/>
      <c r="VZU164" s="146"/>
      <c r="VZV164" s="146"/>
      <c r="VZW164" s="146"/>
      <c r="VZX164" s="146"/>
      <c r="VZY164" s="146"/>
      <c r="VZZ164" s="146"/>
      <c r="WAA164" s="146"/>
      <c r="WAB164" s="146"/>
      <c r="WAC164" s="146"/>
      <c r="WAD164" s="146"/>
      <c r="WAE164" s="146"/>
      <c r="WAF164" s="146"/>
      <c r="WAG164" s="146"/>
      <c r="WAH164" s="146"/>
      <c r="WAI164" s="146"/>
      <c r="WAJ164" s="146"/>
      <c r="WAK164" s="146"/>
      <c r="WAL164" s="146"/>
      <c r="WAM164" s="146"/>
      <c r="WAN164" s="146"/>
      <c r="WAO164" s="146"/>
      <c r="WAP164" s="146"/>
      <c r="WAQ164" s="146"/>
      <c r="WAR164" s="146"/>
      <c r="WAS164" s="146"/>
      <c r="WAT164" s="146"/>
      <c r="WAU164" s="146"/>
      <c r="WAV164" s="146"/>
      <c r="WAW164" s="146"/>
      <c r="WAX164" s="146"/>
      <c r="WAY164" s="146"/>
      <c r="WAZ164" s="146"/>
      <c r="WBA164" s="146"/>
      <c r="WBB164" s="146"/>
      <c r="WBC164" s="146"/>
      <c r="WBD164" s="146"/>
      <c r="WBE164" s="146"/>
      <c r="WBF164" s="146"/>
      <c r="WBG164" s="146"/>
      <c r="WBH164" s="146"/>
      <c r="WBI164" s="146"/>
      <c r="WBJ164" s="146"/>
      <c r="WBK164" s="146"/>
      <c r="WBL164" s="146"/>
      <c r="WBM164" s="146"/>
      <c r="WBN164" s="146"/>
      <c r="WBO164" s="146"/>
      <c r="WBP164" s="146"/>
      <c r="WBQ164" s="146"/>
      <c r="WBR164" s="146"/>
      <c r="WBS164" s="146"/>
      <c r="WBT164" s="146"/>
      <c r="WBU164" s="146"/>
      <c r="WBV164" s="146"/>
      <c r="WBW164" s="146"/>
      <c r="WBX164" s="146"/>
      <c r="WBY164" s="146"/>
      <c r="WBZ164" s="146"/>
      <c r="WCA164" s="146"/>
      <c r="WCB164" s="146"/>
      <c r="WCC164" s="146"/>
      <c r="WCD164" s="146"/>
      <c r="WCE164" s="146"/>
      <c r="WCF164" s="146"/>
      <c r="WCG164" s="146"/>
      <c r="WCH164" s="146"/>
      <c r="WCI164" s="146"/>
      <c r="WCJ164" s="146"/>
      <c r="WCK164" s="146"/>
      <c r="WCL164" s="146"/>
      <c r="WCM164" s="146"/>
      <c r="WCN164" s="146"/>
      <c r="WCO164" s="146"/>
      <c r="WCP164" s="146"/>
      <c r="WCQ164" s="146"/>
      <c r="WCR164" s="146"/>
      <c r="WCS164" s="146"/>
      <c r="WCT164" s="146"/>
      <c r="WCU164" s="146"/>
      <c r="WCV164" s="146"/>
      <c r="WCW164" s="146"/>
      <c r="WCX164" s="146"/>
      <c r="WCY164" s="146"/>
      <c r="WCZ164" s="146"/>
      <c r="WDA164" s="146"/>
      <c r="WDB164" s="146"/>
      <c r="WDC164" s="146"/>
      <c r="WDD164" s="146"/>
      <c r="WDE164" s="146"/>
      <c r="WDF164" s="146"/>
      <c r="WDG164" s="146"/>
      <c r="WDH164" s="146"/>
      <c r="WDI164" s="146"/>
      <c r="WDJ164" s="146"/>
      <c r="WDK164" s="146"/>
      <c r="WDL164" s="146"/>
      <c r="WDM164" s="146"/>
      <c r="WDN164" s="146"/>
      <c r="WDO164" s="146"/>
      <c r="WDP164" s="146"/>
      <c r="WDQ164" s="146"/>
      <c r="WDR164" s="146"/>
      <c r="WDS164" s="146"/>
      <c r="WDT164" s="146"/>
      <c r="WDU164" s="146"/>
      <c r="WDV164" s="146"/>
      <c r="WDW164" s="146"/>
      <c r="WDX164" s="146"/>
      <c r="WDY164" s="146"/>
      <c r="WDZ164" s="146"/>
      <c r="WEA164" s="146"/>
      <c r="WEB164" s="146"/>
      <c r="WEC164" s="146"/>
      <c r="WED164" s="146"/>
      <c r="WEE164" s="146"/>
      <c r="WEF164" s="146"/>
      <c r="WEG164" s="146"/>
      <c r="WEH164" s="146"/>
      <c r="WEI164" s="146"/>
      <c r="WEJ164" s="146"/>
      <c r="WEK164" s="146"/>
      <c r="WEL164" s="146"/>
      <c r="WEM164" s="146"/>
      <c r="WEN164" s="146"/>
      <c r="WEO164" s="146"/>
      <c r="WEP164" s="146"/>
      <c r="WEQ164" s="146"/>
      <c r="WER164" s="146"/>
      <c r="WES164" s="146"/>
      <c r="WET164" s="146"/>
      <c r="WEU164" s="146"/>
      <c r="WEV164" s="146"/>
      <c r="WEW164" s="146"/>
      <c r="WEX164" s="146"/>
      <c r="WEY164" s="146"/>
      <c r="WEZ164" s="146"/>
      <c r="WFA164" s="146"/>
      <c r="WFB164" s="146"/>
      <c r="WFC164" s="146"/>
      <c r="WFD164" s="146"/>
      <c r="WFE164" s="146"/>
      <c r="WFF164" s="146"/>
      <c r="WFG164" s="146"/>
      <c r="WFH164" s="146"/>
      <c r="WFI164" s="146"/>
      <c r="WFJ164" s="146"/>
      <c r="WFK164" s="146"/>
      <c r="WFL164" s="146"/>
      <c r="WFM164" s="146"/>
      <c r="WFN164" s="146"/>
      <c r="WFO164" s="146"/>
      <c r="WFP164" s="146"/>
      <c r="WFQ164" s="146"/>
      <c r="WFR164" s="146"/>
      <c r="WFS164" s="146"/>
      <c r="WFT164" s="146"/>
      <c r="WFU164" s="146"/>
      <c r="WFV164" s="146"/>
      <c r="WFW164" s="146"/>
      <c r="WFX164" s="146"/>
      <c r="WFY164" s="146"/>
      <c r="WFZ164" s="146"/>
      <c r="WGA164" s="146"/>
      <c r="WGB164" s="146"/>
      <c r="WGC164" s="146"/>
      <c r="WGD164" s="146"/>
      <c r="WGE164" s="146"/>
      <c r="WGF164" s="146"/>
      <c r="WGG164" s="146"/>
      <c r="WGH164" s="146"/>
      <c r="WGI164" s="146"/>
      <c r="WGJ164" s="146"/>
      <c r="WGK164" s="146"/>
      <c r="WGL164" s="146"/>
      <c r="WGM164" s="146"/>
      <c r="WGN164" s="146"/>
      <c r="WGO164" s="146"/>
      <c r="WGP164" s="146"/>
      <c r="WGQ164" s="146"/>
      <c r="WGR164" s="146"/>
      <c r="WGS164" s="146"/>
      <c r="WGT164" s="146"/>
      <c r="WGU164" s="146"/>
      <c r="WGV164" s="146"/>
      <c r="WGW164" s="146"/>
      <c r="WGX164" s="146"/>
      <c r="WGY164" s="146"/>
      <c r="WGZ164" s="146"/>
      <c r="WHA164" s="146"/>
      <c r="WHB164" s="146"/>
      <c r="WHC164" s="146"/>
      <c r="WHD164" s="146"/>
      <c r="WHE164" s="146"/>
      <c r="WHF164" s="146"/>
      <c r="WHG164" s="146"/>
      <c r="WHH164" s="146"/>
      <c r="WHI164" s="146"/>
      <c r="WHJ164" s="146"/>
      <c r="WHK164" s="146"/>
      <c r="WHL164" s="146"/>
      <c r="WHM164" s="146"/>
      <c r="WHN164" s="146"/>
      <c r="WHO164" s="146"/>
      <c r="WHP164" s="146"/>
      <c r="WHQ164" s="146"/>
      <c r="WHR164" s="146"/>
      <c r="WHS164" s="146"/>
      <c r="WHT164" s="146"/>
      <c r="WHU164" s="146"/>
      <c r="WHV164" s="146"/>
      <c r="WHW164" s="146"/>
      <c r="WHX164" s="146"/>
      <c r="WHY164" s="146"/>
      <c r="WHZ164" s="146"/>
      <c r="WIA164" s="146"/>
      <c r="WIB164" s="146"/>
      <c r="WIC164" s="146"/>
      <c r="WID164" s="146"/>
      <c r="WIE164" s="146"/>
      <c r="WIF164" s="146"/>
      <c r="WIG164" s="146"/>
      <c r="WIH164" s="146"/>
      <c r="WII164" s="146"/>
      <c r="WIJ164" s="146"/>
      <c r="WIK164" s="146"/>
      <c r="WIL164" s="146"/>
      <c r="WIM164" s="146"/>
      <c r="WIN164" s="146"/>
      <c r="WIO164" s="146"/>
      <c r="WIP164" s="146"/>
      <c r="WIQ164" s="146"/>
      <c r="WIR164" s="146"/>
      <c r="WIS164" s="146"/>
      <c r="WIT164" s="146"/>
      <c r="WIU164" s="146"/>
      <c r="WIV164" s="146"/>
      <c r="WIW164" s="146"/>
      <c r="WIX164" s="146"/>
      <c r="WIY164" s="146"/>
      <c r="WIZ164" s="146"/>
      <c r="WJA164" s="146"/>
      <c r="WJB164" s="146"/>
      <c r="WJC164" s="146"/>
      <c r="WJD164" s="146"/>
      <c r="WJE164" s="146"/>
      <c r="WJF164" s="146"/>
      <c r="WJG164" s="146"/>
      <c r="WJH164" s="146"/>
      <c r="WJI164" s="146"/>
      <c r="WJJ164" s="146"/>
      <c r="WJK164" s="146"/>
      <c r="WJL164" s="146"/>
      <c r="WJM164" s="146"/>
      <c r="WJN164" s="146"/>
      <c r="WJO164" s="146"/>
      <c r="WJP164" s="146"/>
      <c r="WJQ164" s="146"/>
      <c r="WJR164" s="146"/>
      <c r="WJS164" s="146"/>
      <c r="WJT164" s="146"/>
      <c r="WJU164" s="146"/>
      <c r="WJV164" s="146"/>
      <c r="WJW164" s="146"/>
      <c r="WJX164" s="146"/>
      <c r="WJY164" s="146"/>
      <c r="WJZ164" s="146"/>
      <c r="WKA164" s="146"/>
      <c r="WKB164" s="146"/>
      <c r="WKC164" s="146"/>
      <c r="WKD164" s="146"/>
      <c r="WKE164" s="146"/>
      <c r="WKF164" s="146"/>
      <c r="WKG164" s="146"/>
      <c r="WKH164" s="146"/>
      <c r="WKI164" s="146"/>
      <c r="WKJ164" s="146"/>
      <c r="WKK164" s="146"/>
      <c r="WKL164" s="146"/>
      <c r="WKM164" s="146"/>
      <c r="WKN164" s="146"/>
      <c r="WKO164" s="146"/>
      <c r="WKP164" s="146"/>
      <c r="WKQ164" s="146"/>
      <c r="WKR164" s="146"/>
      <c r="WKS164" s="146"/>
      <c r="WKT164" s="146"/>
      <c r="WKU164" s="146"/>
      <c r="WKV164" s="146"/>
      <c r="WKW164" s="146"/>
      <c r="WKX164" s="146"/>
      <c r="WKY164" s="146"/>
      <c r="WKZ164" s="146"/>
      <c r="WLA164" s="146"/>
      <c r="WLB164" s="146"/>
      <c r="WLC164" s="146"/>
      <c r="WLD164" s="146"/>
      <c r="WLE164" s="146"/>
      <c r="WLF164" s="146"/>
      <c r="WLG164" s="146"/>
      <c r="WLH164" s="146"/>
      <c r="WLI164" s="146"/>
      <c r="WLJ164" s="146"/>
      <c r="WLK164" s="146"/>
      <c r="WLL164" s="146"/>
      <c r="WLM164" s="146"/>
      <c r="WLN164" s="146"/>
      <c r="WLO164" s="146"/>
      <c r="WLP164" s="146"/>
      <c r="WLQ164" s="146"/>
      <c r="WLR164" s="146"/>
      <c r="WLS164" s="146"/>
      <c r="WLT164" s="146"/>
      <c r="WLU164" s="146"/>
      <c r="WLV164" s="146"/>
      <c r="WLW164" s="146"/>
      <c r="WLX164" s="146"/>
      <c r="WLY164" s="146"/>
      <c r="WLZ164" s="146"/>
      <c r="WMA164" s="146"/>
      <c r="WMB164" s="146"/>
      <c r="WMC164" s="146"/>
      <c r="WMD164" s="146"/>
      <c r="WME164" s="146"/>
      <c r="WMF164" s="146"/>
      <c r="WMG164" s="146"/>
      <c r="WMH164" s="146"/>
      <c r="WMI164" s="146"/>
      <c r="WMJ164" s="146"/>
      <c r="WMK164" s="146"/>
      <c r="WML164" s="146"/>
      <c r="WMM164" s="146"/>
      <c r="WMN164" s="146"/>
      <c r="WMO164" s="146"/>
      <c r="WMP164" s="146"/>
      <c r="WMQ164" s="146"/>
      <c r="WMR164" s="146"/>
      <c r="WMS164" s="146"/>
      <c r="WMT164" s="146"/>
      <c r="WMU164" s="146"/>
      <c r="WMV164" s="146"/>
      <c r="WMW164" s="146"/>
      <c r="WMX164" s="146"/>
      <c r="WMY164" s="146"/>
      <c r="WMZ164" s="146"/>
      <c r="WNA164" s="146"/>
      <c r="WNB164" s="146"/>
      <c r="WNC164" s="146"/>
      <c r="WND164" s="146"/>
      <c r="WNE164" s="146"/>
      <c r="WNF164" s="146"/>
      <c r="WNG164" s="146"/>
      <c r="WNH164" s="146"/>
      <c r="WNI164" s="146"/>
      <c r="WNJ164" s="146"/>
      <c r="WNK164" s="146"/>
      <c r="WNL164" s="146"/>
      <c r="WNM164" s="146"/>
      <c r="WNN164" s="146"/>
      <c r="WNO164" s="146"/>
      <c r="WNP164" s="146"/>
      <c r="WNQ164" s="146"/>
      <c r="WNR164" s="146"/>
      <c r="WNS164" s="146"/>
      <c r="WNT164" s="146"/>
      <c r="WNU164" s="146"/>
      <c r="WNV164" s="146"/>
      <c r="WNW164" s="146"/>
      <c r="WNX164" s="146"/>
      <c r="WNY164" s="146"/>
      <c r="WNZ164" s="146"/>
      <c r="WOA164" s="146"/>
      <c r="WOB164" s="146"/>
      <c r="WOC164" s="146"/>
      <c r="WOD164" s="146"/>
      <c r="WOE164" s="146"/>
      <c r="WOF164" s="146"/>
      <c r="WOG164" s="146"/>
      <c r="WOH164" s="146"/>
      <c r="WOI164" s="146"/>
      <c r="WOJ164" s="146"/>
      <c r="WOK164" s="146"/>
      <c r="WOL164" s="146"/>
      <c r="WOM164" s="146"/>
      <c r="WON164" s="146"/>
      <c r="WOO164" s="146"/>
      <c r="WOP164" s="146"/>
      <c r="WOQ164" s="146"/>
      <c r="WOR164" s="146"/>
      <c r="WOS164" s="146"/>
      <c r="WOT164" s="146"/>
      <c r="WOU164" s="146"/>
      <c r="WOV164" s="146"/>
      <c r="WOW164" s="146"/>
      <c r="WOX164" s="146"/>
      <c r="WOY164" s="146"/>
      <c r="WOZ164" s="146"/>
      <c r="WPA164" s="146"/>
      <c r="WPB164" s="146"/>
      <c r="WPC164" s="146"/>
      <c r="WPD164" s="146"/>
      <c r="WPE164" s="146"/>
      <c r="WPF164" s="146"/>
      <c r="WPG164" s="146"/>
      <c r="WPH164" s="146"/>
      <c r="WPI164" s="146"/>
      <c r="WPJ164" s="146"/>
      <c r="WPK164" s="146"/>
      <c r="WPL164" s="146"/>
      <c r="WPM164" s="146"/>
      <c r="WPN164" s="146"/>
      <c r="WPO164" s="146"/>
      <c r="WPP164" s="146"/>
      <c r="WPQ164" s="146"/>
      <c r="WPR164" s="146"/>
      <c r="WPS164" s="146"/>
      <c r="WPT164" s="146"/>
      <c r="WPU164" s="146"/>
      <c r="WPV164" s="146"/>
      <c r="WPW164" s="146"/>
      <c r="WPX164" s="146"/>
      <c r="WPY164" s="146"/>
      <c r="WPZ164" s="146"/>
      <c r="WQA164" s="146"/>
      <c r="WQB164" s="146"/>
      <c r="WQC164" s="146"/>
      <c r="WQD164" s="146"/>
      <c r="WQE164" s="146"/>
      <c r="WQF164" s="146"/>
      <c r="WQG164" s="146"/>
      <c r="WQH164" s="146"/>
      <c r="WQI164" s="146"/>
      <c r="WQJ164" s="146"/>
      <c r="WQK164" s="146"/>
      <c r="WQL164" s="146"/>
      <c r="WQM164" s="146"/>
      <c r="WQN164" s="146"/>
      <c r="WQO164" s="146"/>
      <c r="WQP164" s="146"/>
      <c r="WQQ164" s="146"/>
      <c r="WQR164" s="146"/>
      <c r="WQS164" s="146"/>
      <c r="WQT164" s="146"/>
      <c r="WQU164" s="146"/>
      <c r="WQV164" s="146"/>
      <c r="WQW164" s="146"/>
      <c r="WQX164" s="146"/>
      <c r="WQY164" s="146"/>
      <c r="WQZ164" s="146"/>
      <c r="WRA164" s="146"/>
      <c r="WRB164" s="146"/>
      <c r="WRC164" s="146"/>
      <c r="WRD164" s="146"/>
      <c r="WRE164" s="146"/>
      <c r="WRF164" s="146"/>
      <c r="WRG164" s="146"/>
      <c r="WRH164" s="146"/>
      <c r="WRI164" s="146"/>
      <c r="WRJ164" s="146"/>
      <c r="WRK164" s="146"/>
      <c r="WRL164" s="146"/>
      <c r="WRM164" s="146"/>
      <c r="WRN164" s="146"/>
      <c r="WRO164" s="146"/>
      <c r="WRP164" s="146"/>
      <c r="WRQ164" s="146"/>
      <c r="WRR164" s="146"/>
      <c r="WRS164" s="146"/>
      <c r="WRT164" s="146"/>
      <c r="WRU164" s="146"/>
      <c r="WRV164" s="146"/>
      <c r="WRW164" s="146"/>
      <c r="WRX164" s="146"/>
      <c r="WRY164" s="146"/>
      <c r="WRZ164" s="146"/>
      <c r="WSA164" s="146"/>
      <c r="WSB164" s="146"/>
      <c r="WSC164" s="146"/>
      <c r="WSD164" s="146"/>
      <c r="WSE164" s="146"/>
      <c r="WSF164" s="146"/>
      <c r="WSG164" s="146"/>
      <c r="WSH164" s="146"/>
      <c r="WSI164" s="146"/>
      <c r="WSJ164" s="146"/>
      <c r="WSK164" s="146"/>
      <c r="WSL164" s="146"/>
      <c r="WSM164" s="146"/>
      <c r="WSN164" s="146"/>
      <c r="WSO164" s="146"/>
      <c r="WSP164" s="146"/>
      <c r="WSQ164" s="146"/>
      <c r="WSR164" s="146"/>
      <c r="WSS164" s="146"/>
      <c r="WST164" s="146"/>
      <c r="WSU164" s="146"/>
      <c r="WSV164" s="146"/>
      <c r="WSW164" s="146"/>
      <c r="WSX164" s="146"/>
      <c r="WSY164" s="146"/>
      <c r="WSZ164" s="146"/>
      <c r="WTA164" s="146"/>
      <c r="WTB164" s="146"/>
      <c r="WTC164" s="146"/>
      <c r="WTD164" s="146"/>
      <c r="WTE164" s="146"/>
      <c r="WTF164" s="146"/>
      <c r="WTG164" s="146"/>
      <c r="WTH164" s="146"/>
      <c r="WTI164" s="146"/>
      <c r="WTJ164" s="146"/>
      <c r="WTK164" s="146"/>
      <c r="WTL164" s="146"/>
      <c r="WTM164" s="146"/>
      <c r="WTN164" s="146"/>
      <c r="WTO164" s="146"/>
      <c r="WTP164" s="146"/>
      <c r="WTQ164" s="146"/>
      <c r="WTR164" s="146"/>
      <c r="WTS164" s="146"/>
      <c r="WTT164" s="146"/>
      <c r="WTU164" s="146"/>
      <c r="WTV164" s="146"/>
      <c r="WTW164" s="146"/>
      <c r="WTX164" s="146"/>
      <c r="WTY164" s="146"/>
      <c r="WTZ164" s="146"/>
      <c r="WUA164" s="146"/>
      <c r="WUB164" s="146"/>
      <c r="WUC164" s="146"/>
      <c r="WUD164" s="146"/>
      <c r="WUE164" s="146"/>
      <c r="WUF164" s="146"/>
      <c r="WUG164" s="146"/>
      <c r="WUH164" s="146"/>
      <c r="WUI164" s="146"/>
      <c r="WUJ164" s="146"/>
      <c r="WUK164" s="146"/>
      <c r="WUL164" s="146"/>
      <c r="WUM164" s="146"/>
      <c r="WUN164" s="146"/>
      <c r="WUO164" s="146"/>
      <c r="WUP164" s="146"/>
      <c r="WUQ164" s="146"/>
      <c r="WUR164" s="146"/>
      <c r="WUS164" s="146"/>
      <c r="WUT164" s="146"/>
      <c r="WUU164" s="146"/>
      <c r="WUV164" s="146"/>
      <c r="WUW164" s="146"/>
      <c r="WUX164" s="146"/>
      <c r="WUY164" s="146"/>
      <c r="WUZ164" s="146"/>
      <c r="WVA164" s="146"/>
      <c r="WVB164" s="146"/>
      <c r="WVC164" s="146"/>
      <c r="WVD164" s="146"/>
      <c r="WVE164" s="146"/>
      <c r="WVF164" s="146"/>
      <c r="WVG164" s="146"/>
      <c r="WVH164" s="146"/>
      <c r="WVI164" s="146"/>
      <c r="WVJ164" s="146"/>
      <c r="WVK164" s="146"/>
      <c r="WVL164" s="146"/>
      <c r="WVM164" s="146"/>
      <c r="WVN164" s="146"/>
      <c r="WVO164" s="146"/>
      <c r="WVP164" s="146"/>
      <c r="WVQ164" s="146"/>
      <c r="WVR164" s="146"/>
      <c r="WVS164" s="146"/>
      <c r="WVT164" s="146"/>
      <c r="WVU164" s="146"/>
      <c r="WVV164" s="146"/>
      <c r="WVW164" s="146"/>
      <c r="WVX164" s="146"/>
      <c r="WVY164" s="146"/>
      <c r="WVZ164" s="146"/>
      <c r="WWA164" s="146"/>
      <c r="WWB164" s="146"/>
      <c r="WWC164" s="146"/>
      <c r="WWD164" s="146"/>
      <c r="WWE164" s="146"/>
      <c r="WWF164" s="146"/>
      <c r="WWG164" s="146"/>
      <c r="WWH164" s="146"/>
      <c r="WWI164" s="146"/>
      <c r="WWJ164" s="146"/>
      <c r="WWK164" s="146"/>
      <c r="WWL164" s="146"/>
      <c r="WWM164" s="146"/>
      <c r="WWN164" s="146"/>
      <c r="WWO164" s="146"/>
      <c r="WWP164" s="146"/>
      <c r="WWQ164" s="146"/>
      <c r="WWR164" s="146"/>
      <c r="WWS164" s="146"/>
      <c r="WWT164" s="146"/>
      <c r="WWU164" s="146"/>
      <c r="WWV164" s="146"/>
      <c r="WWW164" s="146"/>
      <c r="WWX164" s="146"/>
      <c r="WWY164" s="146"/>
      <c r="WWZ164" s="146"/>
      <c r="WXA164" s="146"/>
      <c r="WXB164" s="146"/>
      <c r="WXC164" s="146"/>
      <c r="WXD164" s="146"/>
      <c r="WXE164" s="146"/>
      <c r="WXF164" s="146"/>
      <c r="WXG164" s="146"/>
      <c r="WXH164" s="146"/>
      <c r="WXI164" s="146"/>
      <c r="WXJ164" s="146"/>
      <c r="WXK164" s="146"/>
      <c r="WXL164" s="146"/>
      <c r="WXM164" s="146"/>
      <c r="WXN164" s="146"/>
      <c r="WXO164" s="146"/>
      <c r="WXP164" s="146"/>
      <c r="WXQ164" s="146"/>
      <c r="WXR164" s="146"/>
      <c r="WXS164" s="146"/>
      <c r="WXT164" s="146"/>
      <c r="WXU164" s="146"/>
      <c r="WXV164" s="146"/>
      <c r="WXW164" s="146"/>
      <c r="WXX164" s="146"/>
      <c r="WXY164" s="146"/>
      <c r="WXZ164" s="146"/>
      <c r="WYA164" s="146"/>
      <c r="WYB164" s="146"/>
      <c r="WYC164" s="146"/>
      <c r="WYD164" s="146"/>
      <c r="WYE164" s="146"/>
      <c r="WYF164" s="146"/>
      <c r="WYG164" s="146"/>
      <c r="WYH164" s="146"/>
      <c r="WYI164" s="146"/>
      <c r="WYJ164" s="146"/>
      <c r="WYK164" s="146"/>
      <c r="WYL164" s="146"/>
      <c r="WYM164" s="146"/>
      <c r="WYN164" s="146"/>
      <c r="WYO164" s="146"/>
      <c r="WYP164" s="146"/>
      <c r="WYQ164" s="146"/>
      <c r="WYR164" s="146"/>
      <c r="WYS164" s="146"/>
      <c r="WYT164" s="146"/>
      <c r="WYU164" s="146"/>
      <c r="WYV164" s="146"/>
      <c r="WYW164" s="146"/>
      <c r="WYX164" s="146"/>
      <c r="WYY164" s="146"/>
      <c r="WYZ164" s="146"/>
      <c r="WZA164" s="146"/>
      <c r="WZB164" s="146"/>
      <c r="WZC164" s="146"/>
      <c r="WZD164" s="146"/>
      <c r="WZE164" s="146"/>
      <c r="WZF164" s="146"/>
      <c r="WZG164" s="146"/>
      <c r="WZH164" s="146"/>
      <c r="WZI164" s="146"/>
      <c r="WZJ164" s="146"/>
      <c r="WZK164" s="146"/>
      <c r="WZL164" s="146"/>
      <c r="WZM164" s="146"/>
      <c r="WZN164" s="146"/>
      <c r="WZO164" s="146"/>
      <c r="WZP164" s="146"/>
      <c r="WZQ164" s="146"/>
      <c r="WZR164" s="146"/>
      <c r="WZS164" s="146"/>
      <c r="WZT164" s="146"/>
      <c r="WZU164" s="146"/>
      <c r="WZV164" s="146"/>
      <c r="WZW164" s="146"/>
      <c r="WZX164" s="146"/>
      <c r="WZY164" s="146"/>
      <c r="WZZ164" s="146"/>
      <c r="XAA164" s="146"/>
      <c r="XAB164" s="146"/>
      <c r="XAC164" s="146"/>
      <c r="XAD164" s="146"/>
      <c r="XAE164" s="146"/>
      <c r="XAF164" s="146"/>
      <c r="XAG164" s="146"/>
      <c r="XAH164" s="146"/>
      <c r="XAI164" s="146"/>
      <c r="XAJ164" s="146"/>
      <c r="XAK164" s="146"/>
      <c r="XAL164" s="146"/>
      <c r="XAM164" s="146"/>
      <c r="XAN164" s="146"/>
      <c r="XAO164" s="146"/>
      <c r="XAP164" s="146"/>
      <c r="XAQ164" s="146"/>
      <c r="XAR164" s="146"/>
      <c r="XAS164" s="146"/>
      <c r="XAT164" s="146"/>
      <c r="XAU164" s="146"/>
      <c r="XAV164" s="146"/>
      <c r="XAW164" s="146"/>
      <c r="XAX164" s="146"/>
      <c r="XAY164" s="146"/>
      <c r="XAZ164" s="146"/>
      <c r="XBA164" s="146"/>
      <c r="XBB164" s="146"/>
      <c r="XBC164" s="146"/>
      <c r="XBD164" s="146"/>
      <c r="XBE164" s="146"/>
      <c r="XBF164" s="146"/>
      <c r="XBG164" s="146"/>
      <c r="XBH164" s="146"/>
      <c r="XBI164" s="146"/>
      <c r="XBJ164" s="146"/>
      <c r="XBK164" s="146"/>
      <c r="XBL164" s="146"/>
      <c r="XBM164" s="146"/>
      <c r="XBN164" s="146"/>
      <c r="XBO164" s="146"/>
      <c r="XBP164" s="146"/>
      <c r="XBQ164" s="146"/>
      <c r="XBR164" s="146"/>
      <c r="XBS164" s="146"/>
      <c r="XBT164" s="146"/>
      <c r="XBU164" s="146"/>
      <c r="XBV164" s="146"/>
      <c r="XBW164" s="146"/>
      <c r="XBX164" s="146"/>
      <c r="XBY164" s="146"/>
      <c r="XBZ164" s="146"/>
      <c r="XCA164" s="146"/>
      <c r="XCB164" s="146"/>
      <c r="XCC164" s="146"/>
      <c r="XCD164" s="146"/>
      <c r="XCE164" s="146"/>
      <c r="XCF164" s="146"/>
      <c r="XCG164" s="146"/>
      <c r="XCH164" s="146"/>
      <c r="XCI164" s="146"/>
      <c r="XCJ164" s="146"/>
      <c r="XCK164" s="146"/>
      <c r="XCL164" s="146"/>
      <c r="XCM164" s="146"/>
      <c r="XCN164" s="146"/>
      <c r="XCO164" s="146"/>
      <c r="XCP164" s="146"/>
      <c r="XCQ164" s="146"/>
      <c r="XCR164" s="146"/>
      <c r="XCS164" s="146"/>
      <c r="XCT164" s="146"/>
      <c r="XCU164" s="146"/>
      <c r="XCV164" s="146"/>
      <c r="XCW164" s="146"/>
      <c r="XCX164" s="146"/>
      <c r="XCY164" s="146"/>
      <c r="XCZ164" s="146"/>
      <c r="XDA164" s="146"/>
      <c r="XDB164" s="146"/>
      <c r="XDC164" s="146"/>
      <c r="XDD164" s="146"/>
      <c r="XDE164" s="146"/>
      <c r="XDF164" s="146"/>
      <c r="XDG164" s="146"/>
      <c r="XDH164" s="146"/>
      <c r="XDI164" s="146"/>
      <c r="XDJ164" s="146"/>
      <c r="XDK164" s="146"/>
      <c r="XDL164" s="146"/>
      <c r="XDM164" s="146"/>
      <c r="XDN164" s="146"/>
      <c r="XDO164" s="146"/>
      <c r="XDP164" s="146"/>
      <c r="XDQ164" s="146"/>
      <c r="XDR164" s="146"/>
      <c r="XDS164" s="146"/>
      <c r="XDT164" s="146"/>
      <c r="XDU164" s="146"/>
      <c r="XDV164" s="146"/>
      <c r="XDW164" s="146"/>
      <c r="XDX164" s="146"/>
      <c r="XDY164" s="146"/>
      <c r="XDZ164" s="146"/>
      <c r="XEA164" s="146"/>
      <c r="XEB164" s="146"/>
      <c r="XEC164" s="146"/>
      <c r="XED164" s="146"/>
      <c r="XEE164" s="146"/>
      <c r="XEF164" s="146"/>
      <c r="XEG164" s="146"/>
      <c r="XEH164" s="146"/>
      <c r="XEI164" s="146"/>
      <c r="XEJ164" s="146"/>
      <c r="XEK164" s="146"/>
      <c r="XEL164" s="146"/>
      <c r="XEM164" s="146"/>
      <c r="XEN164" s="146"/>
      <c r="XEO164" s="146"/>
      <c r="XEP164" s="146"/>
      <c r="XEQ164" s="146"/>
      <c r="XER164" s="146"/>
      <c r="XES164" s="146"/>
      <c r="XET164" s="146"/>
      <c r="XEU164" s="146"/>
      <c r="XEV164" s="146"/>
      <c r="XEW164" s="146"/>
      <c r="XEX164" s="146"/>
      <c r="XEY164" s="146"/>
      <c r="XEZ164" s="146"/>
      <c r="XFA164" s="146"/>
      <c r="XFB164" s="146"/>
    </row>
    <row r="165" spans="1:16382" s="153" customFormat="1" x14ac:dyDescent="0.25">
      <c r="A165" s="97" t="s">
        <v>887</v>
      </c>
      <c r="B165" s="97" t="s">
        <v>11</v>
      </c>
      <c r="C165" s="150" t="s">
        <v>1892</v>
      </c>
      <c r="D165" s="151" t="str">
        <f>IF(MouserListTable[[#This Row],[Vendor]]=FilterSpecs!$A$8,MouserListTable[[#This Row],[Mouser SKU]], MouserListTable[[#This Row],[Supplier SKU]])</f>
        <v>474-PRT-13144</v>
      </c>
      <c r="E165" s="152">
        <f>MouserListTable[[#This Row],[Tot '#]]-MouserListTable[[#This Row],['# Initial]]</f>
        <v>0</v>
      </c>
      <c r="F165" s="152">
        <f>IF(AND(MouserListTable[[#This Row],[Tag]]&lt;&gt;FilterSpecs!$F$12, MouserListTable[[#This Row],[Tag]]&lt;&gt;FilterSpecs!$F$9), MouserListTable[[#This Row],['#/Unit]]*FilterSpecs!$B$3+MouserListTable[[#This Row],[Extra Initial]],0)</f>
        <v>0</v>
      </c>
      <c r="G165" s="147" t="s">
        <v>1209</v>
      </c>
      <c r="H165" s="150" t="s">
        <v>1210</v>
      </c>
      <c r="I165" s="150" t="s">
        <v>1211</v>
      </c>
      <c r="J165" s="147">
        <v>14.95</v>
      </c>
      <c r="K165" s="150">
        <v>14.95</v>
      </c>
      <c r="L165" s="150" t="s">
        <v>1896</v>
      </c>
      <c r="M165" s="150"/>
      <c r="N165" s="154">
        <f>MouserListTable[[#This Row],['# Initial]]*MouserListTable[[#This Row],[Price (USD)]]</f>
        <v>0</v>
      </c>
      <c r="O165" s="150" t="s">
        <v>1208</v>
      </c>
      <c r="P165" s="150">
        <f t="shared" si="2"/>
        <v>152</v>
      </c>
      <c r="Q165" s="150" t="s">
        <v>5</v>
      </c>
      <c r="R16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474-PRT-13144</v>
      </c>
      <c r="S165" s="157" t="str">
        <f>HYPERLINK("https://www.mouser.com/ProductDetail/" &amp;MouserListTable[[#This Row],[Mouser SKU]])</f>
        <v>https://www.mouser.com/ProductDetail/474-PRT-13144</v>
      </c>
      <c r="T165" s="146"/>
      <c r="U165" s="146"/>
      <c r="V165" s="146"/>
      <c r="W165" s="146"/>
      <c r="X165" s="146"/>
      <c r="Y165" s="146"/>
      <c r="Z165" s="146"/>
      <c r="AA165" s="146"/>
      <c r="AB165" s="146"/>
      <c r="AC165" s="146"/>
      <c r="AD165" s="146"/>
      <c r="AE165" s="146"/>
      <c r="AF165" s="146"/>
      <c r="AG165" s="146"/>
      <c r="AH165" s="146"/>
      <c r="AI165" s="146"/>
      <c r="AJ165" s="146"/>
      <c r="AK165" s="146"/>
      <c r="AL165" s="146"/>
      <c r="AM165" s="146"/>
      <c r="AN165" s="146"/>
      <c r="AO165" s="146"/>
      <c r="AP165" s="146"/>
      <c r="AQ165" s="146"/>
      <c r="AR165" s="146"/>
      <c r="AS165" s="146"/>
      <c r="AT165" s="146"/>
      <c r="AU165" s="146"/>
      <c r="AV165" s="146"/>
      <c r="AW165" s="146"/>
      <c r="AX165" s="146"/>
      <c r="AY165" s="146"/>
      <c r="AZ165" s="146"/>
      <c r="BA165" s="146"/>
      <c r="BB165" s="146"/>
      <c r="BC165" s="146"/>
      <c r="BD165" s="146"/>
      <c r="BE165" s="146"/>
      <c r="BF165" s="146"/>
      <c r="BG165" s="146"/>
      <c r="BH165" s="146"/>
      <c r="BI165" s="146"/>
      <c r="BJ165" s="146"/>
      <c r="BK165" s="146"/>
      <c r="BL165" s="146"/>
      <c r="BM165" s="146"/>
      <c r="BN165" s="146"/>
      <c r="BO165" s="146"/>
      <c r="BP165" s="146"/>
      <c r="BQ165" s="146"/>
      <c r="BR165" s="146"/>
      <c r="BS165" s="146"/>
      <c r="BT165" s="146"/>
      <c r="BU165" s="146"/>
      <c r="BV165" s="146"/>
      <c r="BW165" s="146"/>
      <c r="BX165" s="146"/>
      <c r="BY165" s="146"/>
      <c r="BZ165" s="146"/>
      <c r="CA165" s="146"/>
      <c r="CB165" s="146"/>
      <c r="CC165" s="146"/>
      <c r="CD165" s="146"/>
      <c r="CE165" s="146"/>
      <c r="CF165" s="146"/>
      <c r="CG165" s="146"/>
      <c r="CH165" s="146"/>
      <c r="CI165" s="146"/>
      <c r="CJ165" s="146"/>
      <c r="CK165" s="146"/>
      <c r="CL165" s="146"/>
      <c r="CM165" s="146"/>
      <c r="CN165" s="146"/>
      <c r="CO165" s="146"/>
      <c r="CP165" s="146"/>
      <c r="CQ165" s="146"/>
      <c r="CR165" s="146"/>
      <c r="CS165" s="146"/>
      <c r="CT165" s="146"/>
      <c r="CU165" s="146"/>
      <c r="CV165" s="146"/>
      <c r="CW165" s="146"/>
      <c r="CX165" s="146"/>
      <c r="CY165" s="146"/>
      <c r="CZ165" s="146"/>
      <c r="DA165" s="146"/>
      <c r="DB165" s="146"/>
      <c r="DC165" s="146"/>
      <c r="DD165" s="146"/>
      <c r="DE165" s="146"/>
      <c r="DF165" s="146"/>
      <c r="DG165" s="146"/>
      <c r="DH165" s="146"/>
      <c r="DI165" s="146"/>
      <c r="DJ165" s="146"/>
      <c r="DK165" s="146"/>
      <c r="DL165" s="146"/>
      <c r="DM165" s="146"/>
      <c r="DN165" s="146"/>
      <c r="DO165" s="146"/>
      <c r="DP165" s="146"/>
      <c r="DQ165" s="146"/>
      <c r="DR165" s="146"/>
      <c r="DS165" s="146"/>
      <c r="DT165" s="146"/>
      <c r="DU165" s="146"/>
      <c r="DV165" s="146"/>
      <c r="DW165" s="146"/>
      <c r="DX165" s="146"/>
      <c r="DY165" s="146"/>
      <c r="DZ165" s="146"/>
      <c r="EA165" s="146"/>
      <c r="EB165" s="146"/>
      <c r="EC165" s="146"/>
      <c r="ED165" s="146"/>
      <c r="EE165" s="146"/>
      <c r="EF165" s="146"/>
      <c r="EG165" s="146"/>
      <c r="EH165" s="146"/>
      <c r="EI165" s="146"/>
      <c r="EJ165" s="146"/>
      <c r="EK165" s="146"/>
      <c r="EL165" s="146"/>
      <c r="EM165" s="146"/>
      <c r="EN165" s="146"/>
      <c r="EO165" s="146"/>
      <c r="EP165" s="146"/>
      <c r="EQ165" s="146"/>
      <c r="ER165" s="146"/>
      <c r="ES165" s="146"/>
      <c r="ET165" s="146"/>
      <c r="EU165" s="146"/>
      <c r="EV165" s="146"/>
      <c r="EW165" s="146"/>
      <c r="EX165" s="146"/>
      <c r="EY165" s="146"/>
      <c r="EZ165" s="146"/>
      <c r="FA165" s="146"/>
      <c r="FB165" s="146"/>
      <c r="FC165" s="146"/>
      <c r="FD165" s="146"/>
      <c r="FE165" s="146"/>
      <c r="FF165" s="146"/>
      <c r="FG165" s="146"/>
      <c r="FH165" s="146"/>
      <c r="FI165" s="146"/>
      <c r="FJ165" s="146"/>
      <c r="FK165" s="146"/>
      <c r="FL165" s="146"/>
      <c r="FM165" s="146"/>
      <c r="FN165" s="146"/>
      <c r="FO165" s="146"/>
      <c r="FP165" s="146"/>
      <c r="FQ165" s="146"/>
      <c r="FR165" s="146"/>
      <c r="FS165" s="146"/>
      <c r="FT165" s="146"/>
      <c r="FU165" s="146"/>
      <c r="FV165" s="146"/>
      <c r="FW165" s="146"/>
      <c r="FX165" s="146"/>
      <c r="FY165" s="146"/>
      <c r="FZ165" s="146"/>
      <c r="GA165" s="146"/>
      <c r="GB165" s="146"/>
      <c r="GC165" s="146"/>
      <c r="GD165" s="146"/>
      <c r="GE165" s="146"/>
      <c r="GF165" s="146"/>
      <c r="GG165" s="146"/>
      <c r="GH165" s="146"/>
      <c r="GI165" s="146"/>
      <c r="GJ165" s="146"/>
      <c r="GK165" s="146"/>
      <c r="GL165" s="146"/>
      <c r="GM165" s="146"/>
      <c r="GN165" s="146"/>
      <c r="GO165" s="146"/>
      <c r="GP165" s="146"/>
      <c r="GQ165" s="146"/>
      <c r="GR165" s="146"/>
      <c r="GS165" s="146"/>
      <c r="GT165" s="146"/>
      <c r="GU165" s="146"/>
      <c r="GV165" s="146"/>
      <c r="GW165" s="146"/>
      <c r="GX165" s="146"/>
      <c r="GY165" s="146"/>
      <c r="GZ165" s="146"/>
      <c r="HA165" s="146"/>
      <c r="HB165" s="146"/>
      <c r="HC165" s="146"/>
      <c r="HD165" s="146"/>
      <c r="HE165" s="146"/>
      <c r="HF165" s="146"/>
      <c r="HG165" s="146"/>
      <c r="HH165" s="146"/>
      <c r="HI165" s="146"/>
      <c r="HJ165" s="146"/>
      <c r="HK165" s="146"/>
      <c r="HL165" s="146"/>
      <c r="HM165" s="146"/>
      <c r="HN165" s="146"/>
      <c r="HO165" s="146"/>
      <c r="HP165" s="146"/>
      <c r="HQ165" s="146"/>
      <c r="HR165" s="146"/>
      <c r="HS165" s="146"/>
      <c r="HT165" s="146"/>
      <c r="HU165" s="146"/>
      <c r="HV165" s="146"/>
      <c r="HW165" s="146"/>
      <c r="HX165" s="146"/>
      <c r="HY165" s="146"/>
      <c r="HZ165" s="146"/>
      <c r="IA165" s="146"/>
      <c r="IB165" s="146"/>
      <c r="IC165" s="146"/>
      <c r="ID165" s="146"/>
      <c r="IE165" s="146"/>
      <c r="IF165" s="146"/>
      <c r="IG165" s="146"/>
      <c r="IH165" s="146"/>
      <c r="II165" s="146"/>
      <c r="IJ165" s="146"/>
      <c r="IK165" s="146"/>
      <c r="IL165" s="146"/>
      <c r="IM165" s="146"/>
      <c r="IN165" s="146"/>
      <c r="IO165" s="146"/>
      <c r="IP165" s="146"/>
      <c r="IQ165" s="146"/>
      <c r="IR165" s="146"/>
      <c r="IS165" s="146"/>
      <c r="IT165" s="146"/>
      <c r="IU165" s="146"/>
      <c r="IV165" s="146"/>
      <c r="IW165" s="146"/>
      <c r="IX165" s="146"/>
      <c r="IY165" s="146"/>
      <c r="IZ165" s="146"/>
      <c r="JA165" s="146"/>
      <c r="JB165" s="146"/>
      <c r="JC165" s="146"/>
      <c r="JD165" s="146"/>
      <c r="JE165" s="146"/>
      <c r="JF165" s="146"/>
      <c r="JG165" s="146"/>
      <c r="JH165" s="146"/>
      <c r="JI165" s="146"/>
      <c r="JJ165" s="146"/>
      <c r="JK165" s="146"/>
      <c r="JL165" s="146"/>
      <c r="JM165" s="146"/>
      <c r="JN165" s="146"/>
      <c r="JO165" s="146"/>
      <c r="JP165" s="146"/>
      <c r="JQ165" s="146"/>
      <c r="JR165" s="146"/>
      <c r="JS165" s="146"/>
      <c r="JT165" s="146"/>
      <c r="JU165" s="146"/>
      <c r="JV165" s="146"/>
      <c r="JW165" s="146"/>
      <c r="JX165" s="146"/>
      <c r="JY165" s="146"/>
      <c r="JZ165" s="146"/>
      <c r="KA165" s="146"/>
      <c r="KB165" s="146"/>
      <c r="KC165" s="146"/>
      <c r="KD165" s="146"/>
      <c r="KE165" s="146"/>
      <c r="KF165" s="146"/>
      <c r="KG165" s="146"/>
      <c r="KH165" s="146"/>
      <c r="KI165" s="146"/>
      <c r="KJ165" s="146"/>
      <c r="KK165" s="146"/>
      <c r="KL165" s="146"/>
      <c r="KM165" s="146"/>
      <c r="KN165" s="146"/>
      <c r="KO165" s="146"/>
      <c r="KP165" s="146"/>
      <c r="KQ165" s="146"/>
      <c r="KR165" s="146"/>
      <c r="KS165" s="146"/>
      <c r="KT165" s="146"/>
      <c r="KU165" s="146"/>
      <c r="KV165" s="146"/>
      <c r="KW165" s="146"/>
      <c r="KX165" s="146"/>
      <c r="KY165" s="146"/>
      <c r="KZ165" s="146"/>
      <c r="LA165" s="146"/>
      <c r="LB165" s="146"/>
      <c r="LC165" s="146"/>
      <c r="LD165" s="146"/>
      <c r="LE165" s="146"/>
      <c r="LF165" s="146"/>
      <c r="LG165" s="146"/>
      <c r="LH165" s="146"/>
      <c r="LI165" s="146"/>
      <c r="LJ165" s="146"/>
      <c r="LK165" s="146"/>
      <c r="LL165" s="146"/>
      <c r="LM165" s="146"/>
      <c r="LN165" s="146"/>
      <c r="LO165" s="146"/>
      <c r="LP165" s="146"/>
      <c r="LQ165" s="146"/>
      <c r="LR165" s="146"/>
      <c r="LS165" s="146"/>
      <c r="LT165" s="146"/>
      <c r="LU165" s="146"/>
      <c r="LV165" s="146"/>
      <c r="LW165" s="146"/>
      <c r="LX165" s="146"/>
      <c r="LY165" s="146"/>
      <c r="LZ165" s="146"/>
      <c r="MA165" s="146"/>
      <c r="MB165" s="146"/>
      <c r="MC165" s="146"/>
      <c r="MD165" s="146"/>
      <c r="ME165" s="146"/>
      <c r="MF165" s="146"/>
      <c r="MG165" s="146"/>
      <c r="MH165" s="146"/>
      <c r="MI165" s="146"/>
      <c r="MJ165" s="146"/>
      <c r="MK165" s="146"/>
      <c r="ML165" s="146"/>
      <c r="MM165" s="146"/>
      <c r="MN165" s="146"/>
      <c r="MO165" s="146"/>
      <c r="MP165" s="146"/>
      <c r="MQ165" s="146"/>
      <c r="MR165" s="146"/>
      <c r="MS165" s="146"/>
      <c r="MT165" s="146"/>
      <c r="MU165" s="146"/>
      <c r="MV165" s="146"/>
      <c r="MW165" s="146"/>
      <c r="MX165" s="146"/>
      <c r="MY165" s="146"/>
      <c r="MZ165" s="146"/>
      <c r="NA165" s="146"/>
      <c r="NB165" s="146"/>
      <c r="NC165" s="146"/>
      <c r="ND165" s="146"/>
      <c r="NE165" s="146"/>
      <c r="NF165" s="146"/>
      <c r="NG165" s="146"/>
      <c r="NH165" s="146"/>
      <c r="NI165" s="146"/>
      <c r="NJ165" s="146"/>
      <c r="NK165" s="146"/>
      <c r="NL165" s="146"/>
      <c r="NM165" s="146"/>
      <c r="NN165" s="146"/>
      <c r="NO165" s="146"/>
      <c r="NP165" s="146"/>
      <c r="NQ165" s="146"/>
      <c r="NR165" s="146"/>
      <c r="NS165" s="146"/>
      <c r="NT165" s="146"/>
      <c r="NU165" s="146"/>
      <c r="NV165" s="146"/>
      <c r="NW165" s="146"/>
      <c r="NX165" s="146"/>
      <c r="NY165" s="146"/>
      <c r="NZ165" s="146"/>
      <c r="OA165" s="146"/>
      <c r="OB165" s="146"/>
      <c r="OC165" s="146"/>
      <c r="OD165" s="146"/>
      <c r="OE165" s="146"/>
      <c r="OF165" s="146"/>
      <c r="OG165" s="146"/>
      <c r="OH165" s="146"/>
      <c r="OI165" s="146"/>
      <c r="OJ165" s="146"/>
      <c r="OK165" s="146"/>
      <c r="OL165" s="146"/>
      <c r="OM165" s="146"/>
      <c r="ON165" s="146"/>
      <c r="OO165" s="146"/>
      <c r="OP165" s="146"/>
      <c r="OQ165" s="146"/>
      <c r="OR165" s="146"/>
      <c r="OS165" s="146"/>
      <c r="OT165" s="146"/>
      <c r="OU165" s="146"/>
      <c r="OV165" s="146"/>
      <c r="OW165" s="146"/>
      <c r="OX165" s="146"/>
      <c r="OY165" s="146"/>
      <c r="OZ165" s="146"/>
      <c r="PA165" s="146"/>
      <c r="PB165" s="146"/>
      <c r="PC165" s="146"/>
      <c r="PD165" s="146"/>
      <c r="PE165" s="146"/>
      <c r="PF165" s="146"/>
      <c r="PG165" s="146"/>
      <c r="PH165" s="146"/>
      <c r="PI165" s="146"/>
      <c r="PJ165" s="146"/>
      <c r="PK165" s="146"/>
      <c r="PL165" s="146"/>
      <c r="PM165" s="146"/>
      <c r="PN165" s="146"/>
      <c r="PO165" s="146"/>
      <c r="PP165" s="146"/>
      <c r="PQ165" s="146"/>
      <c r="PR165" s="146"/>
      <c r="PS165" s="146"/>
      <c r="PT165" s="146"/>
      <c r="PU165" s="146"/>
      <c r="PV165" s="146"/>
      <c r="PW165" s="146"/>
      <c r="PX165" s="146"/>
      <c r="PY165" s="146"/>
      <c r="PZ165" s="146"/>
      <c r="QA165" s="146"/>
      <c r="QB165" s="146"/>
      <c r="QC165" s="146"/>
      <c r="QD165" s="146"/>
      <c r="QE165" s="146"/>
      <c r="QF165" s="146"/>
      <c r="QG165" s="146"/>
      <c r="QH165" s="146"/>
      <c r="QI165" s="146"/>
      <c r="QJ165" s="146"/>
      <c r="QK165" s="146"/>
      <c r="QL165" s="146"/>
      <c r="QM165" s="146"/>
      <c r="QN165" s="146"/>
      <c r="QO165" s="146"/>
      <c r="QP165" s="146"/>
      <c r="QQ165" s="146"/>
      <c r="QR165" s="146"/>
      <c r="QS165" s="146"/>
      <c r="QT165" s="146"/>
      <c r="QU165" s="146"/>
      <c r="QV165" s="146"/>
      <c r="QW165" s="146"/>
      <c r="QX165" s="146"/>
      <c r="QY165" s="146"/>
      <c r="QZ165" s="146"/>
      <c r="RA165" s="146"/>
      <c r="RB165" s="146"/>
      <c r="RC165" s="146"/>
      <c r="RD165" s="146"/>
      <c r="RE165" s="146"/>
      <c r="RF165" s="146"/>
      <c r="RG165" s="146"/>
      <c r="RH165" s="146"/>
      <c r="RI165" s="146"/>
      <c r="RJ165" s="146"/>
      <c r="RK165" s="146"/>
      <c r="RL165" s="146"/>
      <c r="RM165" s="146"/>
      <c r="RN165" s="146"/>
      <c r="RO165" s="146"/>
      <c r="RP165" s="146"/>
      <c r="RQ165" s="146"/>
      <c r="RR165" s="146"/>
      <c r="RS165" s="146"/>
      <c r="RT165" s="146"/>
      <c r="RU165" s="146"/>
      <c r="RV165" s="146"/>
      <c r="RW165" s="146"/>
      <c r="RX165" s="146"/>
      <c r="RY165" s="146"/>
      <c r="RZ165" s="146"/>
      <c r="SA165" s="146"/>
      <c r="SB165" s="146"/>
      <c r="SC165" s="146"/>
      <c r="SD165" s="146"/>
      <c r="SE165" s="146"/>
      <c r="SF165" s="146"/>
      <c r="SG165" s="146"/>
      <c r="SH165" s="146"/>
      <c r="SI165" s="146"/>
      <c r="SJ165" s="146"/>
      <c r="SK165" s="146"/>
      <c r="SL165" s="146"/>
      <c r="SM165" s="146"/>
      <c r="SN165" s="146"/>
      <c r="SO165" s="146"/>
      <c r="SP165" s="146"/>
      <c r="SQ165" s="146"/>
      <c r="SR165" s="146"/>
      <c r="SS165" s="146"/>
      <c r="ST165" s="146"/>
      <c r="SU165" s="146"/>
      <c r="SV165" s="146"/>
      <c r="SW165" s="146"/>
      <c r="SX165" s="146"/>
      <c r="SY165" s="146"/>
      <c r="SZ165" s="146"/>
      <c r="TA165" s="146"/>
      <c r="TB165" s="146"/>
      <c r="TC165" s="146"/>
      <c r="TD165" s="146"/>
      <c r="TE165" s="146"/>
      <c r="TF165" s="146"/>
      <c r="TG165" s="146"/>
      <c r="TH165" s="146"/>
      <c r="TI165" s="146"/>
      <c r="TJ165" s="146"/>
      <c r="TK165" s="146"/>
      <c r="TL165" s="146"/>
      <c r="TM165" s="146"/>
      <c r="TN165" s="146"/>
      <c r="TO165" s="146"/>
      <c r="TP165" s="146"/>
      <c r="TQ165" s="146"/>
      <c r="TR165" s="146"/>
      <c r="TS165" s="146"/>
      <c r="TT165" s="146"/>
      <c r="TU165" s="146"/>
      <c r="TV165" s="146"/>
      <c r="TW165" s="146"/>
      <c r="TX165" s="146"/>
      <c r="TY165" s="146"/>
      <c r="TZ165" s="146"/>
      <c r="UA165" s="146"/>
      <c r="UB165" s="146"/>
      <c r="UC165" s="146"/>
      <c r="UD165" s="146"/>
      <c r="UE165" s="146"/>
      <c r="UF165" s="146"/>
      <c r="UG165" s="146"/>
      <c r="UH165" s="146"/>
      <c r="UI165" s="146"/>
      <c r="UJ165" s="146"/>
      <c r="UK165" s="146"/>
      <c r="UL165" s="146"/>
      <c r="UM165" s="146"/>
      <c r="UN165" s="146"/>
      <c r="UO165" s="146"/>
      <c r="UP165" s="146"/>
      <c r="UQ165" s="146"/>
      <c r="UR165" s="146"/>
      <c r="US165" s="146"/>
      <c r="UT165" s="146"/>
      <c r="UU165" s="146"/>
      <c r="UV165" s="146"/>
      <c r="UW165" s="146"/>
      <c r="UX165" s="146"/>
      <c r="UY165" s="146"/>
      <c r="UZ165" s="146"/>
      <c r="VA165" s="146"/>
      <c r="VB165" s="146"/>
      <c r="VC165" s="146"/>
      <c r="VD165" s="146"/>
      <c r="VE165" s="146"/>
      <c r="VF165" s="146"/>
      <c r="VG165" s="146"/>
      <c r="VH165" s="146"/>
      <c r="VI165" s="146"/>
      <c r="VJ165" s="146"/>
      <c r="VK165" s="146"/>
      <c r="VL165" s="146"/>
      <c r="VM165" s="146"/>
      <c r="VN165" s="146"/>
      <c r="VO165" s="146"/>
      <c r="VP165" s="146"/>
      <c r="VQ165" s="146"/>
      <c r="VR165" s="146"/>
      <c r="VS165" s="146"/>
      <c r="VT165" s="146"/>
      <c r="VU165" s="146"/>
      <c r="VV165" s="146"/>
      <c r="VW165" s="146"/>
      <c r="VX165" s="146"/>
      <c r="VY165" s="146"/>
      <c r="VZ165" s="146"/>
      <c r="WA165" s="146"/>
      <c r="WB165" s="146"/>
      <c r="WC165" s="146"/>
      <c r="WD165" s="146"/>
      <c r="WE165" s="146"/>
      <c r="WF165" s="146"/>
      <c r="WG165" s="146"/>
      <c r="WH165" s="146"/>
      <c r="WI165" s="146"/>
      <c r="WJ165" s="146"/>
      <c r="WK165" s="146"/>
      <c r="WL165" s="146"/>
      <c r="WM165" s="146"/>
      <c r="WN165" s="146"/>
      <c r="WO165" s="146"/>
      <c r="WP165" s="146"/>
      <c r="WQ165" s="146"/>
      <c r="WR165" s="146"/>
      <c r="WS165" s="146"/>
      <c r="WT165" s="146"/>
      <c r="WU165" s="146"/>
      <c r="WV165" s="146"/>
      <c r="WW165" s="146"/>
      <c r="WX165" s="146"/>
      <c r="WY165" s="146"/>
      <c r="WZ165" s="146"/>
      <c r="XA165" s="146"/>
      <c r="XB165" s="146"/>
      <c r="XC165" s="146"/>
      <c r="XD165" s="146"/>
      <c r="XE165" s="146"/>
      <c r="XF165" s="146"/>
      <c r="XG165" s="146"/>
      <c r="XH165" s="146"/>
      <c r="XI165" s="146"/>
      <c r="XJ165" s="146"/>
      <c r="XK165" s="146"/>
      <c r="XL165" s="146"/>
      <c r="XM165" s="146"/>
      <c r="XN165" s="146"/>
      <c r="XO165" s="146"/>
      <c r="XP165" s="146"/>
      <c r="XQ165" s="146"/>
      <c r="XR165" s="146"/>
      <c r="XS165" s="146"/>
      <c r="XT165" s="146"/>
      <c r="XU165" s="146"/>
      <c r="XV165" s="146"/>
      <c r="XW165" s="146"/>
      <c r="XX165" s="146"/>
      <c r="XY165" s="146"/>
      <c r="XZ165" s="146"/>
      <c r="YA165" s="146"/>
      <c r="YB165" s="146"/>
      <c r="YC165" s="146"/>
      <c r="YD165" s="146"/>
      <c r="YE165" s="146"/>
      <c r="YF165" s="146"/>
      <c r="YG165" s="146"/>
      <c r="YH165" s="146"/>
      <c r="YI165" s="146"/>
      <c r="YJ165" s="146"/>
      <c r="YK165" s="146"/>
      <c r="YL165" s="146"/>
      <c r="YM165" s="146"/>
      <c r="YN165" s="146"/>
      <c r="YO165" s="146"/>
      <c r="YP165" s="146"/>
      <c r="YQ165" s="146"/>
      <c r="YR165" s="146"/>
      <c r="YS165" s="146"/>
      <c r="YT165" s="146"/>
      <c r="YU165" s="146"/>
      <c r="YV165" s="146"/>
      <c r="YW165" s="146"/>
      <c r="YX165" s="146"/>
      <c r="YY165" s="146"/>
      <c r="YZ165" s="146"/>
      <c r="ZA165" s="146"/>
      <c r="ZB165" s="146"/>
      <c r="ZC165" s="146"/>
      <c r="ZD165" s="146"/>
      <c r="ZE165" s="146"/>
      <c r="ZF165" s="146"/>
      <c r="ZG165" s="146"/>
      <c r="ZH165" s="146"/>
      <c r="ZI165" s="146"/>
      <c r="ZJ165" s="146"/>
      <c r="ZK165" s="146"/>
      <c r="ZL165" s="146"/>
      <c r="ZM165" s="146"/>
      <c r="ZN165" s="146"/>
      <c r="ZO165" s="146"/>
      <c r="ZP165" s="146"/>
      <c r="ZQ165" s="146"/>
      <c r="ZR165" s="146"/>
      <c r="ZS165" s="146"/>
      <c r="ZT165" s="146"/>
      <c r="ZU165" s="146"/>
      <c r="ZV165" s="146"/>
      <c r="ZW165" s="146"/>
      <c r="ZX165" s="146"/>
      <c r="ZY165" s="146"/>
      <c r="ZZ165" s="146"/>
      <c r="AAA165" s="146"/>
      <c r="AAB165" s="146"/>
      <c r="AAC165" s="146"/>
      <c r="AAD165" s="146"/>
      <c r="AAE165" s="146"/>
      <c r="AAF165" s="146"/>
      <c r="AAG165" s="146"/>
      <c r="AAH165" s="146"/>
      <c r="AAI165" s="146"/>
      <c r="AAJ165" s="146"/>
      <c r="AAK165" s="146"/>
      <c r="AAL165" s="146"/>
      <c r="AAM165" s="146"/>
      <c r="AAN165" s="146"/>
      <c r="AAO165" s="146"/>
      <c r="AAP165" s="146"/>
      <c r="AAQ165" s="146"/>
      <c r="AAR165" s="146"/>
      <c r="AAS165" s="146"/>
      <c r="AAT165" s="146"/>
      <c r="AAU165" s="146"/>
      <c r="AAV165" s="146"/>
      <c r="AAW165" s="146"/>
      <c r="AAX165" s="146"/>
      <c r="AAY165" s="146"/>
      <c r="AAZ165" s="146"/>
      <c r="ABA165" s="146"/>
      <c r="ABB165" s="146"/>
      <c r="ABC165" s="146"/>
      <c r="ABD165" s="146"/>
      <c r="ABE165" s="146"/>
      <c r="ABF165" s="146"/>
      <c r="ABG165" s="146"/>
      <c r="ABH165" s="146"/>
      <c r="ABI165" s="146"/>
      <c r="ABJ165" s="146"/>
      <c r="ABK165" s="146"/>
      <c r="ABL165" s="146"/>
      <c r="ABM165" s="146"/>
      <c r="ABN165" s="146"/>
      <c r="ABO165" s="146"/>
      <c r="ABP165" s="146"/>
      <c r="ABQ165" s="146"/>
      <c r="ABR165" s="146"/>
      <c r="ABS165" s="146"/>
      <c r="ABT165" s="146"/>
      <c r="ABU165" s="146"/>
      <c r="ABV165" s="146"/>
      <c r="ABW165" s="146"/>
      <c r="ABX165" s="146"/>
      <c r="ABY165" s="146"/>
      <c r="ABZ165" s="146"/>
      <c r="ACA165" s="146"/>
      <c r="ACB165" s="146"/>
      <c r="ACC165" s="146"/>
      <c r="ACD165" s="146"/>
      <c r="ACE165" s="146"/>
      <c r="ACF165" s="146"/>
      <c r="ACG165" s="146"/>
      <c r="ACH165" s="146"/>
      <c r="ACI165" s="146"/>
      <c r="ACJ165" s="146"/>
      <c r="ACK165" s="146"/>
      <c r="ACL165" s="146"/>
      <c r="ACM165" s="146"/>
      <c r="ACN165" s="146"/>
      <c r="ACO165" s="146"/>
      <c r="ACP165" s="146"/>
      <c r="ACQ165" s="146"/>
      <c r="ACR165" s="146"/>
      <c r="ACS165" s="146"/>
      <c r="ACT165" s="146"/>
      <c r="ACU165" s="146"/>
      <c r="ACV165" s="146"/>
      <c r="ACW165" s="146"/>
      <c r="ACX165" s="146"/>
      <c r="ACY165" s="146"/>
      <c r="ACZ165" s="146"/>
      <c r="ADA165" s="146"/>
      <c r="ADB165" s="146"/>
      <c r="ADC165" s="146"/>
      <c r="ADD165" s="146"/>
      <c r="ADE165" s="146"/>
      <c r="ADF165" s="146"/>
      <c r="ADG165" s="146"/>
      <c r="ADH165" s="146"/>
      <c r="ADI165" s="146"/>
      <c r="ADJ165" s="146"/>
      <c r="ADK165" s="146"/>
      <c r="ADL165" s="146"/>
      <c r="ADM165" s="146"/>
      <c r="ADN165" s="146"/>
      <c r="ADO165" s="146"/>
      <c r="ADP165" s="146"/>
      <c r="ADQ165" s="146"/>
      <c r="ADR165" s="146"/>
      <c r="ADS165" s="146"/>
      <c r="ADT165" s="146"/>
      <c r="ADU165" s="146"/>
      <c r="ADV165" s="146"/>
      <c r="ADW165" s="146"/>
      <c r="ADX165" s="146"/>
      <c r="ADY165" s="146"/>
      <c r="ADZ165" s="146"/>
      <c r="AEA165" s="146"/>
      <c r="AEB165" s="146"/>
      <c r="AEC165" s="146"/>
      <c r="AED165" s="146"/>
      <c r="AEE165" s="146"/>
      <c r="AEF165" s="146"/>
      <c r="AEG165" s="146"/>
      <c r="AEH165" s="146"/>
      <c r="AEI165" s="146"/>
      <c r="AEJ165" s="146"/>
      <c r="AEK165" s="146"/>
      <c r="AEL165" s="146"/>
      <c r="AEM165" s="146"/>
      <c r="AEN165" s="146"/>
      <c r="AEO165" s="146"/>
      <c r="AEP165" s="146"/>
      <c r="AEQ165" s="146"/>
      <c r="AER165" s="146"/>
      <c r="AES165" s="146"/>
      <c r="AET165" s="146"/>
      <c r="AEU165" s="146"/>
      <c r="AEV165" s="146"/>
      <c r="AEW165" s="146"/>
      <c r="AEX165" s="146"/>
      <c r="AEY165" s="146"/>
      <c r="AEZ165" s="146"/>
      <c r="AFA165" s="146"/>
      <c r="AFB165" s="146"/>
      <c r="AFC165" s="146"/>
      <c r="AFD165" s="146"/>
      <c r="AFE165" s="146"/>
      <c r="AFF165" s="146"/>
      <c r="AFG165" s="146"/>
      <c r="AFH165" s="146"/>
      <c r="AFI165" s="146"/>
      <c r="AFJ165" s="146"/>
      <c r="AFK165" s="146"/>
      <c r="AFL165" s="146"/>
      <c r="AFM165" s="146"/>
      <c r="AFN165" s="146"/>
      <c r="AFO165" s="146"/>
      <c r="AFP165" s="146"/>
      <c r="AFQ165" s="146"/>
      <c r="AFR165" s="146"/>
      <c r="AFS165" s="146"/>
      <c r="AFT165" s="146"/>
      <c r="AFU165" s="146"/>
      <c r="AFV165" s="146"/>
      <c r="AFW165" s="146"/>
      <c r="AFX165" s="146"/>
      <c r="AFY165" s="146"/>
      <c r="AFZ165" s="146"/>
      <c r="AGA165" s="146"/>
      <c r="AGB165" s="146"/>
      <c r="AGC165" s="146"/>
      <c r="AGD165" s="146"/>
      <c r="AGE165" s="146"/>
      <c r="AGF165" s="146"/>
      <c r="AGG165" s="146"/>
      <c r="AGH165" s="146"/>
      <c r="AGI165" s="146"/>
      <c r="AGJ165" s="146"/>
      <c r="AGK165" s="146"/>
      <c r="AGL165" s="146"/>
      <c r="AGM165" s="146"/>
      <c r="AGN165" s="146"/>
      <c r="AGO165" s="146"/>
      <c r="AGP165" s="146"/>
      <c r="AGQ165" s="146"/>
      <c r="AGR165" s="146"/>
      <c r="AGS165" s="146"/>
      <c r="AGT165" s="146"/>
      <c r="AGU165" s="146"/>
      <c r="AGV165" s="146"/>
      <c r="AGW165" s="146"/>
      <c r="AGX165" s="146"/>
      <c r="AGY165" s="146"/>
      <c r="AGZ165" s="146"/>
      <c r="AHA165" s="146"/>
      <c r="AHB165" s="146"/>
      <c r="AHC165" s="146"/>
      <c r="AHD165" s="146"/>
      <c r="AHE165" s="146"/>
      <c r="AHF165" s="146"/>
      <c r="AHG165" s="146"/>
      <c r="AHH165" s="146"/>
      <c r="AHI165" s="146"/>
      <c r="AHJ165" s="146"/>
      <c r="AHK165" s="146"/>
      <c r="AHL165" s="146"/>
      <c r="AHM165" s="146"/>
      <c r="AHN165" s="146"/>
      <c r="AHO165" s="146"/>
      <c r="AHP165" s="146"/>
      <c r="AHQ165" s="146"/>
      <c r="AHR165" s="146"/>
      <c r="AHS165" s="146"/>
      <c r="AHT165" s="146"/>
      <c r="AHU165" s="146"/>
      <c r="AHV165" s="146"/>
      <c r="AHW165" s="146"/>
      <c r="AHX165" s="146"/>
      <c r="AHY165" s="146"/>
      <c r="AHZ165" s="146"/>
      <c r="AIA165" s="146"/>
      <c r="AIB165" s="146"/>
      <c r="AIC165" s="146"/>
      <c r="AID165" s="146"/>
      <c r="AIE165" s="146"/>
      <c r="AIF165" s="146"/>
      <c r="AIG165" s="146"/>
      <c r="AIH165" s="146"/>
      <c r="AII165" s="146"/>
      <c r="AIJ165" s="146"/>
      <c r="AIK165" s="146"/>
      <c r="AIL165" s="146"/>
      <c r="AIM165" s="146"/>
      <c r="AIN165" s="146"/>
      <c r="AIO165" s="146"/>
      <c r="AIP165" s="146"/>
      <c r="AIQ165" s="146"/>
      <c r="AIR165" s="146"/>
      <c r="AIS165" s="146"/>
      <c r="AIT165" s="146"/>
      <c r="AIU165" s="146"/>
      <c r="AIV165" s="146"/>
      <c r="AIW165" s="146"/>
      <c r="AIX165" s="146"/>
      <c r="AIY165" s="146"/>
      <c r="AIZ165" s="146"/>
      <c r="AJA165" s="146"/>
      <c r="AJB165" s="146"/>
      <c r="AJC165" s="146"/>
      <c r="AJD165" s="146"/>
      <c r="AJE165" s="146"/>
      <c r="AJF165" s="146"/>
      <c r="AJG165" s="146"/>
      <c r="AJH165" s="146"/>
      <c r="AJI165" s="146"/>
      <c r="AJJ165" s="146"/>
      <c r="AJK165" s="146"/>
      <c r="AJL165" s="146"/>
      <c r="AJM165" s="146"/>
      <c r="AJN165" s="146"/>
      <c r="AJO165" s="146"/>
      <c r="AJP165" s="146"/>
      <c r="AJQ165" s="146"/>
      <c r="AJR165" s="146"/>
      <c r="AJS165" s="146"/>
      <c r="AJT165" s="146"/>
      <c r="AJU165" s="146"/>
      <c r="AJV165" s="146"/>
      <c r="AJW165" s="146"/>
      <c r="AJX165" s="146"/>
      <c r="AJY165" s="146"/>
      <c r="AJZ165" s="146"/>
      <c r="AKA165" s="146"/>
      <c r="AKB165" s="146"/>
      <c r="AKC165" s="146"/>
      <c r="AKD165" s="146"/>
      <c r="AKE165" s="146"/>
      <c r="AKF165" s="146"/>
      <c r="AKG165" s="146"/>
      <c r="AKH165" s="146"/>
      <c r="AKI165" s="146"/>
      <c r="AKJ165" s="146"/>
      <c r="AKK165" s="146"/>
      <c r="AKL165" s="146"/>
      <c r="AKM165" s="146"/>
      <c r="AKN165" s="146"/>
      <c r="AKO165" s="146"/>
      <c r="AKP165" s="146"/>
      <c r="AKQ165" s="146"/>
      <c r="AKR165" s="146"/>
      <c r="AKS165" s="146"/>
      <c r="AKT165" s="146"/>
      <c r="AKU165" s="146"/>
      <c r="AKV165" s="146"/>
      <c r="AKW165" s="146"/>
      <c r="AKX165" s="146"/>
      <c r="AKY165" s="146"/>
      <c r="AKZ165" s="146"/>
      <c r="ALA165" s="146"/>
      <c r="ALB165" s="146"/>
      <c r="ALC165" s="146"/>
      <c r="ALD165" s="146"/>
      <c r="ALE165" s="146"/>
      <c r="ALF165" s="146"/>
      <c r="ALG165" s="146"/>
      <c r="ALH165" s="146"/>
      <c r="ALI165" s="146"/>
      <c r="ALJ165" s="146"/>
      <c r="ALK165" s="146"/>
      <c r="ALL165" s="146"/>
      <c r="ALM165" s="146"/>
      <c r="ALN165" s="146"/>
      <c r="ALO165" s="146"/>
      <c r="ALP165" s="146"/>
      <c r="ALQ165" s="146"/>
      <c r="ALR165" s="146"/>
      <c r="ALS165" s="146"/>
      <c r="ALT165" s="146"/>
      <c r="ALU165" s="146"/>
      <c r="ALV165" s="146"/>
      <c r="ALW165" s="146"/>
      <c r="ALX165" s="146"/>
      <c r="ALY165" s="146"/>
      <c r="ALZ165" s="146"/>
      <c r="AMA165" s="146"/>
      <c r="AMB165" s="146"/>
      <c r="AMC165" s="146"/>
      <c r="AMD165" s="146"/>
      <c r="AME165" s="146"/>
      <c r="AMF165" s="146"/>
      <c r="AMG165" s="146"/>
      <c r="AMH165" s="146"/>
      <c r="AMI165" s="146"/>
      <c r="AMJ165" s="146"/>
      <c r="AMK165" s="146"/>
      <c r="AML165" s="146"/>
      <c r="AMM165" s="146"/>
      <c r="AMN165" s="146"/>
      <c r="AMO165" s="146"/>
      <c r="AMP165" s="146"/>
      <c r="AMQ165" s="146"/>
      <c r="AMR165" s="146"/>
      <c r="AMS165" s="146"/>
      <c r="AMT165" s="146"/>
      <c r="AMU165" s="146"/>
      <c r="AMV165" s="146"/>
      <c r="AMW165" s="146"/>
      <c r="AMX165" s="146"/>
      <c r="AMY165" s="146"/>
      <c r="AMZ165" s="146"/>
      <c r="ANA165" s="146"/>
      <c r="ANB165" s="146"/>
      <c r="ANC165" s="146"/>
      <c r="AND165" s="146"/>
      <c r="ANE165" s="146"/>
      <c r="ANF165" s="146"/>
      <c r="ANG165" s="146"/>
      <c r="ANH165" s="146"/>
      <c r="ANI165" s="146"/>
      <c r="ANJ165" s="146"/>
      <c r="ANK165" s="146"/>
      <c r="ANL165" s="146"/>
      <c r="ANM165" s="146"/>
      <c r="ANN165" s="146"/>
      <c r="ANO165" s="146"/>
      <c r="ANP165" s="146"/>
      <c r="ANQ165" s="146"/>
      <c r="ANR165" s="146"/>
      <c r="ANS165" s="146"/>
      <c r="ANT165" s="146"/>
      <c r="ANU165" s="146"/>
      <c r="ANV165" s="146"/>
      <c r="ANW165" s="146"/>
      <c r="ANX165" s="146"/>
      <c r="ANY165" s="146"/>
      <c r="ANZ165" s="146"/>
      <c r="AOA165" s="146"/>
      <c r="AOB165" s="146"/>
      <c r="AOC165" s="146"/>
      <c r="AOD165" s="146"/>
      <c r="AOE165" s="146"/>
      <c r="AOF165" s="146"/>
      <c r="AOG165" s="146"/>
      <c r="AOH165" s="146"/>
      <c r="AOI165" s="146"/>
      <c r="AOJ165" s="146"/>
      <c r="AOK165" s="146"/>
      <c r="AOL165" s="146"/>
      <c r="AOM165" s="146"/>
      <c r="AON165" s="146"/>
      <c r="AOO165" s="146"/>
      <c r="AOP165" s="146"/>
      <c r="AOQ165" s="146"/>
      <c r="AOR165" s="146"/>
      <c r="AOS165" s="146"/>
      <c r="AOT165" s="146"/>
      <c r="AOU165" s="146"/>
      <c r="AOV165" s="146"/>
      <c r="AOW165" s="146"/>
      <c r="AOX165" s="146"/>
      <c r="AOY165" s="146"/>
      <c r="AOZ165" s="146"/>
      <c r="APA165" s="146"/>
      <c r="APB165" s="146"/>
      <c r="APC165" s="146"/>
      <c r="APD165" s="146"/>
      <c r="APE165" s="146"/>
      <c r="APF165" s="146"/>
      <c r="APG165" s="146"/>
      <c r="APH165" s="146"/>
      <c r="API165" s="146"/>
      <c r="APJ165" s="146"/>
      <c r="APK165" s="146"/>
      <c r="APL165" s="146"/>
      <c r="APM165" s="146"/>
      <c r="APN165" s="146"/>
      <c r="APO165" s="146"/>
      <c r="APP165" s="146"/>
      <c r="APQ165" s="146"/>
      <c r="APR165" s="146"/>
      <c r="APS165" s="146"/>
      <c r="APT165" s="146"/>
      <c r="APU165" s="146"/>
      <c r="APV165" s="146"/>
      <c r="APW165" s="146"/>
      <c r="APX165" s="146"/>
      <c r="APY165" s="146"/>
      <c r="APZ165" s="146"/>
      <c r="AQA165" s="146"/>
      <c r="AQB165" s="146"/>
      <c r="AQC165" s="146"/>
      <c r="AQD165" s="146"/>
      <c r="AQE165" s="146"/>
      <c r="AQF165" s="146"/>
      <c r="AQG165" s="146"/>
      <c r="AQH165" s="146"/>
      <c r="AQI165" s="146"/>
      <c r="AQJ165" s="146"/>
      <c r="AQK165" s="146"/>
      <c r="AQL165" s="146"/>
      <c r="AQM165" s="146"/>
      <c r="AQN165" s="146"/>
      <c r="AQO165" s="146"/>
      <c r="AQP165" s="146"/>
      <c r="AQQ165" s="146"/>
      <c r="AQR165" s="146"/>
      <c r="AQS165" s="146"/>
      <c r="AQT165" s="146"/>
      <c r="AQU165" s="146"/>
      <c r="AQV165" s="146"/>
      <c r="AQW165" s="146"/>
      <c r="AQX165" s="146"/>
      <c r="AQY165" s="146"/>
      <c r="AQZ165" s="146"/>
      <c r="ARA165" s="146"/>
      <c r="ARB165" s="146"/>
      <c r="ARC165" s="146"/>
      <c r="ARD165" s="146"/>
      <c r="ARE165" s="146"/>
      <c r="ARF165" s="146"/>
      <c r="ARG165" s="146"/>
      <c r="ARH165" s="146"/>
      <c r="ARI165" s="146"/>
      <c r="ARJ165" s="146"/>
      <c r="ARK165" s="146"/>
      <c r="ARL165" s="146"/>
      <c r="ARM165" s="146"/>
      <c r="ARN165" s="146"/>
      <c r="ARO165" s="146"/>
      <c r="ARP165" s="146"/>
      <c r="ARQ165" s="146"/>
      <c r="ARR165" s="146"/>
      <c r="ARS165" s="146"/>
      <c r="ART165" s="146"/>
      <c r="ARU165" s="146"/>
      <c r="ARV165" s="146"/>
      <c r="ARW165" s="146"/>
      <c r="ARX165" s="146"/>
      <c r="ARY165" s="146"/>
      <c r="ARZ165" s="146"/>
      <c r="ASA165" s="146"/>
      <c r="ASB165" s="146"/>
      <c r="ASC165" s="146"/>
      <c r="ASD165" s="146"/>
      <c r="ASE165" s="146"/>
      <c r="ASF165" s="146"/>
      <c r="ASG165" s="146"/>
      <c r="ASH165" s="146"/>
      <c r="ASI165" s="146"/>
      <c r="ASJ165" s="146"/>
      <c r="ASK165" s="146"/>
      <c r="ASL165" s="146"/>
      <c r="ASM165" s="146"/>
      <c r="ASN165" s="146"/>
      <c r="ASO165" s="146"/>
      <c r="ASP165" s="146"/>
      <c r="ASQ165" s="146"/>
      <c r="ASR165" s="146"/>
      <c r="ASS165" s="146"/>
      <c r="AST165" s="146"/>
      <c r="ASU165" s="146"/>
      <c r="ASV165" s="146"/>
      <c r="ASW165" s="146"/>
      <c r="ASX165" s="146"/>
      <c r="ASY165" s="146"/>
      <c r="ASZ165" s="146"/>
      <c r="ATA165" s="146"/>
      <c r="ATB165" s="146"/>
      <c r="ATC165" s="146"/>
      <c r="ATD165" s="146"/>
      <c r="ATE165" s="146"/>
      <c r="ATF165" s="146"/>
      <c r="ATG165" s="146"/>
      <c r="ATH165" s="146"/>
      <c r="ATI165" s="146"/>
      <c r="ATJ165" s="146"/>
      <c r="ATK165" s="146"/>
      <c r="ATL165" s="146"/>
      <c r="ATM165" s="146"/>
      <c r="ATN165" s="146"/>
      <c r="ATO165" s="146"/>
      <c r="ATP165" s="146"/>
      <c r="ATQ165" s="146"/>
      <c r="ATR165" s="146"/>
      <c r="ATS165" s="146"/>
      <c r="ATT165" s="146"/>
      <c r="ATU165" s="146"/>
      <c r="ATV165" s="146"/>
      <c r="ATW165" s="146"/>
      <c r="ATX165" s="146"/>
      <c r="ATY165" s="146"/>
      <c r="ATZ165" s="146"/>
      <c r="AUA165" s="146"/>
      <c r="AUB165" s="146"/>
      <c r="AUC165" s="146"/>
      <c r="AUD165" s="146"/>
      <c r="AUE165" s="146"/>
      <c r="AUF165" s="146"/>
      <c r="AUG165" s="146"/>
      <c r="AUH165" s="146"/>
      <c r="AUI165" s="146"/>
      <c r="AUJ165" s="146"/>
      <c r="AUK165" s="146"/>
      <c r="AUL165" s="146"/>
      <c r="AUM165" s="146"/>
      <c r="AUN165" s="146"/>
      <c r="AUO165" s="146"/>
      <c r="AUP165" s="146"/>
      <c r="AUQ165" s="146"/>
      <c r="AUR165" s="146"/>
      <c r="AUS165" s="146"/>
      <c r="AUT165" s="146"/>
      <c r="AUU165" s="146"/>
      <c r="AUV165" s="146"/>
      <c r="AUW165" s="146"/>
      <c r="AUX165" s="146"/>
      <c r="AUY165" s="146"/>
      <c r="AUZ165" s="146"/>
      <c r="AVA165" s="146"/>
      <c r="AVB165" s="146"/>
      <c r="AVC165" s="146"/>
      <c r="AVD165" s="146"/>
      <c r="AVE165" s="146"/>
      <c r="AVF165" s="146"/>
      <c r="AVG165" s="146"/>
      <c r="AVH165" s="146"/>
      <c r="AVI165" s="146"/>
      <c r="AVJ165" s="146"/>
      <c r="AVK165" s="146"/>
      <c r="AVL165" s="146"/>
      <c r="AVM165" s="146"/>
      <c r="AVN165" s="146"/>
      <c r="AVO165" s="146"/>
      <c r="AVP165" s="146"/>
      <c r="AVQ165" s="146"/>
      <c r="AVR165" s="146"/>
      <c r="AVS165" s="146"/>
      <c r="AVT165" s="146"/>
      <c r="AVU165" s="146"/>
      <c r="AVV165" s="146"/>
      <c r="AVW165" s="146"/>
      <c r="AVX165" s="146"/>
      <c r="AVY165" s="146"/>
      <c r="AVZ165" s="146"/>
      <c r="AWA165" s="146"/>
      <c r="AWB165" s="146"/>
      <c r="AWC165" s="146"/>
      <c r="AWD165" s="146"/>
      <c r="AWE165" s="146"/>
      <c r="AWF165" s="146"/>
      <c r="AWG165" s="146"/>
      <c r="AWH165" s="146"/>
      <c r="AWI165" s="146"/>
      <c r="AWJ165" s="146"/>
      <c r="AWK165" s="146"/>
      <c r="AWL165" s="146"/>
      <c r="AWM165" s="146"/>
      <c r="AWN165" s="146"/>
      <c r="AWO165" s="146"/>
      <c r="AWP165" s="146"/>
      <c r="AWQ165" s="146"/>
      <c r="AWR165" s="146"/>
      <c r="AWS165" s="146"/>
      <c r="AWT165" s="146"/>
      <c r="AWU165" s="146"/>
      <c r="AWV165" s="146"/>
      <c r="AWW165" s="146"/>
      <c r="AWX165" s="146"/>
      <c r="AWY165" s="146"/>
      <c r="AWZ165" s="146"/>
      <c r="AXA165" s="146"/>
      <c r="AXB165" s="146"/>
      <c r="AXC165" s="146"/>
      <c r="AXD165" s="146"/>
      <c r="AXE165" s="146"/>
      <c r="AXF165" s="146"/>
      <c r="AXG165" s="146"/>
      <c r="AXH165" s="146"/>
      <c r="AXI165" s="146"/>
      <c r="AXJ165" s="146"/>
      <c r="AXK165" s="146"/>
      <c r="AXL165" s="146"/>
      <c r="AXM165" s="146"/>
      <c r="AXN165" s="146"/>
      <c r="AXO165" s="146"/>
      <c r="AXP165" s="146"/>
      <c r="AXQ165" s="146"/>
      <c r="AXR165" s="146"/>
      <c r="AXS165" s="146"/>
      <c r="AXT165" s="146"/>
      <c r="AXU165" s="146"/>
      <c r="AXV165" s="146"/>
      <c r="AXW165" s="146"/>
      <c r="AXX165" s="146"/>
      <c r="AXY165" s="146"/>
      <c r="AXZ165" s="146"/>
      <c r="AYA165" s="146"/>
      <c r="AYB165" s="146"/>
      <c r="AYC165" s="146"/>
      <c r="AYD165" s="146"/>
      <c r="AYE165" s="146"/>
      <c r="AYF165" s="146"/>
      <c r="AYG165" s="146"/>
      <c r="AYH165" s="146"/>
      <c r="AYI165" s="146"/>
      <c r="AYJ165" s="146"/>
      <c r="AYK165" s="146"/>
      <c r="AYL165" s="146"/>
      <c r="AYM165" s="146"/>
      <c r="AYN165" s="146"/>
      <c r="AYO165" s="146"/>
      <c r="AYP165" s="146"/>
      <c r="AYQ165" s="146"/>
      <c r="AYR165" s="146"/>
      <c r="AYS165" s="146"/>
      <c r="AYT165" s="146"/>
      <c r="AYU165" s="146"/>
      <c r="AYV165" s="146"/>
      <c r="AYW165" s="146"/>
      <c r="AYX165" s="146"/>
      <c r="AYY165" s="146"/>
      <c r="AYZ165" s="146"/>
      <c r="AZA165" s="146"/>
      <c r="AZB165" s="146"/>
      <c r="AZC165" s="146"/>
      <c r="AZD165" s="146"/>
      <c r="AZE165" s="146"/>
      <c r="AZF165" s="146"/>
      <c r="AZG165" s="146"/>
      <c r="AZH165" s="146"/>
      <c r="AZI165" s="146"/>
      <c r="AZJ165" s="146"/>
      <c r="AZK165" s="146"/>
      <c r="AZL165" s="146"/>
      <c r="AZM165" s="146"/>
      <c r="AZN165" s="146"/>
      <c r="AZO165" s="146"/>
      <c r="AZP165" s="146"/>
      <c r="AZQ165" s="146"/>
      <c r="AZR165" s="146"/>
      <c r="AZS165" s="146"/>
      <c r="AZT165" s="146"/>
      <c r="AZU165" s="146"/>
      <c r="AZV165" s="146"/>
      <c r="AZW165" s="146"/>
      <c r="AZX165" s="146"/>
      <c r="AZY165" s="146"/>
      <c r="AZZ165" s="146"/>
      <c r="BAA165" s="146"/>
      <c r="BAB165" s="146"/>
      <c r="BAC165" s="146"/>
      <c r="BAD165" s="146"/>
      <c r="BAE165" s="146"/>
      <c r="BAF165" s="146"/>
      <c r="BAG165" s="146"/>
      <c r="BAH165" s="146"/>
      <c r="BAI165" s="146"/>
      <c r="BAJ165" s="146"/>
      <c r="BAK165" s="146"/>
      <c r="BAL165" s="146"/>
      <c r="BAM165" s="146"/>
      <c r="BAN165" s="146"/>
      <c r="BAO165" s="146"/>
      <c r="BAP165" s="146"/>
      <c r="BAQ165" s="146"/>
      <c r="BAR165" s="146"/>
      <c r="BAS165" s="146"/>
      <c r="BAT165" s="146"/>
      <c r="BAU165" s="146"/>
      <c r="BAV165" s="146"/>
      <c r="BAW165" s="146"/>
      <c r="BAX165" s="146"/>
      <c r="BAY165" s="146"/>
      <c r="BAZ165" s="146"/>
      <c r="BBA165" s="146"/>
      <c r="BBB165" s="146"/>
      <c r="BBC165" s="146"/>
      <c r="BBD165" s="146"/>
      <c r="BBE165" s="146"/>
      <c r="BBF165" s="146"/>
      <c r="BBG165" s="146"/>
      <c r="BBH165" s="146"/>
      <c r="BBI165" s="146"/>
      <c r="BBJ165" s="146"/>
      <c r="BBK165" s="146"/>
      <c r="BBL165" s="146"/>
      <c r="BBM165" s="146"/>
      <c r="BBN165" s="146"/>
      <c r="BBO165" s="146"/>
      <c r="BBP165" s="146"/>
      <c r="BBQ165" s="146"/>
      <c r="BBR165" s="146"/>
      <c r="BBS165" s="146"/>
      <c r="BBT165" s="146"/>
      <c r="BBU165" s="146"/>
      <c r="BBV165" s="146"/>
      <c r="BBW165" s="146"/>
      <c r="BBX165" s="146"/>
      <c r="BBY165" s="146"/>
      <c r="BBZ165" s="146"/>
      <c r="BCA165" s="146"/>
      <c r="BCB165" s="146"/>
      <c r="BCC165" s="146"/>
      <c r="BCD165" s="146"/>
      <c r="BCE165" s="146"/>
      <c r="BCF165" s="146"/>
      <c r="BCG165" s="146"/>
      <c r="BCH165" s="146"/>
      <c r="BCI165" s="146"/>
      <c r="BCJ165" s="146"/>
      <c r="BCK165" s="146"/>
      <c r="BCL165" s="146"/>
      <c r="BCM165" s="146"/>
      <c r="BCN165" s="146"/>
      <c r="BCO165" s="146"/>
      <c r="BCP165" s="146"/>
      <c r="BCQ165" s="146"/>
      <c r="BCR165" s="146"/>
      <c r="BCS165" s="146"/>
      <c r="BCT165" s="146"/>
      <c r="BCU165" s="146"/>
      <c r="BCV165" s="146"/>
      <c r="BCW165" s="146"/>
      <c r="BCX165" s="146"/>
      <c r="BCY165" s="146"/>
      <c r="BCZ165" s="146"/>
      <c r="BDA165" s="146"/>
      <c r="BDB165" s="146"/>
      <c r="BDC165" s="146"/>
      <c r="BDD165" s="146"/>
      <c r="BDE165" s="146"/>
      <c r="BDF165" s="146"/>
      <c r="BDG165" s="146"/>
      <c r="BDH165" s="146"/>
      <c r="BDI165" s="146"/>
      <c r="BDJ165" s="146"/>
      <c r="BDK165" s="146"/>
      <c r="BDL165" s="146"/>
      <c r="BDM165" s="146"/>
      <c r="BDN165" s="146"/>
      <c r="BDO165" s="146"/>
      <c r="BDP165" s="146"/>
      <c r="BDQ165" s="146"/>
      <c r="BDR165" s="146"/>
      <c r="BDS165" s="146"/>
      <c r="BDT165" s="146"/>
      <c r="BDU165" s="146"/>
      <c r="BDV165" s="146"/>
      <c r="BDW165" s="146"/>
      <c r="BDX165" s="146"/>
      <c r="BDY165" s="146"/>
      <c r="BDZ165" s="146"/>
      <c r="BEA165" s="146"/>
      <c r="BEB165" s="146"/>
      <c r="BEC165" s="146"/>
      <c r="BED165" s="146"/>
      <c r="BEE165" s="146"/>
      <c r="BEF165" s="146"/>
      <c r="BEG165" s="146"/>
      <c r="BEH165" s="146"/>
      <c r="BEI165" s="146"/>
      <c r="BEJ165" s="146"/>
      <c r="BEK165" s="146"/>
      <c r="BEL165" s="146"/>
      <c r="BEM165" s="146"/>
      <c r="BEN165" s="146"/>
      <c r="BEO165" s="146"/>
      <c r="BEP165" s="146"/>
      <c r="BEQ165" s="146"/>
      <c r="BER165" s="146"/>
      <c r="BES165" s="146"/>
      <c r="BET165" s="146"/>
      <c r="BEU165" s="146"/>
      <c r="BEV165" s="146"/>
      <c r="BEW165" s="146"/>
      <c r="BEX165" s="146"/>
      <c r="BEY165" s="146"/>
      <c r="BEZ165" s="146"/>
      <c r="BFA165" s="146"/>
      <c r="BFB165" s="146"/>
      <c r="BFC165" s="146"/>
      <c r="BFD165" s="146"/>
      <c r="BFE165" s="146"/>
      <c r="BFF165" s="146"/>
      <c r="BFG165" s="146"/>
      <c r="BFH165" s="146"/>
      <c r="BFI165" s="146"/>
      <c r="BFJ165" s="146"/>
      <c r="BFK165" s="146"/>
      <c r="BFL165" s="146"/>
      <c r="BFM165" s="146"/>
      <c r="BFN165" s="146"/>
      <c r="BFO165" s="146"/>
      <c r="BFP165" s="146"/>
      <c r="BFQ165" s="146"/>
      <c r="BFR165" s="146"/>
      <c r="BFS165" s="146"/>
      <c r="BFT165" s="146"/>
      <c r="BFU165" s="146"/>
      <c r="BFV165" s="146"/>
      <c r="BFW165" s="146"/>
      <c r="BFX165" s="146"/>
      <c r="BFY165" s="146"/>
      <c r="BFZ165" s="146"/>
      <c r="BGA165" s="146"/>
      <c r="BGB165" s="146"/>
      <c r="BGC165" s="146"/>
      <c r="BGD165" s="146"/>
      <c r="BGE165" s="146"/>
      <c r="BGF165" s="146"/>
      <c r="BGG165" s="146"/>
      <c r="BGH165" s="146"/>
      <c r="BGI165" s="146"/>
      <c r="BGJ165" s="146"/>
      <c r="BGK165" s="146"/>
      <c r="BGL165" s="146"/>
      <c r="BGM165" s="146"/>
      <c r="BGN165" s="146"/>
      <c r="BGO165" s="146"/>
      <c r="BGP165" s="146"/>
      <c r="BGQ165" s="146"/>
      <c r="BGR165" s="146"/>
      <c r="BGS165" s="146"/>
      <c r="BGT165" s="146"/>
      <c r="BGU165" s="146"/>
      <c r="BGV165" s="146"/>
      <c r="BGW165" s="146"/>
      <c r="BGX165" s="146"/>
      <c r="BGY165" s="146"/>
      <c r="BGZ165" s="146"/>
      <c r="BHA165" s="146"/>
      <c r="BHB165" s="146"/>
      <c r="BHC165" s="146"/>
      <c r="BHD165" s="146"/>
      <c r="BHE165" s="146"/>
      <c r="BHF165" s="146"/>
      <c r="BHG165" s="146"/>
      <c r="BHH165" s="146"/>
      <c r="BHI165" s="146"/>
      <c r="BHJ165" s="146"/>
      <c r="BHK165" s="146"/>
      <c r="BHL165" s="146"/>
      <c r="BHM165" s="146"/>
      <c r="BHN165" s="146"/>
      <c r="BHO165" s="146"/>
      <c r="BHP165" s="146"/>
      <c r="BHQ165" s="146"/>
      <c r="BHR165" s="146"/>
      <c r="BHS165" s="146"/>
      <c r="BHT165" s="146"/>
      <c r="BHU165" s="146"/>
      <c r="BHV165" s="146"/>
      <c r="BHW165" s="146"/>
      <c r="BHX165" s="146"/>
      <c r="BHY165" s="146"/>
      <c r="BHZ165" s="146"/>
      <c r="BIA165" s="146"/>
      <c r="BIB165" s="146"/>
      <c r="BIC165" s="146"/>
      <c r="BID165" s="146"/>
      <c r="BIE165" s="146"/>
      <c r="BIF165" s="146"/>
      <c r="BIG165" s="146"/>
      <c r="BIH165" s="146"/>
      <c r="BII165" s="146"/>
      <c r="BIJ165" s="146"/>
      <c r="BIK165" s="146"/>
      <c r="BIL165" s="146"/>
      <c r="BIM165" s="146"/>
      <c r="BIN165" s="146"/>
      <c r="BIO165" s="146"/>
      <c r="BIP165" s="146"/>
      <c r="BIQ165" s="146"/>
      <c r="BIR165" s="146"/>
      <c r="BIS165" s="146"/>
      <c r="BIT165" s="146"/>
      <c r="BIU165" s="146"/>
      <c r="BIV165" s="146"/>
      <c r="BIW165" s="146"/>
      <c r="BIX165" s="146"/>
      <c r="BIY165" s="146"/>
      <c r="BIZ165" s="146"/>
      <c r="BJA165" s="146"/>
      <c r="BJB165" s="146"/>
      <c r="BJC165" s="146"/>
      <c r="BJD165" s="146"/>
      <c r="BJE165" s="146"/>
      <c r="BJF165" s="146"/>
      <c r="BJG165" s="146"/>
      <c r="BJH165" s="146"/>
      <c r="BJI165" s="146"/>
      <c r="BJJ165" s="146"/>
      <c r="BJK165" s="146"/>
      <c r="BJL165" s="146"/>
      <c r="BJM165" s="146"/>
      <c r="BJN165" s="146"/>
      <c r="BJO165" s="146"/>
      <c r="BJP165" s="146"/>
      <c r="BJQ165" s="146"/>
      <c r="BJR165" s="146"/>
      <c r="BJS165" s="146"/>
      <c r="BJT165" s="146"/>
      <c r="BJU165" s="146"/>
      <c r="BJV165" s="146"/>
      <c r="BJW165" s="146"/>
      <c r="BJX165" s="146"/>
      <c r="BJY165" s="146"/>
      <c r="BJZ165" s="146"/>
      <c r="BKA165" s="146"/>
      <c r="BKB165" s="146"/>
      <c r="BKC165" s="146"/>
      <c r="BKD165" s="146"/>
      <c r="BKE165" s="146"/>
      <c r="BKF165" s="146"/>
      <c r="BKG165" s="146"/>
      <c r="BKH165" s="146"/>
      <c r="BKI165" s="146"/>
      <c r="BKJ165" s="146"/>
      <c r="BKK165" s="146"/>
      <c r="BKL165" s="146"/>
      <c r="BKM165" s="146"/>
      <c r="BKN165" s="146"/>
      <c r="BKO165" s="146"/>
      <c r="BKP165" s="146"/>
      <c r="BKQ165" s="146"/>
      <c r="BKR165" s="146"/>
      <c r="BKS165" s="146"/>
      <c r="BKT165" s="146"/>
      <c r="BKU165" s="146"/>
      <c r="BKV165" s="146"/>
      <c r="BKW165" s="146"/>
      <c r="BKX165" s="146"/>
      <c r="BKY165" s="146"/>
      <c r="BKZ165" s="146"/>
      <c r="BLA165" s="146"/>
      <c r="BLB165" s="146"/>
      <c r="BLC165" s="146"/>
      <c r="BLD165" s="146"/>
      <c r="BLE165" s="146"/>
      <c r="BLF165" s="146"/>
      <c r="BLG165" s="146"/>
      <c r="BLH165" s="146"/>
      <c r="BLI165" s="146"/>
      <c r="BLJ165" s="146"/>
      <c r="BLK165" s="146"/>
      <c r="BLL165" s="146"/>
      <c r="BLM165" s="146"/>
      <c r="BLN165" s="146"/>
      <c r="BLO165" s="146"/>
      <c r="BLP165" s="146"/>
      <c r="BLQ165" s="146"/>
      <c r="BLR165" s="146"/>
      <c r="BLS165" s="146"/>
      <c r="BLT165" s="146"/>
      <c r="BLU165" s="146"/>
      <c r="BLV165" s="146"/>
      <c r="BLW165" s="146"/>
      <c r="BLX165" s="146"/>
      <c r="BLY165" s="146"/>
      <c r="BLZ165" s="146"/>
      <c r="BMA165" s="146"/>
      <c r="BMB165" s="146"/>
      <c r="BMC165" s="146"/>
      <c r="BMD165" s="146"/>
      <c r="BME165" s="146"/>
      <c r="BMF165" s="146"/>
      <c r="BMG165" s="146"/>
      <c r="BMH165" s="146"/>
      <c r="BMI165" s="146"/>
      <c r="BMJ165" s="146"/>
      <c r="BMK165" s="146"/>
      <c r="BML165" s="146"/>
      <c r="BMM165" s="146"/>
      <c r="BMN165" s="146"/>
      <c r="BMO165" s="146"/>
      <c r="BMP165" s="146"/>
      <c r="BMQ165" s="146"/>
      <c r="BMR165" s="146"/>
      <c r="BMS165" s="146"/>
      <c r="BMT165" s="146"/>
      <c r="BMU165" s="146"/>
      <c r="BMV165" s="146"/>
      <c r="BMW165" s="146"/>
      <c r="BMX165" s="146"/>
      <c r="BMY165" s="146"/>
      <c r="BMZ165" s="146"/>
      <c r="BNA165" s="146"/>
      <c r="BNB165" s="146"/>
      <c r="BNC165" s="146"/>
      <c r="BND165" s="146"/>
      <c r="BNE165" s="146"/>
      <c r="BNF165" s="146"/>
      <c r="BNG165" s="146"/>
      <c r="BNH165" s="146"/>
      <c r="BNI165" s="146"/>
      <c r="BNJ165" s="146"/>
      <c r="BNK165" s="146"/>
      <c r="BNL165" s="146"/>
      <c r="BNM165" s="146"/>
      <c r="BNN165" s="146"/>
      <c r="BNO165" s="146"/>
      <c r="BNP165" s="146"/>
      <c r="BNQ165" s="146"/>
      <c r="BNR165" s="146"/>
      <c r="BNS165" s="146"/>
      <c r="BNT165" s="146"/>
      <c r="BNU165" s="146"/>
      <c r="BNV165" s="146"/>
      <c r="BNW165" s="146"/>
      <c r="BNX165" s="146"/>
      <c r="BNY165" s="146"/>
      <c r="BNZ165" s="146"/>
      <c r="BOA165" s="146"/>
      <c r="BOB165" s="146"/>
      <c r="BOC165" s="146"/>
      <c r="BOD165" s="146"/>
      <c r="BOE165" s="146"/>
      <c r="BOF165" s="146"/>
      <c r="BOG165" s="146"/>
      <c r="BOH165" s="146"/>
      <c r="BOI165" s="146"/>
      <c r="BOJ165" s="146"/>
      <c r="BOK165" s="146"/>
      <c r="BOL165" s="146"/>
      <c r="BOM165" s="146"/>
      <c r="BON165" s="146"/>
      <c r="BOO165" s="146"/>
      <c r="BOP165" s="146"/>
      <c r="BOQ165" s="146"/>
      <c r="BOR165" s="146"/>
      <c r="BOS165" s="146"/>
      <c r="BOT165" s="146"/>
      <c r="BOU165" s="146"/>
      <c r="BOV165" s="146"/>
      <c r="BOW165" s="146"/>
      <c r="BOX165" s="146"/>
      <c r="BOY165" s="146"/>
      <c r="BOZ165" s="146"/>
      <c r="BPA165" s="146"/>
      <c r="BPB165" s="146"/>
      <c r="BPC165" s="146"/>
      <c r="BPD165" s="146"/>
      <c r="BPE165" s="146"/>
      <c r="BPF165" s="146"/>
      <c r="BPG165" s="146"/>
      <c r="BPH165" s="146"/>
      <c r="BPI165" s="146"/>
      <c r="BPJ165" s="146"/>
      <c r="BPK165" s="146"/>
      <c r="BPL165" s="146"/>
      <c r="BPM165" s="146"/>
      <c r="BPN165" s="146"/>
      <c r="BPO165" s="146"/>
      <c r="BPP165" s="146"/>
      <c r="BPQ165" s="146"/>
      <c r="BPR165" s="146"/>
      <c r="BPS165" s="146"/>
      <c r="BPT165" s="146"/>
      <c r="BPU165" s="146"/>
      <c r="BPV165" s="146"/>
      <c r="BPW165" s="146"/>
      <c r="BPX165" s="146"/>
      <c r="BPY165" s="146"/>
      <c r="BPZ165" s="146"/>
      <c r="BQA165" s="146"/>
      <c r="BQB165" s="146"/>
      <c r="BQC165" s="146"/>
      <c r="BQD165" s="146"/>
      <c r="BQE165" s="146"/>
      <c r="BQF165" s="146"/>
      <c r="BQG165" s="146"/>
      <c r="BQH165" s="146"/>
      <c r="BQI165" s="146"/>
      <c r="BQJ165" s="146"/>
      <c r="BQK165" s="146"/>
      <c r="BQL165" s="146"/>
      <c r="BQM165" s="146"/>
      <c r="BQN165" s="146"/>
      <c r="BQO165" s="146"/>
      <c r="BQP165" s="146"/>
      <c r="BQQ165" s="146"/>
      <c r="BQR165" s="146"/>
      <c r="BQS165" s="146"/>
      <c r="BQT165" s="146"/>
      <c r="BQU165" s="146"/>
      <c r="BQV165" s="146"/>
      <c r="BQW165" s="146"/>
      <c r="BQX165" s="146"/>
      <c r="BQY165" s="146"/>
      <c r="BQZ165" s="146"/>
      <c r="BRA165" s="146"/>
      <c r="BRB165" s="146"/>
      <c r="BRC165" s="146"/>
      <c r="BRD165" s="146"/>
      <c r="BRE165" s="146"/>
      <c r="BRF165" s="146"/>
      <c r="BRG165" s="146"/>
      <c r="BRH165" s="146"/>
      <c r="BRI165" s="146"/>
      <c r="BRJ165" s="146"/>
      <c r="BRK165" s="146"/>
      <c r="BRL165" s="146"/>
      <c r="BRM165" s="146"/>
      <c r="BRN165" s="146"/>
      <c r="BRO165" s="146"/>
      <c r="BRP165" s="146"/>
      <c r="BRQ165" s="146"/>
      <c r="BRR165" s="146"/>
      <c r="BRS165" s="146"/>
      <c r="BRT165" s="146"/>
      <c r="BRU165" s="146"/>
      <c r="BRV165" s="146"/>
      <c r="BRW165" s="146"/>
      <c r="BRX165" s="146"/>
      <c r="BRY165" s="146"/>
      <c r="BRZ165" s="146"/>
      <c r="BSA165" s="146"/>
      <c r="BSB165" s="146"/>
      <c r="BSC165" s="146"/>
      <c r="BSD165" s="146"/>
      <c r="BSE165" s="146"/>
      <c r="BSF165" s="146"/>
      <c r="BSG165" s="146"/>
      <c r="BSH165" s="146"/>
      <c r="BSI165" s="146"/>
      <c r="BSJ165" s="146"/>
      <c r="BSK165" s="146"/>
      <c r="BSL165" s="146"/>
      <c r="BSM165" s="146"/>
      <c r="BSN165" s="146"/>
      <c r="BSO165" s="146"/>
      <c r="BSP165" s="146"/>
      <c r="BSQ165" s="146"/>
      <c r="BSR165" s="146"/>
      <c r="BSS165" s="146"/>
      <c r="BST165" s="146"/>
      <c r="BSU165" s="146"/>
      <c r="BSV165" s="146"/>
      <c r="BSW165" s="146"/>
      <c r="BSX165" s="146"/>
      <c r="BSY165" s="146"/>
      <c r="BSZ165" s="146"/>
      <c r="BTA165" s="146"/>
      <c r="BTB165" s="146"/>
      <c r="BTC165" s="146"/>
      <c r="BTD165" s="146"/>
      <c r="BTE165" s="146"/>
      <c r="BTF165" s="146"/>
      <c r="BTG165" s="146"/>
      <c r="BTH165" s="146"/>
      <c r="BTI165" s="146"/>
      <c r="BTJ165" s="146"/>
      <c r="BTK165" s="146"/>
      <c r="BTL165" s="146"/>
      <c r="BTM165" s="146"/>
      <c r="BTN165" s="146"/>
      <c r="BTO165" s="146"/>
      <c r="BTP165" s="146"/>
      <c r="BTQ165" s="146"/>
      <c r="BTR165" s="146"/>
      <c r="BTS165" s="146"/>
      <c r="BTT165" s="146"/>
      <c r="BTU165" s="146"/>
      <c r="BTV165" s="146"/>
      <c r="BTW165" s="146"/>
      <c r="BTX165" s="146"/>
      <c r="BTY165" s="146"/>
      <c r="BTZ165" s="146"/>
      <c r="BUA165" s="146"/>
      <c r="BUB165" s="146"/>
      <c r="BUC165" s="146"/>
      <c r="BUD165" s="146"/>
      <c r="BUE165" s="146"/>
      <c r="BUF165" s="146"/>
      <c r="BUG165" s="146"/>
      <c r="BUH165" s="146"/>
      <c r="BUI165" s="146"/>
      <c r="BUJ165" s="146"/>
      <c r="BUK165" s="146"/>
      <c r="BUL165" s="146"/>
      <c r="BUM165" s="146"/>
      <c r="BUN165" s="146"/>
      <c r="BUO165" s="146"/>
      <c r="BUP165" s="146"/>
      <c r="BUQ165" s="146"/>
      <c r="BUR165" s="146"/>
      <c r="BUS165" s="146"/>
      <c r="BUT165" s="146"/>
      <c r="BUU165" s="146"/>
      <c r="BUV165" s="146"/>
      <c r="BUW165" s="146"/>
      <c r="BUX165" s="146"/>
      <c r="BUY165" s="146"/>
      <c r="BUZ165" s="146"/>
      <c r="BVA165" s="146"/>
      <c r="BVB165" s="146"/>
      <c r="BVC165" s="146"/>
      <c r="BVD165" s="146"/>
      <c r="BVE165" s="146"/>
      <c r="BVF165" s="146"/>
      <c r="BVG165" s="146"/>
      <c r="BVH165" s="146"/>
      <c r="BVI165" s="146"/>
      <c r="BVJ165" s="146"/>
      <c r="BVK165" s="146"/>
      <c r="BVL165" s="146"/>
      <c r="BVM165" s="146"/>
      <c r="BVN165" s="146"/>
      <c r="BVO165" s="146"/>
      <c r="BVP165" s="146"/>
      <c r="BVQ165" s="146"/>
      <c r="BVR165" s="146"/>
      <c r="BVS165" s="146"/>
      <c r="BVT165" s="146"/>
      <c r="BVU165" s="146"/>
      <c r="BVV165" s="146"/>
      <c r="BVW165" s="146"/>
      <c r="BVX165" s="146"/>
      <c r="BVY165" s="146"/>
      <c r="BVZ165" s="146"/>
      <c r="BWA165" s="146"/>
      <c r="BWB165" s="146"/>
      <c r="BWC165" s="146"/>
      <c r="BWD165" s="146"/>
      <c r="BWE165" s="146"/>
      <c r="BWF165" s="146"/>
      <c r="BWG165" s="146"/>
      <c r="BWH165" s="146"/>
      <c r="BWI165" s="146"/>
      <c r="BWJ165" s="146"/>
      <c r="BWK165" s="146"/>
      <c r="BWL165" s="146"/>
      <c r="BWM165" s="146"/>
      <c r="BWN165" s="146"/>
      <c r="BWO165" s="146"/>
      <c r="BWP165" s="146"/>
      <c r="BWQ165" s="146"/>
      <c r="BWR165" s="146"/>
      <c r="BWS165" s="146"/>
      <c r="BWT165" s="146"/>
      <c r="BWU165" s="146"/>
      <c r="BWV165" s="146"/>
      <c r="BWW165" s="146"/>
      <c r="BWX165" s="146"/>
      <c r="BWY165" s="146"/>
      <c r="BWZ165" s="146"/>
      <c r="BXA165" s="146"/>
      <c r="BXB165" s="146"/>
      <c r="BXC165" s="146"/>
      <c r="BXD165" s="146"/>
      <c r="BXE165" s="146"/>
      <c r="BXF165" s="146"/>
      <c r="BXG165" s="146"/>
      <c r="BXH165" s="146"/>
      <c r="BXI165" s="146"/>
      <c r="BXJ165" s="146"/>
      <c r="BXK165" s="146"/>
      <c r="BXL165" s="146"/>
      <c r="BXM165" s="146"/>
      <c r="BXN165" s="146"/>
      <c r="BXO165" s="146"/>
      <c r="BXP165" s="146"/>
      <c r="BXQ165" s="146"/>
      <c r="BXR165" s="146"/>
      <c r="BXS165" s="146"/>
      <c r="BXT165" s="146"/>
      <c r="BXU165" s="146"/>
      <c r="BXV165" s="146"/>
      <c r="BXW165" s="146"/>
      <c r="BXX165" s="146"/>
      <c r="BXY165" s="146"/>
      <c r="BXZ165" s="146"/>
      <c r="BYA165" s="146"/>
      <c r="BYB165" s="146"/>
      <c r="BYC165" s="146"/>
      <c r="BYD165" s="146"/>
      <c r="BYE165" s="146"/>
      <c r="BYF165" s="146"/>
      <c r="BYG165" s="146"/>
      <c r="BYH165" s="146"/>
      <c r="BYI165" s="146"/>
      <c r="BYJ165" s="146"/>
      <c r="BYK165" s="146"/>
      <c r="BYL165" s="146"/>
      <c r="BYM165" s="146"/>
      <c r="BYN165" s="146"/>
      <c r="BYO165" s="146"/>
      <c r="BYP165" s="146"/>
      <c r="BYQ165" s="146"/>
      <c r="BYR165" s="146"/>
      <c r="BYS165" s="146"/>
      <c r="BYT165" s="146"/>
      <c r="BYU165" s="146"/>
      <c r="BYV165" s="146"/>
      <c r="BYW165" s="146"/>
      <c r="BYX165" s="146"/>
      <c r="BYY165" s="146"/>
      <c r="BYZ165" s="146"/>
      <c r="BZA165" s="146"/>
      <c r="BZB165" s="146"/>
      <c r="BZC165" s="146"/>
      <c r="BZD165" s="146"/>
      <c r="BZE165" s="146"/>
      <c r="BZF165" s="146"/>
      <c r="BZG165" s="146"/>
      <c r="BZH165" s="146"/>
      <c r="BZI165" s="146"/>
      <c r="BZJ165" s="146"/>
      <c r="BZK165" s="146"/>
      <c r="BZL165" s="146"/>
      <c r="BZM165" s="146"/>
      <c r="BZN165" s="146"/>
      <c r="BZO165" s="146"/>
      <c r="BZP165" s="146"/>
      <c r="BZQ165" s="146"/>
      <c r="BZR165" s="146"/>
      <c r="BZS165" s="146"/>
      <c r="BZT165" s="146"/>
      <c r="BZU165" s="146"/>
      <c r="BZV165" s="146"/>
      <c r="BZW165" s="146"/>
      <c r="BZX165" s="146"/>
      <c r="BZY165" s="146"/>
      <c r="BZZ165" s="146"/>
      <c r="CAA165" s="146"/>
      <c r="CAB165" s="146"/>
      <c r="CAC165" s="146"/>
      <c r="CAD165" s="146"/>
      <c r="CAE165" s="146"/>
      <c r="CAF165" s="146"/>
      <c r="CAG165" s="146"/>
      <c r="CAH165" s="146"/>
      <c r="CAI165" s="146"/>
      <c r="CAJ165" s="146"/>
      <c r="CAK165" s="146"/>
      <c r="CAL165" s="146"/>
      <c r="CAM165" s="146"/>
      <c r="CAN165" s="146"/>
      <c r="CAO165" s="146"/>
      <c r="CAP165" s="146"/>
      <c r="CAQ165" s="146"/>
      <c r="CAR165" s="146"/>
      <c r="CAS165" s="146"/>
      <c r="CAT165" s="146"/>
      <c r="CAU165" s="146"/>
      <c r="CAV165" s="146"/>
      <c r="CAW165" s="146"/>
      <c r="CAX165" s="146"/>
      <c r="CAY165" s="146"/>
      <c r="CAZ165" s="146"/>
      <c r="CBA165" s="146"/>
      <c r="CBB165" s="146"/>
      <c r="CBC165" s="146"/>
      <c r="CBD165" s="146"/>
      <c r="CBE165" s="146"/>
      <c r="CBF165" s="146"/>
      <c r="CBG165" s="146"/>
      <c r="CBH165" s="146"/>
      <c r="CBI165" s="146"/>
      <c r="CBJ165" s="146"/>
      <c r="CBK165" s="146"/>
      <c r="CBL165" s="146"/>
      <c r="CBM165" s="146"/>
      <c r="CBN165" s="146"/>
      <c r="CBO165" s="146"/>
      <c r="CBP165" s="146"/>
      <c r="CBQ165" s="146"/>
      <c r="CBR165" s="146"/>
      <c r="CBS165" s="146"/>
      <c r="CBT165" s="146"/>
      <c r="CBU165" s="146"/>
      <c r="CBV165" s="146"/>
      <c r="CBW165" s="146"/>
      <c r="CBX165" s="146"/>
      <c r="CBY165" s="146"/>
      <c r="CBZ165" s="146"/>
      <c r="CCA165" s="146"/>
      <c r="CCB165" s="146"/>
      <c r="CCC165" s="146"/>
      <c r="CCD165" s="146"/>
      <c r="CCE165" s="146"/>
      <c r="CCF165" s="146"/>
      <c r="CCG165" s="146"/>
      <c r="CCH165" s="146"/>
      <c r="CCI165" s="146"/>
      <c r="CCJ165" s="146"/>
      <c r="CCK165" s="146"/>
      <c r="CCL165" s="146"/>
      <c r="CCM165" s="146"/>
      <c r="CCN165" s="146"/>
      <c r="CCO165" s="146"/>
      <c r="CCP165" s="146"/>
      <c r="CCQ165" s="146"/>
      <c r="CCR165" s="146"/>
      <c r="CCS165" s="146"/>
      <c r="CCT165" s="146"/>
      <c r="CCU165" s="146"/>
      <c r="CCV165" s="146"/>
      <c r="CCW165" s="146"/>
      <c r="CCX165" s="146"/>
      <c r="CCY165" s="146"/>
      <c r="CCZ165" s="146"/>
      <c r="CDA165" s="146"/>
      <c r="CDB165" s="146"/>
      <c r="CDC165" s="146"/>
      <c r="CDD165" s="146"/>
      <c r="CDE165" s="146"/>
      <c r="CDF165" s="146"/>
      <c r="CDG165" s="146"/>
      <c r="CDH165" s="146"/>
      <c r="CDI165" s="146"/>
      <c r="CDJ165" s="146"/>
      <c r="CDK165" s="146"/>
      <c r="CDL165" s="146"/>
      <c r="CDM165" s="146"/>
      <c r="CDN165" s="146"/>
      <c r="CDO165" s="146"/>
      <c r="CDP165" s="146"/>
      <c r="CDQ165" s="146"/>
      <c r="CDR165" s="146"/>
      <c r="CDS165" s="146"/>
      <c r="CDT165" s="146"/>
      <c r="CDU165" s="146"/>
      <c r="CDV165" s="146"/>
      <c r="CDW165" s="146"/>
      <c r="CDX165" s="146"/>
      <c r="CDY165" s="146"/>
      <c r="CDZ165" s="146"/>
      <c r="CEA165" s="146"/>
      <c r="CEB165" s="146"/>
      <c r="CEC165" s="146"/>
      <c r="CED165" s="146"/>
      <c r="CEE165" s="146"/>
      <c r="CEF165" s="146"/>
      <c r="CEG165" s="146"/>
      <c r="CEH165" s="146"/>
      <c r="CEI165" s="146"/>
      <c r="CEJ165" s="146"/>
      <c r="CEK165" s="146"/>
      <c r="CEL165" s="146"/>
      <c r="CEM165" s="146"/>
      <c r="CEN165" s="146"/>
      <c r="CEO165" s="146"/>
      <c r="CEP165" s="146"/>
      <c r="CEQ165" s="146"/>
      <c r="CER165" s="146"/>
      <c r="CES165" s="146"/>
      <c r="CET165" s="146"/>
      <c r="CEU165" s="146"/>
      <c r="CEV165" s="146"/>
      <c r="CEW165" s="146"/>
      <c r="CEX165" s="146"/>
      <c r="CEY165" s="146"/>
      <c r="CEZ165" s="146"/>
      <c r="CFA165" s="146"/>
      <c r="CFB165" s="146"/>
      <c r="CFC165" s="146"/>
      <c r="CFD165" s="146"/>
      <c r="CFE165" s="146"/>
      <c r="CFF165" s="146"/>
      <c r="CFG165" s="146"/>
      <c r="CFH165" s="146"/>
      <c r="CFI165" s="146"/>
      <c r="CFJ165" s="146"/>
      <c r="CFK165" s="146"/>
      <c r="CFL165" s="146"/>
      <c r="CFM165" s="146"/>
      <c r="CFN165" s="146"/>
      <c r="CFO165" s="146"/>
      <c r="CFP165" s="146"/>
      <c r="CFQ165" s="146"/>
      <c r="CFR165" s="146"/>
      <c r="CFS165" s="146"/>
      <c r="CFT165" s="146"/>
      <c r="CFU165" s="146"/>
      <c r="CFV165" s="146"/>
      <c r="CFW165" s="146"/>
      <c r="CFX165" s="146"/>
      <c r="CFY165" s="146"/>
      <c r="CFZ165" s="146"/>
      <c r="CGA165" s="146"/>
      <c r="CGB165" s="146"/>
      <c r="CGC165" s="146"/>
      <c r="CGD165" s="146"/>
      <c r="CGE165" s="146"/>
      <c r="CGF165" s="146"/>
      <c r="CGG165" s="146"/>
      <c r="CGH165" s="146"/>
      <c r="CGI165" s="146"/>
      <c r="CGJ165" s="146"/>
      <c r="CGK165" s="146"/>
      <c r="CGL165" s="146"/>
      <c r="CGM165" s="146"/>
      <c r="CGN165" s="146"/>
      <c r="CGO165" s="146"/>
      <c r="CGP165" s="146"/>
      <c r="CGQ165" s="146"/>
      <c r="CGR165" s="146"/>
      <c r="CGS165" s="146"/>
      <c r="CGT165" s="146"/>
      <c r="CGU165" s="146"/>
      <c r="CGV165" s="146"/>
      <c r="CGW165" s="146"/>
      <c r="CGX165" s="146"/>
      <c r="CGY165" s="146"/>
      <c r="CGZ165" s="146"/>
      <c r="CHA165" s="146"/>
      <c r="CHB165" s="146"/>
      <c r="CHC165" s="146"/>
      <c r="CHD165" s="146"/>
      <c r="CHE165" s="146"/>
      <c r="CHF165" s="146"/>
      <c r="CHG165" s="146"/>
      <c r="CHH165" s="146"/>
      <c r="CHI165" s="146"/>
      <c r="CHJ165" s="146"/>
      <c r="CHK165" s="146"/>
      <c r="CHL165" s="146"/>
      <c r="CHM165" s="146"/>
      <c r="CHN165" s="146"/>
      <c r="CHO165" s="146"/>
      <c r="CHP165" s="146"/>
      <c r="CHQ165" s="146"/>
      <c r="CHR165" s="146"/>
      <c r="CHS165" s="146"/>
      <c r="CHT165" s="146"/>
      <c r="CHU165" s="146"/>
      <c r="CHV165" s="146"/>
      <c r="CHW165" s="146"/>
      <c r="CHX165" s="146"/>
      <c r="CHY165" s="146"/>
      <c r="CHZ165" s="146"/>
      <c r="CIA165" s="146"/>
      <c r="CIB165" s="146"/>
      <c r="CIC165" s="146"/>
      <c r="CID165" s="146"/>
      <c r="CIE165" s="146"/>
      <c r="CIF165" s="146"/>
      <c r="CIG165" s="146"/>
      <c r="CIH165" s="146"/>
      <c r="CII165" s="146"/>
      <c r="CIJ165" s="146"/>
      <c r="CIK165" s="146"/>
      <c r="CIL165" s="146"/>
      <c r="CIM165" s="146"/>
      <c r="CIN165" s="146"/>
      <c r="CIO165" s="146"/>
      <c r="CIP165" s="146"/>
      <c r="CIQ165" s="146"/>
      <c r="CIR165" s="146"/>
      <c r="CIS165" s="146"/>
      <c r="CIT165" s="146"/>
      <c r="CIU165" s="146"/>
      <c r="CIV165" s="146"/>
      <c r="CIW165" s="146"/>
      <c r="CIX165" s="146"/>
      <c r="CIY165" s="146"/>
      <c r="CIZ165" s="146"/>
      <c r="CJA165" s="146"/>
      <c r="CJB165" s="146"/>
      <c r="CJC165" s="146"/>
      <c r="CJD165" s="146"/>
      <c r="CJE165" s="146"/>
      <c r="CJF165" s="146"/>
      <c r="CJG165" s="146"/>
      <c r="CJH165" s="146"/>
      <c r="CJI165" s="146"/>
      <c r="CJJ165" s="146"/>
      <c r="CJK165" s="146"/>
      <c r="CJL165" s="146"/>
      <c r="CJM165" s="146"/>
      <c r="CJN165" s="146"/>
      <c r="CJO165" s="146"/>
      <c r="CJP165" s="146"/>
      <c r="CJQ165" s="146"/>
      <c r="CJR165" s="146"/>
      <c r="CJS165" s="146"/>
      <c r="CJT165" s="146"/>
      <c r="CJU165" s="146"/>
      <c r="CJV165" s="146"/>
      <c r="CJW165" s="146"/>
      <c r="CJX165" s="146"/>
      <c r="CJY165" s="146"/>
      <c r="CJZ165" s="146"/>
      <c r="CKA165" s="146"/>
      <c r="CKB165" s="146"/>
      <c r="CKC165" s="146"/>
      <c r="CKD165" s="146"/>
      <c r="CKE165" s="146"/>
      <c r="CKF165" s="146"/>
      <c r="CKG165" s="146"/>
      <c r="CKH165" s="146"/>
      <c r="CKI165" s="146"/>
      <c r="CKJ165" s="146"/>
      <c r="CKK165" s="146"/>
      <c r="CKL165" s="146"/>
      <c r="CKM165" s="146"/>
      <c r="CKN165" s="146"/>
      <c r="CKO165" s="146"/>
      <c r="CKP165" s="146"/>
      <c r="CKQ165" s="146"/>
      <c r="CKR165" s="146"/>
      <c r="CKS165" s="146"/>
      <c r="CKT165" s="146"/>
      <c r="CKU165" s="146"/>
      <c r="CKV165" s="146"/>
      <c r="CKW165" s="146"/>
      <c r="CKX165" s="146"/>
      <c r="CKY165" s="146"/>
      <c r="CKZ165" s="146"/>
      <c r="CLA165" s="146"/>
      <c r="CLB165" s="146"/>
      <c r="CLC165" s="146"/>
      <c r="CLD165" s="146"/>
      <c r="CLE165" s="146"/>
      <c r="CLF165" s="146"/>
      <c r="CLG165" s="146"/>
      <c r="CLH165" s="146"/>
      <c r="CLI165" s="146"/>
      <c r="CLJ165" s="146"/>
      <c r="CLK165" s="146"/>
      <c r="CLL165" s="146"/>
      <c r="CLM165" s="146"/>
      <c r="CLN165" s="146"/>
      <c r="CLO165" s="146"/>
      <c r="CLP165" s="146"/>
      <c r="CLQ165" s="146"/>
      <c r="CLR165" s="146"/>
      <c r="CLS165" s="146"/>
      <c r="CLT165" s="146"/>
      <c r="CLU165" s="146"/>
      <c r="CLV165" s="146"/>
      <c r="CLW165" s="146"/>
      <c r="CLX165" s="146"/>
      <c r="CLY165" s="146"/>
      <c r="CLZ165" s="146"/>
      <c r="CMA165" s="146"/>
      <c r="CMB165" s="146"/>
      <c r="CMC165" s="146"/>
      <c r="CMD165" s="146"/>
      <c r="CME165" s="146"/>
      <c r="CMF165" s="146"/>
      <c r="CMG165" s="146"/>
      <c r="CMH165" s="146"/>
      <c r="CMI165" s="146"/>
      <c r="CMJ165" s="146"/>
      <c r="CMK165" s="146"/>
      <c r="CML165" s="146"/>
      <c r="CMM165" s="146"/>
      <c r="CMN165" s="146"/>
      <c r="CMO165" s="146"/>
      <c r="CMP165" s="146"/>
      <c r="CMQ165" s="146"/>
      <c r="CMR165" s="146"/>
      <c r="CMS165" s="146"/>
      <c r="CMT165" s="146"/>
      <c r="CMU165" s="146"/>
      <c r="CMV165" s="146"/>
      <c r="CMW165" s="146"/>
      <c r="CMX165" s="146"/>
      <c r="CMY165" s="146"/>
      <c r="CMZ165" s="146"/>
      <c r="CNA165" s="146"/>
      <c r="CNB165" s="146"/>
      <c r="CNC165" s="146"/>
      <c r="CND165" s="146"/>
      <c r="CNE165" s="146"/>
      <c r="CNF165" s="146"/>
      <c r="CNG165" s="146"/>
      <c r="CNH165" s="146"/>
      <c r="CNI165" s="146"/>
      <c r="CNJ165" s="146"/>
      <c r="CNK165" s="146"/>
      <c r="CNL165" s="146"/>
      <c r="CNM165" s="146"/>
      <c r="CNN165" s="146"/>
      <c r="CNO165" s="146"/>
      <c r="CNP165" s="146"/>
      <c r="CNQ165" s="146"/>
      <c r="CNR165" s="146"/>
      <c r="CNS165" s="146"/>
      <c r="CNT165" s="146"/>
      <c r="CNU165" s="146"/>
      <c r="CNV165" s="146"/>
      <c r="CNW165" s="146"/>
      <c r="CNX165" s="146"/>
      <c r="CNY165" s="146"/>
      <c r="CNZ165" s="146"/>
      <c r="COA165" s="146"/>
      <c r="COB165" s="146"/>
      <c r="COC165" s="146"/>
      <c r="COD165" s="146"/>
      <c r="COE165" s="146"/>
      <c r="COF165" s="146"/>
      <c r="COG165" s="146"/>
      <c r="COH165" s="146"/>
      <c r="COI165" s="146"/>
      <c r="COJ165" s="146"/>
      <c r="COK165" s="146"/>
      <c r="COL165" s="146"/>
      <c r="COM165" s="146"/>
      <c r="CON165" s="146"/>
      <c r="COO165" s="146"/>
      <c r="COP165" s="146"/>
      <c r="COQ165" s="146"/>
      <c r="COR165" s="146"/>
      <c r="COS165" s="146"/>
      <c r="COT165" s="146"/>
      <c r="COU165" s="146"/>
      <c r="COV165" s="146"/>
      <c r="COW165" s="146"/>
      <c r="COX165" s="146"/>
      <c r="COY165" s="146"/>
      <c r="COZ165" s="146"/>
      <c r="CPA165" s="146"/>
      <c r="CPB165" s="146"/>
      <c r="CPC165" s="146"/>
      <c r="CPD165" s="146"/>
      <c r="CPE165" s="146"/>
      <c r="CPF165" s="146"/>
      <c r="CPG165" s="146"/>
      <c r="CPH165" s="146"/>
      <c r="CPI165" s="146"/>
      <c r="CPJ165" s="146"/>
      <c r="CPK165" s="146"/>
      <c r="CPL165" s="146"/>
      <c r="CPM165" s="146"/>
      <c r="CPN165" s="146"/>
      <c r="CPO165" s="146"/>
      <c r="CPP165" s="146"/>
      <c r="CPQ165" s="146"/>
      <c r="CPR165" s="146"/>
      <c r="CPS165" s="146"/>
      <c r="CPT165" s="146"/>
      <c r="CPU165" s="146"/>
      <c r="CPV165" s="146"/>
      <c r="CPW165" s="146"/>
      <c r="CPX165" s="146"/>
      <c r="CPY165" s="146"/>
      <c r="CPZ165" s="146"/>
      <c r="CQA165" s="146"/>
      <c r="CQB165" s="146"/>
      <c r="CQC165" s="146"/>
      <c r="CQD165" s="146"/>
      <c r="CQE165" s="146"/>
      <c r="CQF165" s="146"/>
      <c r="CQG165" s="146"/>
      <c r="CQH165" s="146"/>
      <c r="CQI165" s="146"/>
      <c r="CQJ165" s="146"/>
      <c r="CQK165" s="146"/>
      <c r="CQL165" s="146"/>
      <c r="CQM165" s="146"/>
      <c r="CQN165" s="146"/>
      <c r="CQO165" s="146"/>
      <c r="CQP165" s="146"/>
      <c r="CQQ165" s="146"/>
      <c r="CQR165" s="146"/>
      <c r="CQS165" s="146"/>
      <c r="CQT165" s="146"/>
      <c r="CQU165" s="146"/>
      <c r="CQV165" s="146"/>
      <c r="CQW165" s="146"/>
      <c r="CQX165" s="146"/>
      <c r="CQY165" s="146"/>
      <c r="CQZ165" s="146"/>
      <c r="CRA165" s="146"/>
      <c r="CRB165" s="146"/>
      <c r="CRC165" s="146"/>
      <c r="CRD165" s="146"/>
      <c r="CRE165" s="146"/>
      <c r="CRF165" s="146"/>
      <c r="CRG165" s="146"/>
      <c r="CRH165" s="146"/>
      <c r="CRI165" s="146"/>
      <c r="CRJ165" s="146"/>
      <c r="CRK165" s="146"/>
      <c r="CRL165" s="146"/>
      <c r="CRM165" s="146"/>
      <c r="CRN165" s="146"/>
      <c r="CRO165" s="146"/>
      <c r="CRP165" s="146"/>
      <c r="CRQ165" s="146"/>
      <c r="CRR165" s="146"/>
      <c r="CRS165" s="146"/>
      <c r="CRT165" s="146"/>
      <c r="CRU165" s="146"/>
      <c r="CRV165" s="146"/>
      <c r="CRW165" s="146"/>
      <c r="CRX165" s="146"/>
      <c r="CRY165" s="146"/>
      <c r="CRZ165" s="146"/>
      <c r="CSA165" s="146"/>
      <c r="CSB165" s="146"/>
      <c r="CSC165" s="146"/>
      <c r="CSD165" s="146"/>
      <c r="CSE165" s="146"/>
      <c r="CSF165" s="146"/>
      <c r="CSG165" s="146"/>
      <c r="CSH165" s="146"/>
      <c r="CSI165" s="146"/>
      <c r="CSJ165" s="146"/>
      <c r="CSK165" s="146"/>
      <c r="CSL165" s="146"/>
      <c r="CSM165" s="146"/>
      <c r="CSN165" s="146"/>
      <c r="CSO165" s="146"/>
      <c r="CSP165" s="146"/>
      <c r="CSQ165" s="146"/>
      <c r="CSR165" s="146"/>
      <c r="CSS165" s="146"/>
      <c r="CST165" s="146"/>
      <c r="CSU165" s="146"/>
      <c r="CSV165" s="146"/>
      <c r="CSW165" s="146"/>
      <c r="CSX165" s="146"/>
      <c r="CSY165" s="146"/>
      <c r="CSZ165" s="146"/>
      <c r="CTA165" s="146"/>
      <c r="CTB165" s="146"/>
      <c r="CTC165" s="146"/>
      <c r="CTD165" s="146"/>
      <c r="CTE165" s="146"/>
      <c r="CTF165" s="146"/>
      <c r="CTG165" s="146"/>
      <c r="CTH165" s="146"/>
      <c r="CTI165" s="146"/>
      <c r="CTJ165" s="146"/>
      <c r="CTK165" s="146"/>
      <c r="CTL165" s="146"/>
      <c r="CTM165" s="146"/>
      <c r="CTN165" s="146"/>
      <c r="CTO165" s="146"/>
      <c r="CTP165" s="146"/>
      <c r="CTQ165" s="146"/>
      <c r="CTR165" s="146"/>
      <c r="CTS165" s="146"/>
      <c r="CTT165" s="146"/>
      <c r="CTU165" s="146"/>
      <c r="CTV165" s="146"/>
      <c r="CTW165" s="146"/>
      <c r="CTX165" s="146"/>
      <c r="CTY165" s="146"/>
      <c r="CTZ165" s="146"/>
      <c r="CUA165" s="146"/>
      <c r="CUB165" s="146"/>
      <c r="CUC165" s="146"/>
      <c r="CUD165" s="146"/>
      <c r="CUE165" s="146"/>
      <c r="CUF165" s="146"/>
      <c r="CUG165" s="146"/>
      <c r="CUH165" s="146"/>
      <c r="CUI165" s="146"/>
      <c r="CUJ165" s="146"/>
      <c r="CUK165" s="146"/>
      <c r="CUL165" s="146"/>
      <c r="CUM165" s="146"/>
      <c r="CUN165" s="146"/>
      <c r="CUO165" s="146"/>
      <c r="CUP165" s="146"/>
      <c r="CUQ165" s="146"/>
      <c r="CUR165" s="146"/>
      <c r="CUS165" s="146"/>
      <c r="CUT165" s="146"/>
      <c r="CUU165" s="146"/>
      <c r="CUV165" s="146"/>
      <c r="CUW165" s="146"/>
      <c r="CUX165" s="146"/>
      <c r="CUY165" s="146"/>
      <c r="CUZ165" s="146"/>
      <c r="CVA165" s="146"/>
      <c r="CVB165" s="146"/>
      <c r="CVC165" s="146"/>
      <c r="CVD165" s="146"/>
      <c r="CVE165" s="146"/>
      <c r="CVF165" s="146"/>
      <c r="CVG165" s="146"/>
      <c r="CVH165" s="146"/>
      <c r="CVI165" s="146"/>
      <c r="CVJ165" s="146"/>
      <c r="CVK165" s="146"/>
      <c r="CVL165" s="146"/>
      <c r="CVM165" s="146"/>
      <c r="CVN165" s="146"/>
      <c r="CVO165" s="146"/>
      <c r="CVP165" s="146"/>
      <c r="CVQ165" s="146"/>
      <c r="CVR165" s="146"/>
      <c r="CVS165" s="146"/>
      <c r="CVT165" s="146"/>
      <c r="CVU165" s="146"/>
      <c r="CVV165" s="146"/>
      <c r="CVW165" s="146"/>
      <c r="CVX165" s="146"/>
      <c r="CVY165" s="146"/>
      <c r="CVZ165" s="146"/>
      <c r="CWA165" s="146"/>
      <c r="CWB165" s="146"/>
      <c r="CWC165" s="146"/>
      <c r="CWD165" s="146"/>
      <c r="CWE165" s="146"/>
      <c r="CWF165" s="146"/>
      <c r="CWG165" s="146"/>
      <c r="CWH165" s="146"/>
      <c r="CWI165" s="146"/>
      <c r="CWJ165" s="146"/>
      <c r="CWK165" s="146"/>
      <c r="CWL165" s="146"/>
      <c r="CWM165" s="146"/>
      <c r="CWN165" s="146"/>
      <c r="CWO165" s="146"/>
      <c r="CWP165" s="146"/>
      <c r="CWQ165" s="146"/>
      <c r="CWR165" s="146"/>
      <c r="CWS165" s="146"/>
      <c r="CWT165" s="146"/>
      <c r="CWU165" s="146"/>
      <c r="CWV165" s="146"/>
      <c r="CWW165" s="146"/>
      <c r="CWX165" s="146"/>
      <c r="CWY165" s="146"/>
      <c r="CWZ165" s="146"/>
      <c r="CXA165" s="146"/>
      <c r="CXB165" s="146"/>
      <c r="CXC165" s="146"/>
      <c r="CXD165" s="146"/>
      <c r="CXE165" s="146"/>
      <c r="CXF165" s="146"/>
      <c r="CXG165" s="146"/>
      <c r="CXH165" s="146"/>
      <c r="CXI165" s="146"/>
      <c r="CXJ165" s="146"/>
      <c r="CXK165" s="146"/>
      <c r="CXL165" s="146"/>
      <c r="CXM165" s="146"/>
      <c r="CXN165" s="146"/>
      <c r="CXO165" s="146"/>
      <c r="CXP165" s="146"/>
      <c r="CXQ165" s="146"/>
      <c r="CXR165" s="146"/>
      <c r="CXS165" s="146"/>
      <c r="CXT165" s="146"/>
      <c r="CXU165" s="146"/>
      <c r="CXV165" s="146"/>
      <c r="CXW165" s="146"/>
      <c r="CXX165" s="146"/>
      <c r="CXY165" s="146"/>
      <c r="CXZ165" s="146"/>
      <c r="CYA165" s="146"/>
      <c r="CYB165" s="146"/>
      <c r="CYC165" s="146"/>
      <c r="CYD165" s="146"/>
      <c r="CYE165" s="146"/>
      <c r="CYF165" s="146"/>
      <c r="CYG165" s="146"/>
      <c r="CYH165" s="146"/>
      <c r="CYI165" s="146"/>
      <c r="CYJ165" s="146"/>
      <c r="CYK165" s="146"/>
      <c r="CYL165" s="146"/>
      <c r="CYM165" s="146"/>
      <c r="CYN165" s="146"/>
      <c r="CYO165" s="146"/>
      <c r="CYP165" s="146"/>
      <c r="CYQ165" s="146"/>
      <c r="CYR165" s="146"/>
      <c r="CYS165" s="146"/>
      <c r="CYT165" s="146"/>
      <c r="CYU165" s="146"/>
      <c r="CYV165" s="146"/>
      <c r="CYW165" s="146"/>
      <c r="CYX165" s="146"/>
      <c r="CYY165" s="146"/>
      <c r="CYZ165" s="146"/>
      <c r="CZA165" s="146"/>
      <c r="CZB165" s="146"/>
      <c r="CZC165" s="146"/>
      <c r="CZD165" s="146"/>
      <c r="CZE165" s="146"/>
      <c r="CZF165" s="146"/>
      <c r="CZG165" s="146"/>
      <c r="CZH165" s="146"/>
      <c r="CZI165" s="146"/>
      <c r="CZJ165" s="146"/>
      <c r="CZK165" s="146"/>
      <c r="CZL165" s="146"/>
      <c r="CZM165" s="146"/>
      <c r="CZN165" s="146"/>
      <c r="CZO165" s="146"/>
      <c r="CZP165" s="146"/>
      <c r="CZQ165" s="146"/>
      <c r="CZR165" s="146"/>
      <c r="CZS165" s="146"/>
      <c r="CZT165" s="146"/>
      <c r="CZU165" s="146"/>
      <c r="CZV165" s="146"/>
      <c r="CZW165" s="146"/>
      <c r="CZX165" s="146"/>
      <c r="CZY165" s="146"/>
      <c r="CZZ165" s="146"/>
      <c r="DAA165" s="146"/>
      <c r="DAB165" s="146"/>
      <c r="DAC165" s="146"/>
      <c r="DAD165" s="146"/>
      <c r="DAE165" s="146"/>
      <c r="DAF165" s="146"/>
      <c r="DAG165" s="146"/>
      <c r="DAH165" s="146"/>
      <c r="DAI165" s="146"/>
      <c r="DAJ165" s="146"/>
      <c r="DAK165" s="146"/>
      <c r="DAL165" s="146"/>
      <c r="DAM165" s="146"/>
      <c r="DAN165" s="146"/>
      <c r="DAO165" s="146"/>
      <c r="DAP165" s="146"/>
      <c r="DAQ165" s="146"/>
      <c r="DAR165" s="146"/>
      <c r="DAS165" s="146"/>
      <c r="DAT165" s="146"/>
      <c r="DAU165" s="146"/>
      <c r="DAV165" s="146"/>
      <c r="DAW165" s="146"/>
      <c r="DAX165" s="146"/>
      <c r="DAY165" s="146"/>
      <c r="DAZ165" s="146"/>
      <c r="DBA165" s="146"/>
      <c r="DBB165" s="146"/>
      <c r="DBC165" s="146"/>
      <c r="DBD165" s="146"/>
      <c r="DBE165" s="146"/>
      <c r="DBF165" s="146"/>
      <c r="DBG165" s="146"/>
      <c r="DBH165" s="146"/>
      <c r="DBI165" s="146"/>
      <c r="DBJ165" s="146"/>
      <c r="DBK165" s="146"/>
      <c r="DBL165" s="146"/>
      <c r="DBM165" s="146"/>
      <c r="DBN165" s="146"/>
      <c r="DBO165" s="146"/>
      <c r="DBP165" s="146"/>
      <c r="DBQ165" s="146"/>
      <c r="DBR165" s="146"/>
      <c r="DBS165" s="146"/>
      <c r="DBT165" s="146"/>
      <c r="DBU165" s="146"/>
      <c r="DBV165" s="146"/>
      <c r="DBW165" s="146"/>
      <c r="DBX165" s="146"/>
      <c r="DBY165" s="146"/>
      <c r="DBZ165" s="146"/>
      <c r="DCA165" s="146"/>
      <c r="DCB165" s="146"/>
      <c r="DCC165" s="146"/>
      <c r="DCD165" s="146"/>
      <c r="DCE165" s="146"/>
      <c r="DCF165" s="146"/>
      <c r="DCG165" s="146"/>
      <c r="DCH165" s="146"/>
      <c r="DCI165" s="146"/>
      <c r="DCJ165" s="146"/>
      <c r="DCK165" s="146"/>
      <c r="DCL165" s="146"/>
      <c r="DCM165" s="146"/>
      <c r="DCN165" s="146"/>
      <c r="DCO165" s="146"/>
      <c r="DCP165" s="146"/>
      <c r="DCQ165" s="146"/>
      <c r="DCR165" s="146"/>
      <c r="DCS165" s="146"/>
      <c r="DCT165" s="146"/>
      <c r="DCU165" s="146"/>
      <c r="DCV165" s="146"/>
      <c r="DCW165" s="146"/>
      <c r="DCX165" s="146"/>
      <c r="DCY165" s="146"/>
      <c r="DCZ165" s="146"/>
      <c r="DDA165" s="146"/>
      <c r="DDB165" s="146"/>
      <c r="DDC165" s="146"/>
      <c r="DDD165" s="146"/>
      <c r="DDE165" s="146"/>
      <c r="DDF165" s="146"/>
      <c r="DDG165" s="146"/>
      <c r="DDH165" s="146"/>
      <c r="DDI165" s="146"/>
      <c r="DDJ165" s="146"/>
      <c r="DDK165" s="146"/>
      <c r="DDL165" s="146"/>
      <c r="DDM165" s="146"/>
      <c r="DDN165" s="146"/>
      <c r="DDO165" s="146"/>
      <c r="DDP165" s="146"/>
      <c r="DDQ165" s="146"/>
      <c r="DDR165" s="146"/>
      <c r="DDS165" s="146"/>
      <c r="DDT165" s="146"/>
      <c r="DDU165" s="146"/>
      <c r="DDV165" s="146"/>
      <c r="DDW165" s="146"/>
      <c r="DDX165" s="146"/>
      <c r="DDY165" s="146"/>
      <c r="DDZ165" s="146"/>
      <c r="DEA165" s="146"/>
      <c r="DEB165" s="146"/>
      <c r="DEC165" s="146"/>
      <c r="DED165" s="146"/>
      <c r="DEE165" s="146"/>
      <c r="DEF165" s="146"/>
      <c r="DEG165" s="146"/>
      <c r="DEH165" s="146"/>
      <c r="DEI165" s="146"/>
      <c r="DEJ165" s="146"/>
      <c r="DEK165" s="146"/>
      <c r="DEL165" s="146"/>
      <c r="DEM165" s="146"/>
      <c r="DEN165" s="146"/>
      <c r="DEO165" s="146"/>
      <c r="DEP165" s="146"/>
      <c r="DEQ165" s="146"/>
      <c r="DER165" s="146"/>
      <c r="DES165" s="146"/>
      <c r="DET165" s="146"/>
      <c r="DEU165" s="146"/>
      <c r="DEV165" s="146"/>
      <c r="DEW165" s="146"/>
      <c r="DEX165" s="146"/>
      <c r="DEY165" s="146"/>
      <c r="DEZ165" s="146"/>
      <c r="DFA165" s="146"/>
      <c r="DFB165" s="146"/>
      <c r="DFC165" s="146"/>
      <c r="DFD165" s="146"/>
      <c r="DFE165" s="146"/>
      <c r="DFF165" s="146"/>
      <c r="DFG165" s="146"/>
      <c r="DFH165" s="146"/>
      <c r="DFI165" s="146"/>
      <c r="DFJ165" s="146"/>
      <c r="DFK165" s="146"/>
      <c r="DFL165" s="146"/>
      <c r="DFM165" s="146"/>
      <c r="DFN165" s="146"/>
      <c r="DFO165" s="146"/>
      <c r="DFP165" s="146"/>
      <c r="DFQ165" s="146"/>
      <c r="DFR165" s="146"/>
      <c r="DFS165" s="146"/>
      <c r="DFT165" s="146"/>
      <c r="DFU165" s="146"/>
      <c r="DFV165" s="146"/>
      <c r="DFW165" s="146"/>
      <c r="DFX165" s="146"/>
      <c r="DFY165" s="146"/>
      <c r="DFZ165" s="146"/>
      <c r="DGA165" s="146"/>
      <c r="DGB165" s="146"/>
      <c r="DGC165" s="146"/>
      <c r="DGD165" s="146"/>
      <c r="DGE165" s="146"/>
      <c r="DGF165" s="146"/>
      <c r="DGG165" s="146"/>
      <c r="DGH165" s="146"/>
      <c r="DGI165" s="146"/>
      <c r="DGJ165" s="146"/>
      <c r="DGK165" s="146"/>
      <c r="DGL165" s="146"/>
      <c r="DGM165" s="146"/>
      <c r="DGN165" s="146"/>
      <c r="DGO165" s="146"/>
      <c r="DGP165" s="146"/>
      <c r="DGQ165" s="146"/>
      <c r="DGR165" s="146"/>
      <c r="DGS165" s="146"/>
      <c r="DGT165" s="146"/>
      <c r="DGU165" s="146"/>
      <c r="DGV165" s="146"/>
      <c r="DGW165" s="146"/>
      <c r="DGX165" s="146"/>
      <c r="DGY165" s="146"/>
      <c r="DGZ165" s="146"/>
      <c r="DHA165" s="146"/>
      <c r="DHB165" s="146"/>
      <c r="DHC165" s="146"/>
      <c r="DHD165" s="146"/>
      <c r="DHE165" s="146"/>
      <c r="DHF165" s="146"/>
      <c r="DHG165" s="146"/>
      <c r="DHH165" s="146"/>
      <c r="DHI165" s="146"/>
      <c r="DHJ165" s="146"/>
      <c r="DHK165" s="146"/>
      <c r="DHL165" s="146"/>
      <c r="DHM165" s="146"/>
      <c r="DHN165" s="146"/>
      <c r="DHO165" s="146"/>
      <c r="DHP165" s="146"/>
      <c r="DHQ165" s="146"/>
      <c r="DHR165" s="146"/>
      <c r="DHS165" s="146"/>
      <c r="DHT165" s="146"/>
      <c r="DHU165" s="146"/>
      <c r="DHV165" s="146"/>
      <c r="DHW165" s="146"/>
      <c r="DHX165" s="146"/>
      <c r="DHY165" s="146"/>
      <c r="DHZ165" s="146"/>
      <c r="DIA165" s="146"/>
      <c r="DIB165" s="146"/>
      <c r="DIC165" s="146"/>
      <c r="DID165" s="146"/>
      <c r="DIE165" s="146"/>
      <c r="DIF165" s="146"/>
      <c r="DIG165" s="146"/>
      <c r="DIH165" s="146"/>
      <c r="DII165" s="146"/>
      <c r="DIJ165" s="146"/>
      <c r="DIK165" s="146"/>
      <c r="DIL165" s="146"/>
      <c r="DIM165" s="146"/>
      <c r="DIN165" s="146"/>
      <c r="DIO165" s="146"/>
      <c r="DIP165" s="146"/>
      <c r="DIQ165" s="146"/>
      <c r="DIR165" s="146"/>
      <c r="DIS165" s="146"/>
      <c r="DIT165" s="146"/>
      <c r="DIU165" s="146"/>
      <c r="DIV165" s="146"/>
      <c r="DIW165" s="146"/>
      <c r="DIX165" s="146"/>
      <c r="DIY165" s="146"/>
      <c r="DIZ165" s="146"/>
      <c r="DJA165" s="146"/>
      <c r="DJB165" s="146"/>
      <c r="DJC165" s="146"/>
      <c r="DJD165" s="146"/>
      <c r="DJE165" s="146"/>
      <c r="DJF165" s="146"/>
      <c r="DJG165" s="146"/>
      <c r="DJH165" s="146"/>
      <c r="DJI165" s="146"/>
      <c r="DJJ165" s="146"/>
      <c r="DJK165" s="146"/>
      <c r="DJL165" s="146"/>
      <c r="DJM165" s="146"/>
      <c r="DJN165" s="146"/>
      <c r="DJO165" s="146"/>
      <c r="DJP165" s="146"/>
      <c r="DJQ165" s="146"/>
      <c r="DJR165" s="146"/>
      <c r="DJS165" s="146"/>
      <c r="DJT165" s="146"/>
      <c r="DJU165" s="146"/>
      <c r="DJV165" s="146"/>
      <c r="DJW165" s="146"/>
      <c r="DJX165" s="146"/>
      <c r="DJY165" s="146"/>
      <c r="DJZ165" s="146"/>
      <c r="DKA165" s="146"/>
      <c r="DKB165" s="146"/>
      <c r="DKC165" s="146"/>
      <c r="DKD165" s="146"/>
      <c r="DKE165" s="146"/>
      <c r="DKF165" s="146"/>
      <c r="DKG165" s="146"/>
      <c r="DKH165" s="146"/>
      <c r="DKI165" s="146"/>
      <c r="DKJ165" s="146"/>
      <c r="DKK165" s="146"/>
      <c r="DKL165" s="146"/>
      <c r="DKM165" s="146"/>
      <c r="DKN165" s="146"/>
      <c r="DKO165" s="146"/>
      <c r="DKP165" s="146"/>
      <c r="DKQ165" s="146"/>
      <c r="DKR165" s="146"/>
      <c r="DKS165" s="146"/>
      <c r="DKT165" s="146"/>
      <c r="DKU165" s="146"/>
      <c r="DKV165" s="146"/>
      <c r="DKW165" s="146"/>
      <c r="DKX165" s="146"/>
      <c r="DKY165" s="146"/>
      <c r="DKZ165" s="146"/>
      <c r="DLA165" s="146"/>
      <c r="DLB165" s="146"/>
      <c r="DLC165" s="146"/>
      <c r="DLD165" s="146"/>
      <c r="DLE165" s="146"/>
      <c r="DLF165" s="146"/>
      <c r="DLG165" s="146"/>
      <c r="DLH165" s="146"/>
      <c r="DLI165" s="146"/>
      <c r="DLJ165" s="146"/>
      <c r="DLK165" s="146"/>
      <c r="DLL165" s="146"/>
      <c r="DLM165" s="146"/>
      <c r="DLN165" s="146"/>
      <c r="DLO165" s="146"/>
      <c r="DLP165" s="146"/>
      <c r="DLQ165" s="146"/>
      <c r="DLR165" s="146"/>
      <c r="DLS165" s="146"/>
      <c r="DLT165" s="146"/>
      <c r="DLU165" s="146"/>
      <c r="DLV165" s="146"/>
      <c r="DLW165" s="146"/>
      <c r="DLX165" s="146"/>
      <c r="DLY165" s="146"/>
      <c r="DLZ165" s="146"/>
      <c r="DMA165" s="146"/>
      <c r="DMB165" s="146"/>
      <c r="DMC165" s="146"/>
      <c r="DMD165" s="146"/>
      <c r="DME165" s="146"/>
      <c r="DMF165" s="146"/>
      <c r="DMG165" s="146"/>
      <c r="DMH165" s="146"/>
      <c r="DMI165" s="146"/>
      <c r="DMJ165" s="146"/>
      <c r="DMK165" s="146"/>
      <c r="DML165" s="146"/>
      <c r="DMM165" s="146"/>
      <c r="DMN165" s="146"/>
      <c r="DMO165" s="146"/>
      <c r="DMP165" s="146"/>
      <c r="DMQ165" s="146"/>
      <c r="DMR165" s="146"/>
      <c r="DMS165" s="146"/>
      <c r="DMT165" s="146"/>
      <c r="DMU165" s="146"/>
      <c r="DMV165" s="146"/>
      <c r="DMW165" s="146"/>
      <c r="DMX165" s="146"/>
      <c r="DMY165" s="146"/>
      <c r="DMZ165" s="146"/>
      <c r="DNA165" s="146"/>
      <c r="DNB165" s="146"/>
      <c r="DNC165" s="146"/>
      <c r="DND165" s="146"/>
      <c r="DNE165" s="146"/>
      <c r="DNF165" s="146"/>
      <c r="DNG165" s="146"/>
      <c r="DNH165" s="146"/>
      <c r="DNI165" s="146"/>
      <c r="DNJ165" s="146"/>
      <c r="DNK165" s="146"/>
      <c r="DNL165" s="146"/>
      <c r="DNM165" s="146"/>
      <c r="DNN165" s="146"/>
      <c r="DNO165" s="146"/>
      <c r="DNP165" s="146"/>
      <c r="DNQ165" s="146"/>
      <c r="DNR165" s="146"/>
      <c r="DNS165" s="146"/>
      <c r="DNT165" s="146"/>
      <c r="DNU165" s="146"/>
      <c r="DNV165" s="146"/>
      <c r="DNW165" s="146"/>
      <c r="DNX165" s="146"/>
      <c r="DNY165" s="146"/>
      <c r="DNZ165" s="146"/>
      <c r="DOA165" s="146"/>
      <c r="DOB165" s="146"/>
      <c r="DOC165" s="146"/>
      <c r="DOD165" s="146"/>
      <c r="DOE165" s="146"/>
      <c r="DOF165" s="146"/>
      <c r="DOG165" s="146"/>
      <c r="DOH165" s="146"/>
      <c r="DOI165" s="146"/>
      <c r="DOJ165" s="146"/>
      <c r="DOK165" s="146"/>
      <c r="DOL165" s="146"/>
      <c r="DOM165" s="146"/>
      <c r="DON165" s="146"/>
      <c r="DOO165" s="146"/>
      <c r="DOP165" s="146"/>
      <c r="DOQ165" s="146"/>
      <c r="DOR165" s="146"/>
      <c r="DOS165" s="146"/>
      <c r="DOT165" s="146"/>
      <c r="DOU165" s="146"/>
      <c r="DOV165" s="146"/>
      <c r="DOW165" s="146"/>
      <c r="DOX165" s="146"/>
      <c r="DOY165" s="146"/>
      <c r="DOZ165" s="146"/>
      <c r="DPA165" s="146"/>
      <c r="DPB165" s="146"/>
      <c r="DPC165" s="146"/>
      <c r="DPD165" s="146"/>
      <c r="DPE165" s="146"/>
      <c r="DPF165" s="146"/>
      <c r="DPG165" s="146"/>
      <c r="DPH165" s="146"/>
      <c r="DPI165" s="146"/>
      <c r="DPJ165" s="146"/>
      <c r="DPK165" s="146"/>
      <c r="DPL165" s="146"/>
      <c r="DPM165" s="146"/>
      <c r="DPN165" s="146"/>
      <c r="DPO165" s="146"/>
      <c r="DPP165" s="146"/>
      <c r="DPQ165" s="146"/>
      <c r="DPR165" s="146"/>
      <c r="DPS165" s="146"/>
      <c r="DPT165" s="146"/>
      <c r="DPU165" s="146"/>
      <c r="DPV165" s="146"/>
      <c r="DPW165" s="146"/>
      <c r="DPX165" s="146"/>
      <c r="DPY165" s="146"/>
      <c r="DPZ165" s="146"/>
      <c r="DQA165" s="146"/>
      <c r="DQB165" s="146"/>
      <c r="DQC165" s="146"/>
      <c r="DQD165" s="146"/>
      <c r="DQE165" s="146"/>
      <c r="DQF165" s="146"/>
      <c r="DQG165" s="146"/>
      <c r="DQH165" s="146"/>
      <c r="DQI165" s="146"/>
      <c r="DQJ165" s="146"/>
      <c r="DQK165" s="146"/>
      <c r="DQL165" s="146"/>
      <c r="DQM165" s="146"/>
      <c r="DQN165" s="146"/>
      <c r="DQO165" s="146"/>
      <c r="DQP165" s="146"/>
      <c r="DQQ165" s="146"/>
      <c r="DQR165" s="146"/>
      <c r="DQS165" s="146"/>
      <c r="DQT165" s="146"/>
      <c r="DQU165" s="146"/>
      <c r="DQV165" s="146"/>
      <c r="DQW165" s="146"/>
      <c r="DQX165" s="146"/>
      <c r="DQY165" s="146"/>
      <c r="DQZ165" s="146"/>
      <c r="DRA165" s="146"/>
      <c r="DRB165" s="146"/>
      <c r="DRC165" s="146"/>
      <c r="DRD165" s="146"/>
      <c r="DRE165" s="146"/>
      <c r="DRF165" s="146"/>
      <c r="DRG165" s="146"/>
      <c r="DRH165" s="146"/>
      <c r="DRI165" s="146"/>
      <c r="DRJ165" s="146"/>
      <c r="DRK165" s="146"/>
      <c r="DRL165" s="146"/>
      <c r="DRM165" s="146"/>
      <c r="DRN165" s="146"/>
      <c r="DRO165" s="146"/>
      <c r="DRP165" s="146"/>
      <c r="DRQ165" s="146"/>
      <c r="DRR165" s="146"/>
      <c r="DRS165" s="146"/>
      <c r="DRT165" s="146"/>
      <c r="DRU165" s="146"/>
      <c r="DRV165" s="146"/>
      <c r="DRW165" s="146"/>
      <c r="DRX165" s="146"/>
      <c r="DRY165" s="146"/>
      <c r="DRZ165" s="146"/>
      <c r="DSA165" s="146"/>
      <c r="DSB165" s="146"/>
      <c r="DSC165" s="146"/>
      <c r="DSD165" s="146"/>
      <c r="DSE165" s="146"/>
      <c r="DSF165" s="146"/>
      <c r="DSG165" s="146"/>
      <c r="DSH165" s="146"/>
      <c r="DSI165" s="146"/>
      <c r="DSJ165" s="146"/>
      <c r="DSK165" s="146"/>
      <c r="DSL165" s="146"/>
      <c r="DSM165" s="146"/>
      <c r="DSN165" s="146"/>
      <c r="DSO165" s="146"/>
      <c r="DSP165" s="146"/>
      <c r="DSQ165" s="146"/>
      <c r="DSR165" s="146"/>
      <c r="DSS165" s="146"/>
      <c r="DST165" s="146"/>
      <c r="DSU165" s="146"/>
      <c r="DSV165" s="146"/>
      <c r="DSW165" s="146"/>
      <c r="DSX165" s="146"/>
      <c r="DSY165" s="146"/>
      <c r="DSZ165" s="146"/>
      <c r="DTA165" s="146"/>
      <c r="DTB165" s="146"/>
      <c r="DTC165" s="146"/>
      <c r="DTD165" s="146"/>
      <c r="DTE165" s="146"/>
      <c r="DTF165" s="146"/>
      <c r="DTG165" s="146"/>
      <c r="DTH165" s="146"/>
      <c r="DTI165" s="146"/>
      <c r="DTJ165" s="146"/>
      <c r="DTK165" s="146"/>
      <c r="DTL165" s="146"/>
      <c r="DTM165" s="146"/>
      <c r="DTN165" s="146"/>
      <c r="DTO165" s="146"/>
      <c r="DTP165" s="146"/>
      <c r="DTQ165" s="146"/>
      <c r="DTR165" s="146"/>
      <c r="DTS165" s="146"/>
      <c r="DTT165" s="146"/>
      <c r="DTU165" s="146"/>
      <c r="DTV165" s="146"/>
      <c r="DTW165" s="146"/>
      <c r="DTX165" s="146"/>
      <c r="DTY165" s="146"/>
      <c r="DTZ165" s="146"/>
      <c r="DUA165" s="146"/>
      <c r="DUB165" s="146"/>
      <c r="DUC165" s="146"/>
      <c r="DUD165" s="146"/>
      <c r="DUE165" s="146"/>
      <c r="DUF165" s="146"/>
      <c r="DUG165" s="146"/>
      <c r="DUH165" s="146"/>
      <c r="DUI165" s="146"/>
      <c r="DUJ165" s="146"/>
      <c r="DUK165" s="146"/>
      <c r="DUL165" s="146"/>
      <c r="DUM165" s="146"/>
      <c r="DUN165" s="146"/>
      <c r="DUO165" s="146"/>
      <c r="DUP165" s="146"/>
      <c r="DUQ165" s="146"/>
      <c r="DUR165" s="146"/>
      <c r="DUS165" s="146"/>
      <c r="DUT165" s="146"/>
      <c r="DUU165" s="146"/>
      <c r="DUV165" s="146"/>
      <c r="DUW165" s="146"/>
      <c r="DUX165" s="146"/>
      <c r="DUY165" s="146"/>
      <c r="DUZ165" s="146"/>
      <c r="DVA165" s="146"/>
      <c r="DVB165" s="146"/>
      <c r="DVC165" s="146"/>
      <c r="DVD165" s="146"/>
      <c r="DVE165" s="146"/>
      <c r="DVF165" s="146"/>
      <c r="DVG165" s="146"/>
      <c r="DVH165" s="146"/>
      <c r="DVI165" s="146"/>
      <c r="DVJ165" s="146"/>
      <c r="DVK165" s="146"/>
      <c r="DVL165" s="146"/>
      <c r="DVM165" s="146"/>
      <c r="DVN165" s="146"/>
      <c r="DVO165" s="146"/>
      <c r="DVP165" s="146"/>
      <c r="DVQ165" s="146"/>
      <c r="DVR165" s="146"/>
      <c r="DVS165" s="146"/>
      <c r="DVT165" s="146"/>
      <c r="DVU165" s="146"/>
      <c r="DVV165" s="146"/>
      <c r="DVW165" s="146"/>
      <c r="DVX165" s="146"/>
      <c r="DVY165" s="146"/>
      <c r="DVZ165" s="146"/>
      <c r="DWA165" s="146"/>
      <c r="DWB165" s="146"/>
      <c r="DWC165" s="146"/>
      <c r="DWD165" s="146"/>
      <c r="DWE165" s="146"/>
      <c r="DWF165" s="146"/>
      <c r="DWG165" s="146"/>
      <c r="DWH165" s="146"/>
      <c r="DWI165" s="146"/>
      <c r="DWJ165" s="146"/>
      <c r="DWK165" s="146"/>
      <c r="DWL165" s="146"/>
      <c r="DWM165" s="146"/>
      <c r="DWN165" s="146"/>
      <c r="DWO165" s="146"/>
      <c r="DWP165" s="146"/>
      <c r="DWQ165" s="146"/>
      <c r="DWR165" s="146"/>
      <c r="DWS165" s="146"/>
      <c r="DWT165" s="146"/>
      <c r="DWU165" s="146"/>
      <c r="DWV165" s="146"/>
      <c r="DWW165" s="146"/>
      <c r="DWX165" s="146"/>
      <c r="DWY165" s="146"/>
      <c r="DWZ165" s="146"/>
      <c r="DXA165" s="146"/>
      <c r="DXB165" s="146"/>
      <c r="DXC165" s="146"/>
      <c r="DXD165" s="146"/>
      <c r="DXE165" s="146"/>
      <c r="DXF165" s="146"/>
      <c r="DXG165" s="146"/>
      <c r="DXH165" s="146"/>
      <c r="DXI165" s="146"/>
      <c r="DXJ165" s="146"/>
      <c r="DXK165" s="146"/>
      <c r="DXL165" s="146"/>
      <c r="DXM165" s="146"/>
      <c r="DXN165" s="146"/>
      <c r="DXO165" s="146"/>
      <c r="DXP165" s="146"/>
      <c r="DXQ165" s="146"/>
      <c r="DXR165" s="146"/>
      <c r="DXS165" s="146"/>
      <c r="DXT165" s="146"/>
      <c r="DXU165" s="146"/>
      <c r="DXV165" s="146"/>
      <c r="DXW165" s="146"/>
      <c r="DXX165" s="146"/>
      <c r="DXY165" s="146"/>
      <c r="DXZ165" s="146"/>
      <c r="DYA165" s="146"/>
      <c r="DYB165" s="146"/>
      <c r="DYC165" s="146"/>
      <c r="DYD165" s="146"/>
      <c r="DYE165" s="146"/>
      <c r="DYF165" s="146"/>
      <c r="DYG165" s="146"/>
      <c r="DYH165" s="146"/>
      <c r="DYI165" s="146"/>
      <c r="DYJ165" s="146"/>
      <c r="DYK165" s="146"/>
      <c r="DYL165" s="146"/>
      <c r="DYM165" s="146"/>
      <c r="DYN165" s="146"/>
      <c r="DYO165" s="146"/>
      <c r="DYP165" s="146"/>
      <c r="DYQ165" s="146"/>
      <c r="DYR165" s="146"/>
      <c r="DYS165" s="146"/>
      <c r="DYT165" s="146"/>
      <c r="DYU165" s="146"/>
      <c r="DYV165" s="146"/>
      <c r="DYW165" s="146"/>
      <c r="DYX165" s="146"/>
      <c r="DYY165" s="146"/>
      <c r="DYZ165" s="146"/>
      <c r="DZA165" s="146"/>
      <c r="DZB165" s="146"/>
      <c r="DZC165" s="146"/>
      <c r="DZD165" s="146"/>
      <c r="DZE165" s="146"/>
      <c r="DZF165" s="146"/>
      <c r="DZG165" s="146"/>
      <c r="DZH165" s="146"/>
      <c r="DZI165" s="146"/>
      <c r="DZJ165" s="146"/>
      <c r="DZK165" s="146"/>
      <c r="DZL165" s="146"/>
      <c r="DZM165" s="146"/>
      <c r="DZN165" s="146"/>
      <c r="DZO165" s="146"/>
      <c r="DZP165" s="146"/>
      <c r="DZQ165" s="146"/>
      <c r="DZR165" s="146"/>
      <c r="DZS165" s="146"/>
      <c r="DZT165" s="146"/>
      <c r="DZU165" s="146"/>
      <c r="DZV165" s="146"/>
      <c r="DZW165" s="146"/>
      <c r="DZX165" s="146"/>
      <c r="DZY165" s="146"/>
      <c r="DZZ165" s="146"/>
      <c r="EAA165" s="146"/>
      <c r="EAB165" s="146"/>
      <c r="EAC165" s="146"/>
      <c r="EAD165" s="146"/>
      <c r="EAE165" s="146"/>
      <c r="EAF165" s="146"/>
      <c r="EAG165" s="146"/>
      <c r="EAH165" s="146"/>
      <c r="EAI165" s="146"/>
      <c r="EAJ165" s="146"/>
      <c r="EAK165" s="146"/>
      <c r="EAL165" s="146"/>
      <c r="EAM165" s="146"/>
      <c r="EAN165" s="146"/>
      <c r="EAO165" s="146"/>
      <c r="EAP165" s="146"/>
      <c r="EAQ165" s="146"/>
      <c r="EAR165" s="146"/>
      <c r="EAS165" s="146"/>
      <c r="EAT165" s="146"/>
      <c r="EAU165" s="146"/>
      <c r="EAV165" s="146"/>
      <c r="EAW165" s="146"/>
      <c r="EAX165" s="146"/>
      <c r="EAY165" s="146"/>
      <c r="EAZ165" s="146"/>
      <c r="EBA165" s="146"/>
      <c r="EBB165" s="146"/>
      <c r="EBC165" s="146"/>
      <c r="EBD165" s="146"/>
      <c r="EBE165" s="146"/>
      <c r="EBF165" s="146"/>
      <c r="EBG165" s="146"/>
      <c r="EBH165" s="146"/>
      <c r="EBI165" s="146"/>
      <c r="EBJ165" s="146"/>
      <c r="EBK165" s="146"/>
      <c r="EBL165" s="146"/>
      <c r="EBM165" s="146"/>
      <c r="EBN165" s="146"/>
      <c r="EBO165" s="146"/>
      <c r="EBP165" s="146"/>
      <c r="EBQ165" s="146"/>
      <c r="EBR165" s="146"/>
      <c r="EBS165" s="146"/>
      <c r="EBT165" s="146"/>
      <c r="EBU165" s="146"/>
      <c r="EBV165" s="146"/>
      <c r="EBW165" s="146"/>
      <c r="EBX165" s="146"/>
      <c r="EBY165" s="146"/>
      <c r="EBZ165" s="146"/>
      <c r="ECA165" s="146"/>
      <c r="ECB165" s="146"/>
      <c r="ECC165" s="146"/>
      <c r="ECD165" s="146"/>
      <c r="ECE165" s="146"/>
      <c r="ECF165" s="146"/>
      <c r="ECG165" s="146"/>
      <c r="ECH165" s="146"/>
      <c r="ECI165" s="146"/>
      <c r="ECJ165" s="146"/>
      <c r="ECK165" s="146"/>
      <c r="ECL165" s="146"/>
      <c r="ECM165" s="146"/>
      <c r="ECN165" s="146"/>
      <c r="ECO165" s="146"/>
      <c r="ECP165" s="146"/>
      <c r="ECQ165" s="146"/>
      <c r="ECR165" s="146"/>
      <c r="ECS165" s="146"/>
      <c r="ECT165" s="146"/>
      <c r="ECU165" s="146"/>
      <c r="ECV165" s="146"/>
      <c r="ECW165" s="146"/>
      <c r="ECX165" s="146"/>
      <c r="ECY165" s="146"/>
      <c r="ECZ165" s="146"/>
      <c r="EDA165" s="146"/>
      <c r="EDB165" s="146"/>
      <c r="EDC165" s="146"/>
      <c r="EDD165" s="146"/>
      <c r="EDE165" s="146"/>
      <c r="EDF165" s="146"/>
      <c r="EDG165" s="146"/>
      <c r="EDH165" s="146"/>
      <c r="EDI165" s="146"/>
      <c r="EDJ165" s="146"/>
      <c r="EDK165" s="146"/>
      <c r="EDL165" s="146"/>
      <c r="EDM165" s="146"/>
      <c r="EDN165" s="146"/>
      <c r="EDO165" s="146"/>
      <c r="EDP165" s="146"/>
      <c r="EDQ165" s="146"/>
      <c r="EDR165" s="146"/>
      <c r="EDS165" s="146"/>
      <c r="EDT165" s="146"/>
      <c r="EDU165" s="146"/>
      <c r="EDV165" s="146"/>
      <c r="EDW165" s="146"/>
      <c r="EDX165" s="146"/>
      <c r="EDY165" s="146"/>
      <c r="EDZ165" s="146"/>
      <c r="EEA165" s="146"/>
      <c r="EEB165" s="146"/>
      <c r="EEC165" s="146"/>
      <c r="EED165" s="146"/>
      <c r="EEE165" s="146"/>
      <c r="EEF165" s="146"/>
      <c r="EEG165" s="146"/>
      <c r="EEH165" s="146"/>
      <c r="EEI165" s="146"/>
      <c r="EEJ165" s="146"/>
      <c r="EEK165" s="146"/>
      <c r="EEL165" s="146"/>
      <c r="EEM165" s="146"/>
      <c r="EEN165" s="146"/>
      <c r="EEO165" s="146"/>
      <c r="EEP165" s="146"/>
      <c r="EEQ165" s="146"/>
      <c r="EER165" s="146"/>
      <c r="EES165" s="146"/>
      <c r="EET165" s="146"/>
      <c r="EEU165" s="146"/>
      <c r="EEV165" s="146"/>
      <c r="EEW165" s="146"/>
      <c r="EEX165" s="146"/>
      <c r="EEY165" s="146"/>
      <c r="EEZ165" s="146"/>
      <c r="EFA165" s="146"/>
      <c r="EFB165" s="146"/>
      <c r="EFC165" s="146"/>
      <c r="EFD165" s="146"/>
      <c r="EFE165" s="146"/>
      <c r="EFF165" s="146"/>
      <c r="EFG165" s="146"/>
      <c r="EFH165" s="146"/>
      <c r="EFI165" s="146"/>
      <c r="EFJ165" s="146"/>
      <c r="EFK165" s="146"/>
      <c r="EFL165" s="146"/>
      <c r="EFM165" s="146"/>
      <c r="EFN165" s="146"/>
      <c r="EFO165" s="146"/>
      <c r="EFP165" s="146"/>
      <c r="EFQ165" s="146"/>
      <c r="EFR165" s="146"/>
      <c r="EFS165" s="146"/>
      <c r="EFT165" s="146"/>
      <c r="EFU165" s="146"/>
      <c r="EFV165" s="146"/>
      <c r="EFW165" s="146"/>
      <c r="EFX165" s="146"/>
      <c r="EFY165" s="146"/>
      <c r="EFZ165" s="146"/>
      <c r="EGA165" s="146"/>
      <c r="EGB165" s="146"/>
      <c r="EGC165" s="146"/>
      <c r="EGD165" s="146"/>
      <c r="EGE165" s="146"/>
      <c r="EGF165" s="146"/>
      <c r="EGG165" s="146"/>
      <c r="EGH165" s="146"/>
      <c r="EGI165" s="146"/>
      <c r="EGJ165" s="146"/>
      <c r="EGK165" s="146"/>
      <c r="EGL165" s="146"/>
      <c r="EGM165" s="146"/>
      <c r="EGN165" s="146"/>
      <c r="EGO165" s="146"/>
      <c r="EGP165" s="146"/>
      <c r="EGQ165" s="146"/>
      <c r="EGR165" s="146"/>
      <c r="EGS165" s="146"/>
      <c r="EGT165" s="146"/>
      <c r="EGU165" s="146"/>
      <c r="EGV165" s="146"/>
      <c r="EGW165" s="146"/>
      <c r="EGX165" s="146"/>
      <c r="EGY165" s="146"/>
      <c r="EGZ165" s="146"/>
      <c r="EHA165" s="146"/>
      <c r="EHB165" s="146"/>
      <c r="EHC165" s="146"/>
      <c r="EHD165" s="146"/>
      <c r="EHE165" s="146"/>
      <c r="EHF165" s="146"/>
      <c r="EHG165" s="146"/>
      <c r="EHH165" s="146"/>
      <c r="EHI165" s="146"/>
      <c r="EHJ165" s="146"/>
      <c r="EHK165" s="146"/>
      <c r="EHL165" s="146"/>
      <c r="EHM165" s="146"/>
      <c r="EHN165" s="146"/>
      <c r="EHO165" s="146"/>
      <c r="EHP165" s="146"/>
      <c r="EHQ165" s="146"/>
      <c r="EHR165" s="146"/>
      <c r="EHS165" s="146"/>
      <c r="EHT165" s="146"/>
      <c r="EHU165" s="146"/>
      <c r="EHV165" s="146"/>
      <c r="EHW165" s="146"/>
      <c r="EHX165" s="146"/>
      <c r="EHY165" s="146"/>
      <c r="EHZ165" s="146"/>
      <c r="EIA165" s="146"/>
      <c r="EIB165" s="146"/>
      <c r="EIC165" s="146"/>
      <c r="EID165" s="146"/>
      <c r="EIE165" s="146"/>
      <c r="EIF165" s="146"/>
      <c r="EIG165" s="146"/>
      <c r="EIH165" s="146"/>
      <c r="EII165" s="146"/>
      <c r="EIJ165" s="146"/>
      <c r="EIK165" s="146"/>
      <c r="EIL165" s="146"/>
      <c r="EIM165" s="146"/>
      <c r="EIN165" s="146"/>
      <c r="EIO165" s="146"/>
      <c r="EIP165" s="146"/>
      <c r="EIQ165" s="146"/>
      <c r="EIR165" s="146"/>
      <c r="EIS165" s="146"/>
      <c r="EIT165" s="146"/>
      <c r="EIU165" s="146"/>
      <c r="EIV165" s="146"/>
      <c r="EIW165" s="146"/>
      <c r="EIX165" s="146"/>
      <c r="EIY165" s="146"/>
      <c r="EIZ165" s="146"/>
      <c r="EJA165" s="146"/>
      <c r="EJB165" s="146"/>
      <c r="EJC165" s="146"/>
      <c r="EJD165" s="146"/>
      <c r="EJE165" s="146"/>
      <c r="EJF165" s="146"/>
      <c r="EJG165" s="146"/>
      <c r="EJH165" s="146"/>
      <c r="EJI165" s="146"/>
      <c r="EJJ165" s="146"/>
      <c r="EJK165" s="146"/>
      <c r="EJL165" s="146"/>
      <c r="EJM165" s="146"/>
      <c r="EJN165" s="146"/>
      <c r="EJO165" s="146"/>
      <c r="EJP165" s="146"/>
      <c r="EJQ165" s="146"/>
      <c r="EJR165" s="146"/>
      <c r="EJS165" s="146"/>
      <c r="EJT165" s="146"/>
      <c r="EJU165" s="146"/>
      <c r="EJV165" s="146"/>
      <c r="EJW165" s="146"/>
      <c r="EJX165" s="146"/>
      <c r="EJY165" s="146"/>
      <c r="EJZ165" s="146"/>
      <c r="EKA165" s="146"/>
      <c r="EKB165" s="146"/>
      <c r="EKC165" s="146"/>
      <c r="EKD165" s="146"/>
      <c r="EKE165" s="146"/>
      <c r="EKF165" s="146"/>
      <c r="EKG165" s="146"/>
      <c r="EKH165" s="146"/>
      <c r="EKI165" s="146"/>
      <c r="EKJ165" s="146"/>
      <c r="EKK165" s="146"/>
      <c r="EKL165" s="146"/>
      <c r="EKM165" s="146"/>
      <c r="EKN165" s="146"/>
      <c r="EKO165" s="146"/>
      <c r="EKP165" s="146"/>
      <c r="EKQ165" s="146"/>
      <c r="EKR165" s="146"/>
      <c r="EKS165" s="146"/>
      <c r="EKT165" s="146"/>
      <c r="EKU165" s="146"/>
      <c r="EKV165" s="146"/>
      <c r="EKW165" s="146"/>
      <c r="EKX165" s="146"/>
      <c r="EKY165" s="146"/>
      <c r="EKZ165" s="146"/>
      <c r="ELA165" s="146"/>
      <c r="ELB165" s="146"/>
      <c r="ELC165" s="146"/>
      <c r="ELD165" s="146"/>
      <c r="ELE165" s="146"/>
      <c r="ELF165" s="146"/>
      <c r="ELG165" s="146"/>
      <c r="ELH165" s="146"/>
      <c r="ELI165" s="146"/>
      <c r="ELJ165" s="146"/>
      <c r="ELK165" s="146"/>
      <c r="ELL165" s="146"/>
      <c r="ELM165" s="146"/>
      <c r="ELN165" s="146"/>
      <c r="ELO165" s="146"/>
      <c r="ELP165" s="146"/>
      <c r="ELQ165" s="146"/>
      <c r="ELR165" s="146"/>
      <c r="ELS165" s="146"/>
      <c r="ELT165" s="146"/>
      <c r="ELU165" s="146"/>
      <c r="ELV165" s="146"/>
      <c r="ELW165" s="146"/>
      <c r="ELX165" s="146"/>
      <c r="ELY165" s="146"/>
      <c r="ELZ165" s="146"/>
      <c r="EMA165" s="146"/>
      <c r="EMB165" s="146"/>
      <c r="EMC165" s="146"/>
      <c r="EMD165" s="146"/>
      <c r="EME165" s="146"/>
      <c r="EMF165" s="146"/>
      <c r="EMG165" s="146"/>
      <c r="EMH165" s="146"/>
      <c r="EMI165" s="146"/>
      <c r="EMJ165" s="146"/>
      <c r="EMK165" s="146"/>
      <c r="EML165" s="146"/>
      <c r="EMM165" s="146"/>
      <c r="EMN165" s="146"/>
      <c r="EMO165" s="146"/>
      <c r="EMP165" s="146"/>
      <c r="EMQ165" s="146"/>
      <c r="EMR165" s="146"/>
      <c r="EMS165" s="146"/>
      <c r="EMT165" s="146"/>
      <c r="EMU165" s="146"/>
      <c r="EMV165" s="146"/>
      <c r="EMW165" s="146"/>
      <c r="EMX165" s="146"/>
      <c r="EMY165" s="146"/>
      <c r="EMZ165" s="146"/>
      <c r="ENA165" s="146"/>
      <c r="ENB165" s="146"/>
      <c r="ENC165" s="146"/>
      <c r="END165" s="146"/>
      <c r="ENE165" s="146"/>
      <c r="ENF165" s="146"/>
      <c r="ENG165" s="146"/>
      <c r="ENH165" s="146"/>
      <c r="ENI165" s="146"/>
      <c r="ENJ165" s="146"/>
      <c r="ENK165" s="146"/>
      <c r="ENL165" s="146"/>
      <c r="ENM165" s="146"/>
      <c r="ENN165" s="146"/>
      <c r="ENO165" s="146"/>
      <c r="ENP165" s="146"/>
      <c r="ENQ165" s="146"/>
      <c r="ENR165" s="146"/>
      <c r="ENS165" s="146"/>
      <c r="ENT165" s="146"/>
      <c r="ENU165" s="146"/>
      <c r="ENV165" s="146"/>
      <c r="ENW165" s="146"/>
      <c r="ENX165" s="146"/>
      <c r="ENY165" s="146"/>
      <c r="ENZ165" s="146"/>
      <c r="EOA165" s="146"/>
      <c r="EOB165" s="146"/>
      <c r="EOC165" s="146"/>
      <c r="EOD165" s="146"/>
      <c r="EOE165" s="146"/>
      <c r="EOF165" s="146"/>
      <c r="EOG165" s="146"/>
      <c r="EOH165" s="146"/>
      <c r="EOI165" s="146"/>
      <c r="EOJ165" s="146"/>
      <c r="EOK165" s="146"/>
      <c r="EOL165" s="146"/>
      <c r="EOM165" s="146"/>
      <c r="EON165" s="146"/>
      <c r="EOO165" s="146"/>
      <c r="EOP165" s="146"/>
      <c r="EOQ165" s="146"/>
      <c r="EOR165" s="146"/>
      <c r="EOS165" s="146"/>
      <c r="EOT165" s="146"/>
      <c r="EOU165" s="146"/>
      <c r="EOV165" s="146"/>
      <c r="EOW165" s="146"/>
      <c r="EOX165" s="146"/>
      <c r="EOY165" s="146"/>
      <c r="EOZ165" s="146"/>
      <c r="EPA165" s="146"/>
      <c r="EPB165" s="146"/>
      <c r="EPC165" s="146"/>
      <c r="EPD165" s="146"/>
      <c r="EPE165" s="146"/>
      <c r="EPF165" s="146"/>
      <c r="EPG165" s="146"/>
      <c r="EPH165" s="146"/>
      <c r="EPI165" s="146"/>
      <c r="EPJ165" s="146"/>
      <c r="EPK165" s="146"/>
      <c r="EPL165" s="146"/>
      <c r="EPM165" s="146"/>
      <c r="EPN165" s="146"/>
      <c r="EPO165" s="146"/>
      <c r="EPP165" s="146"/>
      <c r="EPQ165" s="146"/>
      <c r="EPR165" s="146"/>
      <c r="EPS165" s="146"/>
      <c r="EPT165" s="146"/>
      <c r="EPU165" s="146"/>
      <c r="EPV165" s="146"/>
      <c r="EPW165" s="146"/>
      <c r="EPX165" s="146"/>
      <c r="EPY165" s="146"/>
      <c r="EPZ165" s="146"/>
      <c r="EQA165" s="146"/>
      <c r="EQB165" s="146"/>
      <c r="EQC165" s="146"/>
      <c r="EQD165" s="146"/>
      <c r="EQE165" s="146"/>
      <c r="EQF165" s="146"/>
      <c r="EQG165" s="146"/>
      <c r="EQH165" s="146"/>
      <c r="EQI165" s="146"/>
      <c r="EQJ165" s="146"/>
      <c r="EQK165" s="146"/>
      <c r="EQL165" s="146"/>
      <c r="EQM165" s="146"/>
      <c r="EQN165" s="146"/>
      <c r="EQO165" s="146"/>
      <c r="EQP165" s="146"/>
      <c r="EQQ165" s="146"/>
      <c r="EQR165" s="146"/>
      <c r="EQS165" s="146"/>
      <c r="EQT165" s="146"/>
      <c r="EQU165" s="146"/>
      <c r="EQV165" s="146"/>
      <c r="EQW165" s="146"/>
      <c r="EQX165" s="146"/>
      <c r="EQY165" s="146"/>
      <c r="EQZ165" s="146"/>
      <c r="ERA165" s="146"/>
      <c r="ERB165" s="146"/>
      <c r="ERC165" s="146"/>
      <c r="ERD165" s="146"/>
      <c r="ERE165" s="146"/>
      <c r="ERF165" s="146"/>
      <c r="ERG165" s="146"/>
      <c r="ERH165" s="146"/>
      <c r="ERI165" s="146"/>
      <c r="ERJ165" s="146"/>
      <c r="ERK165" s="146"/>
      <c r="ERL165" s="146"/>
      <c r="ERM165" s="146"/>
      <c r="ERN165" s="146"/>
      <c r="ERO165" s="146"/>
      <c r="ERP165" s="146"/>
      <c r="ERQ165" s="146"/>
      <c r="ERR165" s="146"/>
      <c r="ERS165" s="146"/>
      <c r="ERT165" s="146"/>
      <c r="ERU165" s="146"/>
      <c r="ERV165" s="146"/>
      <c r="ERW165" s="146"/>
      <c r="ERX165" s="146"/>
      <c r="ERY165" s="146"/>
      <c r="ERZ165" s="146"/>
      <c r="ESA165" s="146"/>
      <c r="ESB165" s="146"/>
      <c r="ESC165" s="146"/>
      <c r="ESD165" s="146"/>
      <c r="ESE165" s="146"/>
      <c r="ESF165" s="146"/>
      <c r="ESG165" s="146"/>
      <c r="ESH165" s="146"/>
      <c r="ESI165" s="146"/>
      <c r="ESJ165" s="146"/>
      <c r="ESK165" s="146"/>
      <c r="ESL165" s="146"/>
      <c r="ESM165" s="146"/>
      <c r="ESN165" s="146"/>
      <c r="ESO165" s="146"/>
      <c r="ESP165" s="146"/>
      <c r="ESQ165" s="146"/>
      <c r="ESR165" s="146"/>
      <c r="ESS165" s="146"/>
      <c r="EST165" s="146"/>
      <c r="ESU165" s="146"/>
      <c r="ESV165" s="146"/>
      <c r="ESW165" s="146"/>
      <c r="ESX165" s="146"/>
      <c r="ESY165" s="146"/>
      <c r="ESZ165" s="146"/>
      <c r="ETA165" s="146"/>
      <c r="ETB165" s="146"/>
      <c r="ETC165" s="146"/>
      <c r="ETD165" s="146"/>
      <c r="ETE165" s="146"/>
      <c r="ETF165" s="146"/>
      <c r="ETG165" s="146"/>
      <c r="ETH165" s="146"/>
      <c r="ETI165" s="146"/>
      <c r="ETJ165" s="146"/>
      <c r="ETK165" s="146"/>
      <c r="ETL165" s="146"/>
      <c r="ETM165" s="146"/>
      <c r="ETN165" s="146"/>
      <c r="ETO165" s="146"/>
      <c r="ETP165" s="146"/>
      <c r="ETQ165" s="146"/>
      <c r="ETR165" s="146"/>
      <c r="ETS165" s="146"/>
      <c r="ETT165" s="146"/>
      <c r="ETU165" s="146"/>
      <c r="ETV165" s="146"/>
      <c r="ETW165" s="146"/>
      <c r="ETX165" s="146"/>
      <c r="ETY165" s="146"/>
      <c r="ETZ165" s="146"/>
      <c r="EUA165" s="146"/>
      <c r="EUB165" s="146"/>
      <c r="EUC165" s="146"/>
      <c r="EUD165" s="146"/>
      <c r="EUE165" s="146"/>
      <c r="EUF165" s="146"/>
      <c r="EUG165" s="146"/>
      <c r="EUH165" s="146"/>
      <c r="EUI165" s="146"/>
      <c r="EUJ165" s="146"/>
      <c r="EUK165" s="146"/>
      <c r="EUL165" s="146"/>
      <c r="EUM165" s="146"/>
      <c r="EUN165" s="146"/>
      <c r="EUO165" s="146"/>
      <c r="EUP165" s="146"/>
      <c r="EUQ165" s="146"/>
      <c r="EUR165" s="146"/>
      <c r="EUS165" s="146"/>
      <c r="EUT165" s="146"/>
      <c r="EUU165" s="146"/>
      <c r="EUV165" s="146"/>
      <c r="EUW165" s="146"/>
      <c r="EUX165" s="146"/>
      <c r="EUY165" s="146"/>
      <c r="EUZ165" s="146"/>
      <c r="EVA165" s="146"/>
      <c r="EVB165" s="146"/>
      <c r="EVC165" s="146"/>
      <c r="EVD165" s="146"/>
      <c r="EVE165" s="146"/>
      <c r="EVF165" s="146"/>
      <c r="EVG165" s="146"/>
      <c r="EVH165" s="146"/>
      <c r="EVI165" s="146"/>
      <c r="EVJ165" s="146"/>
      <c r="EVK165" s="146"/>
      <c r="EVL165" s="146"/>
      <c r="EVM165" s="146"/>
      <c r="EVN165" s="146"/>
      <c r="EVO165" s="146"/>
      <c r="EVP165" s="146"/>
      <c r="EVQ165" s="146"/>
      <c r="EVR165" s="146"/>
      <c r="EVS165" s="146"/>
      <c r="EVT165" s="146"/>
      <c r="EVU165" s="146"/>
      <c r="EVV165" s="146"/>
      <c r="EVW165" s="146"/>
      <c r="EVX165" s="146"/>
      <c r="EVY165" s="146"/>
      <c r="EVZ165" s="146"/>
      <c r="EWA165" s="146"/>
      <c r="EWB165" s="146"/>
      <c r="EWC165" s="146"/>
      <c r="EWD165" s="146"/>
      <c r="EWE165" s="146"/>
      <c r="EWF165" s="146"/>
      <c r="EWG165" s="146"/>
      <c r="EWH165" s="146"/>
      <c r="EWI165" s="146"/>
      <c r="EWJ165" s="146"/>
      <c r="EWK165" s="146"/>
      <c r="EWL165" s="146"/>
      <c r="EWM165" s="146"/>
      <c r="EWN165" s="146"/>
      <c r="EWO165" s="146"/>
      <c r="EWP165" s="146"/>
      <c r="EWQ165" s="146"/>
      <c r="EWR165" s="146"/>
      <c r="EWS165" s="146"/>
      <c r="EWT165" s="146"/>
      <c r="EWU165" s="146"/>
      <c r="EWV165" s="146"/>
      <c r="EWW165" s="146"/>
      <c r="EWX165" s="146"/>
      <c r="EWY165" s="146"/>
      <c r="EWZ165" s="146"/>
      <c r="EXA165" s="146"/>
      <c r="EXB165" s="146"/>
      <c r="EXC165" s="146"/>
      <c r="EXD165" s="146"/>
      <c r="EXE165" s="146"/>
      <c r="EXF165" s="146"/>
      <c r="EXG165" s="146"/>
      <c r="EXH165" s="146"/>
      <c r="EXI165" s="146"/>
      <c r="EXJ165" s="146"/>
      <c r="EXK165" s="146"/>
      <c r="EXL165" s="146"/>
      <c r="EXM165" s="146"/>
      <c r="EXN165" s="146"/>
      <c r="EXO165" s="146"/>
      <c r="EXP165" s="146"/>
      <c r="EXQ165" s="146"/>
      <c r="EXR165" s="146"/>
      <c r="EXS165" s="146"/>
      <c r="EXT165" s="146"/>
      <c r="EXU165" s="146"/>
      <c r="EXV165" s="146"/>
      <c r="EXW165" s="146"/>
      <c r="EXX165" s="146"/>
      <c r="EXY165" s="146"/>
      <c r="EXZ165" s="146"/>
      <c r="EYA165" s="146"/>
      <c r="EYB165" s="146"/>
      <c r="EYC165" s="146"/>
      <c r="EYD165" s="146"/>
      <c r="EYE165" s="146"/>
      <c r="EYF165" s="146"/>
      <c r="EYG165" s="146"/>
      <c r="EYH165" s="146"/>
      <c r="EYI165" s="146"/>
      <c r="EYJ165" s="146"/>
      <c r="EYK165" s="146"/>
      <c r="EYL165" s="146"/>
      <c r="EYM165" s="146"/>
      <c r="EYN165" s="146"/>
      <c r="EYO165" s="146"/>
      <c r="EYP165" s="146"/>
      <c r="EYQ165" s="146"/>
      <c r="EYR165" s="146"/>
      <c r="EYS165" s="146"/>
      <c r="EYT165" s="146"/>
      <c r="EYU165" s="146"/>
      <c r="EYV165" s="146"/>
      <c r="EYW165" s="146"/>
      <c r="EYX165" s="146"/>
      <c r="EYY165" s="146"/>
      <c r="EYZ165" s="146"/>
      <c r="EZA165" s="146"/>
      <c r="EZB165" s="146"/>
      <c r="EZC165" s="146"/>
      <c r="EZD165" s="146"/>
      <c r="EZE165" s="146"/>
      <c r="EZF165" s="146"/>
      <c r="EZG165" s="146"/>
      <c r="EZH165" s="146"/>
      <c r="EZI165" s="146"/>
      <c r="EZJ165" s="146"/>
      <c r="EZK165" s="146"/>
      <c r="EZL165" s="146"/>
      <c r="EZM165" s="146"/>
      <c r="EZN165" s="146"/>
      <c r="EZO165" s="146"/>
      <c r="EZP165" s="146"/>
      <c r="EZQ165" s="146"/>
      <c r="EZR165" s="146"/>
      <c r="EZS165" s="146"/>
      <c r="EZT165" s="146"/>
      <c r="EZU165" s="146"/>
      <c r="EZV165" s="146"/>
      <c r="EZW165" s="146"/>
      <c r="EZX165" s="146"/>
      <c r="EZY165" s="146"/>
      <c r="EZZ165" s="146"/>
      <c r="FAA165" s="146"/>
      <c r="FAB165" s="146"/>
      <c r="FAC165" s="146"/>
      <c r="FAD165" s="146"/>
      <c r="FAE165" s="146"/>
      <c r="FAF165" s="146"/>
      <c r="FAG165" s="146"/>
      <c r="FAH165" s="146"/>
      <c r="FAI165" s="146"/>
      <c r="FAJ165" s="146"/>
      <c r="FAK165" s="146"/>
      <c r="FAL165" s="146"/>
      <c r="FAM165" s="146"/>
      <c r="FAN165" s="146"/>
      <c r="FAO165" s="146"/>
      <c r="FAP165" s="146"/>
      <c r="FAQ165" s="146"/>
      <c r="FAR165" s="146"/>
      <c r="FAS165" s="146"/>
      <c r="FAT165" s="146"/>
      <c r="FAU165" s="146"/>
      <c r="FAV165" s="146"/>
      <c r="FAW165" s="146"/>
      <c r="FAX165" s="146"/>
      <c r="FAY165" s="146"/>
      <c r="FAZ165" s="146"/>
      <c r="FBA165" s="146"/>
      <c r="FBB165" s="146"/>
      <c r="FBC165" s="146"/>
      <c r="FBD165" s="146"/>
      <c r="FBE165" s="146"/>
      <c r="FBF165" s="146"/>
      <c r="FBG165" s="146"/>
      <c r="FBH165" s="146"/>
      <c r="FBI165" s="146"/>
      <c r="FBJ165" s="146"/>
      <c r="FBK165" s="146"/>
      <c r="FBL165" s="146"/>
      <c r="FBM165" s="146"/>
      <c r="FBN165" s="146"/>
      <c r="FBO165" s="146"/>
      <c r="FBP165" s="146"/>
      <c r="FBQ165" s="146"/>
      <c r="FBR165" s="146"/>
      <c r="FBS165" s="146"/>
      <c r="FBT165" s="146"/>
      <c r="FBU165" s="146"/>
      <c r="FBV165" s="146"/>
      <c r="FBW165" s="146"/>
      <c r="FBX165" s="146"/>
      <c r="FBY165" s="146"/>
      <c r="FBZ165" s="146"/>
      <c r="FCA165" s="146"/>
      <c r="FCB165" s="146"/>
      <c r="FCC165" s="146"/>
      <c r="FCD165" s="146"/>
      <c r="FCE165" s="146"/>
      <c r="FCF165" s="146"/>
      <c r="FCG165" s="146"/>
      <c r="FCH165" s="146"/>
      <c r="FCI165" s="146"/>
      <c r="FCJ165" s="146"/>
      <c r="FCK165" s="146"/>
      <c r="FCL165" s="146"/>
      <c r="FCM165" s="146"/>
      <c r="FCN165" s="146"/>
      <c r="FCO165" s="146"/>
      <c r="FCP165" s="146"/>
      <c r="FCQ165" s="146"/>
      <c r="FCR165" s="146"/>
      <c r="FCS165" s="146"/>
      <c r="FCT165" s="146"/>
      <c r="FCU165" s="146"/>
      <c r="FCV165" s="146"/>
      <c r="FCW165" s="146"/>
      <c r="FCX165" s="146"/>
      <c r="FCY165" s="146"/>
      <c r="FCZ165" s="146"/>
      <c r="FDA165" s="146"/>
      <c r="FDB165" s="146"/>
      <c r="FDC165" s="146"/>
      <c r="FDD165" s="146"/>
      <c r="FDE165" s="146"/>
      <c r="FDF165" s="146"/>
      <c r="FDG165" s="146"/>
      <c r="FDH165" s="146"/>
      <c r="FDI165" s="146"/>
      <c r="FDJ165" s="146"/>
      <c r="FDK165" s="146"/>
      <c r="FDL165" s="146"/>
      <c r="FDM165" s="146"/>
      <c r="FDN165" s="146"/>
      <c r="FDO165" s="146"/>
      <c r="FDP165" s="146"/>
      <c r="FDQ165" s="146"/>
      <c r="FDR165" s="146"/>
      <c r="FDS165" s="146"/>
      <c r="FDT165" s="146"/>
      <c r="FDU165" s="146"/>
      <c r="FDV165" s="146"/>
      <c r="FDW165" s="146"/>
      <c r="FDX165" s="146"/>
      <c r="FDY165" s="146"/>
      <c r="FDZ165" s="146"/>
      <c r="FEA165" s="146"/>
      <c r="FEB165" s="146"/>
      <c r="FEC165" s="146"/>
      <c r="FED165" s="146"/>
      <c r="FEE165" s="146"/>
      <c r="FEF165" s="146"/>
      <c r="FEG165" s="146"/>
      <c r="FEH165" s="146"/>
      <c r="FEI165" s="146"/>
      <c r="FEJ165" s="146"/>
      <c r="FEK165" s="146"/>
      <c r="FEL165" s="146"/>
      <c r="FEM165" s="146"/>
      <c r="FEN165" s="146"/>
      <c r="FEO165" s="146"/>
      <c r="FEP165" s="146"/>
      <c r="FEQ165" s="146"/>
      <c r="FER165" s="146"/>
      <c r="FES165" s="146"/>
      <c r="FET165" s="146"/>
      <c r="FEU165" s="146"/>
      <c r="FEV165" s="146"/>
      <c r="FEW165" s="146"/>
      <c r="FEX165" s="146"/>
      <c r="FEY165" s="146"/>
      <c r="FEZ165" s="146"/>
      <c r="FFA165" s="146"/>
      <c r="FFB165" s="146"/>
      <c r="FFC165" s="146"/>
      <c r="FFD165" s="146"/>
      <c r="FFE165" s="146"/>
      <c r="FFF165" s="146"/>
      <c r="FFG165" s="146"/>
      <c r="FFH165" s="146"/>
      <c r="FFI165" s="146"/>
      <c r="FFJ165" s="146"/>
      <c r="FFK165" s="146"/>
      <c r="FFL165" s="146"/>
      <c r="FFM165" s="146"/>
      <c r="FFN165" s="146"/>
      <c r="FFO165" s="146"/>
      <c r="FFP165" s="146"/>
      <c r="FFQ165" s="146"/>
      <c r="FFR165" s="146"/>
      <c r="FFS165" s="146"/>
      <c r="FFT165" s="146"/>
      <c r="FFU165" s="146"/>
      <c r="FFV165" s="146"/>
      <c r="FFW165" s="146"/>
      <c r="FFX165" s="146"/>
      <c r="FFY165" s="146"/>
      <c r="FFZ165" s="146"/>
      <c r="FGA165" s="146"/>
      <c r="FGB165" s="146"/>
      <c r="FGC165" s="146"/>
      <c r="FGD165" s="146"/>
      <c r="FGE165" s="146"/>
      <c r="FGF165" s="146"/>
      <c r="FGG165" s="146"/>
      <c r="FGH165" s="146"/>
      <c r="FGI165" s="146"/>
      <c r="FGJ165" s="146"/>
      <c r="FGK165" s="146"/>
      <c r="FGL165" s="146"/>
      <c r="FGM165" s="146"/>
      <c r="FGN165" s="146"/>
      <c r="FGO165" s="146"/>
      <c r="FGP165" s="146"/>
      <c r="FGQ165" s="146"/>
      <c r="FGR165" s="146"/>
      <c r="FGS165" s="146"/>
      <c r="FGT165" s="146"/>
      <c r="FGU165" s="146"/>
      <c r="FGV165" s="146"/>
      <c r="FGW165" s="146"/>
      <c r="FGX165" s="146"/>
      <c r="FGY165" s="146"/>
      <c r="FGZ165" s="146"/>
      <c r="FHA165" s="146"/>
      <c r="FHB165" s="146"/>
      <c r="FHC165" s="146"/>
      <c r="FHD165" s="146"/>
      <c r="FHE165" s="146"/>
      <c r="FHF165" s="146"/>
      <c r="FHG165" s="146"/>
      <c r="FHH165" s="146"/>
      <c r="FHI165" s="146"/>
      <c r="FHJ165" s="146"/>
      <c r="FHK165" s="146"/>
      <c r="FHL165" s="146"/>
      <c r="FHM165" s="146"/>
      <c r="FHN165" s="146"/>
      <c r="FHO165" s="146"/>
      <c r="FHP165" s="146"/>
      <c r="FHQ165" s="146"/>
      <c r="FHR165" s="146"/>
      <c r="FHS165" s="146"/>
      <c r="FHT165" s="146"/>
      <c r="FHU165" s="146"/>
      <c r="FHV165" s="146"/>
      <c r="FHW165" s="146"/>
      <c r="FHX165" s="146"/>
      <c r="FHY165" s="146"/>
      <c r="FHZ165" s="146"/>
      <c r="FIA165" s="146"/>
      <c r="FIB165" s="146"/>
      <c r="FIC165" s="146"/>
      <c r="FID165" s="146"/>
      <c r="FIE165" s="146"/>
      <c r="FIF165" s="146"/>
      <c r="FIG165" s="146"/>
      <c r="FIH165" s="146"/>
      <c r="FII165" s="146"/>
      <c r="FIJ165" s="146"/>
      <c r="FIK165" s="146"/>
      <c r="FIL165" s="146"/>
      <c r="FIM165" s="146"/>
      <c r="FIN165" s="146"/>
      <c r="FIO165" s="146"/>
      <c r="FIP165" s="146"/>
      <c r="FIQ165" s="146"/>
      <c r="FIR165" s="146"/>
      <c r="FIS165" s="146"/>
      <c r="FIT165" s="146"/>
      <c r="FIU165" s="146"/>
      <c r="FIV165" s="146"/>
      <c r="FIW165" s="146"/>
      <c r="FIX165" s="146"/>
      <c r="FIY165" s="146"/>
      <c r="FIZ165" s="146"/>
      <c r="FJA165" s="146"/>
      <c r="FJB165" s="146"/>
      <c r="FJC165" s="146"/>
      <c r="FJD165" s="146"/>
      <c r="FJE165" s="146"/>
      <c r="FJF165" s="146"/>
      <c r="FJG165" s="146"/>
      <c r="FJH165" s="146"/>
      <c r="FJI165" s="146"/>
      <c r="FJJ165" s="146"/>
      <c r="FJK165" s="146"/>
      <c r="FJL165" s="146"/>
      <c r="FJM165" s="146"/>
      <c r="FJN165" s="146"/>
      <c r="FJO165" s="146"/>
      <c r="FJP165" s="146"/>
      <c r="FJQ165" s="146"/>
      <c r="FJR165" s="146"/>
      <c r="FJS165" s="146"/>
      <c r="FJT165" s="146"/>
      <c r="FJU165" s="146"/>
      <c r="FJV165" s="146"/>
      <c r="FJW165" s="146"/>
      <c r="FJX165" s="146"/>
      <c r="FJY165" s="146"/>
      <c r="FJZ165" s="146"/>
      <c r="FKA165" s="146"/>
      <c r="FKB165" s="146"/>
      <c r="FKC165" s="146"/>
      <c r="FKD165" s="146"/>
      <c r="FKE165" s="146"/>
      <c r="FKF165" s="146"/>
      <c r="FKG165" s="146"/>
      <c r="FKH165" s="146"/>
      <c r="FKI165" s="146"/>
      <c r="FKJ165" s="146"/>
      <c r="FKK165" s="146"/>
      <c r="FKL165" s="146"/>
      <c r="FKM165" s="146"/>
      <c r="FKN165" s="146"/>
      <c r="FKO165" s="146"/>
      <c r="FKP165" s="146"/>
      <c r="FKQ165" s="146"/>
      <c r="FKR165" s="146"/>
      <c r="FKS165" s="146"/>
      <c r="FKT165" s="146"/>
      <c r="FKU165" s="146"/>
      <c r="FKV165" s="146"/>
      <c r="FKW165" s="146"/>
      <c r="FKX165" s="146"/>
      <c r="FKY165" s="146"/>
      <c r="FKZ165" s="146"/>
      <c r="FLA165" s="146"/>
      <c r="FLB165" s="146"/>
      <c r="FLC165" s="146"/>
      <c r="FLD165" s="146"/>
      <c r="FLE165" s="146"/>
      <c r="FLF165" s="146"/>
      <c r="FLG165" s="146"/>
      <c r="FLH165" s="146"/>
      <c r="FLI165" s="146"/>
      <c r="FLJ165" s="146"/>
      <c r="FLK165" s="146"/>
      <c r="FLL165" s="146"/>
      <c r="FLM165" s="146"/>
      <c r="FLN165" s="146"/>
      <c r="FLO165" s="146"/>
      <c r="FLP165" s="146"/>
      <c r="FLQ165" s="146"/>
      <c r="FLR165" s="146"/>
      <c r="FLS165" s="146"/>
      <c r="FLT165" s="146"/>
      <c r="FLU165" s="146"/>
      <c r="FLV165" s="146"/>
      <c r="FLW165" s="146"/>
      <c r="FLX165" s="146"/>
      <c r="FLY165" s="146"/>
      <c r="FLZ165" s="146"/>
      <c r="FMA165" s="146"/>
      <c r="FMB165" s="146"/>
      <c r="FMC165" s="146"/>
      <c r="FMD165" s="146"/>
      <c r="FME165" s="146"/>
      <c r="FMF165" s="146"/>
      <c r="FMG165" s="146"/>
      <c r="FMH165" s="146"/>
      <c r="FMI165" s="146"/>
      <c r="FMJ165" s="146"/>
      <c r="FMK165" s="146"/>
      <c r="FML165" s="146"/>
      <c r="FMM165" s="146"/>
      <c r="FMN165" s="146"/>
      <c r="FMO165" s="146"/>
      <c r="FMP165" s="146"/>
      <c r="FMQ165" s="146"/>
      <c r="FMR165" s="146"/>
      <c r="FMS165" s="146"/>
      <c r="FMT165" s="146"/>
      <c r="FMU165" s="146"/>
      <c r="FMV165" s="146"/>
      <c r="FMW165" s="146"/>
      <c r="FMX165" s="146"/>
      <c r="FMY165" s="146"/>
      <c r="FMZ165" s="146"/>
      <c r="FNA165" s="146"/>
      <c r="FNB165" s="146"/>
      <c r="FNC165" s="146"/>
      <c r="FND165" s="146"/>
      <c r="FNE165" s="146"/>
      <c r="FNF165" s="146"/>
      <c r="FNG165" s="146"/>
      <c r="FNH165" s="146"/>
      <c r="FNI165" s="146"/>
      <c r="FNJ165" s="146"/>
      <c r="FNK165" s="146"/>
      <c r="FNL165" s="146"/>
      <c r="FNM165" s="146"/>
      <c r="FNN165" s="146"/>
      <c r="FNO165" s="146"/>
      <c r="FNP165" s="146"/>
      <c r="FNQ165" s="146"/>
      <c r="FNR165" s="146"/>
      <c r="FNS165" s="146"/>
      <c r="FNT165" s="146"/>
      <c r="FNU165" s="146"/>
      <c r="FNV165" s="146"/>
      <c r="FNW165" s="146"/>
      <c r="FNX165" s="146"/>
      <c r="FNY165" s="146"/>
      <c r="FNZ165" s="146"/>
      <c r="FOA165" s="146"/>
      <c r="FOB165" s="146"/>
      <c r="FOC165" s="146"/>
      <c r="FOD165" s="146"/>
      <c r="FOE165" s="146"/>
      <c r="FOF165" s="146"/>
      <c r="FOG165" s="146"/>
      <c r="FOH165" s="146"/>
      <c r="FOI165" s="146"/>
      <c r="FOJ165" s="146"/>
      <c r="FOK165" s="146"/>
      <c r="FOL165" s="146"/>
      <c r="FOM165" s="146"/>
      <c r="FON165" s="146"/>
      <c r="FOO165" s="146"/>
      <c r="FOP165" s="146"/>
      <c r="FOQ165" s="146"/>
      <c r="FOR165" s="146"/>
      <c r="FOS165" s="146"/>
      <c r="FOT165" s="146"/>
      <c r="FOU165" s="146"/>
      <c r="FOV165" s="146"/>
      <c r="FOW165" s="146"/>
      <c r="FOX165" s="146"/>
      <c r="FOY165" s="146"/>
      <c r="FOZ165" s="146"/>
      <c r="FPA165" s="146"/>
      <c r="FPB165" s="146"/>
      <c r="FPC165" s="146"/>
      <c r="FPD165" s="146"/>
      <c r="FPE165" s="146"/>
      <c r="FPF165" s="146"/>
      <c r="FPG165" s="146"/>
      <c r="FPH165" s="146"/>
      <c r="FPI165" s="146"/>
      <c r="FPJ165" s="146"/>
      <c r="FPK165" s="146"/>
      <c r="FPL165" s="146"/>
      <c r="FPM165" s="146"/>
      <c r="FPN165" s="146"/>
      <c r="FPO165" s="146"/>
      <c r="FPP165" s="146"/>
      <c r="FPQ165" s="146"/>
      <c r="FPR165" s="146"/>
      <c r="FPS165" s="146"/>
      <c r="FPT165" s="146"/>
      <c r="FPU165" s="146"/>
      <c r="FPV165" s="146"/>
      <c r="FPW165" s="146"/>
      <c r="FPX165" s="146"/>
      <c r="FPY165" s="146"/>
      <c r="FPZ165" s="146"/>
      <c r="FQA165" s="146"/>
      <c r="FQB165" s="146"/>
      <c r="FQC165" s="146"/>
      <c r="FQD165" s="146"/>
      <c r="FQE165" s="146"/>
      <c r="FQF165" s="146"/>
      <c r="FQG165" s="146"/>
      <c r="FQH165" s="146"/>
      <c r="FQI165" s="146"/>
      <c r="FQJ165" s="146"/>
      <c r="FQK165" s="146"/>
      <c r="FQL165" s="146"/>
      <c r="FQM165" s="146"/>
      <c r="FQN165" s="146"/>
      <c r="FQO165" s="146"/>
      <c r="FQP165" s="146"/>
      <c r="FQQ165" s="146"/>
      <c r="FQR165" s="146"/>
      <c r="FQS165" s="146"/>
      <c r="FQT165" s="146"/>
      <c r="FQU165" s="146"/>
      <c r="FQV165" s="146"/>
      <c r="FQW165" s="146"/>
      <c r="FQX165" s="146"/>
      <c r="FQY165" s="146"/>
      <c r="FQZ165" s="146"/>
      <c r="FRA165" s="146"/>
      <c r="FRB165" s="146"/>
      <c r="FRC165" s="146"/>
      <c r="FRD165" s="146"/>
      <c r="FRE165" s="146"/>
      <c r="FRF165" s="146"/>
      <c r="FRG165" s="146"/>
      <c r="FRH165" s="146"/>
      <c r="FRI165" s="146"/>
      <c r="FRJ165" s="146"/>
      <c r="FRK165" s="146"/>
      <c r="FRL165" s="146"/>
      <c r="FRM165" s="146"/>
      <c r="FRN165" s="146"/>
      <c r="FRO165" s="146"/>
      <c r="FRP165" s="146"/>
      <c r="FRQ165" s="146"/>
      <c r="FRR165" s="146"/>
      <c r="FRS165" s="146"/>
      <c r="FRT165" s="146"/>
      <c r="FRU165" s="146"/>
      <c r="FRV165" s="146"/>
      <c r="FRW165" s="146"/>
      <c r="FRX165" s="146"/>
      <c r="FRY165" s="146"/>
      <c r="FRZ165" s="146"/>
      <c r="FSA165" s="146"/>
      <c r="FSB165" s="146"/>
      <c r="FSC165" s="146"/>
      <c r="FSD165" s="146"/>
      <c r="FSE165" s="146"/>
      <c r="FSF165" s="146"/>
      <c r="FSG165" s="146"/>
      <c r="FSH165" s="146"/>
      <c r="FSI165" s="146"/>
      <c r="FSJ165" s="146"/>
      <c r="FSK165" s="146"/>
      <c r="FSL165" s="146"/>
      <c r="FSM165" s="146"/>
      <c r="FSN165" s="146"/>
      <c r="FSO165" s="146"/>
      <c r="FSP165" s="146"/>
      <c r="FSQ165" s="146"/>
      <c r="FSR165" s="146"/>
      <c r="FSS165" s="146"/>
      <c r="FST165" s="146"/>
      <c r="FSU165" s="146"/>
      <c r="FSV165" s="146"/>
      <c r="FSW165" s="146"/>
      <c r="FSX165" s="146"/>
      <c r="FSY165" s="146"/>
      <c r="FSZ165" s="146"/>
      <c r="FTA165" s="146"/>
      <c r="FTB165" s="146"/>
      <c r="FTC165" s="146"/>
      <c r="FTD165" s="146"/>
      <c r="FTE165" s="146"/>
      <c r="FTF165" s="146"/>
      <c r="FTG165" s="146"/>
      <c r="FTH165" s="146"/>
      <c r="FTI165" s="146"/>
      <c r="FTJ165" s="146"/>
      <c r="FTK165" s="146"/>
      <c r="FTL165" s="146"/>
      <c r="FTM165" s="146"/>
      <c r="FTN165" s="146"/>
      <c r="FTO165" s="146"/>
      <c r="FTP165" s="146"/>
      <c r="FTQ165" s="146"/>
      <c r="FTR165" s="146"/>
      <c r="FTS165" s="146"/>
      <c r="FTT165" s="146"/>
      <c r="FTU165" s="146"/>
      <c r="FTV165" s="146"/>
      <c r="FTW165" s="146"/>
      <c r="FTX165" s="146"/>
      <c r="FTY165" s="146"/>
      <c r="FTZ165" s="146"/>
      <c r="FUA165" s="146"/>
      <c r="FUB165" s="146"/>
      <c r="FUC165" s="146"/>
      <c r="FUD165" s="146"/>
      <c r="FUE165" s="146"/>
      <c r="FUF165" s="146"/>
      <c r="FUG165" s="146"/>
      <c r="FUH165" s="146"/>
      <c r="FUI165" s="146"/>
      <c r="FUJ165" s="146"/>
      <c r="FUK165" s="146"/>
      <c r="FUL165" s="146"/>
      <c r="FUM165" s="146"/>
      <c r="FUN165" s="146"/>
      <c r="FUO165" s="146"/>
      <c r="FUP165" s="146"/>
      <c r="FUQ165" s="146"/>
      <c r="FUR165" s="146"/>
      <c r="FUS165" s="146"/>
      <c r="FUT165" s="146"/>
      <c r="FUU165" s="146"/>
      <c r="FUV165" s="146"/>
      <c r="FUW165" s="146"/>
      <c r="FUX165" s="146"/>
      <c r="FUY165" s="146"/>
      <c r="FUZ165" s="146"/>
      <c r="FVA165" s="146"/>
      <c r="FVB165" s="146"/>
      <c r="FVC165" s="146"/>
      <c r="FVD165" s="146"/>
      <c r="FVE165" s="146"/>
      <c r="FVF165" s="146"/>
      <c r="FVG165" s="146"/>
      <c r="FVH165" s="146"/>
      <c r="FVI165" s="146"/>
      <c r="FVJ165" s="146"/>
      <c r="FVK165" s="146"/>
      <c r="FVL165" s="146"/>
      <c r="FVM165" s="146"/>
      <c r="FVN165" s="146"/>
      <c r="FVO165" s="146"/>
      <c r="FVP165" s="146"/>
      <c r="FVQ165" s="146"/>
      <c r="FVR165" s="146"/>
      <c r="FVS165" s="146"/>
      <c r="FVT165" s="146"/>
      <c r="FVU165" s="146"/>
      <c r="FVV165" s="146"/>
      <c r="FVW165" s="146"/>
      <c r="FVX165" s="146"/>
      <c r="FVY165" s="146"/>
      <c r="FVZ165" s="146"/>
      <c r="FWA165" s="146"/>
      <c r="FWB165" s="146"/>
      <c r="FWC165" s="146"/>
      <c r="FWD165" s="146"/>
      <c r="FWE165" s="146"/>
      <c r="FWF165" s="146"/>
      <c r="FWG165" s="146"/>
      <c r="FWH165" s="146"/>
      <c r="FWI165" s="146"/>
      <c r="FWJ165" s="146"/>
      <c r="FWK165" s="146"/>
      <c r="FWL165" s="146"/>
      <c r="FWM165" s="146"/>
      <c r="FWN165" s="146"/>
      <c r="FWO165" s="146"/>
      <c r="FWP165" s="146"/>
      <c r="FWQ165" s="146"/>
      <c r="FWR165" s="146"/>
      <c r="FWS165" s="146"/>
      <c r="FWT165" s="146"/>
      <c r="FWU165" s="146"/>
      <c r="FWV165" s="146"/>
      <c r="FWW165" s="146"/>
      <c r="FWX165" s="146"/>
      <c r="FWY165" s="146"/>
      <c r="FWZ165" s="146"/>
      <c r="FXA165" s="146"/>
      <c r="FXB165" s="146"/>
      <c r="FXC165" s="146"/>
      <c r="FXD165" s="146"/>
      <c r="FXE165" s="146"/>
      <c r="FXF165" s="146"/>
      <c r="FXG165" s="146"/>
      <c r="FXH165" s="146"/>
      <c r="FXI165" s="146"/>
      <c r="FXJ165" s="146"/>
      <c r="FXK165" s="146"/>
      <c r="FXL165" s="146"/>
      <c r="FXM165" s="146"/>
      <c r="FXN165" s="146"/>
      <c r="FXO165" s="146"/>
      <c r="FXP165" s="146"/>
      <c r="FXQ165" s="146"/>
      <c r="FXR165" s="146"/>
      <c r="FXS165" s="146"/>
      <c r="FXT165" s="146"/>
      <c r="FXU165" s="146"/>
      <c r="FXV165" s="146"/>
      <c r="FXW165" s="146"/>
      <c r="FXX165" s="146"/>
      <c r="FXY165" s="146"/>
      <c r="FXZ165" s="146"/>
      <c r="FYA165" s="146"/>
      <c r="FYB165" s="146"/>
      <c r="FYC165" s="146"/>
      <c r="FYD165" s="146"/>
      <c r="FYE165" s="146"/>
      <c r="FYF165" s="146"/>
      <c r="FYG165" s="146"/>
      <c r="FYH165" s="146"/>
      <c r="FYI165" s="146"/>
      <c r="FYJ165" s="146"/>
      <c r="FYK165" s="146"/>
      <c r="FYL165" s="146"/>
      <c r="FYM165" s="146"/>
      <c r="FYN165" s="146"/>
      <c r="FYO165" s="146"/>
      <c r="FYP165" s="146"/>
      <c r="FYQ165" s="146"/>
      <c r="FYR165" s="146"/>
      <c r="FYS165" s="146"/>
      <c r="FYT165" s="146"/>
      <c r="FYU165" s="146"/>
      <c r="FYV165" s="146"/>
      <c r="FYW165" s="146"/>
      <c r="FYX165" s="146"/>
      <c r="FYY165" s="146"/>
      <c r="FYZ165" s="146"/>
      <c r="FZA165" s="146"/>
      <c r="FZB165" s="146"/>
      <c r="FZC165" s="146"/>
      <c r="FZD165" s="146"/>
      <c r="FZE165" s="146"/>
      <c r="FZF165" s="146"/>
      <c r="FZG165" s="146"/>
      <c r="FZH165" s="146"/>
      <c r="FZI165" s="146"/>
      <c r="FZJ165" s="146"/>
      <c r="FZK165" s="146"/>
      <c r="FZL165" s="146"/>
      <c r="FZM165" s="146"/>
      <c r="FZN165" s="146"/>
      <c r="FZO165" s="146"/>
      <c r="FZP165" s="146"/>
      <c r="FZQ165" s="146"/>
      <c r="FZR165" s="146"/>
      <c r="FZS165" s="146"/>
      <c r="FZT165" s="146"/>
      <c r="FZU165" s="146"/>
      <c r="FZV165" s="146"/>
      <c r="FZW165" s="146"/>
      <c r="FZX165" s="146"/>
      <c r="FZY165" s="146"/>
      <c r="FZZ165" s="146"/>
      <c r="GAA165" s="146"/>
      <c r="GAB165" s="146"/>
      <c r="GAC165" s="146"/>
      <c r="GAD165" s="146"/>
      <c r="GAE165" s="146"/>
      <c r="GAF165" s="146"/>
      <c r="GAG165" s="146"/>
      <c r="GAH165" s="146"/>
      <c r="GAI165" s="146"/>
      <c r="GAJ165" s="146"/>
      <c r="GAK165" s="146"/>
      <c r="GAL165" s="146"/>
      <c r="GAM165" s="146"/>
      <c r="GAN165" s="146"/>
      <c r="GAO165" s="146"/>
      <c r="GAP165" s="146"/>
      <c r="GAQ165" s="146"/>
      <c r="GAR165" s="146"/>
      <c r="GAS165" s="146"/>
      <c r="GAT165" s="146"/>
      <c r="GAU165" s="146"/>
      <c r="GAV165" s="146"/>
      <c r="GAW165" s="146"/>
      <c r="GAX165" s="146"/>
      <c r="GAY165" s="146"/>
      <c r="GAZ165" s="146"/>
      <c r="GBA165" s="146"/>
      <c r="GBB165" s="146"/>
      <c r="GBC165" s="146"/>
      <c r="GBD165" s="146"/>
      <c r="GBE165" s="146"/>
      <c r="GBF165" s="146"/>
      <c r="GBG165" s="146"/>
      <c r="GBH165" s="146"/>
      <c r="GBI165" s="146"/>
      <c r="GBJ165" s="146"/>
      <c r="GBK165" s="146"/>
      <c r="GBL165" s="146"/>
      <c r="GBM165" s="146"/>
      <c r="GBN165" s="146"/>
      <c r="GBO165" s="146"/>
      <c r="GBP165" s="146"/>
      <c r="GBQ165" s="146"/>
      <c r="GBR165" s="146"/>
      <c r="GBS165" s="146"/>
      <c r="GBT165" s="146"/>
      <c r="GBU165" s="146"/>
      <c r="GBV165" s="146"/>
      <c r="GBW165" s="146"/>
      <c r="GBX165" s="146"/>
      <c r="GBY165" s="146"/>
      <c r="GBZ165" s="146"/>
      <c r="GCA165" s="146"/>
      <c r="GCB165" s="146"/>
      <c r="GCC165" s="146"/>
      <c r="GCD165" s="146"/>
      <c r="GCE165" s="146"/>
      <c r="GCF165" s="146"/>
      <c r="GCG165" s="146"/>
      <c r="GCH165" s="146"/>
      <c r="GCI165" s="146"/>
      <c r="GCJ165" s="146"/>
      <c r="GCK165" s="146"/>
      <c r="GCL165" s="146"/>
      <c r="GCM165" s="146"/>
      <c r="GCN165" s="146"/>
      <c r="GCO165" s="146"/>
      <c r="GCP165" s="146"/>
      <c r="GCQ165" s="146"/>
      <c r="GCR165" s="146"/>
      <c r="GCS165" s="146"/>
      <c r="GCT165" s="146"/>
      <c r="GCU165" s="146"/>
      <c r="GCV165" s="146"/>
      <c r="GCW165" s="146"/>
      <c r="GCX165" s="146"/>
      <c r="GCY165" s="146"/>
      <c r="GCZ165" s="146"/>
      <c r="GDA165" s="146"/>
      <c r="GDB165" s="146"/>
      <c r="GDC165" s="146"/>
      <c r="GDD165" s="146"/>
      <c r="GDE165" s="146"/>
      <c r="GDF165" s="146"/>
      <c r="GDG165" s="146"/>
      <c r="GDH165" s="146"/>
      <c r="GDI165" s="146"/>
      <c r="GDJ165" s="146"/>
      <c r="GDK165" s="146"/>
      <c r="GDL165" s="146"/>
      <c r="GDM165" s="146"/>
      <c r="GDN165" s="146"/>
      <c r="GDO165" s="146"/>
      <c r="GDP165" s="146"/>
      <c r="GDQ165" s="146"/>
      <c r="GDR165" s="146"/>
      <c r="GDS165" s="146"/>
      <c r="GDT165" s="146"/>
      <c r="GDU165" s="146"/>
      <c r="GDV165" s="146"/>
      <c r="GDW165" s="146"/>
      <c r="GDX165" s="146"/>
      <c r="GDY165" s="146"/>
      <c r="GDZ165" s="146"/>
      <c r="GEA165" s="146"/>
      <c r="GEB165" s="146"/>
      <c r="GEC165" s="146"/>
      <c r="GED165" s="146"/>
      <c r="GEE165" s="146"/>
      <c r="GEF165" s="146"/>
      <c r="GEG165" s="146"/>
      <c r="GEH165" s="146"/>
      <c r="GEI165" s="146"/>
      <c r="GEJ165" s="146"/>
      <c r="GEK165" s="146"/>
      <c r="GEL165" s="146"/>
      <c r="GEM165" s="146"/>
      <c r="GEN165" s="146"/>
      <c r="GEO165" s="146"/>
      <c r="GEP165" s="146"/>
      <c r="GEQ165" s="146"/>
      <c r="GER165" s="146"/>
      <c r="GES165" s="146"/>
      <c r="GET165" s="146"/>
      <c r="GEU165" s="146"/>
      <c r="GEV165" s="146"/>
      <c r="GEW165" s="146"/>
      <c r="GEX165" s="146"/>
      <c r="GEY165" s="146"/>
      <c r="GEZ165" s="146"/>
      <c r="GFA165" s="146"/>
      <c r="GFB165" s="146"/>
      <c r="GFC165" s="146"/>
      <c r="GFD165" s="146"/>
      <c r="GFE165" s="146"/>
      <c r="GFF165" s="146"/>
      <c r="GFG165" s="146"/>
      <c r="GFH165" s="146"/>
      <c r="GFI165" s="146"/>
      <c r="GFJ165" s="146"/>
      <c r="GFK165" s="146"/>
      <c r="GFL165" s="146"/>
      <c r="GFM165" s="146"/>
      <c r="GFN165" s="146"/>
      <c r="GFO165" s="146"/>
      <c r="GFP165" s="146"/>
      <c r="GFQ165" s="146"/>
      <c r="GFR165" s="146"/>
      <c r="GFS165" s="146"/>
      <c r="GFT165" s="146"/>
      <c r="GFU165" s="146"/>
      <c r="GFV165" s="146"/>
      <c r="GFW165" s="146"/>
      <c r="GFX165" s="146"/>
      <c r="GFY165" s="146"/>
      <c r="GFZ165" s="146"/>
      <c r="GGA165" s="146"/>
      <c r="GGB165" s="146"/>
      <c r="GGC165" s="146"/>
      <c r="GGD165" s="146"/>
      <c r="GGE165" s="146"/>
      <c r="GGF165" s="146"/>
      <c r="GGG165" s="146"/>
      <c r="GGH165" s="146"/>
      <c r="GGI165" s="146"/>
      <c r="GGJ165" s="146"/>
      <c r="GGK165" s="146"/>
      <c r="GGL165" s="146"/>
      <c r="GGM165" s="146"/>
      <c r="GGN165" s="146"/>
      <c r="GGO165" s="146"/>
      <c r="GGP165" s="146"/>
      <c r="GGQ165" s="146"/>
      <c r="GGR165" s="146"/>
      <c r="GGS165" s="146"/>
      <c r="GGT165" s="146"/>
      <c r="GGU165" s="146"/>
      <c r="GGV165" s="146"/>
      <c r="GGW165" s="146"/>
      <c r="GGX165" s="146"/>
      <c r="GGY165" s="146"/>
      <c r="GGZ165" s="146"/>
      <c r="GHA165" s="146"/>
      <c r="GHB165" s="146"/>
      <c r="GHC165" s="146"/>
      <c r="GHD165" s="146"/>
      <c r="GHE165" s="146"/>
      <c r="GHF165" s="146"/>
      <c r="GHG165" s="146"/>
      <c r="GHH165" s="146"/>
      <c r="GHI165" s="146"/>
      <c r="GHJ165" s="146"/>
      <c r="GHK165" s="146"/>
      <c r="GHL165" s="146"/>
      <c r="GHM165" s="146"/>
      <c r="GHN165" s="146"/>
      <c r="GHO165" s="146"/>
      <c r="GHP165" s="146"/>
      <c r="GHQ165" s="146"/>
      <c r="GHR165" s="146"/>
      <c r="GHS165" s="146"/>
      <c r="GHT165" s="146"/>
      <c r="GHU165" s="146"/>
      <c r="GHV165" s="146"/>
      <c r="GHW165" s="146"/>
      <c r="GHX165" s="146"/>
      <c r="GHY165" s="146"/>
      <c r="GHZ165" s="146"/>
      <c r="GIA165" s="146"/>
      <c r="GIB165" s="146"/>
      <c r="GIC165" s="146"/>
      <c r="GID165" s="146"/>
      <c r="GIE165" s="146"/>
      <c r="GIF165" s="146"/>
      <c r="GIG165" s="146"/>
      <c r="GIH165" s="146"/>
      <c r="GII165" s="146"/>
      <c r="GIJ165" s="146"/>
      <c r="GIK165" s="146"/>
      <c r="GIL165" s="146"/>
      <c r="GIM165" s="146"/>
      <c r="GIN165" s="146"/>
      <c r="GIO165" s="146"/>
      <c r="GIP165" s="146"/>
      <c r="GIQ165" s="146"/>
      <c r="GIR165" s="146"/>
      <c r="GIS165" s="146"/>
      <c r="GIT165" s="146"/>
      <c r="GIU165" s="146"/>
      <c r="GIV165" s="146"/>
      <c r="GIW165" s="146"/>
      <c r="GIX165" s="146"/>
      <c r="GIY165" s="146"/>
      <c r="GIZ165" s="146"/>
      <c r="GJA165" s="146"/>
      <c r="GJB165" s="146"/>
      <c r="GJC165" s="146"/>
      <c r="GJD165" s="146"/>
      <c r="GJE165" s="146"/>
      <c r="GJF165" s="146"/>
      <c r="GJG165" s="146"/>
      <c r="GJH165" s="146"/>
      <c r="GJI165" s="146"/>
      <c r="GJJ165" s="146"/>
      <c r="GJK165" s="146"/>
      <c r="GJL165" s="146"/>
      <c r="GJM165" s="146"/>
      <c r="GJN165" s="146"/>
      <c r="GJO165" s="146"/>
      <c r="GJP165" s="146"/>
      <c r="GJQ165" s="146"/>
      <c r="GJR165" s="146"/>
      <c r="GJS165" s="146"/>
      <c r="GJT165" s="146"/>
      <c r="GJU165" s="146"/>
      <c r="GJV165" s="146"/>
      <c r="GJW165" s="146"/>
      <c r="GJX165" s="146"/>
      <c r="GJY165" s="146"/>
      <c r="GJZ165" s="146"/>
      <c r="GKA165" s="146"/>
      <c r="GKB165" s="146"/>
      <c r="GKC165" s="146"/>
      <c r="GKD165" s="146"/>
      <c r="GKE165" s="146"/>
      <c r="GKF165" s="146"/>
      <c r="GKG165" s="146"/>
      <c r="GKH165" s="146"/>
      <c r="GKI165" s="146"/>
      <c r="GKJ165" s="146"/>
      <c r="GKK165" s="146"/>
      <c r="GKL165" s="146"/>
      <c r="GKM165" s="146"/>
      <c r="GKN165" s="146"/>
      <c r="GKO165" s="146"/>
      <c r="GKP165" s="146"/>
      <c r="GKQ165" s="146"/>
      <c r="GKR165" s="146"/>
      <c r="GKS165" s="146"/>
      <c r="GKT165" s="146"/>
      <c r="GKU165" s="146"/>
      <c r="GKV165" s="146"/>
      <c r="GKW165" s="146"/>
      <c r="GKX165" s="146"/>
      <c r="GKY165" s="146"/>
      <c r="GKZ165" s="146"/>
      <c r="GLA165" s="146"/>
      <c r="GLB165" s="146"/>
      <c r="GLC165" s="146"/>
      <c r="GLD165" s="146"/>
      <c r="GLE165" s="146"/>
      <c r="GLF165" s="146"/>
      <c r="GLG165" s="146"/>
      <c r="GLH165" s="146"/>
      <c r="GLI165" s="146"/>
      <c r="GLJ165" s="146"/>
      <c r="GLK165" s="146"/>
      <c r="GLL165" s="146"/>
      <c r="GLM165" s="146"/>
      <c r="GLN165" s="146"/>
      <c r="GLO165" s="146"/>
      <c r="GLP165" s="146"/>
      <c r="GLQ165" s="146"/>
      <c r="GLR165" s="146"/>
      <c r="GLS165" s="146"/>
      <c r="GLT165" s="146"/>
      <c r="GLU165" s="146"/>
      <c r="GLV165" s="146"/>
      <c r="GLW165" s="146"/>
      <c r="GLX165" s="146"/>
      <c r="GLY165" s="146"/>
      <c r="GLZ165" s="146"/>
      <c r="GMA165" s="146"/>
      <c r="GMB165" s="146"/>
      <c r="GMC165" s="146"/>
      <c r="GMD165" s="146"/>
      <c r="GME165" s="146"/>
      <c r="GMF165" s="146"/>
      <c r="GMG165" s="146"/>
      <c r="GMH165" s="146"/>
      <c r="GMI165" s="146"/>
      <c r="GMJ165" s="146"/>
      <c r="GMK165" s="146"/>
      <c r="GML165" s="146"/>
      <c r="GMM165" s="146"/>
      <c r="GMN165" s="146"/>
      <c r="GMO165" s="146"/>
      <c r="GMP165" s="146"/>
      <c r="GMQ165" s="146"/>
      <c r="GMR165" s="146"/>
      <c r="GMS165" s="146"/>
      <c r="GMT165" s="146"/>
      <c r="GMU165" s="146"/>
      <c r="GMV165" s="146"/>
      <c r="GMW165" s="146"/>
      <c r="GMX165" s="146"/>
      <c r="GMY165" s="146"/>
      <c r="GMZ165" s="146"/>
      <c r="GNA165" s="146"/>
      <c r="GNB165" s="146"/>
      <c r="GNC165" s="146"/>
      <c r="GND165" s="146"/>
      <c r="GNE165" s="146"/>
      <c r="GNF165" s="146"/>
      <c r="GNG165" s="146"/>
      <c r="GNH165" s="146"/>
      <c r="GNI165" s="146"/>
      <c r="GNJ165" s="146"/>
      <c r="GNK165" s="146"/>
      <c r="GNL165" s="146"/>
      <c r="GNM165" s="146"/>
      <c r="GNN165" s="146"/>
      <c r="GNO165" s="146"/>
      <c r="GNP165" s="146"/>
      <c r="GNQ165" s="146"/>
      <c r="GNR165" s="146"/>
      <c r="GNS165" s="146"/>
      <c r="GNT165" s="146"/>
      <c r="GNU165" s="146"/>
      <c r="GNV165" s="146"/>
      <c r="GNW165" s="146"/>
      <c r="GNX165" s="146"/>
      <c r="GNY165" s="146"/>
      <c r="GNZ165" s="146"/>
      <c r="GOA165" s="146"/>
      <c r="GOB165" s="146"/>
      <c r="GOC165" s="146"/>
      <c r="GOD165" s="146"/>
      <c r="GOE165" s="146"/>
      <c r="GOF165" s="146"/>
      <c r="GOG165" s="146"/>
      <c r="GOH165" s="146"/>
      <c r="GOI165" s="146"/>
      <c r="GOJ165" s="146"/>
      <c r="GOK165" s="146"/>
      <c r="GOL165" s="146"/>
      <c r="GOM165" s="146"/>
      <c r="GON165" s="146"/>
      <c r="GOO165" s="146"/>
      <c r="GOP165" s="146"/>
      <c r="GOQ165" s="146"/>
      <c r="GOR165" s="146"/>
      <c r="GOS165" s="146"/>
      <c r="GOT165" s="146"/>
      <c r="GOU165" s="146"/>
      <c r="GOV165" s="146"/>
      <c r="GOW165" s="146"/>
      <c r="GOX165" s="146"/>
      <c r="GOY165" s="146"/>
      <c r="GOZ165" s="146"/>
      <c r="GPA165" s="146"/>
      <c r="GPB165" s="146"/>
      <c r="GPC165" s="146"/>
      <c r="GPD165" s="146"/>
      <c r="GPE165" s="146"/>
      <c r="GPF165" s="146"/>
      <c r="GPG165" s="146"/>
      <c r="GPH165" s="146"/>
      <c r="GPI165" s="146"/>
      <c r="GPJ165" s="146"/>
      <c r="GPK165" s="146"/>
      <c r="GPL165" s="146"/>
      <c r="GPM165" s="146"/>
      <c r="GPN165" s="146"/>
      <c r="GPO165" s="146"/>
      <c r="GPP165" s="146"/>
      <c r="GPQ165" s="146"/>
      <c r="GPR165" s="146"/>
      <c r="GPS165" s="146"/>
      <c r="GPT165" s="146"/>
      <c r="GPU165" s="146"/>
      <c r="GPV165" s="146"/>
      <c r="GPW165" s="146"/>
      <c r="GPX165" s="146"/>
      <c r="GPY165" s="146"/>
      <c r="GPZ165" s="146"/>
      <c r="GQA165" s="146"/>
      <c r="GQB165" s="146"/>
      <c r="GQC165" s="146"/>
      <c r="GQD165" s="146"/>
      <c r="GQE165" s="146"/>
      <c r="GQF165" s="146"/>
      <c r="GQG165" s="146"/>
      <c r="GQH165" s="146"/>
      <c r="GQI165" s="146"/>
      <c r="GQJ165" s="146"/>
      <c r="GQK165" s="146"/>
      <c r="GQL165" s="146"/>
      <c r="GQM165" s="146"/>
      <c r="GQN165" s="146"/>
      <c r="GQO165" s="146"/>
      <c r="GQP165" s="146"/>
      <c r="GQQ165" s="146"/>
      <c r="GQR165" s="146"/>
      <c r="GQS165" s="146"/>
      <c r="GQT165" s="146"/>
      <c r="GQU165" s="146"/>
      <c r="GQV165" s="146"/>
      <c r="GQW165" s="146"/>
      <c r="GQX165" s="146"/>
      <c r="GQY165" s="146"/>
      <c r="GQZ165" s="146"/>
      <c r="GRA165" s="146"/>
      <c r="GRB165" s="146"/>
      <c r="GRC165" s="146"/>
      <c r="GRD165" s="146"/>
      <c r="GRE165" s="146"/>
      <c r="GRF165" s="146"/>
      <c r="GRG165" s="146"/>
      <c r="GRH165" s="146"/>
      <c r="GRI165" s="146"/>
      <c r="GRJ165" s="146"/>
      <c r="GRK165" s="146"/>
      <c r="GRL165" s="146"/>
      <c r="GRM165" s="146"/>
      <c r="GRN165" s="146"/>
      <c r="GRO165" s="146"/>
      <c r="GRP165" s="146"/>
      <c r="GRQ165" s="146"/>
      <c r="GRR165" s="146"/>
      <c r="GRS165" s="146"/>
      <c r="GRT165" s="146"/>
      <c r="GRU165" s="146"/>
      <c r="GRV165" s="146"/>
      <c r="GRW165" s="146"/>
      <c r="GRX165" s="146"/>
      <c r="GRY165" s="146"/>
      <c r="GRZ165" s="146"/>
      <c r="GSA165" s="146"/>
      <c r="GSB165" s="146"/>
      <c r="GSC165" s="146"/>
      <c r="GSD165" s="146"/>
      <c r="GSE165" s="146"/>
      <c r="GSF165" s="146"/>
      <c r="GSG165" s="146"/>
      <c r="GSH165" s="146"/>
      <c r="GSI165" s="146"/>
      <c r="GSJ165" s="146"/>
      <c r="GSK165" s="146"/>
      <c r="GSL165" s="146"/>
      <c r="GSM165" s="146"/>
      <c r="GSN165" s="146"/>
      <c r="GSO165" s="146"/>
      <c r="GSP165" s="146"/>
      <c r="GSQ165" s="146"/>
      <c r="GSR165" s="146"/>
      <c r="GSS165" s="146"/>
      <c r="GST165" s="146"/>
      <c r="GSU165" s="146"/>
      <c r="GSV165" s="146"/>
      <c r="GSW165" s="146"/>
      <c r="GSX165" s="146"/>
      <c r="GSY165" s="146"/>
      <c r="GSZ165" s="146"/>
      <c r="GTA165" s="146"/>
      <c r="GTB165" s="146"/>
      <c r="GTC165" s="146"/>
      <c r="GTD165" s="146"/>
      <c r="GTE165" s="146"/>
      <c r="GTF165" s="146"/>
      <c r="GTG165" s="146"/>
      <c r="GTH165" s="146"/>
      <c r="GTI165" s="146"/>
      <c r="GTJ165" s="146"/>
      <c r="GTK165" s="146"/>
      <c r="GTL165" s="146"/>
      <c r="GTM165" s="146"/>
      <c r="GTN165" s="146"/>
      <c r="GTO165" s="146"/>
      <c r="GTP165" s="146"/>
      <c r="GTQ165" s="146"/>
      <c r="GTR165" s="146"/>
      <c r="GTS165" s="146"/>
      <c r="GTT165" s="146"/>
      <c r="GTU165" s="146"/>
      <c r="GTV165" s="146"/>
      <c r="GTW165" s="146"/>
      <c r="GTX165" s="146"/>
      <c r="GTY165" s="146"/>
      <c r="GTZ165" s="146"/>
      <c r="GUA165" s="146"/>
      <c r="GUB165" s="146"/>
      <c r="GUC165" s="146"/>
      <c r="GUD165" s="146"/>
      <c r="GUE165" s="146"/>
      <c r="GUF165" s="146"/>
      <c r="GUG165" s="146"/>
      <c r="GUH165" s="146"/>
      <c r="GUI165" s="146"/>
      <c r="GUJ165" s="146"/>
      <c r="GUK165" s="146"/>
      <c r="GUL165" s="146"/>
      <c r="GUM165" s="146"/>
      <c r="GUN165" s="146"/>
      <c r="GUO165" s="146"/>
      <c r="GUP165" s="146"/>
      <c r="GUQ165" s="146"/>
      <c r="GUR165" s="146"/>
      <c r="GUS165" s="146"/>
      <c r="GUT165" s="146"/>
      <c r="GUU165" s="146"/>
      <c r="GUV165" s="146"/>
      <c r="GUW165" s="146"/>
      <c r="GUX165" s="146"/>
      <c r="GUY165" s="146"/>
      <c r="GUZ165" s="146"/>
      <c r="GVA165" s="146"/>
      <c r="GVB165" s="146"/>
      <c r="GVC165" s="146"/>
      <c r="GVD165" s="146"/>
      <c r="GVE165" s="146"/>
      <c r="GVF165" s="146"/>
      <c r="GVG165" s="146"/>
      <c r="GVH165" s="146"/>
      <c r="GVI165" s="146"/>
      <c r="GVJ165" s="146"/>
      <c r="GVK165" s="146"/>
      <c r="GVL165" s="146"/>
      <c r="GVM165" s="146"/>
      <c r="GVN165" s="146"/>
      <c r="GVO165" s="146"/>
      <c r="GVP165" s="146"/>
      <c r="GVQ165" s="146"/>
      <c r="GVR165" s="146"/>
      <c r="GVS165" s="146"/>
      <c r="GVT165" s="146"/>
      <c r="GVU165" s="146"/>
      <c r="GVV165" s="146"/>
      <c r="GVW165" s="146"/>
      <c r="GVX165" s="146"/>
      <c r="GVY165" s="146"/>
      <c r="GVZ165" s="146"/>
      <c r="GWA165" s="146"/>
      <c r="GWB165" s="146"/>
      <c r="GWC165" s="146"/>
      <c r="GWD165" s="146"/>
      <c r="GWE165" s="146"/>
      <c r="GWF165" s="146"/>
      <c r="GWG165" s="146"/>
      <c r="GWH165" s="146"/>
      <c r="GWI165" s="146"/>
      <c r="GWJ165" s="146"/>
      <c r="GWK165" s="146"/>
      <c r="GWL165" s="146"/>
      <c r="GWM165" s="146"/>
      <c r="GWN165" s="146"/>
      <c r="GWO165" s="146"/>
      <c r="GWP165" s="146"/>
      <c r="GWQ165" s="146"/>
      <c r="GWR165" s="146"/>
      <c r="GWS165" s="146"/>
      <c r="GWT165" s="146"/>
      <c r="GWU165" s="146"/>
      <c r="GWV165" s="146"/>
      <c r="GWW165" s="146"/>
      <c r="GWX165" s="146"/>
      <c r="GWY165" s="146"/>
      <c r="GWZ165" s="146"/>
      <c r="GXA165" s="146"/>
      <c r="GXB165" s="146"/>
      <c r="GXC165" s="146"/>
      <c r="GXD165" s="146"/>
      <c r="GXE165" s="146"/>
      <c r="GXF165" s="146"/>
      <c r="GXG165" s="146"/>
      <c r="GXH165" s="146"/>
      <c r="GXI165" s="146"/>
      <c r="GXJ165" s="146"/>
      <c r="GXK165" s="146"/>
      <c r="GXL165" s="146"/>
      <c r="GXM165" s="146"/>
      <c r="GXN165" s="146"/>
      <c r="GXO165" s="146"/>
      <c r="GXP165" s="146"/>
      <c r="GXQ165" s="146"/>
      <c r="GXR165" s="146"/>
      <c r="GXS165" s="146"/>
      <c r="GXT165" s="146"/>
      <c r="GXU165" s="146"/>
      <c r="GXV165" s="146"/>
      <c r="GXW165" s="146"/>
      <c r="GXX165" s="146"/>
      <c r="GXY165" s="146"/>
      <c r="GXZ165" s="146"/>
      <c r="GYA165" s="146"/>
      <c r="GYB165" s="146"/>
      <c r="GYC165" s="146"/>
      <c r="GYD165" s="146"/>
      <c r="GYE165" s="146"/>
      <c r="GYF165" s="146"/>
      <c r="GYG165" s="146"/>
      <c r="GYH165" s="146"/>
      <c r="GYI165" s="146"/>
      <c r="GYJ165" s="146"/>
      <c r="GYK165" s="146"/>
      <c r="GYL165" s="146"/>
      <c r="GYM165" s="146"/>
      <c r="GYN165" s="146"/>
      <c r="GYO165" s="146"/>
      <c r="GYP165" s="146"/>
      <c r="GYQ165" s="146"/>
      <c r="GYR165" s="146"/>
      <c r="GYS165" s="146"/>
      <c r="GYT165" s="146"/>
      <c r="GYU165" s="146"/>
      <c r="GYV165" s="146"/>
      <c r="GYW165" s="146"/>
      <c r="GYX165" s="146"/>
      <c r="GYY165" s="146"/>
      <c r="GYZ165" s="146"/>
      <c r="GZA165" s="146"/>
      <c r="GZB165" s="146"/>
      <c r="GZC165" s="146"/>
      <c r="GZD165" s="146"/>
      <c r="GZE165" s="146"/>
      <c r="GZF165" s="146"/>
      <c r="GZG165" s="146"/>
      <c r="GZH165" s="146"/>
      <c r="GZI165" s="146"/>
      <c r="GZJ165" s="146"/>
      <c r="GZK165" s="146"/>
      <c r="GZL165" s="146"/>
      <c r="GZM165" s="146"/>
      <c r="GZN165" s="146"/>
      <c r="GZO165" s="146"/>
      <c r="GZP165" s="146"/>
      <c r="GZQ165" s="146"/>
      <c r="GZR165" s="146"/>
      <c r="GZS165" s="146"/>
      <c r="GZT165" s="146"/>
      <c r="GZU165" s="146"/>
      <c r="GZV165" s="146"/>
      <c r="GZW165" s="146"/>
      <c r="GZX165" s="146"/>
      <c r="GZY165" s="146"/>
      <c r="GZZ165" s="146"/>
      <c r="HAA165" s="146"/>
      <c r="HAB165" s="146"/>
      <c r="HAC165" s="146"/>
      <c r="HAD165" s="146"/>
      <c r="HAE165" s="146"/>
      <c r="HAF165" s="146"/>
      <c r="HAG165" s="146"/>
      <c r="HAH165" s="146"/>
      <c r="HAI165" s="146"/>
      <c r="HAJ165" s="146"/>
      <c r="HAK165" s="146"/>
      <c r="HAL165" s="146"/>
      <c r="HAM165" s="146"/>
      <c r="HAN165" s="146"/>
      <c r="HAO165" s="146"/>
      <c r="HAP165" s="146"/>
      <c r="HAQ165" s="146"/>
      <c r="HAR165" s="146"/>
      <c r="HAS165" s="146"/>
      <c r="HAT165" s="146"/>
      <c r="HAU165" s="146"/>
      <c r="HAV165" s="146"/>
      <c r="HAW165" s="146"/>
      <c r="HAX165" s="146"/>
      <c r="HAY165" s="146"/>
      <c r="HAZ165" s="146"/>
      <c r="HBA165" s="146"/>
      <c r="HBB165" s="146"/>
      <c r="HBC165" s="146"/>
      <c r="HBD165" s="146"/>
      <c r="HBE165" s="146"/>
      <c r="HBF165" s="146"/>
      <c r="HBG165" s="146"/>
      <c r="HBH165" s="146"/>
      <c r="HBI165" s="146"/>
      <c r="HBJ165" s="146"/>
      <c r="HBK165" s="146"/>
      <c r="HBL165" s="146"/>
      <c r="HBM165" s="146"/>
      <c r="HBN165" s="146"/>
      <c r="HBO165" s="146"/>
      <c r="HBP165" s="146"/>
      <c r="HBQ165" s="146"/>
      <c r="HBR165" s="146"/>
      <c r="HBS165" s="146"/>
      <c r="HBT165" s="146"/>
      <c r="HBU165" s="146"/>
      <c r="HBV165" s="146"/>
      <c r="HBW165" s="146"/>
      <c r="HBX165" s="146"/>
      <c r="HBY165" s="146"/>
      <c r="HBZ165" s="146"/>
      <c r="HCA165" s="146"/>
      <c r="HCB165" s="146"/>
      <c r="HCC165" s="146"/>
      <c r="HCD165" s="146"/>
      <c r="HCE165" s="146"/>
      <c r="HCF165" s="146"/>
      <c r="HCG165" s="146"/>
      <c r="HCH165" s="146"/>
      <c r="HCI165" s="146"/>
      <c r="HCJ165" s="146"/>
      <c r="HCK165" s="146"/>
      <c r="HCL165" s="146"/>
      <c r="HCM165" s="146"/>
      <c r="HCN165" s="146"/>
      <c r="HCO165" s="146"/>
      <c r="HCP165" s="146"/>
      <c r="HCQ165" s="146"/>
      <c r="HCR165" s="146"/>
      <c r="HCS165" s="146"/>
      <c r="HCT165" s="146"/>
      <c r="HCU165" s="146"/>
      <c r="HCV165" s="146"/>
      <c r="HCW165" s="146"/>
      <c r="HCX165" s="146"/>
      <c r="HCY165" s="146"/>
      <c r="HCZ165" s="146"/>
      <c r="HDA165" s="146"/>
      <c r="HDB165" s="146"/>
      <c r="HDC165" s="146"/>
      <c r="HDD165" s="146"/>
      <c r="HDE165" s="146"/>
      <c r="HDF165" s="146"/>
      <c r="HDG165" s="146"/>
      <c r="HDH165" s="146"/>
      <c r="HDI165" s="146"/>
      <c r="HDJ165" s="146"/>
      <c r="HDK165" s="146"/>
      <c r="HDL165" s="146"/>
      <c r="HDM165" s="146"/>
      <c r="HDN165" s="146"/>
      <c r="HDO165" s="146"/>
      <c r="HDP165" s="146"/>
      <c r="HDQ165" s="146"/>
      <c r="HDR165" s="146"/>
      <c r="HDS165" s="146"/>
      <c r="HDT165" s="146"/>
      <c r="HDU165" s="146"/>
      <c r="HDV165" s="146"/>
      <c r="HDW165" s="146"/>
      <c r="HDX165" s="146"/>
      <c r="HDY165" s="146"/>
      <c r="HDZ165" s="146"/>
      <c r="HEA165" s="146"/>
      <c r="HEB165" s="146"/>
      <c r="HEC165" s="146"/>
      <c r="HED165" s="146"/>
      <c r="HEE165" s="146"/>
      <c r="HEF165" s="146"/>
      <c r="HEG165" s="146"/>
      <c r="HEH165" s="146"/>
      <c r="HEI165" s="146"/>
      <c r="HEJ165" s="146"/>
      <c r="HEK165" s="146"/>
      <c r="HEL165" s="146"/>
      <c r="HEM165" s="146"/>
      <c r="HEN165" s="146"/>
      <c r="HEO165" s="146"/>
      <c r="HEP165" s="146"/>
      <c r="HEQ165" s="146"/>
      <c r="HER165" s="146"/>
      <c r="HES165" s="146"/>
      <c r="HET165" s="146"/>
      <c r="HEU165" s="146"/>
      <c r="HEV165" s="146"/>
      <c r="HEW165" s="146"/>
      <c r="HEX165" s="146"/>
      <c r="HEY165" s="146"/>
      <c r="HEZ165" s="146"/>
      <c r="HFA165" s="146"/>
      <c r="HFB165" s="146"/>
      <c r="HFC165" s="146"/>
      <c r="HFD165" s="146"/>
      <c r="HFE165" s="146"/>
      <c r="HFF165" s="146"/>
      <c r="HFG165" s="146"/>
      <c r="HFH165" s="146"/>
      <c r="HFI165" s="146"/>
      <c r="HFJ165" s="146"/>
      <c r="HFK165" s="146"/>
      <c r="HFL165" s="146"/>
      <c r="HFM165" s="146"/>
      <c r="HFN165" s="146"/>
      <c r="HFO165" s="146"/>
      <c r="HFP165" s="146"/>
      <c r="HFQ165" s="146"/>
      <c r="HFR165" s="146"/>
      <c r="HFS165" s="146"/>
      <c r="HFT165" s="146"/>
      <c r="HFU165" s="146"/>
      <c r="HFV165" s="146"/>
      <c r="HFW165" s="146"/>
      <c r="HFX165" s="146"/>
      <c r="HFY165" s="146"/>
      <c r="HFZ165" s="146"/>
      <c r="HGA165" s="146"/>
      <c r="HGB165" s="146"/>
      <c r="HGC165" s="146"/>
      <c r="HGD165" s="146"/>
      <c r="HGE165" s="146"/>
      <c r="HGF165" s="146"/>
      <c r="HGG165" s="146"/>
      <c r="HGH165" s="146"/>
      <c r="HGI165" s="146"/>
      <c r="HGJ165" s="146"/>
      <c r="HGK165" s="146"/>
      <c r="HGL165" s="146"/>
      <c r="HGM165" s="146"/>
      <c r="HGN165" s="146"/>
      <c r="HGO165" s="146"/>
      <c r="HGP165" s="146"/>
      <c r="HGQ165" s="146"/>
      <c r="HGR165" s="146"/>
      <c r="HGS165" s="146"/>
      <c r="HGT165" s="146"/>
      <c r="HGU165" s="146"/>
      <c r="HGV165" s="146"/>
      <c r="HGW165" s="146"/>
      <c r="HGX165" s="146"/>
      <c r="HGY165" s="146"/>
      <c r="HGZ165" s="146"/>
      <c r="HHA165" s="146"/>
      <c r="HHB165" s="146"/>
      <c r="HHC165" s="146"/>
      <c r="HHD165" s="146"/>
      <c r="HHE165" s="146"/>
      <c r="HHF165" s="146"/>
      <c r="HHG165" s="146"/>
      <c r="HHH165" s="146"/>
      <c r="HHI165" s="146"/>
      <c r="HHJ165" s="146"/>
      <c r="HHK165" s="146"/>
      <c r="HHL165" s="146"/>
      <c r="HHM165" s="146"/>
      <c r="HHN165" s="146"/>
      <c r="HHO165" s="146"/>
      <c r="HHP165" s="146"/>
      <c r="HHQ165" s="146"/>
      <c r="HHR165" s="146"/>
      <c r="HHS165" s="146"/>
      <c r="HHT165" s="146"/>
      <c r="HHU165" s="146"/>
      <c r="HHV165" s="146"/>
      <c r="HHW165" s="146"/>
      <c r="HHX165" s="146"/>
      <c r="HHY165" s="146"/>
      <c r="HHZ165" s="146"/>
      <c r="HIA165" s="146"/>
      <c r="HIB165" s="146"/>
      <c r="HIC165" s="146"/>
      <c r="HID165" s="146"/>
      <c r="HIE165" s="146"/>
      <c r="HIF165" s="146"/>
      <c r="HIG165" s="146"/>
      <c r="HIH165" s="146"/>
      <c r="HII165" s="146"/>
      <c r="HIJ165" s="146"/>
      <c r="HIK165" s="146"/>
      <c r="HIL165" s="146"/>
      <c r="HIM165" s="146"/>
      <c r="HIN165" s="146"/>
      <c r="HIO165" s="146"/>
      <c r="HIP165" s="146"/>
      <c r="HIQ165" s="146"/>
      <c r="HIR165" s="146"/>
      <c r="HIS165" s="146"/>
      <c r="HIT165" s="146"/>
      <c r="HIU165" s="146"/>
      <c r="HIV165" s="146"/>
      <c r="HIW165" s="146"/>
      <c r="HIX165" s="146"/>
      <c r="HIY165" s="146"/>
      <c r="HIZ165" s="146"/>
      <c r="HJA165" s="146"/>
      <c r="HJB165" s="146"/>
      <c r="HJC165" s="146"/>
      <c r="HJD165" s="146"/>
      <c r="HJE165" s="146"/>
      <c r="HJF165" s="146"/>
      <c r="HJG165" s="146"/>
      <c r="HJH165" s="146"/>
      <c r="HJI165" s="146"/>
      <c r="HJJ165" s="146"/>
      <c r="HJK165" s="146"/>
      <c r="HJL165" s="146"/>
      <c r="HJM165" s="146"/>
      <c r="HJN165" s="146"/>
      <c r="HJO165" s="146"/>
      <c r="HJP165" s="146"/>
      <c r="HJQ165" s="146"/>
      <c r="HJR165" s="146"/>
      <c r="HJS165" s="146"/>
      <c r="HJT165" s="146"/>
      <c r="HJU165" s="146"/>
      <c r="HJV165" s="146"/>
      <c r="HJW165" s="146"/>
      <c r="HJX165" s="146"/>
      <c r="HJY165" s="146"/>
      <c r="HJZ165" s="146"/>
      <c r="HKA165" s="146"/>
      <c r="HKB165" s="146"/>
      <c r="HKC165" s="146"/>
      <c r="HKD165" s="146"/>
      <c r="HKE165" s="146"/>
      <c r="HKF165" s="146"/>
      <c r="HKG165" s="146"/>
      <c r="HKH165" s="146"/>
      <c r="HKI165" s="146"/>
      <c r="HKJ165" s="146"/>
      <c r="HKK165" s="146"/>
      <c r="HKL165" s="146"/>
      <c r="HKM165" s="146"/>
      <c r="HKN165" s="146"/>
      <c r="HKO165" s="146"/>
      <c r="HKP165" s="146"/>
      <c r="HKQ165" s="146"/>
      <c r="HKR165" s="146"/>
      <c r="HKS165" s="146"/>
      <c r="HKT165" s="146"/>
      <c r="HKU165" s="146"/>
      <c r="HKV165" s="146"/>
      <c r="HKW165" s="146"/>
      <c r="HKX165" s="146"/>
      <c r="HKY165" s="146"/>
      <c r="HKZ165" s="146"/>
      <c r="HLA165" s="146"/>
      <c r="HLB165" s="146"/>
      <c r="HLC165" s="146"/>
      <c r="HLD165" s="146"/>
      <c r="HLE165" s="146"/>
      <c r="HLF165" s="146"/>
      <c r="HLG165" s="146"/>
      <c r="HLH165" s="146"/>
      <c r="HLI165" s="146"/>
      <c r="HLJ165" s="146"/>
      <c r="HLK165" s="146"/>
      <c r="HLL165" s="146"/>
      <c r="HLM165" s="146"/>
      <c r="HLN165" s="146"/>
      <c r="HLO165" s="146"/>
      <c r="HLP165" s="146"/>
      <c r="HLQ165" s="146"/>
      <c r="HLR165" s="146"/>
      <c r="HLS165" s="146"/>
      <c r="HLT165" s="146"/>
      <c r="HLU165" s="146"/>
      <c r="HLV165" s="146"/>
      <c r="HLW165" s="146"/>
      <c r="HLX165" s="146"/>
      <c r="HLY165" s="146"/>
      <c r="HLZ165" s="146"/>
      <c r="HMA165" s="146"/>
      <c r="HMB165" s="146"/>
      <c r="HMC165" s="146"/>
      <c r="HMD165" s="146"/>
      <c r="HME165" s="146"/>
      <c r="HMF165" s="146"/>
      <c r="HMG165" s="146"/>
      <c r="HMH165" s="146"/>
      <c r="HMI165" s="146"/>
      <c r="HMJ165" s="146"/>
      <c r="HMK165" s="146"/>
      <c r="HML165" s="146"/>
      <c r="HMM165" s="146"/>
      <c r="HMN165" s="146"/>
      <c r="HMO165" s="146"/>
      <c r="HMP165" s="146"/>
      <c r="HMQ165" s="146"/>
      <c r="HMR165" s="146"/>
      <c r="HMS165" s="146"/>
      <c r="HMT165" s="146"/>
      <c r="HMU165" s="146"/>
      <c r="HMV165" s="146"/>
      <c r="HMW165" s="146"/>
      <c r="HMX165" s="146"/>
      <c r="HMY165" s="146"/>
      <c r="HMZ165" s="146"/>
      <c r="HNA165" s="146"/>
      <c r="HNB165" s="146"/>
      <c r="HNC165" s="146"/>
      <c r="HND165" s="146"/>
      <c r="HNE165" s="146"/>
      <c r="HNF165" s="146"/>
      <c r="HNG165" s="146"/>
      <c r="HNH165" s="146"/>
      <c r="HNI165" s="146"/>
      <c r="HNJ165" s="146"/>
      <c r="HNK165" s="146"/>
      <c r="HNL165" s="146"/>
      <c r="HNM165" s="146"/>
      <c r="HNN165" s="146"/>
      <c r="HNO165" s="146"/>
      <c r="HNP165" s="146"/>
      <c r="HNQ165" s="146"/>
      <c r="HNR165" s="146"/>
      <c r="HNS165" s="146"/>
      <c r="HNT165" s="146"/>
      <c r="HNU165" s="146"/>
      <c r="HNV165" s="146"/>
      <c r="HNW165" s="146"/>
      <c r="HNX165" s="146"/>
      <c r="HNY165" s="146"/>
      <c r="HNZ165" s="146"/>
      <c r="HOA165" s="146"/>
      <c r="HOB165" s="146"/>
      <c r="HOC165" s="146"/>
      <c r="HOD165" s="146"/>
      <c r="HOE165" s="146"/>
      <c r="HOF165" s="146"/>
      <c r="HOG165" s="146"/>
      <c r="HOH165" s="146"/>
      <c r="HOI165" s="146"/>
      <c r="HOJ165" s="146"/>
      <c r="HOK165" s="146"/>
      <c r="HOL165" s="146"/>
      <c r="HOM165" s="146"/>
      <c r="HON165" s="146"/>
      <c r="HOO165" s="146"/>
      <c r="HOP165" s="146"/>
      <c r="HOQ165" s="146"/>
      <c r="HOR165" s="146"/>
      <c r="HOS165" s="146"/>
      <c r="HOT165" s="146"/>
      <c r="HOU165" s="146"/>
      <c r="HOV165" s="146"/>
      <c r="HOW165" s="146"/>
      <c r="HOX165" s="146"/>
      <c r="HOY165" s="146"/>
      <c r="HOZ165" s="146"/>
      <c r="HPA165" s="146"/>
      <c r="HPB165" s="146"/>
      <c r="HPC165" s="146"/>
      <c r="HPD165" s="146"/>
      <c r="HPE165" s="146"/>
      <c r="HPF165" s="146"/>
      <c r="HPG165" s="146"/>
      <c r="HPH165" s="146"/>
      <c r="HPI165" s="146"/>
      <c r="HPJ165" s="146"/>
      <c r="HPK165" s="146"/>
      <c r="HPL165" s="146"/>
      <c r="HPM165" s="146"/>
      <c r="HPN165" s="146"/>
      <c r="HPO165" s="146"/>
      <c r="HPP165" s="146"/>
      <c r="HPQ165" s="146"/>
      <c r="HPR165" s="146"/>
      <c r="HPS165" s="146"/>
      <c r="HPT165" s="146"/>
      <c r="HPU165" s="146"/>
      <c r="HPV165" s="146"/>
      <c r="HPW165" s="146"/>
      <c r="HPX165" s="146"/>
      <c r="HPY165" s="146"/>
      <c r="HPZ165" s="146"/>
      <c r="HQA165" s="146"/>
      <c r="HQB165" s="146"/>
      <c r="HQC165" s="146"/>
      <c r="HQD165" s="146"/>
      <c r="HQE165" s="146"/>
      <c r="HQF165" s="146"/>
      <c r="HQG165" s="146"/>
      <c r="HQH165" s="146"/>
      <c r="HQI165" s="146"/>
      <c r="HQJ165" s="146"/>
      <c r="HQK165" s="146"/>
      <c r="HQL165" s="146"/>
      <c r="HQM165" s="146"/>
      <c r="HQN165" s="146"/>
      <c r="HQO165" s="146"/>
      <c r="HQP165" s="146"/>
      <c r="HQQ165" s="146"/>
      <c r="HQR165" s="146"/>
      <c r="HQS165" s="146"/>
      <c r="HQT165" s="146"/>
      <c r="HQU165" s="146"/>
      <c r="HQV165" s="146"/>
      <c r="HQW165" s="146"/>
      <c r="HQX165" s="146"/>
      <c r="HQY165" s="146"/>
      <c r="HQZ165" s="146"/>
      <c r="HRA165" s="146"/>
      <c r="HRB165" s="146"/>
      <c r="HRC165" s="146"/>
      <c r="HRD165" s="146"/>
      <c r="HRE165" s="146"/>
      <c r="HRF165" s="146"/>
      <c r="HRG165" s="146"/>
      <c r="HRH165" s="146"/>
      <c r="HRI165" s="146"/>
      <c r="HRJ165" s="146"/>
      <c r="HRK165" s="146"/>
      <c r="HRL165" s="146"/>
      <c r="HRM165" s="146"/>
      <c r="HRN165" s="146"/>
      <c r="HRO165" s="146"/>
      <c r="HRP165" s="146"/>
      <c r="HRQ165" s="146"/>
      <c r="HRR165" s="146"/>
      <c r="HRS165" s="146"/>
      <c r="HRT165" s="146"/>
      <c r="HRU165" s="146"/>
      <c r="HRV165" s="146"/>
      <c r="HRW165" s="146"/>
      <c r="HRX165" s="146"/>
      <c r="HRY165" s="146"/>
      <c r="HRZ165" s="146"/>
      <c r="HSA165" s="146"/>
      <c r="HSB165" s="146"/>
      <c r="HSC165" s="146"/>
      <c r="HSD165" s="146"/>
      <c r="HSE165" s="146"/>
      <c r="HSF165" s="146"/>
      <c r="HSG165" s="146"/>
      <c r="HSH165" s="146"/>
      <c r="HSI165" s="146"/>
      <c r="HSJ165" s="146"/>
      <c r="HSK165" s="146"/>
      <c r="HSL165" s="146"/>
      <c r="HSM165" s="146"/>
      <c r="HSN165" s="146"/>
      <c r="HSO165" s="146"/>
      <c r="HSP165" s="146"/>
      <c r="HSQ165" s="146"/>
      <c r="HSR165" s="146"/>
      <c r="HSS165" s="146"/>
      <c r="HST165" s="146"/>
      <c r="HSU165" s="146"/>
      <c r="HSV165" s="146"/>
      <c r="HSW165" s="146"/>
      <c r="HSX165" s="146"/>
      <c r="HSY165" s="146"/>
      <c r="HSZ165" s="146"/>
      <c r="HTA165" s="146"/>
      <c r="HTB165" s="146"/>
      <c r="HTC165" s="146"/>
      <c r="HTD165" s="146"/>
      <c r="HTE165" s="146"/>
      <c r="HTF165" s="146"/>
      <c r="HTG165" s="146"/>
      <c r="HTH165" s="146"/>
      <c r="HTI165" s="146"/>
      <c r="HTJ165" s="146"/>
      <c r="HTK165" s="146"/>
      <c r="HTL165" s="146"/>
      <c r="HTM165" s="146"/>
      <c r="HTN165" s="146"/>
      <c r="HTO165" s="146"/>
      <c r="HTP165" s="146"/>
      <c r="HTQ165" s="146"/>
      <c r="HTR165" s="146"/>
      <c r="HTS165" s="146"/>
      <c r="HTT165" s="146"/>
      <c r="HTU165" s="146"/>
      <c r="HTV165" s="146"/>
      <c r="HTW165" s="146"/>
      <c r="HTX165" s="146"/>
      <c r="HTY165" s="146"/>
      <c r="HTZ165" s="146"/>
      <c r="HUA165" s="146"/>
      <c r="HUB165" s="146"/>
      <c r="HUC165" s="146"/>
      <c r="HUD165" s="146"/>
      <c r="HUE165" s="146"/>
      <c r="HUF165" s="146"/>
      <c r="HUG165" s="146"/>
      <c r="HUH165" s="146"/>
      <c r="HUI165" s="146"/>
      <c r="HUJ165" s="146"/>
      <c r="HUK165" s="146"/>
      <c r="HUL165" s="146"/>
      <c r="HUM165" s="146"/>
      <c r="HUN165" s="146"/>
      <c r="HUO165" s="146"/>
      <c r="HUP165" s="146"/>
      <c r="HUQ165" s="146"/>
      <c r="HUR165" s="146"/>
      <c r="HUS165" s="146"/>
      <c r="HUT165" s="146"/>
      <c r="HUU165" s="146"/>
      <c r="HUV165" s="146"/>
      <c r="HUW165" s="146"/>
      <c r="HUX165" s="146"/>
      <c r="HUY165" s="146"/>
      <c r="HUZ165" s="146"/>
      <c r="HVA165" s="146"/>
      <c r="HVB165" s="146"/>
      <c r="HVC165" s="146"/>
      <c r="HVD165" s="146"/>
      <c r="HVE165" s="146"/>
      <c r="HVF165" s="146"/>
      <c r="HVG165" s="146"/>
      <c r="HVH165" s="146"/>
      <c r="HVI165" s="146"/>
      <c r="HVJ165" s="146"/>
      <c r="HVK165" s="146"/>
      <c r="HVL165" s="146"/>
      <c r="HVM165" s="146"/>
      <c r="HVN165" s="146"/>
      <c r="HVO165" s="146"/>
      <c r="HVP165" s="146"/>
      <c r="HVQ165" s="146"/>
      <c r="HVR165" s="146"/>
      <c r="HVS165" s="146"/>
      <c r="HVT165" s="146"/>
      <c r="HVU165" s="146"/>
      <c r="HVV165" s="146"/>
      <c r="HVW165" s="146"/>
      <c r="HVX165" s="146"/>
      <c r="HVY165" s="146"/>
      <c r="HVZ165" s="146"/>
      <c r="HWA165" s="146"/>
      <c r="HWB165" s="146"/>
      <c r="HWC165" s="146"/>
      <c r="HWD165" s="146"/>
      <c r="HWE165" s="146"/>
      <c r="HWF165" s="146"/>
      <c r="HWG165" s="146"/>
      <c r="HWH165" s="146"/>
      <c r="HWI165" s="146"/>
      <c r="HWJ165" s="146"/>
      <c r="HWK165" s="146"/>
      <c r="HWL165" s="146"/>
      <c r="HWM165" s="146"/>
      <c r="HWN165" s="146"/>
      <c r="HWO165" s="146"/>
      <c r="HWP165" s="146"/>
      <c r="HWQ165" s="146"/>
      <c r="HWR165" s="146"/>
      <c r="HWS165" s="146"/>
      <c r="HWT165" s="146"/>
      <c r="HWU165" s="146"/>
      <c r="HWV165" s="146"/>
      <c r="HWW165" s="146"/>
      <c r="HWX165" s="146"/>
      <c r="HWY165" s="146"/>
      <c r="HWZ165" s="146"/>
      <c r="HXA165" s="146"/>
      <c r="HXB165" s="146"/>
      <c r="HXC165" s="146"/>
      <c r="HXD165" s="146"/>
      <c r="HXE165" s="146"/>
      <c r="HXF165" s="146"/>
      <c r="HXG165" s="146"/>
      <c r="HXH165" s="146"/>
      <c r="HXI165" s="146"/>
      <c r="HXJ165" s="146"/>
      <c r="HXK165" s="146"/>
      <c r="HXL165" s="146"/>
      <c r="HXM165" s="146"/>
      <c r="HXN165" s="146"/>
      <c r="HXO165" s="146"/>
      <c r="HXP165" s="146"/>
      <c r="HXQ165" s="146"/>
      <c r="HXR165" s="146"/>
      <c r="HXS165" s="146"/>
      <c r="HXT165" s="146"/>
      <c r="HXU165" s="146"/>
      <c r="HXV165" s="146"/>
      <c r="HXW165" s="146"/>
      <c r="HXX165" s="146"/>
      <c r="HXY165" s="146"/>
      <c r="HXZ165" s="146"/>
      <c r="HYA165" s="146"/>
      <c r="HYB165" s="146"/>
      <c r="HYC165" s="146"/>
      <c r="HYD165" s="146"/>
      <c r="HYE165" s="146"/>
      <c r="HYF165" s="146"/>
      <c r="HYG165" s="146"/>
      <c r="HYH165" s="146"/>
      <c r="HYI165" s="146"/>
      <c r="HYJ165" s="146"/>
      <c r="HYK165" s="146"/>
      <c r="HYL165" s="146"/>
      <c r="HYM165" s="146"/>
      <c r="HYN165" s="146"/>
      <c r="HYO165" s="146"/>
      <c r="HYP165" s="146"/>
      <c r="HYQ165" s="146"/>
      <c r="HYR165" s="146"/>
      <c r="HYS165" s="146"/>
      <c r="HYT165" s="146"/>
      <c r="HYU165" s="146"/>
      <c r="HYV165" s="146"/>
      <c r="HYW165" s="146"/>
      <c r="HYX165" s="146"/>
      <c r="HYY165" s="146"/>
      <c r="HYZ165" s="146"/>
      <c r="HZA165" s="146"/>
      <c r="HZB165" s="146"/>
      <c r="HZC165" s="146"/>
      <c r="HZD165" s="146"/>
      <c r="HZE165" s="146"/>
      <c r="HZF165" s="146"/>
      <c r="HZG165" s="146"/>
      <c r="HZH165" s="146"/>
      <c r="HZI165" s="146"/>
      <c r="HZJ165" s="146"/>
      <c r="HZK165" s="146"/>
      <c r="HZL165" s="146"/>
      <c r="HZM165" s="146"/>
      <c r="HZN165" s="146"/>
      <c r="HZO165" s="146"/>
      <c r="HZP165" s="146"/>
      <c r="HZQ165" s="146"/>
      <c r="HZR165" s="146"/>
      <c r="HZS165" s="146"/>
      <c r="HZT165" s="146"/>
      <c r="HZU165" s="146"/>
      <c r="HZV165" s="146"/>
      <c r="HZW165" s="146"/>
      <c r="HZX165" s="146"/>
      <c r="HZY165" s="146"/>
      <c r="HZZ165" s="146"/>
      <c r="IAA165" s="146"/>
      <c r="IAB165" s="146"/>
      <c r="IAC165" s="146"/>
      <c r="IAD165" s="146"/>
      <c r="IAE165" s="146"/>
      <c r="IAF165" s="146"/>
      <c r="IAG165" s="146"/>
      <c r="IAH165" s="146"/>
      <c r="IAI165" s="146"/>
      <c r="IAJ165" s="146"/>
      <c r="IAK165" s="146"/>
      <c r="IAL165" s="146"/>
      <c r="IAM165" s="146"/>
      <c r="IAN165" s="146"/>
      <c r="IAO165" s="146"/>
      <c r="IAP165" s="146"/>
      <c r="IAQ165" s="146"/>
      <c r="IAR165" s="146"/>
      <c r="IAS165" s="146"/>
      <c r="IAT165" s="146"/>
      <c r="IAU165" s="146"/>
      <c r="IAV165" s="146"/>
      <c r="IAW165" s="146"/>
      <c r="IAX165" s="146"/>
      <c r="IAY165" s="146"/>
      <c r="IAZ165" s="146"/>
      <c r="IBA165" s="146"/>
      <c r="IBB165" s="146"/>
      <c r="IBC165" s="146"/>
      <c r="IBD165" s="146"/>
      <c r="IBE165" s="146"/>
      <c r="IBF165" s="146"/>
      <c r="IBG165" s="146"/>
      <c r="IBH165" s="146"/>
      <c r="IBI165" s="146"/>
      <c r="IBJ165" s="146"/>
      <c r="IBK165" s="146"/>
      <c r="IBL165" s="146"/>
      <c r="IBM165" s="146"/>
      <c r="IBN165" s="146"/>
      <c r="IBO165" s="146"/>
      <c r="IBP165" s="146"/>
      <c r="IBQ165" s="146"/>
      <c r="IBR165" s="146"/>
      <c r="IBS165" s="146"/>
      <c r="IBT165" s="146"/>
      <c r="IBU165" s="146"/>
      <c r="IBV165" s="146"/>
      <c r="IBW165" s="146"/>
      <c r="IBX165" s="146"/>
      <c r="IBY165" s="146"/>
      <c r="IBZ165" s="146"/>
      <c r="ICA165" s="146"/>
      <c r="ICB165" s="146"/>
      <c r="ICC165" s="146"/>
      <c r="ICD165" s="146"/>
      <c r="ICE165" s="146"/>
      <c r="ICF165" s="146"/>
      <c r="ICG165" s="146"/>
      <c r="ICH165" s="146"/>
      <c r="ICI165" s="146"/>
      <c r="ICJ165" s="146"/>
      <c r="ICK165" s="146"/>
      <c r="ICL165" s="146"/>
      <c r="ICM165" s="146"/>
      <c r="ICN165" s="146"/>
      <c r="ICO165" s="146"/>
      <c r="ICP165" s="146"/>
      <c r="ICQ165" s="146"/>
      <c r="ICR165" s="146"/>
      <c r="ICS165" s="146"/>
      <c r="ICT165" s="146"/>
      <c r="ICU165" s="146"/>
      <c r="ICV165" s="146"/>
      <c r="ICW165" s="146"/>
      <c r="ICX165" s="146"/>
      <c r="ICY165" s="146"/>
      <c r="ICZ165" s="146"/>
      <c r="IDA165" s="146"/>
      <c r="IDB165" s="146"/>
      <c r="IDC165" s="146"/>
      <c r="IDD165" s="146"/>
      <c r="IDE165" s="146"/>
      <c r="IDF165" s="146"/>
      <c r="IDG165" s="146"/>
      <c r="IDH165" s="146"/>
      <c r="IDI165" s="146"/>
      <c r="IDJ165" s="146"/>
      <c r="IDK165" s="146"/>
      <c r="IDL165" s="146"/>
      <c r="IDM165" s="146"/>
      <c r="IDN165" s="146"/>
      <c r="IDO165" s="146"/>
      <c r="IDP165" s="146"/>
      <c r="IDQ165" s="146"/>
      <c r="IDR165" s="146"/>
      <c r="IDS165" s="146"/>
      <c r="IDT165" s="146"/>
      <c r="IDU165" s="146"/>
      <c r="IDV165" s="146"/>
      <c r="IDW165" s="146"/>
      <c r="IDX165" s="146"/>
      <c r="IDY165" s="146"/>
      <c r="IDZ165" s="146"/>
      <c r="IEA165" s="146"/>
      <c r="IEB165" s="146"/>
      <c r="IEC165" s="146"/>
      <c r="IED165" s="146"/>
      <c r="IEE165" s="146"/>
      <c r="IEF165" s="146"/>
      <c r="IEG165" s="146"/>
      <c r="IEH165" s="146"/>
      <c r="IEI165" s="146"/>
      <c r="IEJ165" s="146"/>
      <c r="IEK165" s="146"/>
      <c r="IEL165" s="146"/>
      <c r="IEM165" s="146"/>
      <c r="IEN165" s="146"/>
      <c r="IEO165" s="146"/>
      <c r="IEP165" s="146"/>
      <c r="IEQ165" s="146"/>
      <c r="IER165" s="146"/>
      <c r="IES165" s="146"/>
      <c r="IET165" s="146"/>
      <c r="IEU165" s="146"/>
      <c r="IEV165" s="146"/>
      <c r="IEW165" s="146"/>
      <c r="IEX165" s="146"/>
      <c r="IEY165" s="146"/>
      <c r="IEZ165" s="146"/>
      <c r="IFA165" s="146"/>
      <c r="IFB165" s="146"/>
      <c r="IFC165" s="146"/>
      <c r="IFD165" s="146"/>
      <c r="IFE165" s="146"/>
      <c r="IFF165" s="146"/>
      <c r="IFG165" s="146"/>
      <c r="IFH165" s="146"/>
      <c r="IFI165" s="146"/>
      <c r="IFJ165" s="146"/>
      <c r="IFK165" s="146"/>
      <c r="IFL165" s="146"/>
      <c r="IFM165" s="146"/>
      <c r="IFN165" s="146"/>
      <c r="IFO165" s="146"/>
      <c r="IFP165" s="146"/>
      <c r="IFQ165" s="146"/>
      <c r="IFR165" s="146"/>
      <c r="IFS165" s="146"/>
      <c r="IFT165" s="146"/>
      <c r="IFU165" s="146"/>
      <c r="IFV165" s="146"/>
      <c r="IFW165" s="146"/>
      <c r="IFX165" s="146"/>
      <c r="IFY165" s="146"/>
      <c r="IFZ165" s="146"/>
      <c r="IGA165" s="146"/>
      <c r="IGB165" s="146"/>
      <c r="IGC165" s="146"/>
      <c r="IGD165" s="146"/>
      <c r="IGE165" s="146"/>
      <c r="IGF165" s="146"/>
      <c r="IGG165" s="146"/>
      <c r="IGH165" s="146"/>
      <c r="IGI165" s="146"/>
      <c r="IGJ165" s="146"/>
      <c r="IGK165" s="146"/>
      <c r="IGL165" s="146"/>
      <c r="IGM165" s="146"/>
      <c r="IGN165" s="146"/>
      <c r="IGO165" s="146"/>
      <c r="IGP165" s="146"/>
      <c r="IGQ165" s="146"/>
      <c r="IGR165" s="146"/>
      <c r="IGS165" s="146"/>
      <c r="IGT165" s="146"/>
      <c r="IGU165" s="146"/>
      <c r="IGV165" s="146"/>
      <c r="IGW165" s="146"/>
      <c r="IGX165" s="146"/>
      <c r="IGY165" s="146"/>
      <c r="IGZ165" s="146"/>
      <c r="IHA165" s="146"/>
      <c r="IHB165" s="146"/>
      <c r="IHC165" s="146"/>
      <c r="IHD165" s="146"/>
      <c r="IHE165" s="146"/>
      <c r="IHF165" s="146"/>
      <c r="IHG165" s="146"/>
      <c r="IHH165" s="146"/>
      <c r="IHI165" s="146"/>
      <c r="IHJ165" s="146"/>
      <c r="IHK165" s="146"/>
      <c r="IHL165" s="146"/>
      <c r="IHM165" s="146"/>
      <c r="IHN165" s="146"/>
      <c r="IHO165" s="146"/>
      <c r="IHP165" s="146"/>
      <c r="IHQ165" s="146"/>
      <c r="IHR165" s="146"/>
      <c r="IHS165" s="146"/>
      <c r="IHT165" s="146"/>
      <c r="IHU165" s="146"/>
      <c r="IHV165" s="146"/>
      <c r="IHW165" s="146"/>
      <c r="IHX165" s="146"/>
      <c r="IHY165" s="146"/>
      <c r="IHZ165" s="146"/>
      <c r="IIA165" s="146"/>
      <c r="IIB165" s="146"/>
      <c r="IIC165" s="146"/>
      <c r="IID165" s="146"/>
      <c r="IIE165" s="146"/>
      <c r="IIF165" s="146"/>
      <c r="IIG165" s="146"/>
      <c r="IIH165" s="146"/>
      <c r="III165" s="146"/>
      <c r="IIJ165" s="146"/>
      <c r="IIK165" s="146"/>
      <c r="IIL165" s="146"/>
      <c r="IIM165" s="146"/>
      <c r="IIN165" s="146"/>
      <c r="IIO165" s="146"/>
      <c r="IIP165" s="146"/>
      <c r="IIQ165" s="146"/>
      <c r="IIR165" s="146"/>
      <c r="IIS165" s="146"/>
      <c r="IIT165" s="146"/>
      <c r="IIU165" s="146"/>
      <c r="IIV165" s="146"/>
      <c r="IIW165" s="146"/>
      <c r="IIX165" s="146"/>
      <c r="IIY165" s="146"/>
      <c r="IIZ165" s="146"/>
      <c r="IJA165" s="146"/>
      <c r="IJB165" s="146"/>
      <c r="IJC165" s="146"/>
      <c r="IJD165" s="146"/>
      <c r="IJE165" s="146"/>
      <c r="IJF165" s="146"/>
      <c r="IJG165" s="146"/>
      <c r="IJH165" s="146"/>
      <c r="IJI165" s="146"/>
      <c r="IJJ165" s="146"/>
      <c r="IJK165" s="146"/>
      <c r="IJL165" s="146"/>
      <c r="IJM165" s="146"/>
      <c r="IJN165" s="146"/>
      <c r="IJO165" s="146"/>
      <c r="IJP165" s="146"/>
      <c r="IJQ165" s="146"/>
      <c r="IJR165" s="146"/>
      <c r="IJS165" s="146"/>
      <c r="IJT165" s="146"/>
      <c r="IJU165" s="146"/>
      <c r="IJV165" s="146"/>
      <c r="IJW165" s="146"/>
      <c r="IJX165" s="146"/>
      <c r="IJY165" s="146"/>
      <c r="IJZ165" s="146"/>
      <c r="IKA165" s="146"/>
      <c r="IKB165" s="146"/>
      <c r="IKC165" s="146"/>
      <c r="IKD165" s="146"/>
      <c r="IKE165" s="146"/>
      <c r="IKF165" s="146"/>
      <c r="IKG165" s="146"/>
      <c r="IKH165" s="146"/>
      <c r="IKI165" s="146"/>
      <c r="IKJ165" s="146"/>
      <c r="IKK165" s="146"/>
      <c r="IKL165" s="146"/>
      <c r="IKM165" s="146"/>
      <c r="IKN165" s="146"/>
      <c r="IKO165" s="146"/>
      <c r="IKP165" s="146"/>
      <c r="IKQ165" s="146"/>
      <c r="IKR165" s="146"/>
      <c r="IKS165" s="146"/>
      <c r="IKT165" s="146"/>
      <c r="IKU165" s="146"/>
      <c r="IKV165" s="146"/>
      <c r="IKW165" s="146"/>
      <c r="IKX165" s="146"/>
      <c r="IKY165" s="146"/>
      <c r="IKZ165" s="146"/>
      <c r="ILA165" s="146"/>
      <c r="ILB165" s="146"/>
      <c r="ILC165" s="146"/>
      <c r="ILD165" s="146"/>
      <c r="ILE165" s="146"/>
      <c r="ILF165" s="146"/>
      <c r="ILG165" s="146"/>
      <c r="ILH165" s="146"/>
      <c r="ILI165" s="146"/>
      <c r="ILJ165" s="146"/>
      <c r="ILK165" s="146"/>
      <c r="ILL165" s="146"/>
      <c r="ILM165" s="146"/>
      <c r="ILN165" s="146"/>
      <c r="ILO165" s="146"/>
      <c r="ILP165" s="146"/>
      <c r="ILQ165" s="146"/>
      <c r="ILR165" s="146"/>
      <c r="ILS165" s="146"/>
      <c r="ILT165" s="146"/>
      <c r="ILU165" s="146"/>
      <c r="ILV165" s="146"/>
      <c r="ILW165" s="146"/>
      <c r="ILX165" s="146"/>
      <c r="ILY165" s="146"/>
      <c r="ILZ165" s="146"/>
      <c r="IMA165" s="146"/>
      <c r="IMB165" s="146"/>
      <c r="IMC165" s="146"/>
      <c r="IMD165" s="146"/>
      <c r="IME165" s="146"/>
      <c r="IMF165" s="146"/>
      <c r="IMG165" s="146"/>
      <c r="IMH165" s="146"/>
      <c r="IMI165" s="146"/>
      <c r="IMJ165" s="146"/>
      <c r="IMK165" s="146"/>
      <c r="IML165" s="146"/>
      <c r="IMM165" s="146"/>
      <c r="IMN165" s="146"/>
      <c r="IMO165" s="146"/>
      <c r="IMP165" s="146"/>
      <c r="IMQ165" s="146"/>
      <c r="IMR165" s="146"/>
      <c r="IMS165" s="146"/>
      <c r="IMT165" s="146"/>
      <c r="IMU165" s="146"/>
      <c r="IMV165" s="146"/>
      <c r="IMW165" s="146"/>
      <c r="IMX165" s="146"/>
      <c r="IMY165" s="146"/>
      <c r="IMZ165" s="146"/>
      <c r="INA165" s="146"/>
      <c r="INB165" s="146"/>
      <c r="INC165" s="146"/>
      <c r="IND165" s="146"/>
      <c r="INE165" s="146"/>
      <c r="INF165" s="146"/>
      <c r="ING165" s="146"/>
      <c r="INH165" s="146"/>
      <c r="INI165" s="146"/>
      <c r="INJ165" s="146"/>
      <c r="INK165" s="146"/>
      <c r="INL165" s="146"/>
      <c r="INM165" s="146"/>
      <c r="INN165" s="146"/>
      <c r="INO165" s="146"/>
      <c r="INP165" s="146"/>
      <c r="INQ165" s="146"/>
      <c r="INR165" s="146"/>
      <c r="INS165" s="146"/>
      <c r="INT165" s="146"/>
      <c r="INU165" s="146"/>
      <c r="INV165" s="146"/>
      <c r="INW165" s="146"/>
      <c r="INX165" s="146"/>
      <c r="INY165" s="146"/>
      <c r="INZ165" s="146"/>
      <c r="IOA165" s="146"/>
      <c r="IOB165" s="146"/>
      <c r="IOC165" s="146"/>
      <c r="IOD165" s="146"/>
      <c r="IOE165" s="146"/>
      <c r="IOF165" s="146"/>
      <c r="IOG165" s="146"/>
      <c r="IOH165" s="146"/>
      <c r="IOI165" s="146"/>
      <c r="IOJ165" s="146"/>
      <c r="IOK165" s="146"/>
      <c r="IOL165" s="146"/>
      <c r="IOM165" s="146"/>
      <c r="ION165" s="146"/>
      <c r="IOO165" s="146"/>
      <c r="IOP165" s="146"/>
      <c r="IOQ165" s="146"/>
      <c r="IOR165" s="146"/>
      <c r="IOS165" s="146"/>
      <c r="IOT165" s="146"/>
      <c r="IOU165" s="146"/>
      <c r="IOV165" s="146"/>
      <c r="IOW165" s="146"/>
      <c r="IOX165" s="146"/>
      <c r="IOY165" s="146"/>
      <c r="IOZ165" s="146"/>
      <c r="IPA165" s="146"/>
      <c r="IPB165" s="146"/>
      <c r="IPC165" s="146"/>
      <c r="IPD165" s="146"/>
      <c r="IPE165" s="146"/>
      <c r="IPF165" s="146"/>
      <c r="IPG165" s="146"/>
      <c r="IPH165" s="146"/>
      <c r="IPI165" s="146"/>
      <c r="IPJ165" s="146"/>
      <c r="IPK165" s="146"/>
      <c r="IPL165" s="146"/>
      <c r="IPM165" s="146"/>
      <c r="IPN165" s="146"/>
      <c r="IPO165" s="146"/>
      <c r="IPP165" s="146"/>
      <c r="IPQ165" s="146"/>
      <c r="IPR165" s="146"/>
      <c r="IPS165" s="146"/>
      <c r="IPT165" s="146"/>
      <c r="IPU165" s="146"/>
      <c r="IPV165" s="146"/>
      <c r="IPW165" s="146"/>
      <c r="IPX165" s="146"/>
      <c r="IPY165" s="146"/>
      <c r="IPZ165" s="146"/>
      <c r="IQA165" s="146"/>
      <c r="IQB165" s="146"/>
      <c r="IQC165" s="146"/>
      <c r="IQD165" s="146"/>
      <c r="IQE165" s="146"/>
      <c r="IQF165" s="146"/>
      <c r="IQG165" s="146"/>
      <c r="IQH165" s="146"/>
      <c r="IQI165" s="146"/>
      <c r="IQJ165" s="146"/>
      <c r="IQK165" s="146"/>
      <c r="IQL165" s="146"/>
      <c r="IQM165" s="146"/>
      <c r="IQN165" s="146"/>
      <c r="IQO165" s="146"/>
      <c r="IQP165" s="146"/>
      <c r="IQQ165" s="146"/>
      <c r="IQR165" s="146"/>
      <c r="IQS165" s="146"/>
      <c r="IQT165" s="146"/>
      <c r="IQU165" s="146"/>
      <c r="IQV165" s="146"/>
      <c r="IQW165" s="146"/>
      <c r="IQX165" s="146"/>
      <c r="IQY165" s="146"/>
      <c r="IQZ165" s="146"/>
      <c r="IRA165" s="146"/>
      <c r="IRB165" s="146"/>
      <c r="IRC165" s="146"/>
      <c r="IRD165" s="146"/>
      <c r="IRE165" s="146"/>
      <c r="IRF165" s="146"/>
      <c r="IRG165" s="146"/>
      <c r="IRH165" s="146"/>
      <c r="IRI165" s="146"/>
      <c r="IRJ165" s="146"/>
      <c r="IRK165" s="146"/>
      <c r="IRL165" s="146"/>
      <c r="IRM165" s="146"/>
      <c r="IRN165" s="146"/>
      <c r="IRO165" s="146"/>
      <c r="IRP165" s="146"/>
      <c r="IRQ165" s="146"/>
      <c r="IRR165" s="146"/>
      <c r="IRS165" s="146"/>
      <c r="IRT165" s="146"/>
      <c r="IRU165" s="146"/>
      <c r="IRV165" s="146"/>
      <c r="IRW165" s="146"/>
      <c r="IRX165" s="146"/>
      <c r="IRY165" s="146"/>
      <c r="IRZ165" s="146"/>
      <c r="ISA165" s="146"/>
      <c r="ISB165" s="146"/>
      <c r="ISC165" s="146"/>
      <c r="ISD165" s="146"/>
      <c r="ISE165" s="146"/>
      <c r="ISF165" s="146"/>
      <c r="ISG165" s="146"/>
      <c r="ISH165" s="146"/>
      <c r="ISI165" s="146"/>
      <c r="ISJ165" s="146"/>
      <c r="ISK165" s="146"/>
      <c r="ISL165" s="146"/>
      <c r="ISM165" s="146"/>
      <c r="ISN165" s="146"/>
      <c r="ISO165" s="146"/>
      <c r="ISP165" s="146"/>
      <c r="ISQ165" s="146"/>
      <c r="ISR165" s="146"/>
      <c r="ISS165" s="146"/>
      <c r="IST165" s="146"/>
      <c r="ISU165" s="146"/>
      <c r="ISV165" s="146"/>
      <c r="ISW165" s="146"/>
      <c r="ISX165" s="146"/>
      <c r="ISY165" s="146"/>
      <c r="ISZ165" s="146"/>
      <c r="ITA165" s="146"/>
      <c r="ITB165" s="146"/>
      <c r="ITC165" s="146"/>
      <c r="ITD165" s="146"/>
      <c r="ITE165" s="146"/>
      <c r="ITF165" s="146"/>
      <c r="ITG165" s="146"/>
      <c r="ITH165" s="146"/>
      <c r="ITI165" s="146"/>
      <c r="ITJ165" s="146"/>
      <c r="ITK165" s="146"/>
      <c r="ITL165" s="146"/>
      <c r="ITM165" s="146"/>
      <c r="ITN165" s="146"/>
      <c r="ITO165" s="146"/>
      <c r="ITP165" s="146"/>
      <c r="ITQ165" s="146"/>
      <c r="ITR165" s="146"/>
      <c r="ITS165" s="146"/>
      <c r="ITT165" s="146"/>
      <c r="ITU165" s="146"/>
      <c r="ITV165" s="146"/>
      <c r="ITW165" s="146"/>
      <c r="ITX165" s="146"/>
      <c r="ITY165" s="146"/>
      <c r="ITZ165" s="146"/>
      <c r="IUA165" s="146"/>
      <c r="IUB165" s="146"/>
      <c r="IUC165" s="146"/>
      <c r="IUD165" s="146"/>
      <c r="IUE165" s="146"/>
      <c r="IUF165" s="146"/>
      <c r="IUG165" s="146"/>
      <c r="IUH165" s="146"/>
      <c r="IUI165" s="146"/>
      <c r="IUJ165" s="146"/>
      <c r="IUK165" s="146"/>
      <c r="IUL165" s="146"/>
      <c r="IUM165" s="146"/>
      <c r="IUN165" s="146"/>
      <c r="IUO165" s="146"/>
      <c r="IUP165" s="146"/>
      <c r="IUQ165" s="146"/>
      <c r="IUR165" s="146"/>
      <c r="IUS165" s="146"/>
      <c r="IUT165" s="146"/>
      <c r="IUU165" s="146"/>
      <c r="IUV165" s="146"/>
      <c r="IUW165" s="146"/>
      <c r="IUX165" s="146"/>
      <c r="IUY165" s="146"/>
      <c r="IUZ165" s="146"/>
      <c r="IVA165" s="146"/>
      <c r="IVB165" s="146"/>
      <c r="IVC165" s="146"/>
      <c r="IVD165" s="146"/>
      <c r="IVE165" s="146"/>
      <c r="IVF165" s="146"/>
      <c r="IVG165" s="146"/>
      <c r="IVH165" s="146"/>
      <c r="IVI165" s="146"/>
      <c r="IVJ165" s="146"/>
      <c r="IVK165" s="146"/>
      <c r="IVL165" s="146"/>
      <c r="IVM165" s="146"/>
      <c r="IVN165" s="146"/>
      <c r="IVO165" s="146"/>
      <c r="IVP165" s="146"/>
      <c r="IVQ165" s="146"/>
      <c r="IVR165" s="146"/>
      <c r="IVS165" s="146"/>
      <c r="IVT165" s="146"/>
      <c r="IVU165" s="146"/>
      <c r="IVV165" s="146"/>
      <c r="IVW165" s="146"/>
      <c r="IVX165" s="146"/>
      <c r="IVY165" s="146"/>
      <c r="IVZ165" s="146"/>
      <c r="IWA165" s="146"/>
      <c r="IWB165" s="146"/>
      <c r="IWC165" s="146"/>
      <c r="IWD165" s="146"/>
      <c r="IWE165" s="146"/>
      <c r="IWF165" s="146"/>
      <c r="IWG165" s="146"/>
      <c r="IWH165" s="146"/>
      <c r="IWI165" s="146"/>
      <c r="IWJ165" s="146"/>
      <c r="IWK165" s="146"/>
      <c r="IWL165" s="146"/>
      <c r="IWM165" s="146"/>
      <c r="IWN165" s="146"/>
      <c r="IWO165" s="146"/>
      <c r="IWP165" s="146"/>
      <c r="IWQ165" s="146"/>
      <c r="IWR165" s="146"/>
      <c r="IWS165" s="146"/>
      <c r="IWT165" s="146"/>
      <c r="IWU165" s="146"/>
      <c r="IWV165" s="146"/>
      <c r="IWW165" s="146"/>
      <c r="IWX165" s="146"/>
      <c r="IWY165" s="146"/>
      <c r="IWZ165" s="146"/>
      <c r="IXA165" s="146"/>
      <c r="IXB165" s="146"/>
      <c r="IXC165" s="146"/>
      <c r="IXD165" s="146"/>
      <c r="IXE165" s="146"/>
      <c r="IXF165" s="146"/>
      <c r="IXG165" s="146"/>
      <c r="IXH165" s="146"/>
      <c r="IXI165" s="146"/>
      <c r="IXJ165" s="146"/>
      <c r="IXK165" s="146"/>
      <c r="IXL165" s="146"/>
      <c r="IXM165" s="146"/>
      <c r="IXN165" s="146"/>
      <c r="IXO165" s="146"/>
      <c r="IXP165" s="146"/>
      <c r="IXQ165" s="146"/>
      <c r="IXR165" s="146"/>
      <c r="IXS165" s="146"/>
      <c r="IXT165" s="146"/>
      <c r="IXU165" s="146"/>
      <c r="IXV165" s="146"/>
      <c r="IXW165" s="146"/>
      <c r="IXX165" s="146"/>
      <c r="IXY165" s="146"/>
      <c r="IXZ165" s="146"/>
      <c r="IYA165" s="146"/>
      <c r="IYB165" s="146"/>
      <c r="IYC165" s="146"/>
      <c r="IYD165" s="146"/>
      <c r="IYE165" s="146"/>
      <c r="IYF165" s="146"/>
      <c r="IYG165" s="146"/>
      <c r="IYH165" s="146"/>
      <c r="IYI165" s="146"/>
      <c r="IYJ165" s="146"/>
      <c r="IYK165" s="146"/>
      <c r="IYL165" s="146"/>
      <c r="IYM165" s="146"/>
      <c r="IYN165" s="146"/>
      <c r="IYO165" s="146"/>
      <c r="IYP165" s="146"/>
      <c r="IYQ165" s="146"/>
      <c r="IYR165" s="146"/>
      <c r="IYS165" s="146"/>
      <c r="IYT165" s="146"/>
      <c r="IYU165" s="146"/>
      <c r="IYV165" s="146"/>
      <c r="IYW165" s="146"/>
      <c r="IYX165" s="146"/>
      <c r="IYY165" s="146"/>
      <c r="IYZ165" s="146"/>
      <c r="IZA165" s="146"/>
      <c r="IZB165" s="146"/>
      <c r="IZC165" s="146"/>
      <c r="IZD165" s="146"/>
      <c r="IZE165" s="146"/>
      <c r="IZF165" s="146"/>
      <c r="IZG165" s="146"/>
      <c r="IZH165" s="146"/>
      <c r="IZI165" s="146"/>
      <c r="IZJ165" s="146"/>
      <c r="IZK165" s="146"/>
      <c r="IZL165" s="146"/>
      <c r="IZM165" s="146"/>
      <c r="IZN165" s="146"/>
      <c r="IZO165" s="146"/>
      <c r="IZP165" s="146"/>
      <c r="IZQ165" s="146"/>
      <c r="IZR165" s="146"/>
      <c r="IZS165" s="146"/>
      <c r="IZT165" s="146"/>
      <c r="IZU165" s="146"/>
      <c r="IZV165" s="146"/>
      <c r="IZW165" s="146"/>
      <c r="IZX165" s="146"/>
      <c r="IZY165" s="146"/>
      <c r="IZZ165" s="146"/>
      <c r="JAA165" s="146"/>
      <c r="JAB165" s="146"/>
      <c r="JAC165" s="146"/>
      <c r="JAD165" s="146"/>
      <c r="JAE165" s="146"/>
      <c r="JAF165" s="146"/>
      <c r="JAG165" s="146"/>
      <c r="JAH165" s="146"/>
      <c r="JAI165" s="146"/>
      <c r="JAJ165" s="146"/>
      <c r="JAK165" s="146"/>
      <c r="JAL165" s="146"/>
      <c r="JAM165" s="146"/>
      <c r="JAN165" s="146"/>
      <c r="JAO165" s="146"/>
      <c r="JAP165" s="146"/>
      <c r="JAQ165" s="146"/>
      <c r="JAR165" s="146"/>
      <c r="JAS165" s="146"/>
      <c r="JAT165" s="146"/>
      <c r="JAU165" s="146"/>
      <c r="JAV165" s="146"/>
      <c r="JAW165" s="146"/>
      <c r="JAX165" s="146"/>
      <c r="JAY165" s="146"/>
      <c r="JAZ165" s="146"/>
      <c r="JBA165" s="146"/>
      <c r="JBB165" s="146"/>
      <c r="JBC165" s="146"/>
      <c r="JBD165" s="146"/>
      <c r="JBE165" s="146"/>
      <c r="JBF165" s="146"/>
      <c r="JBG165" s="146"/>
      <c r="JBH165" s="146"/>
      <c r="JBI165" s="146"/>
      <c r="JBJ165" s="146"/>
      <c r="JBK165" s="146"/>
      <c r="JBL165" s="146"/>
      <c r="JBM165" s="146"/>
      <c r="JBN165" s="146"/>
      <c r="JBO165" s="146"/>
      <c r="JBP165" s="146"/>
      <c r="JBQ165" s="146"/>
      <c r="JBR165" s="146"/>
      <c r="JBS165" s="146"/>
      <c r="JBT165" s="146"/>
      <c r="JBU165" s="146"/>
      <c r="JBV165" s="146"/>
      <c r="JBW165" s="146"/>
      <c r="JBX165" s="146"/>
      <c r="JBY165" s="146"/>
      <c r="JBZ165" s="146"/>
      <c r="JCA165" s="146"/>
      <c r="JCB165" s="146"/>
      <c r="JCC165" s="146"/>
      <c r="JCD165" s="146"/>
      <c r="JCE165" s="146"/>
      <c r="JCF165" s="146"/>
      <c r="JCG165" s="146"/>
      <c r="JCH165" s="146"/>
      <c r="JCI165" s="146"/>
      <c r="JCJ165" s="146"/>
      <c r="JCK165" s="146"/>
      <c r="JCL165" s="146"/>
      <c r="JCM165" s="146"/>
      <c r="JCN165" s="146"/>
      <c r="JCO165" s="146"/>
      <c r="JCP165" s="146"/>
      <c r="JCQ165" s="146"/>
      <c r="JCR165" s="146"/>
      <c r="JCS165" s="146"/>
      <c r="JCT165" s="146"/>
      <c r="JCU165" s="146"/>
      <c r="JCV165" s="146"/>
      <c r="JCW165" s="146"/>
      <c r="JCX165" s="146"/>
      <c r="JCY165" s="146"/>
      <c r="JCZ165" s="146"/>
      <c r="JDA165" s="146"/>
      <c r="JDB165" s="146"/>
      <c r="JDC165" s="146"/>
      <c r="JDD165" s="146"/>
      <c r="JDE165" s="146"/>
      <c r="JDF165" s="146"/>
      <c r="JDG165" s="146"/>
      <c r="JDH165" s="146"/>
      <c r="JDI165" s="146"/>
      <c r="JDJ165" s="146"/>
      <c r="JDK165" s="146"/>
      <c r="JDL165" s="146"/>
      <c r="JDM165" s="146"/>
      <c r="JDN165" s="146"/>
      <c r="JDO165" s="146"/>
      <c r="JDP165" s="146"/>
      <c r="JDQ165" s="146"/>
      <c r="JDR165" s="146"/>
      <c r="JDS165" s="146"/>
      <c r="JDT165" s="146"/>
      <c r="JDU165" s="146"/>
      <c r="JDV165" s="146"/>
      <c r="JDW165" s="146"/>
      <c r="JDX165" s="146"/>
      <c r="JDY165" s="146"/>
      <c r="JDZ165" s="146"/>
      <c r="JEA165" s="146"/>
      <c r="JEB165" s="146"/>
      <c r="JEC165" s="146"/>
      <c r="JED165" s="146"/>
      <c r="JEE165" s="146"/>
      <c r="JEF165" s="146"/>
      <c r="JEG165" s="146"/>
      <c r="JEH165" s="146"/>
      <c r="JEI165" s="146"/>
      <c r="JEJ165" s="146"/>
      <c r="JEK165" s="146"/>
      <c r="JEL165" s="146"/>
      <c r="JEM165" s="146"/>
      <c r="JEN165" s="146"/>
      <c r="JEO165" s="146"/>
      <c r="JEP165" s="146"/>
      <c r="JEQ165" s="146"/>
      <c r="JER165" s="146"/>
      <c r="JES165" s="146"/>
      <c r="JET165" s="146"/>
      <c r="JEU165" s="146"/>
      <c r="JEV165" s="146"/>
      <c r="JEW165" s="146"/>
      <c r="JEX165" s="146"/>
      <c r="JEY165" s="146"/>
      <c r="JEZ165" s="146"/>
      <c r="JFA165" s="146"/>
      <c r="JFB165" s="146"/>
      <c r="JFC165" s="146"/>
      <c r="JFD165" s="146"/>
      <c r="JFE165" s="146"/>
      <c r="JFF165" s="146"/>
      <c r="JFG165" s="146"/>
      <c r="JFH165" s="146"/>
      <c r="JFI165" s="146"/>
      <c r="JFJ165" s="146"/>
      <c r="JFK165" s="146"/>
      <c r="JFL165" s="146"/>
      <c r="JFM165" s="146"/>
      <c r="JFN165" s="146"/>
      <c r="JFO165" s="146"/>
      <c r="JFP165" s="146"/>
      <c r="JFQ165" s="146"/>
      <c r="JFR165" s="146"/>
      <c r="JFS165" s="146"/>
      <c r="JFT165" s="146"/>
      <c r="JFU165" s="146"/>
      <c r="JFV165" s="146"/>
      <c r="JFW165" s="146"/>
      <c r="JFX165" s="146"/>
      <c r="JFY165" s="146"/>
      <c r="JFZ165" s="146"/>
      <c r="JGA165" s="146"/>
      <c r="JGB165" s="146"/>
      <c r="JGC165" s="146"/>
      <c r="JGD165" s="146"/>
      <c r="JGE165" s="146"/>
      <c r="JGF165" s="146"/>
      <c r="JGG165" s="146"/>
      <c r="JGH165" s="146"/>
      <c r="JGI165" s="146"/>
      <c r="JGJ165" s="146"/>
      <c r="JGK165" s="146"/>
      <c r="JGL165" s="146"/>
      <c r="JGM165" s="146"/>
      <c r="JGN165" s="146"/>
      <c r="JGO165" s="146"/>
      <c r="JGP165" s="146"/>
      <c r="JGQ165" s="146"/>
      <c r="JGR165" s="146"/>
      <c r="JGS165" s="146"/>
      <c r="JGT165" s="146"/>
      <c r="JGU165" s="146"/>
      <c r="JGV165" s="146"/>
      <c r="JGW165" s="146"/>
      <c r="JGX165" s="146"/>
      <c r="JGY165" s="146"/>
      <c r="JGZ165" s="146"/>
      <c r="JHA165" s="146"/>
      <c r="JHB165" s="146"/>
      <c r="JHC165" s="146"/>
      <c r="JHD165" s="146"/>
      <c r="JHE165" s="146"/>
      <c r="JHF165" s="146"/>
      <c r="JHG165" s="146"/>
      <c r="JHH165" s="146"/>
      <c r="JHI165" s="146"/>
      <c r="JHJ165" s="146"/>
      <c r="JHK165" s="146"/>
      <c r="JHL165" s="146"/>
      <c r="JHM165" s="146"/>
      <c r="JHN165" s="146"/>
      <c r="JHO165" s="146"/>
      <c r="JHP165" s="146"/>
      <c r="JHQ165" s="146"/>
      <c r="JHR165" s="146"/>
      <c r="JHS165" s="146"/>
      <c r="JHT165" s="146"/>
      <c r="JHU165" s="146"/>
      <c r="JHV165" s="146"/>
      <c r="JHW165" s="146"/>
      <c r="JHX165" s="146"/>
      <c r="JHY165" s="146"/>
      <c r="JHZ165" s="146"/>
      <c r="JIA165" s="146"/>
      <c r="JIB165" s="146"/>
      <c r="JIC165" s="146"/>
      <c r="JID165" s="146"/>
      <c r="JIE165" s="146"/>
      <c r="JIF165" s="146"/>
      <c r="JIG165" s="146"/>
      <c r="JIH165" s="146"/>
      <c r="JII165" s="146"/>
      <c r="JIJ165" s="146"/>
      <c r="JIK165" s="146"/>
      <c r="JIL165" s="146"/>
      <c r="JIM165" s="146"/>
      <c r="JIN165" s="146"/>
      <c r="JIO165" s="146"/>
      <c r="JIP165" s="146"/>
      <c r="JIQ165" s="146"/>
      <c r="JIR165" s="146"/>
      <c r="JIS165" s="146"/>
      <c r="JIT165" s="146"/>
      <c r="JIU165" s="146"/>
      <c r="JIV165" s="146"/>
      <c r="JIW165" s="146"/>
      <c r="JIX165" s="146"/>
      <c r="JIY165" s="146"/>
      <c r="JIZ165" s="146"/>
      <c r="JJA165" s="146"/>
      <c r="JJB165" s="146"/>
      <c r="JJC165" s="146"/>
      <c r="JJD165" s="146"/>
      <c r="JJE165" s="146"/>
      <c r="JJF165" s="146"/>
      <c r="JJG165" s="146"/>
      <c r="JJH165" s="146"/>
      <c r="JJI165" s="146"/>
      <c r="JJJ165" s="146"/>
      <c r="JJK165" s="146"/>
      <c r="JJL165" s="146"/>
      <c r="JJM165" s="146"/>
      <c r="JJN165" s="146"/>
      <c r="JJO165" s="146"/>
      <c r="JJP165" s="146"/>
      <c r="JJQ165" s="146"/>
      <c r="JJR165" s="146"/>
      <c r="JJS165" s="146"/>
      <c r="JJT165" s="146"/>
      <c r="JJU165" s="146"/>
      <c r="JJV165" s="146"/>
      <c r="JJW165" s="146"/>
      <c r="JJX165" s="146"/>
      <c r="JJY165" s="146"/>
      <c r="JJZ165" s="146"/>
      <c r="JKA165" s="146"/>
      <c r="JKB165" s="146"/>
      <c r="JKC165" s="146"/>
      <c r="JKD165" s="146"/>
      <c r="JKE165" s="146"/>
      <c r="JKF165" s="146"/>
      <c r="JKG165" s="146"/>
      <c r="JKH165" s="146"/>
      <c r="JKI165" s="146"/>
      <c r="JKJ165" s="146"/>
      <c r="JKK165" s="146"/>
      <c r="JKL165" s="146"/>
      <c r="JKM165" s="146"/>
      <c r="JKN165" s="146"/>
      <c r="JKO165" s="146"/>
      <c r="JKP165" s="146"/>
      <c r="JKQ165" s="146"/>
      <c r="JKR165" s="146"/>
      <c r="JKS165" s="146"/>
      <c r="JKT165" s="146"/>
      <c r="JKU165" s="146"/>
      <c r="JKV165" s="146"/>
      <c r="JKW165" s="146"/>
      <c r="JKX165" s="146"/>
      <c r="JKY165" s="146"/>
      <c r="JKZ165" s="146"/>
      <c r="JLA165" s="146"/>
      <c r="JLB165" s="146"/>
      <c r="JLC165" s="146"/>
      <c r="JLD165" s="146"/>
      <c r="JLE165" s="146"/>
      <c r="JLF165" s="146"/>
      <c r="JLG165" s="146"/>
      <c r="JLH165" s="146"/>
      <c r="JLI165" s="146"/>
      <c r="JLJ165" s="146"/>
      <c r="JLK165" s="146"/>
      <c r="JLL165" s="146"/>
      <c r="JLM165" s="146"/>
      <c r="JLN165" s="146"/>
      <c r="JLO165" s="146"/>
      <c r="JLP165" s="146"/>
      <c r="JLQ165" s="146"/>
      <c r="JLR165" s="146"/>
      <c r="JLS165" s="146"/>
      <c r="JLT165" s="146"/>
      <c r="JLU165" s="146"/>
      <c r="JLV165" s="146"/>
      <c r="JLW165" s="146"/>
      <c r="JLX165" s="146"/>
      <c r="JLY165" s="146"/>
      <c r="JLZ165" s="146"/>
      <c r="JMA165" s="146"/>
      <c r="JMB165" s="146"/>
      <c r="JMC165" s="146"/>
      <c r="JMD165" s="146"/>
      <c r="JME165" s="146"/>
      <c r="JMF165" s="146"/>
      <c r="JMG165" s="146"/>
      <c r="JMH165" s="146"/>
      <c r="JMI165" s="146"/>
      <c r="JMJ165" s="146"/>
      <c r="JMK165" s="146"/>
      <c r="JML165" s="146"/>
      <c r="JMM165" s="146"/>
      <c r="JMN165" s="146"/>
      <c r="JMO165" s="146"/>
      <c r="JMP165" s="146"/>
      <c r="JMQ165" s="146"/>
      <c r="JMR165" s="146"/>
      <c r="JMS165" s="146"/>
      <c r="JMT165" s="146"/>
      <c r="JMU165" s="146"/>
      <c r="JMV165" s="146"/>
      <c r="JMW165" s="146"/>
      <c r="JMX165" s="146"/>
      <c r="JMY165" s="146"/>
      <c r="JMZ165" s="146"/>
      <c r="JNA165" s="146"/>
      <c r="JNB165" s="146"/>
      <c r="JNC165" s="146"/>
      <c r="JND165" s="146"/>
      <c r="JNE165" s="146"/>
      <c r="JNF165" s="146"/>
      <c r="JNG165" s="146"/>
      <c r="JNH165" s="146"/>
      <c r="JNI165" s="146"/>
      <c r="JNJ165" s="146"/>
      <c r="JNK165" s="146"/>
      <c r="JNL165" s="146"/>
      <c r="JNM165" s="146"/>
      <c r="JNN165" s="146"/>
      <c r="JNO165" s="146"/>
      <c r="JNP165" s="146"/>
      <c r="JNQ165" s="146"/>
      <c r="JNR165" s="146"/>
      <c r="JNS165" s="146"/>
      <c r="JNT165" s="146"/>
      <c r="JNU165" s="146"/>
      <c r="JNV165" s="146"/>
      <c r="JNW165" s="146"/>
      <c r="JNX165" s="146"/>
      <c r="JNY165" s="146"/>
      <c r="JNZ165" s="146"/>
      <c r="JOA165" s="146"/>
      <c r="JOB165" s="146"/>
      <c r="JOC165" s="146"/>
      <c r="JOD165" s="146"/>
      <c r="JOE165" s="146"/>
      <c r="JOF165" s="146"/>
      <c r="JOG165" s="146"/>
      <c r="JOH165" s="146"/>
      <c r="JOI165" s="146"/>
      <c r="JOJ165" s="146"/>
      <c r="JOK165" s="146"/>
      <c r="JOL165" s="146"/>
      <c r="JOM165" s="146"/>
      <c r="JON165" s="146"/>
      <c r="JOO165" s="146"/>
      <c r="JOP165" s="146"/>
      <c r="JOQ165" s="146"/>
      <c r="JOR165" s="146"/>
      <c r="JOS165" s="146"/>
      <c r="JOT165" s="146"/>
      <c r="JOU165" s="146"/>
      <c r="JOV165" s="146"/>
      <c r="JOW165" s="146"/>
      <c r="JOX165" s="146"/>
      <c r="JOY165" s="146"/>
      <c r="JOZ165" s="146"/>
      <c r="JPA165" s="146"/>
      <c r="JPB165" s="146"/>
      <c r="JPC165" s="146"/>
      <c r="JPD165" s="146"/>
      <c r="JPE165" s="146"/>
      <c r="JPF165" s="146"/>
      <c r="JPG165" s="146"/>
      <c r="JPH165" s="146"/>
      <c r="JPI165" s="146"/>
      <c r="JPJ165" s="146"/>
      <c r="JPK165" s="146"/>
      <c r="JPL165" s="146"/>
      <c r="JPM165" s="146"/>
      <c r="JPN165" s="146"/>
      <c r="JPO165" s="146"/>
      <c r="JPP165" s="146"/>
      <c r="JPQ165" s="146"/>
      <c r="JPR165" s="146"/>
      <c r="JPS165" s="146"/>
      <c r="JPT165" s="146"/>
      <c r="JPU165" s="146"/>
      <c r="JPV165" s="146"/>
      <c r="JPW165" s="146"/>
      <c r="JPX165" s="146"/>
      <c r="JPY165" s="146"/>
      <c r="JPZ165" s="146"/>
      <c r="JQA165" s="146"/>
      <c r="JQB165" s="146"/>
      <c r="JQC165" s="146"/>
      <c r="JQD165" s="146"/>
      <c r="JQE165" s="146"/>
      <c r="JQF165" s="146"/>
      <c r="JQG165" s="146"/>
      <c r="JQH165" s="146"/>
      <c r="JQI165" s="146"/>
      <c r="JQJ165" s="146"/>
      <c r="JQK165" s="146"/>
      <c r="JQL165" s="146"/>
      <c r="JQM165" s="146"/>
      <c r="JQN165" s="146"/>
      <c r="JQO165" s="146"/>
      <c r="JQP165" s="146"/>
      <c r="JQQ165" s="146"/>
      <c r="JQR165" s="146"/>
      <c r="JQS165" s="146"/>
      <c r="JQT165" s="146"/>
      <c r="JQU165" s="146"/>
      <c r="JQV165" s="146"/>
      <c r="JQW165" s="146"/>
      <c r="JQX165" s="146"/>
      <c r="JQY165" s="146"/>
      <c r="JQZ165" s="146"/>
      <c r="JRA165" s="146"/>
      <c r="JRB165" s="146"/>
      <c r="JRC165" s="146"/>
      <c r="JRD165" s="146"/>
      <c r="JRE165" s="146"/>
      <c r="JRF165" s="146"/>
      <c r="JRG165" s="146"/>
      <c r="JRH165" s="146"/>
      <c r="JRI165" s="146"/>
      <c r="JRJ165" s="146"/>
      <c r="JRK165" s="146"/>
      <c r="JRL165" s="146"/>
      <c r="JRM165" s="146"/>
      <c r="JRN165" s="146"/>
      <c r="JRO165" s="146"/>
      <c r="JRP165" s="146"/>
      <c r="JRQ165" s="146"/>
      <c r="JRR165" s="146"/>
      <c r="JRS165" s="146"/>
      <c r="JRT165" s="146"/>
      <c r="JRU165" s="146"/>
      <c r="JRV165" s="146"/>
      <c r="JRW165" s="146"/>
      <c r="JRX165" s="146"/>
      <c r="JRY165" s="146"/>
      <c r="JRZ165" s="146"/>
      <c r="JSA165" s="146"/>
      <c r="JSB165" s="146"/>
      <c r="JSC165" s="146"/>
      <c r="JSD165" s="146"/>
      <c r="JSE165" s="146"/>
      <c r="JSF165" s="146"/>
      <c r="JSG165" s="146"/>
      <c r="JSH165" s="146"/>
      <c r="JSI165" s="146"/>
      <c r="JSJ165" s="146"/>
      <c r="JSK165" s="146"/>
      <c r="JSL165" s="146"/>
      <c r="JSM165" s="146"/>
      <c r="JSN165" s="146"/>
      <c r="JSO165" s="146"/>
      <c r="JSP165" s="146"/>
      <c r="JSQ165" s="146"/>
      <c r="JSR165" s="146"/>
      <c r="JSS165" s="146"/>
      <c r="JST165" s="146"/>
      <c r="JSU165" s="146"/>
      <c r="JSV165" s="146"/>
      <c r="JSW165" s="146"/>
      <c r="JSX165" s="146"/>
      <c r="JSY165" s="146"/>
      <c r="JSZ165" s="146"/>
      <c r="JTA165" s="146"/>
      <c r="JTB165" s="146"/>
      <c r="JTC165" s="146"/>
      <c r="JTD165" s="146"/>
      <c r="JTE165" s="146"/>
      <c r="JTF165" s="146"/>
      <c r="JTG165" s="146"/>
      <c r="JTH165" s="146"/>
      <c r="JTI165" s="146"/>
      <c r="JTJ165" s="146"/>
      <c r="JTK165" s="146"/>
      <c r="JTL165" s="146"/>
      <c r="JTM165" s="146"/>
      <c r="JTN165" s="146"/>
      <c r="JTO165" s="146"/>
      <c r="JTP165" s="146"/>
      <c r="JTQ165" s="146"/>
      <c r="JTR165" s="146"/>
      <c r="JTS165" s="146"/>
      <c r="JTT165" s="146"/>
      <c r="JTU165" s="146"/>
      <c r="JTV165" s="146"/>
      <c r="JTW165" s="146"/>
      <c r="JTX165" s="146"/>
      <c r="JTY165" s="146"/>
      <c r="JTZ165" s="146"/>
      <c r="JUA165" s="146"/>
      <c r="JUB165" s="146"/>
      <c r="JUC165" s="146"/>
      <c r="JUD165" s="146"/>
      <c r="JUE165" s="146"/>
      <c r="JUF165" s="146"/>
      <c r="JUG165" s="146"/>
      <c r="JUH165" s="146"/>
      <c r="JUI165" s="146"/>
      <c r="JUJ165" s="146"/>
      <c r="JUK165" s="146"/>
      <c r="JUL165" s="146"/>
      <c r="JUM165" s="146"/>
      <c r="JUN165" s="146"/>
      <c r="JUO165" s="146"/>
      <c r="JUP165" s="146"/>
      <c r="JUQ165" s="146"/>
      <c r="JUR165" s="146"/>
      <c r="JUS165" s="146"/>
      <c r="JUT165" s="146"/>
      <c r="JUU165" s="146"/>
      <c r="JUV165" s="146"/>
      <c r="JUW165" s="146"/>
      <c r="JUX165" s="146"/>
      <c r="JUY165" s="146"/>
      <c r="JUZ165" s="146"/>
      <c r="JVA165" s="146"/>
      <c r="JVB165" s="146"/>
      <c r="JVC165" s="146"/>
      <c r="JVD165" s="146"/>
      <c r="JVE165" s="146"/>
      <c r="JVF165" s="146"/>
      <c r="JVG165" s="146"/>
      <c r="JVH165" s="146"/>
      <c r="JVI165" s="146"/>
      <c r="JVJ165" s="146"/>
      <c r="JVK165" s="146"/>
      <c r="JVL165" s="146"/>
      <c r="JVM165" s="146"/>
      <c r="JVN165" s="146"/>
      <c r="JVO165" s="146"/>
      <c r="JVP165" s="146"/>
      <c r="JVQ165" s="146"/>
      <c r="JVR165" s="146"/>
      <c r="JVS165" s="146"/>
      <c r="JVT165" s="146"/>
      <c r="JVU165" s="146"/>
      <c r="JVV165" s="146"/>
      <c r="JVW165" s="146"/>
      <c r="JVX165" s="146"/>
      <c r="JVY165" s="146"/>
      <c r="JVZ165" s="146"/>
      <c r="JWA165" s="146"/>
      <c r="JWB165" s="146"/>
      <c r="JWC165" s="146"/>
      <c r="JWD165" s="146"/>
      <c r="JWE165" s="146"/>
      <c r="JWF165" s="146"/>
      <c r="JWG165" s="146"/>
      <c r="JWH165" s="146"/>
      <c r="JWI165" s="146"/>
      <c r="JWJ165" s="146"/>
      <c r="JWK165" s="146"/>
      <c r="JWL165" s="146"/>
      <c r="JWM165" s="146"/>
      <c r="JWN165" s="146"/>
      <c r="JWO165" s="146"/>
      <c r="JWP165" s="146"/>
      <c r="JWQ165" s="146"/>
      <c r="JWR165" s="146"/>
      <c r="JWS165" s="146"/>
      <c r="JWT165" s="146"/>
      <c r="JWU165" s="146"/>
      <c r="JWV165" s="146"/>
      <c r="JWW165" s="146"/>
      <c r="JWX165" s="146"/>
      <c r="JWY165" s="146"/>
      <c r="JWZ165" s="146"/>
      <c r="JXA165" s="146"/>
      <c r="JXB165" s="146"/>
      <c r="JXC165" s="146"/>
      <c r="JXD165" s="146"/>
      <c r="JXE165" s="146"/>
      <c r="JXF165" s="146"/>
      <c r="JXG165" s="146"/>
      <c r="JXH165" s="146"/>
      <c r="JXI165" s="146"/>
      <c r="JXJ165" s="146"/>
      <c r="JXK165" s="146"/>
      <c r="JXL165" s="146"/>
      <c r="JXM165" s="146"/>
      <c r="JXN165" s="146"/>
      <c r="JXO165" s="146"/>
      <c r="JXP165" s="146"/>
      <c r="JXQ165" s="146"/>
      <c r="JXR165" s="146"/>
      <c r="JXS165" s="146"/>
      <c r="JXT165" s="146"/>
      <c r="JXU165" s="146"/>
      <c r="JXV165" s="146"/>
      <c r="JXW165" s="146"/>
      <c r="JXX165" s="146"/>
      <c r="JXY165" s="146"/>
      <c r="JXZ165" s="146"/>
      <c r="JYA165" s="146"/>
      <c r="JYB165" s="146"/>
      <c r="JYC165" s="146"/>
      <c r="JYD165" s="146"/>
      <c r="JYE165" s="146"/>
      <c r="JYF165" s="146"/>
      <c r="JYG165" s="146"/>
      <c r="JYH165" s="146"/>
      <c r="JYI165" s="146"/>
      <c r="JYJ165" s="146"/>
      <c r="JYK165" s="146"/>
      <c r="JYL165" s="146"/>
      <c r="JYM165" s="146"/>
      <c r="JYN165" s="146"/>
      <c r="JYO165" s="146"/>
      <c r="JYP165" s="146"/>
      <c r="JYQ165" s="146"/>
      <c r="JYR165" s="146"/>
      <c r="JYS165" s="146"/>
      <c r="JYT165" s="146"/>
      <c r="JYU165" s="146"/>
      <c r="JYV165" s="146"/>
      <c r="JYW165" s="146"/>
      <c r="JYX165" s="146"/>
      <c r="JYY165" s="146"/>
      <c r="JYZ165" s="146"/>
      <c r="JZA165" s="146"/>
      <c r="JZB165" s="146"/>
      <c r="JZC165" s="146"/>
      <c r="JZD165" s="146"/>
      <c r="JZE165" s="146"/>
      <c r="JZF165" s="146"/>
      <c r="JZG165" s="146"/>
      <c r="JZH165" s="146"/>
      <c r="JZI165" s="146"/>
      <c r="JZJ165" s="146"/>
      <c r="JZK165" s="146"/>
      <c r="JZL165" s="146"/>
      <c r="JZM165" s="146"/>
      <c r="JZN165" s="146"/>
      <c r="JZO165" s="146"/>
      <c r="JZP165" s="146"/>
      <c r="JZQ165" s="146"/>
      <c r="JZR165" s="146"/>
      <c r="JZS165" s="146"/>
      <c r="JZT165" s="146"/>
      <c r="JZU165" s="146"/>
      <c r="JZV165" s="146"/>
      <c r="JZW165" s="146"/>
      <c r="JZX165" s="146"/>
      <c r="JZY165" s="146"/>
      <c r="JZZ165" s="146"/>
      <c r="KAA165" s="146"/>
      <c r="KAB165" s="146"/>
      <c r="KAC165" s="146"/>
      <c r="KAD165" s="146"/>
      <c r="KAE165" s="146"/>
      <c r="KAF165" s="146"/>
      <c r="KAG165" s="146"/>
      <c r="KAH165" s="146"/>
      <c r="KAI165" s="146"/>
      <c r="KAJ165" s="146"/>
      <c r="KAK165" s="146"/>
      <c r="KAL165" s="146"/>
      <c r="KAM165" s="146"/>
      <c r="KAN165" s="146"/>
      <c r="KAO165" s="146"/>
      <c r="KAP165" s="146"/>
      <c r="KAQ165" s="146"/>
      <c r="KAR165" s="146"/>
      <c r="KAS165" s="146"/>
      <c r="KAT165" s="146"/>
      <c r="KAU165" s="146"/>
      <c r="KAV165" s="146"/>
      <c r="KAW165" s="146"/>
      <c r="KAX165" s="146"/>
      <c r="KAY165" s="146"/>
      <c r="KAZ165" s="146"/>
      <c r="KBA165" s="146"/>
      <c r="KBB165" s="146"/>
      <c r="KBC165" s="146"/>
      <c r="KBD165" s="146"/>
      <c r="KBE165" s="146"/>
      <c r="KBF165" s="146"/>
      <c r="KBG165" s="146"/>
      <c r="KBH165" s="146"/>
      <c r="KBI165" s="146"/>
      <c r="KBJ165" s="146"/>
      <c r="KBK165" s="146"/>
      <c r="KBL165" s="146"/>
      <c r="KBM165" s="146"/>
      <c r="KBN165" s="146"/>
      <c r="KBO165" s="146"/>
      <c r="KBP165" s="146"/>
      <c r="KBQ165" s="146"/>
      <c r="KBR165" s="146"/>
      <c r="KBS165" s="146"/>
      <c r="KBT165" s="146"/>
      <c r="KBU165" s="146"/>
      <c r="KBV165" s="146"/>
      <c r="KBW165" s="146"/>
      <c r="KBX165" s="146"/>
      <c r="KBY165" s="146"/>
      <c r="KBZ165" s="146"/>
      <c r="KCA165" s="146"/>
      <c r="KCB165" s="146"/>
      <c r="KCC165" s="146"/>
      <c r="KCD165" s="146"/>
      <c r="KCE165" s="146"/>
      <c r="KCF165" s="146"/>
      <c r="KCG165" s="146"/>
      <c r="KCH165" s="146"/>
      <c r="KCI165" s="146"/>
      <c r="KCJ165" s="146"/>
      <c r="KCK165" s="146"/>
      <c r="KCL165" s="146"/>
      <c r="KCM165" s="146"/>
      <c r="KCN165" s="146"/>
      <c r="KCO165" s="146"/>
      <c r="KCP165" s="146"/>
      <c r="KCQ165" s="146"/>
      <c r="KCR165" s="146"/>
      <c r="KCS165" s="146"/>
      <c r="KCT165" s="146"/>
      <c r="KCU165" s="146"/>
      <c r="KCV165" s="146"/>
      <c r="KCW165" s="146"/>
      <c r="KCX165" s="146"/>
      <c r="KCY165" s="146"/>
      <c r="KCZ165" s="146"/>
      <c r="KDA165" s="146"/>
      <c r="KDB165" s="146"/>
      <c r="KDC165" s="146"/>
      <c r="KDD165" s="146"/>
      <c r="KDE165" s="146"/>
      <c r="KDF165" s="146"/>
      <c r="KDG165" s="146"/>
      <c r="KDH165" s="146"/>
      <c r="KDI165" s="146"/>
      <c r="KDJ165" s="146"/>
      <c r="KDK165" s="146"/>
      <c r="KDL165" s="146"/>
      <c r="KDM165" s="146"/>
      <c r="KDN165" s="146"/>
      <c r="KDO165" s="146"/>
      <c r="KDP165" s="146"/>
      <c r="KDQ165" s="146"/>
      <c r="KDR165" s="146"/>
      <c r="KDS165" s="146"/>
      <c r="KDT165" s="146"/>
      <c r="KDU165" s="146"/>
      <c r="KDV165" s="146"/>
      <c r="KDW165" s="146"/>
      <c r="KDX165" s="146"/>
      <c r="KDY165" s="146"/>
      <c r="KDZ165" s="146"/>
      <c r="KEA165" s="146"/>
      <c r="KEB165" s="146"/>
      <c r="KEC165" s="146"/>
      <c r="KED165" s="146"/>
      <c r="KEE165" s="146"/>
      <c r="KEF165" s="146"/>
      <c r="KEG165" s="146"/>
      <c r="KEH165" s="146"/>
      <c r="KEI165" s="146"/>
      <c r="KEJ165" s="146"/>
      <c r="KEK165" s="146"/>
      <c r="KEL165" s="146"/>
      <c r="KEM165" s="146"/>
      <c r="KEN165" s="146"/>
      <c r="KEO165" s="146"/>
      <c r="KEP165" s="146"/>
      <c r="KEQ165" s="146"/>
      <c r="KER165" s="146"/>
      <c r="KES165" s="146"/>
      <c r="KET165" s="146"/>
      <c r="KEU165" s="146"/>
      <c r="KEV165" s="146"/>
      <c r="KEW165" s="146"/>
      <c r="KEX165" s="146"/>
      <c r="KEY165" s="146"/>
      <c r="KEZ165" s="146"/>
      <c r="KFA165" s="146"/>
      <c r="KFB165" s="146"/>
      <c r="KFC165" s="146"/>
      <c r="KFD165" s="146"/>
      <c r="KFE165" s="146"/>
      <c r="KFF165" s="146"/>
      <c r="KFG165" s="146"/>
      <c r="KFH165" s="146"/>
      <c r="KFI165" s="146"/>
      <c r="KFJ165" s="146"/>
      <c r="KFK165" s="146"/>
      <c r="KFL165" s="146"/>
      <c r="KFM165" s="146"/>
      <c r="KFN165" s="146"/>
      <c r="KFO165" s="146"/>
      <c r="KFP165" s="146"/>
      <c r="KFQ165" s="146"/>
      <c r="KFR165" s="146"/>
      <c r="KFS165" s="146"/>
      <c r="KFT165" s="146"/>
      <c r="KFU165" s="146"/>
      <c r="KFV165" s="146"/>
      <c r="KFW165" s="146"/>
      <c r="KFX165" s="146"/>
      <c r="KFY165" s="146"/>
      <c r="KFZ165" s="146"/>
      <c r="KGA165" s="146"/>
      <c r="KGB165" s="146"/>
      <c r="KGC165" s="146"/>
      <c r="KGD165" s="146"/>
      <c r="KGE165" s="146"/>
      <c r="KGF165" s="146"/>
      <c r="KGG165" s="146"/>
      <c r="KGH165" s="146"/>
      <c r="KGI165" s="146"/>
      <c r="KGJ165" s="146"/>
      <c r="KGK165" s="146"/>
      <c r="KGL165" s="146"/>
      <c r="KGM165" s="146"/>
      <c r="KGN165" s="146"/>
      <c r="KGO165" s="146"/>
      <c r="KGP165" s="146"/>
      <c r="KGQ165" s="146"/>
      <c r="KGR165" s="146"/>
      <c r="KGS165" s="146"/>
      <c r="KGT165" s="146"/>
      <c r="KGU165" s="146"/>
      <c r="KGV165" s="146"/>
      <c r="KGW165" s="146"/>
      <c r="KGX165" s="146"/>
      <c r="KGY165" s="146"/>
      <c r="KGZ165" s="146"/>
      <c r="KHA165" s="146"/>
      <c r="KHB165" s="146"/>
      <c r="KHC165" s="146"/>
      <c r="KHD165" s="146"/>
      <c r="KHE165" s="146"/>
      <c r="KHF165" s="146"/>
      <c r="KHG165" s="146"/>
      <c r="KHH165" s="146"/>
      <c r="KHI165" s="146"/>
      <c r="KHJ165" s="146"/>
      <c r="KHK165" s="146"/>
      <c r="KHL165" s="146"/>
      <c r="KHM165" s="146"/>
      <c r="KHN165" s="146"/>
      <c r="KHO165" s="146"/>
      <c r="KHP165" s="146"/>
      <c r="KHQ165" s="146"/>
      <c r="KHR165" s="146"/>
      <c r="KHS165" s="146"/>
      <c r="KHT165" s="146"/>
      <c r="KHU165" s="146"/>
      <c r="KHV165" s="146"/>
      <c r="KHW165" s="146"/>
      <c r="KHX165" s="146"/>
      <c r="KHY165" s="146"/>
      <c r="KHZ165" s="146"/>
      <c r="KIA165" s="146"/>
      <c r="KIB165" s="146"/>
      <c r="KIC165" s="146"/>
      <c r="KID165" s="146"/>
      <c r="KIE165" s="146"/>
      <c r="KIF165" s="146"/>
      <c r="KIG165" s="146"/>
      <c r="KIH165" s="146"/>
      <c r="KII165" s="146"/>
      <c r="KIJ165" s="146"/>
      <c r="KIK165" s="146"/>
      <c r="KIL165" s="146"/>
      <c r="KIM165" s="146"/>
      <c r="KIN165" s="146"/>
      <c r="KIO165" s="146"/>
      <c r="KIP165" s="146"/>
      <c r="KIQ165" s="146"/>
      <c r="KIR165" s="146"/>
      <c r="KIS165" s="146"/>
      <c r="KIT165" s="146"/>
      <c r="KIU165" s="146"/>
      <c r="KIV165" s="146"/>
      <c r="KIW165" s="146"/>
      <c r="KIX165" s="146"/>
      <c r="KIY165" s="146"/>
      <c r="KIZ165" s="146"/>
      <c r="KJA165" s="146"/>
      <c r="KJB165" s="146"/>
      <c r="KJC165" s="146"/>
      <c r="KJD165" s="146"/>
      <c r="KJE165" s="146"/>
      <c r="KJF165" s="146"/>
      <c r="KJG165" s="146"/>
      <c r="KJH165" s="146"/>
      <c r="KJI165" s="146"/>
      <c r="KJJ165" s="146"/>
      <c r="KJK165" s="146"/>
      <c r="KJL165" s="146"/>
      <c r="KJM165" s="146"/>
      <c r="KJN165" s="146"/>
      <c r="KJO165" s="146"/>
      <c r="KJP165" s="146"/>
      <c r="KJQ165" s="146"/>
      <c r="KJR165" s="146"/>
      <c r="KJS165" s="146"/>
      <c r="KJT165" s="146"/>
      <c r="KJU165" s="146"/>
      <c r="KJV165" s="146"/>
      <c r="KJW165" s="146"/>
      <c r="KJX165" s="146"/>
      <c r="KJY165" s="146"/>
      <c r="KJZ165" s="146"/>
      <c r="KKA165" s="146"/>
      <c r="KKB165" s="146"/>
      <c r="KKC165" s="146"/>
      <c r="KKD165" s="146"/>
      <c r="KKE165" s="146"/>
      <c r="KKF165" s="146"/>
      <c r="KKG165" s="146"/>
      <c r="KKH165" s="146"/>
      <c r="KKI165" s="146"/>
      <c r="KKJ165" s="146"/>
      <c r="KKK165" s="146"/>
      <c r="KKL165" s="146"/>
      <c r="KKM165" s="146"/>
      <c r="KKN165" s="146"/>
      <c r="KKO165" s="146"/>
      <c r="KKP165" s="146"/>
      <c r="KKQ165" s="146"/>
      <c r="KKR165" s="146"/>
      <c r="KKS165" s="146"/>
      <c r="KKT165" s="146"/>
      <c r="KKU165" s="146"/>
      <c r="KKV165" s="146"/>
      <c r="KKW165" s="146"/>
      <c r="KKX165" s="146"/>
      <c r="KKY165" s="146"/>
      <c r="KKZ165" s="146"/>
      <c r="KLA165" s="146"/>
      <c r="KLB165" s="146"/>
      <c r="KLC165" s="146"/>
      <c r="KLD165" s="146"/>
      <c r="KLE165" s="146"/>
      <c r="KLF165" s="146"/>
      <c r="KLG165" s="146"/>
      <c r="KLH165" s="146"/>
      <c r="KLI165" s="146"/>
      <c r="KLJ165" s="146"/>
      <c r="KLK165" s="146"/>
      <c r="KLL165" s="146"/>
      <c r="KLM165" s="146"/>
      <c r="KLN165" s="146"/>
      <c r="KLO165" s="146"/>
      <c r="KLP165" s="146"/>
      <c r="KLQ165" s="146"/>
      <c r="KLR165" s="146"/>
      <c r="KLS165" s="146"/>
      <c r="KLT165" s="146"/>
      <c r="KLU165" s="146"/>
      <c r="KLV165" s="146"/>
      <c r="KLW165" s="146"/>
      <c r="KLX165" s="146"/>
      <c r="KLY165" s="146"/>
      <c r="KLZ165" s="146"/>
      <c r="KMA165" s="146"/>
      <c r="KMB165" s="146"/>
      <c r="KMC165" s="146"/>
      <c r="KMD165" s="146"/>
      <c r="KME165" s="146"/>
      <c r="KMF165" s="146"/>
      <c r="KMG165" s="146"/>
      <c r="KMH165" s="146"/>
      <c r="KMI165" s="146"/>
      <c r="KMJ165" s="146"/>
      <c r="KMK165" s="146"/>
      <c r="KML165" s="146"/>
      <c r="KMM165" s="146"/>
      <c r="KMN165" s="146"/>
      <c r="KMO165" s="146"/>
      <c r="KMP165" s="146"/>
      <c r="KMQ165" s="146"/>
      <c r="KMR165" s="146"/>
      <c r="KMS165" s="146"/>
      <c r="KMT165" s="146"/>
      <c r="KMU165" s="146"/>
      <c r="KMV165" s="146"/>
      <c r="KMW165" s="146"/>
      <c r="KMX165" s="146"/>
      <c r="KMY165" s="146"/>
      <c r="KMZ165" s="146"/>
      <c r="KNA165" s="146"/>
      <c r="KNB165" s="146"/>
      <c r="KNC165" s="146"/>
      <c r="KND165" s="146"/>
      <c r="KNE165" s="146"/>
      <c r="KNF165" s="146"/>
      <c r="KNG165" s="146"/>
      <c r="KNH165" s="146"/>
      <c r="KNI165" s="146"/>
      <c r="KNJ165" s="146"/>
      <c r="KNK165" s="146"/>
      <c r="KNL165" s="146"/>
      <c r="KNM165" s="146"/>
      <c r="KNN165" s="146"/>
      <c r="KNO165" s="146"/>
      <c r="KNP165" s="146"/>
      <c r="KNQ165" s="146"/>
      <c r="KNR165" s="146"/>
      <c r="KNS165" s="146"/>
      <c r="KNT165" s="146"/>
      <c r="KNU165" s="146"/>
      <c r="KNV165" s="146"/>
      <c r="KNW165" s="146"/>
      <c r="KNX165" s="146"/>
      <c r="KNY165" s="146"/>
      <c r="KNZ165" s="146"/>
      <c r="KOA165" s="146"/>
      <c r="KOB165" s="146"/>
      <c r="KOC165" s="146"/>
      <c r="KOD165" s="146"/>
      <c r="KOE165" s="146"/>
      <c r="KOF165" s="146"/>
      <c r="KOG165" s="146"/>
      <c r="KOH165" s="146"/>
      <c r="KOI165" s="146"/>
      <c r="KOJ165" s="146"/>
      <c r="KOK165" s="146"/>
      <c r="KOL165" s="146"/>
      <c r="KOM165" s="146"/>
      <c r="KON165" s="146"/>
      <c r="KOO165" s="146"/>
      <c r="KOP165" s="146"/>
      <c r="KOQ165" s="146"/>
      <c r="KOR165" s="146"/>
      <c r="KOS165" s="146"/>
      <c r="KOT165" s="146"/>
      <c r="KOU165" s="146"/>
      <c r="KOV165" s="146"/>
      <c r="KOW165" s="146"/>
      <c r="KOX165" s="146"/>
      <c r="KOY165" s="146"/>
      <c r="KOZ165" s="146"/>
      <c r="KPA165" s="146"/>
      <c r="KPB165" s="146"/>
      <c r="KPC165" s="146"/>
      <c r="KPD165" s="146"/>
      <c r="KPE165" s="146"/>
      <c r="KPF165" s="146"/>
      <c r="KPG165" s="146"/>
      <c r="KPH165" s="146"/>
      <c r="KPI165" s="146"/>
      <c r="KPJ165" s="146"/>
      <c r="KPK165" s="146"/>
      <c r="KPL165" s="146"/>
      <c r="KPM165" s="146"/>
      <c r="KPN165" s="146"/>
      <c r="KPO165" s="146"/>
      <c r="KPP165" s="146"/>
      <c r="KPQ165" s="146"/>
      <c r="KPR165" s="146"/>
      <c r="KPS165" s="146"/>
      <c r="KPT165" s="146"/>
      <c r="KPU165" s="146"/>
      <c r="KPV165" s="146"/>
      <c r="KPW165" s="146"/>
      <c r="KPX165" s="146"/>
      <c r="KPY165" s="146"/>
      <c r="KPZ165" s="146"/>
      <c r="KQA165" s="146"/>
      <c r="KQB165" s="146"/>
      <c r="KQC165" s="146"/>
      <c r="KQD165" s="146"/>
      <c r="KQE165" s="146"/>
      <c r="KQF165" s="146"/>
      <c r="KQG165" s="146"/>
      <c r="KQH165" s="146"/>
      <c r="KQI165" s="146"/>
      <c r="KQJ165" s="146"/>
      <c r="KQK165" s="146"/>
      <c r="KQL165" s="146"/>
      <c r="KQM165" s="146"/>
      <c r="KQN165" s="146"/>
      <c r="KQO165" s="146"/>
      <c r="KQP165" s="146"/>
      <c r="KQQ165" s="146"/>
      <c r="KQR165" s="146"/>
      <c r="KQS165" s="146"/>
      <c r="KQT165" s="146"/>
      <c r="KQU165" s="146"/>
      <c r="KQV165" s="146"/>
      <c r="KQW165" s="146"/>
      <c r="KQX165" s="146"/>
      <c r="KQY165" s="146"/>
      <c r="KQZ165" s="146"/>
      <c r="KRA165" s="146"/>
      <c r="KRB165" s="146"/>
      <c r="KRC165" s="146"/>
      <c r="KRD165" s="146"/>
      <c r="KRE165" s="146"/>
      <c r="KRF165" s="146"/>
      <c r="KRG165" s="146"/>
      <c r="KRH165" s="146"/>
      <c r="KRI165" s="146"/>
      <c r="KRJ165" s="146"/>
      <c r="KRK165" s="146"/>
      <c r="KRL165" s="146"/>
      <c r="KRM165" s="146"/>
      <c r="KRN165" s="146"/>
      <c r="KRO165" s="146"/>
      <c r="KRP165" s="146"/>
      <c r="KRQ165" s="146"/>
      <c r="KRR165" s="146"/>
      <c r="KRS165" s="146"/>
      <c r="KRT165" s="146"/>
      <c r="KRU165" s="146"/>
      <c r="KRV165" s="146"/>
      <c r="KRW165" s="146"/>
      <c r="KRX165" s="146"/>
      <c r="KRY165" s="146"/>
      <c r="KRZ165" s="146"/>
      <c r="KSA165" s="146"/>
      <c r="KSB165" s="146"/>
      <c r="KSC165" s="146"/>
      <c r="KSD165" s="146"/>
      <c r="KSE165" s="146"/>
      <c r="KSF165" s="146"/>
      <c r="KSG165" s="146"/>
      <c r="KSH165" s="146"/>
      <c r="KSI165" s="146"/>
      <c r="KSJ165" s="146"/>
      <c r="KSK165" s="146"/>
      <c r="KSL165" s="146"/>
      <c r="KSM165" s="146"/>
      <c r="KSN165" s="146"/>
      <c r="KSO165" s="146"/>
      <c r="KSP165" s="146"/>
      <c r="KSQ165" s="146"/>
      <c r="KSR165" s="146"/>
      <c r="KSS165" s="146"/>
      <c r="KST165" s="146"/>
      <c r="KSU165" s="146"/>
      <c r="KSV165" s="146"/>
      <c r="KSW165" s="146"/>
      <c r="KSX165" s="146"/>
      <c r="KSY165" s="146"/>
      <c r="KSZ165" s="146"/>
      <c r="KTA165" s="146"/>
      <c r="KTB165" s="146"/>
      <c r="KTC165" s="146"/>
      <c r="KTD165" s="146"/>
      <c r="KTE165" s="146"/>
      <c r="KTF165" s="146"/>
      <c r="KTG165" s="146"/>
      <c r="KTH165" s="146"/>
      <c r="KTI165" s="146"/>
      <c r="KTJ165" s="146"/>
      <c r="KTK165" s="146"/>
      <c r="KTL165" s="146"/>
      <c r="KTM165" s="146"/>
      <c r="KTN165" s="146"/>
      <c r="KTO165" s="146"/>
      <c r="KTP165" s="146"/>
      <c r="KTQ165" s="146"/>
      <c r="KTR165" s="146"/>
      <c r="KTS165" s="146"/>
      <c r="KTT165" s="146"/>
      <c r="KTU165" s="146"/>
      <c r="KTV165" s="146"/>
      <c r="KTW165" s="146"/>
      <c r="KTX165" s="146"/>
      <c r="KTY165" s="146"/>
      <c r="KTZ165" s="146"/>
      <c r="KUA165" s="146"/>
      <c r="KUB165" s="146"/>
      <c r="KUC165" s="146"/>
      <c r="KUD165" s="146"/>
      <c r="KUE165" s="146"/>
      <c r="KUF165" s="146"/>
      <c r="KUG165" s="146"/>
      <c r="KUH165" s="146"/>
      <c r="KUI165" s="146"/>
      <c r="KUJ165" s="146"/>
      <c r="KUK165" s="146"/>
      <c r="KUL165" s="146"/>
      <c r="KUM165" s="146"/>
      <c r="KUN165" s="146"/>
      <c r="KUO165" s="146"/>
      <c r="KUP165" s="146"/>
      <c r="KUQ165" s="146"/>
      <c r="KUR165" s="146"/>
      <c r="KUS165" s="146"/>
      <c r="KUT165" s="146"/>
      <c r="KUU165" s="146"/>
      <c r="KUV165" s="146"/>
      <c r="KUW165" s="146"/>
      <c r="KUX165" s="146"/>
      <c r="KUY165" s="146"/>
      <c r="KUZ165" s="146"/>
      <c r="KVA165" s="146"/>
      <c r="KVB165" s="146"/>
      <c r="KVC165" s="146"/>
      <c r="KVD165" s="146"/>
      <c r="KVE165" s="146"/>
      <c r="KVF165" s="146"/>
      <c r="KVG165" s="146"/>
      <c r="KVH165" s="146"/>
      <c r="KVI165" s="146"/>
      <c r="KVJ165" s="146"/>
      <c r="KVK165" s="146"/>
      <c r="KVL165" s="146"/>
      <c r="KVM165" s="146"/>
      <c r="KVN165" s="146"/>
      <c r="KVO165" s="146"/>
      <c r="KVP165" s="146"/>
      <c r="KVQ165" s="146"/>
      <c r="KVR165" s="146"/>
      <c r="KVS165" s="146"/>
      <c r="KVT165" s="146"/>
      <c r="KVU165" s="146"/>
      <c r="KVV165" s="146"/>
      <c r="KVW165" s="146"/>
      <c r="KVX165" s="146"/>
      <c r="KVY165" s="146"/>
      <c r="KVZ165" s="146"/>
      <c r="KWA165" s="146"/>
      <c r="KWB165" s="146"/>
      <c r="KWC165" s="146"/>
      <c r="KWD165" s="146"/>
      <c r="KWE165" s="146"/>
      <c r="KWF165" s="146"/>
      <c r="KWG165" s="146"/>
      <c r="KWH165" s="146"/>
      <c r="KWI165" s="146"/>
      <c r="KWJ165" s="146"/>
      <c r="KWK165" s="146"/>
      <c r="KWL165" s="146"/>
      <c r="KWM165" s="146"/>
      <c r="KWN165" s="146"/>
      <c r="KWO165" s="146"/>
      <c r="KWP165" s="146"/>
      <c r="KWQ165" s="146"/>
      <c r="KWR165" s="146"/>
      <c r="KWS165" s="146"/>
      <c r="KWT165" s="146"/>
      <c r="KWU165" s="146"/>
      <c r="KWV165" s="146"/>
      <c r="KWW165" s="146"/>
      <c r="KWX165" s="146"/>
      <c r="KWY165" s="146"/>
      <c r="KWZ165" s="146"/>
      <c r="KXA165" s="146"/>
      <c r="KXB165" s="146"/>
      <c r="KXC165" s="146"/>
      <c r="KXD165" s="146"/>
      <c r="KXE165" s="146"/>
      <c r="KXF165" s="146"/>
      <c r="KXG165" s="146"/>
      <c r="KXH165" s="146"/>
      <c r="KXI165" s="146"/>
      <c r="KXJ165" s="146"/>
      <c r="KXK165" s="146"/>
      <c r="KXL165" s="146"/>
      <c r="KXM165" s="146"/>
      <c r="KXN165" s="146"/>
      <c r="KXO165" s="146"/>
      <c r="KXP165" s="146"/>
      <c r="KXQ165" s="146"/>
      <c r="KXR165" s="146"/>
      <c r="KXS165" s="146"/>
      <c r="KXT165" s="146"/>
      <c r="KXU165" s="146"/>
      <c r="KXV165" s="146"/>
      <c r="KXW165" s="146"/>
      <c r="KXX165" s="146"/>
      <c r="KXY165" s="146"/>
      <c r="KXZ165" s="146"/>
      <c r="KYA165" s="146"/>
      <c r="KYB165" s="146"/>
      <c r="KYC165" s="146"/>
      <c r="KYD165" s="146"/>
      <c r="KYE165" s="146"/>
      <c r="KYF165" s="146"/>
      <c r="KYG165" s="146"/>
      <c r="KYH165" s="146"/>
      <c r="KYI165" s="146"/>
      <c r="KYJ165" s="146"/>
      <c r="KYK165" s="146"/>
      <c r="KYL165" s="146"/>
      <c r="KYM165" s="146"/>
      <c r="KYN165" s="146"/>
      <c r="KYO165" s="146"/>
      <c r="KYP165" s="146"/>
      <c r="KYQ165" s="146"/>
      <c r="KYR165" s="146"/>
      <c r="KYS165" s="146"/>
      <c r="KYT165" s="146"/>
      <c r="KYU165" s="146"/>
      <c r="KYV165" s="146"/>
      <c r="KYW165" s="146"/>
      <c r="KYX165" s="146"/>
      <c r="KYY165" s="146"/>
      <c r="KYZ165" s="146"/>
      <c r="KZA165" s="146"/>
      <c r="KZB165" s="146"/>
      <c r="KZC165" s="146"/>
      <c r="KZD165" s="146"/>
      <c r="KZE165" s="146"/>
      <c r="KZF165" s="146"/>
      <c r="KZG165" s="146"/>
      <c r="KZH165" s="146"/>
      <c r="KZI165" s="146"/>
      <c r="KZJ165" s="146"/>
      <c r="KZK165" s="146"/>
      <c r="KZL165" s="146"/>
      <c r="KZM165" s="146"/>
      <c r="KZN165" s="146"/>
      <c r="KZO165" s="146"/>
      <c r="KZP165" s="146"/>
      <c r="KZQ165" s="146"/>
      <c r="KZR165" s="146"/>
      <c r="KZS165" s="146"/>
      <c r="KZT165" s="146"/>
      <c r="KZU165" s="146"/>
      <c r="KZV165" s="146"/>
      <c r="KZW165" s="146"/>
      <c r="KZX165" s="146"/>
      <c r="KZY165" s="146"/>
      <c r="KZZ165" s="146"/>
      <c r="LAA165" s="146"/>
      <c r="LAB165" s="146"/>
      <c r="LAC165" s="146"/>
      <c r="LAD165" s="146"/>
      <c r="LAE165" s="146"/>
      <c r="LAF165" s="146"/>
      <c r="LAG165" s="146"/>
      <c r="LAH165" s="146"/>
      <c r="LAI165" s="146"/>
      <c r="LAJ165" s="146"/>
      <c r="LAK165" s="146"/>
      <c r="LAL165" s="146"/>
      <c r="LAM165" s="146"/>
      <c r="LAN165" s="146"/>
      <c r="LAO165" s="146"/>
      <c r="LAP165" s="146"/>
      <c r="LAQ165" s="146"/>
      <c r="LAR165" s="146"/>
      <c r="LAS165" s="146"/>
      <c r="LAT165" s="146"/>
      <c r="LAU165" s="146"/>
      <c r="LAV165" s="146"/>
      <c r="LAW165" s="146"/>
      <c r="LAX165" s="146"/>
      <c r="LAY165" s="146"/>
      <c r="LAZ165" s="146"/>
      <c r="LBA165" s="146"/>
      <c r="LBB165" s="146"/>
      <c r="LBC165" s="146"/>
      <c r="LBD165" s="146"/>
      <c r="LBE165" s="146"/>
      <c r="LBF165" s="146"/>
      <c r="LBG165" s="146"/>
      <c r="LBH165" s="146"/>
      <c r="LBI165" s="146"/>
      <c r="LBJ165" s="146"/>
      <c r="LBK165" s="146"/>
      <c r="LBL165" s="146"/>
      <c r="LBM165" s="146"/>
      <c r="LBN165" s="146"/>
      <c r="LBO165" s="146"/>
      <c r="LBP165" s="146"/>
      <c r="LBQ165" s="146"/>
      <c r="LBR165" s="146"/>
      <c r="LBS165" s="146"/>
      <c r="LBT165" s="146"/>
      <c r="LBU165" s="146"/>
      <c r="LBV165" s="146"/>
      <c r="LBW165" s="146"/>
      <c r="LBX165" s="146"/>
      <c r="LBY165" s="146"/>
      <c r="LBZ165" s="146"/>
      <c r="LCA165" s="146"/>
      <c r="LCB165" s="146"/>
      <c r="LCC165" s="146"/>
      <c r="LCD165" s="146"/>
      <c r="LCE165" s="146"/>
      <c r="LCF165" s="146"/>
      <c r="LCG165" s="146"/>
      <c r="LCH165" s="146"/>
      <c r="LCI165" s="146"/>
      <c r="LCJ165" s="146"/>
      <c r="LCK165" s="146"/>
      <c r="LCL165" s="146"/>
      <c r="LCM165" s="146"/>
      <c r="LCN165" s="146"/>
      <c r="LCO165" s="146"/>
      <c r="LCP165" s="146"/>
      <c r="LCQ165" s="146"/>
      <c r="LCR165" s="146"/>
      <c r="LCS165" s="146"/>
      <c r="LCT165" s="146"/>
      <c r="LCU165" s="146"/>
      <c r="LCV165" s="146"/>
      <c r="LCW165" s="146"/>
      <c r="LCX165" s="146"/>
      <c r="LCY165" s="146"/>
      <c r="LCZ165" s="146"/>
      <c r="LDA165" s="146"/>
      <c r="LDB165" s="146"/>
      <c r="LDC165" s="146"/>
      <c r="LDD165" s="146"/>
      <c r="LDE165" s="146"/>
      <c r="LDF165" s="146"/>
      <c r="LDG165" s="146"/>
      <c r="LDH165" s="146"/>
      <c r="LDI165" s="146"/>
      <c r="LDJ165" s="146"/>
      <c r="LDK165" s="146"/>
      <c r="LDL165" s="146"/>
      <c r="LDM165" s="146"/>
      <c r="LDN165" s="146"/>
      <c r="LDO165" s="146"/>
      <c r="LDP165" s="146"/>
      <c r="LDQ165" s="146"/>
      <c r="LDR165" s="146"/>
      <c r="LDS165" s="146"/>
      <c r="LDT165" s="146"/>
      <c r="LDU165" s="146"/>
      <c r="LDV165" s="146"/>
      <c r="LDW165" s="146"/>
      <c r="LDX165" s="146"/>
      <c r="LDY165" s="146"/>
      <c r="LDZ165" s="146"/>
      <c r="LEA165" s="146"/>
      <c r="LEB165" s="146"/>
      <c r="LEC165" s="146"/>
      <c r="LED165" s="146"/>
      <c r="LEE165" s="146"/>
      <c r="LEF165" s="146"/>
      <c r="LEG165" s="146"/>
      <c r="LEH165" s="146"/>
      <c r="LEI165" s="146"/>
      <c r="LEJ165" s="146"/>
      <c r="LEK165" s="146"/>
      <c r="LEL165" s="146"/>
      <c r="LEM165" s="146"/>
      <c r="LEN165" s="146"/>
      <c r="LEO165" s="146"/>
      <c r="LEP165" s="146"/>
      <c r="LEQ165" s="146"/>
      <c r="LER165" s="146"/>
      <c r="LES165" s="146"/>
      <c r="LET165" s="146"/>
      <c r="LEU165" s="146"/>
      <c r="LEV165" s="146"/>
      <c r="LEW165" s="146"/>
      <c r="LEX165" s="146"/>
      <c r="LEY165" s="146"/>
      <c r="LEZ165" s="146"/>
      <c r="LFA165" s="146"/>
      <c r="LFB165" s="146"/>
      <c r="LFC165" s="146"/>
      <c r="LFD165" s="146"/>
      <c r="LFE165" s="146"/>
      <c r="LFF165" s="146"/>
      <c r="LFG165" s="146"/>
      <c r="LFH165" s="146"/>
      <c r="LFI165" s="146"/>
      <c r="LFJ165" s="146"/>
      <c r="LFK165" s="146"/>
      <c r="LFL165" s="146"/>
      <c r="LFM165" s="146"/>
      <c r="LFN165" s="146"/>
      <c r="LFO165" s="146"/>
      <c r="LFP165" s="146"/>
      <c r="LFQ165" s="146"/>
      <c r="LFR165" s="146"/>
      <c r="LFS165" s="146"/>
      <c r="LFT165" s="146"/>
      <c r="LFU165" s="146"/>
      <c r="LFV165" s="146"/>
      <c r="LFW165" s="146"/>
      <c r="LFX165" s="146"/>
      <c r="LFY165" s="146"/>
      <c r="LFZ165" s="146"/>
      <c r="LGA165" s="146"/>
      <c r="LGB165" s="146"/>
      <c r="LGC165" s="146"/>
      <c r="LGD165" s="146"/>
      <c r="LGE165" s="146"/>
      <c r="LGF165" s="146"/>
      <c r="LGG165" s="146"/>
      <c r="LGH165" s="146"/>
      <c r="LGI165" s="146"/>
      <c r="LGJ165" s="146"/>
      <c r="LGK165" s="146"/>
      <c r="LGL165" s="146"/>
      <c r="LGM165" s="146"/>
      <c r="LGN165" s="146"/>
      <c r="LGO165" s="146"/>
      <c r="LGP165" s="146"/>
      <c r="LGQ165" s="146"/>
      <c r="LGR165" s="146"/>
      <c r="LGS165" s="146"/>
      <c r="LGT165" s="146"/>
      <c r="LGU165" s="146"/>
      <c r="LGV165" s="146"/>
      <c r="LGW165" s="146"/>
      <c r="LGX165" s="146"/>
      <c r="LGY165" s="146"/>
      <c r="LGZ165" s="146"/>
      <c r="LHA165" s="146"/>
      <c r="LHB165" s="146"/>
      <c r="LHC165" s="146"/>
      <c r="LHD165" s="146"/>
      <c r="LHE165" s="146"/>
      <c r="LHF165" s="146"/>
      <c r="LHG165" s="146"/>
      <c r="LHH165" s="146"/>
      <c r="LHI165" s="146"/>
      <c r="LHJ165" s="146"/>
      <c r="LHK165" s="146"/>
      <c r="LHL165" s="146"/>
      <c r="LHM165" s="146"/>
      <c r="LHN165" s="146"/>
      <c r="LHO165" s="146"/>
      <c r="LHP165" s="146"/>
      <c r="LHQ165" s="146"/>
      <c r="LHR165" s="146"/>
      <c r="LHS165" s="146"/>
      <c r="LHT165" s="146"/>
      <c r="LHU165" s="146"/>
      <c r="LHV165" s="146"/>
      <c r="LHW165" s="146"/>
      <c r="LHX165" s="146"/>
      <c r="LHY165" s="146"/>
      <c r="LHZ165" s="146"/>
      <c r="LIA165" s="146"/>
      <c r="LIB165" s="146"/>
      <c r="LIC165" s="146"/>
      <c r="LID165" s="146"/>
      <c r="LIE165" s="146"/>
      <c r="LIF165" s="146"/>
      <c r="LIG165" s="146"/>
      <c r="LIH165" s="146"/>
      <c r="LII165" s="146"/>
      <c r="LIJ165" s="146"/>
      <c r="LIK165" s="146"/>
      <c r="LIL165" s="146"/>
      <c r="LIM165" s="146"/>
      <c r="LIN165" s="146"/>
      <c r="LIO165" s="146"/>
      <c r="LIP165" s="146"/>
      <c r="LIQ165" s="146"/>
      <c r="LIR165" s="146"/>
      <c r="LIS165" s="146"/>
      <c r="LIT165" s="146"/>
      <c r="LIU165" s="146"/>
      <c r="LIV165" s="146"/>
      <c r="LIW165" s="146"/>
      <c r="LIX165" s="146"/>
      <c r="LIY165" s="146"/>
      <c r="LIZ165" s="146"/>
      <c r="LJA165" s="146"/>
      <c r="LJB165" s="146"/>
      <c r="LJC165" s="146"/>
      <c r="LJD165" s="146"/>
      <c r="LJE165" s="146"/>
      <c r="LJF165" s="146"/>
      <c r="LJG165" s="146"/>
      <c r="LJH165" s="146"/>
      <c r="LJI165" s="146"/>
      <c r="LJJ165" s="146"/>
      <c r="LJK165" s="146"/>
      <c r="LJL165" s="146"/>
      <c r="LJM165" s="146"/>
      <c r="LJN165" s="146"/>
      <c r="LJO165" s="146"/>
      <c r="LJP165" s="146"/>
      <c r="LJQ165" s="146"/>
      <c r="LJR165" s="146"/>
      <c r="LJS165" s="146"/>
      <c r="LJT165" s="146"/>
      <c r="LJU165" s="146"/>
      <c r="LJV165" s="146"/>
      <c r="LJW165" s="146"/>
      <c r="LJX165" s="146"/>
      <c r="LJY165" s="146"/>
      <c r="LJZ165" s="146"/>
      <c r="LKA165" s="146"/>
      <c r="LKB165" s="146"/>
      <c r="LKC165" s="146"/>
      <c r="LKD165" s="146"/>
      <c r="LKE165" s="146"/>
      <c r="LKF165" s="146"/>
      <c r="LKG165" s="146"/>
      <c r="LKH165" s="146"/>
      <c r="LKI165" s="146"/>
      <c r="LKJ165" s="146"/>
      <c r="LKK165" s="146"/>
      <c r="LKL165" s="146"/>
      <c r="LKM165" s="146"/>
      <c r="LKN165" s="146"/>
      <c r="LKO165" s="146"/>
      <c r="LKP165" s="146"/>
      <c r="LKQ165" s="146"/>
      <c r="LKR165" s="146"/>
      <c r="LKS165" s="146"/>
      <c r="LKT165" s="146"/>
      <c r="LKU165" s="146"/>
      <c r="LKV165" s="146"/>
      <c r="LKW165" s="146"/>
      <c r="LKX165" s="146"/>
      <c r="LKY165" s="146"/>
      <c r="LKZ165" s="146"/>
      <c r="LLA165" s="146"/>
      <c r="LLB165" s="146"/>
      <c r="LLC165" s="146"/>
      <c r="LLD165" s="146"/>
      <c r="LLE165" s="146"/>
      <c r="LLF165" s="146"/>
      <c r="LLG165" s="146"/>
      <c r="LLH165" s="146"/>
      <c r="LLI165" s="146"/>
      <c r="LLJ165" s="146"/>
      <c r="LLK165" s="146"/>
      <c r="LLL165" s="146"/>
      <c r="LLM165" s="146"/>
      <c r="LLN165" s="146"/>
      <c r="LLO165" s="146"/>
      <c r="LLP165" s="146"/>
      <c r="LLQ165" s="146"/>
      <c r="LLR165" s="146"/>
      <c r="LLS165" s="146"/>
      <c r="LLT165" s="146"/>
      <c r="LLU165" s="146"/>
      <c r="LLV165" s="146"/>
      <c r="LLW165" s="146"/>
      <c r="LLX165" s="146"/>
      <c r="LLY165" s="146"/>
      <c r="LLZ165" s="146"/>
      <c r="LMA165" s="146"/>
      <c r="LMB165" s="146"/>
      <c r="LMC165" s="146"/>
      <c r="LMD165" s="146"/>
      <c r="LME165" s="146"/>
      <c r="LMF165" s="146"/>
      <c r="LMG165" s="146"/>
      <c r="LMH165" s="146"/>
      <c r="LMI165" s="146"/>
      <c r="LMJ165" s="146"/>
      <c r="LMK165" s="146"/>
      <c r="LML165" s="146"/>
      <c r="LMM165" s="146"/>
      <c r="LMN165" s="146"/>
      <c r="LMO165" s="146"/>
      <c r="LMP165" s="146"/>
      <c r="LMQ165" s="146"/>
      <c r="LMR165" s="146"/>
      <c r="LMS165" s="146"/>
      <c r="LMT165" s="146"/>
      <c r="LMU165" s="146"/>
      <c r="LMV165" s="146"/>
      <c r="LMW165" s="146"/>
      <c r="LMX165" s="146"/>
      <c r="LMY165" s="146"/>
      <c r="LMZ165" s="146"/>
      <c r="LNA165" s="146"/>
      <c r="LNB165" s="146"/>
      <c r="LNC165" s="146"/>
      <c r="LND165" s="146"/>
      <c r="LNE165" s="146"/>
      <c r="LNF165" s="146"/>
      <c r="LNG165" s="146"/>
      <c r="LNH165" s="146"/>
      <c r="LNI165" s="146"/>
      <c r="LNJ165" s="146"/>
      <c r="LNK165" s="146"/>
      <c r="LNL165" s="146"/>
      <c r="LNM165" s="146"/>
      <c r="LNN165" s="146"/>
      <c r="LNO165" s="146"/>
      <c r="LNP165" s="146"/>
      <c r="LNQ165" s="146"/>
      <c r="LNR165" s="146"/>
      <c r="LNS165" s="146"/>
      <c r="LNT165" s="146"/>
      <c r="LNU165" s="146"/>
      <c r="LNV165" s="146"/>
      <c r="LNW165" s="146"/>
      <c r="LNX165" s="146"/>
      <c r="LNY165" s="146"/>
      <c r="LNZ165" s="146"/>
      <c r="LOA165" s="146"/>
      <c r="LOB165" s="146"/>
      <c r="LOC165" s="146"/>
      <c r="LOD165" s="146"/>
      <c r="LOE165" s="146"/>
      <c r="LOF165" s="146"/>
      <c r="LOG165" s="146"/>
      <c r="LOH165" s="146"/>
      <c r="LOI165" s="146"/>
      <c r="LOJ165" s="146"/>
      <c r="LOK165" s="146"/>
      <c r="LOL165" s="146"/>
      <c r="LOM165" s="146"/>
      <c r="LON165" s="146"/>
      <c r="LOO165" s="146"/>
      <c r="LOP165" s="146"/>
      <c r="LOQ165" s="146"/>
      <c r="LOR165" s="146"/>
      <c r="LOS165" s="146"/>
      <c r="LOT165" s="146"/>
      <c r="LOU165" s="146"/>
      <c r="LOV165" s="146"/>
      <c r="LOW165" s="146"/>
      <c r="LOX165" s="146"/>
      <c r="LOY165" s="146"/>
      <c r="LOZ165" s="146"/>
      <c r="LPA165" s="146"/>
      <c r="LPB165" s="146"/>
      <c r="LPC165" s="146"/>
      <c r="LPD165" s="146"/>
      <c r="LPE165" s="146"/>
      <c r="LPF165" s="146"/>
      <c r="LPG165" s="146"/>
      <c r="LPH165" s="146"/>
      <c r="LPI165" s="146"/>
      <c r="LPJ165" s="146"/>
      <c r="LPK165" s="146"/>
      <c r="LPL165" s="146"/>
      <c r="LPM165" s="146"/>
      <c r="LPN165" s="146"/>
      <c r="LPO165" s="146"/>
      <c r="LPP165" s="146"/>
      <c r="LPQ165" s="146"/>
      <c r="LPR165" s="146"/>
      <c r="LPS165" s="146"/>
      <c r="LPT165" s="146"/>
      <c r="LPU165" s="146"/>
      <c r="LPV165" s="146"/>
      <c r="LPW165" s="146"/>
      <c r="LPX165" s="146"/>
      <c r="LPY165" s="146"/>
      <c r="LPZ165" s="146"/>
      <c r="LQA165" s="146"/>
      <c r="LQB165" s="146"/>
      <c r="LQC165" s="146"/>
      <c r="LQD165" s="146"/>
      <c r="LQE165" s="146"/>
      <c r="LQF165" s="146"/>
      <c r="LQG165" s="146"/>
      <c r="LQH165" s="146"/>
      <c r="LQI165" s="146"/>
      <c r="LQJ165" s="146"/>
      <c r="LQK165" s="146"/>
      <c r="LQL165" s="146"/>
      <c r="LQM165" s="146"/>
      <c r="LQN165" s="146"/>
      <c r="LQO165" s="146"/>
      <c r="LQP165" s="146"/>
      <c r="LQQ165" s="146"/>
      <c r="LQR165" s="146"/>
      <c r="LQS165" s="146"/>
      <c r="LQT165" s="146"/>
      <c r="LQU165" s="146"/>
      <c r="LQV165" s="146"/>
      <c r="LQW165" s="146"/>
      <c r="LQX165" s="146"/>
      <c r="LQY165" s="146"/>
      <c r="LQZ165" s="146"/>
      <c r="LRA165" s="146"/>
      <c r="LRB165" s="146"/>
      <c r="LRC165" s="146"/>
      <c r="LRD165" s="146"/>
      <c r="LRE165" s="146"/>
      <c r="LRF165" s="146"/>
      <c r="LRG165" s="146"/>
      <c r="LRH165" s="146"/>
      <c r="LRI165" s="146"/>
      <c r="LRJ165" s="146"/>
      <c r="LRK165" s="146"/>
      <c r="LRL165" s="146"/>
      <c r="LRM165" s="146"/>
      <c r="LRN165" s="146"/>
      <c r="LRO165" s="146"/>
      <c r="LRP165" s="146"/>
      <c r="LRQ165" s="146"/>
      <c r="LRR165" s="146"/>
      <c r="LRS165" s="146"/>
      <c r="LRT165" s="146"/>
      <c r="LRU165" s="146"/>
      <c r="LRV165" s="146"/>
      <c r="LRW165" s="146"/>
      <c r="LRX165" s="146"/>
      <c r="LRY165" s="146"/>
      <c r="LRZ165" s="146"/>
      <c r="LSA165" s="146"/>
      <c r="LSB165" s="146"/>
      <c r="LSC165" s="146"/>
      <c r="LSD165" s="146"/>
      <c r="LSE165" s="146"/>
      <c r="LSF165" s="146"/>
      <c r="LSG165" s="146"/>
      <c r="LSH165" s="146"/>
      <c r="LSI165" s="146"/>
      <c r="LSJ165" s="146"/>
      <c r="LSK165" s="146"/>
      <c r="LSL165" s="146"/>
      <c r="LSM165" s="146"/>
      <c r="LSN165" s="146"/>
      <c r="LSO165" s="146"/>
      <c r="LSP165" s="146"/>
      <c r="LSQ165" s="146"/>
      <c r="LSR165" s="146"/>
      <c r="LSS165" s="146"/>
      <c r="LST165" s="146"/>
      <c r="LSU165" s="146"/>
      <c r="LSV165" s="146"/>
      <c r="LSW165" s="146"/>
      <c r="LSX165" s="146"/>
      <c r="LSY165" s="146"/>
      <c r="LSZ165" s="146"/>
      <c r="LTA165" s="146"/>
      <c r="LTB165" s="146"/>
      <c r="LTC165" s="146"/>
      <c r="LTD165" s="146"/>
      <c r="LTE165" s="146"/>
      <c r="LTF165" s="146"/>
      <c r="LTG165" s="146"/>
      <c r="LTH165" s="146"/>
      <c r="LTI165" s="146"/>
      <c r="LTJ165" s="146"/>
      <c r="LTK165" s="146"/>
      <c r="LTL165" s="146"/>
      <c r="LTM165" s="146"/>
      <c r="LTN165" s="146"/>
      <c r="LTO165" s="146"/>
      <c r="LTP165" s="146"/>
      <c r="LTQ165" s="146"/>
      <c r="LTR165" s="146"/>
      <c r="LTS165" s="146"/>
      <c r="LTT165" s="146"/>
      <c r="LTU165" s="146"/>
      <c r="LTV165" s="146"/>
      <c r="LTW165" s="146"/>
      <c r="LTX165" s="146"/>
      <c r="LTY165" s="146"/>
      <c r="LTZ165" s="146"/>
      <c r="LUA165" s="146"/>
      <c r="LUB165" s="146"/>
      <c r="LUC165" s="146"/>
      <c r="LUD165" s="146"/>
      <c r="LUE165" s="146"/>
      <c r="LUF165" s="146"/>
      <c r="LUG165" s="146"/>
      <c r="LUH165" s="146"/>
      <c r="LUI165" s="146"/>
      <c r="LUJ165" s="146"/>
      <c r="LUK165" s="146"/>
      <c r="LUL165" s="146"/>
      <c r="LUM165" s="146"/>
      <c r="LUN165" s="146"/>
      <c r="LUO165" s="146"/>
      <c r="LUP165" s="146"/>
      <c r="LUQ165" s="146"/>
      <c r="LUR165" s="146"/>
      <c r="LUS165" s="146"/>
      <c r="LUT165" s="146"/>
      <c r="LUU165" s="146"/>
      <c r="LUV165" s="146"/>
      <c r="LUW165" s="146"/>
      <c r="LUX165" s="146"/>
      <c r="LUY165" s="146"/>
      <c r="LUZ165" s="146"/>
      <c r="LVA165" s="146"/>
      <c r="LVB165" s="146"/>
      <c r="LVC165" s="146"/>
      <c r="LVD165" s="146"/>
      <c r="LVE165" s="146"/>
      <c r="LVF165" s="146"/>
      <c r="LVG165" s="146"/>
      <c r="LVH165" s="146"/>
      <c r="LVI165" s="146"/>
      <c r="LVJ165" s="146"/>
      <c r="LVK165" s="146"/>
      <c r="LVL165" s="146"/>
      <c r="LVM165" s="146"/>
      <c r="LVN165" s="146"/>
      <c r="LVO165" s="146"/>
      <c r="LVP165" s="146"/>
      <c r="LVQ165" s="146"/>
      <c r="LVR165" s="146"/>
      <c r="LVS165" s="146"/>
      <c r="LVT165" s="146"/>
      <c r="LVU165" s="146"/>
      <c r="LVV165" s="146"/>
      <c r="LVW165" s="146"/>
      <c r="LVX165" s="146"/>
      <c r="LVY165" s="146"/>
      <c r="LVZ165" s="146"/>
      <c r="LWA165" s="146"/>
      <c r="LWB165" s="146"/>
      <c r="LWC165" s="146"/>
      <c r="LWD165" s="146"/>
      <c r="LWE165" s="146"/>
      <c r="LWF165" s="146"/>
      <c r="LWG165" s="146"/>
      <c r="LWH165" s="146"/>
      <c r="LWI165" s="146"/>
      <c r="LWJ165" s="146"/>
      <c r="LWK165" s="146"/>
      <c r="LWL165" s="146"/>
      <c r="LWM165" s="146"/>
      <c r="LWN165" s="146"/>
      <c r="LWO165" s="146"/>
      <c r="LWP165" s="146"/>
      <c r="LWQ165" s="146"/>
      <c r="LWR165" s="146"/>
      <c r="LWS165" s="146"/>
      <c r="LWT165" s="146"/>
      <c r="LWU165" s="146"/>
      <c r="LWV165" s="146"/>
      <c r="LWW165" s="146"/>
      <c r="LWX165" s="146"/>
      <c r="LWY165" s="146"/>
      <c r="LWZ165" s="146"/>
      <c r="LXA165" s="146"/>
      <c r="LXB165" s="146"/>
      <c r="LXC165" s="146"/>
      <c r="LXD165" s="146"/>
      <c r="LXE165" s="146"/>
      <c r="LXF165" s="146"/>
      <c r="LXG165" s="146"/>
      <c r="LXH165" s="146"/>
      <c r="LXI165" s="146"/>
      <c r="LXJ165" s="146"/>
      <c r="LXK165" s="146"/>
      <c r="LXL165" s="146"/>
      <c r="LXM165" s="146"/>
      <c r="LXN165" s="146"/>
      <c r="LXO165" s="146"/>
      <c r="LXP165" s="146"/>
      <c r="LXQ165" s="146"/>
      <c r="LXR165" s="146"/>
      <c r="LXS165" s="146"/>
      <c r="LXT165" s="146"/>
      <c r="LXU165" s="146"/>
      <c r="LXV165" s="146"/>
      <c r="LXW165" s="146"/>
      <c r="LXX165" s="146"/>
      <c r="LXY165" s="146"/>
      <c r="LXZ165" s="146"/>
      <c r="LYA165" s="146"/>
      <c r="LYB165" s="146"/>
      <c r="LYC165" s="146"/>
      <c r="LYD165" s="146"/>
      <c r="LYE165" s="146"/>
      <c r="LYF165" s="146"/>
      <c r="LYG165" s="146"/>
      <c r="LYH165" s="146"/>
      <c r="LYI165" s="146"/>
      <c r="LYJ165" s="146"/>
      <c r="LYK165" s="146"/>
      <c r="LYL165" s="146"/>
      <c r="LYM165" s="146"/>
      <c r="LYN165" s="146"/>
      <c r="LYO165" s="146"/>
      <c r="LYP165" s="146"/>
      <c r="LYQ165" s="146"/>
      <c r="LYR165" s="146"/>
      <c r="LYS165" s="146"/>
      <c r="LYT165" s="146"/>
      <c r="LYU165" s="146"/>
      <c r="LYV165" s="146"/>
      <c r="LYW165" s="146"/>
      <c r="LYX165" s="146"/>
      <c r="LYY165" s="146"/>
      <c r="LYZ165" s="146"/>
      <c r="LZA165" s="146"/>
      <c r="LZB165" s="146"/>
      <c r="LZC165" s="146"/>
      <c r="LZD165" s="146"/>
      <c r="LZE165" s="146"/>
      <c r="LZF165" s="146"/>
      <c r="LZG165" s="146"/>
      <c r="LZH165" s="146"/>
      <c r="LZI165" s="146"/>
      <c r="LZJ165" s="146"/>
      <c r="LZK165" s="146"/>
      <c r="LZL165" s="146"/>
      <c r="LZM165" s="146"/>
      <c r="LZN165" s="146"/>
      <c r="LZO165" s="146"/>
      <c r="LZP165" s="146"/>
      <c r="LZQ165" s="146"/>
      <c r="LZR165" s="146"/>
      <c r="LZS165" s="146"/>
      <c r="LZT165" s="146"/>
      <c r="LZU165" s="146"/>
      <c r="LZV165" s="146"/>
      <c r="LZW165" s="146"/>
      <c r="LZX165" s="146"/>
      <c r="LZY165" s="146"/>
      <c r="LZZ165" s="146"/>
      <c r="MAA165" s="146"/>
      <c r="MAB165" s="146"/>
      <c r="MAC165" s="146"/>
      <c r="MAD165" s="146"/>
      <c r="MAE165" s="146"/>
      <c r="MAF165" s="146"/>
      <c r="MAG165" s="146"/>
      <c r="MAH165" s="146"/>
      <c r="MAI165" s="146"/>
      <c r="MAJ165" s="146"/>
      <c r="MAK165" s="146"/>
      <c r="MAL165" s="146"/>
      <c r="MAM165" s="146"/>
      <c r="MAN165" s="146"/>
      <c r="MAO165" s="146"/>
      <c r="MAP165" s="146"/>
      <c r="MAQ165" s="146"/>
      <c r="MAR165" s="146"/>
      <c r="MAS165" s="146"/>
      <c r="MAT165" s="146"/>
      <c r="MAU165" s="146"/>
      <c r="MAV165" s="146"/>
      <c r="MAW165" s="146"/>
      <c r="MAX165" s="146"/>
      <c r="MAY165" s="146"/>
      <c r="MAZ165" s="146"/>
      <c r="MBA165" s="146"/>
      <c r="MBB165" s="146"/>
      <c r="MBC165" s="146"/>
      <c r="MBD165" s="146"/>
      <c r="MBE165" s="146"/>
      <c r="MBF165" s="146"/>
      <c r="MBG165" s="146"/>
      <c r="MBH165" s="146"/>
      <c r="MBI165" s="146"/>
      <c r="MBJ165" s="146"/>
      <c r="MBK165" s="146"/>
      <c r="MBL165" s="146"/>
      <c r="MBM165" s="146"/>
      <c r="MBN165" s="146"/>
      <c r="MBO165" s="146"/>
      <c r="MBP165" s="146"/>
      <c r="MBQ165" s="146"/>
      <c r="MBR165" s="146"/>
      <c r="MBS165" s="146"/>
      <c r="MBT165" s="146"/>
      <c r="MBU165" s="146"/>
      <c r="MBV165" s="146"/>
      <c r="MBW165" s="146"/>
      <c r="MBX165" s="146"/>
      <c r="MBY165" s="146"/>
      <c r="MBZ165" s="146"/>
      <c r="MCA165" s="146"/>
      <c r="MCB165" s="146"/>
      <c r="MCC165" s="146"/>
      <c r="MCD165" s="146"/>
      <c r="MCE165" s="146"/>
      <c r="MCF165" s="146"/>
      <c r="MCG165" s="146"/>
      <c r="MCH165" s="146"/>
      <c r="MCI165" s="146"/>
      <c r="MCJ165" s="146"/>
      <c r="MCK165" s="146"/>
      <c r="MCL165" s="146"/>
      <c r="MCM165" s="146"/>
      <c r="MCN165" s="146"/>
      <c r="MCO165" s="146"/>
      <c r="MCP165" s="146"/>
      <c r="MCQ165" s="146"/>
      <c r="MCR165" s="146"/>
      <c r="MCS165" s="146"/>
      <c r="MCT165" s="146"/>
      <c r="MCU165" s="146"/>
      <c r="MCV165" s="146"/>
      <c r="MCW165" s="146"/>
      <c r="MCX165" s="146"/>
      <c r="MCY165" s="146"/>
      <c r="MCZ165" s="146"/>
      <c r="MDA165" s="146"/>
      <c r="MDB165" s="146"/>
      <c r="MDC165" s="146"/>
      <c r="MDD165" s="146"/>
      <c r="MDE165" s="146"/>
      <c r="MDF165" s="146"/>
      <c r="MDG165" s="146"/>
      <c r="MDH165" s="146"/>
      <c r="MDI165" s="146"/>
      <c r="MDJ165" s="146"/>
      <c r="MDK165" s="146"/>
      <c r="MDL165" s="146"/>
      <c r="MDM165" s="146"/>
      <c r="MDN165" s="146"/>
      <c r="MDO165" s="146"/>
      <c r="MDP165" s="146"/>
      <c r="MDQ165" s="146"/>
      <c r="MDR165" s="146"/>
      <c r="MDS165" s="146"/>
      <c r="MDT165" s="146"/>
      <c r="MDU165" s="146"/>
      <c r="MDV165" s="146"/>
      <c r="MDW165" s="146"/>
      <c r="MDX165" s="146"/>
      <c r="MDY165" s="146"/>
      <c r="MDZ165" s="146"/>
      <c r="MEA165" s="146"/>
      <c r="MEB165" s="146"/>
      <c r="MEC165" s="146"/>
      <c r="MED165" s="146"/>
      <c r="MEE165" s="146"/>
      <c r="MEF165" s="146"/>
      <c r="MEG165" s="146"/>
      <c r="MEH165" s="146"/>
      <c r="MEI165" s="146"/>
      <c r="MEJ165" s="146"/>
      <c r="MEK165" s="146"/>
      <c r="MEL165" s="146"/>
      <c r="MEM165" s="146"/>
      <c r="MEN165" s="146"/>
      <c r="MEO165" s="146"/>
      <c r="MEP165" s="146"/>
      <c r="MEQ165" s="146"/>
      <c r="MER165" s="146"/>
      <c r="MES165" s="146"/>
      <c r="MET165" s="146"/>
      <c r="MEU165" s="146"/>
      <c r="MEV165" s="146"/>
      <c r="MEW165" s="146"/>
      <c r="MEX165" s="146"/>
      <c r="MEY165" s="146"/>
      <c r="MEZ165" s="146"/>
      <c r="MFA165" s="146"/>
      <c r="MFB165" s="146"/>
      <c r="MFC165" s="146"/>
      <c r="MFD165" s="146"/>
      <c r="MFE165" s="146"/>
      <c r="MFF165" s="146"/>
      <c r="MFG165" s="146"/>
      <c r="MFH165" s="146"/>
      <c r="MFI165" s="146"/>
      <c r="MFJ165" s="146"/>
      <c r="MFK165" s="146"/>
      <c r="MFL165" s="146"/>
      <c r="MFM165" s="146"/>
      <c r="MFN165" s="146"/>
      <c r="MFO165" s="146"/>
      <c r="MFP165" s="146"/>
      <c r="MFQ165" s="146"/>
      <c r="MFR165" s="146"/>
      <c r="MFS165" s="146"/>
      <c r="MFT165" s="146"/>
      <c r="MFU165" s="146"/>
      <c r="MFV165" s="146"/>
      <c r="MFW165" s="146"/>
      <c r="MFX165" s="146"/>
      <c r="MFY165" s="146"/>
      <c r="MFZ165" s="146"/>
      <c r="MGA165" s="146"/>
      <c r="MGB165" s="146"/>
      <c r="MGC165" s="146"/>
      <c r="MGD165" s="146"/>
      <c r="MGE165" s="146"/>
      <c r="MGF165" s="146"/>
      <c r="MGG165" s="146"/>
      <c r="MGH165" s="146"/>
      <c r="MGI165" s="146"/>
      <c r="MGJ165" s="146"/>
      <c r="MGK165" s="146"/>
      <c r="MGL165" s="146"/>
      <c r="MGM165" s="146"/>
      <c r="MGN165" s="146"/>
      <c r="MGO165" s="146"/>
      <c r="MGP165" s="146"/>
      <c r="MGQ165" s="146"/>
      <c r="MGR165" s="146"/>
      <c r="MGS165" s="146"/>
      <c r="MGT165" s="146"/>
      <c r="MGU165" s="146"/>
      <c r="MGV165" s="146"/>
      <c r="MGW165" s="146"/>
      <c r="MGX165" s="146"/>
      <c r="MGY165" s="146"/>
      <c r="MGZ165" s="146"/>
      <c r="MHA165" s="146"/>
      <c r="MHB165" s="146"/>
      <c r="MHC165" s="146"/>
      <c r="MHD165" s="146"/>
      <c r="MHE165" s="146"/>
      <c r="MHF165" s="146"/>
      <c r="MHG165" s="146"/>
      <c r="MHH165" s="146"/>
      <c r="MHI165" s="146"/>
      <c r="MHJ165" s="146"/>
      <c r="MHK165" s="146"/>
      <c r="MHL165" s="146"/>
      <c r="MHM165" s="146"/>
      <c r="MHN165" s="146"/>
      <c r="MHO165" s="146"/>
      <c r="MHP165" s="146"/>
      <c r="MHQ165" s="146"/>
      <c r="MHR165" s="146"/>
      <c r="MHS165" s="146"/>
      <c r="MHT165" s="146"/>
      <c r="MHU165" s="146"/>
      <c r="MHV165" s="146"/>
      <c r="MHW165" s="146"/>
      <c r="MHX165" s="146"/>
      <c r="MHY165" s="146"/>
      <c r="MHZ165" s="146"/>
      <c r="MIA165" s="146"/>
      <c r="MIB165" s="146"/>
      <c r="MIC165" s="146"/>
      <c r="MID165" s="146"/>
      <c r="MIE165" s="146"/>
      <c r="MIF165" s="146"/>
      <c r="MIG165" s="146"/>
      <c r="MIH165" s="146"/>
      <c r="MII165" s="146"/>
      <c r="MIJ165" s="146"/>
      <c r="MIK165" s="146"/>
      <c r="MIL165" s="146"/>
      <c r="MIM165" s="146"/>
      <c r="MIN165" s="146"/>
      <c r="MIO165" s="146"/>
      <c r="MIP165" s="146"/>
      <c r="MIQ165" s="146"/>
      <c r="MIR165" s="146"/>
      <c r="MIS165" s="146"/>
      <c r="MIT165" s="146"/>
      <c r="MIU165" s="146"/>
      <c r="MIV165" s="146"/>
      <c r="MIW165" s="146"/>
      <c r="MIX165" s="146"/>
      <c r="MIY165" s="146"/>
      <c r="MIZ165" s="146"/>
      <c r="MJA165" s="146"/>
      <c r="MJB165" s="146"/>
      <c r="MJC165" s="146"/>
      <c r="MJD165" s="146"/>
      <c r="MJE165" s="146"/>
      <c r="MJF165" s="146"/>
      <c r="MJG165" s="146"/>
      <c r="MJH165" s="146"/>
      <c r="MJI165" s="146"/>
      <c r="MJJ165" s="146"/>
      <c r="MJK165" s="146"/>
      <c r="MJL165" s="146"/>
      <c r="MJM165" s="146"/>
      <c r="MJN165" s="146"/>
      <c r="MJO165" s="146"/>
      <c r="MJP165" s="146"/>
      <c r="MJQ165" s="146"/>
      <c r="MJR165" s="146"/>
      <c r="MJS165" s="146"/>
      <c r="MJT165" s="146"/>
      <c r="MJU165" s="146"/>
      <c r="MJV165" s="146"/>
      <c r="MJW165" s="146"/>
      <c r="MJX165" s="146"/>
      <c r="MJY165" s="146"/>
      <c r="MJZ165" s="146"/>
      <c r="MKA165" s="146"/>
      <c r="MKB165" s="146"/>
      <c r="MKC165" s="146"/>
      <c r="MKD165" s="146"/>
      <c r="MKE165" s="146"/>
      <c r="MKF165" s="146"/>
      <c r="MKG165" s="146"/>
      <c r="MKH165" s="146"/>
      <c r="MKI165" s="146"/>
      <c r="MKJ165" s="146"/>
      <c r="MKK165" s="146"/>
      <c r="MKL165" s="146"/>
      <c r="MKM165" s="146"/>
      <c r="MKN165" s="146"/>
      <c r="MKO165" s="146"/>
      <c r="MKP165" s="146"/>
      <c r="MKQ165" s="146"/>
      <c r="MKR165" s="146"/>
      <c r="MKS165" s="146"/>
      <c r="MKT165" s="146"/>
      <c r="MKU165" s="146"/>
      <c r="MKV165" s="146"/>
      <c r="MKW165" s="146"/>
      <c r="MKX165" s="146"/>
      <c r="MKY165" s="146"/>
      <c r="MKZ165" s="146"/>
      <c r="MLA165" s="146"/>
      <c r="MLB165" s="146"/>
      <c r="MLC165" s="146"/>
      <c r="MLD165" s="146"/>
      <c r="MLE165" s="146"/>
      <c r="MLF165" s="146"/>
      <c r="MLG165" s="146"/>
      <c r="MLH165" s="146"/>
      <c r="MLI165" s="146"/>
      <c r="MLJ165" s="146"/>
      <c r="MLK165" s="146"/>
      <c r="MLL165" s="146"/>
      <c r="MLM165" s="146"/>
      <c r="MLN165" s="146"/>
      <c r="MLO165" s="146"/>
      <c r="MLP165" s="146"/>
      <c r="MLQ165" s="146"/>
      <c r="MLR165" s="146"/>
      <c r="MLS165" s="146"/>
      <c r="MLT165" s="146"/>
      <c r="MLU165" s="146"/>
      <c r="MLV165" s="146"/>
      <c r="MLW165" s="146"/>
      <c r="MLX165" s="146"/>
      <c r="MLY165" s="146"/>
      <c r="MLZ165" s="146"/>
      <c r="MMA165" s="146"/>
      <c r="MMB165" s="146"/>
      <c r="MMC165" s="146"/>
      <c r="MMD165" s="146"/>
      <c r="MME165" s="146"/>
      <c r="MMF165" s="146"/>
      <c r="MMG165" s="146"/>
      <c r="MMH165" s="146"/>
      <c r="MMI165" s="146"/>
      <c r="MMJ165" s="146"/>
      <c r="MMK165" s="146"/>
      <c r="MML165" s="146"/>
      <c r="MMM165" s="146"/>
      <c r="MMN165" s="146"/>
      <c r="MMO165" s="146"/>
      <c r="MMP165" s="146"/>
      <c r="MMQ165" s="146"/>
      <c r="MMR165" s="146"/>
      <c r="MMS165" s="146"/>
      <c r="MMT165" s="146"/>
      <c r="MMU165" s="146"/>
      <c r="MMV165" s="146"/>
      <c r="MMW165" s="146"/>
      <c r="MMX165" s="146"/>
      <c r="MMY165" s="146"/>
      <c r="MMZ165" s="146"/>
      <c r="MNA165" s="146"/>
      <c r="MNB165" s="146"/>
      <c r="MNC165" s="146"/>
      <c r="MND165" s="146"/>
      <c r="MNE165" s="146"/>
      <c r="MNF165" s="146"/>
      <c r="MNG165" s="146"/>
      <c r="MNH165" s="146"/>
      <c r="MNI165" s="146"/>
      <c r="MNJ165" s="146"/>
      <c r="MNK165" s="146"/>
      <c r="MNL165" s="146"/>
      <c r="MNM165" s="146"/>
      <c r="MNN165" s="146"/>
      <c r="MNO165" s="146"/>
      <c r="MNP165" s="146"/>
      <c r="MNQ165" s="146"/>
      <c r="MNR165" s="146"/>
      <c r="MNS165" s="146"/>
      <c r="MNT165" s="146"/>
      <c r="MNU165" s="146"/>
      <c r="MNV165" s="146"/>
      <c r="MNW165" s="146"/>
      <c r="MNX165" s="146"/>
      <c r="MNY165" s="146"/>
      <c r="MNZ165" s="146"/>
      <c r="MOA165" s="146"/>
      <c r="MOB165" s="146"/>
      <c r="MOC165" s="146"/>
      <c r="MOD165" s="146"/>
      <c r="MOE165" s="146"/>
      <c r="MOF165" s="146"/>
      <c r="MOG165" s="146"/>
      <c r="MOH165" s="146"/>
      <c r="MOI165" s="146"/>
      <c r="MOJ165" s="146"/>
      <c r="MOK165" s="146"/>
      <c r="MOL165" s="146"/>
      <c r="MOM165" s="146"/>
      <c r="MON165" s="146"/>
      <c r="MOO165" s="146"/>
      <c r="MOP165" s="146"/>
      <c r="MOQ165" s="146"/>
      <c r="MOR165" s="146"/>
      <c r="MOS165" s="146"/>
      <c r="MOT165" s="146"/>
      <c r="MOU165" s="146"/>
      <c r="MOV165" s="146"/>
      <c r="MOW165" s="146"/>
      <c r="MOX165" s="146"/>
      <c r="MOY165" s="146"/>
      <c r="MOZ165" s="146"/>
      <c r="MPA165" s="146"/>
      <c r="MPB165" s="146"/>
      <c r="MPC165" s="146"/>
      <c r="MPD165" s="146"/>
      <c r="MPE165" s="146"/>
      <c r="MPF165" s="146"/>
      <c r="MPG165" s="146"/>
      <c r="MPH165" s="146"/>
      <c r="MPI165" s="146"/>
      <c r="MPJ165" s="146"/>
      <c r="MPK165" s="146"/>
      <c r="MPL165" s="146"/>
      <c r="MPM165" s="146"/>
      <c r="MPN165" s="146"/>
      <c r="MPO165" s="146"/>
      <c r="MPP165" s="146"/>
      <c r="MPQ165" s="146"/>
      <c r="MPR165" s="146"/>
      <c r="MPS165" s="146"/>
      <c r="MPT165" s="146"/>
      <c r="MPU165" s="146"/>
      <c r="MPV165" s="146"/>
      <c r="MPW165" s="146"/>
      <c r="MPX165" s="146"/>
      <c r="MPY165" s="146"/>
      <c r="MPZ165" s="146"/>
      <c r="MQA165" s="146"/>
      <c r="MQB165" s="146"/>
      <c r="MQC165" s="146"/>
      <c r="MQD165" s="146"/>
      <c r="MQE165" s="146"/>
      <c r="MQF165" s="146"/>
      <c r="MQG165" s="146"/>
      <c r="MQH165" s="146"/>
      <c r="MQI165" s="146"/>
      <c r="MQJ165" s="146"/>
      <c r="MQK165" s="146"/>
      <c r="MQL165" s="146"/>
      <c r="MQM165" s="146"/>
      <c r="MQN165" s="146"/>
      <c r="MQO165" s="146"/>
      <c r="MQP165" s="146"/>
      <c r="MQQ165" s="146"/>
      <c r="MQR165" s="146"/>
      <c r="MQS165" s="146"/>
      <c r="MQT165" s="146"/>
      <c r="MQU165" s="146"/>
      <c r="MQV165" s="146"/>
      <c r="MQW165" s="146"/>
      <c r="MQX165" s="146"/>
      <c r="MQY165" s="146"/>
      <c r="MQZ165" s="146"/>
      <c r="MRA165" s="146"/>
      <c r="MRB165" s="146"/>
      <c r="MRC165" s="146"/>
      <c r="MRD165" s="146"/>
      <c r="MRE165" s="146"/>
      <c r="MRF165" s="146"/>
      <c r="MRG165" s="146"/>
      <c r="MRH165" s="146"/>
      <c r="MRI165" s="146"/>
      <c r="MRJ165" s="146"/>
      <c r="MRK165" s="146"/>
      <c r="MRL165" s="146"/>
      <c r="MRM165" s="146"/>
      <c r="MRN165" s="146"/>
      <c r="MRO165" s="146"/>
      <c r="MRP165" s="146"/>
      <c r="MRQ165" s="146"/>
      <c r="MRR165" s="146"/>
      <c r="MRS165" s="146"/>
      <c r="MRT165" s="146"/>
      <c r="MRU165" s="146"/>
      <c r="MRV165" s="146"/>
      <c r="MRW165" s="146"/>
      <c r="MRX165" s="146"/>
      <c r="MRY165" s="146"/>
      <c r="MRZ165" s="146"/>
      <c r="MSA165" s="146"/>
      <c r="MSB165" s="146"/>
      <c r="MSC165" s="146"/>
      <c r="MSD165" s="146"/>
      <c r="MSE165" s="146"/>
      <c r="MSF165" s="146"/>
      <c r="MSG165" s="146"/>
      <c r="MSH165" s="146"/>
      <c r="MSI165" s="146"/>
      <c r="MSJ165" s="146"/>
      <c r="MSK165" s="146"/>
      <c r="MSL165" s="146"/>
      <c r="MSM165" s="146"/>
      <c r="MSN165" s="146"/>
      <c r="MSO165" s="146"/>
      <c r="MSP165" s="146"/>
      <c r="MSQ165" s="146"/>
      <c r="MSR165" s="146"/>
      <c r="MSS165" s="146"/>
      <c r="MST165" s="146"/>
      <c r="MSU165" s="146"/>
      <c r="MSV165" s="146"/>
      <c r="MSW165" s="146"/>
      <c r="MSX165" s="146"/>
      <c r="MSY165" s="146"/>
      <c r="MSZ165" s="146"/>
      <c r="MTA165" s="146"/>
      <c r="MTB165" s="146"/>
      <c r="MTC165" s="146"/>
      <c r="MTD165" s="146"/>
      <c r="MTE165" s="146"/>
      <c r="MTF165" s="146"/>
      <c r="MTG165" s="146"/>
      <c r="MTH165" s="146"/>
      <c r="MTI165" s="146"/>
      <c r="MTJ165" s="146"/>
      <c r="MTK165" s="146"/>
      <c r="MTL165" s="146"/>
      <c r="MTM165" s="146"/>
      <c r="MTN165" s="146"/>
      <c r="MTO165" s="146"/>
      <c r="MTP165" s="146"/>
      <c r="MTQ165" s="146"/>
      <c r="MTR165" s="146"/>
      <c r="MTS165" s="146"/>
      <c r="MTT165" s="146"/>
      <c r="MTU165" s="146"/>
      <c r="MTV165" s="146"/>
      <c r="MTW165" s="146"/>
      <c r="MTX165" s="146"/>
      <c r="MTY165" s="146"/>
      <c r="MTZ165" s="146"/>
      <c r="MUA165" s="146"/>
      <c r="MUB165" s="146"/>
      <c r="MUC165" s="146"/>
      <c r="MUD165" s="146"/>
      <c r="MUE165" s="146"/>
      <c r="MUF165" s="146"/>
      <c r="MUG165" s="146"/>
      <c r="MUH165" s="146"/>
      <c r="MUI165" s="146"/>
      <c r="MUJ165" s="146"/>
      <c r="MUK165" s="146"/>
      <c r="MUL165" s="146"/>
      <c r="MUM165" s="146"/>
      <c r="MUN165" s="146"/>
      <c r="MUO165" s="146"/>
      <c r="MUP165" s="146"/>
      <c r="MUQ165" s="146"/>
      <c r="MUR165" s="146"/>
      <c r="MUS165" s="146"/>
      <c r="MUT165" s="146"/>
      <c r="MUU165" s="146"/>
      <c r="MUV165" s="146"/>
      <c r="MUW165" s="146"/>
      <c r="MUX165" s="146"/>
      <c r="MUY165" s="146"/>
      <c r="MUZ165" s="146"/>
      <c r="MVA165" s="146"/>
      <c r="MVB165" s="146"/>
      <c r="MVC165" s="146"/>
      <c r="MVD165" s="146"/>
      <c r="MVE165" s="146"/>
      <c r="MVF165" s="146"/>
      <c r="MVG165" s="146"/>
      <c r="MVH165" s="146"/>
      <c r="MVI165" s="146"/>
      <c r="MVJ165" s="146"/>
      <c r="MVK165" s="146"/>
      <c r="MVL165" s="146"/>
      <c r="MVM165" s="146"/>
      <c r="MVN165" s="146"/>
      <c r="MVO165" s="146"/>
      <c r="MVP165" s="146"/>
      <c r="MVQ165" s="146"/>
      <c r="MVR165" s="146"/>
      <c r="MVS165" s="146"/>
      <c r="MVT165" s="146"/>
      <c r="MVU165" s="146"/>
      <c r="MVV165" s="146"/>
      <c r="MVW165" s="146"/>
      <c r="MVX165" s="146"/>
      <c r="MVY165" s="146"/>
      <c r="MVZ165" s="146"/>
      <c r="MWA165" s="146"/>
      <c r="MWB165" s="146"/>
      <c r="MWC165" s="146"/>
      <c r="MWD165" s="146"/>
      <c r="MWE165" s="146"/>
      <c r="MWF165" s="146"/>
      <c r="MWG165" s="146"/>
      <c r="MWH165" s="146"/>
      <c r="MWI165" s="146"/>
      <c r="MWJ165" s="146"/>
      <c r="MWK165" s="146"/>
      <c r="MWL165" s="146"/>
      <c r="MWM165" s="146"/>
      <c r="MWN165" s="146"/>
      <c r="MWO165" s="146"/>
      <c r="MWP165" s="146"/>
      <c r="MWQ165" s="146"/>
      <c r="MWR165" s="146"/>
      <c r="MWS165" s="146"/>
      <c r="MWT165" s="146"/>
      <c r="MWU165" s="146"/>
      <c r="MWV165" s="146"/>
      <c r="MWW165" s="146"/>
      <c r="MWX165" s="146"/>
      <c r="MWY165" s="146"/>
      <c r="MWZ165" s="146"/>
      <c r="MXA165" s="146"/>
      <c r="MXB165" s="146"/>
      <c r="MXC165" s="146"/>
      <c r="MXD165" s="146"/>
      <c r="MXE165" s="146"/>
      <c r="MXF165" s="146"/>
      <c r="MXG165" s="146"/>
      <c r="MXH165" s="146"/>
      <c r="MXI165" s="146"/>
      <c r="MXJ165" s="146"/>
      <c r="MXK165" s="146"/>
      <c r="MXL165" s="146"/>
      <c r="MXM165" s="146"/>
      <c r="MXN165" s="146"/>
      <c r="MXO165" s="146"/>
      <c r="MXP165" s="146"/>
      <c r="MXQ165" s="146"/>
      <c r="MXR165" s="146"/>
      <c r="MXS165" s="146"/>
      <c r="MXT165" s="146"/>
      <c r="MXU165" s="146"/>
      <c r="MXV165" s="146"/>
      <c r="MXW165" s="146"/>
      <c r="MXX165" s="146"/>
      <c r="MXY165" s="146"/>
      <c r="MXZ165" s="146"/>
      <c r="MYA165" s="146"/>
      <c r="MYB165" s="146"/>
      <c r="MYC165" s="146"/>
      <c r="MYD165" s="146"/>
      <c r="MYE165" s="146"/>
      <c r="MYF165" s="146"/>
      <c r="MYG165" s="146"/>
      <c r="MYH165" s="146"/>
      <c r="MYI165" s="146"/>
      <c r="MYJ165" s="146"/>
      <c r="MYK165" s="146"/>
      <c r="MYL165" s="146"/>
      <c r="MYM165" s="146"/>
      <c r="MYN165" s="146"/>
      <c r="MYO165" s="146"/>
      <c r="MYP165" s="146"/>
      <c r="MYQ165" s="146"/>
      <c r="MYR165" s="146"/>
      <c r="MYS165" s="146"/>
      <c r="MYT165" s="146"/>
      <c r="MYU165" s="146"/>
      <c r="MYV165" s="146"/>
      <c r="MYW165" s="146"/>
      <c r="MYX165" s="146"/>
      <c r="MYY165" s="146"/>
      <c r="MYZ165" s="146"/>
      <c r="MZA165" s="146"/>
      <c r="MZB165" s="146"/>
      <c r="MZC165" s="146"/>
      <c r="MZD165" s="146"/>
      <c r="MZE165" s="146"/>
      <c r="MZF165" s="146"/>
      <c r="MZG165" s="146"/>
      <c r="MZH165" s="146"/>
      <c r="MZI165" s="146"/>
      <c r="MZJ165" s="146"/>
      <c r="MZK165" s="146"/>
      <c r="MZL165" s="146"/>
      <c r="MZM165" s="146"/>
      <c r="MZN165" s="146"/>
      <c r="MZO165" s="146"/>
      <c r="MZP165" s="146"/>
      <c r="MZQ165" s="146"/>
      <c r="MZR165" s="146"/>
      <c r="MZS165" s="146"/>
      <c r="MZT165" s="146"/>
      <c r="MZU165" s="146"/>
      <c r="MZV165" s="146"/>
      <c r="MZW165" s="146"/>
      <c r="MZX165" s="146"/>
      <c r="MZY165" s="146"/>
      <c r="MZZ165" s="146"/>
      <c r="NAA165" s="146"/>
      <c r="NAB165" s="146"/>
      <c r="NAC165" s="146"/>
      <c r="NAD165" s="146"/>
      <c r="NAE165" s="146"/>
      <c r="NAF165" s="146"/>
      <c r="NAG165" s="146"/>
      <c r="NAH165" s="146"/>
      <c r="NAI165" s="146"/>
      <c r="NAJ165" s="146"/>
      <c r="NAK165" s="146"/>
      <c r="NAL165" s="146"/>
      <c r="NAM165" s="146"/>
      <c r="NAN165" s="146"/>
      <c r="NAO165" s="146"/>
      <c r="NAP165" s="146"/>
      <c r="NAQ165" s="146"/>
      <c r="NAR165" s="146"/>
      <c r="NAS165" s="146"/>
      <c r="NAT165" s="146"/>
      <c r="NAU165" s="146"/>
      <c r="NAV165" s="146"/>
      <c r="NAW165" s="146"/>
      <c r="NAX165" s="146"/>
      <c r="NAY165" s="146"/>
      <c r="NAZ165" s="146"/>
      <c r="NBA165" s="146"/>
      <c r="NBB165" s="146"/>
      <c r="NBC165" s="146"/>
      <c r="NBD165" s="146"/>
      <c r="NBE165" s="146"/>
      <c r="NBF165" s="146"/>
      <c r="NBG165" s="146"/>
      <c r="NBH165" s="146"/>
      <c r="NBI165" s="146"/>
      <c r="NBJ165" s="146"/>
      <c r="NBK165" s="146"/>
      <c r="NBL165" s="146"/>
      <c r="NBM165" s="146"/>
      <c r="NBN165" s="146"/>
      <c r="NBO165" s="146"/>
      <c r="NBP165" s="146"/>
      <c r="NBQ165" s="146"/>
      <c r="NBR165" s="146"/>
      <c r="NBS165" s="146"/>
      <c r="NBT165" s="146"/>
      <c r="NBU165" s="146"/>
      <c r="NBV165" s="146"/>
      <c r="NBW165" s="146"/>
      <c r="NBX165" s="146"/>
      <c r="NBY165" s="146"/>
      <c r="NBZ165" s="146"/>
      <c r="NCA165" s="146"/>
      <c r="NCB165" s="146"/>
      <c r="NCC165" s="146"/>
      <c r="NCD165" s="146"/>
      <c r="NCE165" s="146"/>
      <c r="NCF165" s="146"/>
      <c r="NCG165" s="146"/>
      <c r="NCH165" s="146"/>
      <c r="NCI165" s="146"/>
      <c r="NCJ165" s="146"/>
      <c r="NCK165" s="146"/>
      <c r="NCL165" s="146"/>
      <c r="NCM165" s="146"/>
      <c r="NCN165" s="146"/>
      <c r="NCO165" s="146"/>
      <c r="NCP165" s="146"/>
      <c r="NCQ165" s="146"/>
      <c r="NCR165" s="146"/>
      <c r="NCS165" s="146"/>
      <c r="NCT165" s="146"/>
      <c r="NCU165" s="146"/>
      <c r="NCV165" s="146"/>
      <c r="NCW165" s="146"/>
      <c r="NCX165" s="146"/>
      <c r="NCY165" s="146"/>
      <c r="NCZ165" s="146"/>
      <c r="NDA165" s="146"/>
      <c r="NDB165" s="146"/>
      <c r="NDC165" s="146"/>
      <c r="NDD165" s="146"/>
      <c r="NDE165" s="146"/>
      <c r="NDF165" s="146"/>
      <c r="NDG165" s="146"/>
      <c r="NDH165" s="146"/>
      <c r="NDI165" s="146"/>
      <c r="NDJ165" s="146"/>
      <c r="NDK165" s="146"/>
      <c r="NDL165" s="146"/>
      <c r="NDM165" s="146"/>
      <c r="NDN165" s="146"/>
      <c r="NDO165" s="146"/>
      <c r="NDP165" s="146"/>
      <c r="NDQ165" s="146"/>
      <c r="NDR165" s="146"/>
      <c r="NDS165" s="146"/>
      <c r="NDT165" s="146"/>
      <c r="NDU165" s="146"/>
      <c r="NDV165" s="146"/>
      <c r="NDW165" s="146"/>
      <c r="NDX165" s="146"/>
      <c r="NDY165" s="146"/>
      <c r="NDZ165" s="146"/>
      <c r="NEA165" s="146"/>
      <c r="NEB165" s="146"/>
      <c r="NEC165" s="146"/>
      <c r="NED165" s="146"/>
      <c r="NEE165" s="146"/>
      <c r="NEF165" s="146"/>
      <c r="NEG165" s="146"/>
      <c r="NEH165" s="146"/>
      <c r="NEI165" s="146"/>
      <c r="NEJ165" s="146"/>
      <c r="NEK165" s="146"/>
      <c r="NEL165" s="146"/>
      <c r="NEM165" s="146"/>
      <c r="NEN165" s="146"/>
      <c r="NEO165" s="146"/>
      <c r="NEP165" s="146"/>
      <c r="NEQ165" s="146"/>
      <c r="NER165" s="146"/>
      <c r="NES165" s="146"/>
      <c r="NET165" s="146"/>
      <c r="NEU165" s="146"/>
      <c r="NEV165" s="146"/>
      <c r="NEW165" s="146"/>
      <c r="NEX165" s="146"/>
      <c r="NEY165" s="146"/>
      <c r="NEZ165" s="146"/>
      <c r="NFA165" s="146"/>
      <c r="NFB165" s="146"/>
      <c r="NFC165" s="146"/>
      <c r="NFD165" s="146"/>
      <c r="NFE165" s="146"/>
      <c r="NFF165" s="146"/>
      <c r="NFG165" s="146"/>
      <c r="NFH165" s="146"/>
      <c r="NFI165" s="146"/>
      <c r="NFJ165" s="146"/>
      <c r="NFK165" s="146"/>
      <c r="NFL165" s="146"/>
      <c r="NFM165" s="146"/>
      <c r="NFN165" s="146"/>
      <c r="NFO165" s="146"/>
      <c r="NFP165" s="146"/>
      <c r="NFQ165" s="146"/>
      <c r="NFR165" s="146"/>
      <c r="NFS165" s="146"/>
      <c r="NFT165" s="146"/>
      <c r="NFU165" s="146"/>
      <c r="NFV165" s="146"/>
      <c r="NFW165" s="146"/>
      <c r="NFX165" s="146"/>
      <c r="NFY165" s="146"/>
      <c r="NFZ165" s="146"/>
      <c r="NGA165" s="146"/>
      <c r="NGB165" s="146"/>
      <c r="NGC165" s="146"/>
      <c r="NGD165" s="146"/>
      <c r="NGE165" s="146"/>
      <c r="NGF165" s="146"/>
      <c r="NGG165" s="146"/>
      <c r="NGH165" s="146"/>
      <c r="NGI165" s="146"/>
      <c r="NGJ165" s="146"/>
      <c r="NGK165" s="146"/>
      <c r="NGL165" s="146"/>
      <c r="NGM165" s="146"/>
      <c r="NGN165" s="146"/>
      <c r="NGO165" s="146"/>
      <c r="NGP165" s="146"/>
      <c r="NGQ165" s="146"/>
      <c r="NGR165" s="146"/>
      <c r="NGS165" s="146"/>
      <c r="NGT165" s="146"/>
      <c r="NGU165" s="146"/>
      <c r="NGV165" s="146"/>
      <c r="NGW165" s="146"/>
      <c r="NGX165" s="146"/>
      <c r="NGY165" s="146"/>
      <c r="NGZ165" s="146"/>
      <c r="NHA165" s="146"/>
      <c r="NHB165" s="146"/>
      <c r="NHC165" s="146"/>
      <c r="NHD165" s="146"/>
      <c r="NHE165" s="146"/>
      <c r="NHF165" s="146"/>
      <c r="NHG165" s="146"/>
      <c r="NHH165" s="146"/>
      <c r="NHI165" s="146"/>
      <c r="NHJ165" s="146"/>
      <c r="NHK165" s="146"/>
      <c r="NHL165" s="146"/>
      <c r="NHM165" s="146"/>
      <c r="NHN165" s="146"/>
      <c r="NHO165" s="146"/>
      <c r="NHP165" s="146"/>
      <c r="NHQ165" s="146"/>
      <c r="NHR165" s="146"/>
      <c r="NHS165" s="146"/>
      <c r="NHT165" s="146"/>
      <c r="NHU165" s="146"/>
      <c r="NHV165" s="146"/>
      <c r="NHW165" s="146"/>
      <c r="NHX165" s="146"/>
      <c r="NHY165" s="146"/>
      <c r="NHZ165" s="146"/>
      <c r="NIA165" s="146"/>
      <c r="NIB165" s="146"/>
      <c r="NIC165" s="146"/>
      <c r="NID165" s="146"/>
      <c r="NIE165" s="146"/>
      <c r="NIF165" s="146"/>
      <c r="NIG165" s="146"/>
      <c r="NIH165" s="146"/>
      <c r="NII165" s="146"/>
      <c r="NIJ165" s="146"/>
      <c r="NIK165" s="146"/>
      <c r="NIL165" s="146"/>
      <c r="NIM165" s="146"/>
      <c r="NIN165" s="146"/>
      <c r="NIO165" s="146"/>
      <c r="NIP165" s="146"/>
      <c r="NIQ165" s="146"/>
      <c r="NIR165" s="146"/>
      <c r="NIS165" s="146"/>
      <c r="NIT165" s="146"/>
      <c r="NIU165" s="146"/>
      <c r="NIV165" s="146"/>
      <c r="NIW165" s="146"/>
      <c r="NIX165" s="146"/>
      <c r="NIY165" s="146"/>
      <c r="NIZ165" s="146"/>
      <c r="NJA165" s="146"/>
      <c r="NJB165" s="146"/>
      <c r="NJC165" s="146"/>
      <c r="NJD165" s="146"/>
      <c r="NJE165" s="146"/>
      <c r="NJF165" s="146"/>
      <c r="NJG165" s="146"/>
      <c r="NJH165" s="146"/>
      <c r="NJI165" s="146"/>
      <c r="NJJ165" s="146"/>
      <c r="NJK165" s="146"/>
      <c r="NJL165" s="146"/>
      <c r="NJM165" s="146"/>
      <c r="NJN165" s="146"/>
      <c r="NJO165" s="146"/>
      <c r="NJP165" s="146"/>
      <c r="NJQ165" s="146"/>
      <c r="NJR165" s="146"/>
      <c r="NJS165" s="146"/>
      <c r="NJT165" s="146"/>
      <c r="NJU165" s="146"/>
      <c r="NJV165" s="146"/>
      <c r="NJW165" s="146"/>
      <c r="NJX165" s="146"/>
      <c r="NJY165" s="146"/>
      <c r="NJZ165" s="146"/>
      <c r="NKA165" s="146"/>
      <c r="NKB165" s="146"/>
      <c r="NKC165" s="146"/>
      <c r="NKD165" s="146"/>
      <c r="NKE165" s="146"/>
      <c r="NKF165" s="146"/>
      <c r="NKG165" s="146"/>
      <c r="NKH165" s="146"/>
      <c r="NKI165" s="146"/>
      <c r="NKJ165" s="146"/>
      <c r="NKK165" s="146"/>
      <c r="NKL165" s="146"/>
      <c r="NKM165" s="146"/>
      <c r="NKN165" s="146"/>
      <c r="NKO165" s="146"/>
      <c r="NKP165" s="146"/>
      <c r="NKQ165" s="146"/>
      <c r="NKR165" s="146"/>
      <c r="NKS165" s="146"/>
      <c r="NKT165" s="146"/>
      <c r="NKU165" s="146"/>
      <c r="NKV165" s="146"/>
      <c r="NKW165" s="146"/>
      <c r="NKX165" s="146"/>
      <c r="NKY165" s="146"/>
      <c r="NKZ165" s="146"/>
      <c r="NLA165" s="146"/>
      <c r="NLB165" s="146"/>
      <c r="NLC165" s="146"/>
      <c r="NLD165" s="146"/>
      <c r="NLE165" s="146"/>
      <c r="NLF165" s="146"/>
      <c r="NLG165" s="146"/>
      <c r="NLH165" s="146"/>
      <c r="NLI165" s="146"/>
      <c r="NLJ165" s="146"/>
      <c r="NLK165" s="146"/>
      <c r="NLL165" s="146"/>
      <c r="NLM165" s="146"/>
      <c r="NLN165" s="146"/>
      <c r="NLO165" s="146"/>
      <c r="NLP165" s="146"/>
      <c r="NLQ165" s="146"/>
      <c r="NLR165" s="146"/>
      <c r="NLS165" s="146"/>
      <c r="NLT165" s="146"/>
      <c r="NLU165" s="146"/>
      <c r="NLV165" s="146"/>
      <c r="NLW165" s="146"/>
      <c r="NLX165" s="146"/>
      <c r="NLY165" s="146"/>
      <c r="NLZ165" s="146"/>
      <c r="NMA165" s="146"/>
      <c r="NMB165" s="146"/>
      <c r="NMC165" s="146"/>
      <c r="NMD165" s="146"/>
      <c r="NME165" s="146"/>
      <c r="NMF165" s="146"/>
      <c r="NMG165" s="146"/>
      <c r="NMH165" s="146"/>
      <c r="NMI165" s="146"/>
      <c r="NMJ165" s="146"/>
      <c r="NMK165" s="146"/>
      <c r="NML165" s="146"/>
      <c r="NMM165" s="146"/>
      <c r="NMN165" s="146"/>
      <c r="NMO165" s="146"/>
      <c r="NMP165" s="146"/>
      <c r="NMQ165" s="146"/>
      <c r="NMR165" s="146"/>
      <c r="NMS165" s="146"/>
      <c r="NMT165" s="146"/>
      <c r="NMU165" s="146"/>
      <c r="NMV165" s="146"/>
      <c r="NMW165" s="146"/>
      <c r="NMX165" s="146"/>
      <c r="NMY165" s="146"/>
      <c r="NMZ165" s="146"/>
      <c r="NNA165" s="146"/>
      <c r="NNB165" s="146"/>
      <c r="NNC165" s="146"/>
      <c r="NND165" s="146"/>
      <c r="NNE165" s="146"/>
      <c r="NNF165" s="146"/>
      <c r="NNG165" s="146"/>
      <c r="NNH165" s="146"/>
      <c r="NNI165" s="146"/>
      <c r="NNJ165" s="146"/>
      <c r="NNK165" s="146"/>
      <c r="NNL165" s="146"/>
      <c r="NNM165" s="146"/>
      <c r="NNN165" s="146"/>
      <c r="NNO165" s="146"/>
      <c r="NNP165" s="146"/>
      <c r="NNQ165" s="146"/>
      <c r="NNR165" s="146"/>
      <c r="NNS165" s="146"/>
      <c r="NNT165" s="146"/>
      <c r="NNU165" s="146"/>
      <c r="NNV165" s="146"/>
      <c r="NNW165" s="146"/>
      <c r="NNX165" s="146"/>
      <c r="NNY165" s="146"/>
      <c r="NNZ165" s="146"/>
      <c r="NOA165" s="146"/>
      <c r="NOB165" s="146"/>
      <c r="NOC165" s="146"/>
      <c r="NOD165" s="146"/>
      <c r="NOE165" s="146"/>
      <c r="NOF165" s="146"/>
      <c r="NOG165" s="146"/>
      <c r="NOH165" s="146"/>
      <c r="NOI165" s="146"/>
      <c r="NOJ165" s="146"/>
      <c r="NOK165" s="146"/>
      <c r="NOL165" s="146"/>
      <c r="NOM165" s="146"/>
      <c r="NON165" s="146"/>
      <c r="NOO165" s="146"/>
      <c r="NOP165" s="146"/>
      <c r="NOQ165" s="146"/>
      <c r="NOR165" s="146"/>
      <c r="NOS165" s="146"/>
      <c r="NOT165" s="146"/>
      <c r="NOU165" s="146"/>
      <c r="NOV165" s="146"/>
      <c r="NOW165" s="146"/>
      <c r="NOX165" s="146"/>
      <c r="NOY165" s="146"/>
      <c r="NOZ165" s="146"/>
      <c r="NPA165" s="146"/>
      <c r="NPB165" s="146"/>
      <c r="NPC165" s="146"/>
      <c r="NPD165" s="146"/>
      <c r="NPE165" s="146"/>
      <c r="NPF165" s="146"/>
      <c r="NPG165" s="146"/>
      <c r="NPH165" s="146"/>
      <c r="NPI165" s="146"/>
      <c r="NPJ165" s="146"/>
      <c r="NPK165" s="146"/>
      <c r="NPL165" s="146"/>
      <c r="NPM165" s="146"/>
      <c r="NPN165" s="146"/>
      <c r="NPO165" s="146"/>
      <c r="NPP165" s="146"/>
      <c r="NPQ165" s="146"/>
      <c r="NPR165" s="146"/>
      <c r="NPS165" s="146"/>
      <c r="NPT165" s="146"/>
      <c r="NPU165" s="146"/>
      <c r="NPV165" s="146"/>
      <c r="NPW165" s="146"/>
      <c r="NPX165" s="146"/>
      <c r="NPY165" s="146"/>
      <c r="NPZ165" s="146"/>
      <c r="NQA165" s="146"/>
      <c r="NQB165" s="146"/>
      <c r="NQC165" s="146"/>
      <c r="NQD165" s="146"/>
      <c r="NQE165" s="146"/>
      <c r="NQF165" s="146"/>
      <c r="NQG165" s="146"/>
      <c r="NQH165" s="146"/>
      <c r="NQI165" s="146"/>
      <c r="NQJ165" s="146"/>
      <c r="NQK165" s="146"/>
      <c r="NQL165" s="146"/>
      <c r="NQM165" s="146"/>
      <c r="NQN165" s="146"/>
      <c r="NQO165" s="146"/>
      <c r="NQP165" s="146"/>
      <c r="NQQ165" s="146"/>
      <c r="NQR165" s="146"/>
      <c r="NQS165" s="146"/>
      <c r="NQT165" s="146"/>
      <c r="NQU165" s="146"/>
      <c r="NQV165" s="146"/>
      <c r="NQW165" s="146"/>
      <c r="NQX165" s="146"/>
      <c r="NQY165" s="146"/>
      <c r="NQZ165" s="146"/>
      <c r="NRA165" s="146"/>
      <c r="NRB165" s="146"/>
      <c r="NRC165" s="146"/>
      <c r="NRD165" s="146"/>
      <c r="NRE165" s="146"/>
      <c r="NRF165" s="146"/>
      <c r="NRG165" s="146"/>
      <c r="NRH165" s="146"/>
      <c r="NRI165" s="146"/>
      <c r="NRJ165" s="146"/>
      <c r="NRK165" s="146"/>
      <c r="NRL165" s="146"/>
      <c r="NRM165" s="146"/>
      <c r="NRN165" s="146"/>
      <c r="NRO165" s="146"/>
      <c r="NRP165" s="146"/>
      <c r="NRQ165" s="146"/>
      <c r="NRR165" s="146"/>
      <c r="NRS165" s="146"/>
      <c r="NRT165" s="146"/>
      <c r="NRU165" s="146"/>
      <c r="NRV165" s="146"/>
      <c r="NRW165" s="146"/>
      <c r="NRX165" s="146"/>
      <c r="NRY165" s="146"/>
      <c r="NRZ165" s="146"/>
      <c r="NSA165" s="146"/>
      <c r="NSB165" s="146"/>
      <c r="NSC165" s="146"/>
      <c r="NSD165" s="146"/>
      <c r="NSE165" s="146"/>
      <c r="NSF165" s="146"/>
      <c r="NSG165" s="146"/>
      <c r="NSH165" s="146"/>
      <c r="NSI165" s="146"/>
      <c r="NSJ165" s="146"/>
      <c r="NSK165" s="146"/>
      <c r="NSL165" s="146"/>
      <c r="NSM165" s="146"/>
      <c r="NSN165" s="146"/>
      <c r="NSO165" s="146"/>
      <c r="NSP165" s="146"/>
      <c r="NSQ165" s="146"/>
      <c r="NSR165" s="146"/>
      <c r="NSS165" s="146"/>
      <c r="NST165" s="146"/>
      <c r="NSU165" s="146"/>
      <c r="NSV165" s="146"/>
      <c r="NSW165" s="146"/>
      <c r="NSX165" s="146"/>
      <c r="NSY165" s="146"/>
      <c r="NSZ165" s="146"/>
      <c r="NTA165" s="146"/>
      <c r="NTB165" s="146"/>
      <c r="NTC165" s="146"/>
      <c r="NTD165" s="146"/>
      <c r="NTE165" s="146"/>
      <c r="NTF165" s="146"/>
      <c r="NTG165" s="146"/>
      <c r="NTH165" s="146"/>
      <c r="NTI165" s="146"/>
      <c r="NTJ165" s="146"/>
      <c r="NTK165" s="146"/>
      <c r="NTL165" s="146"/>
      <c r="NTM165" s="146"/>
      <c r="NTN165" s="146"/>
      <c r="NTO165" s="146"/>
      <c r="NTP165" s="146"/>
      <c r="NTQ165" s="146"/>
      <c r="NTR165" s="146"/>
      <c r="NTS165" s="146"/>
      <c r="NTT165" s="146"/>
      <c r="NTU165" s="146"/>
      <c r="NTV165" s="146"/>
      <c r="NTW165" s="146"/>
      <c r="NTX165" s="146"/>
      <c r="NTY165" s="146"/>
      <c r="NTZ165" s="146"/>
      <c r="NUA165" s="146"/>
      <c r="NUB165" s="146"/>
      <c r="NUC165" s="146"/>
      <c r="NUD165" s="146"/>
      <c r="NUE165" s="146"/>
      <c r="NUF165" s="146"/>
      <c r="NUG165" s="146"/>
      <c r="NUH165" s="146"/>
      <c r="NUI165" s="146"/>
      <c r="NUJ165" s="146"/>
      <c r="NUK165" s="146"/>
      <c r="NUL165" s="146"/>
      <c r="NUM165" s="146"/>
      <c r="NUN165" s="146"/>
      <c r="NUO165" s="146"/>
      <c r="NUP165" s="146"/>
      <c r="NUQ165" s="146"/>
      <c r="NUR165" s="146"/>
      <c r="NUS165" s="146"/>
      <c r="NUT165" s="146"/>
      <c r="NUU165" s="146"/>
      <c r="NUV165" s="146"/>
      <c r="NUW165" s="146"/>
      <c r="NUX165" s="146"/>
      <c r="NUY165" s="146"/>
      <c r="NUZ165" s="146"/>
      <c r="NVA165" s="146"/>
      <c r="NVB165" s="146"/>
      <c r="NVC165" s="146"/>
      <c r="NVD165" s="146"/>
      <c r="NVE165" s="146"/>
      <c r="NVF165" s="146"/>
      <c r="NVG165" s="146"/>
      <c r="NVH165" s="146"/>
      <c r="NVI165" s="146"/>
      <c r="NVJ165" s="146"/>
      <c r="NVK165" s="146"/>
      <c r="NVL165" s="146"/>
      <c r="NVM165" s="146"/>
      <c r="NVN165" s="146"/>
      <c r="NVO165" s="146"/>
      <c r="NVP165" s="146"/>
      <c r="NVQ165" s="146"/>
      <c r="NVR165" s="146"/>
      <c r="NVS165" s="146"/>
      <c r="NVT165" s="146"/>
      <c r="NVU165" s="146"/>
      <c r="NVV165" s="146"/>
      <c r="NVW165" s="146"/>
      <c r="NVX165" s="146"/>
      <c r="NVY165" s="146"/>
      <c r="NVZ165" s="146"/>
      <c r="NWA165" s="146"/>
      <c r="NWB165" s="146"/>
      <c r="NWC165" s="146"/>
      <c r="NWD165" s="146"/>
      <c r="NWE165" s="146"/>
      <c r="NWF165" s="146"/>
      <c r="NWG165" s="146"/>
      <c r="NWH165" s="146"/>
      <c r="NWI165" s="146"/>
      <c r="NWJ165" s="146"/>
      <c r="NWK165" s="146"/>
      <c r="NWL165" s="146"/>
      <c r="NWM165" s="146"/>
      <c r="NWN165" s="146"/>
      <c r="NWO165" s="146"/>
      <c r="NWP165" s="146"/>
      <c r="NWQ165" s="146"/>
      <c r="NWR165" s="146"/>
      <c r="NWS165" s="146"/>
      <c r="NWT165" s="146"/>
      <c r="NWU165" s="146"/>
      <c r="NWV165" s="146"/>
      <c r="NWW165" s="146"/>
      <c r="NWX165" s="146"/>
      <c r="NWY165" s="146"/>
      <c r="NWZ165" s="146"/>
      <c r="NXA165" s="146"/>
      <c r="NXB165" s="146"/>
      <c r="NXC165" s="146"/>
      <c r="NXD165" s="146"/>
      <c r="NXE165" s="146"/>
      <c r="NXF165" s="146"/>
      <c r="NXG165" s="146"/>
      <c r="NXH165" s="146"/>
      <c r="NXI165" s="146"/>
      <c r="NXJ165" s="146"/>
      <c r="NXK165" s="146"/>
      <c r="NXL165" s="146"/>
      <c r="NXM165" s="146"/>
      <c r="NXN165" s="146"/>
      <c r="NXO165" s="146"/>
      <c r="NXP165" s="146"/>
      <c r="NXQ165" s="146"/>
      <c r="NXR165" s="146"/>
      <c r="NXS165" s="146"/>
      <c r="NXT165" s="146"/>
      <c r="NXU165" s="146"/>
      <c r="NXV165" s="146"/>
      <c r="NXW165" s="146"/>
      <c r="NXX165" s="146"/>
      <c r="NXY165" s="146"/>
      <c r="NXZ165" s="146"/>
      <c r="NYA165" s="146"/>
      <c r="NYB165" s="146"/>
      <c r="NYC165" s="146"/>
      <c r="NYD165" s="146"/>
      <c r="NYE165" s="146"/>
      <c r="NYF165" s="146"/>
      <c r="NYG165" s="146"/>
      <c r="NYH165" s="146"/>
      <c r="NYI165" s="146"/>
      <c r="NYJ165" s="146"/>
      <c r="NYK165" s="146"/>
      <c r="NYL165" s="146"/>
      <c r="NYM165" s="146"/>
      <c r="NYN165" s="146"/>
      <c r="NYO165" s="146"/>
      <c r="NYP165" s="146"/>
      <c r="NYQ165" s="146"/>
      <c r="NYR165" s="146"/>
      <c r="NYS165" s="146"/>
      <c r="NYT165" s="146"/>
      <c r="NYU165" s="146"/>
      <c r="NYV165" s="146"/>
      <c r="NYW165" s="146"/>
      <c r="NYX165" s="146"/>
      <c r="NYY165" s="146"/>
      <c r="NYZ165" s="146"/>
      <c r="NZA165" s="146"/>
      <c r="NZB165" s="146"/>
      <c r="NZC165" s="146"/>
      <c r="NZD165" s="146"/>
      <c r="NZE165" s="146"/>
      <c r="NZF165" s="146"/>
      <c r="NZG165" s="146"/>
      <c r="NZH165" s="146"/>
      <c r="NZI165" s="146"/>
      <c r="NZJ165" s="146"/>
      <c r="NZK165" s="146"/>
      <c r="NZL165" s="146"/>
      <c r="NZM165" s="146"/>
      <c r="NZN165" s="146"/>
      <c r="NZO165" s="146"/>
      <c r="NZP165" s="146"/>
      <c r="NZQ165" s="146"/>
      <c r="NZR165" s="146"/>
      <c r="NZS165" s="146"/>
      <c r="NZT165" s="146"/>
      <c r="NZU165" s="146"/>
      <c r="NZV165" s="146"/>
      <c r="NZW165" s="146"/>
      <c r="NZX165" s="146"/>
      <c r="NZY165" s="146"/>
      <c r="NZZ165" s="146"/>
      <c r="OAA165" s="146"/>
      <c r="OAB165" s="146"/>
      <c r="OAC165" s="146"/>
      <c r="OAD165" s="146"/>
      <c r="OAE165" s="146"/>
      <c r="OAF165" s="146"/>
      <c r="OAG165" s="146"/>
      <c r="OAH165" s="146"/>
      <c r="OAI165" s="146"/>
      <c r="OAJ165" s="146"/>
      <c r="OAK165" s="146"/>
      <c r="OAL165" s="146"/>
      <c r="OAM165" s="146"/>
      <c r="OAN165" s="146"/>
      <c r="OAO165" s="146"/>
      <c r="OAP165" s="146"/>
      <c r="OAQ165" s="146"/>
      <c r="OAR165" s="146"/>
      <c r="OAS165" s="146"/>
      <c r="OAT165" s="146"/>
      <c r="OAU165" s="146"/>
      <c r="OAV165" s="146"/>
      <c r="OAW165" s="146"/>
      <c r="OAX165" s="146"/>
      <c r="OAY165" s="146"/>
      <c r="OAZ165" s="146"/>
      <c r="OBA165" s="146"/>
      <c r="OBB165" s="146"/>
      <c r="OBC165" s="146"/>
      <c r="OBD165" s="146"/>
      <c r="OBE165" s="146"/>
      <c r="OBF165" s="146"/>
      <c r="OBG165" s="146"/>
      <c r="OBH165" s="146"/>
      <c r="OBI165" s="146"/>
      <c r="OBJ165" s="146"/>
      <c r="OBK165" s="146"/>
      <c r="OBL165" s="146"/>
      <c r="OBM165" s="146"/>
      <c r="OBN165" s="146"/>
      <c r="OBO165" s="146"/>
      <c r="OBP165" s="146"/>
      <c r="OBQ165" s="146"/>
      <c r="OBR165" s="146"/>
      <c r="OBS165" s="146"/>
      <c r="OBT165" s="146"/>
      <c r="OBU165" s="146"/>
      <c r="OBV165" s="146"/>
      <c r="OBW165" s="146"/>
      <c r="OBX165" s="146"/>
      <c r="OBY165" s="146"/>
      <c r="OBZ165" s="146"/>
      <c r="OCA165" s="146"/>
      <c r="OCB165" s="146"/>
      <c r="OCC165" s="146"/>
      <c r="OCD165" s="146"/>
      <c r="OCE165" s="146"/>
      <c r="OCF165" s="146"/>
      <c r="OCG165" s="146"/>
      <c r="OCH165" s="146"/>
      <c r="OCI165" s="146"/>
      <c r="OCJ165" s="146"/>
      <c r="OCK165" s="146"/>
      <c r="OCL165" s="146"/>
      <c r="OCM165" s="146"/>
      <c r="OCN165" s="146"/>
      <c r="OCO165" s="146"/>
      <c r="OCP165" s="146"/>
      <c r="OCQ165" s="146"/>
      <c r="OCR165" s="146"/>
      <c r="OCS165" s="146"/>
      <c r="OCT165" s="146"/>
      <c r="OCU165" s="146"/>
      <c r="OCV165" s="146"/>
      <c r="OCW165" s="146"/>
      <c r="OCX165" s="146"/>
      <c r="OCY165" s="146"/>
      <c r="OCZ165" s="146"/>
      <c r="ODA165" s="146"/>
      <c r="ODB165" s="146"/>
      <c r="ODC165" s="146"/>
      <c r="ODD165" s="146"/>
      <c r="ODE165" s="146"/>
      <c r="ODF165" s="146"/>
      <c r="ODG165" s="146"/>
      <c r="ODH165" s="146"/>
      <c r="ODI165" s="146"/>
      <c r="ODJ165" s="146"/>
      <c r="ODK165" s="146"/>
      <c r="ODL165" s="146"/>
      <c r="ODM165" s="146"/>
      <c r="ODN165" s="146"/>
      <c r="ODO165" s="146"/>
      <c r="ODP165" s="146"/>
      <c r="ODQ165" s="146"/>
      <c r="ODR165" s="146"/>
      <c r="ODS165" s="146"/>
      <c r="ODT165" s="146"/>
      <c r="ODU165" s="146"/>
      <c r="ODV165" s="146"/>
      <c r="ODW165" s="146"/>
      <c r="ODX165" s="146"/>
      <c r="ODY165" s="146"/>
      <c r="ODZ165" s="146"/>
      <c r="OEA165" s="146"/>
      <c r="OEB165" s="146"/>
      <c r="OEC165" s="146"/>
      <c r="OED165" s="146"/>
      <c r="OEE165" s="146"/>
      <c r="OEF165" s="146"/>
      <c r="OEG165" s="146"/>
      <c r="OEH165" s="146"/>
      <c r="OEI165" s="146"/>
      <c r="OEJ165" s="146"/>
      <c r="OEK165" s="146"/>
      <c r="OEL165" s="146"/>
      <c r="OEM165" s="146"/>
      <c r="OEN165" s="146"/>
      <c r="OEO165" s="146"/>
      <c r="OEP165" s="146"/>
      <c r="OEQ165" s="146"/>
      <c r="OER165" s="146"/>
      <c r="OES165" s="146"/>
      <c r="OET165" s="146"/>
      <c r="OEU165" s="146"/>
      <c r="OEV165" s="146"/>
      <c r="OEW165" s="146"/>
      <c r="OEX165" s="146"/>
      <c r="OEY165" s="146"/>
      <c r="OEZ165" s="146"/>
      <c r="OFA165" s="146"/>
      <c r="OFB165" s="146"/>
      <c r="OFC165" s="146"/>
      <c r="OFD165" s="146"/>
      <c r="OFE165" s="146"/>
      <c r="OFF165" s="146"/>
      <c r="OFG165" s="146"/>
      <c r="OFH165" s="146"/>
      <c r="OFI165" s="146"/>
      <c r="OFJ165" s="146"/>
      <c r="OFK165" s="146"/>
      <c r="OFL165" s="146"/>
      <c r="OFM165" s="146"/>
      <c r="OFN165" s="146"/>
      <c r="OFO165" s="146"/>
      <c r="OFP165" s="146"/>
      <c r="OFQ165" s="146"/>
      <c r="OFR165" s="146"/>
      <c r="OFS165" s="146"/>
      <c r="OFT165" s="146"/>
      <c r="OFU165" s="146"/>
      <c r="OFV165" s="146"/>
      <c r="OFW165" s="146"/>
      <c r="OFX165" s="146"/>
      <c r="OFY165" s="146"/>
      <c r="OFZ165" s="146"/>
      <c r="OGA165" s="146"/>
      <c r="OGB165" s="146"/>
      <c r="OGC165" s="146"/>
      <c r="OGD165" s="146"/>
      <c r="OGE165" s="146"/>
      <c r="OGF165" s="146"/>
      <c r="OGG165" s="146"/>
      <c r="OGH165" s="146"/>
      <c r="OGI165" s="146"/>
      <c r="OGJ165" s="146"/>
      <c r="OGK165" s="146"/>
      <c r="OGL165" s="146"/>
      <c r="OGM165" s="146"/>
      <c r="OGN165" s="146"/>
      <c r="OGO165" s="146"/>
      <c r="OGP165" s="146"/>
      <c r="OGQ165" s="146"/>
      <c r="OGR165" s="146"/>
      <c r="OGS165" s="146"/>
      <c r="OGT165" s="146"/>
      <c r="OGU165" s="146"/>
      <c r="OGV165" s="146"/>
      <c r="OGW165" s="146"/>
      <c r="OGX165" s="146"/>
      <c r="OGY165" s="146"/>
      <c r="OGZ165" s="146"/>
      <c r="OHA165" s="146"/>
      <c r="OHB165" s="146"/>
      <c r="OHC165" s="146"/>
      <c r="OHD165" s="146"/>
      <c r="OHE165" s="146"/>
      <c r="OHF165" s="146"/>
      <c r="OHG165" s="146"/>
      <c r="OHH165" s="146"/>
      <c r="OHI165" s="146"/>
      <c r="OHJ165" s="146"/>
      <c r="OHK165" s="146"/>
      <c r="OHL165" s="146"/>
      <c r="OHM165" s="146"/>
      <c r="OHN165" s="146"/>
      <c r="OHO165" s="146"/>
      <c r="OHP165" s="146"/>
      <c r="OHQ165" s="146"/>
      <c r="OHR165" s="146"/>
      <c r="OHS165" s="146"/>
      <c r="OHT165" s="146"/>
      <c r="OHU165" s="146"/>
      <c r="OHV165" s="146"/>
      <c r="OHW165" s="146"/>
      <c r="OHX165" s="146"/>
      <c r="OHY165" s="146"/>
      <c r="OHZ165" s="146"/>
      <c r="OIA165" s="146"/>
      <c r="OIB165" s="146"/>
      <c r="OIC165" s="146"/>
      <c r="OID165" s="146"/>
      <c r="OIE165" s="146"/>
      <c r="OIF165" s="146"/>
      <c r="OIG165" s="146"/>
      <c r="OIH165" s="146"/>
      <c r="OII165" s="146"/>
      <c r="OIJ165" s="146"/>
      <c r="OIK165" s="146"/>
      <c r="OIL165" s="146"/>
      <c r="OIM165" s="146"/>
      <c r="OIN165" s="146"/>
      <c r="OIO165" s="146"/>
      <c r="OIP165" s="146"/>
      <c r="OIQ165" s="146"/>
      <c r="OIR165" s="146"/>
      <c r="OIS165" s="146"/>
      <c r="OIT165" s="146"/>
      <c r="OIU165" s="146"/>
      <c r="OIV165" s="146"/>
      <c r="OIW165" s="146"/>
      <c r="OIX165" s="146"/>
      <c r="OIY165" s="146"/>
      <c r="OIZ165" s="146"/>
      <c r="OJA165" s="146"/>
      <c r="OJB165" s="146"/>
      <c r="OJC165" s="146"/>
      <c r="OJD165" s="146"/>
      <c r="OJE165" s="146"/>
      <c r="OJF165" s="146"/>
      <c r="OJG165" s="146"/>
      <c r="OJH165" s="146"/>
      <c r="OJI165" s="146"/>
      <c r="OJJ165" s="146"/>
      <c r="OJK165" s="146"/>
      <c r="OJL165" s="146"/>
      <c r="OJM165" s="146"/>
      <c r="OJN165" s="146"/>
      <c r="OJO165" s="146"/>
      <c r="OJP165" s="146"/>
      <c r="OJQ165" s="146"/>
      <c r="OJR165" s="146"/>
      <c r="OJS165" s="146"/>
      <c r="OJT165" s="146"/>
      <c r="OJU165" s="146"/>
      <c r="OJV165" s="146"/>
      <c r="OJW165" s="146"/>
      <c r="OJX165" s="146"/>
      <c r="OJY165" s="146"/>
      <c r="OJZ165" s="146"/>
      <c r="OKA165" s="146"/>
      <c r="OKB165" s="146"/>
      <c r="OKC165" s="146"/>
      <c r="OKD165" s="146"/>
      <c r="OKE165" s="146"/>
      <c r="OKF165" s="146"/>
      <c r="OKG165" s="146"/>
      <c r="OKH165" s="146"/>
      <c r="OKI165" s="146"/>
      <c r="OKJ165" s="146"/>
      <c r="OKK165" s="146"/>
      <c r="OKL165" s="146"/>
      <c r="OKM165" s="146"/>
      <c r="OKN165" s="146"/>
      <c r="OKO165" s="146"/>
      <c r="OKP165" s="146"/>
      <c r="OKQ165" s="146"/>
      <c r="OKR165" s="146"/>
      <c r="OKS165" s="146"/>
      <c r="OKT165" s="146"/>
      <c r="OKU165" s="146"/>
      <c r="OKV165" s="146"/>
      <c r="OKW165" s="146"/>
      <c r="OKX165" s="146"/>
      <c r="OKY165" s="146"/>
      <c r="OKZ165" s="146"/>
      <c r="OLA165" s="146"/>
      <c r="OLB165" s="146"/>
      <c r="OLC165" s="146"/>
      <c r="OLD165" s="146"/>
      <c r="OLE165" s="146"/>
      <c r="OLF165" s="146"/>
      <c r="OLG165" s="146"/>
      <c r="OLH165" s="146"/>
      <c r="OLI165" s="146"/>
      <c r="OLJ165" s="146"/>
      <c r="OLK165" s="146"/>
      <c r="OLL165" s="146"/>
      <c r="OLM165" s="146"/>
      <c r="OLN165" s="146"/>
      <c r="OLO165" s="146"/>
      <c r="OLP165" s="146"/>
      <c r="OLQ165" s="146"/>
      <c r="OLR165" s="146"/>
      <c r="OLS165" s="146"/>
      <c r="OLT165" s="146"/>
      <c r="OLU165" s="146"/>
      <c r="OLV165" s="146"/>
      <c r="OLW165" s="146"/>
      <c r="OLX165" s="146"/>
      <c r="OLY165" s="146"/>
      <c r="OLZ165" s="146"/>
      <c r="OMA165" s="146"/>
      <c r="OMB165" s="146"/>
      <c r="OMC165" s="146"/>
      <c r="OMD165" s="146"/>
      <c r="OME165" s="146"/>
      <c r="OMF165" s="146"/>
      <c r="OMG165" s="146"/>
      <c r="OMH165" s="146"/>
      <c r="OMI165" s="146"/>
      <c r="OMJ165" s="146"/>
      <c r="OMK165" s="146"/>
      <c r="OML165" s="146"/>
      <c r="OMM165" s="146"/>
      <c r="OMN165" s="146"/>
      <c r="OMO165" s="146"/>
      <c r="OMP165" s="146"/>
      <c r="OMQ165" s="146"/>
      <c r="OMR165" s="146"/>
      <c r="OMS165" s="146"/>
      <c r="OMT165" s="146"/>
      <c r="OMU165" s="146"/>
      <c r="OMV165" s="146"/>
      <c r="OMW165" s="146"/>
      <c r="OMX165" s="146"/>
      <c r="OMY165" s="146"/>
      <c r="OMZ165" s="146"/>
      <c r="ONA165" s="146"/>
      <c r="ONB165" s="146"/>
      <c r="ONC165" s="146"/>
      <c r="OND165" s="146"/>
      <c r="ONE165" s="146"/>
      <c r="ONF165" s="146"/>
      <c r="ONG165" s="146"/>
      <c r="ONH165" s="146"/>
      <c r="ONI165" s="146"/>
      <c r="ONJ165" s="146"/>
      <c r="ONK165" s="146"/>
      <c r="ONL165" s="146"/>
      <c r="ONM165" s="146"/>
      <c r="ONN165" s="146"/>
      <c r="ONO165" s="146"/>
      <c r="ONP165" s="146"/>
      <c r="ONQ165" s="146"/>
      <c r="ONR165" s="146"/>
      <c r="ONS165" s="146"/>
      <c r="ONT165" s="146"/>
      <c r="ONU165" s="146"/>
      <c r="ONV165" s="146"/>
      <c r="ONW165" s="146"/>
      <c r="ONX165" s="146"/>
      <c r="ONY165" s="146"/>
      <c r="ONZ165" s="146"/>
      <c r="OOA165" s="146"/>
      <c r="OOB165" s="146"/>
      <c r="OOC165" s="146"/>
      <c r="OOD165" s="146"/>
      <c r="OOE165" s="146"/>
      <c r="OOF165" s="146"/>
      <c r="OOG165" s="146"/>
      <c r="OOH165" s="146"/>
      <c r="OOI165" s="146"/>
      <c r="OOJ165" s="146"/>
      <c r="OOK165" s="146"/>
      <c r="OOL165" s="146"/>
      <c r="OOM165" s="146"/>
      <c r="OON165" s="146"/>
      <c r="OOO165" s="146"/>
      <c r="OOP165" s="146"/>
      <c r="OOQ165" s="146"/>
      <c r="OOR165" s="146"/>
      <c r="OOS165" s="146"/>
      <c r="OOT165" s="146"/>
      <c r="OOU165" s="146"/>
      <c r="OOV165" s="146"/>
      <c r="OOW165" s="146"/>
      <c r="OOX165" s="146"/>
      <c r="OOY165" s="146"/>
      <c r="OOZ165" s="146"/>
      <c r="OPA165" s="146"/>
      <c r="OPB165" s="146"/>
      <c r="OPC165" s="146"/>
      <c r="OPD165" s="146"/>
      <c r="OPE165" s="146"/>
      <c r="OPF165" s="146"/>
      <c r="OPG165" s="146"/>
      <c r="OPH165" s="146"/>
      <c r="OPI165" s="146"/>
      <c r="OPJ165" s="146"/>
      <c r="OPK165" s="146"/>
      <c r="OPL165" s="146"/>
      <c r="OPM165" s="146"/>
      <c r="OPN165" s="146"/>
      <c r="OPO165" s="146"/>
      <c r="OPP165" s="146"/>
      <c r="OPQ165" s="146"/>
      <c r="OPR165" s="146"/>
      <c r="OPS165" s="146"/>
      <c r="OPT165" s="146"/>
      <c r="OPU165" s="146"/>
      <c r="OPV165" s="146"/>
      <c r="OPW165" s="146"/>
      <c r="OPX165" s="146"/>
      <c r="OPY165" s="146"/>
      <c r="OPZ165" s="146"/>
      <c r="OQA165" s="146"/>
      <c r="OQB165" s="146"/>
      <c r="OQC165" s="146"/>
      <c r="OQD165" s="146"/>
      <c r="OQE165" s="146"/>
      <c r="OQF165" s="146"/>
      <c r="OQG165" s="146"/>
      <c r="OQH165" s="146"/>
      <c r="OQI165" s="146"/>
      <c r="OQJ165" s="146"/>
      <c r="OQK165" s="146"/>
      <c r="OQL165" s="146"/>
      <c r="OQM165" s="146"/>
      <c r="OQN165" s="146"/>
      <c r="OQO165" s="146"/>
      <c r="OQP165" s="146"/>
      <c r="OQQ165" s="146"/>
      <c r="OQR165" s="146"/>
      <c r="OQS165" s="146"/>
      <c r="OQT165" s="146"/>
      <c r="OQU165" s="146"/>
      <c r="OQV165" s="146"/>
      <c r="OQW165" s="146"/>
      <c r="OQX165" s="146"/>
      <c r="OQY165" s="146"/>
      <c r="OQZ165" s="146"/>
      <c r="ORA165" s="146"/>
      <c r="ORB165" s="146"/>
      <c r="ORC165" s="146"/>
      <c r="ORD165" s="146"/>
      <c r="ORE165" s="146"/>
      <c r="ORF165" s="146"/>
      <c r="ORG165" s="146"/>
      <c r="ORH165" s="146"/>
      <c r="ORI165" s="146"/>
      <c r="ORJ165" s="146"/>
      <c r="ORK165" s="146"/>
      <c r="ORL165" s="146"/>
      <c r="ORM165" s="146"/>
      <c r="ORN165" s="146"/>
      <c r="ORO165" s="146"/>
      <c r="ORP165" s="146"/>
      <c r="ORQ165" s="146"/>
      <c r="ORR165" s="146"/>
      <c r="ORS165" s="146"/>
      <c r="ORT165" s="146"/>
      <c r="ORU165" s="146"/>
      <c r="ORV165" s="146"/>
      <c r="ORW165" s="146"/>
      <c r="ORX165" s="146"/>
      <c r="ORY165" s="146"/>
      <c r="ORZ165" s="146"/>
      <c r="OSA165" s="146"/>
      <c r="OSB165" s="146"/>
      <c r="OSC165" s="146"/>
      <c r="OSD165" s="146"/>
      <c r="OSE165" s="146"/>
      <c r="OSF165" s="146"/>
      <c r="OSG165" s="146"/>
      <c r="OSH165" s="146"/>
      <c r="OSI165" s="146"/>
      <c r="OSJ165" s="146"/>
      <c r="OSK165" s="146"/>
      <c r="OSL165" s="146"/>
      <c r="OSM165" s="146"/>
      <c r="OSN165" s="146"/>
      <c r="OSO165" s="146"/>
      <c r="OSP165" s="146"/>
      <c r="OSQ165" s="146"/>
      <c r="OSR165" s="146"/>
      <c r="OSS165" s="146"/>
      <c r="OST165" s="146"/>
      <c r="OSU165" s="146"/>
      <c r="OSV165" s="146"/>
      <c r="OSW165" s="146"/>
      <c r="OSX165" s="146"/>
      <c r="OSY165" s="146"/>
      <c r="OSZ165" s="146"/>
      <c r="OTA165" s="146"/>
      <c r="OTB165" s="146"/>
      <c r="OTC165" s="146"/>
      <c r="OTD165" s="146"/>
      <c r="OTE165" s="146"/>
      <c r="OTF165" s="146"/>
      <c r="OTG165" s="146"/>
      <c r="OTH165" s="146"/>
      <c r="OTI165" s="146"/>
      <c r="OTJ165" s="146"/>
      <c r="OTK165" s="146"/>
      <c r="OTL165" s="146"/>
      <c r="OTM165" s="146"/>
      <c r="OTN165" s="146"/>
      <c r="OTO165" s="146"/>
      <c r="OTP165" s="146"/>
      <c r="OTQ165" s="146"/>
      <c r="OTR165" s="146"/>
      <c r="OTS165" s="146"/>
      <c r="OTT165" s="146"/>
      <c r="OTU165" s="146"/>
      <c r="OTV165" s="146"/>
      <c r="OTW165" s="146"/>
      <c r="OTX165" s="146"/>
      <c r="OTY165" s="146"/>
      <c r="OTZ165" s="146"/>
      <c r="OUA165" s="146"/>
      <c r="OUB165" s="146"/>
      <c r="OUC165" s="146"/>
      <c r="OUD165" s="146"/>
      <c r="OUE165" s="146"/>
      <c r="OUF165" s="146"/>
      <c r="OUG165" s="146"/>
      <c r="OUH165" s="146"/>
      <c r="OUI165" s="146"/>
      <c r="OUJ165" s="146"/>
      <c r="OUK165" s="146"/>
      <c r="OUL165" s="146"/>
      <c r="OUM165" s="146"/>
      <c r="OUN165" s="146"/>
      <c r="OUO165" s="146"/>
      <c r="OUP165" s="146"/>
      <c r="OUQ165" s="146"/>
      <c r="OUR165" s="146"/>
      <c r="OUS165" s="146"/>
      <c r="OUT165" s="146"/>
      <c r="OUU165" s="146"/>
      <c r="OUV165" s="146"/>
      <c r="OUW165" s="146"/>
      <c r="OUX165" s="146"/>
      <c r="OUY165" s="146"/>
      <c r="OUZ165" s="146"/>
      <c r="OVA165" s="146"/>
      <c r="OVB165" s="146"/>
      <c r="OVC165" s="146"/>
      <c r="OVD165" s="146"/>
      <c r="OVE165" s="146"/>
      <c r="OVF165" s="146"/>
      <c r="OVG165" s="146"/>
      <c r="OVH165" s="146"/>
      <c r="OVI165" s="146"/>
      <c r="OVJ165" s="146"/>
      <c r="OVK165" s="146"/>
      <c r="OVL165" s="146"/>
      <c r="OVM165" s="146"/>
      <c r="OVN165" s="146"/>
      <c r="OVO165" s="146"/>
      <c r="OVP165" s="146"/>
      <c r="OVQ165" s="146"/>
      <c r="OVR165" s="146"/>
      <c r="OVS165" s="146"/>
      <c r="OVT165" s="146"/>
      <c r="OVU165" s="146"/>
      <c r="OVV165" s="146"/>
      <c r="OVW165" s="146"/>
      <c r="OVX165" s="146"/>
      <c r="OVY165" s="146"/>
      <c r="OVZ165" s="146"/>
      <c r="OWA165" s="146"/>
      <c r="OWB165" s="146"/>
      <c r="OWC165" s="146"/>
      <c r="OWD165" s="146"/>
      <c r="OWE165" s="146"/>
      <c r="OWF165" s="146"/>
      <c r="OWG165" s="146"/>
      <c r="OWH165" s="146"/>
      <c r="OWI165" s="146"/>
      <c r="OWJ165" s="146"/>
      <c r="OWK165" s="146"/>
      <c r="OWL165" s="146"/>
      <c r="OWM165" s="146"/>
      <c r="OWN165" s="146"/>
      <c r="OWO165" s="146"/>
      <c r="OWP165" s="146"/>
      <c r="OWQ165" s="146"/>
      <c r="OWR165" s="146"/>
      <c r="OWS165" s="146"/>
      <c r="OWT165" s="146"/>
      <c r="OWU165" s="146"/>
      <c r="OWV165" s="146"/>
      <c r="OWW165" s="146"/>
      <c r="OWX165" s="146"/>
      <c r="OWY165" s="146"/>
      <c r="OWZ165" s="146"/>
      <c r="OXA165" s="146"/>
      <c r="OXB165" s="146"/>
      <c r="OXC165" s="146"/>
      <c r="OXD165" s="146"/>
      <c r="OXE165" s="146"/>
      <c r="OXF165" s="146"/>
      <c r="OXG165" s="146"/>
      <c r="OXH165" s="146"/>
      <c r="OXI165" s="146"/>
      <c r="OXJ165" s="146"/>
      <c r="OXK165" s="146"/>
      <c r="OXL165" s="146"/>
      <c r="OXM165" s="146"/>
      <c r="OXN165" s="146"/>
      <c r="OXO165" s="146"/>
      <c r="OXP165" s="146"/>
      <c r="OXQ165" s="146"/>
      <c r="OXR165" s="146"/>
      <c r="OXS165" s="146"/>
      <c r="OXT165" s="146"/>
      <c r="OXU165" s="146"/>
      <c r="OXV165" s="146"/>
      <c r="OXW165" s="146"/>
      <c r="OXX165" s="146"/>
      <c r="OXY165" s="146"/>
      <c r="OXZ165" s="146"/>
      <c r="OYA165" s="146"/>
      <c r="OYB165" s="146"/>
      <c r="OYC165" s="146"/>
      <c r="OYD165" s="146"/>
      <c r="OYE165" s="146"/>
      <c r="OYF165" s="146"/>
      <c r="OYG165" s="146"/>
      <c r="OYH165" s="146"/>
      <c r="OYI165" s="146"/>
      <c r="OYJ165" s="146"/>
      <c r="OYK165" s="146"/>
      <c r="OYL165" s="146"/>
      <c r="OYM165" s="146"/>
      <c r="OYN165" s="146"/>
      <c r="OYO165" s="146"/>
      <c r="OYP165" s="146"/>
      <c r="OYQ165" s="146"/>
      <c r="OYR165" s="146"/>
      <c r="OYS165" s="146"/>
      <c r="OYT165" s="146"/>
      <c r="OYU165" s="146"/>
      <c r="OYV165" s="146"/>
      <c r="OYW165" s="146"/>
      <c r="OYX165" s="146"/>
      <c r="OYY165" s="146"/>
      <c r="OYZ165" s="146"/>
      <c r="OZA165" s="146"/>
      <c r="OZB165" s="146"/>
      <c r="OZC165" s="146"/>
      <c r="OZD165" s="146"/>
      <c r="OZE165" s="146"/>
      <c r="OZF165" s="146"/>
      <c r="OZG165" s="146"/>
      <c r="OZH165" s="146"/>
      <c r="OZI165" s="146"/>
      <c r="OZJ165" s="146"/>
      <c r="OZK165" s="146"/>
      <c r="OZL165" s="146"/>
      <c r="OZM165" s="146"/>
      <c r="OZN165" s="146"/>
      <c r="OZO165" s="146"/>
      <c r="OZP165" s="146"/>
      <c r="OZQ165" s="146"/>
      <c r="OZR165" s="146"/>
      <c r="OZS165" s="146"/>
      <c r="OZT165" s="146"/>
      <c r="OZU165" s="146"/>
      <c r="OZV165" s="146"/>
      <c r="OZW165" s="146"/>
      <c r="OZX165" s="146"/>
      <c r="OZY165" s="146"/>
      <c r="OZZ165" s="146"/>
      <c r="PAA165" s="146"/>
      <c r="PAB165" s="146"/>
      <c r="PAC165" s="146"/>
      <c r="PAD165" s="146"/>
      <c r="PAE165" s="146"/>
      <c r="PAF165" s="146"/>
      <c r="PAG165" s="146"/>
      <c r="PAH165" s="146"/>
      <c r="PAI165" s="146"/>
      <c r="PAJ165" s="146"/>
      <c r="PAK165" s="146"/>
      <c r="PAL165" s="146"/>
      <c r="PAM165" s="146"/>
      <c r="PAN165" s="146"/>
      <c r="PAO165" s="146"/>
      <c r="PAP165" s="146"/>
      <c r="PAQ165" s="146"/>
      <c r="PAR165" s="146"/>
      <c r="PAS165" s="146"/>
      <c r="PAT165" s="146"/>
      <c r="PAU165" s="146"/>
      <c r="PAV165" s="146"/>
      <c r="PAW165" s="146"/>
      <c r="PAX165" s="146"/>
      <c r="PAY165" s="146"/>
      <c r="PAZ165" s="146"/>
      <c r="PBA165" s="146"/>
      <c r="PBB165" s="146"/>
      <c r="PBC165" s="146"/>
      <c r="PBD165" s="146"/>
      <c r="PBE165" s="146"/>
      <c r="PBF165" s="146"/>
      <c r="PBG165" s="146"/>
      <c r="PBH165" s="146"/>
      <c r="PBI165" s="146"/>
      <c r="PBJ165" s="146"/>
      <c r="PBK165" s="146"/>
      <c r="PBL165" s="146"/>
      <c r="PBM165" s="146"/>
      <c r="PBN165" s="146"/>
      <c r="PBO165" s="146"/>
      <c r="PBP165" s="146"/>
      <c r="PBQ165" s="146"/>
      <c r="PBR165" s="146"/>
      <c r="PBS165" s="146"/>
      <c r="PBT165" s="146"/>
      <c r="PBU165" s="146"/>
      <c r="PBV165" s="146"/>
      <c r="PBW165" s="146"/>
      <c r="PBX165" s="146"/>
      <c r="PBY165" s="146"/>
      <c r="PBZ165" s="146"/>
      <c r="PCA165" s="146"/>
      <c r="PCB165" s="146"/>
      <c r="PCC165" s="146"/>
      <c r="PCD165" s="146"/>
      <c r="PCE165" s="146"/>
      <c r="PCF165" s="146"/>
      <c r="PCG165" s="146"/>
      <c r="PCH165" s="146"/>
      <c r="PCI165" s="146"/>
      <c r="PCJ165" s="146"/>
      <c r="PCK165" s="146"/>
      <c r="PCL165" s="146"/>
      <c r="PCM165" s="146"/>
      <c r="PCN165" s="146"/>
      <c r="PCO165" s="146"/>
      <c r="PCP165" s="146"/>
      <c r="PCQ165" s="146"/>
      <c r="PCR165" s="146"/>
      <c r="PCS165" s="146"/>
      <c r="PCT165" s="146"/>
      <c r="PCU165" s="146"/>
      <c r="PCV165" s="146"/>
      <c r="PCW165" s="146"/>
      <c r="PCX165" s="146"/>
      <c r="PCY165" s="146"/>
      <c r="PCZ165" s="146"/>
      <c r="PDA165" s="146"/>
      <c r="PDB165" s="146"/>
      <c r="PDC165" s="146"/>
      <c r="PDD165" s="146"/>
      <c r="PDE165" s="146"/>
      <c r="PDF165" s="146"/>
      <c r="PDG165" s="146"/>
      <c r="PDH165" s="146"/>
      <c r="PDI165" s="146"/>
      <c r="PDJ165" s="146"/>
      <c r="PDK165" s="146"/>
      <c r="PDL165" s="146"/>
      <c r="PDM165" s="146"/>
      <c r="PDN165" s="146"/>
      <c r="PDO165" s="146"/>
      <c r="PDP165" s="146"/>
      <c r="PDQ165" s="146"/>
      <c r="PDR165" s="146"/>
      <c r="PDS165" s="146"/>
      <c r="PDT165" s="146"/>
      <c r="PDU165" s="146"/>
      <c r="PDV165" s="146"/>
      <c r="PDW165" s="146"/>
      <c r="PDX165" s="146"/>
      <c r="PDY165" s="146"/>
      <c r="PDZ165" s="146"/>
      <c r="PEA165" s="146"/>
      <c r="PEB165" s="146"/>
      <c r="PEC165" s="146"/>
      <c r="PED165" s="146"/>
      <c r="PEE165" s="146"/>
      <c r="PEF165" s="146"/>
      <c r="PEG165" s="146"/>
      <c r="PEH165" s="146"/>
      <c r="PEI165" s="146"/>
      <c r="PEJ165" s="146"/>
      <c r="PEK165" s="146"/>
      <c r="PEL165" s="146"/>
      <c r="PEM165" s="146"/>
      <c r="PEN165" s="146"/>
      <c r="PEO165" s="146"/>
      <c r="PEP165" s="146"/>
      <c r="PEQ165" s="146"/>
      <c r="PER165" s="146"/>
      <c r="PES165" s="146"/>
      <c r="PET165" s="146"/>
      <c r="PEU165" s="146"/>
      <c r="PEV165" s="146"/>
      <c r="PEW165" s="146"/>
      <c r="PEX165" s="146"/>
      <c r="PEY165" s="146"/>
      <c r="PEZ165" s="146"/>
      <c r="PFA165" s="146"/>
      <c r="PFB165" s="146"/>
      <c r="PFC165" s="146"/>
      <c r="PFD165" s="146"/>
      <c r="PFE165" s="146"/>
      <c r="PFF165" s="146"/>
      <c r="PFG165" s="146"/>
      <c r="PFH165" s="146"/>
      <c r="PFI165" s="146"/>
      <c r="PFJ165" s="146"/>
      <c r="PFK165" s="146"/>
      <c r="PFL165" s="146"/>
      <c r="PFM165" s="146"/>
      <c r="PFN165" s="146"/>
      <c r="PFO165" s="146"/>
      <c r="PFP165" s="146"/>
      <c r="PFQ165" s="146"/>
      <c r="PFR165" s="146"/>
      <c r="PFS165" s="146"/>
      <c r="PFT165" s="146"/>
      <c r="PFU165" s="146"/>
      <c r="PFV165" s="146"/>
      <c r="PFW165" s="146"/>
      <c r="PFX165" s="146"/>
      <c r="PFY165" s="146"/>
      <c r="PFZ165" s="146"/>
      <c r="PGA165" s="146"/>
      <c r="PGB165" s="146"/>
      <c r="PGC165" s="146"/>
      <c r="PGD165" s="146"/>
      <c r="PGE165" s="146"/>
      <c r="PGF165" s="146"/>
      <c r="PGG165" s="146"/>
      <c r="PGH165" s="146"/>
      <c r="PGI165" s="146"/>
      <c r="PGJ165" s="146"/>
      <c r="PGK165" s="146"/>
      <c r="PGL165" s="146"/>
      <c r="PGM165" s="146"/>
      <c r="PGN165" s="146"/>
      <c r="PGO165" s="146"/>
      <c r="PGP165" s="146"/>
      <c r="PGQ165" s="146"/>
      <c r="PGR165" s="146"/>
      <c r="PGS165" s="146"/>
      <c r="PGT165" s="146"/>
      <c r="PGU165" s="146"/>
      <c r="PGV165" s="146"/>
      <c r="PGW165" s="146"/>
      <c r="PGX165" s="146"/>
      <c r="PGY165" s="146"/>
      <c r="PGZ165" s="146"/>
      <c r="PHA165" s="146"/>
      <c r="PHB165" s="146"/>
      <c r="PHC165" s="146"/>
      <c r="PHD165" s="146"/>
      <c r="PHE165" s="146"/>
      <c r="PHF165" s="146"/>
      <c r="PHG165" s="146"/>
      <c r="PHH165" s="146"/>
      <c r="PHI165" s="146"/>
      <c r="PHJ165" s="146"/>
      <c r="PHK165" s="146"/>
      <c r="PHL165" s="146"/>
      <c r="PHM165" s="146"/>
      <c r="PHN165" s="146"/>
      <c r="PHO165" s="146"/>
      <c r="PHP165" s="146"/>
      <c r="PHQ165" s="146"/>
      <c r="PHR165" s="146"/>
      <c r="PHS165" s="146"/>
      <c r="PHT165" s="146"/>
      <c r="PHU165" s="146"/>
      <c r="PHV165" s="146"/>
      <c r="PHW165" s="146"/>
      <c r="PHX165" s="146"/>
      <c r="PHY165" s="146"/>
      <c r="PHZ165" s="146"/>
      <c r="PIA165" s="146"/>
      <c r="PIB165" s="146"/>
      <c r="PIC165" s="146"/>
      <c r="PID165" s="146"/>
      <c r="PIE165" s="146"/>
      <c r="PIF165" s="146"/>
      <c r="PIG165" s="146"/>
      <c r="PIH165" s="146"/>
      <c r="PII165" s="146"/>
      <c r="PIJ165" s="146"/>
      <c r="PIK165" s="146"/>
      <c r="PIL165" s="146"/>
      <c r="PIM165" s="146"/>
      <c r="PIN165" s="146"/>
      <c r="PIO165" s="146"/>
      <c r="PIP165" s="146"/>
      <c r="PIQ165" s="146"/>
      <c r="PIR165" s="146"/>
      <c r="PIS165" s="146"/>
      <c r="PIT165" s="146"/>
      <c r="PIU165" s="146"/>
      <c r="PIV165" s="146"/>
      <c r="PIW165" s="146"/>
      <c r="PIX165" s="146"/>
      <c r="PIY165" s="146"/>
      <c r="PIZ165" s="146"/>
      <c r="PJA165" s="146"/>
      <c r="PJB165" s="146"/>
      <c r="PJC165" s="146"/>
      <c r="PJD165" s="146"/>
      <c r="PJE165" s="146"/>
      <c r="PJF165" s="146"/>
      <c r="PJG165" s="146"/>
      <c r="PJH165" s="146"/>
      <c r="PJI165" s="146"/>
      <c r="PJJ165" s="146"/>
      <c r="PJK165" s="146"/>
      <c r="PJL165" s="146"/>
      <c r="PJM165" s="146"/>
      <c r="PJN165" s="146"/>
      <c r="PJO165" s="146"/>
      <c r="PJP165" s="146"/>
      <c r="PJQ165" s="146"/>
      <c r="PJR165" s="146"/>
      <c r="PJS165" s="146"/>
      <c r="PJT165" s="146"/>
      <c r="PJU165" s="146"/>
      <c r="PJV165" s="146"/>
      <c r="PJW165" s="146"/>
      <c r="PJX165" s="146"/>
      <c r="PJY165" s="146"/>
      <c r="PJZ165" s="146"/>
      <c r="PKA165" s="146"/>
      <c r="PKB165" s="146"/>
      <c r="PKC165" s="146"/>
      <c r="PKD165" s="146"/>
      <c r="PKE165" s="146"/>
      <c r="PKF165" s="146"/>
      <c r="PKG165" s="146"/>
      <c r="PKH165" s="146"/>
      <c r="PKI165" s="146"/>
      <c r="PKJ165" s="146"/>
      <c r="PKK165" s="146"/>
      <c r="PKL165" s="146"/>
      <c r="PKM165" s="146"/>
      <c r="PKN165" s="146"/>
      <c r="PKO165" s="146"/>
      <c r="PKP165" s="146"/>
      <c r="PKQ165" s="146"/>
      <c r="PKR165" s="146"/>
      <c r="PKS165" s="146"/>
      <c r="PKT165" s="146"/>
      <c r="PKU165" s="146"/>
      <c r="PKV165" s="146"/>
      <c r="PKW165" s="146"/>
      <c r="PKX165" s="146"/>
      <c r="PKY165" s="146"/>
      <c r="PKZ165" s="146"/>
      <c r="PLA165" s="146"/>
      <c r="PLB165" s="146"/>
      <c r="PLC165" s="146"/>
      <c r="PLD165" s="146"/>
      <c r="PLE165" s="146"/>
      <c r="PLF165" s="146"/>
      <c r="PLG165" s="146"/>
      <c r="PLH165" s="146"/>
      <c r="PLI165" s="146"/>
      <c r="PLJ165" s="146"/>
      <c r="PLK165" s="146"/>
      <c r="PLL165" s="146"/>
      <c r="PLM165" s="146"/>
      <c r="PLN165" s="146"/>
      <c r="PLO165" s="146"/>
      <c r="PLP165" s="146"/>
      <c r="PLQ165" s="146"/>
      <c r="PLR165" s="146"/>
      <c r="PLS165" s="146"/>
      <c r="PLT165" s="146"/>
      <c r="PLU165" s="146"/>
      <c r="PLV165" s="146"/>
      <c r="PLW165" s="146"/>
      <c r="PLX165" s="146"/>
      <c r="PLY165" s="146"/>
      <c r="PLZ165" s="146"/>
      <c r="PMA165" s="146"/>
      <c r="PMB165" s="146"/>
      <c r="PMC165" s="146"/>
      <c r="PMD165" s="146"/>
      <c r="PME165" s="146"/>
      <c r="PMF165" s="146"/>
      <c r="PMG165" s="146"/>
      <c r="PMH165" s="146"/>
      <c r="PMI165" s="146"/>
      <c r="PMJ165" s="146"/>
      <c r="PMK165" s="146"/>
      <c r="PML165" s="146"/>
      <c r="PMM165" s="146"/>
      <c r="PMN165" s="146"/>
      <c r="PMO165" s="146"/>
      <c r="PMP165" s="146"/>
      <c r="PMQ165" s="146"/>
      <c r="PMR165" s="146"/>
      <c r="PMS165" s="146"/>
      <c r="PMT165" s="146"/>
      <c r="PMU165" s="146"/>
      <c r="PMV165" s="146"/>
      <c r="PMW165" s="146"/>
      <c r="PMX165" s="146"/>
      <c r="PMY165" s="146"/>
      <c r="PMZ165" s="146"/>
      <c r="PNA165" s="146"/>
      <c r="PNB165" s="146"/>
      <c r="PNC165" s="146"/>
      <c r="PND165" s="146"/>
      <c r="PNE165" s="146"/>
      <c r="PNF165" s="146"/>
      <c r="PNG165" s="146"/>
      <c r="PNH165" s="146"/>
      <c r="PNI165" s="146"/>
      <c r="PNJ165" s="146"/>
      <c r="PNK165" s="146"/>
      <c r="PNL165" s="146"/>
      <c r="PNM165" s="146"/>
      <c r="PNN165" s="146"/>
      <c r="PNO165" s="146"/>
      <c r="PNP165" s="146"/>
      <c r="PNQ165" s="146"/>
      <c r="PNR165" s="146"/>
      <c r="PNS165" s="146"/>
      <c r="PNT165" s="146"/>
      <c r="PNU165" s="146"/>
      <c r="PNV165" s="146"/>
      <c r="PNW165" s="146"/>
      <c r="PNX165" s="146"/>
      <c r="PNY165" s="146"/>
      <c r="PNZ165" s="146"/>
      <c r="POA165" s="146"/>
      <c r="POB165" s="146"/>
      <c r="POC165" s="146"/>
      <c r="POD165" s="146"/>
      <c r="POE165" s="146"/>
      <c r="POF165" s="146"/>
      <c r="POG165" s="146"/>
      <c r="POH165" s="146"/>
      <c r="POI165" s="146"/>
      <c r="POJ165" s="146"/>
      <c r="POK165" s="146"/>
      <c r="POL165" s="146"/>
      <c r="POM165" s="146"/>
      <c r="PON165" s="146"/>
      <c r="POO165" s="146"/>
      <c r="POP165" s="146"/>
      <c r="POQ165" s="146"/>
      <c r="POR165" s="146"/>
      <c r="POS165" s="146"/>
      <c r="POT165" s="146"/>
      <c r="POU165" s="146"/>
      <c r="POV165" s="146"/>
      <c r="POW165" s="146"/>
      <c r="POX165" s="146"/>
      <c r="POY165" s="146"/>
      <c r="POZ165" s="146"/>
      <c r="PPA165" s="146"/>
      <c r="PPB165" s="146"/>
      <c r="PPC165" s="146"/>
      <c r="PPD165" s="146"/>
      <c r="PPE165" s="146"/>
      <c r="PPF165" s="146"/>
      <c r="PPG165" s="146"/>
      <c r="PPH165" s="146"/>
      <c r="PPI165" s="146"/>
      <c r="PPJ165" s="146"/>
      <c r="PPK165" s="146"/>
      <c r="PPL165" s="146"/>
      <c r="PPM165" s="146"/>
      <c r="PPN165" s="146"/>
      <c r="PPO165" s="146"/>
      <c r="PPP165" s="146"/>
      <c r="PPQ165" s="146"/>
      <c r="PPR165" s="146"/>
      <c r="PPS165" s="146"/>
      <c r="PPT165" s="146"/>
      <c r="PPU165" s="146"/>
      <c r="PPV165" s="146"/>
      <c r="PPW165" s="146"/>
      <c r="PPX165" s="146"/>
      <c r="PPY165" s="146"/>
      <c r="PPZ165" s="146"/>
      <c r="PQA165" s="146"/>
      <c r="PQB165" s="146"/>
      <c r="PQC165" s="146"/>
      <c r="PQD165" s="146"/>
      <c r="PQE165" s="146"/>
      <c r="PQF165" s="146"/>
      <c r="PQG165" s="146"/>
      <c r="PQH165" s="146"/>
      <c r="PQI165" s="146"/>
      <c r="PQJ165" s="146"/>
      <c r="PQK165" s="146"/>
      <c r="PQL165" s="146"/>
      <c r="PQM165" s="146"/>
      <c r="PQN165" s="146"/>
      <c r="PQO165" s="146"/>
      <c r="PQP165" s="146"/>
      <c r="PQQ165" s="146"/>
      <c r="PQR165" s="146"/>
      <c r="PQS165" s="146"/>
      <c r="PQT165" s="146"/>
      <c r="PQU165" s="146"/>
      <c r="PQV165" s="146"/>
      <c r="PQW165" s="146"/>
      <c r="PQX165" s="146"/>
      <c r="PQY165" s="146"/>
      <c r="PQZ165" s="146"/>
      <c r="PRA165" s="146"/>
      <c r="PRB165" s="146"/>
      <c r="PRC165" s="146"/>
      <c r="PRD165" s="146"/>
      <c r="PRE165" s="146"/>
      <c r="PRF165" s="146"/>
      <c r="PRG165" s="146"/>
      <c r="PRH165" s="146"/>
      <c r="PRI165" s="146"/>
      <c r="PRJ165" s="146"/>
      <c r="PRK165" s="146"/>
      <c r="PRL165" s="146"/>
      <c r="PRM165" s="146"/>
      <c r="PRN165" s="146"/>
      <c r="PRO165" s="146"/>
      <c r="PRP165" s="146"/>
      <c r="PRQ165" s="146"/>
      <c r="PRR165" s="146"/>
      <c r="PRS165" s="146"/>
      <c r="PRT165" s="146"/>
      <c r="PRU165" s="146"/>
      <c r="PRV165" s="146"/>
      <c r="PRW165" s="146"/>
      <c r="PRX165" s="146"/>
      <c r="PRY165" s="146"/>
      <c r="PRZ165" s="146"/>
      <c r="PSA165" s="146"/>
      <c r="PSB165" s="146"/>
      <c r="PSC165" s="146"/>
      <c r="PSD165" s="146"/>
      <c r="PSE165" s="146"/>
      <c r="PSF165" s="146"/>
      <c r="PSG165" s="146"/>
      <c r="PSH165" s="146"/>
      <c r="PSI165" s="146"/>
      <c r="PSJ165" s="146"/>
      <c r="PSK165" s="146"/>
      <c r="PSL165" s="146"/>
      <c r="PSM165" s="146"/>
      <c r="PSN165" s="146"/>
      <c r="PSO165" s="146"/>
      <c r="PSP165" s="146"/>
      <c r="PSQ165" s="146"/>
      <c r="PSR165" s="146"/>
      <c r="PSS165" s="146"/>
      <c r="PST165" s="146"/>
      <c r="PSU165" s="146"/>
      <c r="PSV165" s="146"/>
      <c r="PSW165" s="146"/>
      <c r="PSX165" s="146"/>
      <c r="PSY165" s="146"/>
      <c r="PSZ165" s="146"/>
      <c r="PTA165" s="146"/>
      <c r="PTB165" s="146"/>
      <c r="PTC165" s="146"/>
      <c r="PTD165" s="146"/>
      <c r="PTE165" s="146"/>
      <c r="PTF165" s="146"/>
      <c r="PTG165" s="146"/>
      <c r="PTH165" s="146"/>
      <c r="PTI165" s="146"/>
      <c r="PTJ165" s="146"/>
      <c r="PTK165" s="146"/>
      <c r="PTL165" s="146"/>
      <c r="PTM165" s="146"/>
      <c r="PTN165" s="146"/>
      <c r="PTO165" s="146"/>
      <c r="PTP165" s="146"/>
      <c r="PTQ165" s="146"/>
      <c r="PTR165" s="146"/>
      <c r="PTS165" s="146"/>
      <c r="PTT165" s="146"/>
      <c r="PTU165" s="146"/>
      <c r="PTV165" s="146"/>
      <c r="PTW165" s="146"/>
      <c r="PTX165" s="146"/>
      <c r="PTY165" s="146"/>
      <c r="PTZ165" s="146"/>
      <c r="PUA165" s="146"/>
      <c r="PUB165" s="146"/>
      <c r="PUC165" s="146"/>
      <c r="PUD165" s="146"/>
      <c r="PUE165" s="146"/>
      <c r="PUF165" s="146"/>
      <c r="PUG165" s="146"/>
      <c r="PUH165" s="146"/>
      <c r="PUI165" s="146"/>
      <c r="PUJ165" s="146"/>
      <c r="PUK165" s="146"/>
      <c r="PUL165" s="146"/>
      <c r="PUM165" s="146"/>
      <c r="PUN165" s="146"/>
      <c r="PUO165" s="146"/>
      <c r="PUP165" s="146"/>
      <c r="PUQ165" s="146"/>
      <c r="PUR165" s="146"/>
      <c r="PUS165" s="146"/>
      <c r="PUT165" s="146"/>
      <c r="PUU165" s="146"/>
      <c r="PUV165" s="146"/>
      <c r="PUW165" s="146"/>
      <c r="PUX165" s="146"/>
      <c r="PUY165" s="146"/>
      <c r="PUZ165" s="146"/>
      <c r="PVA165" s="146"/>
      <c r="PVB165" s="146"/>
      <c r="PVC165" s="146"/>
      <c r="PVD165" s="146"/>
      <c r="PVE165" s="146"/>
      <c r="PVF165" s="146"/>
      <c r="PVG165" s="146"/>
      <c r="PVH165" s="146"/>
      <c r="PVI165" s="146"/>
      <c r="PVJ165" s="146"/>
      <c r="PVK165" s="146"/>
      <c r="PVL165" s="146"/>
      <c r="PVM165" s="146"/>
      <c r="PVN165" s="146"/>
      <c r="PVO165" s="146"/>
      <c r="PVP165" s="146"/>
      <c r="PVQ165" s="146"/>
      <c r="PVR165" s="146"/>
      <c r="PVS165" s="146"/>
      <c r="PVT165" s="146"/>
      <c r="PVU165" s="146"/>
      <c r="PVV165" s="146"/>
      <c r="PVW165" s="146"/>
      <c r="PVX165" s="146"/>
      <c r="PVY165" s="146"/>
      <c r="PVZ165" s="146"/>
      <c r="PWA165" s="146"/>
      <c r="PWB165" s="146"/>
      <c r="PWC165" s="146"/>
      <c r="PWD165" s="146"/>
      <c r="PWE165" s="146"/>
      <c r="PWF165" s="146"/>
      <c r="PWG165" s="146"/>
      <c r="PWH165" s="146"/>
      <c r="PWI165" s="146"/>
      <c r="PWJ165" s="146"/>
      <c r="PWK165" s="146"/>
      <c r="PWL165" s="146"/>
      <c r="PWM165" s="146"/>
      <c r="PWN165" s="146"/>
      <c r="PWO165" s="146"/>
      <c r="PWP165" s="146"/>
      <c r="PWQ165" s="146"/>
      <c r="PWR165" s="146"/>
      <c r="PWS165" s="146"/>
      <c r="PWT165" s="146"/>
      <c r="PWU165" s="146"/>
      <c r="PWV165" s="146"/>
      <c r="PWW165" s="146"/>
      <c r="PWX165" s="146"/>
      <c r="PWY165" s="146"/>
      <c r="PWZ165" s="146"/>
      <c r="PXA165" s="146"/>
      <c r="PXB165" s="146"/>
      <c r="PXC165" s="146"/>
      <c r="PXD165" s="146"/>
      <c r="PXE165" s="146"/>
      <c r="PXF165" s="146"/>
      <c r="PXG165" s="146"/>
      <c r="PXH165" s="146"/>
      <c r="PXI165" s="146"/>
      <c r="PXJ165" s="146"/>
      <c r="PXK165" s="146"/>
      <c r="PXL165" s="146"/>
      <c r="PXM165" s="146"/>
      <c r="PXN165" s="146"/>
      <c r="PXO165" s="146"/>
      <c r="PXP165" s="146"/>
      <c r="PXQ165" s="146"/>
      <c r="PXR165" s="146"/>
      <c r="PXS165" s="146"/>
      <c r="PXT165" s="146"/>
      <c r="PXU165" s="146"/>
      <c r="PXV165" s="146"/>
      <c r="PXW165" s="146"/>
      <c r="PXX165" s="146"/>
      <c r="PXY165" s="146"/>
      <c r="PXZ165" s="146"/>
      <c r="PYA165" s="146"/>
      <c r="PYB165" s="146"/>
      <c r="PYC165" s="146"/>
      <c r="PYD165" s="146"/>
      <c r="PYE165" s="146"/>
      <c r="PYF165" s="146"/>
      <c r="PYG165" s="146"/>
      <c r="PYH165" s="146"/>
      <c r="PYI165" s="146"/>
      <c r="PYJ165" s="146"/>
      <c r="PYK165" s="146"/>
      <c r="PYL165" s="146"/>
      <c r="PYM165" s="146"/>
      <c r="PYN165" s="146"/>
      <c r="PYO165" s="146"/>
      <c r="PYP165" s="146"/>
      <c r="PYQ165" s="146"/>
      <c r="PYR165" s="146"/>
      <c r="PYS165" s="146"/>
      <c r="PYT165" s="146"/>
      <c r="PYU165" s="146"/>
      <c r="PYV165" s="146"/>
      <c r="PYW165" s="146"/>
      <c r="PYX165" s="146"/>
      <c r="PYY165" s="146"/>
      <c r="PYZ165" s="146"/>
      <c r="PZA165" s="146"/>
      <c r="PZB165" s="146"/>
      <c r="PZC165" s="146"/>
      <c r="PZD165" s="146"/>
      <c r="PZE165" s="146"/>
      <c r="PZF165" s="146"/>
      <c r="PZG165" s="146"/>
      <c r="PZH165" s="146"/>
      <c r="PZI165" s="146"/>
      <c r="PZJ165" s="146"/>
      <c r="PZK165" s="146"/>
      <c r="PZL165" s="146"/>
      <c r="PZM165" s="146"/>
      <c r="PZN165" s="146"/>
      <c r="PZO165" s="146"/>
      <c r="PZP165" s="146"/>
      <c r="PZQ165" s="146"/>
      <c r="PZR165" s="146"/>
      <c r="PZS165" s="146"/>
      <c r="PZT165" s="146"/>
      <c r="PZU165" s="146"/>
      <c r="PZV165" s="146"/>
      <c r="PZW165" s="146"/>
      <c r="PZX165" s="146"/>
      <c r="PZY165" s="146"/>
      <c r="PZZ165" s="146"/>
      <c r="QAA165" s="146"/>
      <c r="QAB165" s="146"/>
      <c r="QAC165" s="146"/>
      <c r="QAD165" s="146"/>
      <c r="QAE165" s="146"/>
      <c r="QAF165" s="146"/>
      <c r="QAG165" s="146"/>
      <c r="QAH165" s="146"/>
      <c r="QAI165" s="146"/>
      <c r="QAJ165" s="146"/>
      <c r="QAK165" s="146"/>
      <c r="QAL165" s="146"/>
      <c r="QAM165" s="146"/>
      <c r="QAN165" s="146"/>
      <c r="QAO165" s="146"/>
      <c r="QAP165" s="146"/>
      <c r="QAQ165" s="146"/>
      <c r="QAR165" s="146"/>
      <c r="QAS165" s="146"/>
      <c r="QAT165" s="146"/>
      <c r="QAU165" s="146"/>
      <c r="QAV165" s="146"/>
      <c r="QAW165" s="146"/>
      <c r="QAX165" s="146"/>
      <c r="QAY165" s="146"/>
      <c r="QAZ165" s="146"/>
      <c r="QBA165" s="146"/>
      <c r="QBB165" s="146"/>
      <c r="QBC165" s="146"/>
      <c r="QBD165" s="146"/>
      <c r="QBE165" s="146"/>
      <c r="QBF165" s="146"/>
      <c r="QBG165" s="146"/>
      <c r="QBH165" s="146"/>
      <c r="QBI165" s="146"/>
      <c r="QBJ165" s="146"/>
      <c r="QBK165" s="146"/>
      <c r="QBL165" s="146"/>
      <c r="QBM165" s="146"/>
      <c r="QBN165" s="146"/>
      <c r="QBO165" s="146"/>
      <c r="QBP165" s="146"/>
      <c r="QBQ165" s="146"/>
      <c r="QBR165" s="146"/>
      <c r="QBS165" s="146"/>
      <c r="QBT165" s="146"/>
      <c r="QBU165" s="146"/>
      <c r="QBV165" s="146"/>
      <c r="QBW165" s="146"/>
      <c r="QBX165" s="146"/>
      <c r="QBY165" s="146"/>
      <c r="QBZ165" s="146"/>
      <c r="QCA165" s="146"/>
      <c r="QCB165" s="146"/>
      <c r="QCC165" s="146"/>
      <c r="QCD165" s="146"/>
      <c r="QCE165" s="146"/>
      <c r="QCF165" s="146"/>
      <c r="QCG165" s="146"/>
      <c r="QCH165" s="146"/>
      <c r="QCI165" s="146"/>
      <c r="QCJ165" s="146"/>
      <c r="QCK165" s="146"/>
      <c r="QCL165" s="146"/>
      <c r="QCM165" s="146"/>
      <c r="QCN165" s="146"/>
      <c r="QCO165" s="146"/>
      <c r="QCP165" s="146"/>
      <c r="QCQ165" s="146"/>
      <c r="QCR165" s="146"/>
      <c r="QCS165" s="146"/>
      <c r="QCT165" s="146"/>
      <c r="QCU165" s="146"/>
      <c r="QCV165" s="146"/>
      <c r="QCW165" s="146"/>
      <c r="QCX165" s="146"/>
      <c r="QCY165" s="146"/>
      <c r="QCZ165" s="146"/>
      <c r="QDA165" s="146"/>
      <c r="QDB165" s="146"/>
      <c r="QDC165" s="146"/>
      <c r="QDD165" s="146"/>
      <c r="QDE165" s="146"/>
      <c r="QDF165" s="146"/>
      <c r="QDG165" s="146"/>
      <c r="QDH165" s="146"/>
      <c r="QDI165" s="146"/>
      <c r="QDJ165" s="146"/>
      <c r="QDK165" s="146"/>
      <c r="QDL165" s="146"/>
      <c r="QDM165" s="146"/>
      <c r="QDN165" s="146"/>
      <c r="QDO165" s="146"/>
      <c r="QDP165" s="146"/>
      <c r="QDQ165" s="146"/>
      <c r="QDR165" s="146"/>
      <c r="QDS165" s="146"/>
      <c r="QDT165" s="146"/>
      <c r="QDU165" s="146"/>
      <c r="QDV165" s="146"/>
      <c r="QDW165" s="146"/>
      <c r="QDX165" s="146"/>
      <c r="QDY165" s="146"/>
      <c r="QDZ165" s="146"/>
      <c r="QEA165" s="146"/>
      <c r="QEB165" s="146"/>
      <c r="QEC165" s="146"/>
      <c r="QED165" s="146"/>
      <c r="QEE165" s="146"/>
      <c r="QEF165" s="146"/>
      <c r="QEG165" s="146"/>
      <c r="QEH165" s="146"/>
      <c r="QEI165" s="146"/>
      <c r="QEJ165" s="146"/>
      <c r="QEK165" s="146"/>
      <c r="QEL165" s="146"/>
      <c r="QEM165" s="146"/>
      <c r="QEN165" s="146"/>
      <c r="QEO165" s="146"/>
      <c r="QEP165" s="146"/>
      <c r="QEQ165" s="146"/>
      <c r="QER165" s="146"/>
      <c r="QES165" s="146"/>
      <c r="QET165" s="146"/>
      <c r="QEU165" s="146"/>
      <c r="QEV165" s="146"/>
      <c r="QEW165" s="146"/>
      <c r="QEX165" s="146"/>
      <c r="QEY165" s="146"/>
      <c r="QEZ165" s="146"/>
      <c r="QFA165" s="146"/>
      <c r="QFB165" s="146"/>
      <c r="QFC165" s="146"/>
      <c r="QFD165" s="146"/>
      <c r="QFE165" s="146"/>
      <c r="QFF165" s="146"/>
      <c r="QFG165" s="146"/>
      <c r="QFH165" s="146"/>
      <c r="QFI165" s="146"/>
      <c r="QFJ165" s="146"/>
      <c r="QFK165" s="146"/>
      <c r="QFL165" s="146"/>
      <c r="QFM165" s="146"/>
      <c r="QFN165" s="146"/>
      <c r="QFO165" s="146"/>
      <c r="QFP165" s="146"/>
      <c r="QFQ165" s="146"/>
      <c r="QFR165" s="146"/>
      <c r="QFS165" s="146"/>
      <c r="QFT165" s="146"/>
      <c r="QFU165" s="146"/>
      <c r="QFV165" s="146"/>
      <c r="QFW165" s="146"/>
      <c r="QFX165" s="146"/>
      <c r="QFY165" s="146"/>
      <c r="QFZ165" s="146"/>
      <c r="QGA165" s="146"/>
      <c r="QGB165" s="146"/>
      <c r="QGC165" s="146"/>
      <c r="QGD165" s="146"/>
      <c r="QGE165" s="146"/>
      <c r="QGF165" s="146"/>
      <c r="QGG165" s="146"/>
      <c r="QGH165" s="146"/>
      <c r="QGI165" s="146"/>
      <c r="QGJ165" s="146"/>
      <c r="QGK165" s="146"/>
      <c r="QGL165" s="146"/>
      <c r="QGM165" s="146"/>
      <c r="QGN165" s="146"/>
      <c r="QGO165" s="146"/>
      <c r="QGP165" s="146"/>
      <c r="QGQ165" s="146"/>
      <c r="QGR165" s="146"/>
      <c r="QGS165" s="146"/>
      <c r="QGT165" s="146"/>
      <c r="QGU165" s="146"/>
      <c r="QGV165" s="146"/>
      <c r="QGW165" s="146"/>
      <c r="QGX165" s="146"/>
      <c r="QGY165" s="146"/>
      <c r="QGZ165" s="146"/>
      <c r="QHA165" s="146"/>
      <c r="QHB165" s="146"/>
      <c r="QHC165" s="146"/>
      <c r="QHD165" s="146"/>
      <c r="QHE165" s="146"/>
      <c r="QHF165" s="146"/>
      <c r="QHG165" s="146"/>
      <c r="QHH165" s="146"/>
      <c r="QHI165" s="146"/>
      <c r="QHJ165" s="146"/>
      <c r="QHK165" s="146"/>
      <c r="QHL165" s="146"/>
      <c r="QHM165" s="146"/>
      <c r="QHN165" s="146"/>
      <c r="QHO165" s="146"/>
      <c r="QHP165" s="146"/>
      <c r="QHQ165" s="146"/>
      <c r="QHR165" s="146"/>
      <c r="QHS165" s="146"/>
      <c r="QHT165" s="146"/>
      <c r="QHU165" s="146"/>
      <c r="QHV165" s="146"/>
      <c r="QHW165" s="146"/>
      <c r="QHX165" s="146"/>
      <c r="QHY165" s="146"/>
      <c r="QHZ165" s="146"/>
      <c r="QIA165" s="146"/>
      <c r="QIB165" s="146"/>
      <c r="QIC165" s="146"/>
      <c r="QID165" s="146"/>
      <c r="QIE165" s="146"/>
      <c r="QIF165" s="146"/>
      <c r="QIG165" s="146"/>
      <c r="QIH165" s="146"/>
      <c r="QII165" s="146"/>
      <c r="QIJ165" s="146"/>
      <c r="QIK165" s="146"/>
      <c r="QIL165" s="146"/>
      <c r="QIM165" s="146"/>
      <c r="QIN165" s="146"/>
      <c r="QIO165" s="146"/>
      <c r="QIP165" s="146"/>
      <c r="QIQ165" s="146"/>
      <c r="QIR165" s="146"/>
      <c r="QIS165" s="146"/>
      <c r="QIT165" s="146"/>
      <c r="QIU165" s="146"/>
      <c r="QIV165" s="146"/>
      <c r="QIW165" s="146"/>
      <c r="QIX165" s="146"/>
      <c r="QIY165" s="146"/>
      <c r="QIZ165" s="146"/>
      <c r="QJA165" s="146"/>
      <c r="QJB165" s="146"/>
      <c r="QJC165" s="146"/>
      <c r="QJD165" s="146"/>
      <c r="QJE165" s="146"/>
      <c r="QJF165" s="146"/>
      <c r="QJG165" s="146"/>
      <c r="QJH165" s="146"/>
      <c r="QJI165" s="146"/>
      <c r="QJJ165" s="146"/>
      <c r="QJK165" s="146"/>
      <c r="QJL165" s="146"/>
      <c r="QJM165" s="146"/>
      <c r="QJN165" s="146"/>
      <c r="QJO165" s="146"/>
      <c r="QJP165" s="146"/>
      <c r="QJQ165" s="146"/>
      <c r="QJR165" s="146"/>
      <c r="QJS165" s="146"/>
      <c r="QJT165" s="146"/>
      <c r="QJU165" s="146"/>
      <c r="QJV165" s="146"/>
      <c r="QJW165" s="146"/>
      <c r="QJX165" s="146"/>
      <c r="QJY165" s="146"/>
      <c r="QJZ165" s="146"/>
      <c r="QKA165" s="146"/>
      <c r="QKB165" s="146"/>
      <c r="QKC165" s="146"/>
      <c r="QKD165" s="146"/>
      <c r="QKE165" s="146"/>
      <c r="QKF165" s="146"/>
      <c r="QKG165" s="146"/>
      <c r="QKH165" s="146"/>
      <c r="QKI165" s="146"/>
      <c r="QKJ165" s="146"/>
      <c r="QKK165" s="146"/>
      <c r="QKL165" s="146"/>
      <c r="QKM165" s="146"/>
      <c r="QKN165" s="146"/>
      <c r="QKO165" s="146"/>
      <c r="QKP165" s="146"/>
      <c r="QKQ165" s="146"/>
      <c r="QKR165" s="146"/>
      <c r="QKS165" s="146"/>
      <c r="QKT165" s="146"/>
      <c r="QKU165" s="146"/>
      <c r="QKV165" s="146"/>
      <c r="QKW165" s="146"/>
      <c r="QKX165" s="146"/>
      <c r="QKY165" s="146"/>
      <c r="QKZ165" s="146"/>
      <c r="QLA165" s="146"/>
      <c r="QLB165" s="146"/>
      <c r="QLC165" s="146"/>
      <c r="QLD165" s="146"/>
      <c r="QLE165" s="146"/>
      <c r="QLF165" s="146"/>
      <c r="QLG165" s="146"/>
      <c r="QLH165" s="146"/>
      <c r="QLI165" s="146"/>
      <c r="QLJ165" s="146"/>
      <c r="QLK165" s="146"/>
      <c r="QLL165" s="146"/>
      <c r="QLM165" s="146"/>
      <c r="QLN165" s="146"/>
      <c r="QLO165" s="146"/>
      <c r="QLP165" s="146"/>
      <c r="QLQ165" s="146"/>
      <c r="QLR165" s="146"/>
      <c r="QLS165" s="146"/>
      <c r="QLT165" s="146"/>
      <c r="QLU165" s="146"/>
      <c r="QLV165" s="146"/>
      <c r="QLW165" s="146"/>
      <c r="QLX165" s="146"/>
      <c r="QLY165" s="146"/>
      <c r="QLZ165" s="146"/>
      <c r="QMA165" s="146"/>
      <c r="QMB165" s="146"/>
      <c r="QMC165" s="146"/>
      <c r="QMD165" s="146"/>
      <c r="QME165" s="146"/>
      <c r="QMF165" s="146"/>
      <c r="QMG165" s="146"/>
      <c r="QMH165" s="146"/>
      <c r="QMI165" s="146"/>
      <c r="QMJ165" s="146"/>
      <c r="QMK165" s="146"/>
      <c r="QML165" s="146"/>
      <c r="QMM165" s="146"/>
      <c r="QMN165" s="146"/>
      <c r="QMO165" s="146"/>
      <c r="QMP165" s="146"/>
      <c r="QMQ165" s="146"/>
      <c r="QMR165" s="146"/>
      <c r="QMS165" s="146"/>
      <c r="QMT165" s="146"/>
      <c r="QMU165" s="146"/>
      <c r="QMV165" s="146"/>
      <c r="QMW165" s="146"/>
      <c r="QMX165" s="146"/>
      <c r="QMY165" s="146"/>
      <c r="QMZ165" s="146"/>
      <c r="QNA165" s="146"/>
      <c r="QNB165" s="146"/>
      <c r="QNC165" s="146"/>
      <c r="QND165" s="146"/>
      <c r="QNE165" s="146"/>
      <c r="QNF165" s="146"/>
      <c r="QNG165" s="146"/>
      <c r="QNH165" s="146"/>
      <c r="QNI165" s="146"/>
      <c r="QNJ165" s="146"/>
      <c r="QNK165" s="146"/>
      <c r="QNL165" s="146"/>
      <c r="QNM165" s="146"/>
      <c r="QNN165" s="146"/>
      <c r="QNO165" s="146"/>
      <c r="QNP165" s="146"/>
      <c r="QNQ165" s="146"/>
      <c r="QNR165" s="146"/>
      <c r="QNS165" s="146"/>
      <c r="QNT165" s="146"/>
      <c r="QNU165" s="146"/>
      <c r="QNV165" s="146"/>
      <c r="QNW165" s="146"/>
      <c r="QNX165" s="146"/>
      <c r="QNY165" s="146"/>
      <c r="QNZ165" s="146"/>
      <c r="QOA165" s="146"/>
      <c r="QOB165" s="146"/>
      <c r="QOC165" s="146"/>
      <c r="QOD165" s="146"/>
      <c r="QOE165" s="146"/>
      <c r="QOF165" s="146"/>
      <c r="QOG165" s="146"/>
      <c r="QOH165" s="146"/>
      <c r="QOI165" s="146"/>
      <c r="QOJ165" s="146"/>
      <c r="QOK165" s="146"/>
      <c r="QOL165" s="146"/>
      <c r="QOM165" s="146"/>
      <c r="QON165" s="146"/>
      <c r="QOO165" s="146"/>
      <c r="QOP165" s="146"/>
      <c r="QOQ165" s="146"/>
      <c r="QOR165" s="146"/>
      <c r="QOS165" s="146"/>
      <c r="QOT165" s="146"/>
      <c r="QOU165" s="146"/>
      <c r="QOV165" s="146"/>
      <c r="QOW165" s="146"/>
      <c r="QOX165" s="146"/>
      <c r="QOY165" s="146"/>
      <c r="QOZ165" s="146"/>
      <c r="QPA165" s="146"/>
      <c r="QPB165" s="146"/>
      <c r="QPC165" s="146"/>
      <c r="QPD165" s="146"/>
      <c r="QPE165" s="146"/>
      <c r="QPF165" s="146"/>
      <c r="QPG165" s="146"/>
      <c r="QPH165" s="146"/>
      <c r="QPI165" s="146"/>
      <c r="QPJ165" s="146"/>
      <c r="QPK165" s="146"/>
      <c r="QPL165" s="146"/>
      <c r="QPM165" s="146"/>
      <c r="QPN165" s="146"/>
      <c r="QPO165" s="146"/>
      <c r="QPP165" s="146"/>
      <c r="QPQ165" s="146"/>
      <c r="QPR165" s="146"/>
      <c r="QPS165" s="146"/>
      <c r="QPT165" s="146"/>
      <c r="QPU165" s="146"/>
      <c r="QPV165" s="146"/>
      <c r="QPW165" s="146"/>
      <c r="QPX165" s="146"/>
      <c r="QPY165" s="146"/>
      <c r="QPZ165" s="146"/>
      <c r="QQA165" s="146"/>
      <c r="QQB165" s="146"/>
      <c r="QQC165" s="146"/>
      <c r="QQD165" s="146"/>
      <c r="QQE165" s="146"/>
      <c r="QQF165" s="146"/>
      <c r="QQG165" s="146"/>
      <c r="QQH165" s="146"/>
      <c r="QQI165" s="146"/>
      <c r="QQJ165" s="146"/>
      <c r="QQK165" s="146"/>
      <c r="QQL165" s="146"/>
      <c r="QQM165" s="146"/>
      <c r="QQN165" s="146"/>
      <c r="QQO165" s="146"/>
      <c r="QQP165" s="146"/>
      <c r="QQQ165" s="146"/>
      <c r="QQR165" s="146"/>
      <c r="QQS165" s="146"/>
      <c r="QQT165" s="146"/>
      <c r="QQU165" s="146"/>
      <c r="QQV165" s="146"/>
      <c r="QQW165" s="146"/>
      <c r="QQX165" s="146"/>
      <c r="QQY165" s="146"/>
      <c r="QQZ165" s="146"/>
      <c r="QRA165" s="146"/>
      <c r="QRB165" s="146"/>
      <c r="QRC165" s="146"/>
      <c r="QRD165" s="146"/>
      <c r="QRE165" s="146"/>
      <c r="QRF165" s="146"/>
      <c r="QRG165" s="146"/>
      <c r="QRH165" s="146"/>
      <c r="QRI165" s="146"/>
      <c r="QRJ165" s="146"/>
      <c r="QRK165" s="146"/>
      <c r="QRL165" s="146"/>
      <c r="QRM165" s="146"/>
      <c r="QRN165" s="146"/>
      <c r="QRO165" s="146"/>
      <c r="QRP165" s="146"/>
      <c r="QRQ165" s="146"/>
      <c r="QRR165" s="146"/>
      <c r="QRS165" s="146"/>
      <c r="QRT165" s="146"/>
      <c r="QRU165" s="146"/>
      <c r="QRV165" s="146"/>
      <c r="QRW165" s="146"/>
      <c r="QRX165" s="146"/>
      <c r="QRY165" s="146"/>
      <c r="QRZ165" s="146"/>
      <c r="QSA165" s="146"/>
      <c r="QSB165" s="146"/>
      <c r="QSC165" s="146"/>
      <c r="QSD165" s="146"/>
      <c r="QSE165" s="146"/>
      <c r="QSF165" s="146"/>
      <c r="QSG165" s="146"/>
      <c r="QSH165" s="146"/>
      <c r="QSI165" s="146"/>
      <c r="QSJ165" s="146"/>
      <c r="QSK165" s="146"/>
      <c r="QSL165" s="146"/>
      <c r="QSM165" s="146"/>
      <c r="QSN165" s="146"/>
      <c r="QSO165" s="146"/>
      <c r="QSP165" s="146"/>
      <c r="QSQ165" s="146"/>
      <c r="QSR165" s="146"/>
      <c r="QSS165" s="146"/>
      <c r="QST165" s="146"/>
      <c r="QSU165" s="146"/>
      <c r="QSV165" s="146"/>
      <c r="QSW165" s="146"/>
      <c r="QSX165" s="146"/>
      <c r="QSY165" s="146"/>
      <c r="QSZ165" s="146"/>
      <c r="QTA165" s="146"/>
      <c r="QTB165" s="146"/>
      <c r="QTC165" s="146"/>
      <c r="QTD165" s="146"/>
      <c r="QTE165" s="146"/>
      <c r="QTF165" s="146"/>
      <c r="QTG165" s="146"/>
      <c r="QTH165" s="146"/>
      <c r="QTI165" s="146"/>
      <c r="QTJ165" s="146"/>
      <c r="QTK165" s="146"/>
      <c r="QTL165" s="146"/>
      <c r="QTM165" s="146"/>
      <c r="QTN165" s="146"/>
      <c r="QTO165" s="146"/>
      <c r="QTP165" s="146"/>
      <c r="QTQ165" s="146"/>
      <c r="QTR165" s="146"/>
      <c r="QTS165" s="146"/>
      <c r="QTT165" s="146"/>
      <c r="QTU165" s="146"/>
      <c r="QTV165" s="146"/>
      <c r="QTW165" s="146"/>
      <c r="QTX165" s="146"/>
      <c r="QTY165" s="146"/>
      <c r="QTZ165" s="146"/>
      <c r="QUA165" s="146"/>
      <c r="QUB165" s="146"/>
      <c r="QUC165" s="146"/>
      <c r="QUD165" s="146"/>
      <c r="QUE165" s="146"/>
      <c r="QUF165" s="146"/>
      <c r="QUG165" s="146"/>
      <c r="QUH165" s="146"/>
      <c r="QUI165" s="146"/>
      <c r="QUJ165" s="146"/>
      <c r="QUK165" s="146"/>
      <c r="QUL165" s="146"/>
      <c r="QUM165" s="146"/>
      <c r="QUN165" s="146"/>
      <c r="QUO165" s="146"/>
      <c r="QUP165" s="146"/>
      <c r="QUQ165" s="146"/>
      <c r="QUR165" s="146"/>
      <c r="QUS165" s="146"/>
      <c r="QUT165" s="146"/>
      <c r="QUU165" s="146"/>
      <c r="QUV165" s="146"/>
      <c r="QUW165" s="146"/>
      <c r="QUX165" s="146"/>
      <c r="QUY165" s="146"/>
      <c r="QUZ165" s="146"/>
      <c r="QVA165" s="146"/>
      <c r="QVB165" s="146"/>
      <c r="QVC165" s="146"/>
      <c r="QVD165" s="146"/>
      <c r="QVE165" s="146"/>
      <c r="QVF165" s="146"/>
      <c r="QVG165" s="146"/>
      <c r="QVH165" s="146"/>
      <c r="QVI165" s="146"/>
      <c r="QVJ165" s="146"/>
      <c r="QVK165" s="146"/>
      <c r="QVL165" s="146"/>
      <c r="QVM165" s="146"/>
      <c r="QVN165" s="146"/>
      <c r="QVO165" s="146"/>
      <c r="QVP165" s="146"/>
      <c r="QVQ165" s="146"/>
      <c r="QVR165" s="146"/>
      <c r="QVS165" s="146"/>
      <c r="QVT165" s="146"/>
      <c r="QVU165" s="146"/>
      <c r="QVV165" s="146"/>
      <c r="QVW165" s="146"/>
      <c r="QVX165" s="146"/>
      <c r="QVY165" s="146"/>
      <c r="QVZ165" s="146"/>
      <c r="QWA165" s="146"/>
      <c r="QWB165" s="146"/>
      <c r="QWC165" s="146"/>
      <c r="QWD165" s="146"/>
      <c r="QWE165" s="146"/>
      <c r="QWF165" s="146"/>
      <c r="QWG165" s="146"/>
      <c r="QWH165" s="146"/>
      <c r="QWI165" s="146"/>
      <c r="QWJ165" s="146"/>
      <c r="QWK165" s="146"/>
      <c r="QWL165" s="146"/>
      <c r="QWM165" s="146"/>
      <c r="QWN165" s="146"/>
      <c r="QWO165" s="146"/>
      <c r="QWP165" s="146"/>
      <c r="QWQ165" s="146"/>
      <c r="QWR165" s="146"/>
      <c r="QWS165" s="146"/>
      <c r="QWT165" s="146"/>
      <c r="QWU165" s="146"/>
      <c r="QWV165" s="146"/>
      <c r="QWW165" s="146"/>
      <c r="QWX165" s="146"/>
      <c r="QWY165" s="146"/>
      <c r="QWZ165" s="146"/>
      <c r="QXA165" s="146"/>
      <c r="QXB165" s="146"/>
      <c r="QXC165" s="146"/>
      <c r="QXD165" s="146"/>
      <c r="QXE165" s="146"/>
      <c r="QXF165" s="146"/>
      <c r="QXG165" s="146"/>
      <c r="QXH165" s="146"/>
      <c r="QXI165" s="146"/>
      <c r="QXJ165" s="146"/>
      <c r="QXK165" s="146"/>
      <c r="QXL165" s="146"/>
      <c r="QXM165" s="146"/>
      <c r="QXN165" s="146"/>
      <c r="QXO165" s="146"/>
      <c r="QXP165" s="146"/>
      <c r="QXQ165" s="146"/>
      <c r="QXR165" s="146"/>
      <c r="QXS165" s="146"/>
      <c r="QXT165" s="146"/>
      <c r="QXU165" s="146"/>
      <c r="QXV165" s="146"/>
      <c r="QXW165" s="146"/>
      <c r="QXX165" s="146"/>
      <c r="QXY165" s="146"/>
      <c r="QXZ165" s="146"/>
      <c r="QYA165" s="146"/>
      <c r="QYB165" s="146"/>
      <c r="QYC165" s="146"/>
      <c r="QYD165" s="146"/>
      <c r="QYE165" s="146"/>
      <c r="QYF165" s="146"/>
      <c r="QYG165" s="146"/>
      <c r="QYH165" s="146"/>
      <c r="QYI165" s="146"/>
      <c r="QYJ165" s="146"/>
      <c r="QYK165" s="146"/>
      <c r="QYL165" s="146"/>
      <c r="QYM165" s="146"/>
      <c r="QYN165" s="146"/>
      <c r="QYO165" s="146"/>
      <c r="QYP165" s="146"/>
      <c r="QYQ165" s="146"/>
      <c r="QYR165" s="146"/>
      <c r="QYS165" s="146"/>
      <c r="QYT165" s="146"/>
      <c r="QYU165" s="146"/>
      <c r="QYV165" s="146"/>
      <c r="QYW165" s="146"/>
      <c r="QYX165" s="146"/>
      <c r="QYY165" s="146"/>
      <c r="QYZ165" s="146"/>
      <c r="QZA165" s="146"/>
      <c r="QZB165" s="146"/>
      <c r="QZC165" s="146"/>
      <c r="QZD165" s="146"/>
      <c r="QZE165" s="146"/>
      <c r="QZF165" s="146"/>
      <c r="QZG165" s="146"/>
      <c r="QZH165" s="146"/>
      <c r="QZI165" s="146"/>
      <c r="QZJ165" s="146"/>
      <c r="QZK165" s="146"/>
      <c r="QZL165" s="146"/>
      <c r="QZM165" s="146"/>
      <c r="QZN165" s="146"/>
      <c r="QZO165" s="146"/>
      <c r="QZP165" s="146"/>
      <c r="QZQ165" s="146"/>
      <c r="QZR165" s="146"/>
      <c r="QZS165" s="146"/>
      <c r="QZT165" s="146"/>
      <c r="QZU165" s="146"/>
      <c r="QZV165" s="146"/>
      <c r="QZW165" s="146"/>
      <c r="QZX165" s="146"/>
      <c r="QZY165" s="146"/>
      <c r="QZZ165" s="146"/>
      <c r="RAA165" s="146"/>
      <c r="RAB165" s="146"/>
      <c r="RAC165" s="146"/>
      <c r="RAD165" s="146"/>
      <c r="RAE165" s="146"/>
      <c r="RAF165" s="146"/>
      <c r="RAG165" s="146"/>
      <c r="RAH165" s="146"/>
      <c r="RAI165" s="146"/>
      <c r="RAJ165" s="146"/>
      <c r="RAK165" s="146"/>
      <c r="RAL165" s="146"/>
      <c r="RAM165" s="146"/>
      <c r="RAN165" s="146"/>
      <c r="RAO165" s="146"/>
      <c r="RAP165" s="146"/>
      <c r="RAQ165" s="146"/>
      <c r="RAR165" s="146"/>
      <c r="RAS165" s="146"/>
      <c r="RAT165" s="146"/>
      <c r="RAU165" s="146"/>
      <c r="RAV165" s="146"/>
      <c r="RAW165" s="146"/>
      <c r="RAX165" s="146"/>
      <c r="RAY165" s="146"/>
      <c r="RAZ165" s="146"/>
      <c r="RBA165" s="146"/>
      <c r="RBB165" s="146"/>
      <c r="RBC165" s="146"/>
      <c r="RBD165" s="146"/>
      <c r="RBE165" s="146"/>
      <c r="RBF165" s="146"/>
      <c r="RBG165" s="146"/>
      <c r="RBH165" s="146"/>
      <c r="RBI165" s="146"/>
      <c r="RBJ165" s="146"/>
      <c r="RBK165" s="146"/>
      <c r="RBL165" s="146"/>
      <c r="RBM165" s="146"/>
      <c r="RBN165" s="146"/>
      <c r="RBO165" s="146"/>
      <c r="RBP165" s="146"/>
      <c r="RBQ165" s="146"/>
      <c r="RBR165" s="146"/>
      <c r="RBS165" s="146"/>
      <c r="RBT165" s="146"/>
      <c r="RBU165" s="146"/>
      <c r="RBV165" s="146"/>
      <c r="RBW165" s="146"/>
      <c r="RBX165" s="146"/>
      <c r="RBY165" s="146"/>
      <c r="RBZ165" s="146"/>
      <c r="RCA165" s="146"/>
      <c r="RCB165" s="146"/>
      <c r="RCC165" s="146"/>
      <c r="RCD165" s="146"/>
      <c r="RCE165" s="146"/>
      <c r="RCF165" s="146"/>
      <c r="RCG165" s="146"/>
      <c r="RCH165" s="146"/>
      <c r="RCI165" s="146"/>
      <c r="RCJ165" s="146"/>
      <c r="RCK165" s="146"/>
      <c r="RCL165" s="146"/>
      <c r="RCM165" s="146"/>
      <c r="RCN165" s="146"/>
      <c r="RCO165" s="146"/>
      <c r="RCP165" s="146"/>
      <c r="RCQ165" s="146"/>
      <c r="RCR165" s="146"/>
      <c r="RCS165" s="146"/>
      <c r="RCT165" s="146"/>
      <c r="RCU165" s="146"/>
      <c r="RCV165" s="146"/>
      <c r="RCW165" s="146"/>
      <c r="RCX165" s="146"/>
      <c r="RCY165" s="146"/>
      <c r="RCZ165" s="146"/>
      <c r="RDA165" s="146"/>
      <c r="RDB165" s="146"/>
      <c r="RDC165" s="146"/>
      <c r="RDD165" s="146"/>
      <c r="RDE165" s="146"/>
      <c r="RDF165" s="146"/>
      <c r="RDG165" s="146"/>
      <c r="RDH165" s="146"/>
      <c r="RDI165" s="146"/>
      <c r="RDJ165" s="146"/>
      <c r="RDK165" s="146"/>
      <c r="RDL165" s="146"/>
      <c r="RDM165" s="146"/>
      <c r="RDN165" s="146"/>
      <c r="RDO165" s="146"/>
      <c r="RDP165" s="146"/>
      <c r="RDQ165" s="146"/>
      <c r="RDR165" s="146"/>
      <c r="RDS165" s="146"/>
      <c r="RDT165" s="146"/>
      <c r="RDU165" s="146"/>
      <c r="RDV165" s="146"/>
      <c r="RDW165" s="146"/>
      <c r="RDX165" s="146"/>
      <c r="RDY165" s="146"/>
      <c r="RDZ165" s="146"/>
      <c r="REA165" s="146"/>
      <c r="REB165" s="146"/>
      <c r="REC165" s="146"/>
      <c r="RED165" s="146"/>
      <c r="REE165" s="146"/>
      <c r="REF165" s="146"/>
      <c r="REG165" s="146"/>
      <c r="REH165" s="146"/>
      <c r="REI165" s="146"/>
      <c r="REJ165" s="146"/>
      <c r="REK165" s="146"/>
      <c r="REL165" s="146"/>
      <c r="REM165" s="146"/>
      <c r="REN165" s="146"/>
      <c r="REO165" s="146"/>
      <c r="REP165" s="146"/>
      <c r="REQ165" s="146"/>
      <c r="RER165" s="146"/>
      <c r="RES165" s="146"/>
      <c r="RET165" s="146"/>
      <c r="REU165" s="146"/>
      <c r="REV165" s="146"/>
      <c r="REW165" s="146"/>
      <c r="REX165" s="146"/>
      <c r="REY165" s="146"/>
      <c r="REZ165" s="146"/>
      <c r="RFA165" s="146"/>
      <c r="RFB165" s="146"/>
      <c r="RFC165" s="146"/>
      <c r="RFD165" s="146"/>
      <c r="RFE165" s="146"/>
      <c r="RFF165" s="146"/>
      <c r="RFG165" s="146"/>
      <c r="RFH165" s="146"/>
      <c r="RFI165" s="146"/>
      <c r="RFJ165" s="146"/>
      <c r="RFK165" s="146"/>
      <c r="RFL165" s="146"/>
      <c r="RFM165" s="146"/>
      <c r="RFN165" s="146"/>
      <c r="RFO165" s="146"/>
      <c r="RFP165" s="146"/>
      <c r="RFQ165" s="146"/>
      <c r="RFR165" s="146"/>
      <c r="RFS165" s="146"/>
      <c r="RFT165" s="146"/>
      <c r="RFU165" s="146"/>
      <c r="RFV165" s="146"/>
      <c r="RFW165" s="146"/>
      <c r="RFX165" s="146"/>
      <c r="RFY165" s="146"/>
      <c r="RFZ165" s="146"/>
      <c r="RGA165" s="146"/>
      <c r="RGB165" s="146"/>
      <c r="RGC165" s="146"/>
      <c r="RGD165" s="146"/>
      <c r="RGE165" s="146"/>
      <c r="RGF165" s="146"/>
      <c r="RGG165" s="146"/>
      <c r="RGH165" s="146"/>
      <c r="RGI165" s="146"/>
      <c r="RGJ165" s="146"/>
      <c r="RGK165" s="146"/>
      <c r="RGL165" s="146"/>
      <c r="RGM165" s="146"/>
      <c r="RGN165" s="146"/>
      <c r="RGO165" s="146"/>
      <c r="RGP165" s="146"/>
      <c r="RGQ165" s="146"/>
      <c r="RGR165" s="146"/>
      <c r="RGS165" s="146"/>
      <c r="RGT165" s="146"/>
      <c r="RGU165" s="146"/>
      <c r="RGV165" s="146"/>
      <c r="RGW165" s="146"/>
      <c r="RGX165" s="146"/>
      <c r="RGY165" s="146"/>
      <c r="RGZ165" s="146"/>
      <c r="RHA165" s="146"/>
      <c r="RHB165" s="146"/>
      <c r="RHC165" s="146"/>
      <c r="RHD165" s="146"/>
      <c r="RHE165" s="146"/>
      <c r="RHF165" s="146"/>
      <c r="RHG165" s="146"/>
      <c r="RHH165" s="146"/>
      <c r="RHI165" s="146"/>
      <c r="RHJ165" s="146"/>
      <c r="RHK165" s="146"/>
      <c r="RHL165" s="146"/>
      <c r="RHM165" s="146"/>
      <c r="RHN165" s="146"/>
      <c r="RHO165" s="146"/>
      <c r="RHP165" s="146"/>
      <c r="RHQ165" s="146"/>
      <c r="RHR165" s="146"/>
      <c r="RHS165" s="146"/>
      <c r="RHT165" s="146"/>
      <c r="RHU165" s="146"/>
      <c r="RHV165" s="146"/>
      <c r="RHW165" s="146"/>
      <c r="RHX165" s="146"/>
      <c r="RHY165" s="146"/>
      <c r="RHZ165" s="146"/>
      <c r="RIA165" s="146"/>
      <c r="RIB165" s="146"/>
      <c r="RIC165" s="146"/>
      <c r="RID165" s="146"/>
      <c r="RIE165" s="146"/>
      <c r="RIF165" s="146"/>
      <c r="RIG165" s="146"/>
      <c r="RIH165" s="146"/>
      <c r="RII165" s="146"/>
      <c r="RIJ165" s="146"/>
      <c r="RIK165" s="146"/>
      <c r="RIL165" s="146"/>
      <c r="RIM165" s="146"/>
      <c r="RIN165" s="146"/>
      <c r="RIO165" s="146"/>
      <c r="RIP165" s="146"/>
      <c r="RIQ165" s="146"/>
      <c r="RIR165" s="146"/>
      <c r="RIS165" s="146"/>
      <c r="RIT165" s="146"/>
      <c r="RIU165" s="146"/>
      <c r="RIV165" s="146"/>
      <c r="RIW165" s="146"/>
      <c r="RIX165" s="146"/>
      <c r="RIY165" s="146"/>
      <c r="RIZ165" s="146"/>
      <c r="RJA165" s="146"/>
      <c r="RJB165" s="146"/>
      <c r="RJC165" s="146"/>
      <c r="RJD165" s="146"/>
      <c r="RJE165" s="146"/>
      <c r="RJF165" s="146"/>
      <c r="RJG165" s="146"/>
      <c r="RJH165" s="146"/>
      <c r="RJI165" s="146"/>
      <c r="RJJ165" s="146"/>
      <c r="RJK165" s="146"/>
      <c r="RJL165" s="146"/>
      <c r="RJM165" s="146"/>
      <c r="RJN165" s="146"/>
      <c r="RJO165" s="146"/>
      <c r="RJP165" s="146"/>
      <c r="RJQ165" s="146"/>
      <c r="RJR165" s="146"/>
      <c r="RJS165" s="146"/>
      <c r="RJT165" s="146"/>
      <c r="RJU165" s="146"/>
      <c r="RJV165" s="146"/>
      <c r="RJW165" s="146"/>
      <c r="RJX165" s="146"/>
      <c r="RJY165" s="146"/>
      <c r="RJZ165" s="146"/>
      <c r="RKA165" s="146"/>
      <c r="RKB165" s="146"/>
      <c r="RKC165" s="146"/>
      <c r="RKD165" s="146"/>
      <c r="RKE165" s="146"/>
      <c r="RKF165" s="146"/>
      <c r="RKG165" s="146"/>
      <c r="RKH165" s="146"/>
      <c r="RKI165" s="146"/>
      <c r="RKJ165" s="146"/>
      <c r="RKK165" s="146"/>
      <c r="RKL165" s="146"/>
      <c r="RKM165" s="146"/>
      <c r="RKN165" s="146"/>
      <c r="RKO165" s="146"/>
      <c r="RKP165" s="146"/>
      <c r="RKQ165" s="146"/>
      <c r="RKR165" s="146"/>
      <c r="RKS165" s="146"/>
      <c r="RKT165" s="146"/>
      <c r="RKU165" s="146"/>
      <c r="RKV165" s="146"/>
      <c r="RKW165" s="146"/>
      <c r="RKX165" s="146"/>
      <c r="RKY165" s="146"/>
      <c r="RKZ165" s="146"/>
      <c r="RLA165" s="146"/>
      <c r="RLB165" s="146"/>
      <c r="RLC165" s="146"/>
      <c r="RLD165" s="146"/>
      <c r="RLE165" s="146"/>
      <c r="RLF165" s="146"/>
      <c r="RLG165" s="146"/>
      <c r="RLH165" s="146"/>
      <c r="RLI165" s="146"/>
      <c r="RLJ165" s="146"/>
      <c r="RLK165" s="146"/>
      <c r="RLL165" s="146"/>
      <c r="RLM165" s="146"/>
      <c r="RLN165" s="146"/>
      <c r="RLO165" s="146"/>
      <c r="RLP165" s="146"/>
      <c r="RLQ165" s="146"/>
      <c r="RLR165" s="146"/>
      <c r="RLS165" s="146"/>
      <c r="RLT165" s="146"/>
      <c r="RLU165" s="146"/>
      <c r="RLV165" s="146"/>
      <c r="RLW165" s="146"/>
      <c r="RLX165" s="146"/>
      <c r="RLY165" s="146"/>
      <c r="RLZ165" s="146"/>
      <c r="RMA165" s="146"/>
      <c r="RMB165" s="146"/>
      <c r="RMC165" s="146"/>
      <c r="RMD165" s="146"/>
      <c r="RME165" s="146"/>
      <c r="RMF165" s="146"/>
      <c r="RMG165" s="146"/>
      <c r="RMH165" s="146"/>
      <c r="RMI165" s="146"/>
      <c r="RMJ165" s="146"/>
      <c r="RMK165" s="146"/>
      <c r="RML165" s="146"/>
      <c r="RMM165" s="146"/>
      <c r="RMN165" s="146"/>
      <c r="RMO165" s="146"/>
      <c r="RMP165" s="146"/>
      <c r="RMQ165" s="146"/>
      <c r="RMR165" s="146"/>
      <c r="RMS165" s="146"/>
      <c r="RMT165" s="146"/>
      <c r="RMU165" s="146"/>
      <c r="RMV165" s="146"/>
      <c r="RMW165" s="146"/>
      <c r="RMX165" s="146"/>
      <c r="RMY165" s="146"/>
      <c r="RMZ165" s="146"/>
      <c r="RNA165" s="146"/>
      <c r="RNB165" s="146"/>
      <c r="RNC165" s="146"/>
      <c r="RND165" s="146"/>
      <c r="RNE165" s="146"/>
      <c r="RNF165" s="146"/>
      <c r="RNG165" s="146"/>
      <c r="RNH165" s="146"/>
      <c r="RNI165" s="146"/>
      <c r="RNJ165" s="146"/>
      <c r="RNK165" s="146"/>
      <c r="RNL165" s="146"/>
      <c r="RNM165" s="146"/>
      <c r="RNN165" s="146"/>
      <c r="RNO165" s="146"/>
      <c r="RNP165" s="146"/>
      <c r="RNQ165" s="146"/>
      <c r="RNR165" s="146"/>
      <c r="RNS165" s="146"/>
      <c r="RNT165" s="146"/>
      <c r="RNU165" s="146"/>
      <c r="RNV165" s="146"/>
      <c r="RNW165" s="146"/>
      <c r="RNX165" s="146"/>
      <c r="RNY165" s="146"/>
      <c r="RNZ165" s="146"/>
      <c r="ROA165" s="146"/>
      <c r="ROB165" s="146"/>
      <c r="ROC165" s="146"/>
      <c r="ROD165" s="146"/>
      <c r="ROE165" s="146"/>
      <c r="ROF165" s="146"/>
      <c r="ROG165" s="146"/>
      <c r="ROH165" s="146"/>
      <c r="ROI165" s="146"/>
      <c r="ROJ165" s="146"/>
      <c r="ROK165" s="146"/>
      <c r="ROL165" s="146"/>
      <c r="ROM165" s="146"/>
      <c r="RON165" s="146"/>
      <c r="ROO165" s="146"/>
      <c r="ROP165" s="146"/>
      <c r="ROQ165" s="146"/>
      <c r="ROR165" s="146"/>
      <c r="ROS165" s="146"/>
      <c r="ROT165" s="146"/>
      <c r="ROU165" s="146"/>
      <c r="ROV165" s="146"/>
      <c r="ROW165" s="146"/>
      <c r="ROX165" s="146"/>
      <c r="ROY165" s="146"/>
      <c r="ROZ165" s="146"/>
      <c r="RPA165" s="146"/>
      <c r="RPB165" s="146"/>
      <c r="RPC165" s="146"/>
      <c r="RPD165" s="146"/>
      <c r="RPE165" s="146"/>
      <c r="RPF165" s="146"/>
      <c r="RPG165" s="146"/>
      <c r="RPH165" s="146"/>
      <c r="RPI165" s="146"/>
      <c r="RPJ165" s="146"/>
      <c r="RPK165" s="146"/>
      <c r="RPL165" s="146"/>
      <c r="RPM165" s="146"/>
      <c r="RPN165" s="146"/>
      <c r="RPO165" s="146"/>
      <c r="RPP165" s="146"/>
      <c r="RPQ165" s="146"/>
      <c r="RPR165" s="146"/>
      <c r="RPS165" s="146"/>
      <c r="RPT165" s="146"/>
      <c r="RPU165" s="146"/>
      <c r="RPV165" s="146"/>
      <c r="RPW165" s="146"/>
      <c r="RPX165" s="146"/>
      <c r="RPY165" s="146"/>
      <c r="RPZ165" s="146"/>
      <c r="RQA165" s="146"/>
      <c r="RQB165" s="146"/>
      <c r="RQC165" s="146"/>
      <c r="RQD165" s="146"/>
      <c r="RQE165" s="146"/>
      <c r="RQF165" s="146"/>
      <c r="RQG165" s="146"/>
      <c r="RQH165" s="146"/>
      <c r="RQI165" s="146"/>
      <c r="RQJ165" s="146"/>
      <c r="RQK165" s="146"/>
      <c r="RQL165" s="146"/>
      <c r="RQM165" s="146"/>
      <c r="RQN165" s="146"/>
      <c r="RQO165" s="146"/>
      <c r="RQP165" s="146"/>
      <c r="RQQ165" s="146"/>
      <c r="RQR165" s="146"/>
      <c r="RQS165" s="146"/>
      <c r="RQT165" s="146"/>
      <c r="RQU165" s="146"/>
      <c r="RQV165" s="146"/>
      <c r="RQW165" s="146"/>
      <c r="RQX165" s="146"/>
      <c r="RQY165" s="146"/>
      <c r="RQZ165" s="146"/>
      <c r="RRA165" s="146"/>
      <c r="RRB165" s="146"/>
      <c r="RRC165" s="146"/>
      <c r="RRD165" s="146"/>
      <c r="RRE165" s="146"/>
      <c r="RRF165" s="146"/>
      <c r="RRG165" s="146"/>
      <c r="RRH165" s="146"/>
      <c r="RRI165" s="146"/>
      <c r="RRJ165" s="146"/>
      <c r="RRK165" s="146"/>
      <c r="RRL165" s="146"/>
      <c r="RRM165" s="146"/>
      <c r="RRN165" s="146"/>
      <c r="RRO165" s="146"/>
      <c r="RRP165" s="146"/>
      <c r="RRQ165" s="146"/>
      <c r="RRR165" s="146"/>
      <c r="RRS165" s="146"/>
      <c r="RRT165" s="146"/>
      <c r="RRU165" s="146"/>
      <c r="RRV165" s="146"/>
      <c r="RRW165" s="146"/>
      <c r="RRX165" s="146"/>
      <c r="RRY165" s="146"/>
      <c r="RRZ165" s="146"/>
      <c r="RSA165" s="146"/>
      <c r="RSB165" s="146"/>
      <c r="RSC165" s="146"/>
      <c r="RSD165" s="146"/>
      <c r="RSE165" s="146"/>
      <c r="RSF165" s="146"/>
      <c r="RSG165" s="146"/>
      <c r="RSH165" s="146"/>
      <c r="RSI165" s="146"/>
      <c r="RSJ165" s="146"/>
      <c r="RSK165" s="146"/>
      <c r="RSL165" s="146"/>
      <c r="RSM165" s="146"/>
      <c r="RSN165" s="146"/>
      <c r="RSO165" s="146"/>
      <c r="RSP165" s="146"/>
      <c r="RSQ165" s="146"/>
      <c r="RSR165" s="146"/>
      <c r="RSS165" s="146"/>
      <c r="RST165" s="146"/>
      <c r="RSU165" s="146"/>
      <c r="RSV165" s="146"/>
      <c r="RSW165" s="146"/>
      <c r="RSX165" s="146"/>
      <c r="RSY165" s="146"/>
      <c r="RSZ165" s="146"/>
      <c r="RTA165" s="146"/>
      <c r="RTB165" s="146"/>
      <c r="RTC165" s="146"/>
      <c r="RTD165" s="146"/>
      <c r="RTE165" s="146"/>
      <c r="RTF165" s="146"/>
      <c r="RTG165" s="146"/>
      <c r="RTH165" s="146"/>
      <c r="RTI165" s="146"/>
      <c r="RTJ165" s="146"/>
      <c r="RTK165" s="146"/>
      <c r="RTL165" s="146"/>
      <c r="RTM165" s="146"/>
      <c r="RTN165" s="146"/>
      <c r="RTO165" s="146"/>
      <c r="RTP165" s="146"/>
      <c r="RTQ165" s="146"/>
      <c r="RTR165" s="146"/>
      <c r="RTS165" s="146"/>
      <c r="RTT165" s="146"/>
      <c r="RTU165" s="146"/>
      <c r="RTV165" s="146"/>
      <c r="RTW165" s="146"/>
      <c r="RTX165" s="146"/>
      <c r="RTY165" s="146"/>
      <c r="RTZ165" s="146"/>
      <c r="RUA165" s="146"/>
      <c r="RUB165" s="146"/>
      <c r="RUC165" s="146"/>
      <c r="RUD165" s="146"/>
      <c r="RUE165" s="146"/>
      <c r="RUF165" s="146"/>
      <c r="RUG165" s="146"/>
      <c r="RUH165" s="146"/>
      <c r="RUI165" s="146"/>
      <c r="RUJ165" s="146"/>
      <c r="RUK165" s="146"/>
      <c r="RUL165" s="146"/>
      <c r="RUM165" s="146"/>
      <c r="RUN165" s="146"/>
      <c r="RUO165" s="146"/>
      <c r="RUP165" s="146"/>
      <c r="RUQ165" s="146"/>
      <c r="RUR165" s="146"/>
      <c r="RUS165" s="146"/>
      <c r="RUT165" s="146"/>
      <c r="RUU165" s="146"/>
      <c r="RUV165" s="146"/>
      <c r="RUW165" s="146"/>
      <c r="RUX165" s="146"/>
      <c r="RUY165" s="146"/>
      <c r="RUZ165" s="146"/>
      <c r="RVA165" s="146"/>
      <c r="RVB165" s="146"/>
      <c r="RVC165" s="146"/>
      <c r="RVD165" s="146"/>
      <c r="RVE165" s="146"/>
      <c r="RVF165" s="146"/>
      <c r="RVG165" s="146"/>
      <c r="RVH165" s="146"/>
      <c r="RVI165" s="146"/>
      <c r="RVJ165" s="146"/>
      <c r="RVK165" s="146"/>
      <c r="RVL165" s="146"/>
      <c r="RVM165" s="146"/>
      <c r="RVN165" s="146"/>
      <c r="RVO165" s="146"/>
      <c r="RVP165" s="146"/>
      <c r="RVQ165" s="146"/>
      <c r="RVR165" s="146"/>
      <c r="RVS165" s="146"/>
      <c r="RVT165" s="146"/>
      <c r="RVU165" s="146"/>
      <c r="RVV165" s="146"/>
      <c r="RVW165" s="146"/>
      <c r="RVX165" s="146"/>
      <c r="RVY165" s="146"/>
      <c r="RVZ165" s="146"/>
      <c r="RWA165" s="146"/>
      <c r="RWB165" s="146"/>
      <c r="RWC165" s="146"/>
      <c r="RWD165" s="146"/>
      <c r="RWE165" s="146"/>
      <c r="RWF165" s="146"/>
      <c r="RWG165" s="146"/>
      <c r="RWH165" s="146"/>
      <c r="RWI165" s="146"/>
      <c r="RWJ165" s="146"/>
      <c r="RWK165" s="146"/>
      <c r="RWL165" s="146"/>
      <c r="RWM165" s="146"/>
      <c r="RWN165" s="146"/>
      <c r="RWO165" s="146"/>
      <c r="RWP165" s="146"/>
      <c r="RWQ165" s="146"/>
      <c r="RWR165" s="146"/>
      <c r="RWS165" s="146"/>
      <c r="RWT165" s="146"/>
      <c r="RWU165" s="146"/>
      <c r="RWV165" s="146"/>
      <c r="RWW165" s="146"/>
      <c r="RWX165" s="146"/>
      <c r="RWY165" s="146"/>
      <c r="RWZ165" s="146"/>
      <c r="RXA165" s="146"/>
      <c r="RXB165" s="146"/>
      <c r="RXC165" s="146"/>
      <c r="RXD165" s="146"/>
      <c r="RXE165" s="146"/>
      <c r="RXF165" s="146"/>
      <c r="RXG165" s="146"/>
      <c r="RXH165" s="146"/>
      <c r="RXI165" s="146"/>
      <c r="RXJ165" s="146"/>
      <c r="RXK165" s="146"/>
      <c r="RXL165" s="146"/>
      <c r="RXM165" s="146"/>
      <c r="RXN165" s="146"/>
      <c r="RXO165" s="146"/>
      <c r="RXP165" s="146"/>
      <c r="RXQ165" s="146"/>
      <c r="RXR165" s="146"/>
      <c r="RXS165" s="146"/>
      <c r="RXT165" s="146"/>
      <c r="RXU165" s="146"/>
      <c r="RXV165" s="146"/>
      <c r="RXW165" s="146"/>
      <c r="RXX165" s="146"/>
      <c r="RXY165" s="146"/>
      <c r="RXZ165" s="146"/>
      <c r="RYA165" s="146"/>
      <c r="RYB165" s="146"/>
      <c r="RYC165" s="146"/>
      <c r="RYD165" s="146"/>
      <c r="RYE165" s="146"/>
      <c r="RYF165" s="146"/>
      <c r="RYG165" s="146"/>
      <c r="RYH165" s="146"/>
      <c r="RYI165" s="146"/>
      <c r="RYJ165" s="146"/>
      <c r="RYK165" s="146"/>
      <c r="RYL165" s="146"/>
      <c r="RYM165" s="146"/>
      <c r="RYN165" s="146"/>
      <c r="RYO165" s="146"/>
      <c r="RYP165" s="146"/>
      <c r="RYQ165" s="146"/>
      <c r="RYR165" s="146"/>
      <c r="RYS165" s="146"/>
      <c r="RYT165" s="146"/>
      <c r="RYU165" s="146"/>
      <c r="RYV165" s="146"/>
      <c r="RYW165" s="146"/>
      <c r="RYX165" s="146"/>
      <c r="RYY165" s="146"/>
      <c r="RYZ165" s="146"/>
      <c r="RZA165" s="146"/>
      <c r="RZB165" s="146"/>
      <c r="RZC165" s="146"/>
      <c r="RZD165" s="146"/>
      <c r="RZE165" s="146"/>
      <c r="RZF165" s="146"/>
      <c r="RZG165" s="146"/>
      <c r="RZH165" s="146"/>
      <c r="RZI165" s="146"/>
      <c r="RZJ165" s="146"/>
      <c r="RZK165" s="146"/>
      <c r="RZL165" s="146"/>
      <c r="RZM165" s="146"/>
      <c r="RZN165" s="146"/>
      <c r="RZO165" s="146"/>
      <c r="RZP165" s="146"/>
      <c r="RZQ165" s="146"/>
      <c r="RZR165" s="146"/>
      <c r="RZS165" s="146"/>
      <c r="RZT165" s="146"/>
      <c r="RZU165" s="146"/>
      <c r="RZV165" s="146"/>
      <c r="RZW165" s="146"/>
      <c r="RZX165" s="146"/>
      <c r="RZY165" s="146"/>
      <c r="RZZ165" s="146"/>
      <c r="SAA165" s="146"/>
      <c r="SAB165" s="146"/>
      <c r="SAC165" s="146"/>
      <c r="SAD165" s="146"/>
      <c r="SAE165" s="146"/>
      <c r="SAF165" s="146"/>
      <c r="SAG165" s="146"/>
      <c r="SAH165" s="146"/>
      <c r="SAI165" s="146"/>
      <c r="SAJ165" s="146"/>
      <c r="SAK165" s="146"/>
      <c r="SAL165" s="146"/>
      <c r="SAM165" s="146"/>
      <c r="SAN165" s="146"/>
      <c r="SAO165" s="146"/>
      <c r="SAP165" s="146"/>
      <c r="SAQ165" s="146"/>
      <c r="SAR165" s="146"/>
      <c r="SAS165" s="146"/>
      <c r="SAT165" s="146"/>
      <c r="SAU165" s="146"/>
      <c r="SAV165" s="146"/>
      <c r="SAW165" s="146"/>
      <c r="SAX165" s="146"/>
      <c r="SAY165" s="146"/>
      <c r="SAZ165" s="146"/>
      <c r="SBA165" s="146"/>
      <c r="SBB165" s="146"/>
      <c r="SBC165" s="146"/>
      <c r="SBD165" s="146"/>
      <c r="SBE165" s="146"/>
      <c r="SBF165" s="146"/>
      <c r="SBG165" s="146"/>
      <c r="SBH165" s="146"/>
      <c r="SBI165" s="146"/>
      <c r="SBJ165" s="146"/>
      <c r="SBK165" s="146"/>
      <c r="SBL165" s="146"/>
      <c r="SBM165" s="146"/>
      <c r="SBN165" s="146"/>
      <c r="SBO165" s="146"/>
      <c r="SBP165" s="146"/>
      <c r="SBQ165" s="146"/>
      <c r="SBR165" s="146"/>
      <c r="SBS165" s="146"/>
      <c r="SBT165" s="146"/>
      <c r="SBU165" s="146"/>
      <c r="SBV165" s="146"/>
      <c r="SBW165" s="146"/>
      <c r="SBX165" s="146"/>
      <c r="SBY165" s="146"/>
      <c r="SBZ165" s="146"/>
      <c r="SCA165" s="146"/>
      <c r="SCB165" s="146"/>
      <c r="SCC165" s="146"/>
      <c r="SCD165" s="146"/>
      <c r="SCE165" s="146"/>
      <c r="SCF165" s="146"/>
      <c r="SCG165" s="146"/>
      <c r="SCH165" s="146"/>
      <c r="SCI165" s="146"/>
      <c r="SCJ165" s="146"/>
      <c r="SCK165" s="146"/>
      <c r="SCL165" s="146"/>
      <c r="SCM165" s="146"/>
      <c r="SCN165" s="146"/>
      <c r="SCO165" s="146"/>
      <c r="SCP165" s="146"/>
      <c r="SCQ165" s="146"/>
      <c r="SCR165" s="146"/>
      <c r="SCS165" s="146"/>
      <c r="SCT165" s="146"/>
      <c r="SCU165" s="146"/>
      <c r="SCV165" s="146"/>
      <c r="SCW165" s="146"/>
      <c r="SCX165" s="146"/>
      <c r="SCY165" s="146"/>
      <c r="SCZ165" s="146"/>
      <c r="SDA165" s="146"/>
      <c r="SDB165" s="146"/>
      <c r="SDC165" s="146"/>
      <c r="SDD165" s="146"/>
      <c r="SDE165" s="146"/>
      <c r="SDF165" s="146"/>
      <c r="SDG165" s="146"/>
      <c r="SDH165" s="146"/>
      <c r="SDI165" s="146"/>
      <c r="SDJ165" s="146"/>
      <c r="SDK165" s="146"/>
      <c r="SDL165" s="146"/>
      <c r="SDM165" s="146"/>
      <c r="SDN165" s="146"/>
      <c r="SDO165" s="146"/>
      <c r="SDP165" s="146"/>
      <c r="SDQ165" s="146"/>
      <c r="SDR165" s="146"/>
      <c r="SDS165" s="146"/>
      <c r="SDT165" s="146"/>
      <c r="SDU165" s="146"/>
      <c r="SDV165" s="146"/>
      <c r="SDW165" s="146"/>
      <c r="SDX165" s="146"/>
      <c r="SDY165" s="146"/>
      <c r="SDZ165" s="146"/>
      <c r="SEA165" s="146"/>
      <c r="SEB165" s="146"/>
      <c r="SEC165" s="146"/>
      <c r="SED165" s="146"/>
      <c r="SEE165" s="146"/>
      <c r="SEF165" s="146"/>
      <c r="SEG165" s="146"/>
      <c r="SEH165" s="146"/>
      <c r="SEI165" s="146"/>
      <c r="SEJ165" s="146"/>
      <c r="SEK165" s="146"/>
      <c r="SEL165" s="146"/>
      <c r="SEM165" s="146"/>
      <c r="SEN165" s="146"/>
      <c r="SEO165" s="146"/>
      <c r="SEP165" s="146"/>
      <c r="SEQ165" s="146"/>
      <c r="SER165" s="146"/>
      <c r="SES165" s="146"/>
      <c r="SET165" s="146"/>
      <c r="SEU165" s="146"/>
      <c r="SEV165" s="146"/>
      <c r="SEW165" s="146"/>
      <c r="SEX165" s="146"/>
      <c r="SEY165" s="146"/>
      <c r="SEZ165" s="146"/>
      <c r="SFA165" s="146"/>
      <c r="SFB165" s="146"/>
      <c r="SFC165" s="146"/>
      <c r="SFD165" s="146"/>
      <c r="SFE165" s="146"/>
      <c r="SFF165" s="146"/>
      <c r="SFG165" s="146"/>
      <c r="SFH165" s="146"/>
      <c r="SFI165" s="146"/>
      <c r="SFJ165" s="146"/>
      <c r="SFK165" s="146"/>
      <c r="SFL165" s="146"/>
      <c r="SFM165" s="146"/>
      <c r="SFN165" s="146"/>
      <c r="SFO165" s="146"/>
      <c r="SFP165" s="146"/>
      <c r="SFQ165" s="146"/>
      <c r="SFR165" s="146"/>
      <c r="SFS165" s="146"/>
      <c r="SFT165" s="146"/>
      <c r="SFU165" s="146"/>
      <c r="SFV165" s="146"/>
      <c r="SFW165" s="146"/>
      <c r="SFX165" s="146"/>
      <c r="SFY165" s="146"/>
      <c r="SFZ165" s="146"/>
      <c r="SGA165" s="146"/>
      <c r="SGB165" s="146"/>
      <c r="SGC165" s="146"/>
      <c r="SGD165" s="146"/>
      <c r="SGE165" s="146"/>
      <c r="SGF165" s="146"/>
      <c r="SGG165" s="146"/>
      <c r="SGH165" s="146"/>
      <c r="SGI165" s="146"/>
      <c r="SGJ165" s="146"/>
      <c r="SGK165" s="146"/>
      <c r="SGL165" s="146"/>
      <c r="SGM165" s="146"/>
      <c r="SGN165" s="146"/>
      <c r="SGO165" s="146"/>
      <c r="SGP165" s="146"/>
      <c r="SGQ165" s="146"/>
      <c r="SGR165" s="146"/>
      <c r="SGS165" s="146"/>
      <c r="SGT165" s="146"/>
      <c r="SGU165" s="146"/>
      <c r="SGV165" s="146"/>
      <c r="SGW165" s="146"/>
      <c r="SGX165" s="146"/>
      <c r="SGY165" s="146"/>
      <c r="SGZ165" s="146"/>
      <c r="SHA165" s="146"/>
      <c r="SHB165" s="146"/>
      <c r="SHC165" s="146"/>
      <c r="SHD165" s="146"/>
      <c r="SHE165" s="146"/>
      <c r="SHF165" s="146"/>
      <c r="SHG165" s="146"/>
      <c r="SHH165" s="146"/>
      <c r="SHI165" s="146"/>
      <c r="SHJ165" s="146"/>
      <c r="SHK165" s="146"/>
      <c r="SHL165" s="146"/>
      <c r="SHM165" s="146"/>
      <c r="SHN165" s="146"/>
      <c r="SHO165" s="146"/>
      <c r="SHP165" s="146"/>
      <c r="SHQ165" s="146"/>
      <c r="SHR165" s="146"/>
      <c r="SHS165" s="146"/>
      <c r="SHT165" s="146"/>
      <c r="SHU165" s="146"/>
      <c r="SHV165" s="146"/>
      <c r="SHW165" s="146"/>
      <c r="SHX165" s="146"/>
      <c r="SHY165" s="146"/>
      <c r="SHZ165" s="146"/>
      <c r="SIA165" s="146"/>
      <c r="SIB165" s="146"/>
      <c r="SIC165" s="146"/>
      <c r="SID165" s="146"/>
      <c r="SIE165" s="146"/>
      <c r="SIF165" s="146"/>
      <c r="SIG165" s="146"/>
      <c r="SIH165" s="146"/>
      <c r="SII165" s="146"/>
      <c r="SIJ165" s="146"/>
      <c r="SIK165" s="146"/>
      <c r="SIL165" s="146"/>
      <c r="SIM165" s="146"/>
      <c r="SIN165" s="146"/>
      <c r="SIO165" s="146"/>
      <c r="SIP165" s="146"/>
      <c r="SIQ165" s="146"/>
      <c r="SIR165" s="146"/>
      <c r="SIS165" s="146"/>
      <c r="SIT165" s="146"/>
      <c r="SIU165" s="146"/>
      <c r="SIV165" s="146"/>
      <c r="SIW165" s="146"/>
      <c r="SIX165" s="146"/>
      <c r="SIY165" s="146"/>
      <c r="SIZ165" s="146"/>
      <c r="SJA165" s="146"/>
      <c r="SJB165" s="146"/>
      <c r="SJC165" s="146"/>
      <c r="SJD165" s="146"/>
      <c r="SJE165" s="146"/>
      <c r="SJF165" s="146"/>
      <c r="SJG165" s="146"/>
      <c r="SJH165" s="146"/>
      <c r="SJI165" s="146"/>
      <c r="SJJ165" s="146"/>
      <c r="SJK165" s="146"/>
      <c r="SJL165" s="146"/>
      <c r="SJM165" s="146"/>
      <c r="SJN165" s="146"/>
      <c r="SJO165" s="146"/>
      <c r="SJP165" s="146"/>
      <c r="SJQ165" s="146"/>
      <c r="SJR165" s="146"/>
      <c r="SJS165" s="146"/>
      <c r="SJT165" s="146"/>
      <c r="SJU165" s="146"/>
      <c r="SJV165" s="146"/>
      <c r="SJW165" s="146"/>
      <c r="SJX165" s="146"/>
      <c r="SJY165" s="146"/>
      <c r="SJZ165" s="146"/>
      <c r="SKA165" s="146"/>
      <c r="SKB165" s="146"/>
      <c r="SKC165" s="146"/>
      <c r="SKD165" s="146"/>
      <c r="SKE165" s="146"/>
      <c r="SKF165" s="146"/>
      <c r="SKG165" s="146"/>
      <c r="SKH165" s="146"/>
      <c r="SKI165" s="146"/>
      <c r="SKJ165" s="146"/>
      <c r="SKK165" s="146"/>
      <c r="SKL165" s="146"/>
      <c r="SKM165" s="146"/>
      <c r="SKN165" s="146"/>
      <c r="SKO165" s="146"/>
      <c r="SKP165" s="146"/>
      <c r="SKQ165" s="146"/>
      <c r="SKR165" s="146"/>
      <c r="SKS165" s="146"/>
      <c r="SKT165" s="146"/>
      <c r="SKU165" s="146"/>
      <c r="SKV165" s="146"/>
      <c r="SKW165" s="146"/>
      <c r="SKX165" s="146"/>
      <c r="SKY165" s="146"/>
      <c r="SKZ165" s="146"/>
      <c r="SLA165" s="146"/>
      <c r="SLB165" s="146"/>
      <c r="SLC165" s="146"/>
      <c r="SLD165" s="146"/>
      <c r="SLE165" s="146"/>
      <c r="SLF165" s="146"/>
      <c r="SLG165" s="146"/>
      <c r="SLH165" s="146"/>
      <c r="SLI165" s="146"/>
      <c r="SLJ165" s="146"/>
      <c r="SLK165" s="146"/>
      <c r="SLL165" s="146"/>
      <c r="SLM165" s="146"/>
      <c r="SLN165" s="146"/>
      <c r="SLO165" s="146"/>
      <c r="SLP165" s="146"/>
      <c r="SLQ165" s="146"/>
      <c r="SLR165" s="146"/>
      <c r="SLS165" s="146"/>
      <c r="SLT165" s="146"/>
      <c r="SLU165" s="146"/>
      <c r="SLV165" s="146"/>
      <c r="SLW165" s="146"/>
      <c r="SLX165" s="146"/>
      <c r="SLY165" s="146"/>
      <c r="SLZ165" s="146"/>
      <c r="SMA165" s="146"/>
      <c r="SMB165" s="146"/>
      <c r="SMC165" s="146"/>
      <c r="SMD165" s="146"/>
      <c r="SME165" s="146"/>
      <c r="SMF165" s="146"/>
      <c r="SMG165" s="146"/>
      <c r="SMH165" s="146"/>
      <c r="SMI165" s="146"/>
      <c r="SMJ165" s="146"/>
      <c r="SMK165" s="146"/>
      <c r="SML165" s="146"/>
      <c r="SMM165" s="146"/>
      <c r="SMN165" s="146"/>
      <c r="SMO165" s="146"/>
      <c r="SMP165" s="146"/>
      <c r="SMQ165" s="146"/>
      <c r="SMR165" s="146"/>
      <c r="SMS165" s="146"/>
      <c r="SMT165" s="146"/>
      <c r="SMU165" s="146"/>
      <c r="SMV165" s="146"/>
      <c r="SMW165" s="146"/>
      <c r="SMX165" s="146"/>
      <c r="SMY165" s="146"/>
      <c r="SMZ165" s="146"/>
      <c r="SNA165" s="146"/>
      <c r="SNB165" s="146"/>
      <c r="SNC165" s="146"/>
      <c r="SND165" s="146"/>
      <c r="SNE165" s="146"/>
      <c r="SNF165" s="146"/>
      <c r="SNG165" s="146"/>
      <c r="SNH165" s="146"/>
      <c r="SNI165" s="146"/>
      <c r="SNJ165" s="146"/>
      <c r="SNK165" s="146"/>
      <c r="SNL165" s="146"/>
      <c r="SNM165" s="146"/>
      <c r="SNN165" s="146"/>
      <c r="SNO165" s="146"/>
      <c r="SNP165" s="146"/>
      <c r="SNQ165" s="146"/>
      <c r="SNR165" s="146"/>
      <c r="SNS165" s="146"/>
      <c r="SNT165" s="146"/>
      <c r="SNU165" s="146"/>
      <c r="SNV165" s="146"/>
      <c r="SNW165" s="146"/>
      <c r="SNX165" s="146"/>
      <c r="SNY165" s="146"/>
      <c r="SNZ165" s="146"/>
      <c r="SOA165" s="146"/>
      <c r="SOB165" s="146"/>
      <c r="SOC165" s="146"/>
      <c r="SOD165" s="146"/>
      <c r="SOE165" s="146"/>
      <c r="SOF165" s="146"/>
      <c r="SOG165" s="146"/>
      <c r="SOH165" s="146"/>
      <c r="SOI165" s="146"/>
      <c r="SOJ165" s="146"/>
      <c r="SOK165" s="146"/>
      <c r="SOL165" s="146"/>
      <c r="SOM165" s="146"/>
      <c r="SON165" s="146"/>
      <c r="SOO165" s="146"/>
      <c r="SOP165" s="146"/>
      <c r="SOQ165" s="146"/>
      <c r="SOR165" s="146"/>
      <c r="SOS165" s="146"/>
      <c r="SOT165" s="146"/>
      <c r="SOU165" s="146"/>
      <c r="SOV165" s="146"/>
      <c r="SOW165" s="146"/>
      <c r="SOX165" s="146"/>
      <c r="SOY165" s="146"/>
      <c r="SOZ165" s="146"/>
      <c r="SPA165" s="146"/>
      <c r="SPB165" s="146"/>
      <c r="SPC165" s="146"/>
      <c r="SPD165" s="146"/>
      <c r="SPE165" s="146"/>
      <c r="SPF165" s="146"/>
      <c r="SPG165" s="146"/>
      <c r="SPH165" s="146"/>
      <c r="SPI165" s="146"/>
      <c r="SPJ165" s="146"/>
      <c r="SPK165" s="146"/>
      <c r="SPL165" s="146"/>
      <c r="SPM165" s="146"/>
      <c r="SPN165" s="146"/>
      <c r="SPO165" s="146"/>
      <c r="SPP165" s="146"/>
      <c r="SPQ165" s="146"/>
      <c r="SPR165" s="146"/>
      <c r="SPS165" s="146"/>
      <c r="SPT165" s="146"/>
      <c r="SPU165" s="146"/>
      <c r="SPV165" s="146"/>
      <c r="SPW165" s="146"/>
      <c r="SPX165" s="146"/>
      <c r="SPY165" s="146"/>
      <c r="SPZ165" s="146"/>
      <c r="SQA165" s="146"/>
      <c r="SQB165" s="146"/>
      <c r="SQC165" s="146"/>
      <c r="SQD165" s="146"/>
      <c r="SQE165" s="146"/>
      <c r="SQF165" s="146"/>
      <c r="SQG165" s="146"/>
      <c r="SQH165" s="146"/>
      <c r="SQI165" s="146"/>
      <c r="SQJ165" s="146"/>
      <c r="SQK165" s="146"/>
      <c r="SQL165" s="146"/>
      <c r="SQM165" s="146"/>
      <c r="SQN165" s="146"/>
      <c r="SQO165" s="146"/>
      <c r="SQP165" s="146"/>
      <c r="SQQ165" s="146"/>
      <c r="SQR165" s="146"/>
      <c r="SQS165" s="146"/>
      <c r="SQT165" s="146"/>
      <c r="SQU165" s="146"/>
      <c r="SQV165" s="146"/>
      <c r="SQW165" s="146"/>
      <c r="SQX165" s="146"/>
      <c r="SQY165" s="146"/>
      <c r="SQZ165" s="146"/>
      <c r="SRA165" s="146"/>
      <c r="SRB165" s="146"/>
      <c r="SRC165" s="146"/>
      <c r="SRD165" s="146"/>
      <c r="SRE165" s="146"/>
      <c r="SRF165" s="146"/>
      <c r="SRG165" s="146"/>
      <c r="SRH165" s="146"/>
      <c r="SRI165" s="146"/>
      <c r="SRJ165" s="146"/>
      <c r="SRK165" s="146"/>
      <c r="SRL165" s="146"/>
      <c r="SRM165" s="146"/>
      <c r="SRN165" s="146"/>
      <c r="SRO165" s="146"/>
      <c r="SRP165" s="146"/>
      <c r="SRQ165" s="146"/>
      <c r="SRR165" s="146"/>
      <c r="SRS165" s="146"/>
      <c r="SRT165" s="146"/>
      <c r="SRU165" s="146"/>
      <c r="SRV165" s="146"/>
      <c r="SRW165" s="146"/>
      <c r="SRX165" s="146"/>
      <c r="SRY165" s="146"/>
      <c r="SRZ165" s="146"/>
      <c r="SSA165" s="146"/>
      <c r="SSB165" s="146"/>
      <c r="SSC165" s="146"/>
      <c r="SSD165" s="146"/>
      <c r="SSE165" s="146"/>
      <c r="SSF165" s="146"/>
      <c r="SSG165" s="146"/>
      <c r="SSH165" s="146"/>
      <c r="SSI165" s="146"/>
      <c r="SSJ165" s="146"/>
      <c r="SSK165" s="146"/>
      <c r="SSL165" s="146"/>
      <c r="SSM165" s="146"/>
      <c r="SSN165" s="146"/>
      <c r="SSO165" s="146"/>
      <c r="SSP165" s="146"/>
      <c r="SSQ165" s="146"/>
      <c r="SSR165" s="146"/>
      <c r="SSS165" s="146"/>
      <c r="SST165" s="146"/>
      <c r="SSU165" s="146"/>
      <c r="SSV165" s="146"/>
      <c r="SSW165" s="146"/>
      <c r="SSX165" s="146"/>
      <c r="SSY165" s="146"/>
      <c r="SSZ165" s="146"/>
      <c r="STA165" s="146"/>
      <c r="STB165" s="146"/>
      <c r="STC165" s="146"/>
      <c r="STD165" s="146"/>
      <c r="STE165" s="146"/>
      <c r="STF165" s="146"/>
      <c r="STG165" s="146"/>
      <c r="STH165" s="146"/>
      <c r="STI165" s="146"/>
      <c r="STJ165" s="146"/>
      <c r="STK165" s="146"/>
      <c r="STL165" s="146"/>
      <c r="STM165" s="146"/>
      <c r="STN165" s="146"/>
      <c r="STO165" s="146"/>
      <c r="STP165" s="146"/>
      <c r="STQ165" s="146"/>
      <c r="STR165" s="146"/>
      <c r="STS165" s="146"/>
      <c r="STT165" s="146"/>
      <c r="STU165" s="146"/>
      <c r="STV165" s="146"/>
      <c r="STW165" s="146"/>
      <c r="STX165" s="146"/>
      <c r="STY165" s="146"/>
      <c r="STZ165" s="146"/>
      <c r="SUA165" s="146"/>
      <c r="SUB165" s="146"/>
      <c r="SUC165" s="146"/>
      <c r="SUD165" s="146"/>
      <c r="SUE165" s="146"/>
      <c r="SUF165" s="146"/>
      <c r="SUG165" s="146"/>
      <c r="SUH165" s="146"/>
      <c r="SUI165" s="146"/>
      <c r="SUJ165" s="146"/>
      <c r="SUK165" s="146"/>
      <c r="SUL165" s="146"/>
      <c r="SUM165" s="146"/>
      <c r="SUN165" s="146"/>
      <c r="SUO165" s="146"/>
      <c r="SUP165" s="146"/>
      <c r="SUQ165" s="146"/>
      <c r="SUR165" s="146"/>
      <c r="SUS165" s="146"/>
      <c r="SUT165" s="146"/>
      <c r="SUU165" s="146"/>
      <c r="SUV165" s="146"/>
      <c r="SUW165" s="146"/>
      <c r="SUX165" s="146"/>
      <c r="SUY165" s="146"/>
      <c r="SUZ165" s="146"/>
      <c r="SVA165" s="146"/>
      <c r="SVB165" s="146"/>
      <c r="SVC165" s="146"/>
      <c r="SVD165" s="146"/>
      <c r="SVE165" s="146"/>
      <c r="SVF165" s="146"/>
      <c r="SVG165" s="146"/>
      <c r="SVH165" s="146"/>
      <c r="SVI165" s="146"/>
      <c r="SVJ165" s="146"/>
      <c r="SVK165" s="146"/>
      <c r="SVL165" s="146"/>
      <c r="SVM165" s="146"/>
      <c r="SVN165" s="146"/>
      <c r="SVO165" s="146"/>
      <c r="SVP165" s="146"/>
      <c r="SVQ165" s="146"/>
      <c r="SVR165" s="146"/>
      <c r="SVS165" s="146"/>
      <c r="SVT165" s="146"/>
      <c r="SVU165" s="146"/>
      <c r="SVV165" s="146"/>
      <c r="SVW165" s="146"/>
      <c r="SVX165" s="146"/>
      <c r="SVY165" s="146"/>
      <c r="SVZ165" s="146"/>
      <c r="SWA165" s="146"/>
      <c r="SWB165" s="146"/>
      <c r="SWC165" s="146"/>
      <c r="SWD165" s="146"/>
      <c r="SWE165" s="146"/>
      <c r="SWF165" s="146"/>
      <c r="SWG165" s="146"/>
      <c r="SWH165" s="146"/>
      <c r="SWI165" s="146"/>
      <c r="SWJ165" s="146"/>
      <c r="SWK165" s="146"/>
      <c r="SWL165" s="146"/>
      <c r="SWM165" s="146"/>
      <c r="SWN165" s="146"/>
      <c r="SWO165" s="146"/>
      <c r="SWP165" s="146"/>
      <c r="SWQ165" s="146"/>
      <c r="SWR165" s="146"/>
      <c r="SWS165" s="146"/>
      <c r="SWT165" s="146"/>
      <c r="SWU165" s="146"/>
      <c r="SWV165" s="146"/>
      <c r="SWW165" s="146"/>
      <c r="SWX165" s="146"/>
      <c r="SWY165" s="146"/>
      <c r="SWZ165" s="146"/>
      <c r="SXA165" s="146"/>
      <c r="SXB165" s="146"/>
      <c r="SXC165" s="146"/>
      <c r="SXD165" s="146"/>
      <c r="SXE165" s="146"/>
      <c r="SXF165" s="146"/>
      <c r="SXG165" s="146"/>
      <c r="SXH165" s="146"/>
      <c r="SXI165" s="146"/>
      <c r="SXJ165" s="146"/>
      <c r="SXK165" s="146"/>
      <c r="SXL165" s="146"/>
      <c r="SXM165" s="146"/>
      <c r="SXN165" s="146"/>
      <c r="SXO165" s="146"/>
      <c r="SXP165" s="146"/>
      <c r="SXQ165" s="146"/>
      <c r="SXR165" s="146"/>
      <c r="SXS165" s="146"/>
      <c r="SXT165" s="146"/>
      <c r="SXU165" s="146"/>
      <c r="SXV165" s="146"/>
      <c r="SXW165" s="146"/>
      <c r="SXX165" s="146"/>
      <c r="SXY165" s="146"/>
      <c r="SXZ165" s="146"/>
      <c r="SYA165" s="146"/>
      <c r="SYB165" s="146"/>
      <c r="SYC165" s="146"/>
      <c r="SYD165" s="146"/>
      <c r="SYE165" s="146"/>
      <c r="SYF165" s="146"/>
      <c r="SYG165" s="146"/>
      <c r="SYH165" s="146"/>
      <c r="SYI165" s="146"/>
      <c r="SYJ165" s="146"/>
      <c r="SYK165" s="146"/>
      <c r="SYL165" s="146"/>
      <c r="SYM165" s="146"/>
      <c r="SYN165" s="146"/>
      <c r="SYO165" s="146"/>
      <c r="SYP165" s="146"/>
      <c r="SYQ165" s="146"/>
      <c r="SYR165" s="146"/>
      <c r="SYS165" s="146"/>
      <c r="SYT165" s="146"/>
      <c r="SYU165" s="146"/>
      <c r="SYV165" s="146"/>
      <c r="SYW165" s="146"/>
      <c r="SYX165" s="146"/>
      <c r="SYY165" s="146"/>
      <c r="SYZ165" s="146"/>
      <c r="SZA165" s="146"/>
      <c r="SZB165" s="146"/>
      <c r="SZC165" s="146"/>
      <c r="SZD165" s="146"/>
      <c r="SZE165" s="146"/>
      <c r="SZF165" s="146"/>
      <c r="SZG165" s="146"/>
      <c r="SZH165" s="146"/>
      <c r="SZI165" s="146"/>
      <c r="SZJ165" s="146"/>
      <c r="SZK165" s="146"/>
      <c r="SZL165" s="146"/>
      <c r="SZM165" s="146"/>
      <c r="SZN165" s="146"/>
      <c r="SZO165" s="146"/>
      <c r="SZP165" s="146"/>
      <c r="SZQ165" s="146"/>
      <c r="SZR165" s="146"/>
      <c r="SZS165" s="146"/>
      <c r="SZT165" s="146"/>
      <c r="SZU165" s="146"/>
      <c r="SZV165" s="146"/>
      <c r="SZW165" s="146"/>
      <c r="SZX165" s="146"/>
      <c r="SZY165" s="146"/>
      <c r="SZZ165" s="146"/>
      <c r="TAA165" s="146"/>
      <c r="TAB165" s="146"/>
      <c r="TAC165" s="146"/>
      <c r="TAD165" s="146"/>
      <c r="TAE165" s="146"/>
      <c r="TAF165" s="146"/>
      <c r="TAG165" s="146"/>
      <c r="TAH165" s="146"/>
      <c r="TAI165" s="146"/>
      <c r="TAJ165" s="146"/>
      <c r="TAK165" s="146"/>
      <c r="TAL165" s="146"/>
      <c r="TAM165" s="146"/>
      <c r="TAN165" s="146"/>
      <c r="TAO165" s="146"/>
      <c r="TAP165" s="146"/>
      <c r="TAQ165" s="146"/>
      <c r="TAR165" s="146"/>
      <c r="TAS165" s="146"/>
      <c r="TAT165" s="146"/>
      <c r="TAU165" s="146"/>
      <c r="TAV165" s="146"/>
      <c r="TAW165" s="146"/>
      <c r="TAX165" s="146"/>
      <c r="TAY165" s="146"/>
      <c r="TAZ165" s="146"/>
      <c r="TBA165" s="146"/>
      <c r="TBB165" s="146"/>
      <c r="TBC165" s="146"/>
      <c r="TBD165" s="146"/>
      <c r="TBE165" s="146"/>
      <c r="TBF165" s="146"/>
      <c r="TBG165" s="146"/>
      <c r="TBH165" s="146"/>
      <c r="TBI165" s="146"/>
      <c r="TBJ165" s="146"/>
      <c r="TBK165" s="146"/>
      <c r="TBL165" s="146"/>
      <c r="TBM165" s="146"/>
      <c r="TBN165" s="146"/>
      <c r="TBO165" s="146"/>
      <c r="TBP165" s="146"/>
      <c r="TBQ165" s="146"/>
      <c r="TBR165" s="146"/>
      <c r="TBS165" s="146"/>
      <c r="TBT165" s="146"/>
      <c r="TBU165" s="146"/>
      <c r="TBV165" s="146"/>
      <c r="TBW165" s="146"/>
      <c r="TBX165" s="146"/>
      <c r="TBY165" s="146"/>
      <c r="TBZ165" s="146"/>
      <c r="TCA165" s="146"/>
      <c r="TCB165" s="146"/>
      <c r="TCC165" s="146"/>
      <c r="TCD165" s="146"/>
      <c r="TCE165" s="146"/>
      <c r="TCF165" s="146"/>
      <c r="TCG165" s="146"/>
      <c r="TCH165" s="146"/>
      <c r="TCI165" s="146"/>
      <c r="TCJ165" s="146"/>
      <c r="TCK165" s="146"/>
      <c r="TCL165" s="146"/>
      <c r="TCM165" s="146"/>
      <c r="TCN165" s="146"/>
      <c r="TCO165" s="146"/>
      <c r="TCP165" s="146"/>
      <c r="TCQ165" s="146"/>
      <c r="TCR165" s="146"/>
      <c r="TCS165" s="146"/>
      <c r="TCT165" s="146"/>
      <c r="TCU165" s="146"/>
      <c r="TCV165" s="146"/>
      <c r="TCW165" s="146"/>
      <c r="TCX165" s="146"/>
      <c r="TCY165" s="146"/>
      <c r="TCZ165" s="146"/>
      <c r="TDA165" s="146"/>
      <c r="TDB165" s="146"/>
      <c r="TDC165" s="146"/>
      <c r="TDD165" s="146"/>
      <c r="TDE165" s="146"/>
      <c r="TDF165" s="146"/>
      <c r="TDG165" s="146"/>
      <c r="TDH165" s="146"/>
      <c r="TDI165" s="146"/>
      <c r="TDJ165" s="146"/>
      <c r="TDK165" s="146"/>
      <c r="TDL165" s="146"/>
      <c r="TDM165" s="146"/>
      <c r="TDN165" s="146"/>
      <c r="TDO165" s="146"/>
      <c r="TDP165" s="146"/>
      <c r="TDQ165" s="146"/>
      <c r="TDR165" s="146"/>
      <c r="TDS165" s="146"/>
      <c r="TDT165" s="146"/>
      <c r="TDU165" s="146"/>
      <c r="TDV165" s="146"/>
      <c r="TDW165" s="146"/>
      <c r="TDX165" s="146"/>
      <c r="TDY165" s="146"/>
      <c r="TDZ165" s="146"/>
      <c r="TEA165" s="146"/>
      <c r="TEB165" s="146"/>
      <c r="TEC165" s="146"/>
      <c r="TED165" s="146"/>
      <c r="TEE165" s="146"/>
      <c r="TEF165" s="146"/>
      <c r="TEG165" s="146"/>
      <c r="TEH165" s="146"/>
      <c r="TEI165" s="146"/>
      <c r="TEJ165" s="146"/>
      <c r="TEK165" s="146"/>
      <c r="TEL165" s="146"/>
      <c r="TEM165" s="146"/>
      <c r="TEN165" s="146"/>
      <c r="TEO165" s="146"/>
      <c r="TEP165" s="146"/>
      <c r="TEQ165" s="146"/>
      <c r="TER165" s="146"/>
      <c r="TES165" s="146"/>
      <c r="TET165" s="146"/>
      <c r="TEU165" s="146"/>
      <c r="TEV165" s="146"/>
      <c r="TEW165" s="146"/>
      <c r="TEX165" s="146"/>
      <c r="TEY165" s="146"/>
      <c r="TEZ165" s="146"/>
      <c r="TFA165" s="146"/>
      <c r="TFB165" s="146"/>
      <c r="TFC165" s="146"/>
      <c r="TFD165" s="146"/>
      <c r="TFE165" s="146"/>
      <c r="TFF165" s="146"/>
      <c r="TFG165" s="146"/>
      <c r="TFH165" s="146"/>
      <c r="TFI165" s="146"/>
      <c r="TFJ165" s="146"/>
      <c r="TFK165" s="146"/>
      <c r="TFL165" s="146"/>
      <c r="TFM165" s="146"/>
      <c r="TFN165" s="146"/>
      <c r="TFO165" s="146"/>
      <c r="TFP165" s="146"/>
      <c r="TFQ165" s="146"/>
      <c r="TFR165" s="146"/>
      <c r="TFS165" s="146"/>
      <c r="TFT165" s="146"/>
      <c r="TFU165" s="146"/>
      <c r="TFV165" s="146"/>
      <c r="TFW165" s="146"/>
      <c r="TFX165" s="146"/>
      <c r="TFY165" s="146"/>
      <c r="TFZ165" s="146"/>
      <c r="TGA165" s="146"/>
      <c r="TGB165" s="146"/>
      <c r="TGC165" s="146"/>
      <c r="TGD165" s="146"/>
      <c r="TGE165" s="146"/>
      <c r="TGF165" s="146"/>
      <c r="TGG165" s="146"/>
      <c r="TGH165" s="146"/>
      <c r="TGI165" s="146"/>
      <c r="TGJ165" s="146"/>
      <c r="TGK165" s="146"/>
      <c r="TGL165" s="146"/>
      <c r="TGM165" s="146"/>
      <c r="TGN165" s="146"/>
      <c r="TGO165" s="146"/>
      <c r="TGP165" s="146"/>
      <c r="TGQ165" s="146"/>
      <c r="TGR165" s="146"/>
      <c r="TGS165" s="146"/>
      <c r="TGT165" s="146"/>
      <c r="TGU165" s="146"/>
      <c r="TGV165" s="146"/>
      <c r="TGW165" s="146"/>
      <c r="TGX165" s="146"/>
      <c r="TGY165" s="146"/>
      <c r="TGZ165" s="146"/>
      <c r="THA165" s="146"/>
      <c r="THB165" s="146"/>
      <c r="THC165" s="146"/>
      <c r="THD165" s="146"/>
      <c r="THE165" s="146"/>
      <c r="THF165" s="146"/>
      <c r="THG165" s="146"/>
      <c r="THH165" s="146"/>
      <c r="THI165" s="146"/>
      <c r="THJ165" s="146"/>
      <c r="THK165" s="146"/>
      <c r="THL165" s="146"/>
      <c r="THM165" s="146"/>
      <c r="THN165" s="146"/>
      <c r="THO165" s="146"/>
      <c r="THP165" s="146"/>
      <c r="THQ165" s="146"/>
      <c r="THR165" s="146"/>
      <c r="THS165" s="146"/>
      <c r="THT165" s="146"/>
      <c r="THU165" s="146"/>
      <c r="THV165" s="146"/>
      <c r="THW165" s="146"/>
      <c r="THX165" s="146"/>
      <c r="THY165" s="146"/>
      <c r="THZ165" s="146"/>
      <c r="TIA165" s="146"/>
      <c r="TIB165" s="146"/>
      <c r="TIC165" s="146"/>
      <c r="TID165" s="146"/>
      <c r="TIE165" s="146"/>
      <c r="TIF165" s="146"/>
      <c r="TIG165" s="146"/>
      <c r="TIH165" s="146"/>
      <c r="TII165" s="146"/>
      <c r="TIJ165" s="146"/>
      <c r="TIK165" s="146"/>
      <c r="TIL165" s="146"/>
      <c r="TIM165" s="146"/>
      <c r="TIN165" s="146"/>
      <c r="TIO165" s="146"/>
      <c r="TIP165" s="146"/>
      <c r="TIQ165" s="146"/>
      <c r="TIR165" s="146"/>
      <c r="TIS165" s="146"/>
      <c r="TIT165" s="146"/>
      <c r="TIU165" s="146"/>
      <c r="TIV165" s="146"/>
      <c r="TIW165" s="146"/>
      <c r="TIX165" s="146"/>
      <c r="TIY165" s="146"/>
      <c r="TIZ165" s="146"/>
      <c r="TJA165" s="146"/>
      <c r="TJB165" s="146"/>
      <c r="TJC165" s="146"/>
      <c r="TJD165" s="146"/>
      <c r="TJE165" s="146"/>
      <c r="TJF165" s="146"/>
      <c r="TJG165" s="146"/>
      <c r="TJH165" s="146"/>
      <c r="TJI165" s="146"/>
      <c r="TJJ165" s="146"/>
      <c r="TJK165" s="146"/>
      <c r="TJL165" s="146"/>
      <c r="TJM165" s="146"/>
      <c r="TJN165" s="146"/>
      <c r="TJO165" s="146"/>
      <c r="TJP165" s="146"/>
      <c r="TJQ165" s="146"/>
      <c r="TJR165" s="146"/>
      <c r="TJS165" s="146"/>
      <c r="TJT165" s="146"/>
      <c r="TJU165" s="146"/>
      <c r="TJV165" s="146"/>
      <c r="TJW165" s="146"/>
      <c r="TJX165" s="146"/>
      <c r="TJY165" s="146"/>
      <c r="TJZ165" s="146"/>
      <c r="TKA165" s="146"/>
      <c r="TKB165" s="146"/>
      <c r="TKC165" s="146"/>
      <c r="TKD165" s="146"/>
      <c r="TKE165" s="146"/>
      <c r="TKF165" s="146"/>
      <c r="TKG165" s="146"/>
      <c r="TKH165" s="146"/>
      <c r="TKI165" s="146"/>
      <c r="TKJ165" s="146"/>
      <c r="TKK165" s="146"/>
      <c r="TKL165" s="146"/>
      <c r="TKM165" s="146"/>
      <c r="TKN165" s="146"/>
      <c r="TKO165" s="146"/>
      <c r="TKP165" s="146"/>
      <c r="TKQ165" s="146"/>
      <c r="TKR165" s="146"/>
      <c r="TKS165" s="146"/>
      <c r="TKT165" s="146"/>
      <c r="TKU165" s="146"/>
      <c r="TKV165" s="146"/>
      <c r="TKW165" s="146"/>
      <c r="TKX165" s="146"/>
      <c r="TKY165" s="146"/>
      <c r="TKZ165" s="146"/>
      <c r="TLA165" s="146"/>
      <c r="TLB165" s="146"/>
      <c r="TLC165" s="146"/>
      <c r="TLD165" s="146"/>
      <c r="TLE165" s="146"/>
      <c r="TLF165" s="146"/>
      <c r="TLG165" s="146"/>
      <c r="TLH165" s="146"/>
      <c r="TLI165" s="146"/>
      <c r="TLJ165" s="146"/>
      <c r="TLK165" s="146"/>
      <c r="TLL165" s="146"/>
      <c r="TLM165" s="146"/>
      <c r="TLN165" s="146"/>
      <c r="TLO165" s="146"/>
      <c r="TLP165" s="146"/>
      <c r="TLQ165" s="146"/>
      <c r="TLR165" s="146"/>
      <c r="TLS165" s="146"/>
      <c r="TLT165" s="146"/>
      <c r="TLU165" s="146"/>
      <c r="TLV165" s="146"/>
      <c r="TLW165" s="146"/>
      <c r="TLX165" s="146"/>
      <c r="TLY165" s="146"/>
      <c r="TLZ165" s="146"/>
      <c r="TMA165" s="146"/>
      <c r="TMB165" s="146"/>
      <c r="TMC165" s="146"/>
      <c r="TMD165" s="146"/>
      <c r="TME165" s="146"/>
      <c r="TMF165" s="146"/>
      <c r="TMG165" s="146"/>
      <c r="TMH165" s="146"/>
      <c r="TMI165" s="146"/>
      <c r="TMJ165" s="146"/>
      <c r="TMK165" s="146"/>
      <c r="TML165" s="146"/>
      <c r="TMM165" s="146"/>
      <c r="TMN165" s="146"/>
      <c r="TMO165" s="146"/>
      <c r="TMP165" s="146"/>
      <c r="TMQ165" s="146"/>
      <c r="TMR165" s="146"/>
      <c r="TMS165" s="146"/>
      <c r="TMT165" s="146"/>
      <c r="TMU165" s="146"/>
      <c r="TMV165" s="146"/>
      <c r="TMW165" s="146"/>
      <c r="TMX165" s="146"/>
      <c r="TMY165" s="146"/>
      <c r="TMZ165" s="146"/>
      <c r="TNA165" s="146"/>
      <c r="TNB165" s="146"/>
      <c r="TNC165" s="146"/>
      <c r="TND165" s="146"/>
      <c r="TNE165" s="146"/>
      <c r="TNF165" s="146"/>
      <c r="TNG165" s="146"/>
      <c r="TNH165" s="146"/>
      <c r="TNI165" s="146"/>
      <c r="TNJ165" s="146"/>
      <c r="TNK165" s="146"/>
      <c r="TNL165" s="146"/>
      <c r="TNM165" s="146"/>
      <c r="TNN165" s="146"/>
      <c r="TNO165" s="146"/>
      <c r="TNP165" s="146"/>
      <c r="TNQ165" s="146"/>
      <c r="TNR165" s="146"/>
      <c r="TNS165" s="146"/>
      <c r="TNT165" s="146"/>
      <c r="TNU165" s="146"/>
      <c r="TNV165" s="146"/>
      <c r="TNW165" s="146"/>
      <c r="TNX165" s="146"/>
      <c r="TNY165" s="146"/>
      <c r="TNZ165" s="146"/>
      <c r="TOA165" s="146"/>
      <c r="TOB165" s="146"/>
      <c r="TOC165" s="146"/>
      <c r="TOD165" s="146"/>
      <c r="TOE165" s="146"/>
      <c r="TOF165" s="146"/>
      <c r="TOG165" s="146"/>
      <c r="TOH165" s="146"/>
      <c r="TOI165" s="146"/>
      <c r="TOJ165" s="146"/>
      <c r="TOK165" s="146"/>
      <c r="TOL165" s="146"/>
      <c r="TOM165" s="146"/>
      <c r="TON165" s="146"/>
      <c r="TOO165" s="146"/>
      <c r="TOP165" s="146"/>
      <c r="TOQ165" s="146"/>
      <c r="TOR165" s="146"/>
      <c r="TOS165" s="146"/>
      <c r="TOT165" s="146"/>
      <c r="TOU165" s="146"/>
      <c r="TOV165" s="146"/>
      <c r="TOW165" s="146"/>
      <c r="TOX165" s="146"/>
      <c r="TOY165" s="146"/>
      <c r="TOZ165" s="146"/>
      <c r="TPA165" s="146"/>
      <c r="TPB165" s="146"/>
      <c r="TPC165" s="146"/>
      <c r="TPD165" s="146"/>
      <c r="TPE165" s="146"/>
      <c r="TPF165" s="146"/>
      <c r="TPG165" s="146"/>
      <c r="TPH165" s="146"/>
      <c r="TPI165" s="146"/>
      <c r="TPJ165" s="146"/>
      <c r="TPK165" s="146"/>
      <c r="TPL165" s="146"/>
      <c r="TPM165" s="146"/>
      <c r="TPN165" s="146"/>
      <c r="TPO165" s="146"/>
      <c r="TPP165" s="146"/>
      <c r="TPQ165" s="146"/>
      <c r="TPR165" s="146"/>
      <c r="TPS165" s="146"/>
      <c r="TPT165" s="146"/>
      <c r="TPU165" s="146"/>
      <c r="TPV165" s="146"/>
      <c r="TPW165" s="146"/>
      <c r="TPX165" s="146"/>
      <c r="TPY165" s="146"/>
      <c r="TPZ165" s="146"/>
      <c r="TQA165" s="146"/>
      <c r="TQB165" s="146"/>
      <c r="TQC165" s="146"/>
      <c r="TQD165" s="146"/>
      <c r="TQE165" s="146"/>
      <c r="TQF165" s="146"/>
      <c r="TQG165" s="146"/>
      <c r="TQH165" s="146"/>
      <c r="TQI165" s="146"/>
      <c r="TQJ165" s="146"/>
      <c r="TQK165" s="146"/>
      <c r="TQL165" s="146"/>
      <c r="TQM165" s="146"/>
      <c r="TQN165" s="146"/>
      <c r="TQO165" s="146"/>
      <c r="TQP165" s="146"/>
      <c r="TQQ165" s="146"/>
      <c r="TQR165" s="146"/>
      <c r="TQS165" s="146"/>
      <c r="TQT165" s="146"/>
      <c r="TQU165" s="146"/>
      <c r="TQV165" s="146"/>
      <c r="TQW165" s="146"/>
      <c r="TQX165" s="146"/>
      <c r="TQY165" s="146"/>
      <c r="TQZ165" s="146"/>
      <c r="TRA165" s="146"/>
      <c r="TRB165" s="146"/>
      <c r="TRC165" s="146"/>
      <c r="TRD165" s="146"/>
      <c r="TRE165" s="146"/>
      <c r="TRF165" s="146"/>
      <c r="TRG165" s="146"/>
      <c r="TRH165" s="146"/>
      <c r="TRI165" s="146"/>
      <c r="TRJ165" s="146"/>
      <c r="TRK165" s="146"/>
      <c r="TRL165" s="146"/>
      <c r="TRM165" s="146"/>
      <c r="TRN165" s="146"/>
      <c r="TRO165" s="146"/>
      <c r="TRP165" s="146"/>
      <c r="TRQ165" s="146"/>
      <c r="TRR165" s="146"/>
      <c r="TRS165" s="146"/>
      <c r="TRT165" s="146"/>
      <c r="TRU165" s="146"/>
      <c r="TRV165" s="146"/>
      <c r="TRW165" s="146"/>
      <c r="TRX165" s="146"/>
      <c r="TRY165" s="146"/>
      <c r="TRZ165" s="146"/>
      <c r="TSA165" s="146"/>
      <c r="TSB165" s="146"/>
      <c r="TSC165" s="146"/>
      <c r="TSD165" s="146"/>
      <c r="TSE165" s="146"/>
      <c r="TSF165" s="146"/>
      <c r="TSG165" s="146"/>
      <c r="TSH165" s="146"/>
      <c r="TSI165" s="146"/>
      <c r="TSJ165" s="146"/>
      <c r="TSK165" s="146"/>
      <c r="TSL165" s="146"/>
      <c r="TSM165" s="146"/>
      <c r="TSN165" s="146"/>
      <c r="TSO165" s="146"/>
      <c r="TSP165" s="146"/>
      <c r="TSQ165" s="146"/>
      <c r="TSR165" s="146"/>
      <c r="TSS165" s="146"/>
      <c r="TST165" s="146"/>
      <c r="TSU165" s="146"/>
      <c r="TSV165" s="146"/>
      <c r="TSW165" s="146"/>
      <c r="TSX165" s="146"/>
      <c r="TSY165" s="146"/>
      <c r="TSZ165" s="146"/>
      <c r="TTA165" s="146"/>
      <c r="TTB165" s="146"/>
      <c r="TTC165" s="146"/>
      <c r="TTD165" s="146"/>
      <c r="TTE165" s="146"/>
      <c r="TTF165" s="146"/>
      <c r="TTG165" s="146"/>
      <c r="TTH165" s="146"/>
      <c r="TTI165" s="146"/>
      <c r="TTJ165" s="146"/>
      <c r="TTK165" s="146"/>
      <c r="TTL165" s="146"/>
      <c r="TTM165" s="146"/>
      <c r="TTN165" s="146"/>
      <c r="TTO165" s="146"/>
      <c r="TTP165" s="146"/>
      <c r="TTQ165" s="146"/>
      <c r="TTR165" s="146"/>
      <c r="TTS165" s="146"/>
      <c r="TTT165" s="146"/>
      <c r="TTU165" s="146"/>
      <c r="TTV165" s="146"/>
      <c r="TTW165" s="146"/>
      <c r="TTX165" s="146"/>
      <c r="TTY165" s="146"/>
      <c r="TTZ165" s="146"/>
      <c r="TUA165" s="146"/>
      <c r="TUB165" s="146"/>
      <c r="TUC165" s="146"/>
      <c r="TUD165" s="146"/>
      <c r="TUE165" s="146"/>
      <c r="TUF165" s="146"/>
      <c r="TUG165" s="146"/>
      <c r="TUH165" s="146"/>
      <c r="TUI165" s="146"/>
      <c r="TUJ165" s="146"/>
      <c r="TUK165" s="146"/>
      <c r="TUL165" s="146"/>
      <c r="TUM165" s="146"/>
      <c r="TUN165" s="146"/>
      <c r="TUO165" s="146"/>
      <c r="TUP165" s="146"/>
      <c r="TUQ165" s="146"/>
      <c r="TUR165" s="146"/>
      <c r="TUS165" s="146"/>
      <c r="TUT165" s="146"/>
      <c r="TUU165" s="146"/>
      <c r="TUV165" s="146"/>
      <c r="TUW165" s="146"/>
      <c r="TUX165" s="146"/>
      <c r="TUY165" s="146"/>
      <c r="TUZ165" s="146"/>
      <c r="TVA165" s="146"/>
      <c r="TVB165" s="146"/>
      <c r="TVC165" s="146"/>
      <c r="TVD165" s="146"/>
      <c r="TVE165" s="146"/>
      <c r="TVF165" s="146"/>
      <c r="TVG165" s="146"/>
      <c r="TVH165" s="146"/>
      <c r="TVI165" s="146"/>
      <c r="TVJ165" s="146"/>
      <c r="TVK165" s="146"/>
      <c r="TVL165" s="146"/>
      <c r="TVM165" s="146"/>
      <c r="TVN165" s="146"/>
      <c r="TVO165" s="146"/>
      <c r="TVP165" s="146"/>
      <c r="TVQ165" s="146"/>
      <c r="TVR165" s="146"/>
      <c r="TVS165" s="146"/>
      <c r="TVT165" s="146"/>
      <c r="TVU165" s="146"/>
      <c r="TVV165" s="146"/>
      <c r="TVW165" s="146"/>
      <c r="TVX165" s="146"/>
      <c r="TVY165" s="146"/>
      <c r="TVZ165" s="146"/>
      <c r="TWA165" s="146"/>
      <c r="TWB165" s="146"/>
      <c r="TWC165" s="146"/>
      <c r="TWD165" s="146"/>
      <c r="TWE165" s="146"/>
      <c r="TWF165" s="146"/>
      <c r="TWG165" s="146"/>
      <c r="TWH165" s="146"/>
      <c r="TWI165" s="146"/>
      <c r="TWJ165" s="146"/>
      <c r="TWK165" s="146"/>
      <c r="TWL165" s="146"/>
      <c r="TWM165" s="146"/>
      <c r="TWN165" s="146"/>
      <c r="TWO165" s="146"/>
      <c r="TWP165" s="146"/>
      <c r="TWQ165" s="146"/>
      <c r="TWR165" s="146"/>
      <c r="TWS165" s="146"/>
      <c r="TWT165" s="146"/>
      <c r="TWU165" s="146"/>
      <c r="TWV165" s="146"/>
      <c r="TWW165" s="146"/>
      <c r="TWX165" s="146"/>
      <c r="TWY165" s="146"/>
      <c r="TWZ165" s="146"/>
      <c r="TXA165" s="146"/>
      <c r="TXB165" s="146"/>
      <c r="TXC165" s="146"/>
      <c r="TXD165" s="146"/>
      <c r="TXE165" s="146"/>
      <c r="TXF165" s="146"/>
      <c r="TXG165" s="146"/>
      <c r="TXH165" s="146"/>
      <c r="TXI165" s="146"/>
      <c r="TXJ165" s="146"/>
      <c r="TXK165" s="146"/>
      <c r="TXL165" s="146"/>
      <c r="TXM165" s="146"/>
      <c r="TXN165" s="146"/>
      <c r="TXO165" s="146"/>
      <c r="TXP165" s="146"/>
      <c r="TXQ165" s="146"/>
      <c r="TXR165" s="146"/>
      <c r="TXS165" s="146"/>
      <c r="TXT165" s="146"/>
      <c r="TXU165" s="146"/>
      <c r="TXV165" s="146"/>
      <c r="TXW165" s="146"/>
      <c r="TXX165" s="146"/>
      <c r="TXY165" s="146"/>
      <c r="TXZ165" s="146"/>
      <c r="TYA165" s="146"/>
      <c r="TYB165" s="146"/>
      <c r="TYC165" s="146"/>
      <c r="TYD165" s="146"/>
      <c r="TYE165" s="146"/>
      <c r="TYF165" s="146"/>
      <c r="TYG165" s="146"/>
      <c r="TYH165" s="146"/>
      <c r="TYI165" s="146"/>
      <c r="TYJ165" s="146"/>
      <c r="TYK165" s="146"/>
      <c r="TYL165" s="146"/>
      <c r="TYM165" s="146"/>
      <c r="TYN165" s="146"/>
      <c r="TYO165" s="146"/>
      <c r="TYP165" s="146"/>
      <c r="TYQ165" s="146"/>
      <c r="TYR165" s="146"/>
      <c r="TYS165" s="146"/>
      <c r="TYT165" s="146"/>
      <c r="TYU165" s="146"/>
      <c r="TYV165" s="146"/>
      <c r="TYW165" s="146"/>
      <c r="TYX165" s="146"/>
      <c r="TYY165" s="146"/>
      <c r="TYZ165" s="146"/>
      <c r="TZA165" s="146"/>
      <c r="TZB165" s="146"/>
      <c r="TZC165" s="146"/>
      <c r="TZD165" s="146"/>
      <c r="TZE165" s="146"/>
      <c r="TZF165" s="146"/>
      <c r="TZG165" s="146"/>
      <c r="TZH165" s="146"/>
      <c r="TZI165" s="146"/>
      <c r="TZJ165" s="146"/>
      <c r="TZK165" s="146"/>
      <c r="TZL165" s="146"/>
      <c r="TZM165" s="146"/>
      <c r="TZN165" s="146"/>
      <c r="TZO165" s="146"/>
      <c r="TZP165" s="146"/>
      <c r="TZQ165" s="146"/>
      <c r="TZR165" s="146"/>
      <c r="TZS165" s="146"/>
      <c r="TZT165" s="146"/>
      <c r="TZU165" s="146"/>
      <c r="TZV165" s="146"/>
      <c r="TZW165" s="146"/>
      <c r="TZX165" s="146"/>
      <c r="TZY165" s="146"/>
      <c r="TZZ165" s="146"/>
      <c r="UAA165" s="146"/>
      <c r="UAB165" s="146"/>
      <c r="UAC165" s="146"/>
      <c r="UAD165" s="146"/>
      <c r="UAE165" s="146"/>
      <c r="UAF165" s="146"/>
      <c r="UAG165" s="146"/>
      <c r="UAH165" s="146"/>
      <c r="UAI165" s="146"/>
      <c r="UAJ165" s="146"/>
      <c r="UAK165" s="146"/>
      <c r="UAL165" s="146"/>
      <c r="UAM165" s="146"/>
      <c r="UAN165" s="146"/>
      <c r="UAO165" s="146"/>
      <c r="UAP165" s="146"/>
      <c r="UAQ165" s="146"/>
      <c r="UAR165" s="146"/>
      <c r="UAS165" s="146"/>
      <c r="UAT165" s="146"/>
      <c r="UAU165" s="146"/>
      <c r="UAV165" s="146"/>
      <c r="UAW165" s="146"/>
      <c r="UAX165" s="146"/>
      <c r="UAY165" s="146"/>
      <c r="UAZ165" s="146"/>
      <c r="UBA165" s="146"/>
      <c r="UBB165" s="146"/>
      <c r="UBC165" s="146"/>
      <c r="UBD165" s="146"/>
      <c r="UBE165" s="146"/>
      <c r="UBF165" s="146"/>
      <c r="UBG165" s="146"/>
      <c r="UBH165" s="146"/>
      <c r="UBI165" s="146"/>
      <c r="UBJ165" s="146"/>
      <c r="UBK165" s="146"/>
      <c r="UBL165" s="146"/>
      <c r="UBM165" s="146"/>
      <c r="UBN165" s="146"/>
      <c r="UBO165" s="146"/>
      <c r="UBP165" s="146"/>
      <c r="UBQ165" s="146"/>
      <c r="UBR165" s="146"/>
      <c r="UBS165" s="146"/>
      <c r="UBT165" s="146"/>
      <c r="UBU165" s="146"/>
      <c r="UBV165" s="146"/>
      <c r="UBW165" s="146"/>
      <c r="UBX165" s="146"/>
      <c r="UBY165" s="146"/>
      <c r="UBZ165" s="146"/>
      <c r="UCA165" s="146"/>
      <c r="UCB165" s="146"/>
      <c r="UCC165" s="146"/>
      <c r="UCD165" s="146"/>
      <c r="UCE165" s="146"/>
      <c r="UCF165" s="146"/>
      <c r="UCG165" s="146"/>
      <c r="UCH165" s="146"/>
      <c r="UCI165" s="146"/>
      <c r="UCJ165" s="146"/>
      <c r="UCK165" s="146"/>
      <c r="UCL165" s="146"/>
      <c r="UCM165" s="146"/>
      <c r="UCN165" s="146"/>
      <c r="UCO165" s="146"/>
      <c r="UCP165" s="146"/>
      <c r="UCQ165" s="146"/>
      <c r="UCR165" s="146"/>
      <c r="UCS165" s="146"/>
      <c r="UCT165" s="146"/>
      <c r="UCU165" s="146"/>
      <c r="UCV165" s="146"/>
      <c r="UCW165" s="146"/>
      <c r="UCX165" s="146"/>
      <c r="UCY165" s="146"/>
      <c r="UCZ165" s="146"/>
      <c r="UDA165" s="146"/>
      <c r="UDB165" s="146"/>
      <c r="UDC165" s="146"/>
      <c r="UDD165" s="146"/>
      <c r="UDE165" s="146"/>
      <c r="UDF165" s="146"/>
      <c r="UDG165" s="146"/>
      <c r="UDH165" s="146"/>
      <c r="UDI165" s="146"/>
      <c r="UDJ165" s="146"/>
      <c r="UDK165" s="146"/>
      <c r="UDL165" s="146"/>
      <c r="UDM165" s="146"/>
      <c r="UDN165" s="146"/>
      <c r="UDO165" s="146"/>
      <c r="UDP165" s="146"/>
      <c r="UDQ165" s="146"/>
      <c r="UDR165" s="146"/>
      <c r="UDS165" s="146"/>
      <c r="UDT165" s="146"/>
      <c r="UDU165" s="146"/>
      <c r="UDV165" s="146"/>
      <c r="UDW165" s="146"/>
      <c r="UDX165" s="146"/>
      <c r="UDY165" s="146"/>
      <c r="UDZ165" s="146"/>
      <c r="UEA165" s="146"/>
      <c r="UEB165" s="146"/>
      <c r="UEC165" s="146"/>
      <c r="UED165" s="146"/>
      <c r="UEE165" s="146"/>
      <c r="UEF165" s="146"/>
      <c r="UEG165" s="146"/>
      <c r="UEH165" s="146"/>
      <c r="UEI165" s="146"/>
      <c r="UEJ165" s="146"/>
      <c r="UEK165" s="146"/>
      <c r="UEL165" s="146"/>
      <c r="UEM165" s="146"/>
      <c r="UEN165" s="146"/>
      <c r="UEO165" s="146"/>
      <c r="UEP165" s="146"/>
      <c r="UEQ165" s="146"/>
      <c r="UER165" s="146"/>
      <c r="UES165" s="146"/>
      <c r="UET165" s="146"/>
      <c r="UEU165" s="146"/>
      <c r="UEV165" s="146"/>
      <c r="UEW165" s="146"/>
      <c r="UEX165" s="146"/>
      <c r="UEY165" s="146"/>
      <c r="UEZ165" s="146"/>
      <c r="UFA165" s="146"/>
      <c r="UFB165" s="146"/>
      <c r="UFC165" s="146"/>
      <c r="UFD165" s="146"/>
      <c r="UFE165" s="146"/>
      <c r="UFF165" s="146"/>
      <c r="UFG165" s="146"/>
      <c r="UFH165" s="146"/>
      <c r="UFI165" s="146"/>
      <c r="UFJ165" s="146"/>
      <c r="UFK165" s="146"/>
      <c r="UFL165" s="146"/>
      <c r="UFM165" s="146"/>
      <c r="UFN165" s="146"/>
      <c r="UFO165" s="146"/>
      <c r="UFP165" s="146"/>
      <c r="UFQ165" s="146"/>
      <c r="UFR165" s="146"/>
      <c r="UFS165" s="146"/>
      <c r="UFT165" s="146"/>
      <c r="UFU165" s="146"/>
      <c r="UFV165" s="146"/>
      <c r="UFW165" s="146"/>
      <c r="UFX165" s="146"/>
      <c r="UFY165" s="146"/>
      <c r="UFZ165" s="146"/>
      <c r="UGA165" s="146"/>
      <c r="UGB165" s="146"/>
      <c r="UGC165" s="146"/>
      <c r="UGD165" s="146"/>
      <c r="UGE165" s="146"/>
      <c r="UGF165" s="146"/>
      <c r="UGG165" s="146"/>
      <c r="UGH165" s="146"/>
      <c r="UGI165" s="146"/>
      <c r="UGJ165" s="146"/>
      <c r="UGK165" s="146"/>
      <c r="UGL165" s="146"/>
      <c r="UGM165" s="146"/>
      <c r="UGN165" s="146"/>
      <c r="UGO165" s="146"/>
      <c r="UGP165" s="146"/>
      <c r="UGQ165" s="146"/>
      <c r="UGR165" s="146"/>
      <c r="UGS165" s="146"/>
      <c r="UGT165" s="146"/>
      <c r="UGU165" s="146"/>
      <c r="UGV165" s="146"/>
      <c r="UGW165" s="146"/>
      <c r="UGX165" s="146"/>
      <c r="UGY165" s="146"/>
      <c r="UGZ165" s="146"/>
      <c r="UHA165" s="146"/>
      <c r="UHB165" s="146"/>
      <c r="UHC165" s="146"/>
      <c r="UHD165" s="146"/>
      <c r="UHE165" s="146"/>
      <c r="UHF165" s="146"/>
      <c r="UHG165" s="146"/>
      <c r="UHH165" s="146"/>
      <c r="UHI165" s="146"/>
      <c r="UHJ165" s="146"/>
      <c r="UHK165" s="146"/>
      <c r="UHL165" s="146"/>
      <c r="UHM165" s="146"/>
      <c r="UHN165" s="146"/>
      <c r="UHO165" s="146"/>
      <c r="UHP165" s="146"/>
      <c r="UHQ165" s="146"/>
      <c r="UHR165" s="146"/>
      <c r="UHS165" s="146"/>
      <c r="UHT165" s="146"/>
      <c r="UHU165" s="146"/>
      <c r="UHV165" s="146"/>
      <c r="UHW165" s="146"/>
      <c r="UHX165" s="146"/>
      <c r="UHY165" s="146"/>
      <c r="UHZ165" s="146"/>
      <c r="UIA165" s="146"/>
      <c r="UIB165" s="146"/>
      <c r="UIC165" s="146"/>
      <c r="UID165" s="146"/>
      <c r="UIE165" s="146"/>
      <c r="UIF165" s="146"/>
      <c r="UIG165" s="146"/>
      <c r="UIH165" s="146"/>
      <c r="UII165" s="146"/>
      <c r="UIJ165" s="146"/>
      <c r="UIK165" s="146"/>
      <c r="UIL165" s="146"/>
      <c r="UIM165" s="146"/>
      <c r="UIN165" s="146"/>
      <c r="UIO165" s="146"/>
      <c r="UIP165" s="146"/>
      <c r="UIQ165" s="146"/>
      <c r="UIR165" s="146"/>
      <c r="UIS165" s="146"/>
      <c r="UIT165" s="146"/>
      <c r="UIU165" s="146"/>
      <c r="UIV165" s="146"/>
      <c r="UIW165" s="146"/>
      <c r="UIX165" s="146"/>
      <c r="UIY165" s="146"/>
      <c r="UIZ165" s="146"/>
      <c r="UJA165" s="146"/>
      <c r="UJB165" s="146"/>
      <c r="UJC165" s="146"/>
      <c r="UJD165" s="146"/>
      <c r="UJE165" s="146"/>
      <c r="UJF165" s="146"/>
      <c r="UJG165" s="146"/>
      <c r="UJH165" s="146"/>
      <c r="UJI165" s="146"/>
      <c r="UJJ165" s="146"/>
      <c r="UJK165" s="146"/>
      <c r="UJL165" s="146"/>
      <c r="UJM165" s="146"/>
      <c r="UJN165" s="146"/>
      <c r="UJO165" s="146"/>
      <c r="UJP165" s="146"/>
      <c r="UJQ165" s="146"/>
      <c r="UJR165" s="146"/>
      <c r="UJS165" s="146"/>
      <c r="UJT165" s="146"/>
      <c r="UJU165" s="146"/>
      <c r="UJV165" s="146"/>
      <c r="UJW165" s="146"/>
      <c r="UJX165" s="146"/>
      <c r="UJY165" s="146"/>
      <c r="UJZ165" s="146"/>
      <c r="UKA165" s="146"/>
      <c r="UKB165" s="146"/>
      <c r="UKC165" s="146"/>
      <c r="UKD165" s="146"/>
      <c r="UKE165" s="146"/>
      <c r="UKF165" s="146"/>
      <c r="UKG165" s="146"/>
      <c r="UKH165" s="146"/>
      <c r="UKI165" s="146"/>
      <c r="UKJ165" s="146"/>
      <c r="UKK165" s="146"/>
      <c r="UKL165" s="146"/>
      <c r="UKM165" s="146"/>
      <c r="UKN165" s="146"/>
      <c r="UKO165" s="146"/>
      <c r="UKP165" s="146"/>
      <c r="UKQ165" s="146"/>
      <c r="UKR165" s="146"/>
      <c r="UKS165" s="146"/>
      <c r="UKT165" s="146"/>
      <c r="UKU165" s="146"/>
      <c r="UKV165" s="146"/>
      <c r="UKW165" s="146"/>
      <c r="UKX165" s="146"/>
      <c r="UKY165" s="146"/>
      <c r="UKZ165" s="146"/>
      <c r="ULA165" s="146"/>
      <c r="ULB165" s="146"/>
      <c r="ULC165" s="146"/>
      <c r="ULD165" s="146"/>
      <c r="ULE165" s="146"/>
      <c r="ULF165" s="146"/>
      <c r="ULG165" s="146"/>
      <c r="ULH165" s="146"/>
      <c r="ULI165" s="146"/>
      <c r="ULJ165" s="146"/>
      <c r="ULK165" s="146"/>
      <c r="ULL165" s="146"/>
      <c r="ULM165" s="146"/>
      <c r="ULN165" s="146"/>
      <c r="ULO165" s="146"/>
      <c r="ULP165" s="146"/>
      <c r="ULQ165" s="146"/>
      <c r="ULR165" s="146"/>
      <c r="ULS165" s="146"/>
      <c r="ULT165" s="146"/>
      <c r="ULU165" s="146"/>
      <c r="ULV165" s="146"/>
      <c r="ULW165" s="146"/>
      <c r="ULX165" s="146"/>
      <c r="ULY165" s="146"/>
      <c r="ULZ165" s="146"/>
      <c r="UMA165" s="146"/>
      <c r="UMB165" s="146"/>
      <c r="UMC165" s="146"/>
      <c r="UMD165" s="146"/>
      <c r="UME165" s="146"/>
      <c r="UMF165" s="146"/>
      <c r="UMG165" s="146"/>
      <c r="UMH165" s="146"/>
      <c r="UMI165" s="146"/>
      <c r="UMJ165" s="146"/>
      <c r="UMK165" s="146"/>
      <c r="UML165" s="146"/>
      <c r="UMM165" s="146"/>
      <c r="UMN165" s="146"/>
      <c r="UMO165" s="146"/>
      <c r="UMP165" s="146"/>
      <c r="UMQ165" s="146"/>
      <c r="UMR165" s="146"/>
      <c r="UMS165" s="146"/>
      <c r="UMT165" s="146"/>
      <c r="UMU165" s="146"/>
      <c r="UMV165" s="146"/>
      <c r="UMW165" s="146"/>
      <c r="UMX165" s="146"/>
      <c r="UMY165" s="146"/>
      <c r="UMZ165" s="146"/>
      <c r="UNA165" s="146"/>
      <c r="UNB165" s="146"/>
      <c r="UNC165" s="146"/>
      <c r="UND165" s="146"/>
      <c r="UNE165" s="146"/>
      <c r="UNF165" s="146"/>
      <c r="UNG165" s="146"/>
      <c r="UNH165" s="146"/>
      <c r="UNI165" s="146"/>
      <c r="UNJ165" s="146"/>
      <c r="UNK165" s="146"/>
      <c r="UNL165" s="146"/>
      <c r="UNM165" s="146"/>
      <c r="UNN165" s="146"/>
      <c r="UNO165" s="146"/>
      <c r="UNP165" s="146"/>
      <c r="UNQ165" s="146"/>
      <c r="UNR165" s="146"/>
      <c r="UNS165" s="146"/>
      <c r="UNT165" s="146"/>
      <c r="UNU165" s="146"/>
      <c r="UNV165" s="146"/>
      <c r="UNW165" s="146"/>
      <c r="UNX165" s="146"/>
      <c r="UNY165" s="146"/>
      <c r="UNZ165" s="146"/>
      <c r="UOA165" s="146"/>
      <c r="UOB165" s="146"/>
      <c r="UOC165" s="146"/>
      <c r="UOD165" s="146"/>
      <c r="UOE165" s="146"/>
      <c r="UOF165" s="146"/>
      <c r="UOG165" s="146"/>
      <c r="UOH165" s="146"/>
      <c r="UOI165" s="146"/>
      <c r="UOJ165" s="146"/>
      <c r="UOK165" s="146"/>
      <c r="UOL165" s="146"/>
      <c r="UOM165" s="146"/>
      <c r="UON165" s="146"/>
      <c r="UOO165" s="146"/>
      <c r="UOP165" s="146"/>
      <c r="UOQ165" s="146"/>
      <c r="UOR165" s="146"/>
      <c r="UOS165" s="146"/>
      <c r="UOT165" s="146"/>
      <c r="UOU165" s="146"/>
      <c r="UOV165" s="146"/>
      <c r="UOW165" s="146"/>
      <c r="UOX165" s="146"/>
      <c r="UOY165" s="146"/>
      <c r="UOZ165" s="146"/>
      <c r="UPA165" s="146"/>
      <c r="UPB165" s="146"/>
      <c r="UPC165" s="146"/>
      <c r="UPD165" s="146"/>
      <c r="UPE165" s="146"/>
      <c r="UPF165" s="146"/>
      <c r="UPG165" s="146"/>
      <c r="UPH165" s="146"/>
      <c r="UPI165" s="146"/>
      <c r="UPJ165" s="146"/>
      <c r="UPK165" s="146"/>
      <c r="UPL165" s="146"/>
      <c r="UPM165" s="146"/>
      <c r="UPN165" s="146"/>
      <c r="UPO165" s="146"/>
      <c r="UPP165" s="146"/>
      <c r="UPQ165" s="146"/>
      <c r="UPR165" s="146"/>
      <c r="UPS165" s="146"/>
      <c r="UPT165" s="146"/>
      <c r="UPU165" s="146"/>
      <c r="UPV165" s="146"/>
      <c r="UPW165" s="146"/>
      <c r="UPX165" s="146"/>
      <c r="UPY165" s="146"/>
      <c r="UPZ165" s="146"/>
      <c r="UQA165" s="146"/>
      <c r="UQB165" s="146"/>
      <c r="UQC165" s="146"/>
      <c r="UQD165" s="146"/>
      <c r="UQE165" s="146"/>
      <c r="UQF165" s="146"/>
      <c r="UQG165" s="146"/>
      <c r="UQH165" s="146"/>
      <c r="UQI165" s="146"/>
      <c r="UQJ165" s="146"/>
      <c r="UQK165" s="146"/>
      <c r="UQL165" s="146"/>
      <c r="UQM165" s="146"/>
      <c r="UQN165" s="146"/>
      <c r="UQO165" s="146"/>
      <c r="UQP165" s="146"/>
      <c r="UQQ165" s="146"/>
      <c r="UQR165" s="146"/>
      <c r="UQS165" s="146"/>
      <c r="UQT165" s="146"/>
      <c r="UQU165" s="146"/>
      <c r="UQV165" s="146"/>
      <c r="UQW165" s="146"/>
      <c r="UQX165" s="146"/>
      <c r="UQY165" s="146"/>
      <c r="UQZ165" s="146"/>
      <c r="URA165" s="146"/>
      <c r="URB165" s="146"/>
      <c r="URC165" s="146"/>
      <c r="URD165" s="146"/>
      <c r="URE165" s="146"/>
      <c r="URF165" s="146"/>
      <c r="URG165" s="146"/>
      <c r="URH165" s="146"/>
      <c r="URI165" s="146"/>
      <c r="URJ165" s="146"/>
      <c r="URK165" s="146"/>
      <c r="URL165" s="146"/>
      <c r="URM165" s="146"/>
      <c r="URN165" s="146"/>
      <c r="URO165" s="146"/>
      <c r="URP165" s="146"/>
      <c r="URQ165" s="146"/>
      <c r="URR165" s="146"/>
      <c r="URS165" s="146"/>
      <c r="URT165" s="146"/>
      <c r="URU165" s="146"/>
      <c r="URV165" s="146"/>
      <c r="URW165" s="146"/>
      <c r="URX165" s="146"/>
      <c r="URY165" s="146"/>
      <c r="URZ165" s="146"/>
      <c r="USA165" s="146"/>
      <c r="USB165" s="146"/>
      <c r="USC165" s="146"/>
      <c r="USD165" s="146"/>
      <c r="USE165" s="146"/>
      <c r="USF165" s="146"/>
      <c r="USG165" s="146"/>
      <c r="USH165" s="146"/>
      <c r="USI165" s="146"/>
      <c r="USJ165" s="146"/>
      <c r="USK165" s="146"/>
      <c r="USL165" s="146"/>
      <c r="USM165" s="146"/>
      <c r="USN165" s="146"/>
      <c r="USO165" s="146"/>
      <c r="USP165" s="146"/>
      <c r="USQ165" s="146"/>
      <c r="USR165" s="146"/>
      <c r="USS165" s="146"/>
      <c r="UST165" s="146"/>
      <c r="USU165" s="146"/>
      <c r="USV165" s="146"/>
      <c r="USW165" s="146"/>
      <c r="USX165" s="146"/>
      <c r="USY165" s="146"/>
      <c r="USZ165" s="146"/>
      <c r="UTA165" s="146"/>
      <c r="UTB165" s="146"/>
      <c r="UTC165" s="146"/>
      <c r="UTD165" s="146"/>
      <c r="UTE165" s="146"/>
      <c r="UTF165" s="146"/>
      <c r="UTG165" s="146"/>
      <c r="UTH165" s="146"/>
      <c r="UTI165" s="146"/>
      <c r="UTJ165" s="146"/>
      <c r="UTK165" s="146"/>
      <c r="UTL165" s="146"/>
      <c r="UTM165" s="146"/>
      <c r="UTN165" s="146"/>
      <c r="UTO165" s="146"/>
      <c r="UTP165" s="146"/>
      <c r="UTQ165" s="146"/>
      <c r="UTR165" s="146"/>
      <c r="UTS165" s="146"/>
      <c r="UTT165" s="146"/>
      <c r="UTU165" s="146"/>
      <c r="UTV165" s="146"/>
      <c r="UTW165" s="146"/>
      <c r="UTX165" s="146"/>
      <c r="UTY165" s="146"/>
      <c r="UTZ165" s="146"/>
      <c r="UUA165" s="146"/>
      <c r="UUB165" s="146"/>
      <c r="UUC165" s="146"/>
      <c r="UUD165" s="146"/>
      <c r="UUE165" s="146"/>
      <c r="UUF165" s="146"/>
      <c r="UUG165" s="146"/>
      <c r="UUH165" s="146"/>
      <c r="UUI165" s="146"/>
      <c r="UUJ165" s="146"/>
      <c r="UUK165" s="146"/>
      <c r="UUL165" s="146"/>
      <c r="UUM165" s="146"/>
      <c r="UUN165" s="146"/>
      <c r="UUO165" s="146"/>
      <c r="UUP165" s="146"/>
      <c r="UUQ165" s="146"/>
      <c r="UUR165" s="146"/>
      <c r="UUS165" s="146"/>
      <c r="UUT165" s="146"/>
      <c r="UUU165" s="146"/>
      <c r="UUV165" s="146"/>
      <c r="UUW165" s="146"/>
      <c r="UUX165" s="146"/>
      <c r="UUY165" s="146"/>
      <c r="UUZ165" s="146"/>
      <c r="UVA165" s="146"/>
      <c r="UVB165" s="146"/>
      <c r="UVC165" s="146"/>
      <c r="UVD165" s="146"/>
      <c r="UVE165" s="146"/>
      <c r="UVF165" s="146"/>
      <c r="UVG165" s="146"/>
      <c r="UVH165" s="146"/>
      <c r="UVI165" s="146"/>
      <c r="UVJ165" s="146"/>
      <c r="UVK165" s="146"/>
      <c r="UVL165" s="146"/>
      <c r="UVM165" s="146"/>
      <c r="UVN165" s="146"/>
      <c r="UVO165" s="146"/>
      <c r="UVP165" s="146"/>
      <c r="UVQ165" s="146"/>
      <c r="UVR165" s="146"/>
      <c r="UVS165" s="146"/>
      <c r="UVT165" s="146"/>
      <c r="UVU165" s="146"/>
      <c r="UVV165" s="146"/>
      <c r="UVW165" s="146"/>
      <c r="UVX165" s="146"/>
      <c r="UVY165" s="146"/>
      <c r="UVZ165" s="146"/>
      <c r="UWA165" s="146"/>
      <c r="UWB165" s="146"/>
      <c r="UWC165" s="146"/>
      <c r="UWD165" s="146"/>
      <c r="UWE165" s="146"/>
      <c r="UWF165" s="146"/>
      <c r="UWG165" s="146"/>
      <c r="UWH165" s="146"/>
      <c r="UWI165" s="146"/>
      <c r="UWJ165" s="146"/>
      <c r="UWK165" s="146"/>
      <c r="UWL165" s="146"/>
      <c r="UWM165" s="146"/>
      <c r="UWN165" s="146"/>
      <c r="UWO165" s="146"/>
      <c r="UWP165" s="146"/>
      <c r="UWQ165" s="146"/>
      <c r="UWR165" s="146"/>
      <c r="UWS165" s="146"/>
      <c r="UWT165" s="146"/>
      <c r="UWU165" s="146"/>
      <c r="UWV165" s="146"/>
      <c r="UWW165" s="146"/>
      <c r="UWX165" s="146"/>
      <c r="UWY165" s="146"/>
      <c r="UWZ165" s="146"/>
      <c r="UXA165" s="146"/>
      <c r="UXB165" s="146"/>
      <c r="UXC165" s="146"/>
      <c r="UXD165" s="146"/>
      <c r="UXE165" s="146"/>
      <c r="UXF165" s="146"/>
      <c r="UXG165" s="146"/>
      <c r="UXH165" s="146"/>
      <c r="UXI165" s="146"/>
      <c r="UXJ165" s="146"/>
      <c r="UXK165" s="146"/>
      <c r="UXL165" s="146"/>
      <c r="UXM165" s="146"/>
      <c r="UXN165" s="146"/>
      <c r="UXO165" s="146"/>
      <c r="UXP165" s="146"/>
      <c r="UXQ165" s="146"/>
      <c r="UXR165" s="146"/>
      <c r="UXS165" s="146"/>
      <c r="UXT165" s="146"/>
      <c r="UXU165" s="146"/>
      <c r="UXV165" s="146"/>
      <c r="UXW165" s="146"/>
      <c r="UXX165" s="146"/>
      <c r="UXY165" s="146"/>
      <c r="UXZ165" s="146"/>
      <c r="UYA165" s="146"/>
      <c r="UYB165" s="146"/>
      <c r="UYC165" s="146"/>
      <c r="UYD165" s="146"/>
      <c r="UYE165" s="146"/>
      <c r="UYF165" s="146"/>
      <c r="UYG165" s="146"/>
      <c r="UYH165" s="146"/>
      <c r="UYI165" s="146"/>
      <c r="UYJ165" s="146"/>
      <c r="UYK165" s="146"/>
      <c r="UYL165" s="146"/>
      <c r="UYM165" s="146"/>
      <c r="UYN165" s="146"/>
      <c r="UYO165" s="146"/>
      <c r="UYP165" s="146"/>
      <c r="UYQ165" s="146"/>
      <c r="UYR165" s="146"/>
      <c r="UYS165" s="146"/>
      <c r="UYT165" s="146"/>
      <c r="UYU165" s="146"/>
      <c r="UYV165" s="146"/>
      <c r="UYW165" s="146"/>
      <c r="UYX165" s="146"/>
      <c r="UYY165" s="146"/>
      <c r="UYZ165" s="146"/>
      <c r="UZA165" s="146"/>
      <c r="UZB165" s="146"/>
      <c r="UZC165" s="146"/>
      <c r="UZD165" s="146"/>
      <c r="UZE165" s="146"/>
      <c r="UZF165" s="146"/>
      <c r="UZG165" s="146"/>
      <c r="UZH165" s="146"/>
      <c r="UZI165" s="146"/>
      <c r="UZJ165" s="146"/>
      <c r="UZK165" s="146"/>
      <c r="UZL165" s="146"/>
      <c r="UZM165" s="146"/>
      <c r="UZN165" s="146"/>
      <c r="UZO165" s="146"/>
      <c r="UZP165" s="146"/>
      <c r="UZQ165" s="146"/>
      <c r="UZR165" s="146"/>
      <c r="UZS165" s="146"/>
      <c r="UZT165" s="146"/>
      <c r="UZU165" s="146"/>
      <c r="UZV165" s="146"/>
      <c r="UZW165" s="146"/>
      <c r="UZX165" s="146"/>
      <c r="UZY165" s="146"/>
      <c r="UZZ165" s="146"/>
      <c r="VAA165" s="146"/>
      <c r="VAB165" s="146"/>
      <c r="VAC165" s="146"/>
      <c r="VAD165" s="146"/>
      <c r="VAE165" s="146"/>
      <c r="VAF165" s="146"/>
      <c r="VAG165" s="146"/>
      <c r="VAH165" s="146"/>
      <c r="VAI165" s="146"/>
      <c r="VAJ165" s="146"/>
      <c r="VAK165" s="146"/>
      <c r="VAL165" s="146"/>
      <c r="VAM165" s="146"/>
      <c r="VAN165" s="146"/>
      <c r="VAO165" s="146"/>
      <c r="VAP165" s="146"/>
      <c r="VAQ165" s="146"/>
      <c r="VAR165" s="146"/>
      <c r="VAS165" s="146"/>
      <c r="VAT165" s="146"/>
      <c r="VAU165" s="146"/>
      <c r="VAV165" s="146"/>
      <c r="VAW165" s="146"/>
      <c r="VAX165" s="146"/>
      <c r="VAY165" s="146"/>
      <c r="VAZ165" s="146"/>
      <c r="VBA165" s="146"/>
      <c r="VBB165" s="146"/>
      <c r="VBC165" s="146"/>
      <c r="VBD165" s="146"/>
      <c r="VBE165" s="146"/>
      <c r="VBF165" s="146"/>
      <c r="VBG165" s="146"/>
      <c r="VBH165" s="146"/>
      <c r="VBI165" s="146"/>
      <c r="VBJ165" s="146"/>
      <c r="VBK165" s="146"/>
      <c r="VBL165" s="146"/>
      <c r="VBM165" s="146"/>
      <c r="VBN165" s="146"/>
      <c r="VBO165" s="146"/>
      <c r="VBP165" s="146"/>
      <c r="VBQ165" s="146"/>
      <c r="VBR165" s="146"/>
      <c r="VBS165" s="146"/>
      <c r="VBT165" s="146"/>
      <c r="VBU165" s="146"/>
      <c r="VBV165" s="146"/>
      <c r="VBW165" s="146"/>
      <c r="VBX165" s="146"/>
      <c r="VBY165" s="146"/>
      <c r="VBZ165" s="146"/>
      <c r="VCA165" s="146"/>
      <c r="VCB165" s="146"/>
      <c r="VCC165" s="146"/>
      <c r="VCD165" s="146"/>
      <c r="VCE165" s="146"/>
      <c r="VCF165" s="146"/>
      <c r="VCG165" s="146"/>
      <c r="VCH165" s="146"/>
      <c r="VCI165" s="146"/>
      <c r="VCJ165" s="146"/>
      <c r="VCK165" s="146"/>
      <c r="VCL165" s="146"/>
      <c r="VCM165" s="146"/>
      <c r="VCN165" s="146"/>
      <c r="VCO165" s="146"/>
      <c r="VCP165" s="146"/>
      <c r="VCQ165" s="146"/>
      <c r="VCR165" s="146"/>
      <c r="VCS165" s="146"/>
      <c r="VCT165" s="146"/>
      <c r="VCU165" s="146"/>
      <c r="VCV165" s="146"/>
      <c r="VCW165" s="146"/>
      <c r="VCX165" s="146"/>
      <c r="VCY165" s="146"/>
      <c r="VCZ165" s="146"/>
      <c r="VDA165" s="146"/>
      <c r="VDB165" s="146"/>
      <c r="VDC165" s="146"/>
      <c r="VDD165" s="146"/>
      <c r="VDE165" s="146"/>
      <c r="VDF165" s="146"/>
      <c r="VDG165" s="146"/>
      <c r="VDH165" s="146"/>
      <c r="VDI165" s="146"/>
      <c r="VDJ165" s="146"/>
      <c r="VDK165" s="146"/>
      <c r="VDL165" s="146"/>
      <c r="VDM165" s="146"/>
      <c r="VDN165" s="146"/>
      <c r="VDO165" s="146"/>
      <c r="VDP165" s="146"/>
      <c r="VDQ165" s="146"/>
      <c r="VDR165" s="146"/>
      <c r="VDS165" s="146"/>
      <c r="VDT165" s="146"/>
      <c r="VDU165" s="146"/>
      <c r="VDV165" s="146"/>
      <c r="VDW165" s="146"/>
      <c r="VDX165" s="146"/>
      <c r="VDY165" s="146"/>
      <c r="VDZ165" s="146"/>
      <c r="VEA165" s="146"/>
      <c r="VEB165" s="146"/>
      <c r="VEC165" s="146"/>
      <c r="VED165" s="146"/>
      <c r="VEE165" s="146"/>
      <c r="VEF165" s="146"/>
      <c r="VEG165" s="146"/>
      <c r="VEH165" s="146"/>
      <c r="VEI165" s="146"/>
      <c r="VEJ165" s="146"/>
      <c r="VEK165" s="146"/>
      <c r="VEL165" s="146"/>
      <c r="VEM165" s="146"/>
      <c r="VEN165" s="146"/>
      <c r="VEO165" s="146"/>
      <c r="VEP165" s="146"/>
      <c r="VEQ165" s="146"/>
      <c r="VER165" s="146"/>
      <c r="VES165" s="146"/>
      <c r="VET165" s="146"/>
      <c r="VEU165" s="146"/>
      <c r="VEV165" s="146"/>
      <c r="VEW165" s="146"/>
      <c r="VEX165" s="146"/>
      <c r="VEY165" s="146"/>
      <c r="VEZ165" s="146"/>
      <c r="VFA165" s="146"/>
      <c r="VFB165" s="146"/>
      <c r="VFC165" s="146"/>
      <c r="VFD165" s="146"/>
      <c r="VFE165" s="146"/>
      <c r="VFF165" s="146"/>
      <c r="VFG165" s="146"/>
      <c r="VFH165" s="146"/>
      <c r="VFI165" s="146"/>
      <c r="VFJ165" s="146"/>
      <c r="VFK165" s="146"/>
      <c r="VFL165" s="146"/>
      <c r="VFM165" s="146"/>
      <c r="VFN165" s="146"/>
      <c r="VFO165" s="146"/>
      <c r="VFP165" s="146"/>
      <c r="VFQ165" s="146"/>
      <c r="VFR165" s="146"/>
      <c r="VFS165" s="146"/>
      <c r="VFT165" s="146"/>
      <c r="VFU165" s="146"/>
      <c r="VFV165" s="146"/>
      <c r="VFW165" s="146"/>
      <c r="VFX165" s="146"/>
      <c r="VFY165" s="146"/>
      <c r="VFZ165" s="146"/>
      <c r="VGA165" s="146"/>
      <c r="VGB165" s="146"/>
      <c r="VGC165" s="146"/>
      <c r="VGD165" s="146"/>
      <c r="VGE165" s="146"/>
      <c r="VGF165" s="146"/>
      <c r="VGG165" s="146"/>
      <c r="VGH165" s="146"/>
      <c r="VGI165" s="146"/>
      <c r="VGJ165" s="146"/>
      <c r="VGK165" s="146"/>
      <c r="VGL165" s="146"/>
      <c r="VGM165" s="146"/>
      <c r="VGN165" s="146"/>
      <c r="VGO165" s="146"/>
      <c r="VGP165" s="146"/>
      <c r="VGQ165" s="146"/>
      <c r="VGR165" s="146"/>
      <c r="VGS165" s="146"/>
      <c r="VGT165" s="146"/>
      <c r="VGU165" s="146"/>
      <c r="VGV165" s="146"/>
      <c r="VGW165" s="146"/>
      <c r="VGX165" s="146"/>
      <c r="VGY165" s="146"/>
      <c r="VGZ165" s="146"/>
      <c r="VHA165" s="146"/>
      <c r="VHB165" s="146"/>
      <c r="VHC165" s="146"/>
      <c r="VHD165" s="146"/>
      <c r="VHE165" s="146"/>
      <c r="VHF165" s="146"/>
      <c r="VHG165" s="146"/>
      <c r="VHH165" s="146"/>
      <c r="VHI165" s="146"/>
      <c r="VHJ165" s="146"/>
      <c r="VHK165" s="146"/>
      <c r="VHL165" s="146"/>
      <c r="VHM165" s="146"/>
      <c r="VHN165" s="146"/>
      <c r="VHO165" s="146"/>
      <c r="VHP165" s="146"/>
      <c r="VHQ165" s="146"/>
      <c r="VHR165" s="146"/>
      <c r="VHS165" s="146"/>
      <c r="VHT165" s="146"/>
      <c r="VHU165" s="146"/>
      <c r="VHV165" s="146"/>
      <c r="VHW165" s="146"/>
      <c r="VHX165" s="146"/>
      <c r="VHY165" s="146"/>
      <c r="VHZ165" s="146"/>
      <c r="VIA165" s="146"/>
      <c r="VIB165" s="146"/>
      <c r="VIC165" s="146"/>
      <c r="VID165" s="146"/>
      <c r="VIE165" s="146"/>
      <c r="VIF165" s="146"/>
      <c r="VIG165" s="146"/>
      <c r="VIH165" s="146"/>
      <c r="VII165" s="146"/>
      <c r="VIJ165" s="146"/>
      <c r="VIK165" s="146"/>
      <c r="VIL165" s="146"/>
      <c r="VIM165" s="146"/>
      <c r="VIN165" s="146"/>
      <c r="VIO165" s="146"/>
      <c r="VIP165" s="146"/>
      <c r="VIQ165" s="146"/>
      <c r="VIR165" s="146"/>
      <c r="VIS165" s="146"/>
      <c r="VIT165" s="146"/>
      <c r="VIU165" s="146"/>
      <c r="VIV165" s="146"/>
      <c r="VIW165" s="146"/>
      <c r="VIX165" s="146"/>
      <c r="VIY165" s="146"/>
      <c r="VIZ165" s="146"/>
      <c r="VJA165" s="146"/>
      <c r="VJB165" s="146"/>
      <c r="VJC165" s="146"/>
      <c r="VJD165" s="146"/>
      <c r="VJE165" s="146"/>
      <c r="VJF165" s="146"/>
      <c r="VJG165" s="146"/>
      <c r="VJH165" s="146"/>
      <c r="VJI165" s="146"/>
      <c r="VJJ165" s="146"/>
      <c r="VJK165" s="146"/>
      <c r="VJL165" s="146"/>
      <c r="VJM165" s="146"/>
      <c r="VJN165" s="146"/>
      <c r="VJO165" s="146"/>
      <c r="VJP165" s="146"/>
      <c r="VJQ165" s="146"/>
      <c r="VJR165" s="146"/>
      <c r="VJS165" s="146"/>
      <c r="VJT165" s="146"/>
      <c r="VJU165" s="146"/>
      <c r="VJV165" s="146"/>
      <c r="VJW165" s="146"/>
      <c r="VJX165" s="146"/>
      <c r="VJY165" s="146"/>
      <c r="VJZ165" s="146"/>
      <c r="VKA165" s="146"/>
      <c r="VKB165" s="146"/>
      <c r="VKC165" s="146"/>
      <c r="VKD165" s="146"/>
      <c r="VKE165" s="146"/>
      <c r="VKF165" s="146"/>
      <c r="VKG165" s="146"/>
      <c r="VKH165" s="146"/>
      <c r="VKI165" s="146"/>
      <c r="VKJ165" s="146"/>
      <c r="VKK165" s="146"/>
      <c r="VKL165" s="146"/>
      <c r="VKM165" s="146"/>
      <c r="VKN165" s="146"/>
      <c r="VKO165" s="146"/>
      <c r="VKP165" s="146"/>
      <c r="VKQ165" s="146"/>
      <c r="VKR165" s="146"/>
      <c r="VKS165" s="146"/>
      <c r="VKT165" s="146"/>
      <c r="VKU165" s="146"/>
      <c r="VKV165" s="146"/>
      <c r="VKW165" s="146"/>
      <c r="VKX165" s="146"/>
      <c r="VKY165" s="146"/>
      <c r="VKZ165" s="146"/>
      <c r="VLA165" s="146"/>
      <c r="VLB165" s="146"/>
      <c r="VLC165" s="146"/>
      <c r="VLD165" s="146"/>
      <c r="VLE165" s="146"/>
      <c r="VLF165" s="146"/>
      <c r="VLG165" s="146"/>
      <c r="VLH165" s="146"/>
      <c r="VLI165" s="146"/>
      <c r="VLJ165" s="146"/>
      <c r="VLK165" s="146"/>
      <c r="VLL165" s="146"/>
      <c r="VLM165" s="146"/>
      <c r="VLN165" s="146"/>
      <c r="VLO165" s="146"/>
      <c r="VLP165" s="146"/>
      <c r="VLQ165" s="146"/>
      <c r="VLR165" s="146"/>
      <c r="VLS165" s="146"/>
      <c r="VLT165" s="146"/>
      <c r="VLU165" s="146"/>
      <c r="VLV165" s="146"/>
      <c r="VLW165" s="146"/>
      <c r="VLX165" s="146"/>
      <c r="VLY165" s="146"/>
      <c r="VLZ165" s="146"/>
      <c r="VMA165" s="146"/>
      <c r="VMB165" s="146"/>
      <c r="VMC165" s="146"/>
      <c r="VMD165" s="146"/>
      <c r="VME165" s="146"/>
      <c r="VMF165" s="146"/>
      <c r="VMG165" s="146"/>
      <c r="VMH165" s="146"/>
      <c r="VMI165" s="146"/>
      <c r="VMJ165" s="146"/>
      <c r="VMK165" s="146"/>
      <c r="VML165" s="146"/>
      <c r="VMM165" s="146"/>
      <c r="VMN165" s="146"/>
      <c r="VMO165" s="146"/>
      <c r="VMP165" s="146"/>
      <c r="VMQ165" s="146"/>
      <c r="VMR165" s="146"/>
      <c r="VMS165" s="146"/>
      <c r="VMT165" s="146"/>
      <c r="VMU165" s="146"/>
      <c r="VMV165" s="146"/>
      <c r="VMW165" s="146"/>
      <c r="VMX165" s="146"/>
      <c r="VMY165" s="146"/>
      <c r="VMZ165" s="146"/>
      <c r="VNA165" s="146"/>
      <c r="VNB165" s="146"/>
      <c r="VNC165" s="146"/>
      <c r="VND165" s="146"/>
      <c r="VNE165" s="146"/>
      <c r="VNF165" s="146"/>
      <c r="VNG165" s="146"/>
      <c r="VNH165" s="146"/>
      <c r="VNI165" s="146"/>
      <c r="VNJ165" s="146"/>
      <c r="VNK165" s="146"/>
      <c r="VNL165" s="146"/>
      <c r="VNM165" s="146"/>
      <c r="VNN165" s="146"/>
      <c r="VNO165" s="146"/>
      <c r="VNP165" s="146"/>
      <c r="VNQ165" s="146"/>
      <c r="VNR165" s="146"/>
      <c r="VNS165" s="146"/>
      <c r="VNT165" s="146"/>
      <c r="VNU165" s="146"/>
      <c r="VNV165" s="146"/>
      <c r="VNW165" s="146"/>
      <c r="VNX165" s="146"/>
      <c r="VNY165" s="146"/>
      <c r="VNZ165" s="146"/>
      <c r="VOA165" s="146"/>
      <c r="VOB165" s="146"/>
      <c r="VOC165" s="146"/>
      <c r="VOD165" s="146"/>
      <c r="VOE165" s="146"/>
      <c r="VOF165" s="146"/>
      <c r="VOG165" s="146"/>
      <c r="VOH165" s="146"/>
      <c r="VOI165" s="146"/>
      <c r="VOJ165" s="146"/>
      <c r="VOK165" s="146"/>
      <c r="VOL165" s="146"/>
      <c r="VOM165" s="146"/>
      <c r="VON165" s="146"/>
      <c r="VOO165" s="146"/>
      <c r="VOP165" s="146"/>
      <c r="VOQ165" s="146"/>
      <c r="VOR165" s="146"/>
      <c r="VOS165" s="146"/>
      <c r="VOT165" s="146"/>
      <c r="VOU165" s="146"/>
      <c r="VOV165" s="146"/>
      <c r="VOW165" s="146"/>
      <c r="VOX165" s="146"/>
      <c r="VOY165" s="146"/>
      <c r="VOZ165" s="146"/>
      <c r="VPA165" s="146"/>
      <c r="VPB165" s="146"/>
      <c r="VPC165" s="146"/>
      <c r="VPD165" s="146"/>
      <c r="VPE165" s="146"/>
      <c r="VPF165" s="146"/>
      <c r="VPG165" s="146"/>
      <c r="VPH165" s="146"/>
      <c r="VPI165" s="146"/>
      <c r="VPJ165" s="146"/>
      <c r="VPK165" s="146"/>
      <c r="VPL165" s="146"/>
      <c r="VPM165" s="146"/>
      <c r="VPN165" s="146"/>
      <c r="VPO165" s="146"/>
      <c r="VPP165" s="146"/>
      <c r="VPQ165" s="146"/>
      <c r="VPR165" s="146"/>
      <c r="VPS165" s="146"/>
      <c r="VPT165" s="146"/>
      <c r="VPU165" s="146"/>
      <c r="VPV165" s="146"/>
      <c r="VPW165" s="146"/>
      <c r="VPX165" s="146"/>
      <c r="VPY165" s="146"/>
      <c r="VPZ165" s="146"/>
      <c r="VQA165" s="146"/>
      <c r="VQB165" s="146"/>
      <c r="VQC165" s="146"/>
      <c r="VQD165" s="146"/>
      <c r="VQE165" s="146"/>
      <c r="VQF165" s="146"/>
      <c r="VQG165" s="146"/>
      <c r="VQH165" s="146"/>
      <c r="VQI165" s="146"/>
      <c r="VQJ165" s="146"/>
      <c r="VQK165" s="146"/>
      <c r="VQL165" s="146"/>
      <c r="VQM165" s="146"/>
      <c r="VQN165" s="146"/>
      <c r="VQO165" s="146"/>
      <c r="VQP165" s="146"/>
      <c r="VQQ165" s="146"/>
      <c r="VQR165" s="146"/>
      <c r="VQS165" s="146"/>
      <c r="VQT165" s="146"/>
      <c r="VQU165" s="146"/>
      <c r="VQV165" s="146"/>
      <c r="VQW165" s="146"/>
      <c r="VQX165" s="146"/>
      <c r="VQY165" s="146"/>
      <c r="VQZ165" s="146"/>
      <c r="VRA165" s="146"/>
      <c r="VRB165" s="146"/>
      <c r="VRC165" s="146"/>
      <c r="VRD165" s="146"/>
      <c r="VRE165" s="146"/>
      <c r="VRF165" s="146"/>
      <c r="VRG165" s="146"/>
      <c r="VRH165" s="146"/>
      <c r="VRI165" s="146"/>
      <c r="VRJ165" s="146"/>
      <c r="VRK165" s="146"/>
      <c r="VRL165" s="146"/>
      <c r="VRM165" s="146"/>
      <c r="VRN165" s="146"/>
      <c r="VRO165" s="146"/>
      <c r="VRP165" s="146"/>
      <c r="VRQ165" s="146"/>
      <c r="VRR165" s="146"/>
      <c r="VRS165" s="146"/>
      <c r="VRT165" s="146"/>
      <c r="VRU165" s="146"/>
      <c r="VRV165" s="146"/>
      <c r="VRW165" s="146"/>
      <c r="VRX165" s="146"/>
      <c r="VRY165" s="146"/>
      <c r="VRZ165" s="146"/>
      <c r="VSA165" s="146"/>
      <c r="VSB165" s="146"/>
      <c r="VSC165" s="146"/>
      <c r="VSD165" s="146"/>
      <c r="VSE165" s="146"/>
      <c r="VSF165" s="146"/>
      <c r="VSG165" s="146"/>
      <c r="VSH165" s="146"/>
      <c r="VSI165" s="146"/>
      <c r="VSJ165" s="146"/>
      <c r="VSK165" s="146"/>
      <c r="VSL165" s="146"/>
      <c r="VSM165" s="146"/>
      <c r="VSN165" s="146"/>
      <c r="VSO165" s="146"/>
      <c r="VSP165" s="146"/>
      <c r="VSQ165" s="146"/>
      <c r="VSR165" s="146"/>
      <c r="VSS165" s="146"/>
      <c r="VST165" s="146"/>
      <c r="VSU165" s="146"/>
      <c r="VSV165" s="146"/>
      <c r="VSW165" s="146"/>
      <c r="VSX165" s="146"/>
      <c r="VSY165" s="146"/>
      <c r="VSZ165" s="146"/>
      <c r="VTA165" s="146"/>
      <c r="VTB165" s="146"/>
      <c r="VTC165" s="146"/>
      <c r="VTD165" s="146"/>
      <c r="VTE165" s="146"/>
      <c r="VTF165" s="146"/>
      <c r="VTG165" s="146"/>
      <c r="VTH165" s="146"/>
      <c r="VTI165" s="146"/>
      <c r="VTJ165" s="146"/>
      <c r="VTK165" s="146"/>
      <c r="VTL165" s="146"/>
      <c r="VTM165" s="146"/>
      <c r="VTN165" s="146"/>
      <c r="VTO165" s="146"/>
      <c r="VTP165" s="146"/>
      <c r="VTQ165" s="146"/>
      <c r="VTR165" s="146"/>
      <c r="VTS165" s="146"/>
      <c r="VTT165" s="146"/>
      <c r="VTU165" s="146"/>
      <c r="VTV165" s="146"/>
      <c r="VTW165" s="146"/>
      <c r="VTX165" s="146"/>
      <c r="VTY165" s="146"/>
      <c r="VTZ165" s="146"/>
      <c r="VUA165" s="146"/>
      <c r="VUB165" s="146"/>
      <c r="VUC165" s="146"/>
      <c r="VUD165" s="146"/>
      <c r="VUE165" s="146"/>
      <c r="VUF165" s="146"/>
      <c r="VUG165" s="146"/>
      <c r="VUH165" s="146"/>
      <c r="VUI165" s="146"/>
      <c r="VUJ165" s="146"/>
      <c r="VUK165" s="146"/>
      <c r="VUL165" s="146"/>
      <c r="VUM165" s="146"/>
      <c r="VUN165" s="146"/>
      <c r="VUO165" s="146"/>
      <c r="VUP165" s="146"/>
      <c r="VUQ165" s="146"/>
      <c r="VUR165" s="146"/>
      <c r="VUS165" s="146"/>
      <c r="VUT165" s="146"/>
      <c r="VUU165" s="146"/>
      <c r="VUV165" s="146"/>
      <c r="VUW165" s="146"/>
      <c r="VUX165" s="146"/>
      <c r="VUY165" s="146"/>
      <c r="VUZ165" s="146"/>
      <c r="VVA165" s="146"/>
      <c r="VVB165" s="146"/>
      <c r="VVC165" s="146"/>
      <c r="VVD165" s="146"/>
      <c r="VVE165" s="146"/>
      <c r="VVF165" s="146"/>
      <c r="VVG165" s="146"/>
      <c r="VVH165" s="146"/>
      <c r="VVI165" s="146"/>
      <c r="VVJ165" s="146"/>
      <c r="VVK165" s="146"/>
      <c r="VVL165" s="146"/>
      <c r="VVM165" s="146"/>
      <c r="VVN165" s="146"/>
      <c r="VVO165" s="146"/>
      <c r="VVP165" s="146"/>
      <c r="VVQ165" s="146"/>
      <c r="VVR165" s="146"/>
      <c r="VVS165" s="146"/>
      <c r="VVT165" s="146"/>
      <c r="VVU165" s="146"/>
      <c r="VVV165" s="146"/>
      <c r="VVW165" s="146"/>
      <c r="VVX165" s="146"/>
      <c r="VVY165" s="146"/>
      <c r="VVZ165" s="146"/>
      <c r="VWA165" s="146"/>
      <c r="VWB165" s="146"/>
      <c r="VWC165" s="146"/>
      <c r="VWD165" s="146"/>
      <c r="VWE165" s="146"/>
      <c r="VWF165" s="146"/>
      <c r="VWG165" s="146"/>
      <c r="VWH165" s="146"/>
      <c r="VWI165" s="146"/>
      <c r="VWJ165" s="146"/>
      <c r="VWK165" s="146"/>
      <c r="VWL165" s="146"/>
      <c r="VWM165" s="146"/>
      <c r="VWN165" s="146"/>
      <c r="VWO165" s="146"/>
      <c r="VWP165" s="146"/>
      <c r="VWQ165" s="146"/>
      <c r="VWR165" s="146"/>
      <c r="VWS165" s="146"/>
      <c r="VWT165" s="146"/>
      <c r="VWU165" s="146"/>
      <c r="VWV165" s="146"/>
      <c r="VWW165" s="146"/>
      <c r="VWX165" s="146"/>
      <c r="VWY165" s="146"/>
      <c r="VWZ165" s="146"/>
      <c r="VXA165" s="146"/>
      <c r="VXB165" s="146"/>
      <c r="VXC165" s="146"/>
      <c r="VXD165" s="146"/>
      <c r="VXE165" s="146"/>
      <c r="VXF165" s="146"/>
      <c r="VXG165" s="146"/>
      <c r="VXH165" s="146"/>
      <c r="VXI165" s="146"/>
      <c r="VXJ165" s="146"/>
      <c r="VXK165" s="146"/>
      <c r="VXL165" s="146"/>
      <c r="VXM165" s="146"/>
      <c r="VXN165" s="146"/>
      <c r="VXO165" s="146"/>
      <c r="VXP165" s="146"/>
      <c r="VXQ165" s="146"/>
      <c r="VXR165" s="146"/>
      <c r="VXS165" s="146"/>
      <c r="VXT165" s="146"/>
      <c r="VXU165" s="146"/>
      <c r="VXV165" s="146"/>
      <c r="VXW165" s="146"/>
      <c r="VXX165" s="146"/>
      <c r="VXY165" s="146"/>
      <c r="VXZ165" s="146"/>
      <c r="VYA165" s="146"/>
      <c r="VYB165" s="146"/>
      <c r="VYC165" s="146"/>
      <c r="VYD165" s="146"/>
      <c r="VYE165" s="146"/>
      <c r="VYF165" s="146"/>
      <c r="VYG165" s="146"/>
      <c r="VYH165" s="146"/>
      <c r="VYI165" s="146"/>
      <c r="VYJ165" s="146"/>
      <c r="VYK165" s="146"/>
      <c r="VYL165" s="146"/>
      <c r="VYM165" s="146"/>
      <c r="VYN165" s="146"/>
      <c r="VYO165" s="146"/>
      <c r="VYP165" s="146"/>
      <c r="VYQ165" s="146"/>
      <c r="VYR165" s="146"/>
      <c r="VYS165" s="146"/>
      <c r="VYT165" s="146"/>
      <c r="VYU165" s="146"/>
      <c r="VYV165" s="146"/>
      <c r="VYW165" s="146"/>
      <c r="VYX165" s="146"/>
      <c r="VYY165" s="146"/>
      <c r="VYZ165" s="146"/>
      <c r="VZA165" s="146"/>
      <c r="VZB165" s="146"/>
      <c r="VZC165" s="146"/>
      <c r="VZD165" s="146"/>
      <c r="VZE165" s="146"/>
      <c r="VZF165" s="146"/>
      <c r="VZG165" s="146"/>
      <c r="VZH165" s="146"/>
      <c r="VZI165" s="146"/>
      <c r="VZJ165" s="146"/>
      <c r="VZK165" s="146"/>
      <c r="VZL165" s="146"/>
      <c r="VZM165" s="146"/>
      <c r="VZN165" s="146"/>
      <c r="VZO165" s="146"/>
      <c r="VZP165" s="146"/>
      <c r="VZQ165" s="146"/>
      <c r="VZR165" s="146"/>
      <c r="VZS165" s="146"/>
      <c r="VZT165" s="146"/>
      <c r="VZU165" s="146"/>
      <c r="VZV165" s="146"/>
      <c r="VZW165" s="146"/>
      <c r="VZX165" s="146"/>
      <c r="VZY165" s="146"/>
      <c r="VZZ165" s="146"/>
      <c r="WAA165" s="146"/>
      <c r="WAB165" s="146"/>
      <c r="WAC165" s="146"/>
      <c r="WAD165" s="146"/>
      <c r="WAE165" s="146"/>
      <c r="WAF165" s="146"/>
      <c r="WAG165" s="146"/>
      <c r="WAH165" s="146"/>
      <c r="WAI165" s="146"/>
      <c r="WAJ165" s="146"/>
      <c r="WAK165" s="146"/>
      <c r="WAL165" s="146"/>
      <c r="WAM165" s="146"/>
      <c r="WAN165" s="146"/>
      <c r="WAO165" s="146"/>
      <c r="WAP165" s="146"/>
      <c r="WAQ165" s="146"/>
      <c r="WAR165" s="146"/>
      <c r="WAS165" s="146"/>
      <c r="WAT165" s="146"/>
      <c r="WAU165" s="146"/>
      <c r="WAV165" s="146"/>
      <c r="WAW165" s="146"/>
      <c r="WAX165" s="146"/>
      <c r="WAY165" s="146"/>
      <c r="WAZ165" s="146"/>
      <c r="WBA165" s="146"/>
      <c r="WBB165" s="146"/>
      <c r="WBC165" s="146"/>
      <c r="WBD165" s="146"/>
      <c r="WBE165" s="146"/>
      <c r="WBF165" s="146"/>
      <c r="WBG165" s="146"/>
      <c r="WBH165" s="146"/>
      <c r="WBI165" s="146"/>
      <c r="WBJ165" s="146"/>
      <c r="WBK165" s="146"/>
      <c r="WBL165" s="146"/>
      <c r="WBM165" s="146"/>
      <c r="WBN165" s="146"/>
      <c r="WBO165" s="146"/>
      <c r="WBP165" s="146"/>
      <c r="WBQ165" s="146"/>
      <c r="WBR165" s="146"/>
      <c r="WBS165" s="146"/>
      <c r="WBT165" s="146"/>
      <c r="WBU165" s="146"/>
      <c r="WBV165" s="146"/>
      <c r="WBW165" s="146"/>
      <c r="WBX165" s="146"/>
      <c r="WBY165" s="146"/>
      <c r="WBZ165" s="146"/>
      <c r="WCA165" s="146"/>
      <c r="WCB165" s="146"/>
      <c r="WCC165" s="146"/>
      <c r="WCD165" s="146"/>
      <c r="WCE165" s="146"/>
      <c r="WCF165" s="146"/>
      <c r="WCG165" s="146"/>
      <c r="WCH165" s="146"/>
      <c r="WCI165" s="146"/>
      <c r="WCJ165" s="146"/>
      <c r="WCK165" s="146"/>
      <c r="WCL165" s="146"/>
      <c r="WCM165" s="146"/>
      <c r="WCN165" s="146"/>
      <c r="WCO165" s="146"/>
      <c r="WCP165" s="146"/>
      <c r="WCQ165" s="146"/>
      <c r="WCR165" s="146"/>
      <c r="WCS165" s="146"/>
      <c r="WCT165" s="146"/>
      <c r="WCU165" s="146"/>
      <c r="WCV165" s="146"/>
      <c r="WCW165" s="146"/>
      <c r="WCX165" s="146"/>
      <c r="WCY165" s="146"/>
      <c r="WCZ165" s="146"/>
      <c r="WDA165" s="146"/>
      <c r="WDB165" s="146"/>
      <c r="WDC165" s="146"/>
      <c r="WDD165" s="146"/>
      <c r="WDE165" s="146"/>
      <c r="WDF165" s="146"/>
      <c r="WDG165" s="146"/>
      <c r="WDH165" s="146"/>
      <c r="WDI165" s="146"/>
      <c r="WDJ165" s="146"/>
      <c r="WDK165" s="146"/>
      <c r="WDL165" s="146"/>
      <c r="WDM165" s="146"/>
      <c r="WDN165" s="146"/>
      <c r="WDO165" s="146"/>
      <c r="WDP165" s="146"/>
      <c r="WDQ165" s="146"/>
      <c r="WDR165" s="146"/>
      <c r="WDS165" s="146"/>
      <c r="WDT165" s="146"/>
      <c r="WDU165" s="146"/>
      <c r="WDV165" s="146"/>
      <c r="WDW165" s="146"/>
      <c r="WDX165" s="146"/>
      <c r="WDY165" s="146"/>
      <c r="WDZ165" s="146"/>
      <c r="WEA165" s="146"/>
      <c r="WEB165" s="146"/>
      <c r="WEC165" s="146"/>
      <c r="WED165" s="146"/>
      <c r="WEE165" s="146"/>
      <c r="WEF165" s="146"/>
      <c r="WEG165" s="146"/>
      <c r="WEH165" s="146"/>
      <c r="WEI165" s="146"/>
      <c r="WEJ165" s="146"/>
      <c r="WEK165" s="146"/>
      <c r="WEL165" s="146"/>
      <c r="WEM165" s="146"/>
      <c r="WEN165" s="146"/>
      <c r="WEO165" s="146"/>
      <c r="WEP165" s="146"/>
      <c r="WEQ165" s="146"/>
      <c r="WER165" s="146"/>
      <c r="WES165" s="146"/>
      <c r="WET165" s="146"/>
      <c r="WEU165" s="146"/>
      <c r="WEV165" s="146"/>
      <c r="WEW165" s="146"/>
      <c r="WEX165" s="146"/>
      <c r="WEY165" s="146"/>
      <c r="WEZ165" s="146"/>
      <c r="WFA165" s="146"/>
      <c r="WFB165" s="146"/>
      <c r="WFC165" s="146"/>
      <c r="WFD165" s="146"/>
      <c r="WFE165" s="146"/>
      <c r="WFF165" s="146"/>
      <c r="WFG165" s="146"/>
      <c r="WFH165" s="146"/>
      <c r="WFI165" s="146"/>
      <c r="WFJ165" s="146"/>
      <c r="WFK165" s="146"/>
      <c r="WFL165" s="146"/>
      <c r="WFM165" s="146"/>
      <c r="WFN165" s="146"/>
      <c r="WFO165" s="146"/>
      <c r="WFP165" s="146"/>
      <c r="WFQ165" s="146"/>
      <c r="WFR165" s="146"/>
      <c r="WFS165" s="146"/>
      <c r="WFT165" s="146"/>
      <c r="WFU165" s="146"/>
      <c r="WFV165" s="146"/>
      <c r="WFW165" s="146"/>
      <c r="WFX165" s="146"/>
      <c r="WFY165" s="146"/>
      <c r="WFZ165" s="146"/>
      <c r="WGA165" s="146"/>
      <c r="WGB165" s="146"/>
      <c r="WGC165" s="146"/>
      <c r="WGD165" s="146"/>
      <c r="WGE165" s="146"/>
      <c r="WGF165" s="146"/>
      <c r="WGG165" s="146"/>
      <c r="WGH165" s="146"/>
      <c r="WGI165" s="146"/>
      <c r="WGJ165" s="146"/>
      <c r="WGK165" s="146"/>
      <c r="WGL165" s="146"/>
      <c r="WGM165" s="146"/>
      <c r="WGN165" s="146"/>
      <c r="WGO165" s="146"/>
      <c r="WGP165" s="146"/>
      <c r="WGQ165" s="146"/>
      <c r="WGR165" s="146"/>
      <c r="WGS165" s="146"/>
      <c r="WGT165" s="146"/>
      <c r="WGU165" s="146"/>
      <c r="WGV165" s="146"/>
      <c r="WGW165" s="146"/>
      <c r="WGX165" s="146"/>
      <c r="WGY165" s="146"/>
      <c r="WGZ165" s="146"/>
      <c r="WHA165" s="146"/>
      <c r="WHB165" s="146"/>
      <c r="WHC165" s="146"/>
      <c r="WHD165" s="146"/>
      <c r="WHE165" s="146"/>
      <c r="WHF165" s="146"/>
      <c r="WHG165" s="146"/>
      <c r="WHH165" s="146"/>
      <c r="WHI165" s="146"/>
      <c r="WHJ165" s="146"/>
      <c r="WHK165" s="146"/>
      <c r="WHL165" s="146"/>
      <c r="WHM165" s="146"/>
      <c r="WHN165" s="146"/>
      <c r="WHO165" s="146"/>
      <c r="WHP165" s="146"/>
      <c r="WHQ165" s="146"/>
      <c r="WHR165" s="146"/>
      <c r="WHS165" s="146"/>
      <c r="WHT165" s="146"/>
      <c r="WHU165" s="146"/>
      <c r="WHV165" s="146"/>
      <c r="WHW165" s="146"/>
      <c r="WHX165" s="146"/>
      <c r="WHY165" s="146"/>
      <c r="WHZ165" s="146"/>
      <c r="WIA165" s="146"/>
      <c r="WIB165" s="146"/>
      <c r="WIC165" s="146"/>
      <c r="WID165" s="146"/>
      <c r="WIE165" s="146"/>
      <c r="WIF165" s="146"/>
      <c r="WIG165" s="146"/>
      <c r="WIH165" s="146"/>
      <c r="WII165" s="146"/>
      <c r="WIJ165" s="146"/>
      <c r="WIK165" s="146"/>
      <c r="WIL165" s="146"/>
      <c r="WIM165" s="146"/>
      <c r="WIN165" s="146"/>
      <c r="WIO165" s="146"/>
      <c r="WIP165" s="146"/>
      <c r="WIQ165" s="146"/>
      <c r="WIR165" s="146"/>
      <c r="WIS165" s="146"/>
      <c r="WIT165" s="146"/>
      <c r="WIU165" s="146"/>
      <c r="WIV165" s="146"/>
      <c r="WIW165" s="146"/>
      <c r="WIX165" s="146"/>
      <c r="WIY165" s="146"/>
      <c r="WIZ165" s="146"/>
      <c r="WJA165" s="146"/>
      <c r="WJB165" s="146"/>
      <c r="WJC165" s="146"/>
      <c r="WJD165" s="146"/>
      <c r="WJE165" s="146"/>
      <c r="WJF165" s="146"/>
      <c r="WJG165" s="146"/>
      <c r="WJH165" s="146"/>
      <c r="WJI165" s="146"/>
      <c r="WJJ165" s="146"/>
      <c r="WJK165" s="146"/>
      <c r="WJL165" s="146"/>
      <c r="WJM165" s="146"/>
      <c r="WJN165" s="146"/>
      <c r="WJO165" s="146"/>
      <c r="WJP165" s="146"/>
      <c r="WJQ165" s="146"/>
      <c r="WJR165" s="146"/>
      <c r="WJS165" s="146"/>
      <c r="WJT165" s="146"/>
      <c r="WJU165" s="146"/>
      <c r="WJV165" s="146"/>
      <c r="WJW165" s="146"/>
      <c r="WJX165" s="146"/>
      <c r="WJY165" s="146"/>
      <c r="WJZ165" s="146"/>
      <c r="WKA165" s="146"/>
      <c r="WKB165" s="146"/>
      <c r="WKC165" s="146"/>
      <c r="WKD165" s="146"/>
      <c r="WKE165" s="146"/>
      <c r="WKF165" s="146"/>
      <c r="WKG165" s="146"/>
      <c r="WKH165" s="146"/>
      <c r="WKI165" s="146"/>
      <c r="WKJ165" s="146"/>
      <c r="WKK165" s="146"/>
      <c r="WKL165" s="146"/>
      <c r="WKM165" s="146"/>
      <c r="WKN165" s="146"/>
      <c r="WKO165" s="146"/>
      <c r="WKP165" s="146"/>
      <c r="WKQ165" s="146"/>
      <c r="WKR165" s="146"/>
      <c r="WKS165" s="146"/>
      <c r="WKT165" s="146"/>
      <c r="WKU165" s="146"/>
      <c r="WKV165" s="146"/>
      <c r="WKW165" s="146"/>
      <c r="WKX165" s="146"/>
      <c r="WKY165" s="146"/>
      <c r="WKZ165" s="146"/>
      <c r="WLA165" s="146"/>
      <c r="WLB165" s="146"/>
      <c r="WLC165" s="146"/>
      <c r="WLD165" s="146"/>
      <c r="WLE165" s="146"/>
      <c r="WLF165" s="146"/>
      <c r="WLG165" s="146"/>
      <c r="WLH165" s="146"/>
      <c r="WLI165" s="146"/>
      <c r="WLJ165" s="146"/>
      <c r="WLK165" s="146"/>
      <c r="WLL165" s="146"/>
      <c r="WLM165" s="146"/>
      <c r="WLN165" s="146"/>
      <c r="WLO165" s="146"/>
      <c r="WLP165" s="146"/>
      <c r="WLQ165" s="146"/>
      <c r="WLR165" s="146"/>
      <c r="WLS165" s="146"/>
      <c r="WLT165" s="146"/>
      <c r="WLU165" s="146"/>
      <c r="WLV165" s="146"/>
      <c r="WLW165" s="146"/>
      <c r="WLX165" s="146"/>
      <c r="WLY165" s="146"/>
      <c r="WLZ165" s="146"/>
      <c r="WMA165" s="146"/>
      <c r="WMB165" s="146"/>
      <c r="WMC165" s="146"/>
      <c r="WMD165" s="146"/>
      <c r="WME165" s="146"/>
      <c r="WMF165" s="146"/>
      <c r="WMG165" s="146"/>
      <c r="WMH165" s="146"/>
      <c r="WMI165" s="146"/>
      <c r="WMJ165" s="146"/>
      <c r="WMK165" s="146"/>
      <c r="WML165" s="146"/>
      <c r="WMM165" s="146"/>
      <c r="WMN165" s="146"/>
      <c r="WMO165" s="146"/>
      <c r="WMP165" s="146"/>
      <c r="WMQ165" s="146"/>
      <c r="WMR165" s="146"/>
      <c r="WMS165" s="146"/>
      <c r="WMT165" s="146"/>
      <c r="WMU165" s="146"/>
      <c r="WMV165" s="146"/>
      <c r="WMW165" s="146"/>
      <c r="WMX165" s="146"/>
      <c r="WMY165" s="146"/>
      <c r="WMZ165" s="146"/>
      <c r="WNA165" s="146"/>
      <c r="WNB165" s="146"/>
      <c r="WNC165" s="146"/>
      <c r="WND165" s="146"/>
      <c r="WNE165" s="146"/>
      <c r="WNF165" s="146"/>
      <c r="WNG165" s="146"/>
      <c r="WNH165" s="146"/>
      <c r="WNI165" s="146"/>
      <c r="WNJ165" s="146"/>
      <c r="WNK165" s="146"/>
      <c r="WNL165" s="146"/>
      <c r="WNM165" s="146"/>
      <c r="WNN165" s="146"/>
      <c r="WNO165" s="146"/>
      <c r="WNP165" s="146"/>
      <c r="WNQ165" s="146"/>
      <c r="WNR165" s="146"/>
      <c r="WNS165" s="146"/>
      <c r="WNT165" s="146"/>
      <c r="WNU165" s="146"/>
      <c r="WNV165" s="146"/>
      <c r="WNW165" s="146"/>
      <c r="WNX165" s="146"/>
      <c r="WNY165" s="146"/>
      <c r="WNZ165" s="146"/>
      <c r="WOA165" s="146"/>
      <c r="WOB165" s="146"/>
      <c r="WOC165" s="146"/>
      <c r="WOD165" s="146"/>
      <c r="WOE165" s="146"/>
      <c r="WOF165" s="146"/>
      <c r="WOG165" s="146"/>
      <c r="WOH165" s="146"/>
      <c r="WOI165" s="146"/>
      <c r="WOJ165" s="146"/>
      <c r="WOK165" s="146"/>
      <c r="WOL165" s="146"/>
      <c r="WOM165" s="146"/>
      <c r="WON165" s="146"/>
      <c r="WOO165" s="146"/>
      <c r="WOP165" s="146"/>
      <c r="WOQ165" s="146"/>
      <c r="WOR165" s="146"/>
      <c r="WOS165" s="146"/>
      <c r="WOT165" s="146"/>
      <c r="WOU165" s="146"/>
      <c r="WOV165" s="146"/>
      <c r="WOW165" s="146"/>
      <c r="WOX165" s="146"/>
      <c r="WOY165" s="146"/>
      <c r="WOZ165" s="146"/>
      <c r="WPA165" s="146"/>
      <c r="WPB165" s="146"/>
      <c r="WPC165" s="146"/>
      <c r="WPD165" s="146"/>
      <c r="WPE165" s="146"/>
      <c r="WPF165" s="146"/>
      <c r="WPG165" s="146"/>
      <c r="WPH165" s="146"/>
      <c r="WPI165" s="146"/>
      <c r="WPJ165" s="146"/>
      <c r="WPK165" s="146"/>
      <c r="WPL165" s="146"/>
      <c r="WPM165" s="146"/>
      <c r="WPN165" s="146"/>
      <c r="WPO165" s="146"/>
      <c r="WPP165" s="146"/>
      <c r="WPQ165" s="146"/>
      <c r="WPR165" s="146"/>
      <c r="WPS165" s="146"/>
      <c r="WPT165" s="146"/>
      <c r="WPU165" s="146"/>
      <c r="WPV165" s="146"/>
      <c r="WPW165" s="146"/>
      <c r="WPX165" s="146"/>
      <c r="WPY165" s="146"/>
      <c r="WPZ165" s="146"/>
      <c r="WQA165" s="146"/>
      <c r="WQB165" s="146"/>
      <c r="WQC165" s="146"/>
      <c r="WQD165" s="146"/>
      <c r="WQE165" s="146"/>
      <c r="WQF165" s="146"/>
      <c r="WQG165" s="146"/>
      <c r="WQH165" s="146"/>
      <c r="WQI165" s="146"/>
      <c r="WQJ165" s="146"/>
      <c r="WQK165" s="146"/>
      <c r="WQL165" s="146"/>
      <c r="WQM165" s="146"/>
      <c r="WQN165" s="146"/>
      <c r="WQO165" s="146"/>
      <c r="WQP165" s="146"/>
      <c r="WQQ165" s="146"/>
      <c r="WQR165" s="146"/>
      <c r="WQS165" s="146"/>
      <c r="WQT165" s="146"/>
      <c r="WQU165" s="146"/>
      <c r="WQV165" s="146"/>
      <c r="WQW165" s="146"/>
      <c r="WQX165" s="146"/>
      <c r="WQY165" s="146"/>
      <c r="WQZ165" s="146"/>
      <c r="WRA165" s="146"/>
      <c r="WRB165" s="146"/>
      <c r="WRC165" s="146"/>
      <c r="WRD165" s="146"/>
      <c r="WRE165" s="146"/>
      <c r="WRF165" s="146"/>
      <c r="WRG165" s="146"/>
      <c r="WRH165" s="146"/>
      <c r="WRI165" s="146"/>
      <c r="WRJ165" s="146"/>
      <c r="WRK165" s="146"/>
      <c r="WRL165" s="146"/>
      <c r="WRM165" s="146"/>
      <c r="WRN165" s="146"/>
      <c r="WRO165" s="146"/>
      <c r="WRP165" s="146"/>
      <c r="WRQ165" s="146"/>
      <c r="WRR165" s="146"/>
      <c r="WRS165" s="146"/>
      <c r="WRT165" s="146"/>
      <c r="WRU165" s="146"/>
      <c r="WRV165" s="146"/>
      <c r="WRW165" s="146"/>
      <c r="WRX165" s="146"/>
      <c r="WRY165" s="146"/>
      <c r="WRZ165" s="146"/>
      <c r="WSA165" s="146"/>
      <c r="WSB165" s="146"/>
      <c r="WSC165" s="146"/>
      <c r="WSD165" s="146"/>
      <c r="WSE165" s="146"/>
      <c r="WSF165" s="146"/>
      <c r="WSG165" s="146"/>
      <c r="WSH165" s="146"/>
      <c r="WSI165" s="146"/>
      <c r="WSJ165" s="146"/>
      <c r="WSK165" s="146"/>
      <c r="WSL165" s="146"/>
      <c r="WSM165" s="146"/>
      <c r="WSN165" s="146"/>
      <c r="WSO165" s="146"/>
      <c r="WSP165" s="146"/>
      <c r="WSQ165" s="146"/>
      <c r="WSR165" s="146"/>
      <c r="WSS165" s="146"/>
      <c r="WST165" s="146"/>
      <c r="WSU165" s="146"/>
      <c r="WSV165" s="146"/>
      <c r="WSW165" s="146"/>
      <c r="WSX165" s="146"/>
      <c r="WSY165" s="146"/>
      <c r="WSZ165" s="146"/>
      <c r="WTA165" s="146"/>
      <c r="WTB165" s="146"/>
      <c r="WTC165" s="146"/>
      <c r="WTD165" s="146"/>
      <c r="WTE165" s="146"/>
      <c r="WTF165" s="146"/>
      <c r="WTG165" s="146"/>
      <c r="WTH165" s="146"/>
      <c r="WTI165" s="146"/>
      <c r="WTJ165" s="146"/>
      <c r="WTK165" s="146"/>
      <c r="WTL165" s="146"/>
      <c r="WTM165" s="146"/>
      <c r="WTN165" s="146"/>
      <c r="WTO165" s="146"/>
      <c r="WTP165" s="146"/>
      <c r="WTQ165" s="146"/>
      <c r="WTR165" s="146"/>
      <c r="WTS165" s="146"/>
      <c r="WTT165" s="146"/>
      <c r="WTU165" s="146"/>
      <c r="WTV165" s="146"/>
      <c r="WTW165" s="146"/>
      <c r="WTX165" s="146"/>
      <c r="WTY165" s="146"/>
      <c r="WTZ165" s="146"/>
      <c r="WUA165" s="146"/>
      <c r="WUB165" s="146"/>
      <c r="WUC165" s="146"/>
      <c r="WUD165" s="146"/>
      <c r="WUE165" s="146"/>
      <c r="WUF165" s="146"/>
      <c r="WUG165" s="146"/>
      <c r="WUH165" s="146"/>
      <c r="WUI165" s="146"/>
      <c r="WUJ165" s="146"/>
      <c r="WUK165" s="146"/>
      <c r="WUL165" s="146"/>
      <c r="WUM165" s="146"/>
      <c r="WUN165" s="146"/>
      <c r="WUO165" s="146"/>
      <c r="WUP165" s="146"/>
      <c r="WUQ165" s="146"/>
      <c r="WUR165" s="146"/>
      <c r="WUS165" s="146"/>
      <c r="WUT165" s="146"/>
      <c r="WUU165" s="146"/>
      <c r="WUV165" s="146"/>
      <c r="WUW165" s="146"/>
      <c r="WUX165" s="146"/>
      <c r="WUY165" s="146"/>
      <c r="WUZ165" s="146"/>
      <c r="WVA165" s="146"/>
      <c r="WVB165" s="146"/>
      <c r="WVC165" s="146"/>
      <c r="WVD165" s="146"/>
      <c r="WVE165" s="146"/>
      <c r="WVF165" s="146"/>
      <c r="WVG165" s="146"/>
      <c r="WVH165" s="146"/>
      <c r="WVI165" s="146"/>
      <c r="WVJ165" s="146"/>
      <c r="WVK165" s="146"/>
      <c r="WVL165" s="146"/>
      <c r="WVM165" s="146"/>
      <c r="WVN165" s="146"/>
      <c r="WVO165" s="146"/>
      <c r="WVP165" s="146"/>
      <c r="WVQ165" s="146"/>
      <c r="WVR165" s="146"/>
      <c r="WVS165" s="146"/>
      <c r="WVT165" s="146"/>
      <c r="WVU165" s="146"/>
      <c r="WVV165" s="146"/>
      <c r="WVW165" s="146"/>
      <c r="WVX165" s="146"/>
      <c r="WVY165" s="146"/>
      <c r="WVZ165" s="146"/>
      <c r="WWA165" s="146"/>
      <c r="WWB165" s="146"/>
      <c r="WWC165" s="146"/>
      <c r="WWD165" s="146"/>
      <c r="WWE165" s="146"/>
      <c r="WWF165" s="146"/>
      <c r="WWG165" s="146"/>
      <c r="WWH165" s="146"/>
      <c r="WWI165" s="146"/>
      <c r="WWJ165" s="146"/>
      <c r="WWK165" s="146"/>
      <c r="WWL165" s="146"/>
      <c r="WWM165" s="146"/>
      <c r="WWN165" s="146"/>
      <c r="WWO165" s="146"/>
      <c r="WWP165" s="146"/>
      <c r="WWQ165" s="146"/>
      <c r="WWR165" s="146"/>
      <c r="WWS165" s="146"/>
      <c r="WWT165" s="146"/>
      <c r="WWU165" s="146"/>
      <c r="WWV165" s="146"/>
      <c r="WWW165" s="146"/>
      <c r="WWX165" s="146"/>
      <c r="WWY165" s="146"/>
      <c r="WWZ165" s="146"/>
      <c r="WXA165" s="146"/>
      <c r="WXB165" s="146"/>
      <c r="WXC165" s="146"/>
      <c r="WXD165" s="146"/>
      <c r="WXE165" s="146"/>
      <c r="WXF165" s="146"/>
      <c r="WXG165" s="146"/>
      <c r="WXH165" s="146"/>
      <c r="WXI165" s="146"/>
      <c r="WXJ165" s="146"/>
      <c r="WXK165" s="146"/>
      <c r="WXL165" s="146"/>
      <c r="WXM165" s="146"/>
      <c r="WXN165" s="146"/>
      <c r="WXO165" s="146"/>
      <c r="WXP165" s="146"/>
      <c r="WXQ165" s="146"/>
      <c r="WXR165" s="146"/>
      <c r="WXS165" s="146"/>
      <c r="WXT165" s="146"/>
      <c r="WXU165" s="146"/>
      <c r="WXV165" s="146"/>
      <c r="WXW165" s="146"/>
      <c r="WXX165" s="146"/>
      <c r="WXY165" s="146"/>
      <c r="WXZ165" s="146"/>
      <c r="WYA165" s="146"/>
      <c r="WYB165" s="146"/>
      <c r="WYC165" s="146"/>
      <c r="WYD165" s="146"/>
      <c r="WYE165" s="146"/>
      <c r="WYF165" s="146"/>
      <c r="WYG165" s="146"/>
      <c r="WYH165" s="146"/>
      <c r="WYI165" s="146"/>
      <c r="WYJ165" s="146"/>
      <c r="WYK165" s="146"/>
      <c r="WYL165" s="146"/>
      <c r="WYM165" s="146"/>
      <c r="WYN165" s="146"/>
      <c r="WYO165" s="146"/>
      <c r="WYP165" s="146"/>
      <c r="WYQ165" s="146"/>
      <c r="WYR165" s="146"/>
      <c r="WYS165" s="146"/>
      <c r="WYT165" s="146"/>
      <c r="WYU165" s="146"/>
      <c r="WYV165" s="146"/>
      <c r="WYW165" s="146"/>
      <c r="WYX165" s="146"/>
      <c r="WYY165" s="146"/>
      <c r="WYZ165" s="146"/>
      <c r="WZA165" s="146"/>
      <c r="WZB165" s="146"/>
      <c r="WZC165" s="146"/>
      <c r="WZD165" s="146"/>
      <c r="WZE165" s="146"/>
      <c r="WZF165" s="146"/>
      <c r="WZG165" s="146"/>
      <c r="WZH165" s="146"/>
      <c r="WZI165" s="146"/>
      <c r="WZJ165" s="146"/>
      <c r="WZK165" s="146"/>
      <c r="WZL165" s="146"/>
      <c r="WZM165" s="146"/>
      <c r="WZN165" s="146"/>
      <c r="WZO165" s="146"/>
      <c r="WZP165" s="146"/>
      <c r="WZQ165" s="146"/>
      <c r="WZR165" s="146"/>
      <c r="WZS165" s="146"/>
      <c r="WZT165" s="146"/>
      <c r="WZU165" s="146"/>
      <c r="WZV165" s="146"/>
      <c r="WZW165" s="146"/>
      <c r="WZX165" s="146"/>
      <c r="WZY165" s="146"/>
      <c r="WZZ165" s="146"/>
      <c r="XAA165" s="146"/>
      <c r="XAB165" s="146"/>
      <c r="XAC165" s="146"/>
      <c r="XAD165" s="146"/>
      <c r="XAE165" s="146"/>
      <c r="XAF165" s="146"/>
      <c r="XAG165" s="146"/>
      <c r="XAH165" s="146"/>
      <c r="XAI165" s="146"/>
      <c r="XAJ165" s="146"/>
      <c r="XAK165" s="146"/>
      <c r="XAL165" s="146"/>
      <c r="XAM165" s="146"/>
      <c r="XAN165" s="146"/>
      <c r="XAO165" s="146"/>
      <c r="XAP165" s="146"/>
      <c r="XAQ165" s="146"/>
      <c r="XAR165" s="146"/>
      <c r="XAS165" s="146"/>
      <c r="XAT165" s="146"/>
      <c r="XAU165" s="146"/>
      <c r="XAV165" s="146"/>
      <c r="XAW165" s="146"/>
      <c r="XAX165" s="146"/>
      <c r="XAY165" s="146"/>
      <c r="XAZ165" s="146"/>
      <c r="XBA165" s="146"/>
      <c r="XBB165" s="146"/>
      <c r="XBC165" s="146"/>
      <c r="XBD165" s="146"/>
      <c r="XBE165" s="146"/>
      <c r="XBF165" s="146"/>
      <c r="XBG165" s="146"/>
      <c r="XBH165" s="146"/>
      <c r="XBI165" s="146"/>
      <c r="XBJ165" s="146"/>
      <c r="XBK165" s="146"/>
      <c r="XBL165" s="146"/>
      <c r="XBM165" s="146"/>
      <c r="XBN165" s="146"/>
      <c r="XBO165" s="146"/>
      <c r="XBP165" s="146"/>
      <c r="XBQ165" s="146"/>
      <c r="XBR165" s="146"/>
      <c r="XBS165" s="146"/>
      <c r="XBT165" s="146"/>
      <c r="XBU165" s="146"/>
      <c r="XBV165" s="146"/>
      <c r="XBW165" s="146"/>
      <c r="XBX165" s="146"/>
      <c r="XBY165" s="146"/>
      <c r="XBZ165" s="146"/>
      <c r="XCA165" s="146"/>
      <c r="XCB165" s="146"/>
      <c r="XCC165" s="146"/>
      <c r="XCD165" s="146"/>
      <c r="XCE165" s="146"/>
      <c r="XCF165" s="146"/>
      <c r="XCG165" s="146"/>
      <c r="XCH165" s="146"/>
      <c r="XCI165" s="146"/>
      <c r="XCJ165" s="146"/>
      <c r="XCK165" s="146"/>
      <c r="XCL165" s="146"/>
      <c r="XCM165" s="146"/>
      <c r="XCN165" s="146"/>
      <c r="XCO165" s="146"/>
      <c r="XCP165" s="146"/>
      <c r="XCQ165" s="146"/>
      <c r="XCR165" s="146"/>
      <c r="XCS165" s="146"/>
      <c r="XCT165" s="146"/>
      <c r="XCU165" s="146"/>
      <c r="XCV165" s="146"/>
      <c r="XCW165" s="146"/>
      <c r="XCX165" s="146"/>
      <c r="XCY165" s="146"/>
      <c r="XCZ165" s="146"/>
      <c r="XDA165" s="146"/>
      <c r="XDB165" s="146"/>
      <c r="XDC165" s="146"/>
      <c r="XDD165" s="146"/>
      <c r="XDE165" s="146"/>
      <c r="XDF165" s="146"/>
      <c r="XDG165" s="146"/>
      <c r="XDH165" s="146"/>
      <c r="XDI165" s="146"/>
      <c r="XDJ165" s="146"/>
      <c r="XDK165" s="146"/>
      <c r="XDL165" s="146"/>
      <c r="XDM165" s="146"/>
      <c r="XDN165" s="146"/>
      <c r="XDO165" s="146"/>
      <c r="XDP165" s="146"/>
      <c r="XDQ165" s="146"/>
      <c r="XDR165" s="146"/>
      <c r="XDS165" s="146"/>
      <c r="XDT165" s="146"/>
      <c r="XDU165" s="146"/>
      <c r="XDV165" s="146"/>
      <c r="XDW165" s="146"/>
      <c r="XDX165" s="146"/>
      <c r="XDY165" s="146"/>
      <c r="XDZ165" s="146"/>
      <c r="XEA165" s="146"/>
      <c r="XEB165" s="146"/>
      <c r="XEC165" s="146"/>
      <c r="XED165" s="146"/>
      <c r="XEE165" s="146"/>
      <c r="XEF165" s="146"/>
      <c r="XEG165" s="146"/>
      <c r="XEH165" s="146"/>
      <c r="XEI165" s="146"/>
      <c r="XEJ165" s="146"/>
      <c r="XEK165" s="146"/>
      <c r="XEL165" s="146"/>
      <c r="XEM165" s="146"/>
      <c r="XEN165" s="146"/>
      <c r="XEO165" s="146"/>
      <c r="XEP165" s="146"/>
      <c r="XEQ165" s="146"/>
      <c r="XER165" s="146"/>
      <c r="XES165" s="146"/>
      <c r="XET165" s="146"/>
      <c r="XEU165" s="146"/>
      <c r="XEV165" s="146"/>
      <c r="XEW165" s="146"/>
      <c r="XEX165" s="146"/>
      <c r="XEY165" s="146"/>
      <c r="XEZ165" s="146"/>
      <c r="XFA165" s="146"/>
      <c r="XFB165" s="146"/>
    </row>
    <row r="166" spans="1:16382" s="153" customFormat="1" x14ac:dyDescent="0.25">
      <c r="A166" s="97" t="s">
        <v>887</v>
      </c>
      <c r="B166" s="97" t="s">
        <v>11</v>
      </c>
      <c r="C166" s="150" t="s">
        <v>1892</v>
      </c>
      <c r="D166" s="151" t="str">
        <f>IF(MouserListTable[[#This Row],[Vendor]]=FilterSpecs!$A$8,MouserListTable[[#This Row],[Mouser SKU]], MouserListTable[[#This Row],[Supplier SKU]])</f>
        <v>474-DEV-13298</v>
      </c>
      <c r="E166" s="152">
        <f>MouserListTable[[#This Row],[Tot '#]]-MouserListTable[[#This Row],['# Initial]]</f>
        <v>0</v>
      </c>
      <c r="F166" s="152">
        <f>IF(AND(MouserListTable[[#This Row],[Tag]]&lt;&gt;FilterSpecs!$F$12, MouserListTable[[#This Row],[Tag]]&lt;&gt;FilterSpecs!$F$9), MouserListTable[[#This Row],['#/Unit]]*FilterSpecs!$B$3+MouserListTable[[#This Row],[Extra Initial]],0)</f>
        <v>0</v>
      </c>
      <c r="G166" s="147" t="s">
        <v>1213</v>
      </c>
      <c r="H166" s="150" t="s">
        <v>1214</v>
      </c>
      <c r="I166" s="150" t="s">
        <v>1215</v>
      </c>
      <c r="J166" s="147">
        <v>89.95</v>
      </c>
      <c r="K166" s="150">
        <v>89.95</v>
      </c>
      <c r="L166" s="150" t="s">
        <v>1896</v>
      </c>
      <c r="M166" s="150"/>
      <c r="N166" s="154">
        <f>MouserListTable[[#This Row],['# Initial]]*MouserListTable[[#This Row],[Price (USD)]]</f>
        <v>0</v>
      </c>
      <c r="O166" s="150" t="s">
        <v>1212</v>
      </c>
      <c r="P166" s="150">
        <f t="shared" si="2"/>
        <v>153</v>
      </c>
      <c r="Q166" s="150" t="s">
        <v>5</v>
      </c>
      <c r="R16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474-DEV-13298</v>
      </c>
      <c r="S166" s="157" t="str">
        <f>HYPERLINK("https://www.mouser.com/ProductDetail/" &amp;MouserListTable[[#This Row],[Mouser SKU]])</f>
        <v>https://www.mouser.com/ProductDetail/474-DEV-13298</v>
      </c>
      <c r="T166" s="146"/>
      <c r="U166" s="146"/>
      <c r="V166" s="146"/>
      <c r="W166" s="146"/>
      <c r="X166" s="146"/>
      <c r="Y166" s="146"/>
      <c r="Z166" s="146"/>
      <c r="AA166" s="146"/>
      <c r="AB166" s="146"/>
      <c r="AC166" s="146"/>
      <c r="AD166" s="146"/>
      <c r="AE166" s="146"/>
      <c r="AF166" s="146"/>
      <c r="AG166" s="146"/>
      <c r="AH166" s="146"/>
      <c r="AI166" s="146"/>
      <c r="AJ166" s="146"/>
      <c r="AK166" s="146"/>
      <c r="AL166" s="146"/>
      <c r="AM166" s="146"/>
      <c r="AN166" s="146"/>
      <c r="AO166" s="146"/>
      <c r="AP166" s="146"/>
      <c r="AQ166" s="146"/>
      <c r="AR166" s="146"/>
      <c r="AS166" s="146"/>
      <c r="AT166" s="146"/>
      <c r="AU166" s="146"/>
      <c r="AV166" s="146"/>
      <c r="AW166" s="146"/>
      <c r="AX166" s="146"/>
      <c r="AY166" s="146"/>
      <c r="AZ166" s="146"/>
      <c r="BA166" s="146"/>
      <c r="BB166" s="146"/>
      <c r="BC166" s="146"/>
      <c r="BD166" s="146"/>
      <c r="BE166" s="146"/>
      <c r="BF166" s="146"/>
      <c r="BG166" s="146"/>
      <c r="BH166" s="146"/>
      <c r="BI166" s="146"/>
      <c r="BJ166" s="146"/>
      <c r="BK166" s="146"/>
      <c r="BL166" s="146"/>
      <c r="BM166" s="146"/>
      <c r="BN166" s="146"/>
      <c r="BO166" s="146"/>
      <c r="BP166" s="146"/>
      <c r="BQ166" s="146"/>
      <c r="BR166" s="146"/>
      <c r="BS166" s="146"/>
      <c r="BT166" s="146"/>
      <c r="BU166" s="146"/>
      <c r="BV166" s="146"/>
      <c r="BW166" s="146"/>
      <c r="BX166" s="146"/>
      <c r="BY166" s="146"/>
      <c r="BZ166" s="146"/>
      <c r="CA166" s="146"/>
      <c r="CB166" s="146"/>
      <c r="CC166" s="146"/>
      <c r="CD166" s="146"/>
      <c r="CE166" s="146"/>
      <c r="CF166" s="146"/>
      <c r="CG166" s="146"/>
      <c r="CH166" s="146"/>
      <c r="CI166" s="146"/>
      <c r="CJ166" s="146"/>
      <c r="CK166" s="146"/>
      <c r="CL166" s="146"/>
      <c r="CM166" s="146"/>
      <c r="CN166" s="146"/>
      <c r="CO166" s="146"/>
      <c r="CP166" s="146"/>
      <c r="CQ166" s="146"/>
      <c r="CR166" s="146"/>
      <c r="CS166" s="146"/>
      <c r="CT166" s="146"/>
      <c r="CU166" s="146"/>
      <c r="CV166" s="146"/>
      <c r="CW166" s="146"/>
      <c r="CX166" s="146"/>
      <c r="CY166" s="146"/>
      <c r="CZ166" s="146"/>
      <c r="DA166" s="146"/>
      <c r="DB166" s="146"/>
      <c r="DC166" s="146"/>
      <c r="DD166" s="146"/>
      <c r="DE166" s="146"/>
      <c r="DF166" s="146"/>
      <c r="DG166" s="146"/>
      <c r="DH166" s="146"/>
      <c r="DI166" s="146"/>
      <c r="DJ166" s="146"/>
      <c r="DK166" s="146"/>
      <c r="DL166" s="146"/>
      <c r="DM166" s="146"/>
      <c r="DN166" s="146"/>
      <c r="DO166" s="146"/>
      <c r="DP166" s="146"/>
      <c r="DQ166" s="146"/>
      <c r="DR166" s="146"/>
      <c r="DS166" s="146"/>
      <c r="DT166" s="146"/>
      <c r="DU166" s="146"/>
      <c r="DV166" s="146"/>
      <c r="DW166" s="146"/>
      <c r="DX166" s="146"/>
      <c r="DY166" s="146"/>
      <c r="DZ166" s="146"/>
      <c r="EA166" s="146"/>
      <c r="EB166" s="146"/>
      <c r="EC166" s="146"/>
      <c r="ED166" s="146"/>
      <c r="EE166" s="146"/>
      <c r="EF166" s="146"/>
      <c r="EG166" s="146"/>
      <c r="EH166" s="146"/>
      <c r="EI166" s="146"/>
      <c r="EJ166" s="146"/>
      <c r="EK166" s="146"/>
      <c r="EL166" s="146"/>
      <c r="EM166" s="146"/>
      <c r="EN166" s="146"/>
      <c r="EO166" s="146"/>
      <c r="EP166" s="146"/>
      <c r="EQ166" s="146"/>
      <c r="ER166" s="146"/>
      <c r="ES166" s="146"/>
      <c r="ET166" s="146"/>
      <c r="EU166" s="146"/>
      <c r="EV166" s="146"/>
      <c r="EW166" s="146"/>
      <c r="EX166" s="146"/>
      <c r="EY166" s="146"/>
      <c r="EZ166" s="146"/>
      <c r="FA166" s="146"/>
      <c r="FB166" s="146"/>
      <c r="FC166" s="146"/>
      <c r="FD166" s="146"/>
      <c r="FE166" s="146"/>
      <c r="FF166" s="146"/>
      <c r="FG166" s="146"/>
      <c r="FH166" s="146"/>
      <c r="FI166" s="146"/>
      <c r="FJ166" s="146"/>
      <c r="FK166" s="146"/>
      <c r="FL166" s="146"/>
      <c r="FM166" s="146"/>
      <c r="FN166" s="146"/>
      <c r="FO166" s="146"/>
      <c r="FP166" s="146"/>
      <c r="FQ166" s="146"/>
      <c r="FR166" s="146"/>
      <c r="FS166" s="146"/>
      <c r="FT166" s="146"/>
      <c r="FU166" s="146"/>
      <c r="FV166" s="146"/>
      <c r="FW166" s="146"/>
      <c r="FX166" s="146"/>
      <c r="FY166" s="146"/>
      <c r="FZ166" s="146"/>
      <c r="GA166" s="146"/>
      <c r="GB166" s="146"/>
      <c r="GC166" s="146"/>
      <c r="GD166" s="146"/>
      <c r="GE166" s="146"/>
      <c r="GF166" s="146"/>
      <c r="GG166" s="146"/>
      <c r="GH166" s="146"/>
      <c r="GI166" s="146"/>
      <c r="GJ166" s="146"/>
      <c r="GK166" s="146"/>
      <c r="GL166" s="146"/>
      <c r="GM166" s="146"/>
      <c r="GN166" s="146"/>
      <c r="GO166" s="146"/>
      <c r="GP166" s="146"/>
      <c r="GQ166" s="146"/>
      <c r="GR166" s="146"/>
      <c r="GS166" s="146"/>
      <c r="GT166" s="146"/>
      <c r="GU166" s="146"/>
      <c r="GV166" s="146"/>
      <c r="GW166" s="146"/>
      <c r="GX166" s="146"/>
      <c r="GY166" s="146"/>
      <c r="GZ166" s="146"/>
      <c r="HA166" s="146"/>
      <c r="HB166" s="146"/>
      <c r="HC166" s="146"/>
      <c r="HD166" s="146"/>
      <c r="HE166" s="146"/>
      <c r="HF166" s="146"/>
      <c r="HG166" s="146"/>
      <c r="HH166" s="146"/>
      <c r="HI166" s="146"/>
      <c r="HJ166" s="146"/>
      <c r="HK166" s="146"/>
      <c r="HL166" s="146"/>
      <c r="HM166" s="146"/>
      <c r="HN166" s="146"/>
      <c r="HO166" s="146"/>
      <c r="HP166" s="146"/>
      <c r="HQ166" s="146"/>
      <c r="HR166" s="146"/>
      <c r="HS166" s="146"/>
      <c r="HT166" s="146"/>
      <c r="HU166" s="146"/>
      <c r="HV166" s="146"/>
      <c r="HW166" s="146"/>
      <c r="HX166" s="146"/>
      <c r="HY166" s="146"/>
      <c r="HZ166" s="146"/>
      <c r="IA166" s="146"/>
      <c r="IB166" s="146"/>
      <c r="IC166" s="146"/>
      <c r="ID166" s="146"/>
      <c r="IE166" s="146"/>
      <c r="IF166" s="146"/>
      <c r="IG166" s="146"/>
      <c r="IH166" s="146"/>
      <c r="II166" s="146"/>
      <c r="IJ166" s="146"/>
      <c r="IK166" s="146"/>
      <c r="IL166" s="146"/>
      <c r="IM166" s="146"/>
      <c r="IN166" s="146"/>
      <c r="IO166" s="146"/>
      <c r="IP166" s="146"/>
      <c r="IQ166" s="146"/>
      <c r="IR166" s="146"/>
      <c r="IS166" s="146"/>
      <c r="IT166" s="146"/>
      <c r="IU166" s="146"/>
      <c r="IV166" s="146"/>
      <c r="IW166" s="146"/>
      <c r="IX166" s="146"/>
      <c r="IY166" s="146"/>
      <c r="IZ166" s="146"/>
      <c r="JA166" s="146"/>
      <c r="JB166" s="146"/>
      <c r="JC166" s="146"/>
      <c r="JD166" s="146"/>
      <c r="JE166" s="146"/>
      <c r="JF166" s="146"/>
      <c r="JG166" s="146"/>
      <c r="JH166" s="146"/>
      <c r="JI166" s="146"/>
      <c r="JJ166" s="146"/>
      <c r="JK166" s="146"/>
      <c r="JL166" s="146"/>
      <c r="JM166" s="146"/>
      <c r="JN166" s="146"/>
      <c r="JO166" s="146"/>
      <c r="JP166" s="146"/>
      <c r="JQ166" s="146"/>
      <c r="JR166" s="146"/>
      <c r="JS166" s="146"/>
      <c r="JT166" s="146"/>
      <c r="JU166" s="146"/>
      <c r="JV166" s="146"/>
      <c r="JW166" s="146"/>
      <c r="JX166" s="146"/>
      <c r="JY166" s="146"/>
      <c r="JZ166" s="146"/>
      <c r="KA166" s="146"/>
      <c r="KB166" s="146"/>
      <c r="KC166" s="146"/>
      <c r="KD166" s="146"/>
      <c r="KE166" s="146"/>
      <c r="KF166" s="146"/>
      <c r="KG166" s="146"/>
      <c r="KH166" s="146"/>
      <c r="KI166" s="146"/>
      <c r="KJ166" s="146"/>
      <c r="KK166" s="146"/>
      <c r="KL166" s="146"/>
      <c r="KM166" s="146"/>
      <c r="KN166" s="146"/>
      <c r="KO166" s="146"/>
      <c r="KP166" s="146"/>
      <c r="KQ166" s="146"/>
      <c r="KR166" s="146"/>
      <c r="KS166" s="146"/>
      <c r="KT166" s="146"/>
      <c r="KU166" s="146"/>
      <c r="KV166" s="146"/>
      <c r="KW166" s="146"/>
      <c r="KX166" s="146"/>
      <c r="KY166" s="146"/>
      <c r="KZ166" s="146"/>
      <c r="LA166" s="146"/>
      <c r="LB166" s="146"/>
      <c r="LC166" s="146"/>
      <c r="LD166" s="146"/>
      <c r="LE166" s="146"/>
      <c r="LF166" s="146"/>
      <c r="LG166" s="146"/>
      <c r="LH166" s="146"/>
      <c r="LI166" s="146"/>
      <c r="LJ166" s="146"/>
      <c r="LK166" s="146"/>
      <c r="LL166" s="146"/>
      <c r="LM166" s="146"/>
      <c r="LN166" s="146"/>
      <c r="LO166" s="146"/>
      <c r="LP166" s="146"/>
      <c r="LQ166" s="146"/>
      <c r="LR166" s="146"/>
      <c r="LS166" s="146"/>
      <c r="LT166" s="146"/>
      <c r="LU166" s="146"/>
      <c r="LV166" s="146"/>
      <c r="LW166" s="146"/>
      <c r="LX166" s="146"/>
      <c r="LY166" s="146"/>
      <c r="LZ166" s="146"/>
      <c r="MA166" s="146"/>
      <c r="MB166" s="146"/>
      <c r="MC166" s="146"/>
      <c r="MD166" s="146"/>
      <c r="ME166" s="146"/>
      <c r="MF166" s="146"/>
      <c r="MG166" s="146"/>
      <c r="MH166" s="146"/>
      <c r="MI166" s="146"/>
      <c r="MJ166" s="146"/>
      <c r="MK166" s="146"/>
      <c r="ML166" s="146"/>
      <c r="MM166" s="146"/>
      <c r="MN166" s="146"/>
      <c r="MO166" s="146"/>
      <c r="MP166" s="146"/>
      <c r="MQ166" s="146"/>
      <c r="MR166" s="146"/>
      <c r="MS166" s="146"/>
      <c r="MT166" s="146"/>
      <c r="MU166" s="146"/>
      <c r="MV166" s="146"/>
      <c r="MW166" s="146"/>
      <c r="MX166" s="146"/>
      <c r="MY166" s="146"/>
      <c r="MZ166" s="146"/>
      <c r="NA166" s="146"/>
      <c r="NB166" s="146"/>
      <c r="NC166" s="146"/>
      <c r="ND166" s="146"/>
      <c r="NE166" s="146"/>
      <c r="NF166" s="146"/>
      <c r="NG166" s="146"/>
      <c r="NH166" s="146"/>
      <c r="NI166" s="146"/>
      <c r="NJ166" s="146"/>
      <c r="NK166" s="146"/>
      <c r="NL166" s="146"/>
      <c r="NM166" s="146"/>
      <c r="NN166" s="146"/>
      <c r="NO166" s="146"/>
      <c r="NP166" s="146"/>
      <c r="NQ166" s="146"/>
      <c r="NR166" s="146"/>
      <c r="NS166" s="146"/>
      <c r="NT166" s="146"/>
      <c r="NU166" s="146"/>
      <c r="NV166" s="146"/>
      <c r="NW166" s="146"/>
      <c r="NX166" s="146"/>
      <c r="NY166" s="146"/>
      <c r="NZ166" s="146"/>
      <c r="OA166" s="146"/>
      <c r="OB166" s="146"/>
      <c r="OC166" s="146"/>
      <c r="OD166" s="146"/>
      <c r="OE166" s="146"/>
      <c r="OF166" s="146"/>
      <c r="OG166" s="146"/>
      <c r="OH166" s="146"/>
      <c r="OI166" s="146"/>
      <c r="OJ166" s="146"/>
      <c r="OK166" s="146"/>
      <c r="OL166" s="146"/>
      <c r="OM166" s="146"/>
      <c r="ON166" s="146"/>
      <c r="OO166" s="146"/>
      <c r="OP166" s="146"/>
      <c r="OQ166" s="146"/>
      <c r="OR166" s="146"/>
      <c r="OS166" s="146"/>
      <c r="OT166" s="146"/>
      <c r="OU166" s="146"/>
      <c r="OV166" s="146"/>
      <c r="OW166" s="146"/>
      <c r="OX166" s="146"/>
      <c r="OY166" s="146"/>
      <c r="OZ166" s="146"/>
      <c r="PA166" s="146"/>
      <c r="PB166" s="146"/>
      <c r="PC166" s="146"/>
      <c r="PD166" s="146"/>
      <c r="PE166" s="146"/>
      <c r="PF166" s="146"/>
      <c r="PG166" s="146"/>
      <c r="PH166" s="146"/>
      <c r="PI166" s="146"/>
      <c r="PJ166" s="146"/>
      <c r="PK166" s="146"/>
      <c r="PL166" s="146"/>
      <c r="PM166" s="146"/>
      <c r="PN166" s="146"/>
      <c r="PO166" s="146"/>
      <c r="PP166" s="146"/>
      <c r="PQ166" s="146"/>
      <c r="PR166" s="146"/>
      <c r="PS166" s="146"/>
      <c r="PT166" s="146"/>
      <c r="PU166" s="146"/>
      <c r="PV166" s="146"/>
      <c r="PW166" s="146"/>
      <c r="PX166" s="146"/>
      <c r="PY166" s="146"/>
      <c r="PZ166" s="146"/>
      <c r="QA166" s="146"/>
      <c r="QB166" s="146"/>
      <c r="QC166" s="146"/>
      <c r="QD166" s="146"/>
      <c r="QE166" s="146"/>
      <c r="QF166" s="146"/>
      <c r="QG166" s="146"/>
      <c r="QH166" s="146"/>
      <c r="QI166" s="146"/>
      <c r="QJ166" s="146"/>
      <c r="QK166" s="146"/>
      <c r="QL166" s="146"/>
      <c r="QM166" s="146"/>
      <c r="QN166" s="146"/>
      <c r="QO166" s="146"/>
      <c r="QP166" s="146"/>
      <c r="QQ166" s="146"/>
      <c r="QR166" s="146"/>
      <c r="QS166" s="146"/>
      <c r="QT166" s="146"/>
      <c r="QU166" s="146"/>
      <c r="QV166" s="146"/>
      <c r="QW166" s="146"/>
      <c r="QX166" s="146"/>
      <c r="QY166" s="146"/>
      <c r="QZ166" s="146"/>
      <c r="RA166" s="146"/>
      <c r="RB166" s="146"/>
      <c r="RC166" s="146"/>
      <c r="RD166" s="146"/>
      <c r="RE166" s="146"/>
      <c r="RF166" s="146"/>
      <c r="RG166" s="146"/>
      <c r="RH166" s="146"/>
      <c r="RI166" s="146"/>
      <c r="RJ166" s="146"/>
      <c r="RK166" s="146"/>
      <c r="RL166" s="146"/>
      <c r="RM166" s="146"/>
      <c r="RN166" s="146"/>
      <c r="RO166" s="146"/>
      <c r="RP166" s="146"/>
      <c r="RQ166" s="146"/>
      <c r="RR166" s="146"/>
      <c r="RS166" s="146"/>
      <c r="RT166" s="146"/>
      <c r="RU166" s="146"/>
      <c r="RV166" s="146"/>
      <c r="RW166" s="146"/>
      <c r="RX166" s="146"/>
      <c r="RY166" s="146"/>
      <c r="RZ166" s="146"/>
      <c r="SA166" s="146"/>
      <c r="SB166" s="146"/>
      <c r="SC166" s="146"/>
      <c r="SD166" s="146"/>
      <c r="SE166" s="146"/>
      <c r="SF166" s="146"/>
      <c r="SG166" s="146"/>
      <c r="SH166" s="146"/>
      <c r="SI166" s="146"/>
      <c r="SJ166" s="146"/>
      <c r="SK166" s="146"/>
      <c r="SL166" s="146"/>
      <c r="SM166" s="146"/>
      <c r="SN166" s="146"/>
      <c r="SO166" s="146"/>
      <c r="SP166" s="146"/>
      <c r="SQ166" s="146"/>
      <c r="SR166" s="146"/>
      <c r="SS166" s="146"/>
      <c r="ST166" s="146"/>
      <c r="SU166" s="146"/>
      <c r="SV166" s="146"/>
      <c r="SW166" s="146"/>
      <c r="SX166" s="146"/>
      <c r="SY166" s="146"/>
      <c r="SZ166" s="146"/>
      <c r="TA166" s="146"/>
      <c r="TB166" s="146"/>
      <c r="TC166" s="146"/>
      <c r="TD166" s="146"/>
      <c r="TE166" s="146"/>
      <c r="TF166" s="146"/>
      <c r="TG166" s="146"/>
      <c r="TH166" s="146"/>
      <c r="TI166" s="146"/>
      <c r="TJ166" s="146"/>
      <c r="TK166" s="146"/>
      <c r="TL166" s="146"/>
      <c r="TM166" s="146"/>
      <c r="TN166" s="146"/>
      <c r="TO166" s="146"/>
      <c r="TP166" s="146"/>
      <c r="TQ166" s="146"/>
      <c r="TR166" s="146"/>
      <c r="TS166" s="146"/>
      <c r="TT166" s="146"/>
      <c r="TU166" s="146"/>
      <c r="TV166" s="146"/>
      <c r="TW166" s="146"/>
      <c r="TX166" s="146"/>
      <c r="TY166" s="146"/>
      <c r="TZ166" s="146"/>
      <c r="UA166" s="146"/>
      <c r="UB166" s="146"/>
      <c r="UC166" s="146"/>
      <c r="UD166" s="146"/>
      <c r="UE166" s="146"/>
      <c r="UF166" s="146"/>
      <c r="UG166" s="146"/>
      <c r="UH166" s="146"/>
      <c r="UI166" s="146"/>
      <c r="UJ166" s="146"/>
      <c r="UK166" s="146"/>
      <c r="UL166" s="146"/>
      <c r="UM166" s="146"/>
      <c r="UN166" s="146"/>
      <c r="UO166" s="146"/>
      <c r="UP166" s="146"/>
      <c r="UQ166" s="146"/>
      <c r="UR166" s="146"/>
      <c r="US166" s="146"/>
      <c r="UT166" s="146"/>
      <c r="UU166" s="146"/>
      <c r="UV166" s="146"/>
      <c r="UW166" s="146"/>
      <c r="UX166" s="146"/>
      <c r="UY166" s="146"/>
      <c r="UZ166" s="146"/>
      <c r="VA166" s="146"/>
      <c r="VB166" s="146"/>
      <c r="VC166" s="146"/>
      <c r="VD166" s="146"/>
      <c r="VE166" s="146"/>
      <c r="VF166" s="146"/>
      <c r="VG166" s="146"/>
      <c r="VH166" s="146"/>
      <c r="VI166" s="146"/>
      <c r="VJ166" s="146"/>
      <c r="VK166" s="146"/>
      <c r="VL166" s="146"/>
      <c r="VM166" s="146"/>
      <c r="VN166" s="146"/>
      <c r="VO166" s="146"/>
      <c r="VP166" s="146"/>
      <c r="VQ166" s="146"/>
      <c r="VR166" s="146"/>
      <c r="VS166" s="146"/>
      <c r="VT166" s="146"/>
      <c r="VU166" s="146"/>
      <c r="VV166" s="146"/>
      <c r="VW166" s="146"/>
      <c r="VX166" s="146"/>
      <c r="VY166" s="146"/>
      <c r="VZ166" s="146"/>
      <c r="WA166" s="146"/>
      <c r="WB166" s="146"/>
      <c r="WC166" s="146"/>
      <c r="WD166" s="146"/>
      <c r="WE166" s="146"/>
      <c r="WF166" s="146"/>
      <c r="WG166" s="146"/>
      <c r="WH166" s="146"/>
      <c r="WI166" s="146"/>
      <c r="WJ166" s="146"/>
      <c r="WK166" s="146"/>
      <c r="WL166" s="146"/>
      <c r="WM166" s="146"/>
      <c r="WN166" s="146"/>
      <c r="WO166" s="146"/>
      <c r="WP166" s="146"/>
      <c r="WQ166" s="146"/>
      <c r="WR166" s="146"/>
      <c r="WS166" s="146"/>
      <c r="WT166" s="146"/>
      <c r="WU166" s="146"/>
      <c r="WV166" s="146"/>
      <c r="WW166" s="146"/>
      <c r="WX166" s="146"/>
      <c r="WY166" s="146"/>
      <c r="WZ166" s="146"/>
      <c r="XA166" s="146"/>
      <c r="XB166" s="146"/>
      <c r="XC166" s="146"/>
      <c r="XD166" s="146"/>
      <c r="XE166" s="146"/>
      <c r="XF166" s="146"/>
      <c r="XG166" s="146"/>
      <c r="XH166" s="146"/>
      <c r="XI166" s="146"/>
      <c r="XJ166" s="146"/>
      <c r="XK166" s="146"/>
      <c r="XL166" s="146"/>
      <c r="XM166" s="146"/>
      <c r="XN166" s="146"/>
      <c r="XO166" s="146"/>
      <c r="XP166" s="146"/>
      <c r="XQ166" s="146"/>
      <c r="XR166" s="146"/>
      <c r="XS166" s="146"/>
      <c r="XT166" s="146"/>
      <c r="XU166" s="146"/>
      <c r="XV166" s="146"/>
      <c r="XW166" s="146"/>
      <c r="XX166" s="146"/>
      <c r="XY166" s="146"/>
      <c r="XZ166" s="146"/>
      <c r="YA166" s="146"/>
      <c r="YB166" s="146"/>
      <c r="YC166" s="146"/>
      <c r="YD166" s="146"/>
      <c r="YE166" s="146"/>
      <c r="YF166" s="146"/>
      <c r="YG166" s="146"/>
      <c r="YH166" s="146"/>
      <c r="YI166" s="146"/>
      <c r="YJ166" s="146"/>
      <c r="YK166" s="146"/>
      <c r="YL166" s="146"/>
      <c r="YM166" s="146"/>
      <c r="YN166" s="146"/>
      <c r="YO166" s="146"/>
      <c r="YP166" s="146"/>
      <c r="YQ166" s="146"/>
      <c r="YR166" s="146"/>
      <c r="YS166" s="146"/>
      <c r="YT166" s="146"/>
      <c r="YU166" s="146"/>
      <c r="YV166" s="146"/>
      <c r="YW166" s="146"/>
      <c r="YX166" s="146"/>
      <c r="YY166" s="146"/>
      <c r="YZ166" s="146"/>
      <c r="ZA166" s="146"/>
      <c r="ZB166" s="146"/>
      <c r="ZC166" s="146"/>
      <c r="ZD166" s="146"/>
      <c r="ZE166" s="146"/>
      <c r="ZF166" s="146"/>
      <c r="ZG166" s="146"/>
      <c r="ZH166" s="146"/>
      <c r="ZI166" s="146"/>
      <c r="ZJ166" s="146"/>
      <c r="ZK166" s="146"/>
      <c r="ZL166" s="146"/>
      <c r="ZM166" s="146"/>
      <c r="ZN166" s="146"/>
      <c r="ZO166" s="146"/>
      <c r="ZP166" s="146"/>
      <c r="ZQ166" s="146"/>
      <c r="ZR166" s="146"/>
      <c r="ZS166" s="146"/>
      <c r="ZT166" s="146"/>
      <c r="ZU166" s="146"/>
      <c r="ZV166" s="146"/>
      <c r="ZW166" s="146"/>
      <c r="ZX166" s="146"/>
      <c r="ZY166" s="146"/>
      <c r="ZZ166" s="146"/>
      <c r="AAA166" s="146"/>
      <c r="AAB166" s="146"/>
      <c r="AAC166" s="146"/>
      <c r="AAD166" s="146"/>
      <c r="AAE166" s="146"/>
      <c r="AAF166" s="146"/>
      <c r="AAG166" s="146"/>
      <c r="AAH166" s="146"/>
      <c r="AAI166" s="146"/>
      <c r="AAJ166" s="146"/>
      <c r="AAK166" s="146"/>
      <c r="AAL166" s="146"/>
      <c r="AAM166" s="146"/>
      <c r="AAN166" s="146"/>
      <c r="AAO166" s="146"/>
      <c r="AAP166" s="146"/>
      <c r="AAQ166" s="146"/>
      <c r="AAR166" s="146"/>
      <c r="AAS166" s="146"/>
      <c r="AAT166" s="146"/>
      <c r="AAU166" s="146"/>
      <c r="AAV166" s="146"/>
      <c r="AAW166" s="146"/>
      <c r="AAX166" s="146"/>
      <c r="AAY166" s="146"/>
      <c r="AAZ166" s="146"/>
      <c r="ABA166" s="146"/>
      <c r="ABB166" s="146"/>
      <c r="ABC166" s="146"/>
      <c r="ABD166" s="146"/>
      <c r="ABE166" s="146"/>
      <c r="ABF166" s="146"/>
      <c r="ABG166" s="146"/>
      <c r="ABH166" s="146"/>
      <c r="ABI166" s="146"/>
      <c r="ABJ166" s="146"/>
      <c r="ABK166" s="146"/>
      <c r="ABL166" s="146"/>
      <c r="ABM166" s="146"/>
      <c r="ABN166" s="146"/>
      <c r="ABO166" s="146"/>
      <c r="ABP166" s="146"/>
      <c r="ABQ166" s="146"/>
      <c r="ABR166" s="146"/>
      <c r="ABS166" s="146"/>
      <c r="ABT166" s="146"/>
      <c r="ABU166" s="146"/>
      <c r="ABV166" s="146"/>
      <c r="ABW166" s="146"/>
      <c r="ABX166" s="146"/>
      <c r="ABY166" s="146"/>
      <c r="ABZ166" s="146"/>
      <c r="ACA166" s="146"/>
      <c r="ACB166" s="146"/>
      <c r="ACC166" s="146"/>
      <c r="ACD166" s="146"/>
      <c r="ACE166" s="146"/>
      <c r="ACF166" s="146"/>
      <c r="ACG166" s="146"/>
      <c r="ACH166" s="146"/>
      <c r="ACI166" s="146"/>
      <c r="ACJ166" s="146"/>
      <c r="ACK166" s="146"/>
      <c r="ACL166" s="146"/>
      <c r="ACM166" s="146"/>
      <c r="ACN166" s="146"/>
      <c r="ACO166" s="146"/>
      <c r="ACP166" s="146"/>
      <c r="ACQ166" s="146"/>
      <c r="ACR166" s="146"/>
      <c r="ACS166" s="146"/>
      <c r="ACT166" s="146"/>
      <c r="ACU166" s="146"/>
      <c r="ACV166" s="146"/>
      <c r="ACW166" s="146"/>
      <c r="ACX166" s="146"/>
      <c r="ACY166" s="146"/>
      <c r="ACZ166" s="146"/>
      <c r="ADA166" s="146"/>
      <c r="ADB166" s="146"/>
      <c r="ADC166" s="146"/>
      <c r="ADD166" s="146"/>
      <c r="ADE166" s="146"/>
      <c r="ADF166" s="146"/>
      <c r="ADG166" s="146"/>
      <c r="ADH166" s="146"/>
      <c r="ADI166" s="146"/>
      <c r="ADJ166" s="146"/>
      <c r="ADK166" s="146"/>
      <c r="ADL166" s="146"/>
      <c r="ADM166" s="146"/>
      <c r="ADN166" s="146"/>
      <c r="ADO166" s="146"/>
      <c r="ADP166" s="146"/>
      <c r="ADQ166" s="146"/>
      <c r="ADR166" s="146"/>
      <c r="ADS166" s="146"/>
      <c r="ADT166" s="146"/>
      <c r="ADU166" s="146"/>
      <c r="ADV166" s="146"/>
      <c r="ADW166" s="146"/>
      <c r="ADX166" s="146"/>
      <c r="ADY166" s="146"/>
      <c r="ADZ166" s="146"/>
      <c r="AEA166" s="146"/>
      <c r="AEB166" s="146"/>
      <c r="AEC166" s="146"/>
      <c r="AED166" s="146"/>
      <c r="AEE166" s="146"/>
      <c r="AEF166" s="146"/>
      <c r="AEG166" s="146"/>
      <c r="AEH166" s="146"/>
      <c r="AEI166" s="146"/>
      <c r="AEJ166" s="146"/>
      <c r="AEK166" s="146"/>
      <c r="AEL166" s="146"/>
      <c r="AEM166" s="146"/>
      <c r="AEN166" s="146"/>
      <c r="AEO166" s="146"/>
      <c r="AEP166" s="146"/>
      <c r="AEQ166" s="146"/>
      <c r="AER166" s="146"/>
      <c r="AES166" s="146"/>
      <c r="AET166" s="146"/>
      <c r="AEU166" s="146"/>
      <c r="AEV166" s="146"/>
      <c r="AEW166" s="146"/>
      <c r="AEX166" s="146"/>
      <c r="AEY166" s="146"/>
      <c r="AEZ166" s="146"/>
      <c r="AFA166" s="146"/>
      <c r="AFB166" s="146"/>
      <c r="AFC166" s="146"/>
      <c r="AFD166" s="146"/>
      <c r="AFE166" s="146"/>
      <c r="AFF166" s="146"/>
      <c r="AFG166" s="146"/>
      <c r="AFH166" s="146"/>
      <c r="AFI166" s="146"/>
      <c r="AFJ166" s="146"/>
      <c r="AFK166" s="146"/>
      <c r="AFL166" s="146"/>
      <c r="AFM166" s="146"/>
      <c r="AFN166" s="146"/>
      <c r="AFO166" s="146"/>
      <c r="AFP166" s="146"/>
      <c r="AFQ166" s="146"/>
      <c r="AFR166" s="146"/>
      <c r="AFS166" s="146"/>
      <c r="AFT166" s="146"/>
      <c r="AFU166" s="146"/>
      <c r="AFV166" s="146"/>
      <c r="AFW166" s="146"/>
      <c r="AFX166" s="146"/>
      <c r="AFY166" s="146"/>
      <c r="AFZ166" s="146"/>
      <c r="AGA166" s="146"/>
      <c r="AGB166" s="146"/>
      <c r="AGC166" s="146"/>
      <c r="AGD166" s="146"/>
      <c r="AGE166" s="146"/>
      <c r="AGF166" s="146"/>
      <c r="AGG166" s="146"/>
      <c r="AGH166" s="146"/>
      <c r="AGI166" s="146"/>
      <c r="AGJ166" s="146"/>
      <c r="AGK166" s="146"/>
      <c r="AGL166" s="146"/>
      <c r="AGM166" s="146"/>
      <c r="AGN166" s="146"/>
      <c r="AGO166" s="146"/>
      <c r="AGP166" s="146"/>
      <c r="AGQ166" s="146"/>
      <c r="AGR166" s="146"/>
      <c r="AGS166" s="146"/>
      <c r="AGT166" s="146"/>
      <c r="AGU166" s="146"/>
      <c r="AGV166" s="146"/>
      <c r="AGW166" s="146"/>
      <c r="AGX166" s="146"/>
      <c r="AGY166" s="146"/>
      <c r="AGZ166" s="146"/>
      <c r="AHA166" s="146"/>
      <c r="AHB166" s="146"/>
      <c r="AHC166" s="146"/>
      <c r="AHD166" s="146"/>
      <c r="AHE166" s="146"/>
      <c r="AHF166" s="146"/>
      <c r="AHG166" s="146"/>
      <c r="AHH166" s="146"/>
      <c r="AHI166" s="146"/>
      <c r="AHJ166" s="146"/>
      <c r="AHK166" s="146"/>
      <c r="AHL166" s="146"/>
      <c r="AHM166" s="146"/>
      <c r="AHN166" s="146"/>
      <c r="AHO166" s="146"/>
      <c r="AHP166" s="146"/>
      <c r="AHQ166" s="146"/>
      <c r="AHR166" s="146"/>
      <c r="AHS166" s="146"/>
      <c r="AHT166" s="146"/>
      <c r="AHU166" s="146"/>
      <c r="AHV166" s="146"/>
      <c r="AHW166" s="146"/>
      <c r="AHX166" s="146"/>
      <c r="AHY166" s="146"/>
      <c r="AHZ166" s="146"/>
      <c r="AIA166" s="146"/>
      <c r="AIB166" s="146"/>
      <c r="AIC166" s="146"/>
      <c r="AID166" s="146"/>
      <c r="AIE166" s="146"/>
      <c r="AIF166" s="146"/>
      <c r="AIG166" s="146"/>
      <c r="AIH166" s="146"/>
      <c r="AII166" s="146"/>
      <c r="AIJ166" s="146"/>
      <c r="AIK166" s="146"/>
      <c r="AIL166" s="146"/>
      <c r="AIM166" s="146"/>
      <c r="AIN166" s="146"/>
      <c r="AIO166" s="146"/>
      <c r="AIP166" s="146"/>
      <c r="AIQ166" s="146"/>
      <c r="AIR166" s="146"/>
      <c r="AIS166" s="146"/>
      <c r="AIT166" s="146"/>
      <c r="AIU166" s="146"/>
      <c r="AIV166" s="146"/>
      <c r="AIW166" s="146"/>
      <c r="AIX166" s="146"/>
      <c r="AIY166" s="146"/>
      <c r="AIZ166" s="146"/>
      <c r="AJA166" s="146"/>
      <c r="AJB166" s="146"/>
      <c r="AJC166" s="146"/>
      <c r="AJD166" s="146"/>
      <c r="AJE166" s="146"/>
      <c r="AJF166" s="146"/>
      <c r="AJG166" s="146"/>
      <c r="AJH166" s="146"/>
      <c r="AJI166" s="146"/>
      <c r="AJJ166" s="146"/>
      <c r="AJK166" s="146"/>
      <c r="AJL166" s="146"/>
      <c r="AJM166" s="146"/>
      <c r="AJN166" s="146"/>
      <c r="AJO166" s="146"/>
      <c r="AJP166" s="146"/>
      <c r="AJQ166" s="146"/>
      <c r="AJR166" s="146"/>
      <c r="AJS166" s="146"/>
      <c r="AJT166" s="146"/>
      <c r="AJU166" s="146"/>
      <c r="AJV166" s="146"/>
      <c r="AJW166" s="146"/>
      <c r="AJX166" s="146"/>
      <c r="AJY166" s="146"/>
      <c r="AJZ166" s="146"/>
      <c r="AKA166" s="146"/>
      <c r="AKB166" s="146"/>
      <c r="AKC166" s="146"/>
      <c r="AKD166" s="146"/>
      <c r="AKE166" s="146"/>
      <c r="AKF166" s="146"/>
      <c r="AKG166" s="146"/>
      <c r="AKH166" s="146"/>
      <c r="AKI166" s="146"/>
      <c r="AKJ166" s="146"/>
      <c r="AKK166" s="146"/>
      <c r="AKL166" s="146"/>
      <c r="AKM166" s="146"/>
      <c r="AKN166" s="146"/>
      <c r="AKO166" s="146"/>
      <c r="AKP166" s="146"/>
      <c r="AKQ166" s="146"/>
      <c r="AKR166" s="146"/>
      <c r="AKS166" s="146"/>
      <c r="AKT166" s="146"/>
      <c r="AKU166" s="146"/>
      <c r="AKV166" s="146"/>
      <c r="AKW166" s="146"/>
      <c r="AKX166" s="146"/>
      <c r="AKY166" s="146"/>
      <c r="AKZ166" s="146"/>
      <c r="ALA166" s="146"/>
      <c r="ALB166" s="146"/>
      <c r="ALC166" s="146"/>
      <c r="ALD166" s="146"/>
      <c r="ALE166" s="146"/>
      <c r="ALF166" s="146"/>
      <c r="ALG166" s="146"/>
      <c r="ALH166" s="146"/>
      <c r="ALI166" s="146"/>
      <c r="ALJ166" s="146"/>
      <c r="ALK166" s="146"/>
      <c r="ALL166" s="146"/>
      <c r="ALM166" s="146"/>
      <c r="ALN166" s="146"/>
      <c r="ALO166" s="146"/>
      <c r="ALP166" s="146"/>
      <c r="ALQ166" s="146"/>
      <c r="ALR166" s="146"/>
      <c r="ALS166" s="146"/>
      <c r="ALT166" s="146"/>
      <c r="ALU166" s="146"/>
      <c r="ALV166" s="146"/>
      <c r="ALW166" s="146"/>
      <c r="ALX166" s="146"/>
      <c r="ALY166" s="146"/>
      <c r="ALZ166" s="146"/>
      <c r="AMA166" s="146"/>
      <c r="AMB166" s="146"/>
      <c r="AMC166" s="146"/>
      <c r="AMD166" s="146"/>
      <c r="AME166" s="146"/>
      <c r="AMF166" s="146"/>
      <c r="AMG166" s="146"/>
      <c r="AMH166" s="146"/>
      <c r="AMI166" s="146"/>
      <c r="AMJ166" s="146"/>
      <c r="AMK166" s="146"/>
      <c r="AML166" s="146"/>
      <c r="AMM166" s="146"/>
      <c r="AMN166" s="146"/>
      <c r="AMO166" s="146"/>
      <c r="AMP166" s="146"/>
      <c r="AMQ166" s="146"/>
      <c r="AMR166" s="146"/>
      <c r="AMS166" s="146"/>
      <c r="AMT166" s="146"/>
      <c r="AMU166" s="146"/>
      <c r="AMV166" s="146"/>
      <c r="AMW166" s="146"/>
      <c r="AMX166" s="146"/>
      <c r="AMY166" s="146"/>
      <c r="AMZ166" s="146"/>
      <c r="ANA166" s="146"/>
      <c r="ANB166" s="146"/>
      <c r="ANC166" s="146"/>
      <c r="AND166" s="146"/>
      <c r="ANE166" s="146"/>
      <c r="ANF166" s="146"/>
      <c r="ANG166" s="146"/>
      <c r="ANH166" s="146"/>
      <c r="ANI166" s="146"/>
      <c r="ANJ166" s="146"/>
      <c r="ANK166" s="146"/>
      <c r="ANL166" s="146"/>
      <c r="ANM166" s="146"/>
      <c r="ANN166" s="146"/>
      <c r="ANO166" s="146"/>
      <c r="ANP166" s="146"/>
      <c r="ANQ166" s="146"/>
      <c r="ANR166" s="146"/>
      <c r="ANS166" s="146"/>
      <c r="ANT166" s="146"/>
      <c r="ANU166" s="146"/>
      <c r="ANV166" s="146"/>
      <c r="ANW166" s="146"/>
      <c r="ANX166" s="146"/>
      <c r="ANY166" s="146"/>
      <c r="ANZ166" s="146"/>
      <c r="AOA166" s="146"/>
      <c r="AOB166" s="146"/>
      <c r="AOC166" s="146"/>
      <c r="AOD166" s="146"/>
      <c r="AOE166" s="146"/>
      <c r="AOF166" s="146"/>
      <c r="AOG166" s="146"/>
      <c r="AOH166" s="146"/>
      <c r="AOI166" s="146"/>
      <c r="AOJ166" s="146"/>
      <c r="AOK166" s="146"/>
      <c r="AOL166" s="146"/>
      <c r="AOM166" s="146"/>
      <c r="AON166" s="146"/>
      <c r="AOO166" s="146"/>
      <c r="AOP166" s="146"/>
      <c r="AOQ166" s="146"/>
      <c r="AOR166" s="146"/>
      <c r="AOS166" s="146"/>
      <c r="AOT166" s="146"/>
      <c r="AOU166" s="146"/>
      <c r="AOV166" s="146"/>
      <c r="AOW166" s="146"/>
      <c r="AOX166" s="146"/>
      <c r="AOY166" s="146"/>
      <c r="AOZ166" s="146"/>
      <c r="APA166" s="146"/>
      <c r="APB166" s="146"/>
      <c r="APC166" s="146"/>
      <c r="APD166" s="146"/>
      <c r="APE166" s="146"/>
      <c r="APF166" s="146"/>
      <c r="APG166" s="146"/>
      <c r="APH166" s="146"/>
      <c r="API166" s="146"/>
      <c r="APJ166" s="146"/>
      <c r="APK166" s="146"/>
      <c r="APL166" s="146"/>
      <c r="APM166" s="146"/>
      <c r="APN166" s="146"/>
      <c r="APO166" s="146"/>
      <c r="APP166" s="146"/>
      <c r="APQ166" s="146"/>
      <c r="APR166" s="146"/>
      <c r="APS166" s="146"/>
      <c r="APT166" s="146"/>
      <c r="APU166" s="146"/>
      <c r="APV166" s="146"/>
      <c r="APW166" s="146"/>
      <c r="APX166" s="146"/>
      <c r="APY166" s="146"/>
      <c r="APZ166" s="146"/>
      <c r="AQA166" s="146"/>
      <c r="AQB166" s="146"/>
      <c r="AQC166" s="146"/>
      <c r="AQD166" s="146"/>
      <c r="AQE166" s="146"/>
      <c r="AQF166" s="146"/>
      <c r="AQG166" s="146"/>
      <c r="AQH166" s="146"/>
      <c r="AQI166" s="146"/>
      <c r="AQJ166" s="146"/>
      <c r="AQK166" s="146"/>
      <c r="AQL166" s="146"/>
      <c r="AQM166" s="146"/>
      <c r="AQN166" s="146"/>
      <c r="AQO166" s="146"/>
      <c r="AQP166" s="146"/>
      <c r="AQQ166" s="146"/>
      <c r="AQR166" s="146"/>
      <c r="AQS166" s="146"/>
      <c r="AQT166" s="146"/>
      <c r="AQU166" s="146"/>
      <c r="AQV166" s="146"/>
      <c r="AQW166" s="146"/>
      <c r="AQX166" s="146"/>
      <c r="AQY166" s="146"/>
      <c r="AQZ166" s="146"/>
      <c r="ARA166" s="146"/>
      <c r="ARB166" s="146"/>
      <c r="ARC166" s="146"/>
      <c r="ARD166" s="146"/>
      <c r="ARE166" s="146"/>
      <c r="ARF166" s="146"/>
      <c r="ARG166" s="146"/>
      <c r="ARH166" s="146"/>
      <c r="ARI166" s="146"/>
      <c r="ARJ166" s="146"/>
      <c r="ARK166" s="146"/>
      <c r="ARL166" s="146"/>
      <c r="ARM166" s="146"/>
      <c r="ARN166" s="146"/>
      <c r="ARO166" s="146"/>
      <c r="ARP166" s="146"/>
      <c r="ARQ166" s="146"/>
      <c r="ARR166" s="146"/>
      <c r="ARS166" s="146"/>
      <c r="ART166" s="146"/>
      <c r="ARU166" s="146"/>
      <c r="ARV166" s="146"/>
      <c r="ARW166" s="146"/>
      <c r="ARX166" s="146"/>
      <c r="ARY166" s="146"/>
      <c r="ARZ166" s="146"/>
      <c r="ASA166" s="146"/>
      <c r="ASB166" s="146"/>
      <c r="ASC166" s="146"/>
      <c r="ASD166" s="146"/>
      <c r="ASE166" s="146"/>
      <c r="ASF166" s="146"/>
      <c r="ASG166" s="146"/>
      <c r="ASH166" s="146"/>
      <c r="ASI166" s="146"/>
      <c r="ASJ166" s="146"/>
      <c r="ASK166" s="146"/>
      <c r="ASL166" s="146"/>
      <c r="ASM166" s="146"/>
      <c r="ASN166" s="146"/>
      <c r="ASO166" s="146"/>
      <c r="ASP166" s="146"/>
      <c r="ASQ166" s="146"/>
      <c r="ASR166" s="146"/>
      <c r="ASS166" s="146"/>
      <c r="AST166" s="146"/>
      <c r="ASU166" s="146"/>
      <c r="ASV166" s="146"/>
      <c r="ASW166" s="146"/>
      <c r="ASX166" s="146"/>
      <c r="ASY166" s="146"/>
      <c r="ASZ166" s="146"/>
      <c r="ATA166" s="146"/>
      <c r="ATB166" s="146"/>
      <c r="ATC166" s="146"/>
      <c r="ATD166" s="146"/>
      <c r="ATE166" s="146"/>
      <c r="ATF166" s="146"/>
      <c r="ATG166" s="146"/>
      <c r="ATH166" s="146"/>
      <c r="ATI166" s="146"/>
      <c r="ATJ166" s="146"/>
      <c r="ATK166" s="146"/>
      <c r="ATL166" s="146"/>
      <c r="ATM166" s="146"/>
      <c r="ATN166" s="146"/>
      <c r="ATO166" s="146"/>
      <c r="ATP166" s="146"/>
      <c r="ATQ166" s="146"/>
      <c r="ATR166" s="146"/>
      <c r="ATS166" s="146"/>
      <c r="ATT166" s="146"/>
      <c r="ATU166" s="146"/>
      <c r="ATV166" s="146"/>
      <c r="ATW166" s="146"/>
      <c r="ATX166" s="146"/>
      <c r="ATY166" s="146"/>
      <c r="ATZ166" s="146"/>
      <c r="AUA166" s="146"/>
      <c r="AUB166" s="146"/>
      <c r="AUC166" s="146"/>
      <c r="AUD166" s="146"/>
      <c r="AUE166" s="146"/>
      <c r="AUF166" s="146"/>
      <c r="AUG166" s="146"/>
      <c r="AUH166" s="146"/>
      <c r="AUI166" s="146"/>
      <c r="AUJ166" s="146"/>
      <c r="AUK166" s="146"/>
      <c r="AUL166" s="146"/>
      <c r="AUM166" s="146"/>
      <c r="AUN166" s="146"/>
      <c r="AUO166" s="146"/>
      <c r="AUP166" s="146"/>
      <c r="AUQ166" s="146"/>
      <c r="AUR166" s="146"/>
      <c r="AUS166" s="146"/>
      <c r="AUT166" s="146"/>
      <c r="AUU166" s="146"/>
      <c r="AUV166" s="146"/>
      <c r="AUW166" s="146"/>
      <c r="AUX166" s="146"/>
      <c r="AUY166" s="146"/>
      <c r="AUZ166" s="146"/>
      <c r="AVA166" s="146"/>
      <c r="AVB166" s="146"/>
      <c r="AVC166" s="146"/>
      <c r="AVD166" s="146"/>
      <c r="AVE166" s="146"/>
      <c r="AVF166" s="146"/>
      <c r="AVG166" s="146"/>
      <c r="AVH166" s="146"/>
      <c r="AVI166" s="146"/>
      <c r="AVJ166" s="146"/>
      <c r="AVK166" s="146"/>
      <c r="AVL166" s="146"/>
      <c r="AVM166" s="146"/>
      <c r="AVN166" s="146"/>
      <c r="AVO166" s="146"/>
      <c r="AVP166" s="146"/>
      <c r="AVQ166" s="146"/>
      <c r="AVR166" s="146"/>
      <c r="AVS166" s="146"/>
      <c r="AVT166" s="146"/>
      <c r="AVU166" s="146"/>
      <c r="AVV166" s="146"/>
      <c r="AVW166" s="146"/>
      <c r="AVX166" s="146"/>
      <c r="AVY166" s="146"/>
      <c r="AVZ166" s="146"/>
      <c r="AWA166" s="146"/>
      <c r="AWB166" s="146"/>
      <c r="AWC166" s="146"/>
      <c r="AWD166" s="146"/>
      <c r="AWE166" s="146"/>
      <c r="AWF166" s="146"/>
      <c r="AWG166" s="146"/>
      <c r="AWH166" s="146"/>
      <c r="AWI166" s="146"/>
      <c r="AWJ166" s="146"/>
      <c r="AWK166" s="146"/>
      <c r="AWL166" s="146"/>
      <c r="AWM166" s="146"/>
      <c r="AWN166" s="146"/>
      <c r="AWO166" s="146"/>
      <c r="AWP166" s="146"/>
      <c r="AWQ166" s="146"/>
      <c r="AWR166" s="146"/>
      <c r="AWS166" s="146"/>
      <c r="AWT166" s="146"/>
      <c r="AWU166" s="146"/>
      <c r="AWV166" s="146"/>
      <c r="AWW166" s="146"/>
      <c r="AWX166" s="146"/>
      <c r="AWY166" s="146"/>
      <c r="AWZ166" s="146"/>
      <c r="AXA166" s="146"/>
      <c r="AXB166" s="146"/>
      <c r="AXC166" s="146"/>
      <c r="AXD166" s="146"/>
      <c r="AXE166" s="146"/>
      <c r="AXF166" s="146"/>
      <c r="AXG166" s="146"/>
      <c r="AXH166" s="146"/>
      <c r="AXI166" s="146"/>
      <c r="AXJ166" s="146"/>
      <c r="AXK166" s="146"/>
      <c r="AXL166" s="146"/>
      <c r="AXM166" s="146"/>
      <c r="AXN166" s="146"/>
      <c r="AXO166" s="146"/>
      <c r="AXP166" s="146"/>
      <c r="AXQ166" s="146"/>
      <c r="AXR166" s="146"/>
      <c r="AXS166" s="146"/>
      <c r="AXT166" s="146"/>
      <c r="AXU166" s="146"/>
      <c r="AXV166" s="146"/>
      <c r="AXW166" s="146"/>
      <c r="AXX166" s="146"/>
      <c r="AXY166" s="146"/>
      <c r="AXZ166" s="146"/>
      <c r="AYA166" s="146"/>
      <c r="AYB166" s="146"/>
      <c r="AYC166" s="146"/>
      <c r="AYD166" s="146"/>
      <c r="AYE166" s="146"/>
      <c r="AYF166" s="146"/>
      <c r="AYG166" s="146"/>
      <c r="AYH166" s="146"/>
      <c r="AYI166" s="146"/>
      <c r="AYJ166" s="146"/>
      <c r="AYK166" s="146"/>
      <c r="AYL166" s="146"/>
      <c r="AYM166" s="146"/>
      <c r="AYN166" s="146"/>
      <c r="AYO166" s="146"/>
      <c r="AYP166" s="146"/>
      <c r="AYQ166" s="146"/>
      <c r="AYR166" s="146"/>
      <c r="AYS166" s="146"/>
      <c r="AYT166" s="146"/>
      <c r="AYU166" s="146"/>
      <c r="AYV166" s="146"/>
      <c r="AYW166" s="146"/>
      <c r="AYX166" s="146"/>
      <c r="AYY166" s="146"/>
      <c r="AYZ166" s="146"/>
      <c r="AZA166" s="146"/>
      <c r="AZB166" s="146"/>
      <c r="AZC166" s="146"/>
      <c r="AZD166" s="146"/>
      <c r="AZE166" s="146"/>
      <c r="AZF166" s="146"/>
      <c r="AZG166" s="146"/>
      <c r="AZH166" s="146"/>
      <c r="AZI166" s="146"/>
      <c r="AZJ166" s="146"/>
      <c r="AZK166" s="146"/>
      <c r="AZL166" s="146"/>
      <c r="AZM166" s="146"/>
      <c r="AZN166" s="146"/>
      <c r="AZO166" s="146"/>
      <c r="AZP166" s="146"/>
      <c r="AZQ166" s="146"/>
      <c r="AZR166" s="146"/>
      <c r="AZS166" s="146"/>
      <c r="AZT166" s="146"/>
      <c r="AZU166" s="146"/>
      <c r="AZV166" s="146"/>
      <c r="AZW166" s="146"/>
      <c r="AZX166" s="146"/>
      <c r="AZY166" s="146"/>
      <c r="AZZ166" s="146"/>
      <c r="BAA166" s="146"/>
      <c r="BAB166" s="146"/>
      <c r="BAC166" s="146"/>
      <c r="BAD166" s="146"/>
      <c r="BAE166" s="146"/>
      <c r="BAF166" s="146"/>
      <c r="BAG166" s="146"/>
      <c r="BAH166" s="146"/>
      <c r="BAI166" s="146"/>
      <c r="BAJ166" s="146"/>
      <c r="BAK166" s="146"/>
      <c r="BAL166" s="146"/>
      <c r="BAM166" s="146"/>
      <c r="BAN166" s="146"/>
      <c r="BAO166" s="146"/>
      <c r="BAP166" s="146"/>
      <c r="BAQ166" s="146"/>
      <c r="BAR166" s="146"/>
      <c r="BAS166" s="146"/>
      <c r="BAT166" s="146"/>
      <c r="BAU166" s="146"/>
      <c r="BAV166" s="146"/>
      <c r="BAW166" s="146"/>
      <c r="BAX166" s="146"/>
      <c r="BAY166" s="146"/>
      <c r="BAZ166" s="146"/>
      <c r="BBA166" s="146"/>
      <c r="BBB166" s="146"/>
      <c r="BBC166" s="146"/>
      <c r="BBD166" s="146"/>
      <c r="BBE166" s="146"/>
      <c r="BBF166" s="146"/>
      <c r="BBG166" s="146"/>
      <c r="BBH166" s="146"/>
      <c r="BBI166" s="146"/>
      <c r="BBJ166" s="146"/>
      <c r="BBK166" s="146"/>
      <c r="BBL166" s="146"/>
      <c r="BBM166" s="146"/>
      <c r="BBN166" s="146"/>
      <c r="BBO166" s="146"/>
      <c r="BBP166" s="146"/>
      <c r="BBQ166" s="146"/>
      <c r="BBR166" s="146"/>
      <c r="BBS166" s="146"/>
      <c r="BBT166" s="146"/>
      <c r="BBU166" s="146"/>
      <c r="BBV166" s="146"/>
      <c r="BBW166" s="146"/>
      <c r="BBX166" s="146"/>
      <c r="BBY166" s="146"/>
      <c r="BBZ166" s="146"/>
      <c r="BCA166" s="146"/>
      <c r="BCB166" s="146"/>
      <c r="BCC166" s="146"/>
      <c r="BCD166" s="146"/>
      <c r="BCE166" s="146"/>
      <c r="BCF166" s="146"/>
      <c r="BCG166" s="146"/>
      <c r="BCH166" s="146"/>
      <c r="BCI166" s="146"/>
      <c r="BCJ166" s="146"/>
      <c r="BCK166" s="146"/>
      <c r="BCL166" s="146"/>
      <c r="BCM166" s="146"/>
      <c r="BCN166" s="146"/>
      <c r="BCO166" s="146"/>
      <c r="BCP166" s="146"/>
      <c r="BCQ166" s="146"/>
      <c r="BCR166" s="146"/>
      <c r="BCS166" s="146"/>
      <c r="BCT166" s="146"/>
      <c r="BCU166" s="146"/>
      <c r="BCV166" s="146"/>
      <c r="BCW166" s="146"/>
      <c r="BCX166" s="146"/>
      <c r="BCY166" s="146"/>
      <c r="BCZ166" s="146"/>
      <c r="BDA166" s="146"/>
      <c r="BDB166" s="146"/>
      <c r="BDC166" s="146"/>
      <c r="BDD166" s="146"/>
      <c r="BDE166" s="146"/>
      <c r="BDF166" s="146"/>
      <c r="BDG166" s="146"/>
      <c r="BDH166" s="146"/>
      <c r="BDI166" s="146"/>
      <c r="BDJ166" s="146"/>
      <c r="BDK166" s="146"/>
      <c r="BDL166" s="146"/>
      <c r="BDM166" s="146"/>
      <c r="BDN166" s="146"/>
      <c r="BDO166" s="146"/>
      <c r="BDP166" s="146"/>
      <c r="BDQ166" s="146"/>
      <c r="BDR166" s="146"/>
      <c r="BDS166" s="146"/>
      <c r="BDT166" s="146"/>
      <c r="BDU166" s="146"/>
      <c r="BDV166" s="146"/>
      <c r="BDW166" s="146"/>
      <c r="BDX166" s="146"/>
      <c r="BDY166" s="146"/>
      <c r="BDZ166" s="146"/>
      <c r="BEA166" s="146"/>
      <c r="BEB166" s="146"/>
      <c r="BEC166" s="146"/>
      <c r="BED166" s="146"/>
      <c r="BEE166" s="146"/>
      <c r="BEF166" s="146"/>
      <c r="BEG166" s="146"/>
      <c r="BEH166" s="146"/>
      <c r="BEI166" s="146"/>
      <c r="BEJ166" s="146"/>
      <c r="BEK166" s="146"/>
      <c r="BEL166" s="146"/>
      <c r="BEM166" s="146"/>
      <c r="BEN166" s="146"/>
      <c r="BEO166" s="146"/>
      <c r="BEP166" s="146"/>
      <c r="BEQ166" s="146"/>
      <c r="BER166" s="146"/>
      <c r="BES166" s="146"/>
      <c r="BET166" s="146"/>
      <c r="BEU166" s="146"/>
      <c r="BEV166" s="146"/>
      <c r="BEW166" s="146"/>
      <c r="BEX166" s="146"/>
      <c r="BEY166" s="146"/>
      <c r="BEZ166" s="146"/>
      <c r="BFA166" s="146"/>
      <c r="BFB166" s="146"/>
      <c r="BFC166" s="146"/>
      <c r="BFD166" s="146"/>
      <c r="BFE166" s="146"/>
      <c r="BFF166" s="146"/>
      <c r="BFG166" s="146"/>
      <c r="BFH166" s="146"/>
      <c r="BFI166" s="146"/>
      <c r="BFJ166" s="146"/>
      <c r="BFK166" s="146"/>
      <c r="BFL166" s="146"/>
      <c r="BFM166" s="146"/>
      <c r="BFN166" s="146"/>
      <c r="BFO166" s="146"/>
      <c r="BFP166" s="146"/>
      <c r="BFQ166" s="146"/>
      <c r="BFR166" s="146"/>
      <c r="BFS166" s="146"/>
      <c r="BFT166" s="146"/>
      <c r="BFU166" s="146"/>
      <c r="BFV166" s="146"/>
      <c r="BFW166" s="146"/>
      <c r="BFX166" s="146"/>
      <c r="BFY166" s="146"/>
      <c r="BFZ166" s="146"/>
      <c r="BGA166" s="146"/>
      <c r="BGB166" s="146"/>
      <c r="BGC166" s="146"/>
      <c r="BGD166" s="146"/>
      <c r="BGE166" s="146"/>
      <c r="BGF166" s="146"/>
      <c r="BGG166" s="146"/>
      <c r="BGH166" s="146"/>
      <c r="BGI166" s="146"/>
      <c r="BGJ166" s="146"/>
      <c r="BGK166" s="146"/>
      <c r="BGL166" s="146"/>
      <c r="BGM166" s="146"/>
      <c r="BGN166" s="146"/>
      <c r="BGO166" s="146"/>
      <c r="BGP166" s="146"/>
      <c r="BGQ166" s="146"/>
      <c r="BGR166" s="146"/>
      <c r="BGS166" s="146"/>
      <c r="BGT166" s="146"/>
      <c r="BGU166" s="146"/>
      <c r="BGV166" s="146"/>
      <c r="BGW166" s="146"/>
      <c r="BGX166" s="146"/>
      <c r="BGY166" s="146"/>
      <c r="BGZ166" s="146"/>
      <c r="BHA166" s="146"/>
      <c r="BHB166" s="146"/>
      <c r="BHC166" s="146"/>
      <c r="BHD166" s="146"/>
      <c r="BHE166" s="146"/>
      <c r="BHF166" s="146"/>
      <c r="BHG166" s="146"/>
      <c r="BHH166" s="146"/>
      <c r="BHI166" s="146"/>
      <c r="BHJ166" s="146"/>
      <c r="BHK166" s="146"/>
      <c r="BHL166" s="146"/>
      <c r="BHM166" s="146"/>
      <c r="BHN166" s="146"/>
      <c r="BHO166" s="146"/>
      <c r="BHP166" s="146"/>
      <c r="BHQ166" s="146"/>
      <c r="BHR166" s="146"/>
      <c r="BHS166" s="146"/>
      <c r="BHT166" s="146"/>
      <c r="BHU166" s="146"/>
      <c r="BHV166" s="146"/>
      <c r="BHW166" s="146"/>
      <c r="BHX166" s="146"/>
      <c r="BHY166" s="146"/>
      <c r="BHZ166" s="146"/>
      <c r="BIA166" s="146"/>
      <c r="BIB166" s="146"/>
      <c r="BIC166" s="146"/>
      <c r="BID166" s="146"/>
      <c r="BIE166" s="146"/>
      <c r="BIF166" s="146"/>
      <c r="BIG166" s="146"/>
      <c r="BIH166" s="146"/>
      <c r="BII166" s="146"/>
      <c r="BIJ166" s="146"/>
      <c r="BIK166" s="146"/>
      <c r="BIL166" s="146"/>
      <c r="BIM166" s="146"/>
      <c r="BIN166" s="146"/>
      <c r="BIO166" s="146"/>
      <c r="BIP166" s="146"/>
      <c r="BIQ166" s="146"/>
      <c r="BIR166" s="146"/>
      <c r="BIS166" s="146"/>
      <c r="BIT166" s="146"/>
      <c r="BIU166" s="146"/>
      <c r="BIV166" s="146"/>
      <c r="BIW166" s="146"/>
      <c r="BIX166" s="146"/>
      <c r="BIY166" s="146"/>
      <c r="BIZ166" s="146"/>
      <c r="BJA166" s="146"/>
      <c r="BJB166" s="146"/>
      <c r="BJC166" s="146"/>
      <c r="BJD166" s="146"/>
      <c r="BJE166" s="146"/>
      <c r="BJF166" s="146"/>
      <c r="BJG166" s="146"/>
      <c r="BJH166" s="146"/>
      <c r="BJI166" s="146"/>
      <c r="BJJ166" s="146"/>
      <c r="BJK166" s="146"/>
      <c r="BJL166" s="146"/>
      <c r="BJM166" s="146"/>
      <c r="BJN166" s="146"/>
      <c r="BJO166" s="146"/>
      <c r="BJP166" s="146"/>
      <c r="BJQ166" s="146"/>
      <c r="BJR166" s="146"/>
      <c r="BJS166" s="146"/>
      <c r="BJT166" s="146"/>
      <c r="BJU166" s="146"/>
      <c r="BJV166" s="146"/>
      <c r="BJW166" s="146"/>
      <c r="BJX166" s="146"/>
      <c r="BJY166" s="146"/>
      <c r="BJZ166" s="146"/>
      <c r="BKA166" s="146"/>
      <c r="BKB166" s="146"/>
      <c r="BKC166" s="146"/>
      <c r="BKD166" s="146"/>
      <c r="BKE166" s="146"/>
      <c r="BKF166" s="146"/>
      <c r="BKG166" s="146"/>
      <c r="BKH166" s="146"/>
      <c r="BKI166" s="146"/>
      <c r="BKJ166" s="146"/>
      <c r="BKK166" s="146"/>
      <c r="BKL166" s="146"/>
      <c r="BKM166" s="146"/>
      <c r="BKN166" s="146"/>
      <c r="BKO166" s="146"/>
      <c r="BKP166" s="146"/>
      <c r="BKQ166" s="146"/>
      <c r="BKR166" s="146"/>
      <c r="BKS166" s="146"/>
      <c r="BKT166" s="146"/>
      <c r="BKU166" s="146"/>
      <c r="BKV166" s="146"/>
      <c r="BKW166" s="146"/>
      <c r="BKX166" s="146"/>
      <c r="BKY166" s="146"/>
      <c r="BKZ166" s="146"/>
      <c r="BLA166" s="146"/>
      <c r="BLB166" s="146"/>
      <c r="BLC166" s="146"/>
      <c r="BLD166" s="146"/>
      <c r="BLE166" s="146"/>
      <c r="BLF166" s="146"/>
      <c r="BLG166" s="146"/>
      <c r="BLH166" s="146"/>
      <c r="BLI166" s="146"/>
      <c r="BLJ166" s="146"/>
      <c r="BLK166" s="146"/>
      <c r="BLL166" s="146"/>
      <c r="BLM166" s="146"/>
      <c r="BLN166" s="146"/>
      <c r="BLO166" s="146"/>
      <c r="BLP166" s="146"/>
      <c r="BLQ166" s="146"/>
      <c r="BLR166" s="146"/>
      <c r="BLS166" s="146"/>
      <c r="BLT166" s="146"/>
      <c r="BLU166" s="146"/>
      <c r="BLV166" s="146"/>
      <c r="BLW166" s="146"/>
      <c r="BLX166" s="146"/>
      <c r="BLY166" s="146"/>
      <c r="BLZ166" s="146"/>
      <c r="BMA166" s="146"/>
      <c r="BMB166" s="146"/>
      <c r="BMC166" s="146"/>
      <c r="BMD166" s="146"/>
      <c r="BME166" s="146"/>
      <c r="BMF166" s="146"/>
      <c r="BMG166" s="146"/>
      <c r="BMH166" s="146"/>
      <c r="BMI166" s="146"/>
      <c r="BMJ166" s="146"/>
      <c r="BMK166" s="146"/>
      <c r="BML166" s="146"/>
      <c r="BMM166" s="146"/>
      <c r="BMN166" s="146"/>
      <c r="BMO166" s="146"/>
      <c r="BMP166" s="146"/>
      <c r="BMQ166" s="146"/>
      <c r="BMR166" s="146"/>
      <c r="BMS166" s="146"/>
      <c r="BMT166" s="146"/>
      <c r="BMU166" s="146"/>
      <c r="BMV166" s="146"/>
      <c r="BMW166" s="146"/>
      <c r="BMX166" s="146"/>
      <c r="BMY166" s="146"/>
      <c r="BMZ166" s="146"/>
      <c r="BNA166" s="146"/>
      <c r="BNB166" s="146"/>
      <c r="BNC166" s="146"/>
      <c r="BND166" s="146"/>
      <c r="BNE166" s="146"/>
      <c r="BNF166" s="146"/>
      <c r="BNG166" s="146"/>
      <c r="BNH166" s="146"/>
      <c r="BNI166" s="146"/>
      <c r="BNJ166" s="146"/>
      <c r="BNK166" s="146"/>
      <c r="BNL166" s="146"/>
      <c r="BNM166" s="146"/>
      <c r="BNN166" s="146"/>
      <c r="BNO166" s="146"/>
      <c r="BNP166" s="146"/>
      <c r="BNQ166" s="146"/>
      <c r="BNR166" s="146"/>
      <c r="BNS166" s="146"/>
      <c r="BNT166" s="146"/>
      <c r="BNU166" s="146"/>
      <c r="BNV166" s="146"/>
      <c r="BNW166" s="146"/>
      <c r="BNX166" s="146"/>
      <c r="BNY166" s="146"/>
      <c r="BNZ166" s="146"/>
      <c r="BOA166" s="146"/>
      <c r="BOB166" s="146"/>
      <c r="BOC166" s="146"/>
      <c r="BOD166" s="146"/>
      <c r="BOE166" s="146"/>
      <c r="BOF166" s="146"/>
      <c r="BOG166" s="146"/>
      <c r="BOH166" s="146"/>
      <c r="BOI166" s="146"/>
      <c r="BOJ166" s="146"/>
      <c r="BOK166" s="146"/>
      <c r="BOL166" s="146"/>
      <c r="BOM166" s="146"/>
      <c r="BON166" s="146"/>
      <c r="BOO166" s="146"/>
      <c r="BOP166" s="146"/>
      <c r="BOQ166" s="146"/>
      <c r="BOR166" s="146"/>
      <c r="BOS166" s="146"/>
      <c r="BOT166" s="146"/>
      <c r="BOU166" s="146"/>
      <c r="BOV166" s="146"/>
      <c r="BOW166" s="146"/>
      <c r="BOX166" s="146"/>
      <c r="BOY166" s="146"/>
      <c r="BOZ166" s="146"/>
      <c r="BPA166" s="146"/>
      <c r="BPB166" s="146"/>
      <c r="BPC166" s="146"/>
      <c r="BPD166" s="146"/>
      <c r="BPE166" s="146"/>
      <c r="BPF166" s="146"/>
      <c r="BPG166" s="146"/>
      <c r="BPH166" s="146"/>
      <c r="BPI166" s="146"/>
      <c r="BPJ166" s="146"/>
      <c r="BPK166" s="146"/>
      <c r="BPL166" s="146"/>
      <c r="BPM166" s="146"/>
      <c r="BPN166" s="146"/>
      <c r="BPO166" s="146"/>
      <c r="BPP166" s="146"/>
      <c r="BPQ166" s="146"/>
      <c r="BPR166" s="146"/>
      <c r="BPS166" s="146"/>
      <c r="BPT166" s="146"/>
      <c r="BPU166" s="146"/>
      <c r="BPV166" s="146"/>
      <c r="BPW166" s="146"/>
      <c r="BPX166" s="146"/>
      <c r="BPY166" s="146"/>
      <c r="BPZ166" s="146"/>
      <c r="BQA166" s="146"/>
      <c r="BQB166" s="146"/>
      <c r="BQC166" s="146"/>
      <c r="BQD166" s="146"/>
      <c r="BQE166" s="146"/>
      <c r="BQF166" s="146"/>
      <c r="BQG166" s="146"/>
      <c r="BQH166" s="146"/>
      <c r="BQI166" s="146"/>
      <c r="BQJ166" s="146"/>
      <c r="BQK166" s="146"/>
      <c r="BQL166" s="146"/>
      <c r="BQM166" s="146"/>
      <c r="BQN166" s="146"/>
      <c r="BQO166" s="146"/>
      <c r="BQP166" s="146"/>
      <c r="BQQ166" s="146"/>
      <c r="BQR166" s="146"/>
      <c r="BQS166" s="146"/>
      <c r="BQT166" s="146"/>
      <c r="BQU166" s="146"/>
      <c r="BQV166" s="146"/>
      <c r="BQW166" s="146"/>
      <c r="BQX166" s="146"/>
      <c r="BQY166" s="146"/>
      <c r="BQZ166" s="146"/>
      <c r="BRA166" s="146"/>
      <c r="BRB166" s="146"/>
      <c r="BRC166" s="146"/>
      <c r="BRD166" s="146"/>
      <c r="BRE166" s="146"/>
      <c r="BRF166" s="146"/>
      <c r="BRG166" s="146"/>
      <c r="BRH166" s="146"/>
      <c r="BRI166" s="146"/>
      <c r="BRJ166" s="146"/>
      <c r="BRK166" s="146"/>
      <c r="BRL166" s="146"/>
      <c r="BRM166" s="146"/>
      <c r="BRN166" s="146"/>
      <c r="BRO166" s="146"/>
      <c r="BRP166" s="146"/>
      <c r="BRQ166" s="146"/>
      <c r="BRR166" s="146"/>
      <c r="BRS166" s="146"/>
      <c r="BRT166" s="146"/>
      <c r="BRU166" s="146"/>
      <c r="BRV166" s="146"/>
      <c r="BRW166" s="146"/>
      <c r="BRX166" s="146"/>
      <c r="BRY166" s="146"/>
      <c r="BRZ166" s="146"/>
      <c r="BSA166" s="146"/>
      <c r="BSB166" s="146"/>
      <c r="BSC166" s="146"/>
      <c r="BSD166" s="146"/>
      <c r="BSE166" s="146"/>
      <c r="BSF166" s="146"/>
      <c r="BSG166" s="146"/>
      <c r="BSH166" s="146"/>
      <c r="BSI166" s="146"/>
      <c r="BSJ166" s="146"/>
      <c r="BSK166" s="146"/>
      <c r="BSL166" s="146"/>
      <c r="BSM166" s="146"/>
      <c r="BSN166" s="146"/>
      <c r="BSO166" s="146"/>
      <c r="BSP166" s="146"/>
      <c r="BSQ166" s="146"/>
      <c r="BSR166" s="146"/>
      <c r="BSS166" s="146"/>
      <c r="BST166" s="146"/>
      <c r="BSU166" s="146"/>
      <c r="BSV166" s="146"/>
      <c r="BSW166" s="146"/>
      <c r="BSX166" s="146"/>
      <c r="BSY166" s="146"/>
      <c r="BSZ166" s="146"/>
      <c r="BTA166" s="146"/>
      <c r="BTB166" s="146"/>
      <c r="BTC166" s="146"/>
      <c r="BTD166" s="146"/>
      <c r="BTE166" s="146"/>
      <c r="BTF166" s="146"/>
      <c r="BTG166" s="146"/>
      <c r="BTH166" s="146"/>
      <c r="BTI166" s="146"/>
      <c r="BTJ166" s="146"/>
      <c r="BTK166" s="146"/>
      <c r="BTL166" s="146"/>
      <c r="BTM166" s="146"/>
      <c r="BTN166" s="146"/>
      <c r="BTO166" s="146"/>
      <c r="BTP166" s="146"/>
      <c r="BTQ166" s="146"/>
      <c r="BTR166" s="146"/>
      <c r="BTS166" s="146"/>
      <c r="BTT166" s="146"/>
      <c r="BTU166" s="146"/>
      <c r="BTV166" s="146"/>
      <c r="BTW166" s="146"/>
      <c r="BTX166" s="146"/>
      <c r="BTY166" s="146"/>
      <c r="BTZ166" s="146"/>
      <c r="BUA166" s="146"/>
      <c r="BUB166" s="146"/>
      <c r="BUC166" s="146"/>
      <c r="BUD166" s="146"/>
      <c r="BUE166" s="146"/>
      <c r="BUF166" s="146"/>
      <c r="BUG166" s="146"/>
      <c r="BUH166" s="146"/>
      <c r="BUI166" s="146"/>
      <c r="BUJ166" s="146"/>
      <c r="BUK166" s="146"/>
      <c r="BUL166" s="146"/>
      <c r="BUM166" s="146"/>
      <c r="BUN166" s="146"/>
      <c r="BUO166" s="146"/>
      <c r="BUP166" s="146"/>
      <c r="BUQ166" s="146"/>
      <c r="BUR166" s="146"/>
      <c r="BUS166" s="146"/>
      <c r="BUT166" s="146"/>
      <c r="BUU166" s="146"/>
      <c r="BUV166" s="146"/>
      <c r="BUW166" s="146"/>
      <c r="BUX166" s="146"/>
      <c r="BUY166" s="146"/>
      <c r="BUZ166" s="146"/>
      <c r="BVA166" s="146"/>
      <c r="BVB166" s="146"/>
      <c r="BVC166" s="146"/>
      <c r="BVD166" s="146"/>
      <c r="BVE166" s="146"/>
      <c r="BVF166" s="146"/>
      <c r="BVG166" s="146"/>
      <c r="BVH166" s="146"/>
      <c r="BVI166" s="146"/>
      <c r="BVJ166" s="146"/>
      <c r="BVK166" s="146"/>
      <c r="BVL166" s="146"/>
      <c r="BVM166" s="146"/>
      <c r="BVN166" s="146"/>
      <c r="BVO166" s="146"/>
      <c r="BVP166" s="146"/>
      <c r="BVQ166" s="146"/>
      <c r="BVR166" s="146"/>
      <c r="BVS166" s="146"/>
      <c r="BVT166" s="146"/>
      <c r="BVU166" s="146"/>
      <c r="BVV166" s="146"/>
      <c r="BVW166" s="146"/>
      <c r="BVX166" s="146"/>
      <c r="BVY166" s="146"/>
      <c r="BVZ166" s="146"/>
      <c r="BWA166" s="146"/>
      <c r="BWB166" s="146"/>
      <c r="BWC166" s="146"/>
      <c r="BWD166" s="146"/>
      <c r="BWE166" s="146"/>
      <c r="BWF166" s="146"/>
      <c r="BWG166" s="146"/>
      <c r="BWH166" s="146"/>
      <c r="BWI166" s="146"/>
      <c r="BWJ166" s="146"/>
      <c r="BWK166" s="146"/>
      <c r="BWL166" s="146"/>
      <c r="BWM166" s="146"/>
      <c r="BWN166" s="146"/>
      <c r="BWO166" s="146"/>
      <c r="BWP166" s="146"/>
      <c r="BWQ166" s="146"/>
      <c r="BWR166" s="146"/>
      <c r="BWS166" s="146"/>
      <c r="BWT166" s="146"/>
      <c r="BWU166" s="146"/>
      <c r="BWV166" s="146"/>
      <c r="BWW166" s="146"/>
      <c r="BWX166" s="146"/>
      <c r="BWY166" s="146"/>
      <c r="BWZ166" s="146"/>
      <c r="BXA166" s="146"/>
      <c r="BXB166" s="146"/>
      <c r="BXC166" s="146"/>
      <c r="BXD166" s="146"/>
      <c r="BXE166" s="146"/>
      <c r="BXF166" s="146"/>
      <c r="BXG166" s="146"/>
      <c r="BXH166" s="146"/>
      <c r="BXI166" s="146"/>
      <c r="BXJ166" s="146"/>
      <c r="BXK166" s="146"/>
      <c r="BXL166" s="146"/>
      <c r="BXM166" s="146"/>
      <c r="BXN166" s="146"/>
      <c r="BXO166" s="146"/>
      <c r="BXP166" s="146"/>
      <c r="BXQ166" s="146"/>
      <c r="BXR166" s="146"/>
      <c r="BXS166" s="146"/>
      <c r="BXT166" s="146"/>
      <c r="BXU166" s="146"/>
      <c r="BXV166" s="146"/>
      <c r="BXW166" s="146"/>
      <c r="BXX166" s="146"/>
      <c r="BXY166" s="146"/>
      <c r="BXZ166" s="146"/>
      <c r="BYA166" s="146"/>
      <c r="BYB166" s="146"/>
      <c r="BYC166" s="146"/>
      <c r="BYD166" s="146"/>
      <c r="BYE166" s="146"/>
      <c r="BYF166" s="146"/>
      <c r="BYG166" s="146"/>
      <c r="BYH166" s="146"/>
      <c r="BYI166" s="146"/>
      <c r="BYJ166" s="146"/>
      <c r="BYK166" s="146"/>
      <c r="BYL166" s="146"/>
      <c r="BYM166" s="146"/>
      <c r="BYN166" s="146"/>
      <c r="BYO166" s="146"/>
      <c r="BYP166" s="146"/>
      <c r="BYQ166" s="146"/>
      <c r="BYR166" s="146"/>
      <c r="BYS166" s="146"/>
      <c r="BYT166" s="146"/>
      <c r="BYU166" s="146"/>
      <c r="BYV166" s="146"/>
      <c r="BYW166" s="146"/>
      <c r="BYX166" s="146"/>
      <c r="BYY166" s="146"/>
      <c r="BYZ166" s="146"/>
      <c r="BZA166" s="146"/>
      <c r="BZB166" s="146"/>
      <c r="BZC166" s="146"/>
      <c r="BZD166" s="146"/>
      <c r="BZE166" s="146"/>
      <c r="BZF166" s="146"/>
      <c r="BZG166" s="146"/>
      <c r="BZH166" s="146"/>
      <c r="BZI166" s="146"/>
      <c r="BZJ166" s="146"/>
      <c r="BZK166" s="146"/>
      <c r="BZL166" s="146"/>
      <c r="BZM166" s="146"/>
      <c r="BZN166" s="146"/>
      <c r="BZO166" s="146"/>
      <c r="BZP166" s="146"/>
      <c r="BZQ166" s="146"/>
      <c r="BZR166" s="146"/>
      <c r="BZS166" s="146"/>
      <c r="BZT166" s="146"/>
      <c r="BZU166" s="146"/>
      <c r="BZV166" s="146"/>
      <c r="BZW166" s="146"/>
      <c r="BZX166" s="146"/>
      <c r="BZY166" s="146"/>
      <c r="BZZ166" s="146"/>
      <c r="CAA166" s="146"/>
      <c r="CAB166" s="146"/>
      <c r="CAC166" s="146"/>
      <c r="CAD166" s="146"/>
      <c r="CAE166" s="146"/>
      <c r="CAF166" s="146"/>
      <c r="CAG166" s="146"/>
      <c r="CAH166" s="146"/>
      <c r="CAI166" s="146"/>
      <c r="CAJ166" s="146"/>
      <c r="CAK166" s="146"/>
      <c r="CAL166" s="146"/>
      <c r="CAM166" s="146"/>
      <c r="CAN166" s="146"/>
      <c r="CAO166" s="146"/>
      <c r="CAP166" s="146"/>
      <c r="CAQ166" s="146"/>
      <c r="CAR166" s="146"/>
      <c r="CAS166" s="146"/>
      <c r="CAT166" s="146"/>
      <c r="CAU166" s="146"/>
      <c r="CAV166" s="146"/>
      <c r="CAW166" s="146"/>
      <c r="CAX166" s="146"/>
      <c r="CAY166" s="146"/>
      <c r="CAZ166" s="146"/>
      <c r="CBA166" s="146"/>
      <c r="CBB166" s="146"/>
      <c r="CBC166" s="146"/>
      <c r="CBD166" s="146"/>
      <c r="CBE166" s="146"/>
      <c r="CBF166" s="146"/>
      <c r="CBG166" s="146"/>
      <c r="CBH166" s="146"/>
      <c r="CBI166" s="146"/>
      <c r="CBJ166" s="146"/>
      <c r="CBK166" s="146"/>
      <c r="CBL166" s="146"/>
      <c r="CBM166" s="146"/>
      <c r="CBN166" s="146"/>
      <c r="CBO166" s="146"/>
      <c r="CBP166" s="146"/>
      <c r="CBQ166" s="146"/>
      <c r="CBR166" s="146"/>
      <c r="CBS166" s="146"/>
      <c r="CBT166" s="146"/>
      <c r="CBU166" s="146"/>
      <c r="CBV166" s="146"/>
      <c r="CBW166" s="146"/>
      <c r="CBX166" s="146"/>
      <c r="CBY166" s="146"/>
      <c r="CBZ166" s="146"/>
      <c r="CCA166" s="146"/>
      <c r="CCB166" s="146"/>
      <c r="CCC166" s="146"/>
      <c r="CCD166" s="146"/>
      <c r="CCE166" s="146"/>
      <c r="CCF166" s="146"/>
      <c r="CCG166" s="146"/>
      <c r="CCH166" s="146"/>
      <c r="CCI166" s="146"/>
      <c r="CCJ166" s="146"/>
      <c r="CCK166" s="146"/>
      <c r="CCL166" s="146"/>
      <c r="CCM166" s="146"/>
      <c r="CCN166" s="146"/>
      <c r="CCO166" s="146"/>
      <c r="CCP166" s="146"/>
      <c r="CCQ166" s="146"/>
      <c r="CCR166" s="146"/>
      <c r="CCS166" s="146"/>
      <c r="CCT166" s="146"/>
      <c r="CCU166" s="146"/>
      <c r="CCV166" s="146"/>
      <c r="CCW166" s="146"/>
      <c r="CCX166" s="146"/>
      <c r="CCY166" s="146"/>
      <c r="CCZ166" s="146"/>
      <c r="CDA166" s="146"/>
      <c r="CDB166" s="146"/>
      <c r="CDC166" s="146"/>
      <c r="CDD166" s="146"/>
      <c r="CDE166" s="146"/>
      <c r="CDF166" s="146"/>
      <c r="CDG166" s="146"/>
      <c r="CDH166" s="146"/>
      <c r="CDI166" s="146"/>
      <c r="CDJ166" s="146"/>
      <c r="CDK166" s="146"/>
      <c r="CDL166" s="146"/>
      <c r="CDM166" s="146"/>
      <c r="CDN166" s="146"/>
      <c r="CDO166" s="146"/>
      <c r="CDP166" s="146"/>
      <c r="CDQ166" s="146"/>
      <c r="CDR166" s="146"/>
      <c r="CDS166" s="146"/>
      <c r="CDT166" s="146"/>
      <c r="CDU166" s="146"/>
      <c r="CDV166" s="146"/>
      <c r="CDW166" s="146"/>
      <c r="CDX166" s="146"/>
      <c r="CDY166" s="146"/>
      <c r="CDZ166" s="146"/>
      <c r="CEA166" s="146"/>
      <c r="CEB166" s="146"/>
      <c r="CEC166" s="146"/>
      <c r="CED166" s="146"/>
      <c r="CEE166" s="146"/>
      <c r="CEF166" s="146"/>
      <c r="CEG166" s="146"/>
      <c r="CEH166" s="146"/>
      <c r="CEI166" s="146"/>
      <c r="CEJ166" s="146"/>
      <c r="CEK166" s="146"/>
      <c r="CEL166" s="146"/>
      <c r="CEM166" s="146"/>
      <c r="CEN166" s="146"/>
      <c r="CEO166" s="146"/>
      <c r="CEP166" s="146"/>
      <c r="CEQ166" s="146"/>
      <c r="CER166" s="146"/>
      <c r="CES166" s="146"/>
      <c r="CET166" s="146"/>
      <c r="CEU166" s="146"/>
      <c r="CEV166" s="146"/>
      <c r="CEW166" s="146"/>
      <c r="CEX166" s="146"/>
      <c r="CEY166" s="146"/>
      <c r="CEZ166" s="146"/>
      <c r="CFA166" s="146"/>
      <c r="CFB166" s="146"/>
      <c r="CFC166" s="146"/>
      <c r="CFD166" s="146"/>
      <c r="CFE166" s="146"/>
      <c r="CFF166" s="146"/>
      <c r="CFG166" s="146"/>
      <c r="CFH166" s="146"/>
      <c r="CFI166" s="146"/>
      <c r="CFJ166" s="146"/>
      <c r="CFK166" s="146"/>
      <c r="CFL166" s="146"/>
      <c r="CFM166" s="146"/>
      <c r="CFN166" s="146"/>
      <c r="CFO166" s="146"/>
      <c r="CFP166" s="146"/>
      <c r="CFQ166" s="146"/>
      <c r="CFR166" s="146"/>
      <c r="CFS166" s="146"/>
      <c r="CFT166" s="146"/>
      <c r="CFU166" s="146"/>
      <c r="CFV166" s="146"/>
      <c r="CFW166" s="146"/>
      <c r="CFX166" s="146"/>
      <c r="CFY166" s="146"/>
      <c r="CFZ166" s="146"/>
      <c r="CGA166" s="146"/>
      <c r="CGB166" s="146"/>
      <c r="CGC166" s="146"/>
      <c r="CGD166" s="146"/>
      <c r="CGE166" s="146"/>
      <c r="CGF166" s="146"/>
      <c r="CGG166" s="146"/>
      <c r="CGH166" s="146"/>
      <c r="CGI166" s="146"/>
      <c r="CGJ166" s="146"/>
      <c r="CGK166" s="146"/>
      <c r="CGL166" s="146"/>
      <c r="CGM166" s="146"/>
      <c r="CGN166" s="146"/>
      <c r="CGO166" s="146"/>
      <c r="CGP166" s="146"/>
      <c r="CGQ166" s="146"/>
      <c r="CGR166" s="146"/>
      <c r="CGS166" s="146"/>
      <c r="CGT166" s="146"/>
      <c r="CGU166" s="146"/>
      <c r="CGV166" s="146"/>
      <c r="CGW166" s="146"/>
      <c r="CGX166" s="146"/>
      <c r="CGY166" s="146"/>
      <c r="CGZ166" s="146"/>
      <c r="CHA166" s="146"/>
      <c r="CHB166" s="146"/>
      <c r="CHC166" s="146"/>
      <c r="CHD166" s="146"/>
      <c r="CHE166" s="146"/>
      <c r="CHF166" s="146"/>
      <c r="CHG166" s="146"/>
      <c r="CHH166" s="146"/>
      <c r="CHI166" s="146"/>
      <c r="CHJ166" s="146"/>
      <c r="CHK166" s="146"/>
      <c r="CHL166" s="146"/>
      <c r="CHM166" s="146"/>
      <c r="CHN166" s="146"/>
      <c r="CHO166" s="146"/>
      <c r="CHP166" s="146"/>
      <c r="CHQ166" s="146"/>
      <c r="CHR166" s="146"/>
      <c r="CHS166" s="146"/>
      <c r="CHT166" s="146"/>
      <c r="CHU166" s="146"/>
      <c r="CHV166" s="146"/>
      <c r="CHW166" s="146"/>
      <c r="CHX166" s="146"/>
      <c r="CHY166" s="146"/>
      <c r="CHZ166" s="146"/>
      <c r="CIA166" s="146"/>
      <c r="CIB166" s="146"/>
      <c r="CIC166" s="146"/>
      <c r="CID166" s="146"/>
      <c r="CIE166" s="146"/>
      <c r="CIF166" s="146"/>
      <c r="CIG166" s="146"/>
      <c r="CIH166" s="146"/>
      <c r="CII166" s="146"/>
      <c r="CIJ166" s="146"/>
      <c r="CIK166" s="146"/>
      <c r="CIL166" s="146"/>
      <c r="CIM166" s="146"/>
      <c r="CIN166" s="146"/>
      <c r="CIO166" s="146"/>
      <c r="CIP166" s="146"/>
      <c r="CIQ166" s="146"/>
      <c r="CIR166" s="146"/>
      <c r="CIS166" s="146"/>
      <c r="CIT166" s="146"/>
      <c r="CIU166" s="146"/>
      <c r="CIV166" s="146"/>
      <c r="CIW166" s="146"/>
      <c r="CIX166" s="146"/>
      <c r="CIY166" s="146"/>
      <c r="CIZ166" s="146"/>
      <c r="CJA166" s="146"/>
      <c r="CJB166" s="146"/>
      <c r="CJC166" s="146"/>
      <c r="CJD166" s="146"/>
      <c r="CJE166" s="146"/>
      <c r="CJF166" s="146"/>
      <c r="CJG166" s="146"/>
      <c r="CJH166" s="146"/>
      <c r="CJI166" s="146"/>
      <c r="CJJ166" s="146"/>
      <c r="CJK166" s="146"/>
      <c r="CJL166" s="146"/>
      <c r="CJM166" s="146"/>
      <c r="CJN166" s="146"/>
      <c r="CJO166" s="146"/>
      <c r="CJP166" s="146"/>
      <c r="CJQ166" s="146"/>
      <c r="CJR166" s="146"/>
      <c r="CJS166" s="146"/>
      <c r="CJT166" s="146"/>
      <c r="CJU166" s="146"/>
      <c r="CJV166" s="146"/>
      <c r="CJW166" s="146"/>
      <c r="CJX166" s="146"/>
      <c r="CJY166" s="146"/>
      <c r="CJZ166" s="146"/>
      <c r="CKA166" s="146"/>
      <c r="CKB166" s="146"/>
      <c r="CKC166" s="146"/>
      <c r="CKD166" s="146"/>
      <c r="CKE166" s="146"/>
      <c r="CKF166" s="146"/>
      <c r="CKG166" s="146"/>
      <c r="CKH166" s="146"/>
      <c r="CKI166" s="146"/>
      <c r="CKJ166" s="146"/>
      <c r="CKK166" s="146"/>
      <c r="CKL166" s="146"/>
      <c r="CKM166" s="146"/>
      <c r="CKN166" s="146"/>
      <c r="CKO166" s="146"/>
      <c r="CKP166" s="146"/>
      <c r="CKQ166" s="146"/>
      <c r="CKR166" s="146"/>
      <c r="CKS166" s="146"/>
      <c r="CKT166" s="146"/>
      <c r="CKU166" s="146"/>
      <c r="CKV166" s="146"/>
      <c r="CKW166" s="146"/>
      <c r="CKX166" s="146"/>
      <c r="CKY166" s="146"/>
      <c r="CKZ166" s="146"/>
      <c r="CLA166" s="146"/>
      <c r="CLB166" s="146"/>
      <c r="CLC166" s="146"/>
      <c r="CLD166" s="146"/>
      <c r="CLE166" s="146"/>
      <c r="CLF166" s="146"/>
      <c r="CLG166" s="146"/>
      <c r="CLH166" s="146"/>
      <c r="CLI166" s="146"/>
      <c r="CLJ166" s="146"/>
      <c r="CLK166" s="146"/>
      <c r="CLL166" s="146"/>
      <c r="CLM166" s="146"/>
      <c r="CLN166" s="146"/>
      <c r="CLO166" s="146"/>
      <c r="CLP166" s="146"/>
      <c r="CLQ166" s="146"/>
      <c r="CLR166" s="146"/>
      <c r="CLS166" s="146"/>
      <c r="CLT166" s="146"/>
      <c r="CLU166" s="146"/>
      <c r="CLV166" s="146"/>
      <c r="CLW166" s="146"/>
      <c r="CLX166" s="146"/>
      <c r="CLY166" s="146"/>
      <c r="CLZ166" s="146"/>
      <c r="CMA166" s="146"/>
      <c r="CMB166" s="146"/>
      <c r="CMC166" s="146"/>
      <c r="CMD166" s="146"/>
      <c r="CME166" s="146"/>
      <c r="CMF166" s="146"/>
      <c r="CMG166" s="146"/>
      <c r="CMH166" s="146"/>
      <c r="CMI166" s="146"/>
      <c r="CMJ166" s="146"/>
      <c r="CMK166" s="146"/>
      <c r="CML166" s="146"/>
      <c r="CMM166" s="146"/>
      <c r="CMN166" s="146"/>
      <c r="CMO166" s="146"/>
      <c r="CMP166" s="146"/>
      <c r="CMQ166" s="146"/>
      <c r="CMR166" s="146"/>
      <c r="CMS166" s="146"/>
      <c r="CMT166" s="146"/>
      <c r="CMU166" s="146"/>
      <c r="CMV166" s="146"/>
      <c r="CMW166" s="146"/>
      <c r="CMX166" s="146"/>
      <c r="CMY166" s="146"/>
      <c r="CMZ166" s="146"/>
      <c r="CNA166" s="146"/>
      <c r="CNB166" s="146"/>
      <c r="CNC166" s="146"/>
      <c r="CND166" s="146"/>
      <c r="CNE166" s="146"/>
      <c r="CNF166" s="146"/>
      <c r="CNG166" s="146"/>
      <c r="CNH166" s="146"/>
      <c r="CNI166" s="146"/>
      <c r="CNJ166" s="146"/>
      <c r="CNK166" s="146"/>
      <c r="CNL166" s="146"/>
      <c r="CNM166" s="146"/>
      <c r="CNN166" s="146"/>
      <c r="CNO166" s="146"/>
      <c r="CNP166" s="146"/>
      <c r="CNQ166" s="146"/>
      <c r="CNR166" s="146"/>
      <c r="CNS166" s="146"/>
      <c r="CNT166" s="146"/>
      <c r="CNU166" s="146"/>
      <c r="CNV166" s="146"/>
      <c r="CNW166" s="146"/>
      <c r="CNX166" s="146"/>
      <c r="CNY166" s="146"/>
      <c r="CNZ166" s="146"/>
      <c r="COA166" s="146"/>
      <c r="COB166" s="146"/>
      <c r="COC166" s="146"/>
      <c r="COD166" s="146"/>
      <c r="COE166" s="146"/>
      <c r="COF166" s="146"/>
      <c r="COG166" s="146"/>
      <c r="COH166" s="146"/>
      <c r="COI166" s="146"/>
      <c r="COJ166" s="146"/>
      <c r="COK166" s="146"/>
      <c r="COL166" s="146"/>
      <c r="COM166" s="146"/>
      <c r="CON166" s="146"/>
      <c r="COO166" s="146"/>
      <c r="COP166" s="146"/>
      <c r="COQ166" s="146"/>
      <c r="COR166" s="146"/>
      <c r="COS166" s="146"/>
      <c r="COT166" s="146"/>
      <c r="COU166" s="146"/>
      <c r="COV166" s="146"/>
      <c r="COW166" s="146"/>
      <c r="COX166" s="146"/>
      <c r="COY166" s="146"/>
      <c r="COZ166" s="146"/>
      <c r="CPA166" s="146"/>
      <c r="CPB166" s="146"/>
      <c r="CPC166" s="146"/>
      <c r="CPD166" s="146"/>
      <c r="CPE166" s="146"/>
      <c r="CPF166" s="146"/>
      <c r="CPG166" s="146"/>
      <c r="CPH166" s="146"/>
      <c r="CPI166" s="146"/>
      <c r="CPJ166" s="146"/>
      <c r="CPK166" s="146"/>
      <c r="CPL166" s="146"/>
      <c r="CPM166" s="146"/>
      <c r="CPN166" s="146"/>
      <c r="CPO166" s="146"/>
      <c r="CPP166" s="146"/>
      <c r="CPQ166" s="146"/>
      <c r="CPR166" s="146"/>
      <c r="CPS166" s="146"/>
      <c r="CPT166" s="146"/>
      <c r="CPU166" s="146"/>
      <c r="CPV166" s="146"/>
      <c r="CPW166" s="146"/>
      <c r="CPX166" s="146"/>
      <c r="CPY166" s="146"/>
      <c r="CPZ166" s="146"/>
      <c r="CQA166" s="146"/>
      <c r="CQB166" s="146"/>
      <c r="CQC166" s="146"/>
      <c r="CQD166" s="146"/>
      <c r="CQE166" s="146"/>
      <c r="CQF166" s="146"/>
      <c r="CQG166" s="146"/>
      <c r="CQH166" s="146"/>
      <c r="CQI166" s="146"/>
      <c r="CQJ166" s="146"/>
      <c r="CQK166" s="146"/>
      <c r="CQL166" s="146"/>
      <c r="CQM166" s="146"/>
      <c r="CQN166" s="146"/>
      <c r="CQO166" s="146"/>
      <c r="CQP166" s="146"/>
      <c r="CQQ166" s="146"/>
      <c r="CQR166" s="146"/>
      <c r="CQS166" s="146"/>
      <c r="CQT166" s="146"/>
      <c r="CQU166" s="146"/>
      <c r="CQV166" s="146"/>
      <c r="CQW166" s="146"/>
      <c r="CQX166" s="146"/>
      <c r="CQY166" s="146"/>
      <c r="CQZ166" s="146"/>
      <c r="CRA166" s="146"/>
      <c r="CRB166" s="146"/>
      <c r="CRC166" s="146"/>
      <c r="CRD166" s="146"/>
      <c r="CRE166" s="146"/>
      <c r="CRF166" s="146"/>
      <c r="CRG166" s="146"/>
      <c r="CRH166" s="146"/>
      <c r="CRI166" s="146"/>
      <c r="CRJ166" s="146"/>
      <c r="CRK166" s="146"/>
      <c r="CRL166" s="146"/>
      <c r="CRM166" s="146"/>
      <c r="CRN166" s="146"/>
      <c r="CRO166" s="146"/>
      <c r="CRP166" s="146"/>
      <c r="CRQ166" s="146"/>
      <c r="CRR166" s="146"/>
      <c r="CRS166" s="146"/>
      <c r="CRT166" s="146"/>
      <c r="CRU166" s="146"/>
      <c r="CRV166" s="146"/>
      <c r="CRW166" s="146"/>
      <c r="CRX166" s="146"/>
      <c r="CRY166" s="146"/>
      <c r="CRZ166" s="146"/>
      <c r="CSA166" s="146"/>
      <c r="CSB166" s="146"/>
      <c r="CSC166" s="146"/>
      <c r="CSD166" s="146"/>
      <c r="CSE166" s="146"/>
      <c r="CSF166" s="146"/>
      <c r="CSG166" s="146"/>
      <c r="CSH166" s="146"/>
      <c r="CSI166" s="146"/>
      <c r="CSJ166" s="146"/>
      <c r="CSK166" s="146"/>
      <c r="CSL166" s="146"/>
      <c r="CSM166" s="146"/>
      <c r="CSN166" s="146"/>
      <c r="CSO166" s="146"/>
      <c r="CSP166" s="146"/>
      <c r="CSQ166" s="146"/>
      <c r="CSR166" s="146"/>
      <c r="CSS166" s="146"/>
      <c r="CST166" s="146"/>
      <c r="CSU166" s="146"/>
      <c r="CSV166" s="146"/>
      <c r="CSW166" s="146"/>
      <c r="CSX166" s="146"/>
      <c r="CSY166" s="146"/>
      <c r="CSZ166" s="146"/>
      <c r="CTA166" s="146"/>
      <c r="CTB166" s="146"/>
      <c r="CTC166" s="146"/>
      <c r="CTD166" s="146"/>
      <c r="CTE166" s="146"/>
      <c r="CTF166" s="146"/>
      <c r="CTG166" s="146"/>
      <c r="CTH166" s="146"/>
      <c r="CTI166" s="146"/>
      <c r="CTJ166" s="146"/>
      <c r="CTK166" s="146"/>
      <c r="CTL166" s="146"/>
      <c r="CTM166" s="146"/>
      <c r="CTN166" s="146"/>
      <c r="CTO166" s="146"/>
      <c r="CTP166" s="146"/>
      <c r="CTQ166" s="146"/>
      <c r="CTR166" s="146"/>
      <c r="CTS166" s="146"/>
      <c r="CTT166" s="146"/>
      <c r="CTU166" s="146"/>
      <c r="CTV166" s="146"/>
      <c r="CTW166" s="146"/>
      <c r="CTX166" s="146"/>
      <c r="CTY166" s="146"/>
      <c r="CTZ166" s="146"/>
      <c r="CUA166" s="146"/>
      <c r="CUB166" s="146"/>
      <c r="CUC166" s="146"/>
      <c r="CUD166" s="146"/>
      <c r="CUE166" s="146"/>
      <c r="CUF166" s="146"/>
      <c r="CUG166" s="146"/>
      <c r="CUH166" s="146"/>
      <c r="CUI166" s="146"/>
      <c r="CUJ166" s="146"/>
      <c r="CUK166" s="146"/>
      <c r="CUL166" s="146"/>
      <c r="CUM166" s="146"/>
      <c r="CUN166" s="146"/>
      <c r="CUO166" s="146"/>
      <c r="CUP166" s="146"/>
      <c r="CUQ166" s="146"/>
      <c r="CUR166" s="146"/>
      <c r="CUS166" s="146"/>
      <c r="CUT166" s="146"/>
      <c r="CUU166" s="146"/>
      <c r="CUV166" s="146"/>
      <c r="CUW166" s="146"/>
      <c r="CUX166" s="146"/>
      <c r="CUY166" s="146"/>
      <c r="CUZ166" s="146"/>
      <c r="CVA166" s="146"/>
      <c r="CVB166" s="146"/>
      <c r="CVC166" s="146"/>
      <c r="CVD166" s="146"/>
      <c r="CVE166" s="146"/>
      <c r="CVF166" s="146"/>
      <c r="CVG166" s="146"/>
      <c r="CVH166" s="146"/>
      <c r="CVI166" s="146"/>
      <c r="CVJ166" s="146"/>
      <c r="CVK166" s="146"/>
      <c r="CVL166" s="146"/>
      <c r="CVM166" s="146"/>
      <c r="CVN166" s="146"/>
      <c r="CVO166" s="146"/>
      <c r="CVP166" s="146"/>
      <c r="CVQ166" s="146"/>
      <c r="CVR166" s="146"/>
      <c r="CVS166" s="146"/>
      <c r="CVT166" s="146"/>
      <c r="CVU166" s="146"/>
      <c r="CVV166" s="146"/>
      <c r="CVW166" s="146"/>
      <c r="CVX166" s="146"/>
      <c r="CVY166" s="146"/>
      <c r="CVZ166" s="146"/>
      <c r="CWA166" s="146"/>
      <c r="CWB166" s="146"/>
      <c r="CWC166" s="146"/>
      <c r="CWD166" s="146"/>
      <c r="CWE166" s="146"/>
      <c r="CWF166" s="146"/>
      <c r="CWG166" s="146"/>
      <c r="CWH166" s="146"/>
      <c r="CWI166" s="146"/>
      <c r="CWJ166" s="146"/>
      <c r="CWK166" s="146"/>
      <c r="CWL166" s="146"/>
      <c r="CWM166" s="146"/>
      <c r="CWN166" s="146"/>
      <c r="CWO166" s="146"/>
      <c r="CWP166" s="146"/>
      <c r="CWQ166" s="146"/>
      <c r="CWR166" s="146"/>
      <c r="CWS166" s="146"/>
      <c r="CWT166" s="146"/>
      <c r="CWU166" s="146"/>
      <c r="CWV166" s="146"/>
      <c r="CWW166" s="146"/>
      <c r="CWX166" s="146"/>
      <c r="CWY166" s="146"/>
      <c r="CWZ166" s="146"/>
      <c r="CXA166" s="146"/>
      <c r="CXB166" s="146"/>
      <c r="CXC166" s="146"/>
      <c r="CXD166" s="146"/>
      <c r="CXE166" s="146"/>
      <c r="CXF166" s="146"/>
      <c r="CXG166" s="146"/>
      <c r="CXH166" s="146"/>
      <c r="CXI166" s="146"/>
      <c r="CXJ166" s="146"/>
      <c r="CXK166" s="146"/>
      <c r="CXL166" s="146"/>
      <c r="CXM166" s="146"/>
      <c r="CXN166" s="146"/>
      <c r="CXO166" s="146"/>
      <c r="CXP166" s="146"/>
      <c r="CXQ166" s="146"/>
      <c r="CXR166" s="146"/>
      <c r="CXS166" s="146"/>
      <c r="CXT166" s="146"/>
      <c r="CXU166" s="146"/>
      <c r="CXV166" s="146"/>
      <c r="CXW166" s="146"/>
      <c r="CXX166" s="146"/>
      <c r="CXY166" s="146"/>
      <c r="CXZ166" s="146"/>
      <c r="CYA166" s="146"/>
      <c r="CYB166" s="146"/>
      <c r="CYC166" s="146"/>
      <c r="CYD166" s="146"/>
      <c r="CYE166" s="146"/>
      <c r="CYF166" s="146"/>
      <c r="CYG166" s="146"/>
      <c r="CYH166" s="146"/>
      <c r="CYI166" s="146"/>
      <c r="CYJ166" s="146"/>
      <c r="CYK166" s="146"/>
      <c r="CYL166" s="146"/>
      <c r="CYM166" s="146"/>
      <c r="CYN166" s="146"/>
      <c r="CYO166" s="146"/>
      <c r="CYP166" s="146"/>
      <c r="CYQ166" s="146"/>
      <c r="CYR166" s="146"/>
      <c r="CYS166" s="146"/>
      <c r="CYT166" s="146"/>
      <c r="CYU166" s="146"/>
      <c r="CYV166" s="146"/>
      <c r="CYW166" s="146"/>
      <c r="CYX166" s="146"/>
      <c r="CYY166" s="146"/>
      <c r="CYZ166" s="146"/>
      <c r="CZA166" s="146"/>
      <c r="CZB166" s="146"/>
      <c r="CZC166" s="146"/>
      <c r="CZD166" s="146"/>
      <c r="CZE166" s="146"/>
      <c r="CZF166" s="146"/>
      <c r="CZG166" s="146"/>
      <c r="CZH166" s="146"/>
      <c r="CZI166" s="146"/>
      <c r="CZJ166" s="146"/>
      <c r="CZK166" s="146"/>
      <c r="CZL166" s="146"/>
      <c r="CZM166" s="146"/>
      <c r="CZN166" s="146"/>
      <c r="CZO166" s="146"/>
      <c r="CZP166" s="146"/>
      <c r="CZQ166" s="146"/>
      <c r="CZR166" s="146"/>
      <c r="CZS166" s="146"/>
      <c r="CZT166" s="146"/>
      <c r="CZU166" s="146"/>
      <c r="CZV166" s="146"/>
      <c r="CZW166" s="146"/>
      <c r="CZX166" s="146"/>
      <c r="CZY166" s="146"/>
      <c r="CZZ166" s="146"/>
      <c r="DAA166" s="146"/>
      <c r="DAB166" s="146"/>
      <c r="DAC166" s="146"/>
      <c r="DAD166" s="146"/>
      <c r="DAE166" s="146"/>
      <c r="DAF166" s="146"/>
      <c r="DAG166" s="146"/>
      <c r="DAH166" s="146"/>
      <c r="DAI166" s="146"/>
      <c r="DAJ166" s="146"/>
      <c r="DAK166" s="146"/>
      <c r="DAL166" s="146"/>
      <c r="DAM166" s="146"/>
      <c r="DAN166" s="146"/>
      <c r="DAO166" s="146"/>
      <c r="DAP166" s="146"/>
      <c r="DAQ166" s="146"/>
      <c r="DAR166" s="146"/>
      <c r="DAS166" s="146"/>
      <c r="DAT166" s="146"/>
      <c r="DAU166" s="146"/>
      <c r="DAV166" s="146"/>
      <c r="DAW166" s="146"/>
      <c r="DAX166" s="146"/>
      <c r="DAY166" s="146"/>
      <c r="DAZ166" s="146"/>
      <c r="DBA166" s="146"/>
      <c r="DBB166" s="146"/>
      <c r="DBC166" s="146"/>
      <c r="DBD166" s="146"/>
      <c r="DBE166" s="146"/>
      <c r="DBF166" s="146"/>
      <c r="DBG166" s="146"/>
      <c r="DBH166" s="146"/>
      <c r="DBI166" s="146"/>
      <c r="DBJ166" s="146"/>
      <c r="DBK166" s="146"/>
      <c r="DBL166" s="146"/>
      <c r="DBM166" s="146"/>
      <c r="DBN166" s="146"/>
      <c r="DBO166" s="146"/>
      <c r="DBP166" s="146"/>
      <c r="DBQ166" s="146"/>
      <c r="DBR166" s="146"/>
      <c r="DBS166" s="146"/>
      <c r="DBT166" s="146"/>
      <c r="DBU166" s="146"/>
      <c r="DBV166" s="146"/>
      <c r="DBW166" s="146"/>
      <c r="DBX166" s="146"/>
      <c r="DBY166" s="146"/>
      <c r="DBZ166" s="146"/>
      <c r="DCA166" s="146"/>
      <c r="DCB166" s="146"/>
      <c r="DCC166" s="146"/>
      <c r="DCD166" s="146"/>
      <c r="DCE166" s="146"/>
      <c r="DCF166" s="146"/>
      <c r="DCG166" s="146"/>
      <c r="DCH166" s="146"/>
      <c r="DCI166" s="146"/>
      <c r="DCJ166" s="146"/>
      <c r="DCK166" s="146"/>
      <c r="DCL166" s="146"/>
      <c r="DCM166" s="146"/>
      <c r="DCN166" s="146"/>
      <c r="DCO166" s="146"/>
      <c r="DCP166" s="146"/>
      <c r="DCQ166" s="146"/>
      <c r="DCR166" s="146"/>
      <c r="DCS166" s="146"/>
      <c r="DCT166" s="146"/>
      <c r="DCU166" s="146"/>
      <c r="DCV166" s="146"/>
      <c r="DCW166" s="146"/>
      <c r="DCX166" s="146"/>
      <c r="DCY166" s="146"/>
      <c r="DCZ166" s="146"/>
      <c r="DDA166" s="146"/>
      <c r="DDB166" s="146"/>
      <c r="DDC166" s="146"/>
      <c r="DDD166" s="146"/>
      <c r="DDE166" s="146"/>
      <c r="DDF166" s="146"/>
      <c r="DDG166" s="146"/>
      <c r="DDH166" s="146"/>
      <c r="DDI166" s="146"/>
      <c r="DDJ166" s="146"/>
      <c r="DDK166" s="146"/>
      <c r="DDL166" s="146"/>
      <c r="DDM166" s="146"/>
      <c r="DDN166" s="146"/>
      <c r="DDO166" s="146"/>
      <c r="DDP166" s="146"/>
      <c r="DDQ166" s="146"/>
      <c r="DDR166" s="146"/>
      <c r="DDS166" s="146"/>
      <c r="DDT166" s="146"/>
      <c r="DDU166" s="146"/>
      <c r="DDV166" s="146"/>
      <c r="DDW166" s="146"/>
      <c r="DDX166" s="146"/>
      <c r="DDY166" s="146"/>
      <c r="DDZ166" s="146"/>
      <c r="DEA166" s="146"/>
      <c r="DEB166" s="146"/>
      <c r="DEC166" s="146"/>
      <c r="DED166" s="146"/>
      <c r="DEE166" s="146"/>
      <c r="DEF166" s="146"/>
      <c r="DEG166" s="146"/>
      <c r="DEH166" s="146"/>
      <c r="DEI166" s="146"/>
      <c r="DEJ166" s="146"/>
      <c r="DEK166" s="146"/>
      <c r="DEL166" s="146"/>
      <c r="DEM166" s="146"/>
      <c r="DEN166" s="146"/>
      <c r="DEO166" s="146"/>
      <c r="DEP166" s="146"/>
      <c r="DEQ166" s="146"/>
      <c r="DER166" s="146"/>
      <c r="DES166" s="146"/>
      <c r="DET166" s="146"/>
      <c r="DEU166" s="146"/>
      <c r="DEV166" s="146"/>
      <c r="DEW166" s="146"/>
      <c r="DEX166" s="146"/>
      <c r="DEY166" s="146"/>
      <c r="DEZ166" s="146"/>
      <c r="DFA166" s="146"/>
      <c r="DFB166" s="146"/>
      <c r="DFC166" s="146"/>
      <c r="DFD166" s="146"/>
      <c r="DFE166" s="146"/>
      <c r="DFF166" s="146"/>
      <c r="DFG166" s="146"/>
      <c r="DFH166" s="146"/>
      <c r="DFI166" s="146"/>
      <c r="DFJ166" s="146"/>
      <c r="DFK166" s="146"/>
      <c r="DFL166" s="146"/>
      <c r="DFM166" s="146"/>
      <c r="DFN166" s="146"/>
      <c r="DFO166" s="146"/>
      <c r="DFP166" s="146"/>
      <c r="DFQ166" s="146"/>
      <c r="DFR166" s="146"/>
      <c r="DFS166" s="146"/>
      <c r="DFT166" s="146"/>
      <c r="DFU166" s="146"/>
      <c r="DFV166" s="146"/>
      <c r="DFW166" s="146"/>
      <c r="DFX166" s="146"/>
      <c r="DFY166" s="146"/>
      <c r="DFZ166" s="146"/>
      <c r="DGA166" s="146"/>
      <c r="DGB166" s="146"/>
      <c r="DGC166" s="146"/>
      <c r="DGD166" s="146"/>
      <c r="DGE166" s="146"/>
      <c r="DGF166" s="146"/>
      <c r="DGG166" s="146"/>
      <c r="DGH166" s="146"/>
      <c r="DGI166" s="146"/>
      <c r="DGJ166" s="146"/>
      <c r="DGK166" s="146"/>
      <c r="DGL166" s="146"/>
      <c r="DGM166" s="146"/>
      <c r="DGN166" s="146"/>
      <c r="DGO166" s="146"/>
      <c r="DGP166" s="146"/>
      <c r="DGQ166" s="146"/>
      <c r="DGR166" s="146"/>
      <c r="DGS166" s="146"/>
      <c r="DGT166" s="146"/>
      <c r="DGU166" s="146"/>
      <c r="DGV166" s="146"/>
      <c r="DGW166" s="146"/>
      <c r="DGX166" s="146"/>
      <c r="DGY166" s="146"/>
      <c r="DGZ166" s="146"/>
      <c r="DHA166" s="146"/>
      <c r="DHB166" s="146"/>
      <c r="DHC166" s="146"/>
      <c r="DHD166" s="146"/>
      <c r="DHE166" s="146"/>
      <c r="DHF166" s="146"/>
      <c r="DHG166" s="146"/>
      <c r="DHH166" s="146"/>
      <c r="DHI166" s="146"/>
      <c r="DHJ166" s="146"/>
      <c r="DHK166" s="146"/>
      <c r="DHL166" s="146"/>
      <c r="DHM166" s="146"/>
      <c r="DHN166" s="146"/>
      <c r="DHO166" s="146"/>
      <c r="DHP166" s="146"/>
      <c r="DHQ166" s="146"/>
      <c r="DHR166" s="146"/>
      <c r="DHS166" s="146"/>
      <c r="DHT166" s="146"/>
      <c r="DHU166" s="146"/>
      <c r="DHV166" s="146"/>
      <c r="DHW166" s="146"/>
      <c r="DHX166" s="146"/>
      <c r="DHY166" s="146"/>
      <c r="DHZ166" s="146"/>
      <c r="DIA166" s="146"/>
      <c r="DIB166" s="146"/>
      <c r="DIC166" s="146"/>
      <c r="DID166" s="146"/>
      <c r="DIE166" s="146"/>
      <c r="DIF166" s="146"/>
      <c r="DIG166" s="146"/>
      <c r="DIH166" s="146"/>
      <c r="DII166" s="146"/>
      <c r="DIJ166" s="146"/>
      <c r="DIK166" s="146"/>
      <c r="DIL166" s="146"/>
      <c r="DIM166" s="146"/>
      <c r="DIN166" s="146"/>
      <c r="DIO166" s="146"/>
      <c r="DIP166" s="146"/>
      <c r="DIQ166" s="146"/>
      <c r="DIR166" s="146"/>
      <c r="DIS166" s="146"/>
      <c r="DIT166" s="146"/>
      <c r="DIU166" s="146"/>
      <c r="DIV166" s="146"/>
      <c r="DIW166" s="146"/>
      <c r="DIX166" s="146"/>
      <c r="DIY166" s="146"/>
      <c r="DIZ166" s="146"/>
      <c r="DJA166" s="146"/>
      <c r="DJB166" s="146"/>
      <c r="DJC166" s="146"/>
      <c r="DJD166" s="146"/>
      <c r="DJE166" s="146"/>
      <c r="DJF166" s="146"/>
      <c r="DJG166" s="146"/>
      <c r="DJH166" s="146"/>
      <c r="DJI166" s="146"/>
      <c r="DJJ166" s="146"/>
      <c r="DJK166" s="146"/>
      <c r="DJL166" s="146"/>
      <c r="DJM166" s="146"/>
      <c r="DJN166" s="146"/>
      <c r="DJO166" s="146"/>
      <c r="DJP166" s="146"/>
      <c r="DJQ166" s="146"/>
      <c r="DJR166" s="146"/>
      <c r="DJS166" s="146"/>
      <c r="DJT166" s="146"/>
      <c r="DJU166" s="146"/>
      <c r="DJV166" s="146"/>
      <c r="DJW166" s="146"/>
      <c r="DJX166" s="146"/>
      <c r="DJY166" s="146"/>
      <c r="DJZ166" s="146"/>
      <c r="DKA166" s="146"/>
      <c r="DKB166" s="146"/>
      <c r="DKC166" s="146"/>
      <c r="DKD166" s="146"/>
      <c r="DKE166" s="146"/>
      <c r="DKF166" s="146"/>
      <c r="DKG166" s="146"/>
      <c r="DKH166" s="146"/>
      <c r="DKI166" s="146"/>
      <c r="DKJ166" s="146"/>
      <c r="DKK166" s="146"/>
      <c r="DKL166" s="146"/>
      <c r="DKM166" s="146"/>
      <c r="DKN166" s="146"/>
      <c r="DKO166" s="146"/>
      <c r="DKP166" s="146"/>
      <c r="DKQ166" s="146"/>
      <c r="DKR166" s="146"/>
      <c r="DKS166" s="146"/>
      <c r="DKT166" s="146"/>
      <c r="DKU166" s="146"/>
      <c r="DKV166" s="146"/>
      <c r="DKW166" s="146"/>
      <c r="DKX166" s="146"/>
      <c r="DKY166" s="146"/>
      <c r="DKZ166" s="146"/>
      <c r="DLA166" s="146"/>
      <c r="DLB166" s="146"/>
      <c r="DLC166" s="146"/>
      <c r="DLD166" s="146"/>
      <c r="DLE166" s="146"/>
      <c r="DLF166" s="146"/>
      <c r="DLG166" s="146"/>
      <c r="DLH166" s="146"/>
      <c r="DLI166" s="146"/>
      <c r="DLJ166" s="146"/>
      <c r="DLK166" s="146"/>
      <c r="DLL166" s="146"/>
      <c r="DLM166" s="146"/>
      <c r="DLN166" s="146"/>
      <c r="DLO166" s="146"/>
      <c r="DLP166" s="146"/>
      <c r="DLQ166" s="146"/>
      <c r="DLR166" s="146"/>
      <c r="DLS166" s="146"/>
      <c r="DLT166" s="146"/>
      <c r="DLU166" s="146"/>
      <c r="DLV166" s="146"/>
      <c r="DLW166" s="146"/>
      <c r="DLX166" s="146"/>
      <c r="DLY166" s="146"/>
      <c r="DLZ166" s="146"/>
      <c r="DMA166" s="146"/>
      <c r="DMB166" s="146"/>
      <c r="DMC166" s="146"/>
      <c r="DMD166" s="146"/>
      <c r="DME166" s="146"/>
      <c r="DMF166" s="146"/>
      <c r="DMG166" s="146"/>
      <c r="DMH166" s="146"/>
      <c r="DMI166" s="146"/>
      <c r="DMJ166" s="146"/>
      <c r="DMK166" s="146"/>
      <c r="DML166" s="146"/>
      <c r="DMM166" s="146"/>
      <c r="DMN166" s="146"/>
      <c r="DMO166" s="146"/>
      <c r="DMP166" s="146"/>
      <c r="DMQ166" s="146"/>
      <c r="DMR166" s="146"/>
      <c r="DMS166" s="146"/>
      <c r="DMT166" s="146"/>
      <c r="DMU166" s="146"/>
      <c r="DMV166" s="146"/>
      <c r="DMW166" s="146"/>
      <c r="DMX166" s="146"/>
      <c r="DMY166" s="146"/>
      <c r="DMZ166" s="146"/>
      <c r="DNA166" s="146"/>
      <c r="DNB166" s="146"/>
      <c r="DNC166" s="146"/>
      <c r="DND166" s="146"/>
      <c r="DNE166" s="146"/>
      <c r="DNF166" s="146"/>
      <c r="DNG166" s="146"/>
      <c r="DNH166" s="146"/>
      <c r="DNI166" s="146"/>
      <c r="DNJ166" s="146"/>
      <c r="DNK166" s="146"/>
      <c r="DNL166" s="146"/>
      <c r="DNM166" s="146"/>
      <c r="DNN166" s="146"/>
      <c r="DNO166" s="146"/>
      <c r="DNP166" s="146"/>
      <c r="DNQ166" s="146"/>
      <c r="DNR166" s="146"/>
      <c r="DNS166" s="146"/>
      <c r="DNT166" s="146"/>
      <c r="DNU166" s="146"/>
      <c r="DNV166" s="146"/>
      <c r="DNW166" s="146"/>
      <c r="DNX166" s="146"/>
      <c r="DNY166" s="146"/>
      <c r="DNZ166" s="146"/>
      <c r="DOA166" s="146"/>
      <c r="DOB166" s="146"/>
      <c r="DOC166" s="146"/>
      <c r="DOD166" s="146"/>
      <c r="DOE166" s="146"/>
      <c r="DOF166" s="146"/>
      <c r="DOG166" s="146"/>
      <c r="DOH166" s="146"/>
      <c r="DOI166" s="146"/>
      <c r="DOJ166" s="146"/>
      <c r="DOK166" s="146"/>
      <c r="DOL166" s="146"/>
      <c r="DOM166" s="146"/>
      <c r="DON166" s="146"/>
      <c r="DOO166" s="146"/>
      <c r="DOP166" s="146"/>
      <c r="DOQ166" s="146"/>
      <c r="DOR166" s="146"/>
      <c r="DOS166" s="146"/>
      <c r="DOT166" s="146"/>
      <c r="DOU166" s="146"/>
      <c r="DOV166" s="146"/>
      <c r="DOW166" s="146"/>
      <c r="DOX166" s="146"/>
      <c r="DOY166" s="146"/>
      <c r="DOZ166" s="146"/>
      <c r="DPA166" s="146"/>
      <c r="DPB166" s="146"/>
      <c r="DPC166" s="146"/>
      <c r="DPD166" s="146"/>
      <c r="DPE166" s="146"/>
      <c r="DPF166" s="146"/>
      <c r="DPG166" s="146"/>
      <c r="DPH166" s="146"/>
      <c r="DPI166" s="146"/>
      <c r="DPJ166" s="146"/>
      <c r="DPK166" s="146"/>
      <c r="DPL166" s="146"/>
      <c r="DPM166" s="146"/>
      <c r="DPN166" s="146"/>
      <c r="DPO166" s="146"/>
      <c r="DPP166" s="146"/>
      <c r="DPQ166" s="146"/>
      <c r="DPR166" s="146"/>
      <c r="DPS166" s="146"/>
      <c r="DPT166" s="146"/>
      <c r="DPU166" s="146"/>
      <c r="DPV166" s="146"/>
      <c r="DPW166" s="146"/>
      <c r="DPX166" s="146"/>
      <c r="DPY166" s="146"/>
      <c r="DPZ166" s="146"/>
      <c r="DQA166" s="146"/>
      <c r="DQB166" s="146"/>
      <c r="DQC166" s="146"/>
      <c r="DQD166" s="146"/>
      <c r="DQE166" s="146"/>
      <c r="DQF166" s="146"/>
      <c r="DQG166" s="146"/>
      <c r="DQH166" s="146"/>
      <c r="DQI166" s="146"/>
      <c r="DQJ166" s="146"/>
      <c r="DQK166" s="146"/>
      <c r="DQL166" s="146"/>
      <c r="DQM166" s="146"/>
      <c r="DQN166" s="146"/>
      <c r="DQO166" s="146"/>
      <c r="DQP166" s="146"/>
      <c r="DQQ166" s="146"/>
      <c r="DQR166" s="146"/>
      <c r="DQS166" s="146"/>
      <c r="DQT166" s="146"/>
      <c r="DQU166" s="146"/>
      <c r="DQV166" s="146"/>
      <c r="DQW166" s="146"/>
      <c r="DQX166" s="146"/>
      <c r="DQY166" s="146"/>
      <c r="DQZ166" s="146"/>
      <c r="DRA166" s="146"/>
      <c r="DRB166" s="146"/>
      <c r="DRC166" s="146"/>
      <c r="DRD166" s="146"/>
      <c r="DRE166" s="146"/>
      <c r="DRF166" s="146"/>
      <c r="DRG166" s="146"/>
      <c r="DRH166" s="146"/>
      <c r="DRI166" s="146"/>
      <c r="DRJ166" s="146"/>
      <c r="DRK166" s="146"/>
      <c r="DRL166" s="146"/>
      <c r="DRM166" s="146"/>
      <c r="DRN166" s="146"/>
      <c r="DRO166" s="146"/>
      <c r="DRP166" s="146"/>
      <c r="DRQ166" s="146"/>
      <c r="DRR166" s="146"/>
      <c r="DRS166" s="146"/>
      <c r="DRT166" s="146"/>
      <c r="DRU166" s="146"/>
      <c r="DRV166" s="146"/>
      <c r="DRW166" s="146"/>
      <c r="DRX166" s="146"/>
      <c r="DRY166" s="146"/>
      <c r="DRZ166" s="146"/>
      <c r="DSA166" s="146"/>
      <c r="DSB166" s="146"/>
      <c r="DSC166" s="146"/>
      <c r="DSD166" s="146"/>
      <c r="DSE166" s="146"/>
      <c r="DSF166" s="146"/>
      <c r="DSG166" s="146"/>
      <c r="DSH166" s="146"/>
      <c r="DSI166" s="146"/>
      <c r="DSJ166" s="146"/>
      <c r="DSK166" s="146"/>
      <c r="DSL166" s="146"/>
      <c r="DSM166" s="146"/>
      <c r="DSN166" s="146"/>
      <c r="DSO166" s="146"/>
      <c r="DSP166" s="146"/>
      <c r="DSQ166" s="146"/>
      <c r="DSR166" s="146"/>
      <c r="DSS166" s="146"/>
      <c r="DST166" s="146"/>
      <c r="DSU166" s="146"/>
      <c r="DSV166" s="146"/>
      <c r="DSW166" s="146"/>
      <c r="DSX166" s="146"/>
      <c r="DSY166" s="146"/>
      <c r="DSZ166" s="146"/>
      <c r="DTA166" s="146"/>
      <c r="DTB166" s="146"/>
      <c r="DTC166" s="146"/>
      <c r="DTD166" s="146"/>
      <c r="DTE166" s="146"/>
      <c r="DTF166" s="146"/>
      <c r="DTG166" s="146"/>
      <c r="DTH166" s="146"/>
      <c r="DTI166" s="146"/>
      <c r="DTJ166" s="146"/>
      <c r="DTK166" s="146"/>
      <c r="DTL166" s="146"/>
      <c r="DTM166" s="146"/>
      <c r="DTN166" s="146"/>
      <c r="DTO166" s="146"/>
      <c r="DTP166" s="146"/>
      <c r="DTQ166" s="146"/>
      <c r="DTR166" s="146"/>
      <c r="DTS166" s="146"/>
      <c r="DTT166" s="146"/>
      <c r="DTU166" s="146"/>
      <c r="DTV166" s="146"/>
      <c r="DTW166" s="146"/>
      <c r="DTX166" s="146"/>
      <c r="DTY166" s="146"/>
      <c r="DTZ166" s="146"/>
      <c r="DUA166" s="146"/>
      <c r="DUB166" s="146"/>
      <c r="DUC166" s="146"/>
      <c r="DUD166" s="146"/>
      <c r="DUE166" s="146"/>
      <c r="DUF166" s="146"/>
      <c r="DUG166" s="146"/>
      <c r="DUH166" s="146"/>
      <c r="DUI166" s="146"/>
      <c r="DUJ166" s="146"/>
      <c r="DUK166" s="146"/>
      <c r="DUL166" s="146"/>
      <c r="DUM166" s="146"/>
      <c r="DUN166" s="146"/>
      <c r="DUO166" s="146"/>
      <c r="DUP166" s="146"/>
      <c r="DUQ166" s="146"/>
      <c r="DUR166" s="146"/>
      <c r="DUS166" s="146"/>
      <c r="DUT166" s="146"/>
      <c r="DUU166" s="146"/>
      <c r="DUV166" s="146"/>
      <c r="DUW166" s="146"/>
      <c r="DUX166" s="146"/>
      <c r="DUY166" s="146"/>
      <c r="DUZ166" s="146"/>
      <c r="DVA166" s="146"/>
      <c r="DVB166" s="146"/>
      <c r="DVC166" s="146"/>
      <c r="DVD166" s="146"/>
      <c r="DVE166" s="146"/>
      <c r="DVF166" s="146"/>
      <c r="DVG166" s="146"/>
      <c r="DVH166" s="146"/>
      <c r="DVI166" s="146"/>
      <c r="DVJ166" s="146"/>
      <c r="DVK166" s="146"/>
      <c r="DVL166" s="146"/>
      <c r="DVM166" s="146"/>
      <c r="DVN166" s="146"/>
      <c r="DVO166" s="146"/>
      <c r="DVP166" s="146"/>
      <c r="DVQ166" s="146"/>
      <c r="DVR166" s="146"/>
      <c r="DVS166" s="146"/>
      <c r="DVT166" s="146"/>
      <c r="DVU166" s="146"/>
      <c r="DVV166" s="146"/>
      <c r="DVW166" s="146"/>
      <c r="DVX166" s="146"/>
      <c r="DVY166" s="146"/>
      <c r="DVZ166" s="146"/>
      <c r="DWA166" s="146"/>
      <c r="DWB166" s="146"/>
      <c r="DWC166" s="146"/>
      <c r="DWD166" s="146"/>
      <c r="DWE166" s="146"/>
      <c r="DWF166" s="146"/>
      <c r="DWG166" s="146"/>
      <c r="DWH166" s="146"/>
      <c r="DWI166" s="146"/>
      <c r="DWJ166" s="146"/>
      <c r="DWK166" s="146"/>
      <c r="DWL166" s="146"/>
      <c r="DWM166" s="146"/>
      <c r="DWN166" s="146"/>
      <c r="DWO166" s="146"/>
      <c r="DWP166" s="146"/>
      <c r="DWQ166" s="146"/>
      <c r="DWR166" s="146"/>
      <c r="DWS166" s="146"/>
      <c r="DWT166" s="146"/>
      <c r="DWU166" s="146"/>
      <c r="DWV166" s="146"/>
      <c r="DWW166" s="146"/>
      <c r="DWX166" s="146"/>
      <c r="DWY166" s="146"/>
      <c r="DWZ166" s="146"/>
      <c r="DXA166" s="146"/>
      <c r="DXB166" s="146"/>
      <c r="DXC166" s="146"/>
      <c r="DXD166" s="146"/>
      <c r="DXE166" s="146"/>
      <c r="DXF166" s="146"/>
      <c r="DXG166" s="146"/>
      <c r="DXH166" s="146"/>
      <c r="DXI166" s="146"/>
      <c r="DXJ166" s="146"/>
      <c r="DXK166" s="146"/>
      <c r="DXL166" s="146"/>
      <c r="DXM166" s="146"/>
      <c r="DXN166" s="146"/>
      <c r="DXO166" s="146"/>
      <c r="DXP166" s="146"/>
      <c r="DXQ166" s="146"/>
      <c r="DXR166" s="146"/>
      <c r="DXS166" s="146"/>
      <c r="DXT166" s="146"/>
      <c r="DXU166" s="146"/>
      <c r="DXV166" s="146"/>
      <c r="DXW166" s="146"/>
      <c r="DXX166" s="146"/>
      <c r="DXY166" s="146"/>
      <c r="DXZ166" s="146"/>
      <c r="DYA166" s="146"/>
      <c r="DYB166" s="146"/>
      <c r="DYC166" s="146"/>
      <c r="DYD166" s="146"/>
      <c r="DYE166" s="146"/>
      <c r="DYF166" s="146"/>
      <c r="DYG166" s="146"/>
      <c r="DYH166" s="146"/>
      <c r="DYI166" s="146"/>
      <c r="DYJ166" s="146"/>
      <c r="DYK166" s="146"/>
      <c r="DYL166" s="146"/>
      <c r="DYM166" s="146"/>
      <c r="DYN166" s="146"/>
      <c r="DYO166" s="146"/>
      <c r="DYP166" s="146"/>
      <c r="DYQ166" s="146"/>
      <c r="DYR166" s="146"/>
      <c r="DYS166" s="146"/>
      <c r="DYT166" s="146"/>
      <c r="DYU166" s="146"/>
      <c r="DYV166" s="146"/>
      <c r="DYW166" s="146"/>
      <c r="DYX166" s="146"/>
      <c r="DYY166" s="146"/>
      <c r="DYZ166" s="146"/>
      <c r="DZA166" s="146"/>
      <c r="DZB166" s="146"/>
      <c r="DZC166" s="146"/>
      <c r="DZD166" s="146"/>
      <c r="DZE166" s="146"/>
      <c r="DZF166" s="146"/>
      <c r="DZG166" s="146"/>
      <c r="DZH166" s="146"/>
      <c r="DZI166" s="146"/>
      <c r="DZJ166" s="146"/>
      <c r="DZK166" s="146"/>
      <c r="DZL166" s="146"/>
      <c r="DZM166" s="146"/>
      <c r="DZN166" s="146"/>
      <c r="DZO166" s="146"/>
      <c r="DZP166" s="146"/>
      <c r="DZQ166" s="146"/>
      <c r="DZR166" s="146"/>
      <c r="DZS166" s="146"/>
      <c r="DZT166" s="146"/>
      <c r="DZU166" s="146"/>
      <c r="DZV166" s="146"/>
      <c r="DZW166" s="146"/>
      <c r="DZX166" s="146"/>
      <c r="DZY166" s="146"/>
      <c r="DZZ166" s="146"/>
      <c r="EAA166" s="146"/>
      <c r="EAB166" s="146"/>
      <c r="EAC166" s="146"/>
      <c r="EAD166" s="146"/>
      <c r="EAE166" s="146"/>
      <c r="EAF166" s="146"/>
      <c r="EAG166" s="146"/>
      <c r="EAH166" s="146"/>
      <c r="EAI166" s="146"/>
      <c r="EAJ166" s="146"/>
      <c r="EAK166" s="146"/>
      <c r="EAL166" s="146"/>
      <c r="EAM166" s="146"/>
      <c r="EAN166" s="146"/>
      <c r="EAO166" s="146"/>
      <c r="EAP166" s="146"/>
      <c r="EAQ166" s="146"/>
      <c r="EAR166" s="146"/>
      <c r="EAS166" s="146"/>
      <c r="EAT166" s="146"/>
      <c r="EAU166" s="146"/>
      <c r="EAV166" s="146"/>
      <c r="EAW166" s="146"/>
      <c r="EAX166" s="146"/>
      <c r="EAY166" s="146"/>
      <c r="EAZ166" s="146"/>
      <c r="EBA166" s="146"/>
      <c r="EBB166" s="146"/>
      <c r="EBC166" s="146"/>
      <c r="EBD166" s="146"/>
      <c r="EBE166" s="146"/>
      <c r="EBF166" s="146"/>
      <c r="EBG166" s="146"/>
      <c r="EBH166" s="146"/>
      <c r="EBI166" s="146"/>
      <c r="EBJ166" s="146"/>
      <c r="EBK166" s="146"/>
      <c r="EBL166" s="146"/>
      <c r="EBM166" s="146"/>
      <c r="EBN166" s="146"/>
      <c r="EBO166" s="146"/>
      <c r="EBP166" s="146"/>
      <c r="EBQ166" s="146"/>
      <c r="EBR166" s="146"/>
      <c r="EBS166" s="146"/>
      <c r="EBT166" s="146"/>
      <c r="EBU166" s="146"/>
      <c r="EBV166" s="146"/>
      <c r="EBW166" s="146"/>
      <c r="EBX166" s="146"/>
      <c r="EBY166" s="146"/>
      <c r="EBZ166" s="146"/>
      <c r="ECA166" s="146"/>
      <c r="ECB166" s="146"/>
      <c r="ECC166" s="146"/>
      <c r="ECD166" s="146"/>
      <c r="ECE166" s="146"/>
      <c r="ECF166" s="146"/>
      <c r="ECG166" s="146"/>
      <c r="ECH166" s="146"/>
      <c r="ECI166" s="146"/>
      <c r="ECJ166" s="146"/>
      <c r="ECK166" s="146"/>
      <c r="ECL166" s="146"/>
      <c r="ECM166" s="146"/>
      <c r="ECN166" s="146"/>
      <c r="ECO166" s="146"/>
      <c r="ECP166" s="146"/>
      <c r="ECQ166" s="146"/>
      <c r="ECR166" s="146"/>
      <c r="ECS166" s="146"/>
      <c r="ECT166" s="146"/>
      <c r="ECU166" s="146"/>
      <c r="ECV166" s="146"/>
      <c r="ECW166" s="146"/>
      <c r="ECX166" s="146"/>
      <c r="ECY166" s="146"/>
      <c r="ECZ166" s="146"/>
      <c r="EDA166" s="146"/>
      <c r="EDB166" s="146"/>
      <c r="EDC166" s="146"/>
      <c r="EDD166" s="146"/>
      <c r="EDE166" s="146"/>
      <c r="EDF166" s="146"/>
      <c r="EDG166" s="146"/>
      <c r="EDH166" s="146"/>
      <c r="EDI166" s="146"/>
      <c r="EDJ166" s="146"/>
      <c r="EDK166" s="146"/>
      <c r="EDL166" s="146"/>
      <c r="EDM166" s="146"/>
      <c r="EDN166" s="146"/>
      <c r="EDO166" s="146"/>
      <c r="EDP166" s="146"/>
      <c r="EDQ166" s="146"/>
      <c r="EDR166" s="146"/>
      <c r="EDS166" s="146"/>
      <c r="EDT166" s="146"/>
      <c r="EDU166" s="146"/>
      <c r="EDV166" s="146"/>
      <c r="EDW166" s="146"/>
      <c r="EDX166" s="146"/>
      <c r="EDY166" s="146"/>
      <c r="EDZ166" s="146"/>
      <c r="EEA166" s="146"/>
      <c r="EEB166" s="146"/>
      <c r="EEC166" s="146"/>
      <c r="EED166" s="146"/>
      <c r="EEE166" s="146"/>
      <c r="EEF166" s="146"/>
      <c r="EEG166" s="146"/>
      <c r="EEH166" s="146"/>
      <c r="EEI166" s="146"/>
      <c r="EEJ166" s="146"/>
      <c r="EEK166" s="146"/>
      <c r="EEL166" s="146"/>
      <c r="EEM166" s="146"/>
      <c r="EEN166" s="146"/>
      <c r="EEO166" s="146"/>
      <c r="EEP166" s="146"/>
      <c r="EEQ166" s="146"/>
      <c r="EER166" s="146"/>
      <c r="EES166" s="146"/>
      <c r="EET166" s="146"/>
      <c r="EEU166" s="146"/>
      <c r="EEV166" s="146"/>
      <c r="EEW166" s="146"/>
      <c r="EEX166" s="146"/>
      <c r="EEY166" s="146"/>
      <c r="EEZ166" s="146"/>
      <c r="EFA166" s="146"/>
      <c r="EFB166" s="146"/>
      <c r="EFC166" s="146"/>
      <c r="EFD166" s="146"/>
      <c r="EFE166" s="146"/>
      <c r="EFF166" s="146"/>
      <c r="EFG166" s="146"/>
      <c r="EFH166" s="146"/>
      <c r="EFI166" s="146"/>
      <c r="EFJ166" s="146"/>
      <c r="EFK166" s="146"/>
      <c r="EFL166" s="146"/>
      <c r="EFM166" s="146"/>
      <c r="EFN166" s="146"/>
      <c r="EFO166" s="146"/>
      <c r="EFP166" s="146"/>
      <c r="EFQ166" s="146"/>
      <c r="EFR166" s="146"/>
      <c r="EFS166" s="146"/>
      <c r="EFT166" s="146"/>
      <c r="EFU166" s="146"/>
      <c r="EFV166" s="146"/>
      <c r="EFW166" s="146"/>
      <c r="EFX166" s="146"/>
      <c r="EFY166" s="146"/>
      <c r="EFZ166" s="146"/>
      <c r="EGA166" s="146"/>
      <c r="EGB166" s="146"/>
      <c r="EGC166" s="146"/>
      <c r="EGD166" s="146"/>
      <c r="EGE166" s="146"/>
      <c r="EGF166" s="146"/>
      <c r="EGG166" s="146"/>
      <c r="EGH166" s="146"/>
      <c r="EGI166" s="146"/>
      <c r="EGJ166" s="146"/>
      <c r="EGK166" s="146"/>
      <c r="EGL166" s="146"/>
      <c r="EGM166" s="146"/>
      <c r="EGN166" s="146"/>
      <c r="EGO166" s="146"/>
      <c r="EGP166" s="146"/>
      <c r="EGQ166" s="146"/>
      <c r="EGR166" s="146"/>
      <c r="EGS166" s="146"/>
      <c r="EGT166" s="146"/>
      <c r="EGU166" s="146"/>
      <c r="EGV166" s="146"/>
      <c r="EGW166" s="146"/>
      <c r="EGX166" s="146"/>
      <c r="EGY166" s="146"/>
      <c r="EGZ166" s="146"/>
      <c r="EHA166" s="146"/>
      <c r="EHB166" s="146"/>
      <c r="EHC166" s="146"/>
      <c r="EHD166" s="146"/>
      <c r="EHE166" s="146"/>
      <c r="EHF166" s="146"/>
      <c r="EHG166" s="146"/>
      <c r="EHH166" s="146"/>
      <c r="EHI166" s="146"/>
      <c r="EHJ166" s="146"/>
      <c r="EHK166" s="146"/>
      <c r="EHL166" s="146"/>
      <c r="EHM166" s="146"/>
      <c r="EHN166" s="146"/>
      <c r="EHO166" s="146"/>
      <c r="EHP166" s="146"/>
      <c r="EHQ166" s="146"/>
      <c r="EHR166" s="146"/>
      <c r="EHS166" s="146"/>
      <c r="EHT166" s="146"/>
      <c r="EHU166" s="146"/>
      <c r="EHV166" s="146"/>
      <c r="EHW166" s="146"/>
      <c r="EHX166" s="146"/>
      <c r="EHY166" s="146"/>
      <c r="EHZ166" s="146"/>
      <c r="EIA166" s="146"/>
      <c r="EIB166" s="146"/>
      <c r="EIC166" s="146"/>
      <c r="EID166" s="146"/>
      <c r="EIE166" s="146"/>
      <c r="EIF166" s="146"/>
      <c r="EIG166" s="146"/>
      <c r="EIH166" s="146"/>
      <c r="EII166" s="146"/>
      <c r="EIJ166" s="146"/>
      <c r="EIK166" s="146"/>
      <c r="EIL166" s="146"/>
      <c r="EIM166" s="146"/>
      <c r="EIN166" s="146"/>
      <c r="EIO166" s="146"/>
      <c r="EIP166" s="146"/>
      <c r="EIQ166" s="146"/>
      <c r="EIR166" s="146"/>
      <c r="EIS166" s="146"/>
      <c r="EIT166" s="146"/>
      <c r="EIU166" s="146"/>
      <c r="EIV166" s="146"/>
      <c r="EIW166" s="146"/>
      <c r="EIX166" s="146"/>
      <c r="EIY166" s="146"/>
      <c r="EIZ166" s="146"/>
      <c r="EJA166" s="146"/>
      <c r="EJB166" s="146"/>
      <c r="EJC166" s="146"/>
      <c r="EJD166" s="146"/>
      <c r="EJE166" s="146"/>
      <c r="EJF166" s="146"/>
      <c r="EJG166" s="146"/>
      <c r="EJH166" s="146"/>
      <c r="EJI166" s="146"/>
      <c r="EJJ166" s="146"/>
      <c r="EJK166" s="146"/>
      <c r="EJL166" s="146"/>
      <c r="EJM166" s="146"/>
      <c r="EJN166" s="146"/>
      <c r="EJO166" s="146"/>
      <c r="EJP166" s="146"/>
      <c r="EJQ166" s="146"/>
      <c r="EJR166" s="146"/>
      <c r="EJS166" s="146"/>
      <c r="EJT166" s="146"/>
      <c r="EJU166" s="146"/>
      <c r="EJV166" s="146"/>
      <c r="EJW166" s="146"/>
      <c r="EJX166" s="146"/>
      <c r="EJY166" s="146"/>
      <c r="EJZ166" s="146"/>
      <c r="EKA166" s="146"/>
      <c r="EKB166" s="146"/>
      <c r="EKC166" s="146"/>
      <c r="EKD166" s="146"/>
      <c r="EKE166" s="146"/>
      <c r="EKF166" s="146"/>
      <c r="EKG166" s="146"/>
      <c r="EKH166" s="146"/>
      <c r="EKI166" s="146"/>
      <c r="EKJ166" s="146"/>
      <c r="EKK166" s="146"/>
      <c r="EKL166" s="146"/>
      <c r="EKM166" s="146"/>
      <c r="EKN166" s="146"/>
      <c r="EKO166" s="146"/>
      <c r="EKP166" s="146"/>
      <c r="EKQ166" s="146"/>
      <c r="EKR166" s="146"/>
      <c r="EKS166" s="146"/>
      <c r="EKT166" s="146"/>
      <c r="EKU166" s="146"/>
      <c r="EKV166" s="146"/>
      <c r="EKW166" s="146"/>
      <c r="EKX166" s="146"/>
      <c r="EKY166" s="146"/>
      <c r="EKZ166" s="146"/>
      <c r="ELA166" s="146"/>
      <c r="ELB166" s="146"/>
      <c r="ELC166" s="146"/>
      <c r="ELD166" s="146"/>
      <c r="ELE166" s="146"/>
      <c r="ELF166" s="146"/>
      <c r="ELG166" s="146"/>
      <c r="ELH166" s="146"/>
      <c r="ELI166" s="146"/>
      <c r="ELJ166" s="146"/>
      <c r="ELK166" s="146"/>
      <c r="ELL166" s="146"/>
      <c r="ELM166" s="146"/>
      <c r="ELN166" s="146"/>
      <c r="ELO166" s="146"/>
      <c r="ELP166" s="146"/>
      <c r="ELQ166" s="146"/>
      <c r="ELR166" s="146"/>
      <c r="ELS166" s="146"/>
      <c r="ELT166" s="146"/>
      <c r="ELU166" s="146"/>
      <c r="ELV166" s="146"/>
      <c r="ELW166" s="146"/>
      <c r="ELX166" s="146"/>
      <c r="ELY166" s="146"/>
      <c r="ELZ166" s="146"/>
      <c r="EMA166" s="146"/>
      <c r="EMB166" s="146"/>
      <c r="EMC166" s="146"/>
      <c r="EMD166" s="146"/>
      <c r="EME166" s="146"/>
      <c r="EMF166" s="146"/>
      <c r="EMG166" s="146"/>
      <c r="EMH166" s="146"/>
      <c r="EMI166" s="146"/>
      <c r="EMJ166" s="146"/>
      <c r="EMK166" s="146"/>
      <c r="EML166" s="146"/>
      <c r="EMM166" s="146"/>
      <c r="EMN166" s="146"/>
      <c r="EMO166" s="146"/>
      <c r="EMP166" s="146"/>
      <c r="EMQ166" s="146"/>
      <c r="EMR166" s="146"/>
      <c r="EMS166" s="146"/>
      <c r="EMT166" s="146"/>
      <c r="EMU166" s="146"/>
      <c r="EMV166" s="146"/>
      <c r="EMW166" s="146"/>
      <c r="EMX166" s="146"/>
      <c r="EMY166" s="146"/>
      <c r="EMZ166" s="146"/>
      <c r="ENA166" s="146"/>
      <c r="ENB166" s="146"/>
      <c r="ENC166" s="146"/>
      <c r="END166" s="146"/>
      <c r="ENE166" s="146"/>
      <c r="ENF166" s="146"/>
      <c r="ENG166" s="146"/>
      <c r="ENH166" s="146"/>
      <c r="ENI166" s="146"/>
      <c r="ENJ166" s="146"/>
      <c r="ENK166" s="146"/>
      <c r="ENL166" s="146"/>
      <c r="ENM166" s="146"/>
      <c r="ENN166" s="146"/>
      <c r="ENO166" s="146"/>
      <c r="ENP166" s="146"/>
      <c r="ENQ166" s="146"/>
      <c r="ENR166" s="146"/>
      <c r="ENS166" s="146"/>
      <c r="ENT166" s="146"/>
      <c r="ENU166" s="146"/>
      <c r="ENV166" s="146"/>
      <c r="ENW166" s="146"/>
      <c r="ENX166" s="146"/>
      <c r="ENY166" s="146"/>
      <c r="ENZ166" s="146"/>
      <c r="EOA166" s="146"/>
      <c r="EOB166" s="146"/>
      <c r="EOC166" s="146"/>
      <c r="EOD166" s="146"/>
      <c r="EOE166" s="146"/>
      <c r="EOF166" s="146"/>
      <c r="EOG166" s="146"/>
      <c r="EOH166" s="146"/>
      <c r="EOI166" s="146"/>
      <c r="EOJ166" s="146"/>
      <c r="EOK166" s="146"/>
      <c r="EOL166" s="146"/>
      <c r="EOM166" s="146"/>
      <c r="EON166" s="146"/>
      <c r="EOO166" s="146"/>
      <c r="EOP166" s="146"/>
      <c r="EOQ166" s="146"/>
      <c r="EOR166" s="146"/>
      <c r="EOS166" s="146"/>
      <c r="EOT166" s="146"/>
      <c r="EOU166" s="146"/>
      <c r="EOV166" s="146"/>
      <c r="EOW166" s="146"/>
      <c r="EOX166" s="146"/>
      <c r="EOY166" s="146"/>
      <c r="EOZ166" s="146"/>
      <c r="EPA166" s="146"/>
      <c r="EPB166" s="146"/>
      <c r="EPC166" s="146"/>
      <c r="EPD166" s="146"/>
      <c r="EPE166" s="146"/>
      <c r="EPF166" s="146"/>
      <c r="EPG166" s="146"/>
      <c r="EPH166" s="146"/>
      <c r="EPI166" s="146"/>
      <c r="EPJ166" s="146"/>
      <c r="EPK166" s="146"/>
      <c r="EPL166" s="146"/>
      <c r="EPM166" s="146"/>
      <c r="EPN166" s="146"/>
      <c r="EPO166" s="146"/>
      <c r="EPP166" s="146"/>
      <c r="EPQ166" s="146"/>
      <c r="EPR166" s="146"/>
      <c r="EPS166" s="146"/>
      <c r="EPT166" s="146"/>
      <c r="EPU166" s="146"/>
      <c r="EPV166" s="146"/>
      <c r="EPW166" s="146"/>
      <c r="EPX166" s="146"/>
      <c r="EPY166" s="146"/>
      <c r="EPZ166" s="146"/>
      <c r="EQA166" s="146"/>
      <c r="EQB166" s="146"/>
      <c r="EQC166" s="146"/>
      <c r="EQD166" s="146"/>
      <c r="EQE166" s="146"/>
      <c r="EQF166" s="146"/>
      <c r="EQG166" s="146"/>
      <c r="EQH166" s="146"/>
      <c r="EQI166" s="146"/>
      <c r="EQJ166" s="146"/>
      <c r="EQK166" s="146"/>
      <c r="EQL166" s="146"/>
      <c r="EQM166" s="146"/>
      <c r="EQN166" s="146"/>
      <c r="EQO166" s="146"/>
      <c r="EQP166" s="146"/>
      <c r="EQQ166" s="146"/>
      <c r="EQR166" s="146"/>
      <c r="EQS166" s="146"/>
      <c r="EQT166" s="146"/>
      <c r="EQU166" s="146"/>
      <c r="EQV166" s="146"/>
      <c r="EQW166" s="146"/>
      <c r="EQX166" s="146"/>
      <c r="EQY166" s="146"/>
      <c r="EQZ166" s="146"/>
      <c r="ERA166" s="146"/>
      <c r="ERB166" s="146"/>
      <c r="ERC166" s="146"/>
      <c r="ERD166" s="146"/>
      <c r="ERE166" s="146"/>
      <c r="ERF166" s="146"/>
      <c r="ERG166" s="146"/>
      <c r="ERH166" s="146"/>
      <c r="ERI166" s="146"/>
      <c r="ERJ166" s="146"/>
      <c r="ERK166" s="146"/>
      <c r="ERL166" s="146"/>
      <c r="ERM166" s="146"/>
      <c r="ERN166" s="146"/>
      <c r="ERO166" s="146"/>
      <c r="ERP166" s="146"/>
      <c r="ERQ166" s="146"/>
      <c r="ERR166" s="146"/>
      <c r="ERS166" s="146"/>
      <c r="ERT166" s="146"/>
      <c r="ERU166" s="146"/>
      <c r="ERV166" s="146"/>
      <c r="ERW166" s="146"/>
      <c r="ERX166" s="146"/>
      <c r="ERY166" s="146"/>
      <c r="ERZ166" s="146"/>
      <c r="ESA166" s="146"/>
      <c r="ESB166" s="146"/>
      <c r="ESC166" s="146"/>
      <c r="ESD166" s="146"/>
      <c r="ESE166" s="146"/>
      <c r="ESF166" s="146"/>
      <c r="ESG166" s="146"/>
      <c r="ESH166" s="146"/>
      <c r="ESI166" s="146"/>
      <c r="ESJ166" s="146"/>
      <c r="ESK166" s="146"/>
      <c r="ESL166" s="146"/>
      <c r="ESM166" s="146"/>
      <c r="ESN166" s="146"/>
      <c r="ESO166" s="146"/>
      <c r="ESP166" s="146"/>
      <c r="ESQ166" s="146"/>
      <c r="ESR166" s="146"/>
      <c r="ESS166" s="146"/>
      <c r="EST166" s="146"/>
      <c r="ESU166" s="146"/>
      <c r="ESV166" s="146"/>
      <c r="ESW166" s="146"/>
      <c r="ESX166" s="146"/>
      <c r="ESY166" s="146"/>
      <c r="ESZ166" s="146"/>
      <c r="ETA166" s="146"/>
      <c r="ETB166" s="146"/>
      <c r="ETC166" s="146"/>
      <c r="ETD166" s="146"/>
      <c r="ETE166" s="146"/>
      <c r="ETF166" s="146"/>
      <c r="ETG166" s="146"/>
      <c r="ETH166" s="146"/>
      <c r="ETI166" s="146"/>
      <c r="ETJ166" s="146"/>
      <c r="ETK166" s="146"/>
      <c r="ETL166" s="146"/>
      <c r="ETM166" s="146"/>
      <c r="ETN166" s="146"/>
      <c r="ETO166" s="146"/>
      <c r="ETP166" s="146"/>
      <c r="ETQ166" s="146"/>
      <c r="ETR166" s="146"/>
      <c r="ETS166" s="146"/>
      <c r="ETT166" s="146"/>
      <c r="ETU166" s="146"/>
      <c r="ETV166" s="146"/>
      <c r="ETW166" s="146"/>
      <c r="ETX166" s="146"/>
      <c r="ETY166" s="146"/>
      <c r="ETZ166" s="146"/>
      <c r="EUA166" s="146"/>
      <c r="EUB166" s="146"/>
      <c r="EUC166" s="146"/>
      <c r="EUD166" s="146"/>
      <c r="EUE166" s="146"/>
      <c r="EUF166" s="146"/>
      <c r="EUG166" s="146"/>
      <c r="EUH166" s="146"/>
      <c r="EUI166" s="146"/>
      <c r="EUJ166" s="146"/>
      <c r="EUK166" s="146"/>
      <c r="EUL166" s="146"/>
      <c r="EUM166" s="146"/>
      <c r="EUN166" s="146"/>
      <c r="EUO166" s="146"/>
      <c r="EUP166" s="146"/>
      <c r="EUQ166" s="146"/>
      <c r="EUR166" s="146"/>
      <c r="EUS166" s="146"/>
      <c r="EUT166" s="146"/>
      <c r="EUU166" s="146"/>
      <c r="EUV166" s="146"/>
      <c r="EUW166" s="146"/>
      <c r="EUX166" s="146"/>
      <c r="EUY166" s="146"/>
      <c r="EUZ166" s="146"/>
      <c r="EVA166" s="146"/>
      <c r="EVB166" s="146"/>
      <c r="EVC166" s="146"/>
      <c r="EVD166" s="146"/>
      <c r="EVE166" s="146"/>
      <c r="EVF166" s="146"/>
      <c r="EVG166" s="146"/>
      <c r="EVH166" s="146"/>
      <c r="EVI166" s="146"/>
      <c r="EVJ166" s="146"/>
      <c r="EVK166" s="146"/>
      <c r="EVL166" s="146"/>
      <c r="EVM166" s="146"/>
      <c r="EVN166" s="146"/>
      <c r="EVO166" s="146"/>
      <c r="EVP166" s="146"/>
      <c r="EVQ166" s="146"/>
      <c r="EVR166" s="146"/>
      <c r="EVS166" s="146"/>
      <c r="EVT166" s="146"/>
      <c r="EVU166" s="146"/>
      <c r="EVV166" s="146"/>
      <c r="EVW166" s="146"/>
      <c r="EVX166" s="146"/>
      <c r="EVY166" s="146"/>
      <c r="EVZ166" s="146"/>
      <c r="EWA166" s="146"/>
      <c r="EWB166" s="146"/>
      <c r="EWC166" s="146"/>
      <c r="EWD166" s="146"/>
      <c r="EWE166" s="146"/>
      <c r="EWF166" s="146"/>
      <c r="EWG166" s="146"/>
      <c r="EWH166" s="146"/>
      <c r="EWI166" s="146"/>
      <c r="EWJ166" s="146"/>
      <c r="EWK166" s="146"/>
      <c r="EWL166" s="146"/>
      <c r="EWM166" s="146"/>
      <c r="EWN166" s="146"/>
      <c r="EWO166" s="146"/>
      <c r="EWP166" s="146"/>
      <c r="EWQ166" s="146"/>
      <c r="EWR166" s="146"/>
      <c r="EWS166" s="146"/>
      <c r="EWT166" s="146"/>
      <c r="EWU166" s="146"/>
      <c r="EWV166" s="146"/>
      <c r="EWW166" s="146"/>
      <c r="EWX166" s="146"/>
      <c r="EWY166" s="146"/>
      <c r="EWZ166" s="146"/>
      <c r="EXA166" s="146"/>
      <c r="EXB166" s="146"/>
      <c r="EXC166" s="146"/>
      <c r="EXD166" s="146"/>
      <c r="EXE166" s="146"/>
      <c r="EXF166" s="146"/>
      <c r="EXG166" s="146"/>
      <c r="EXH166" s="146"/>
      <c r="EXI166" s="146"/>
      <c r="EXJ166" s="146"/>
      <c r="EXK166" s="146"/>
      <c r="EXL166" s="146"/>
      <c r="EXM166" s="146"/>
      <c r="EXN166" s="146"/>
      <c r="EXO166" s="146"/>
      <c r="EXP166" s="146"/>
      <c r="EXQ166" s="146"/>
      <c r="EXR166" s="146"/>
      <c r="EXS166" s="146"/>
      <c r="EXT166" s="146"/>
      <c r="EXU166" s="146"/>
      <c r="EXV166" s="146"/>
      <c r="EXW166" s="146"/>
      <c r="EXX166" s="146"/>
      <c r="EXY166" s="146"/>
      <c r="EXZ166" s="146"/>
      <c r="EYA166" s="146"/>
      <c r="EYB166" s="146"/>
      <c r="EYC166" s="146"/>
      <c r="EYD166" s="146"/>
      <c r="EYE166" s="146"/>
      <c r="EYF166" s="146"/>
      <c r="EYG166" s="146"/>
      <c r="EYH166" s="146"/>
      <c r="EYI166" s="146"/>
      <c r="EYJ166" s="146"/>
      <c r="EYK166" s="146"/>
      <c r="EYL166" s="146"/>
      <c r="EYM166" s="146"/>
      <c r="EYN166" s="146"/>
      <c r="EYO166" s="146"/>
      <c r="EYP166" s="146"/>
      <c r="EYQ166" s="146"/>
      <c r="EYR166" s="146"/>
      <c r="EYS166" s="146"/>
      <c r="EYT166" s="146"/>
      <c r="EYU166" s="146"/>
      <c r="EYV166" s="146"/>
      <c r="EYW166" s="146"/>
      <c r="EYX166" s="146"/>
      <c r="EYY166" s="146"/>
      <c r="EYZ166" s="146"/>
      <c r="EZA166" s="146"/>
      <c r="EZB166" s="146"/>
      <c r="EZC166" s="146"/>
      <c r="EZD166" s="146"/>
      <c r="EZE166" s="146"/>
      <c r="EZF166" s="146"/>
      <c r="EZG166" s="146"/>
      <c r="EZH166" s="146"/>
      <c r="EZI166" s="146"/>
      <c r="EZJ166" s="146"/>
      <c r="EZK166" s="146"/>
      <c r="EZL166" s="146"/>
      <c r="EZM166" s="146"/>
      <c r="EZN166" s="146"/>
      <c r="EZO166" s="146"/>
      <c r="EZP166" s="146"/>
      <c r="EZQ166" s="146"/>
      <c r="EZR166" s="146"/>
      <c r="EZS166" s="146"/>
      <c r="EZT166" s="146"/>
      <c r="EZU166" s="146"/>
      <c r="EZV166" s="146"/>
      <c r="EZW166" s="146"/>
      <c r="EZX166" s="146"/>
      <c r="EZY166" s="146"/>
      <c r="EZZ166" s="146"/>
      <c r="FAA166" s="146"/>
      <c r="FAB166" s="146"/>
      <c r="FAC166" s="146"/>
      <c r="FAD166" s="146"/>
      <c r="FAE166" s="146"/>
      <c r="FAF166" s="146"/>
      <c r="FAG166" s="146"/>
      <c r="FAH166" s="146"/>
      <c r="FAI166" s="146"/>
      <c r="FAJ166" s="146"/>
      <c r="FAK166" s="146"/>
      <c r="FAL166" s="146"/>
      <c r="FAM166" s="146"/>
      <c r="FAN166" s="146"/>
      <c r="FAO166" s="146"/>
      <c r="FAP166" s="146"/>
      <c r="FAQ166" s="146"/>
      <c r="FAR166" s="146"/>
      <c r="FAS166" s="146"/>
      <c r="FAT166" s="146"/>
      <c r="FAU166" s="146"/>
      <c r="FAV166" s="146"/>
      <c r="FAW166" s="146"/>
      <c r="FAX166" s="146"/>
      <c r="FAY166" s="146"/>
      <c r="FAZ166" s="146"/>
      <c r="FBA166" s="146"/>
      <c r="FBB166" s="146"/>
      <c r="FBC166" s="146"/>
      <c r="FBD166" s="146"/>
      <c r="FBE166" s="146"/>
      <c r="FBF166" s="146"/>
      <c r="FBG166" s="146"/>
      <c r="FBH166" s="146"/>
      <c r="FBI166" s="146"/>
      <c r="FBJ166" s="146"/>
      <c r="FBK166" s="146"/>
      <c r="FBL166" s="146"/>
      <c r="FBM166" s="146"/>
      <c r="FBN166" s="146"/>
      <c r="FBO166" s="146"/>
      <c r="FBP166" s="146"/>
      <c r="FBQ166" s="146"/>
      <c r="FBR166" s="146"/>
      <c r="FBS166" s="146"/>
      <c r="FBT166" s="146"/>
      <c r="FBU166" s="146"/>
      <c r="FBV166" s="146"/>
      <c r="FBW166" s="146"/>
      <c r="FBX166" s="146"/>
      <c r="FBY166" s="146"/>
      <c r="FBZ166" s="146"/>
      <c r="FCA166" s="146"/>
      <c r="FCB166" s="146"/>
      <c r="FCC166" s="146"/>
      <c r="FCD166" s="146"/>
      <c r="FCE166" s="146"/>
      <c r="FCF166" s="146"/>
      <c r="FCG166" s="146"/>
      <c r="FCH166" s="146"/>
      <c r="FCI166" s="146"/>
      <c r="FCJ166" s="146"/>
      <c r="FCK166" s="146"/>
      <c r="FCL166" s="146"/>
      <c r="FCM166" s="146"/>
      <c r="FCN166" s="146"/>
      <c r="FCO166" s="146"/>
      <c r="FCP166" s="146"/>
      <c r="FCQ166" s="146"/>
      <c r="FCR166" s="146"/>
      <c r="FCS166" s="146"/>
      <c r="FCT166" s="146"/>
      <c r="FCU166" s="146"/>
      <c r="FCV166" s="146"/>
      <c r="FCW166" s="146"/>
      <c r="FCX166" s="146"/>
      <c r="FCY166" s="146"/>
      <c r="FCZ166" s="146"/>
      <c r="FDA166" s="146"/>
      <c r="FDB166" s="146"/>
      <c r="FDC166" s="146"/>
      <c r="FDD166" s="146"/>
      <c r="FDE166" s="146"/>
      <c r="FDF166" s="146"/>
      <c r="FDG166" s="146"/>
      <c r="FDH166" s="146"/>
      <c r="FDI166" s="146"/>
      <c r="FDJ166" s="146"/>
      <c r="FDK166" s="146"/>
      <c r="FDL166" s="146"/>
      <c r="FDM166" s="146"/>
      <c r="FDN166" s="146"/>
      <c r="FDO166" s="146"/>
      <c r="FDP166" s="146"/>
      <c r="FDQ166" s="146"/>
      <c r="FDR166" s="146"/>
      <c r="FDS166" s="146"/>
      <c r="FDT166" s="146"/>
      <c r="FDU166" s="146"/>
      <c r="FDV166" s="146"/>
      <c r="FDW166" s="146"/>
      <c r="FDX166" s="146"/>
      <c r="FDY166" s="146"/>
      <c r="FDZ166" s="146"/>
      <c r="FEA166" s="146"/>
      <c r="FEB166" s="146"/>
      <c r="FEC166" s="146"/>
      <c r="FED166" s="146"/>
      <c r="FEE166" s="146"/>
      <c r="FEF166" s="146"/>
      <c r="FEG166" s="146"/>
      <c r="FEH166" s="146"/>
      <c r="FEI166" s="146"/>
      <c r="FEJ166" s="146"/>
      <c r="FEK166" s="146"/>
      <c r="FEL166" s="146"/>
      <c r="FEM166" s="146"/>
      <c r="FEN166" s="146"/>
      <c r="FEO166" s="146"/>
      <c r="FEP166" s="146"/>
      <c r="FEQ166" s="146"/>
      <c r="FER166" s="146"/>
      <c r="FES166" s="146"/>
      <c r="FET166" s="146"/>
      <c r="FEU166" s="146"/>
      <c r="FEV166" s="146"/>
      <c r="FEW166" s="146"/>
      <c r="FEX166" s="146"/>
      <c r="FEY166" s="146"/>
      <c r="FEZ166" s="146"/>
      <c r="FFA166" s="146"/>
      <c r="FFB166" s="146"/>
      <c r="FFC166" s="146"/>
      <c r="FFD166" s="146"/>
      <c r="FFE166" s="146"/>
      <c r="FFF166" s="146"/>
      <c r="FFG166" s="146"/>
      <c r="FFH166" s="146"/>
      <c r="FFI166" s="146"/>
      <c r="FFJ166" s="146"/>
      <c r="FFK166" s="146"/>
      <c r="FFL166" s="146"/>
      <c r="FFM166" s="146"/>
      <c r="FFN166" s="146"/>
      <c r="FFO166" s="146"/>
      <c r="FFP166" s="146"/>
      <c r="FFQ166" s="146"/>
      <c r="FFR166" s="146"/>
      <c r="FFS166" s="146"/>
      <c r="FFT166" s="146"/>
      <c r="FFU166" s="146"/>
      <c r="FFV166" s="146"/>
      <c r="FFW166" s="146"/>
      <c r="FFX166" s="146"/>
      <c r="FFY166" s="146"/>
      <c r="FFZ166" s="146"/>
      <c r="FGA166" s="146"/>
      <c r="FGB166" s="146"/>
      <c r="FGC166" s="146"/>
      <c r="FGD166" s="146"/>
      <c r="FGE166" s="146"/>
      <c r="FGF166" s="146"/>
      <c r="FGG166" s="146"/>
      <c r="FGH166" s="146"/>
      <c r="FGI166" s="146"/>
      <c r="FGJ166" s="146"/>
      <c r="FGK166" s="146"/>
      <c r="FGL166" s="146"/>
      <c r="FGM166" s="146"/>
      <c r="FGN166" s="146"/>
      <c r="FGO166" s="146"/>
      <c r="FGP166" s="146"/>
      <c r="FGQ166" s="146"/>
      <c r="FGR166" s="146"/>
      <c r="FGS166" s="146"/>
      <c r="FGT166" s="146"/>
      <c r="FGU166" s="146"/>
      <c r="FGV166" s="146"/>
      <c r="FGW166" s="146"/>
      <c r="FGX166" s="146"/>
      <c r="FGY166" s="146"/>
      <c r="FGZ166" s="146"/>
      <c r="FHA166" s="146"/>
      <c r="FHB166" s="146"/>
      <c r="FHC166" s="146"/>
      <c r="FHD166" s="146"/>
      <c r="FHE166" s="146"/>
      <c r="FHF166" s="146"/>
      <c r="FHG166" s="146"/>
      <c r="FHH166" s="146"/>
      <c r="FHI166" s="146"/>
      <c r="FHJ166" s="146"/>
      <c r="FHK166" s="146"/>
      <c r="FHL166" s="146"/>
      <c r="FHM166" s="146"/>
      <c r="FHN166" s="146"/>
      <c r="FHO166" s="146"/>
      <c r="FHP166" s="146"/>
      <c r="FHQ166" s="146"/>
      <c r="FHR166" s="146"/>
      <c r="FHS166" s="146"/>
      <c r="FHT166" s="146"/>
      <c r="FHU166" s="146"/>
      <c r="FHV166" s="146"/>
      <c r="FHW166" s="146"/>
      <c r="FHX166" s="146"/>
      <c r="FHY166" s="146"/>
      <c r="FHZ166" s="146"/>
      <c r="FIA166" s="146"/>
      <c r="FIB166" s="146"/>
      <c r="FIC166" s="146"/>
      <c r="FID166" s="146"/>
      <c r="FIE166" s="146"/>
      <c r="FIF166" s="146"/>
      <c r="FIG166" s="146"/>
      <c r="FIH166" s="146"/>
      <c r="FII166" s="146"/>
      <c r="FIJ166" s="146"/>
      <c r="FIK166" s="146"/>
      <c r="FIL166" s="146"/>
      <c r="FIM166" s="146"/>
      <c r="FIN166" s="146"/>
      <c r="FIO166" s="146"/>
      <c r="FIP166" s="146"/>
      <c r="FIQ166" s="146"/>
      <c r="FIR166" s="146"/>
      <c r="FIS166" s="146"/>
      <c r="FIT166" s="146"/>
      <c r="FIU166" s="146"/>
      <c r="FIV166" s="146"/>
      <c r="FIW166" s="146"/>
      <c r="FIX166" s="146"/>
      <c r="FIY166" s="146"/>
      <c r="FIZ166" s="146"/>
      <c r="FJA166" s="146"/>
      <c r="FJB166" s="146"/>
      <c r="FJC166" s="146"/>
      <c r="FJD166" s="146"/>
      <c r="FJE166" s="146"/>
      <c r="FJF166" s="146"/>
      <c r="FJG166" s="146"/>
      <c r="FJH166" s="146"/>
      <c r="FJI166" s="146"/>
      <c r="FJJ166" s="146"/>
      <c r="FJK166" s="146"/>
      <c r="FJL166" s="146"/>
      <c r="FJM166" s="146"/>
      <c r="FJN166" s="146"/>
      <c r="FJO166" s="146"/>
      <c r="FJP166" s="146"/>
      <c r="FJQ166" s="146"/>
      <c r="FJR166" s="146"/>
      <c r="FJS166" s="146"/>
      <c r="FJT166" s="146"/>
      <c r="FJU166" s="146"/>
      <c r="FJV166" s="146"/>
      <c r="FJW166" s="146"/>
      <c r="FJX166" s="146"/>
      <c r="FJY166" s="146"/>
      <c r="FJZ166" s="146"/>
      <c r="FKA166" s="146"/>
      <c r="FKB166" s="146"/>
      <c r="FKC166" s="146"/>
      <c r="FKD166" s="146"/>
      <c r="FKE166" s="146"/>
      <c r="FKF166" s="146"/>
      <c r="FKG166" s="146"/>
      <c r="FKH166" s="146"/>
      <c r="FKI166" s="146"/>
      <c r="FKJ166" s="146"/>
      <c r="FKK166" s="146"/>
      <c r="FKL166" s="146"/>
      <c r="FKM166" s="146"/>
      <c r="FKN166" s="146"/>
      <c r="FKO166" s="146"/>
      <c r="FKP166" s="146"/>
      <c r="FKQ166" s="146"/>
      <c r="FKR166" s="146"/>
      <c r="FKS166" s="146"/>
      <c r="FKT166" s="146"/>
      <c r="FKU166" s="146"/>
      <c r="FKV166" s="146"/>
      <c r="FKW166" s="146"/>
      <c r="FKX166" s="146"/>
      <c r="FKY166" s="146"/>
      <c r="FKZ166" s="146"/>
      <c r="FLA166" s="146"/>
      <c r="FLB166" s="146"/>
      <c r="FLC166" s="146"/>
      <c r="FLD166" s="146"/>
      <c r="FLE166" s="146"/>
      <c r="FLF166" s="146"/>
      <c r="FLG166" s="146"/>
      <c r="FLH166" s="146"/>
      <c r="FLI166" s="146"/>
      <c r="FLJ166" s="146"/>
      <c r="FLK166" s="146"/>
      <c r="FLL166" s="146"/>
      <c r="FLM166" s="146"/>
      <c r="FLN166" s="146"/>
      <c r="FLO166" s="146"/>
      <c r="FLP166" s="146"/>
      <c r="FLQ166" s="146"/>
      <c r="FLR166" s="146"/>
      <c r="FLS166" s="146"/>
      <c r="FLT166" s="146"/>
      <c r="FLU166" s="146"/>
      <c r="FLV166" s="146"/>
      <c r="FLW166" s="146"/>
      <c r="FLX166" s="146"/>
      <c r="FLY166" s="146"/>
      <c r="FLZ166" s="146"/>
      <c r="FMA166" s="146"/>
      <c r="FMB166" s="146"/>
      <c r="FMC166" s="146"/>
      <c r="FMD166" s="146"/>
      <c r="FME166" s="146"/>
      <c r="FMF166" s="146"/>
      <c r="FMG166" s="146"/>
      <c r="FMH166" s="146"/>
      <c r="FMI166" s="146"/>
      <c r="FMJ166" s="146"/>
      <c r="FMK166" s="146"/>
      <c r="FML166" s="146"/>
      <c r="FMM166" s="146"/>
      <c r="FMN166" s="146"/>
      <c r="FMO166" s="146"/>
      <c r="FMP166" s="146"/>
      <c r="FMQ166" s="146"/>
      <c r="FMR166" s="146"/>
      <c r="FMS166" s="146"/>
      <c r="FMT166" s="146"/>
      <c r="FMU166" s="146"/>
      <c r="FMV166" s="146"/>
      <c r="FMW166" s="146"/>
      <c r="FMX166" s="146"/>
      <c r="FMY166" s="146"/>
      <c r="FMZ166" s="146"/>
      <c r="FNA166" s="146"/>
      <c r="FNB166" s="146"/>
      <c r="FNC166" s="146"/>
      <c r="FND166" s="146"/>
      <c r="FNE166" s="146"/>
      <c r="FNF166" s="146"/>
      <c r="FNG166" s="146"/>
      <c r="FNH166" s="146"/>
      <c r="FNI166" s="146"/>
      <c r="FNJ166" s="146"/>
      <c r="FNK166" s="146"/>
      <c r="FNL166" s="146"/>
      <c r="FNM166" s="146"/>
      <c r="FNN166" s="146"/>
      <c r="FNO166" s="146"/>
      <c r="FNP166" s="146"/>
      <c r="FNQ166" s="146"/>
      <c r="FNR166" s="146"/>
      <c r="FNS166" s="146"/>
      <c r="FNT166" s="146"/>
      <c r="FNU166" s="146"/>
      <c r="FNV166" s="146"/>
      <c r="FNW166" s="146"/>
      <c r="FNX166" s="146"/>
      <c r="FNY166" s="146"/>
      <c r="FNZ166" s="146"/>
      <c r="FOA166" s="146"/>
      <c r="FOB166" s="146"/>
      <c r="FOC166" s="146"/>
      <c r="FOD166" s="146"/>
      <c r="FOE166" s="146"/>
      <c r="FOF166" s="146"/>
      <c r="FOG166" s="146"/>
      <c r="FOH166" s="146"/>
      <c r="FOI166" s="146"/>
      <c r="FOJ166" s="146"/>
      <c r="FOK166" s="146"/>
      <c r="FOL166" s="146"/>
      <c r="FOM166" s="146"/>
      <c r="FON166" s="146"/>
      <c r="FOO166" s="146"/>
      <c r="FOP166" s="146"/>
      <c r="FOQ166" s="146"/>
      <c r="FOR166" s="146"/>
      <c r="FOS166" s="146"/>
      <c r="FOT166" s="146"/>
      <c r="FOU166" s="146"/>
      <c r="FOV166" s="146"/>
      <c r="FOW166" s="146"/>
      <c r="FOX166" s="146"/>
      <c r="FOY166" s="146"/>
      <c r="FOZ166" s="146"/>
      <c r="FPA166" s="146"/>
      <c r="FPB166" s="146"/>
      <c r="FPC166" s="146"/>
      <c r="FPD166" s="146"/>
      <c r="FPE166" s="146"/>
      <c r="FPF166" s="146"/>
      <c r="FPG166" s="146"/>
      <c r="FPH166" s="146"/>
      <c r="FPI166" s="146"/>
      <c r="FPJ166" s="146"/>
      <c r="FPK166" s="146"/>
      <c r="FPL166" s="146"/>
      <c r="FPM166" s="146"/>
      <c r="FPN166" s="146"/>
      <c r="FPO166" s="146"/>
      <c r="FPP166" s="146"/>
      <c r="FPQ166" s="146"/>
      <c r="FPR166" s="146"/>
      <c r="FPS166" s="146"/>
      <c r="FPT166" s="146"/>
      <c r="FPU166" s="146"/>
      <c r="FPV166" s="146"/>
      <c r="FPW166" s="146"/>
      <c r="FPX166" s="146"/>
      <c r="FPY166" s="146"/>
      <c r="FPZ166" s="146"/>
      <c r="FQA166" s="146"/>
      <c r="FQB166" s="146"/>
      <c r="FQC166" s="146"/>
      <c r="FQD166" s="146"/>
      <c r="FQE166" s="146"/>
      <c r="FQF166" s="146"/>
      <c r="FQG166" s="146"/>
      <c r="FQH166" s="146"/>
      <c r="FQI166" s="146"/>
      <c r="FQJ166" s="146"/>
      <c r="FQK166" s="146"/>
      <c r="FQL166" s="146"/>
      <c r="FQM166" s="146"/>
      <c r="FQN166" s="146"/>
      <c r="FQO166" s="146"/>
      <c r="FQP166" s="146"/>
      <c r="FQQ166" s="146"/>
      <c r="FQR166" s="146"/>
      <c r="FQS166" s="146"/>
      <c r="FQT166" s="146"/>
      <c r="FQU166" s="146"/>
      <c r="FQV166" s="146"/>
      <c r="FQW166" s="146"/>
      <c r="FQX166" s="146"/>
      <c r="FQY166" s="146"/>
      <c r="FQZ166" s="146"/>
      <c r="FRA166" s="146"/>
      <c r="FRB166" s="146"/>
      <c r="FRC166" s="146"/>
      <c r="FRD166" s="146"/>
      <c r="FRE166" s="146"/>
      <c r="FRF166" s="146"/>
      <c r="FRG166" s="146"/>
      <c r="FRH166" s="146"/>
      <c r="FRI166" s="146"/>
      <c r="FRJ166" s="146"/>
      <c r="FRK166" s="146"/>
      <c r="FRL166" s="146"/>
      <c r="FRM166" s="146"/>
      <c r="FRN166" s="146"/>
      <c r="FRO166" s="146"/>
      <c r="FRP166" s="146"/>
      <c r="FRQ166" s="146"/>
      <c r="FRR166" s="146"/>
      <c r="FRS166" s="146"/>
      <c r="FRT166" s="146"/>
      <c r="FRU166" s="146"/>
      <c r="FRV166" s="146"/>
      <c r="FRW166" s="146"/>
      <c r="FRX166" s="146"/>
      <c r="FRY166" s="146"/>
      <c r="FRZ166" s="146"/>
      <c r="FSA166" s="146"/>
      <c r="FSB166" s="146"/>
      <c r="FSC166" s="146"/>
      <c r="FSD166" s="146"/>
      <c r="FSE166" s="146"/>
      <c r="FSF166" s="146"/>
      <c r="FSG166" s="146"/>
      <c r="FSH166" s="146"/>
      <c r="FSI166" s="146"/>
      <c r="FSJ166" s="146"/>
      <c r="FSK166" s="146"/>
      <c r="FSL166" s="146"/>
      <c r="FSM166" s="146"/>
      <c r="FSN166" s="146"/>
      <c r="FSO166" s="146"/>
      <c r="FSP166" s="146"/>
      <c r="FSQ166" s="146"/>
      <c r="FSR166" s="146"/>
      <c r="FSS166" s="146"/>
      <c r="FST166" s="146"/>
      <c r="FSU166" s="146"/>
      <c r="FSV166" s="146"/>
      <c r="FSW166" s="146"/>
      <c r="FSX166" s="146"/>
      <c r="FSY166" s="146"/>
      <c r="FSZ166" s="146"/>
      <c r="FTA166" s="146"/>
      <c r="FTB166" s="146"/>
      <c r="FTC166" s="146"/>
      <c r="FTD166" s="146"/>
      <c r="FTE166" s="146"/>
      <c r="FTF166" s="146"/>
      <c r="FTG166" s="146"/>
      <c r="FTH166" s="146"/>
      <c r="FTI166" s="146"/>
      <c r="FTJ166" s="146"/>
      <c r="FTK166" s="146"/>
      <c r="FTL166" s="146"/>
      <c r="FTM166" s="146"/>
      <c r="FTN166" s="146"/>
      <c r="FTO166" s="146"/>
      <c r="FTP166" s="146"/>
      <c r="FTQ166" s="146"/>
      <c r="FTR166" s="146"/>
      <c r="FTS166" s="146"/>
      <c r="FTT166" s="146"/>
      <c r="FTU166" s="146"/>
      <c r="FTV166" s="146"/>
      <c r="FTW166" s="146"/>
      <c r="FTX166" s="146"/>
      <c r="FTY166" s="146"/>
      <c r="FTZ166" s="146"/>
      <c r="FUA166" s="146"/>
      <c r="FUB166" s="146"/>
      <c r="FUC166" s="146"/>
      <c r="FUD166" s="146"/>
      <c r="FUE166" s="146"/>
      <c r="FUF166" s="146"/>
      <c r="FUG166" s="146"/>
      <c r="FUH166" s="146"/>
      <c r="FUI166" s="146"/>
      <c r="FUJ166" s="146"/>
      <c r="FUK166" s="146"/>
      <c r="FUL166" s="146"/>
      <c r="FUM166" s="146"/>
      <c r="FUN166" s="146"/>
      <c r="FUO166" s="146"/>
      <c r="FUP166" s="146"/>
      <c r="FUQ166" s="146"/>
      <c r="FUR166" s="146"/>
      <c r="FUS166" s="146"/>
      <c r="FUT166" s="146"/>
      <c r="FUU166" s="146"/>
      <c r="FUV166" s="146"/>
      <c r="FUW166" s="146"/>
      <c r="FUX166" s="146"/>
      <c r="FUY166" s="146"/>
      <c r="FUZ166" s="146"/>
      <c r="FVA166" s="146"/>
      <c r="FVB166" s="146"/>
      <c r="FVC166" s="146"/>
      <c r="FVD166" s="146"/>
      <c r="FVE166" s="146"/>
      <c r="FVF166" s="146"/>
      <c r="FVG166" s="146"/>
      <c r="FVH166" s="146"/>
      <c r="FVI166" s="146"/>
      <c r="FVJ166" s="146"/>
      <c r="FVK166" s="146"/>
      <c r="FVL166" s="146"/>
      <c r="FVM166" s="146"/>
      <c r="FVN166" s="146"/>
      <c r="FVO166" s="146"/>
      <c r="FVP166" s="146"/>
      <c r="FVQ166" s="146"/>
      <c r="FVR166" s="146"/>
      <c r="FVS166" s="146"/>
      <c r="FVT166" s="146"/>
      <c r="FVU166" s="146"/>
      <c r="FVV166" s="146"/>
      <c r="FVW166" s="146"/>
      <c r="FVX166" s="146"/>
      <c r="FVY166" s="146"/>
      <c r="FVZ166" s="146"/>
      <c r="FWA166" s="146"/>
      <c r="FWB166" s="146"/>
      <c r="FWC166" s="146"/>
      <c r="FWD166" s="146"/>
      <c r="FWE166" s="146"/>
      <c r="FWF166" s="146"/>
      <c r="FWG166" s="146"/>
      <c r="FWH166" s="146"/>
      <c r="FWI166" s="146"/>
      <c r="FWJ166" s="146"/>
      <c r="FWK166" s="146"/>
      <c r="FWL166" s="146"/>
      <c r="FWM166" s="146"/>
      <c r="FWN166" s="146"/>
      <c r="FWO166" s="146"/>
      <c r="FWP166" s="146"/>
      <c r="FWQ166" s="146"/>
      <c r="FWR166" s="146"/>
      <c r="FWS166" s="146"/>
      <c r="FWT166" s="146"/>
      <c r="FWU166" s="146"/>
      <c r="FWV166" s="146"/>
      <c r="FWW166" s="146"/>
      <c r="FWX166" s="146"/>
      <c r="FWY166" s="146"/>
      <c r="FWZ166" s="146"/>
      <c r="FXA166" s="146"/>
      <c r="FXB166" s="146"/>
      <c r="FXC166" s="146"/>
      <c r="FXD166" s="146"/>
      <c r="FXE166" s="146"/>
      <c r="FXF166" s="146"/>
      <c r="FXG166" s="146"/>
      <c r="FXH166" s="146"/>
      <c r="FXI166" s="146"/>
      <c r="FXJ166" s="146"/>
      <c r="FXK166" s="146"/>
      <c r="FXL166" s="146"/>
      <c r="FXM166" s="146"/>
      <c r="FXN166" s="146"/>
      <c r="FXO166" s="146"/>
      <c r="FXP166" s="146"/>
      <c r="FXQ166" s="146"/>
      <c r="FXR166" s="146"/>
      <c r="FXS166" s="146"/>
      <c r="FXT166" s="146"/>
      <c r="FXU166" s="146"/>
      <c r="FXV166" s="146"/>
      <c r="FXW166" s="146"/>
      <c r="FXX166" s="146"/>
      <c r="FXY166" s="146"/>
      <c r="FXZ166" s="146"/>
      <c r="FYA166" s="146"/>
      <c r="FYB166" s="146"/>
      <c r="FYC166" s="146"/>
      <c r="FYD166" s="146"/>
      <c r="FYE166" s="146"/>
      <c r="FYF166" s="146"/>
      <c r="FYG166" s="146"/>
      <c r="FYH166" s="146"/>
      <c r="FYI166" s="146"/>
      <c r="FYJ166" s="146"/>
      <c r="FYK166" s="146"/>
      <c r="FYL166" s="146"/>
      <c r="FYM166" s="146"/>
      <c r="FYN166" s="146"/>
      <c r="FYO166" s="146"/>
      <c r="FYP166" s="146"/>
      <c r="FYQ166" s="146"/>
      <c r="FYR166" s="146"/>
      <c r="FYS166" s="146"/>
      <c r="FYT166" s="146"/>
      <c r="FYU166" s="146"/>
      <c r="FYV166" s="146"/>
      <c r="FYW166" s="146"/>
      <c r="FYX166" s="146"/>
      <c r="FYY166" s="146"/>
      <c r="FYZ166" s="146"/>
      <c r="FZA166" s="146"/>
      <c r="FZB166" s="146"/>
      <c r="FZC166" s="146"/>
      <c r="FZD166" s="146"/>
      <c r="FZE166" s="146"/>
      <c r="FZF166" s="146"/>
      <c r="FZG166" s="146"/>
      <c r="FZH166" s="146"/>
      <c r="FZI166" s="146"/>
      <c r="FZJ166" s="146"/>
      <c r="FZK166" s="146"/>
      <c r="FZL166" s="146"/>
      <c r="FZM166" s="146"/>
      <c r="FZN166" s="146"/>
      <c r="FZO166" s="146"/>
      <c r="FZP166" s="146"/>
      <c r="FZQ166" s="146"/>
      <c r="FZR166" s="146"/>
      <c r="FZS166" s="146"/>
      <c r="FZT166" s="146"/>
      <c r="FZU166" s="146"/>
      <c r="FZV166" s="146"/>
      <c r="FZW166" s="146"/>
      <c r="FZX166" s="146"/>
      <c r="FZY166" s="146"/>
      <c r="FZZ166" s="146"/>
      <c r="GAA166" s="146"/>
      <c r="GAB166" s="146"/>
      <c r="GAC166" s="146"/>
      <c r="GAD166" s="146"/>
      <c r="GAE166" s="146"/>
      <c r="GAF166" s="146"/>
      <c r="GAG166" s="146"/>
      <c r="GAH166" s="146"/>
      <c r="GAI166" s="146"/>
      <c r="GAJ166" s="146"/>
      <c r="GAK166" s="146"/>
      <c r="GAL166" s="146"/>
      <c r="GAM166" s="146"/>
      <c r="GAN166" s="146"/>
      <c r="GAO166" s="146"/>
      <c r="GAP166" s="146"/>
      <c r="GAQ166" s="146"/>
      <c r="GAR166" s="146"/>
      <c r="GAS166" s="146"/>
      <c r="GAT166" s="146"/>
      <c r="GAU166" s="146"/>
      <c r="GAV166" s="146"/>
      <c r="GAW166" s="146"/>
      <c r="GAX166" s="146"/>
      <c r="GAY166" s="146"/>
      <c r="GAZ166" s="146"/>
      <c r="GBA166" s="146"/>
      <c r="GBB166" s="146"/>
      <c r="GBC166" s="146"/>
      <c r="GBD166" s="146"/>
      <c r="GBE166" s="146"/>
      <c r="GBF166" s="146"/>
      <c r="GBG166" s="146"/>
      <c r="GBH166" s="146"/>
      <c r="GBI166" s="146"/>
      <c r="GBJ166" s="146"/>
      <c r="GBK166" s="146"/>
      <c r="GBL166" s="146"/>
      <c r="GBM166" s="146"/>
      <c r="GBN166" s="146"/>
      <c r="GBO166" s="146"/>
      <c r="GBP166" s="146"/>
      <c r="GBQ166" s="146"/>
      <c r="GBR166" s="146"/>
      <c r="GBS166" s="146"/>
      <c r="GBT166" s="146"/>
      <c r="GBU166" s="146"/>
      <c r="GBV166" s="146"/>
      <c r="GBW166" s="146"/>
      <c r="GBX166" s="146"/>
      <c r="GBY166" s="146"/>
      <c r="GBZ166" s="146"/>
      <c r="GCA166" s="146"/>
      <c r="GCB166" s="146"/>
      <c r="GCC166" s="146"/>
      <c r="GCD166" s="146"/>
      <c r="GCE166" s="146"/>
      <c r="GCF166" s="146"/>
      <c r="GCG166" s="146"/>
      <c r="GCH166" s="146"/>
      <c r="GCI166" s="146"/>
      <c r="GCJ166" s="146"/>
      <c r="GCK166" s="146"/>
      <c r="GCL166" s="146"/>
      <c r="GCM166" s="146"/>
      <c r="GCN166" s="146"/>
      <c r="GCO166" s="146"/>
      <c r="GCP166" s="146"/>
      <c r="GCQ166" s="146"/>
      <c r="GCR166" s="146"/>
      <c r="GCS166" s="146"/>
      <c r="GCT166" s="146"/>
      <c r="GCU166" s="146"/>
      <c r="GCV166" s="146"/>
      <c r="GCW166" s="146"/>
      <c r="GCX166" s="146"/>
      <c r="GCY166" s="146"/>
      <c r="GCZ166" s="146"/>
      <c r="GDA166" s="146"/>
      <c r="GDB166" s="146"/>
      <c r="GDC166" s="146"/>
      <c r="GDD166" s="146"/>
      <c r="GDE166" s="146"/>
      <c r="GDF166" s="146"/>
      <c r="GDG166" s="146"/>
      <c r="GDH166" s="146"/>
      <c r="GDI166" s="146"/>
      <c r="GDJ166" s="146"/>
      <c r="GDK166" s="146"/>
      <c r="GDL166" s="146"/>
      <c r="GDM166" s="146"/>
      <c r="GDN166" s="146"/>
      <c r="GDO166" s="146"/>
      <c r="GDP166" s="146"/>
      <c r="GDQ166" s="146"/>
      <c r="GDR166" s="146"/>
      <c r="GDS166" s="146"/>
      <c r="GDT166" s="146"/>
      <c r="GDU166" s="146"/>
      <c r="GDV166" s="146"/>
      <c r="GDW166" s="146"/>
      <c r="GDX166" s="146"/>
      <c r="GDY166" s="146"/>
      <c r="GDZ166" s="146"/>
      <c r="GEA166" s="146"/>
      <c r="GEB166" s="146"/>
      <c r="GEC166" s="146"/>
      <c r="GED166" s="146"/>
      <c r="GEE166" s="146"/>
      <c r="GEF166" s="146"/>
      <c r="GEG166" s="146"/>
      <c r="GEH166" s="146"/>
      <c r="GEI166" s="146"/>
      <c r="GEJ166" s="146"/>
      <c r="GEK166" s="146"/>
      <c r="GEL166" s="146"/>
      <c r="GEM166" s="146"/>
      <c r="GEN166" s="146"/>
      <c r="GEO166" s="146"/>
      <c r="GEP166" s="146"/>
      <c r="GEQ166" s="146"/>
      <c r="GER166" s="146"/>
      <c r="GES166" s="146"/>
      <c r="GET166" s="146"/>
      <c r="GEU166" s="146"/>
      <c r="GEV166" s="146"/>
      <c r="GEW166" s="146"/>
      <c r="GEX166" s="146"/>
      <c r="GEY166" s="146"/>
      <c r="GEZ166" s="146"/>
      <c r="GFA166" s="146"/>
      <c r="GFB166" s="146"/>
      <c r="GFC166" s="146"/>
      <c r="GFD166" s="146"/>
      <c r="GFE166" s="146"/>
      <c r="GFF166" s="146"/>
      <c r="GFG166" s="146"/>
      <c r="GFH166" s="146"/>
      <c r="GFI166" s="146"/>
      <c r="GFJ166" s="146"/>
      <c r="GFK166" s="146"/>
      <c r="GFL166" s="146"/>
      <c r="GFM166" s="146"/>
      <c r="GFN166" s="146"/>
      <c r="GFO166" s="146"/>
      <c r="GFP166" s="146"/>
      <c r="GFQ166" s="146"/>
      <c r="GFR166" s="146"/>
      <c r="GFS166" s="146"/>
      <c r="GFT166" s="146"/>
      <c r="GFU166" s="146"/>
      <c r="GFV166" s="146"/>
      <c r="GFW166" s="146"/>
      <c r="GFX166" s="146"/>
      <c r="GFY166" s="146"/>
      <c r="GFZ166" s="146"/>
      <c r="GGA166" s="146"/>
      <c r="GGB166" s="146"/>
      <c r="GGC166" s="146"/>
      <c r="GGD166" s="146"/>
      <c r="GGE166" s="146"/>
      <c r="GGF166" s="146"/>
      <c r="GGG166" s="146"/>
      <c r="GGH166" s="146"/>
      <c r="GGI166" s="146"/>
      <c r="GGJ166" s="146"/>
      <c r="GGK166" s="146"/>
      <c r="GGL166" s="146"/>
      <c r="GGM166" s="146"/>
      <c r="GGN166" s="146"/>
      <c r="GGO166" s="146"/>
      <c r="GGP166" s="146"/>
      <c r="GGQ166" s="146"/>
      <c r="GGR166" s="146"/>
      <c r="GGS166" s="146"/>
      <c r="GGT166" s="146"/>
      <c r="GGU166" s="146"/>
      <c r="GGV166" s="146"/>
      <c r="GGW166" s="146"/>
      <c r="GGX166" s="146"/>
      <c r="GGY166" s="146"/>
      <c r="GGZ166" s="146"/>
      <c r="GHA166" s="146"/>
      <c r="GHB166" s="146"/>
      <c r="GHC166" s="146"/>
      <c r="GHD166" s="146"/>
      <c r="GHE166" s="146"/>
      <c r="GHF166" s="146"/>
      <c r="GHG166" s="146"/>
      <c r="GHH166" s="146"/>
      <c r="GHI166" s="146"/>
      <c r="GHJ166" s="146"/>
      <c r="GHK166" s="146"/>
      <c r="GHL166" s="146"/>
      <c r="GHM166" s="146"/>
      <c r="GHN166" s="146"/>
      <c r="GHO166" s="146"/>
      <c r="GHP166" s="146"/>
      <c r="GHQ166" s="146"/>
      <c r="GHR166" s="146"/>
      <c r="GHS166" s="146"/>
      <c r="GHT166" s="146"/>
      <c r="GHU166" s="146"/>
      <c r="GHV166" s="146"/>
      <c r="GHW166" s="146"/>
      <c r="GHX166" s="146"/>
      <c r="GHY166" s="146"/>
      <c r="GHZ166" s="146"/>
      <c r="GIA166" s="146"/>
      <c r="GIB166" s="146"/>
      <c r="GIC166" s="146"/>
      <c r="GID166" s="146"/>
      <c r="GIE166" s="146"/>
      <c r="GIF166" s="146"/>
      <c r="GIG166" s="146"/>
      <c r="GIH166" s="146"/>
      <c r="GII166" s="146"/>
      <c r="GIJ166" s="146"/>
      <c r="GIK166" s="146"/>
      <c r="GIL166" s="146"/>
      <c r="GIM166" s="146"/>
      <c r="GIN166" s="146"/>
      <c r="GIO166" s="146"/>
      <c r="GIP166" s="146"/>
      <c r="GIQ166" s="146"/>
      <c r="GIR166" s="146"/>
      <c r="GIS166" s="146"/>
      <c r="GIT166" s="146"/>
      <c r="GIU166" s="146"/>
      <c r="GIV166" s="146"/>
      <c r="GIW166" s="146"/>
      <c r="GIX166" s="146"/>
      <c r="GIY166" s="146"/>
      <c r="GIZ166" s="146"/>
      <c r="GJA166" s="146"/>
      <c r="GJB166" s="146"/>
      <c r="GJC166" s="146"/>
      <c r="GJD166" s="146"/>
      <c r="GJE166" s="146"/>
      <c r="GJF166" s="146"/>
      <c r="GJG166" s="146"/>
      <c r="GJH166" s="146"/>
      <c r="GJI166" s="146"/>
      <c r="GJJ166" s="146"/>
      <c r="GJK166" s="146"/>
      <c r="GJL166" s="146"/>
      <c r="GJM166" s="146"/>
      <c r="GJN166" s="146"/>
      <c r="GJO166" s="146"/>
      <c r="GJP166" s="146"/>
      <c r="GJQ166" s="146"/>
      <c r="GJR166" s="146"/>
      <c r="GJS166" s="146"/>
      <c r="GJT166" s="146"/>
      <c r="GJU166" s="146"/>
      <c r="GJV166" s="146"/>
      <c r="GJW166" s="146"/>
      <c r="GJX166" s="146"/>
      <c r="GJY166" s="146"/>
      <c r="GJZ166" s="146"/>
      <c r="GKA166" s="146"/>
      <c r="GKB166" s="146"/>
      <c r="GKC166" s="146"/>
      <c r="GKD166" s="146"/>
      <c r="GKE166" s="146"/>
      <c r="GKF166" s="146"/>
      <c r="GKG166" s="146"/>
      <c r="GKH166" s="146"/>
      <c r="GKI166" s="146"/>
      <c r="GKJ166" s="146"/>
      <c r="GKK166" s="146"/>
      <c r="GKL166" s="146"/>
      <c r="GKM166" s="146"/>
      <c r="GKN166" s="146"/>
      <c r="GKO166" s="146"/>
      <c r="GKP166" s="146"/>
      <c r="GKQ166" s="146"/>
      <c r="GKR166" s="146"/>
      <c r="GKS166" s="146"/>
      <c r="GKT166" s="146"/>
      <c r="GKU166" s="146"/>
      <c r="GKV166" s="146"/>
      <c r="GKW166" s="146"/>
      <c r="GKX166" s="146"/>
      <c r="GKY166" s="146"/>
      <c r="GKZ166" s="146"/>
      <c r="GLA166" s="146"/>
      <c r="GLB166" s="146"/>
      <c r="GLC166" s="146"/>
      <c r="GLD166" s="146"/>
      <c r="GLE166" s="146"/>
      <c r="GLF166" s="146"/>
      <c r="GLG166" s="146"/>
      <c r="GLH166" s="146"/>
      <c r="GLI166" s="146"/>
      <c r="GLJ166" s="146"/>
      <c r="GLK166" s="146"/>
      <c r="GLL166" s="146"/>
      <c r="GLM166" s="146"/>
      <c r="GLN166" s="146"/>
      <c r="GLO166" s="146"/>
      <c r="GLP166" s="146"/>
      <c r="GLQ166" s="146"/>
      <c r="GLR166" s="146"/>
      <c r="GLS166" s="146"/>
      <c r="GLT166" s="146"/>
      <c r="GLU166" s="146"/>
      <c r="GLV166" s="146"/>
      <c r="GLW166" s="146"/>
      <c r="GLX166" s="146"/>
      <c r="GLY166" s="146"/>
      <c r="GLZ166" s="146"/>
      <c r="GMA166" s="146"/>
      <c r="GMB166" s="146"/>
      <c r="GMC166" s="146"/>
      <c r="GMD166" s="146"/>
      <c r="GME166" s="146"/>
      <c r="GMF166" s="146"/>
      <c r="GMG166" s="146"/>
      <c r="GMH166" s="146"/>
      <c r="GMI166" s="146"/>
      <c r="GMJ166" s="146"/>
      <c r="GMK166" s="146"/>
      <c r="GML166" s="146"/>
      <c r="GMM166" s="146"/>
      <c r="GMN166" s="146"/>
      <c r="GMO166" s="146"/>
      <c r="GMP166" s="146"/>
      <c r="GMQ166" s="146"/>
      <c r="GMR166" s="146"/>
      <c r="GMS166" s="146"/>
      <c r="GMT166" s="146"/>
      <c r="GMU166" s="146"/>
      <c r="GMV166" s="146"/>
      <c r="GMW166" s="146"/>
      <c r="GMX166" s="146"/>
      <c r="GMY166" s="146"/>
      <c r="GMZ166" s="146"/>
      <c r="GNA166" s="146"/>
      <c r="GNB166" s="146"/>
      <c r="GNC166" s="146"/>
      <c r="GND166" s="146"/>
      <c r="GNE166" s="146"/>
      <c r="GNF166" s="146"/>
      <c r="GNG166" s="146"/>
      <c r="GNH166" s="146"/>
      <c r="GNI166" s="146"/>
      <c r="GNJ166" s="146"/>
      <c r="GNK166" s="146"/>
      <c r="GNL166" s="146"/>
      <c r="GNM166" s="146"/>
      <c r="GNN166" s="146"/>
      <c r="GNO166" s="146"/>
      <c r="GNP166" s="146"/>
      <c r="GNQ166" s="146"/>
      <c r="GNR166" s="146"/>
      <c r="GNS166" s="146"/>
      <c r="GNT166" s="146"/>
      <c r="GNU166" s="146"/>
      <c r="GNV166" s="146"/>
      <c r="GNW166" s="146"/>
      <c r="GNX166" s="146"/>
      <c r="GNY166" s="146"/>
      <c r="GNZ166" s="146"/>
      <c r="GOA166" s="146"/>
      <c r="GOB166" s="146"/>
      <c r="GOC166" s="146"/>
      <c r="GOD166" s="146"/>
      <c r="GOE166" s="146"/>
      <c r="GOF166" s="146"/>
      <c r="GOG166" s="146"/>
      <c r="GOH166" s="146"/>
      <c r="GOI166" s="146"/>
      <c r="GOJ166" s="146"/>
      <c r="GOK166" s="146"/>
      <c r="GOL166" s="146"/>
      <c r="GOM166" s="146"/>
      <c r="GON166" s="146"/>
      <c r="GOO166" s="146"/>
      <c r="GOP166" s="146"/>
      <c r="GOQ166" s="146"/>
      <c r="GOR166" s="146"/>
      <c r="GOS166" s="146"/>
      <c r="GOT166" s="146"/>
      <c r="GOU166" s="146"/>
      <c r="GOV166" s="146"/>
      <c r="GOW166" s="146"/>
      <c r="GOX166" s="146"/>
      <c r="GOY166" s="146"/>
      <c r="GOZ166" s="146"/>
      <c r="GPA166" s="146"/>
      <c r="GPB166" s="146"/>
      <c r="GPC166" s="146"/>
      <c r="GPD166" s="146"/>
      <c r="GPE166" s="146"/>
      <c r="GPF166" s="146"/>
      <c r="GPG166" s="146"/>
      <c r="GPH166" s="146"/>
      <c r="GPI166" s="146"/>
      <c r="GPJ166" s="146"/>
      <c r="GPK166" s="146"/>
      <c r="GPL166" s="146"/>
      <c r="GPM166" s="146"/>
      <c r="GPN166" s="146"/>
      <c r="GPO166" s="146"/>
      <c r="GPP166" s="146"/>
      <c r="GPQ166" s="146"/>
      <c r="GPR166" s="146"/>
      <c r="GPS166" s="146"/>
      <c r="GPT166" s="146"/>
      <c r="GPU166" s="146"/>
      <c r="GPV166" s="146"/>
      <c r="GPW166" s="146"/>
      <c r="GPX166" s="146"/>
      <c r="GPY166" s="146"/>
      <c r="GPZ166" s="146"/>
      <c r="GQA166" s="146"/>
      <c r="GQB166" s="146"/>
      <c r="GQC166" s="146"/>
      <c r="GQD166" s="146"/>
      <c r="GQE166" s="146"/>
      <c r="GQF166" s="146"/>
      <c r="GQG166" s="146"/>
      <c r="GQH166" s="146"/>
      <c r="GQI166" s="146"/>
      <c r="GQJ166" s="146"/>
      <c r="GQK166" s="146"/>
      <c r="GQL166" s="146"/>
      <c r="GQM166" s="146"/>
      <c r="GQN166" s="146"/>
      <c r="GQO166" s="146"/>
      <c r="GQP166" s="146"/>
      <c r="GQQ166" s="146"/>
      <c r="GQR166" s="146"/>
      <c r="GQS166" s="146"/>
      <c r="GQT166" s="146"/>
      <c r="GQU166" s="146"/>
      <c r="GQV166" s="146"/>
      <c r="GQW166" s="146"/>
      <c r="GQX166" s="146"/>
      <c r="GQY166" s="146"/>
      <c r="GQZ166" s="146"/>
      <c r="GRA166" s="146"/>
      <c r="GRB166" s="146"/>
      <c r="GRC166" s="146"/>
      <c r="GRD166" s="146"/>
      <c r="GRE166" s="146"/>
      <c r="GRF166" s="146"/>
      <c r="GRG166" s="146"/>
      <c r="GRH166" s="146"/>
      <c r="GRI166" s="146"/>
      <c r="GRJ166" s="146"/>
      <c r="GRK166" s="146"/>
      <c r="GRL166" s="146"/>
      <c r="GRM166" s="146"/>
      <c r="GRN166" s="146"/>
      <c r="GRO166" s="146"/>
      <c r="GRP166" s="146"/>
      <c r="GRQ166" s="146"/>
      <c r="GRR166" s="146"/>
      <c r="GRS166" s="146"/>
      <c r="GRT166" s="146"/>
      <c r="GRU166" s="146"/>
      <c r="GRV166" s="146"/>
      <c r="GRW166" s="146"/>
      <c r="GRX166" s="146"/>
      <c r="GRY166" s="146"/>
      <c r="GRZ166" s="146"/>
      <c r="GSA166" s="146"/>
      <c r="GSB166" s="146"/>
      <c r="GSC166" s="146"/>
      <c r="GSD166" s="146"/>
      <c r="GSE166" s="146"/>
      <c r="GSF166" s="146"/>
      <c r="GSG166" s="146"/>
      <c r="GSH166" s="146"/>
      <c r="GSI166" s="146"/>
      <c r="GSJ166" s="146"/>
      <c r="GSK166" s="146"/>
      <c r="GSL166" s="146"/>
      <c r="GSM166" s="146"/>
      <c r="GSN166" s="146"/>
      <c r="GSO166" s="146"/>
      <c r="GSP166" s="146"/>
      <c r="GSQ166" s="146"/>
      <c r="GSR166" s="146"/>
      <c r="GSS166" s="146"/>
      <c r="GST166" s="146"/>
      <c r="GSU166" s="146"/>
      <c r="GSV166" s="146"/>
      <c r="GSW166" s="146"/>
      <c r="GSX166" s="146"/>
      <c r="GSY166" s="146"/>
      <c r="GSZ166" s="146"/>
      <c r="GTA166" s="146"/>
      <c r="GTB166" s="146"/>
      <c r="GTC166" s="146"/>
      <c r="GTD166" s="146"/>
      <c r="GTE166" s="146"/>
      <c r="GTF166" s="146"/>
      <c r="GTG166" s="146"/>
      <c r="GTH166" s="146"/>
      <c r="GTI166" s="146"/>
      <c r="GTJ166" s="146"/>
      <c r="GTK166" s="146"/>
      <c r="GTL166" s="146"/>
      <c r="GTM166" s="146"/>
      <c r="GTN166" s="146"/>
      <c r="GTO166" s="146"/>
      <c r="GTP166" s="146"/>
      <c r="GTQ166" s="146"/>
      <c r="GTR166" s="146"/>
      <c r="GTS166" s="146"/>
      <c r="GTT166" s="146"/>
      <c r="GTU166" s="146"/>
      <c r="GTV166" s="146"/>
      <c r="GTW166" s="146"/>
      <c r="GTX166" s="146"/>
      <c r="GTY166" s="146"/>
      <c r="GTZ166" s="146"/>
      <c r="GUA166" s="146"/>
      <c r="GUB166" s="146"/>
      <c r="GUC166" s="146"/>
      <c r="GUD166" s="146"/>
      <c r="GUE166" s="146"/>
      <c r="GUF166" s="146"/>
      <c r="GUG166" s="146"/>
      <c r="GUH166" s="146"/>
      <c r="GUI166" s="146"/>
      <c r="GUJ166" s="146"/>
      <c r="GUK166" s="146"/>
      <c r="GUL166" s="146"/>
      <c r="GUM166" s="146"/>
      <c r="GUN166" s="146"/>
      <c r="GUO166" s="146"/>
      <c r="GUP166" s="146"/>
      <c r="GUQ166" s="146"/>
      <c r="GUR166" s="146"/>
      <c r="GUS166" s="146"/>
      <c r="GUT166" s="146"/>
      <c r="GUU166" s="146"/>
      <c r="GUV166" s="146"/>
      <c r="GUW166" s="146"/>
      <c r="GUX166" s="146"/>
      <c r="GUY166" s="146"/>
      <c r="GUZ166" s="146"/>
      <c r="GVA166" s="146"/>
      <c r="GVB166" s="146"/>
      <c r="GVC166" s="146"/>
      <c r="GVD166" s="146"/>
      <c r="GVE166" s="146"/>
      <c r="GVF166" s="146"/>
      <c r="GVG166" s="146"/>
      <c r="GVH166" s="146"/>
      <c r="GVI166" s="146"/>
      <c r="GVJ166" s="146"/>
      <c r="GVK166" s="146"/>
      <c r="GVL166" s="146"/>
      <c r="GVM166" s="146"/>
      <c r="GVN166" s="146"/>
      <c r="GVO166" s="146"/>
      <c r="GVP166" s="146"/>
      <c r="GVQ166" s="146"/>
      <c r="GVR166" s="146"/>
      <c r="GVS166" s="146"/>
      <c r="GVT166" s="146"/>
      <c r="GVU166" s="146"/>
      <c r="GVV166" s="146"/>
      <c r="GVW166" s="146"/>
      <c r="GVX166" s="146"/>
      <c r="GVY166" s="146"/>
      <c r="GVZ166" s="146"/>
      <c r="GWA166" s="146"/>
      <c r="GWB166" s="146"/>
      <c r="GWC166" s="146"/>
      <c r="GWD166" s="146"/>
      <c r="GWE166" s="146"/>
      <c r="GWF166" s="146"/>
      <c r="GWG166" s="146"/>
      <c r="GWH166" s="146"/>
      <c r="GWI166" s="146"/>
      <c r="GWJ166" s="146"/>
      <c r="GWK166" s="146"/>
      <c r="GWL166" s="146"/>
      <c r="GWM166" s="146"/>
      <c r="GWN166" s="146"/>
      <c r="GWO166" s="146"/>
      <c r="GWP166" s="146"/>
      <c r="GWQ166" s="146"/>
      <c r="GWR166" s="146"/>
      <c r="GWS166" s="146"/>
      <c r="GWT166" s="146"/>
      <c r="GWU166" s="146"/>
      <c r="GWV166" s="146"/>
      <c r="GWW166" s="146"/>
      <c r="GWX166" s="146"/>
      <c r="GWY166" s="146"/>
      <c r="GWZ166" s="146"/>
      <c r="GXA166" s="146"/>
      <c r="GXB166" s="146"/>
      <c r="GXC166" s="146"/>
      <c r="GXD166" s="146"/>
      <c r="GXE166" s="146"/>
      <c r="GXF166" s="146"/>
      <c r="GXG166" s="146"/>
      <c r="GXH166" s="146"/>
      <c r="GXI166" s="146"/>
      <c r="GXJ166" s="146"/>
      <c r="GXK166" s="146"/>
      <c r="GXL166" s="146"/>
      <c r="GXM166" s="146"/>
      <c r="GXN166" s="146"/>
      <c r="GXO166" s="146"/>
      <c r="GXP166" s="146"/>
      <c r="GXQ166" s="146"/>
      <c r="GXR166" s="146"/>
      <c r="GXS166" s="146"/>
      <c r="GXT166" s="146"/>
      <c r="GXU166" s="146"/>
      <c r="GXV166" s="146"/>
      <c r="GXW166" s="146"/>
      <c r="GXX166" s="146"/>
      <c r="GXY166" s="146"/>
      <c r="GXZ166" s="146"/>
      <c r="GYA166" s="146"/>
      <c r="GYB166" s="146"/>
      <c r="GYC166" s="146"/>
      <c r="GYD166" s="146"/>
      <c r="GYE166" s="146"/>
      <c r="GYF166" s="146"/>
      <c r="GYG166" s="146"/>
      <c r="GYH166" s="146"/>
      <c r="GYI166" s="146"/>
      <c r="GYJ166" s="146"/>
      <c r="GYK166" s="146"/>
      <c r="GYL166" s="146"/>
      <c r="GYM166" s="146"/>
      <c r="GYN166" s="146"/>
      <c r="GYO166" s="146"/>
      <c r="GYP166" s="146"/>
      <c r="GYQ166" s="146"/>
      <c r="GYR166" s="146"/>
      <c r="GYS166" s="146"/>
      <c r="GYT166" s="146"/>
      <c r="GYU166" s="146"/>
      <c r="GYV166" s="146"/>
      <c r="GYW166" s="146"/>
      <c r="GYX166" s="146"/>
      <c r="GYY166" s="146"/>
      <c r="GYZ166" s="146"/>
      <c r="GZA166" s="146"/>
      <c r="GZB166" s="146"/>
      <c r="GZC166" s="146"/>
      <c r="GZD166" s="146"/>
      <c r="GZE166" s="146"/>
      <c r="GZF166" s="146"/>
      <c r="GZG166" s="146"/>
      <c r="GZH166" s="146"/>
      <c r="GZI166" s="146"/>
      <c r="GZJ166" s="146"/>
      <c r="GZK166" s="146"/>
      <c r="GZL166" s="146"/>
      <c r="GZM166" s="146"/>
      <c r="GZN166" s="146"/>
      <c r="GZO166" s="146"/>
      <c r="GZP166" s="146"/>
      <c r="GZQ166" s="146"/>
      <c r="GZR166" s="146"/>
      <c r="GZS166" s="146"/>
      <c r="GZT166" s="146"/>
      <c r="GZU166" s="146"/>
      <c r="GZV166" s="146"/>
      <c r="GZW166" s="146"/>
      <c r="GZX166" s="146"/>
      <c r="GZY166" s="146"/>
      <c r="GZZ166" s="146"/>
      <c r="HAA166" s="146"/>
      <c r="HAB166" s="146"/>
      <c r="HAC166" s="146"/>
      <c r="HAD166" s="146"/>
      <c r="HAE166" s="146"/>
      <c r="HAF166" s="146"/>
      <c r="HAG166" s="146"/>
      <c r="HAH166" s="146"/>
      <c r="HAI166" s="146"/>
      <c r="HAJ166" s="146"/>
      <c r="HAK166" s="146"/>
      <c r="HAL166" s="146"/>
      <c r="HAM166" s="146"/>
      <c r="HAN166" s="146"/>
      <c r="HAO166" s="146"/>
      <c r="HAP166" s="146"/>
      <c r="HAQ166" s="146"/>
      <c r="HAR166" s="146"/>
      <c r="HAS166" s="146"/>
      <c r="HAT166" s="146"/>
      <c r="HAU166" s="146"/>
      <c r="HAV166" s="146"/>
      <c r="HAW166" s="146"/>
      <c r="HAX166" s="146"/>
      <c r="HAY166" s="146"/>
      <c r="HAZ166" s="146"/>
      <c r="HBA166" s="146"/>
      <c r="HBB166" s="146"/>
      <c r="HBC166" s="146"/>
      <c r="HBD166" s="146"/>
      <c r="HBE166" s="146"/>
      <c r="HBF166" s="146"/>
      <c r="HBG166" s="146"/>
      <c r="HBH166" s="146"/>
      <c r="HBI166" s="146"/>
      <c r="HBJ166" s="146"/>
      <c r="HBK166" s="146"/>
      <c r="HBL166" s="146"/>
      <c r="HBM166" s="146"/>
      <c r="HBN166" s="146"/>
      <c r="HBO166" s="146"/>
      <c r="HBP166" s="146"/>
      <c r="HBQ166" s="146"/>
      <c r="HBR166" s="146"/>
      <c r="HBS166" s="146"/>
      <c r="HBT166" s="146"/>
      <c r="HBU166" s="146"/>
      <c r="HBV166" s="146"/>
      <c r="HBW166" s="146"/>
      <c r="HBX166" s="146"/>
      <c r="HBY166" s="146"/>
      <c r="HBZ166" s="146"/>
      <c r="HCA166" s="146"/>
      <c r="HCB166" s="146"/>
      <c r="HCC166" s="146"/>
      <c r="HCD166" s="146"/>
      <c r="HCE166" s="146"/>
      <c r="HCF166" s="146"/>
      <c r="HCG166" s="146"/>
      <c r="HCH166" s="146"/>
      <c r="HCI166" s="146"/>
      <c r="HCJ166" s="146"/>
      <c r="HCK166" s="146"/>
      <c r="HCL166" s="146"/>
      <c r="HCM166" s="146"/>
      <c r="HCN166" s="146"/>
      <c r="HCO166" s="146"/>
      <c r="HCP166" s="146"/>
      <c r="HCQ166" s="146"/>
      <c r="HCR166" s="146"/>
      <c r="HCS166" s="146"/>
      <c r="HCT166" s="146"/>
      <c r="HCU166" s="146"/>
      <c r="HCV166" s="146"/>
      <c r="HCW166" s="146"/>
      <c r="HCX166" s="146"/>
      <c r="HCY166" s="146"/>
      <c r="HCZ166" s="146"/>
      <c r="HDA166" s="146"/>
      <c r="HDB166" s="146"/>
      <c r="HDC166" s="146"/>
      <c r="HDD166" s="146"/>
      <c r="HDE166" s="146"/>
      <c r="HDF166" s="146"/>
      <c r="HDG166" s="146"/>
      <c r="HDH166" s="146"/>
      <c r="HDI166" s="146"/>
      <c r="HDJ166" s="146"/>
      <c r="HDK166" s="146"/>
      <c r="HDL166" s="146"/>
      <c r="HDM166" s="146"/>
      <c r="HDN166" s="146"/>
      <c r="HDO166" s="146"/>
      <c r="HDP166" s="146"/>
      <c r="HDQ166" s="146"/>
      <c r="HDR166" s="146"/>
      <c r="HDS166" s="146"/>
      <c r="HDT166" s="146"/>
      <c r="HDU166" s="146"/>
      <c r="HDV166" s="146"/>
      <c r="HDW166" s="146"/>
      <c r="HDX166" s="146"/>
      <c r="HDY166" s="146"/>
      <c r="HDZ166" s="146"/>
      <c r="HEA166" s="146"/>
      <c r="HEB166" s="146"/>
      <c r="HEC166" s="146"/>
      <c r="HED166" s="146"/>
      <c r="HEE166" s="146"/>
      <c r="HEF166" s="146"/>
      <c r="HEG166" s="146"/>
      <c r="HEH166" s="146"/>
      <c r="HEI166" s="146"/>
      <c r="HEJ166" s="146"/>
      <c r="HEK166" s="146"/>
      <c r="HEL166" s="146"/>
      <c r="HEM166" s="146"/>
      <c r="HEN166" s="146"/>
      <c r="HEO166" s="146"/>
      <c r="HEP166" s="146"/>
      <c r="HEQ166" s="146"/>
      <c r="HER166" s="146"/>
      <c r="HES166" s="146"/>
      <c r="HET166" s="146"/>
      <c r="HEU166" s="146"/>
      <c r="HEV166" s="146"/>
      <c r="HEW166" s="146"/>
      <c r="HEX166" s="146"/>
      <c r="HEY166" s="146"/>
      <c r="HEZ166" s="146"/>
      <c r="HFA166" s="146"/>
      <c r="HFB166" s="146"/>
      <c r="HFC166" s="146"/>
      <c r="HFD166" s="146"/>
      <c r="HFE166" s="146"/>
      <c r="HFF166" s="146"/>
      <c r="HFG166" s="146"/>
      <c r="HFH166" s="146"/>
      <c r="HFI166" s="146"/>
      <c r="HFJ166" s="146"/>
      <c r="HFK166" s="146"/>
      <c r="HFL166" s="146"/>
      <c r="HFM166" s="146"/>
      <c r="HFN166" s="146"/>
      <c r="HFO166" s="146"/>
      <c r="HFP166" s="146"/>
      <c r="HFQ166" s="146"/>
      <c r="HFR166" s="146"/>
      <c r="HFS166" s="146"/>
      <c r="HFT166" s="146"/>
      <c r="HFU166" s="146"/>
      <c r="HFV166" s="146"/>
      <c r="HFW166" s="146"/>
      <c r="HFX166" s="146"/>
      <c r="HFY166" s="146"/>
      <c r="HFZ166" s="146"/>
      <c r="HGA166" s="146"/>
      <c r="HGB166" s="146"/>
      <c r="HGC166" s="146"/>
      <c r="HGD166" s="146"/>
      <c r="HGE166" s="146"/>
      <c r="HGF166" s="146"/>
      <c r="HGG166" s="146"/>
      <c r="HGH166" s="146"/>
      <c r="HGI166" s="146"/>
      <c r="HGJ166" s="146"/>
      <c r="HGK166" s="146"/>
      <c r="HGL166" s="146"/>
      <c r="HGM166" s="146"/>
      <c r="HGN166" s="146"/>
      <c r="HGO166" s="146"/>
      <c r="HGP166" s="146"/>
      <c r="HGQ166" s="146"/>
      <c r="HGR166" s="146"/>
      <c r="HGS166" s="146"/>
      <c r="HGT166" s="146"/>
      <c r="HGU166" s="146"/>
      <c r="HGV166" s="146"/>
      <c r="HGW166" s="146"/>
      <c r="HGX166" s="146"/>
      <c r="HGY166" s="146"/>
      <c r="HGZ166" s="146"/>
      <c r="HHA166" s="146"/>
      <c r="HHB166" s="146"/>
      <c r="HHC166" s="146"/>
      <c r="HHD166" s="146"/>
      <c r="HHE166" s="146"/>
      <c r="HHF166" s="146"/>
      <c r="HHG166" s="146"/>
      <c r="HHH166" s="146"/>
      <c r="HHI166" s="146"/>
      <c r="HHJ166" s="146"/>
      <c r="HHK166" s="146"/>
      <c r="HHL166" s="146"/>
      <c r="HHM166" s="146"/>
      <c r="HHN166" s="146"/>
      <c r="HHO166" s="146"/>
      <c r="HHP166" s="146"/>
      <c r="HHQ166" s="146"/>
      <c r="HHR166" s="146"/>
      <c r="HHS166" s="146"/>
      <c r="HHT166" s="146"/>
      <c r="HHU166" s="146"/>
      <c r="HHV166" s="146"/>
      <c r="HHW166" s="146"/>
      <c r="HHX166" s="146"/>
      <c r="HHY166" s="146"/>
      <c r="HHZ166" s="146"/>
      <c r="HIA166" s="146"/>
      <c r="HIB166" s="146"/>
      <c r="HIC166" s="146"/>
      <c r="HID166" s="146"/>
      <c r="HIE166" s="146"/>
      <c r="HIF166" s="146"/>
      <c r="HIG166" s="146"/>
      <c r="HIH166" s="146"/>
      <c r="HII166" s="146"/>
      <c r="HIJ166" s="146"/>
      <c r="HIK166" s="146"/>
      <c r="HIL166" s="146"/>
      <c r="HIM166" s="146"/>
      <c r="HIN166" s="146"/>
      <c r="HIO166" s="146"/>
      <c r="HIP166" s="146"/>
      <c r="HIQ166" s="146"/>
      <c r="HIR166" s="146"/>
      <c r="HIS166" s="146"/>
      <c r="HIT166" s="146"/>
      <c r="HIU166" s="146"/>
      <c r="HIV166" s="146"/>
      <c r="HIW166" s="146"/>
      <c r="HIX166" s="146"/>
      <c r="HIY166" s="146"/>
      <c r="HIZ166" s="146"/>
      <c r="HJA166" s="146"/>
      <c r="HJB166" s="146"/>
      <c r="HJC166" s="146"/>
      <c r="HJD166" s="146"/>
      <c r="HJE166" s="146"/>
      <c r="HJF166" s="146"/>
      <c r="HJG166" s="146"/>
      <c r="HJH166" s="146"/>
      <c r="HJI166" s="146"/>
      <c r="HJJ166" s="146"/>
      <c r="HJK166" s="146"/>
      <c r="HJL166" s="146"/>
      <c r="HJM166" s="146"/>
      <c r="HJN166" s="146"/>
      <c r="HJO166" s="146"/>
      <c r="HJP166" s="146"/>
      <c r="HJQ166" s="146"/>
      <c r="HJR166" s="146"/>
      <c r="HJS166" s="146"/>
      <c r="HJT166" s="146"/>
      <c r="HJU166" s="146"/>
      <c r="HJV166" s="146"/>
      <c r="HJW166" s="146"/>
      <c r="HJX166" s="146"/>
      <c r="HJY166" s="146"/>
      <c r="HJZ166" s="146"/>
      <c r="HKA166" s="146"/>
      <c r="HKB166" s="146"/>
      <c r="HKC166" s="146"/>
      <c r="HKD166" s="146"/>
      <c r="HKE166" s="146"/>
      <c r="HKF166" s="146"/>
      <c r="HKG166" s="146"/>
      <c r="HKH166" s="146"/>
      <c r="HKI166" s="146"/>
      <c r="HKJ166" s="146"/>
      <c r="HKK166" s="146"/>
      <c r="HKL166" s="146"/>
      <c r="HKM166" s="146"/>
      <c r="HKN166" s="146"/>
      <c r="HKO166" s="146"/>
      <c r="HKP166" s="146"/>
      <c r="HKQ166" s="146"/>
      <c r="HKR166" s="146"/>
      <c r="HKS166" s="146"/>
      <c r="HKT166" s="146"/>
      <c r="HKU166" s="146"/>
      <c r="HKV166" s="146"/>
      <c r="HKW166" s="146"/>
      <c r="HKX166" s="146"/>
      <c r="HKY166" s="146"/>
      <c r="HKZ166" s="146"/>
      <c r="HLA166" s="146"/>
      <c r="HLB166" s="146"/>
      <c r="HLC166" s="146"/>
      <c r="HLD166" s="146"/>
      <c r="HLE166" s="146"/>
      <c r="HLF166" s="146"/>
      <c r="HLG166" s="146"/>
      <c r="HLH166" s="146"/>
      <c r="HLI166" s="146"/>
      <c r="HLJ166" s="146"/>
      <c r="HLK166" s="146"/>
      <c r="HLL166" s="146"/>
      <c r="HLM166" s="146"/>
      <c r="HLN166" s="146"/>
      <c r="HLO166" s="146"/>
      <c r="HLP166" s="146"/>
      <c r="HLQ166" s="146"/>
      <c r="HLR166" s="146"/>
      <c r="HLS166" s="146"/>
      <c r="HLT166" s="146"/>
      <c r="HLU166" s="146"/>
      <c r="HLV166" s="146"/>
      <c r="HLW166" s="146"/>
      <c r="HLX166" s="146"/>
      <c r="HLY166" s="146"/>
      <c r="HLZ166" s="146"/>
      <c r="HMA166" s="146"/>
      <c r="HMB166" s="146"/>
      <c r="HMC166" s="146"/>
      <c r="HMD166" s="146"/>
      <c r="HME166" s="146"/>
      <c r="HMF166" s="146"/>
      <c r="HMG166" s="146"/>
      <c r="HMH166" s="146"/>
      <c r="HMI166" s="146"/>
      <c r="HMJ166" s="146"/>
      <c r="HMK166" s="146"/>
      <c r="HML166" s="146"/>
      <c r="HMM166" s="146"/>
      <c r="HMN166" s="146"/>
      <c r="HMO166" s="146"/>
      <c r="HMP166" s="146"/>
      <c r="HMQ166" s="146"/>
      <c r="HMR166" s="146"/>
      <c r="HMS166" s="146"/>
      <c r="HMT166" s="146"/>
      <c r="HMU166" s="146"/>
      <c r="HMV166" s="146"/>
      <c r="HMW166" s="146"/>
      <c r="HMX166" s="146"/>
      <c r="HMY166" s="146"/>
      <c r="HMZ166" s="146"/>
      <c r="HNA166" s="146"/>
      <c r="HNB166" s="146"/>
      <c r="HNC166" s="146"/>
      <c r="HND166" s="146"/>
      <c r="HNE166" s="146"/>
      <c r="HNF166" s="146"/>
      <c r="HNG166" s="146"/>
      <c r="HNH166" s="146"/>
      <c r="HNI166" s="146"/>
      <c r="HNJ166" s="146"/>
      <c r="HNK166" s="146"/>
      <c r="HNL166" s="146"/>
      <c r="HNM166" s="146"/>
      <c r="HNN166" s="146"/>
      <c r="HNO166" s="146"/>
      <c r="HNP166" s="146"/>
      <c r="HNQ166" s="146"/>
      <c r="HNR166" s="146"/>
      <c r="HNS166" s="146"/>
      <c r="HNT166" s="146"/>
      <c r="HNU166" s="146"/>
      <c r="HNV166" s="146"/>
      <c r="HNW166" s="146"/>
      <c r="HNX166" s="146"/>
      <c r="HNY166" s="146"/>
      <c r="HNZ166" s="146"/>
      <c r="HOA166" s="146"/>
      <c r="HOB166" s="146"/>
      <c r="HOC166" s="146"/>
      <c r="HOD166" s="146"/>
      <c r="HOE166" s="146"/>
      <c r="HOF166" s="146"/>
      <c r="HOG166" s="146"/>
      <c r="HOH166" s="146"/>
      <c r="HOI166" s="146"/>
      <c r="HOJ166" s="146"/>
      <c r="HOK166" s="146"/>
      <c r="HOL166" s="146"/>
      <c r="HOM166" s="146"/>
      <c r="HON166" s="146"/>
      <c r="HOO166" s="146"/>
      <c r="HOP166" s="146"/>
      <c r="HOQ166" s="146"/>
      <c r="HOR166" s="146"/>
      <c r="HOS166" s="146"/>
      <c r="HOT166" s="146"/>
      <c r="HOU166" s="146"/>
      <c r="HOV166" s="146"/>
      <c r="HOW166" s="146"/>
      <c r="HOX166" s="146"/>
      <c r="HOY166" s="146"/>
      <c r="HOZ166" s="146"/>
      <c r="HPA166" s="146"/>
      <c r="HPB166" s="146"/>
      <c r="HPC166" s="146"/>
      <c r="HPD166" s="146"/>
      <c r="HPE166" s="146"/>
      <c r="HPF166" s="146"/>
      <c r="HPG166" s="146"/>
      <c r="HPH166" s="146"/>
      <c r="HPI166" s="146"/>
      <c r="HPJ166" s="146"/>
      <c r="HPK166" s="146"/>
      <c r="HPL166" s="146"/>
      <c r="HPM166" s="146"/>
      <c r="HPN166" s="146"/>
      <c r="HPO166" s="146"/>
      <c r="HPP166" s="146"/>
      <c r="HPQ166" s="146"/>
      <c r="HPR166" s="146"/>
      <c r="HPS166" s="146"/>
      <c r="HPT166" s="146"/>
      <c r="HPU166" s="146"/>
      <c r="HPV166" s="146"/>
      <c r="HPW166" s="146"/>
      <c r="HPX166" s="146"/>
      <c r="HPY166" s="146"/>
      <c r="HPZ166" s="146"/>
      <c r="HQA166" s="146"/>
      <c r="HQB166" s="146"/>
      <c r="HQC166" s="146"/>
      <c r="HQD166" s="146"/>
      <c r="HQE166" s="146"/>
      <c r="HQF166" s="146"/>
      <c r="HQG166" s="146"/>
      <c r="HQH166" s="146"/>
      <c r="HQI166" s="146"/>
      <c r="HQJ166" s="146"/>
      <c r="HQK166" s="146"/>
      <c r="HQL166" s="146"/>
      <c r="HQM166" s="146"/>
      <c r="HQN166" s="146"/>
      <c r="HQO166" s="146"/>
      <c r="HQP166" s="146"/>
      <c r="HQQ166" s="146"/>
      <c r="HQR166" s="146"/>
      <c r="HQS166" s="146"/>
      <c r="HQT166" s="146"/>
      <c r="HQU166" s="146"/>
      <c r="HQV166" s="146"/>
      <c r="HQW166" s="146"/>
      <c r="HQX166" s="146"/>
      <c r="HQY166" s="146"/>
      <c r="HQZ166" s="146"/>
      <c r="HRA166" s="146"/>
      <c r="HRB166" s="146"/>
      <c r="HRC166" s="146"/>
      <c r="HRD166" s="146"/>
      <c r="HRE166" s="146"/>
      <c r="HRF166" s="146"/>
      <c r="HRG166" s="146"/>
      <c r="HRH166" s="146"/>
      <c r="HRI166" s="146"/>
      <c r="HRJ166" s="146"/>
      <c r="HRK166" s="146"/>
      <c r="HRL166" s="146"/>
      <c r="HRM166" s="146"/>
      <c r="HRN166" s="146"/>
      <c r="HRO166" s="146"/>
      <c r="HRP166" s="146"/>
      <c r="HRQ166" s="146"/>
      <c r="HRR166" s="146"/>
      <c r="HRS166" s="146"/>
      <c r="HRT166" s="146"/>
      <c r="HRU166" s="146"/>
      <c r="HRV166" s="146"/>
      <c r="HRW166" s="146"/>
      <c r="HRX166" s="146"/>
      <c r="HRY166" s="146"/>
      <c r="HRZ166" s="146"/>
      <c r="HSA166" s="146"/>
      <c r="HSB166" s="146"/>
      <c r="HSC166" s="146"/>
      <c r="HSD166" s="146"/>
      <c r="HSE166" s="146"/>
      <c r="HSF166" s="146"/>
      <c r="HSG166" s="146"/>
      <c r="HSH166" s="146"/>
      <c r="HSI166" s="146"/>
      <c r="HSJ166" s="146"/>
      <c r="HSK166" s="146"/>
      <c r="HSL166" s="146"/>
      <c r="HSM166" s="146"/>
      <c r="HSN166" s="146"/>
      <c r="HSO166" s="146"/>
      <c r="HSP166" s="146"/>
      <c r="HSQ166" s="146"/>
      <c r="HSR166" s="146"/>
      <c r="HSS166" s="146"/>
      <c r="HST166" s="146"/>
      <c r="HSU166" s="146"/>
      <c r="HSV166" s="146"/>
      <c r="HSW166" s="146"/>
      <c r="HSX166" s="146"/>
      <c r="HSY166" s="146"/>
      <c r="HSZ166" s="146"/>
      <c r="HTA166" s="146"/>
      <c r="HTB166" s="146"/>
      <c r="HTC166" s="146"/>
      <c r="HTD166" s="146"/>
      <c r="HTE166" s="146"/>
      <c r="HTF166" s="146"/>
      <c r="HTG166" s="146"/>
      <c r="HTH166" s="146"/>
      <c r="HTI166" s="146"/>
      <c r="HTJ166" s="146"/>
      <c r="HTK166" s="146"/>
      <c r="HTL166" s="146"/>
      <c r="HTM166" s="146"/>
      <c r="HTN166" s="146"/>
      <c r="HTO166" s="146"/>
      <c r="HTP166" s="146"/>
      <c r="HTQ166" s="146"/>
      <c r="HTR166" s="146"/>
      <c r="HTS166" s="146"/>
      <c r="HTT166" s="146"/>
      <c r="HTU166" s="146"/>
      <c r="HTV166" s="146"/>
      <c r="HTW166" s="146"/>
      <c r="HTX166" s="146"/>
      <c r="HTY166" s="146"/>
      <c r="HTZ166" s="146"/>
      <c r="HUA166" s="146"/>
      <c r="HUB166" s="146"/>
      <c r="HUC166" s="146"/>
      <c r="HUD166" s="146"/>
      <c r="HUE166" s="146"/>
      <c r="HUF166" s="146"/>
      <c r="HUG166" s="146"/>
      <c r="HUH166" s="146"/>
      <c r="HUI166" s="146"/>
      <c r="HUJ166" s="146"/>
      <c r="HUK166" s="146"/>
      <c r="HUL166" s="146"/>
      <c r="HUM166" s="146"/>
      <c r="HUN166" s="146"/>
      <c r="HUO166" s="146"/>
      <c r="HUP166" s="146"/>
      <c r="HUQ166" s="146"/>
      <c r="HUR166" s="146"/>
      <c r="HUS166" s="146"/>
      <c r="HUT166" s="146"/>
      <c r="HUU166" s="146"/>
      <c r="HUV166" s="146"/>
      <c r="HUW166" s="146"/>
      <c r="HUX166" s="146"/>
      <c r="HUY166" s="146"/>
      <c r="HUZ166" s="146"/>
      <c r="HVA166" s="146"/>
      <c r="HVB166" s="146"/>
      <c r="HVC166" s="146"/>
      <c r="HVD166" s="146"/>
      <c r="HVE166" s="146"/>
      <c r="HVF166" s="146"/>
      <c r="HVG166" s="146"/>
      <c r="HVH166" s="146"/>
      <c r="HVI166" s="146"/>
      <c r="HVJ166" s="146"/>
      <c r="HVK166" s="146"/>
      <c r="HVL166" s="146"/>
      <c r="HVM166" s="146"/>
      <c r="HVN166" s="146"/>
      <c r="HVO166" s="146"/>
      <c r="HVP166" s="146"/>
      <c r="HVQ166" s="146"/>
      <c r="HVR166" s="146"/>
      <c r="HVS166" s="146"/>
      <c r="HVT166" s="146"/>
      <c r="HVU166" s="146"/>
      <c r="HVV166" s="146"/>
      <c r="HVW166" s="146"/>
      <c r="HVX166" s="146"/>
      <c r="HVY166" s="146"/>
      <c r="HVZ166" s="146"/>
      <c r="HWA166" s="146"/>
      <c r="HWB166" s="146"/>
      <c r="HWC166" s="146"/>
      <c r="HWD166" s="146"/>
      <c r="HWE166" s="146"/>
      <c r="HWF166" s="146"/>
      <c r="HWG166" s="146"/>
      <c r="HWH166" s="146"/>
      <c r="HWI166" s="146"/>
      <c r="HWJ166" s="146"/>
      <c r="HWK166" s="146"/>
      <c r="HWL166" s="146"/>
      <c r="HWM166" s="146"/>
      <c r="HWN166" s="146"/>
      <c r="HWO166" s="146"/>
      <c r="HWP166" s="146"/>
      <c r="HWQ166" s="146"/>
      <c r="HWR166" s="146"/>
      <c r="HWS166" s="146"/>
      <c r="HWT166" s="146"/>
      <c r="HWU166" s="146"/>
      <c r="HWV166" s="146"/>
      <c r="HWW166" s="146"/>
      <c r="HWX166" s="146"/>
      <c r="HWY166" s="146"/>
      <c r="HWZ166" s="146"/>
      <c r="HXA166" s="146"/>
      <c r="HXB166" s="146"/>
      <c r="HXC166" s="146"/>
      <c r="HXD166" s="146"/>
      <c r="HXE166" s="146"/>
      <c r="HXF166" s="146"/>
      <c r="HXG166" s="146"/>
      <c r="HXH166" s="146"/>
      <c r="HXI166" s="146"/>
      <c r="HXJ166" s="146"/>
      <c r="HXK166" s="146"/>
      <c r="HXL166" s="146"/>
      <c r="HXM166" s="146"/>
      <c r="HXN166" s="146"/>
      <c r="HXO166" s="146"/>
      <c r="HXP166" s="146"/>
      <c r="HXQ166" s="146"/>
      <c r="HXR166" s="146"/>
      <c r="HXS166" s="146"/>
      <c r="HXT166" s="146"/>
      <c r="HXU166" s="146"/>
      <c r="HXV166" s="146"/>
      <c r="HXW166" s="146"/>
      <c r="HXX166" s="146"/>
      <c r="HXY166" s="146"/>
      <c r="HXZ166" s="146"/>
      <c r="HYA166" s="146"/>
      <c r="HYB166" s="146"/>
      <c r="HYC166" s="146"/>
      <c r="HYD166" s="146"/>
      <c r="HYE166" s="146"/>
      <c r="HYF166" s="146"/>
      <c r="HYG166" s="146"/>
      <c r="HYH166" s="146"/>
      <c r="HYI166" s="146"/>
      <c r="HYJ166" s="146"/>
      <c r="HYK166" s="146"/>
      <c r="HYL166" s="146"/>
      <c r="HYM166" s="146"/>
      <c r="HYN166" s="146"/>
      <c r="HYO166" s="146"/>
      <c r="HYP166" s="146"/>
      <c r="HYQ166" s="146"/>
      <c r="HYR166" s="146"/>
      <c r="HYS166" s="146"/>
      <c r="HYT166" s="146"/>
      <c r="HYU166" s="146"/>
      <c r="HYV166" s="146"/>
      <c r="HYW166" s="146"/>
      <c r="HYX166" s="146"/>
      <c r="HYY166" s="146"/>
      <c r="HYZ166" s="146"/>
      <c r="HZA166" s="146"/>
      <c r="HZB166" s="146"/>
      <c r="HZC166" s="146"/>
      <c r="HZD166" s="146"/>
      <c r="HZE166" s="146"/>
      <c r="HZF166" s="146"/>
      <c r="HZG166" s="146"/>
      <c r="HZH166" s="146"/>
      <c r="HZI166" s="146"/>
      <c r="HZJ166" s="146"/>
      <c r="HZK166" s="146"/>
      <c r="HZL166" s="146"/>
      <c r="HZM166" s="146"/>
      <c r="HZN166" s="146"/>
      <c r="HZO166" s="146"/>
      <c r="HZP166" s="146"/>
      <c r="HZQ166" s="146"/>
      <c r="HZR166" s="146"/>
      <c r="HZS166" s="146"/>
      <c r="HZT166" s="146"/>
      <c r="HZU166" s="146"/>
      <c r="HZV166" s="146"/>
      <c r="HZW166" s="146"/>
      <c r="HZX166" s="146"/>
      <c r="HZY166" s="146"/>
      <c r="HZZ166" s="146"/>
      <c r="IAA166" s="146"/>
      <c r="IAB166" s="146"/>
      <c r="IAC166" s="146"/>
      <c r="IAD166" s="146"/>
      <c r="IAE166" s="146"/>
      <c r="IAF166" s="146"/>
      <c r="IAG166" s="146"/>
      <c r="IAH166" s="146"/>
      <c r="IAI166" s="146"/>
      <c r="IAJ166" s="146"/>
      <c r="IAK166" s="146"/>
      <c r="IAL166" s="146"/>
      <c r="IAM166" s="146"/>
      <c r="IAN166" s="146"/>
      <c r="IAO166" s="146"/>
      <c r="IAP166" s="146"/>
      <c r="IAQ166" s="146"/>
      <c r="IAR166" s="146"/>
      <c r="IAS166" s="146"/>
      <c r="IAT166" s="146"/>
      <c r="IAU166" s="146"/>
      <c r="IAV166" s="146"/>
      <c r="IAW166" s="146"/>
      <c r="IAX166" s="146"/>
      <c r="IAY166" s="146"/>
      <c r="IAZ166" s="146"/>
      <c r="IBA166" s="146"/>
      <c r="IBB166" s="146"/>
      <c r="IBC166" s="146"/>
      <c r="IBD166" s="146"/>
      <c r="IBE166" s="146"/>
      <c r="IBF166" s="146"/>
      <c r="IBG166" s="146"/>
      <c r="IBH166" s="146"/>
      <c r="IBI166" s="146"/>
      <c r="IBJ166" s="146"/>
      <c r="IBK166" s="146"/>
      <c r="IBL166" s="146"/>
      <c r="IBM166" s="146"/>
      <c r="IBN166" s="146"/>
      <c r="IBO166" s="146"/>
      <c r="IBP166" s="146"/>
      <c r="IBQ166" s="146"/>
      <c r="IBR166" s="146"/>
      <c r="IBS166" s="146"/>
      <c r="IBT166" s="146"/>
      <c r="IBU166" s="146"/>
      <c r="IBV166" s="146"/>
      <c r="IBW166" s="146"/>
      <c r="IBX166" s="146"/>
      <c r="IBY166" s="146"/>
      <c r="IBZ166" s="146"/>
      <c r="ICA166" s="146"/>
      <c r="ICB166" s="146"/>
      <c r="ICC166" s="146"/>
      <c r="ICD166" s="146"/>
      <c r="ICE166" s="146"/>
      <c r="ICF166" s="146"/>
      <c r="ICG166" s="146"/>
      <c r="ICH166" s="146"/>
      <c r="ICI166" s="146"/>
      <c r="ICJ166" s="146"/>
      <c r="ICK166" s="146"/>
      <c r="ICL166" s="146"/>
      <c r="ICM166" s="146"/>
      <c r="ICN166" s="146"/>
      <c r="ICO166" s="146"/>
      <c r="ICP166" s="146"/>
      <c r="ICQ166" s="146"/>
      <c r="ICR166" s="146"/>
      <c r="ICS166" s="146"/>
      <c r="ICT166" s="146"/>
      <c r="ICU166" s="146"/>
      <c r="ICV166" s="146"/>
      <c r="ICW166" s="146"/>
      <c r="ICX166" s="146"/>
      <c r="ICY166" s="146"/>
      <c r="ICZ166" s="146"/>
      <c r="IDA166" s="146"/>
      <c r="IDB166" s="146"/>
      <c r="IDC166" s="146"/>
      <c r="IDD166" s="146"/>
      <c r="IDE166" s="146"/>
      <c r="IDF166" s="146"/>
      <c r="IDG166" s="146"/>
      <c r="IDH166" s="146"/>
      <c r="IDI166" s="146"/>
      <c r="IDJ166" s="146"/>
      <c r="IDK166" s="146"/>
      <c r="IDL166" s="146"/>
      <c r="IDM166" s="146"/>
      <c r="IDN166" s="146"/>
      <c r="IDO166" s="146"/>
      <c r="IDP166" s="146"/>
      <c r="IDQ166" s="146"/>
      <c r="IDR166" s="146"/>
      <c r="IDS166" s="146"/>
      <c r="IDT166" s="146"/>
      <c r="IDU166" s="146"/>
      <c r="IDV166" s="146"/>
      <c r="IDW166" s="146"/>
      <c r="IDX166" s="146"/>
      <c r="IDY166" s="146"/>
      <c r="IDZ166" s="146"/>
      <c r="IEA166" s="146"/>
      <c r="IEB166" s="146"/>
      <c r="IEC166" s="146"/>
      <c r="IED166" s="146"/>
      <c r="IEE166" s="146"/>
      <c r="IEF166" s="146"/>
      <c r="IEG166" s="146"/>
      <c r="IEH166" s="146"/>
      <c r="IEI166" s="146"/>
      <c r="IEJ166" s="146"/>
      <c r="IEK166" s="146"/>
      <c r="IEL166" s="146"/>
      <c r="IEM166" s="146"/>
      <c r="IEN166" s="146"/>
      <c r="IEO166" s="146"/>
      <c r="IEP166" s="146"/>
      <c r="IEQ166" s="146"/>
      <c r="IER166" s="146"/>
      <c r="IES166" s="146"/>
      <c r="IET166" s="146"/>
      <c r="IEU166" s="146"/>
      <c r="IEV166" s="146"/>
      <c r="IEW166" s="146"/>
      <c r="IEX166" s="146"/>
      <c r="IEY166" s="146"/>
      <c r="IEZ166" s="146"/>
      <c r="IFA166" s="146"/>
      <c r="IFB166" s="146"/>
      <c r="IFC166" s="146"/>
      <c r="IFD166" s="146"/>
      <c r="IFE166" s="146"/>
      <c r="IFF166" s="146"/>
      <c r="IFG166" s="146"/>
      <c r="IFH166" s="146"/>
      <c r="IFI166" s="146"/>
      <c r="IFJ166" s="146"/>
      <c r="IFK166" s="146"/>
      <c r="IFL166" s="146"/>
      <c r="IFM166" s="146"/>
      <c r="IFN166" s="146"/>
      <c r="IFO166" s="146"/>
      <c r="IFP166" s="146"/>
      <c r="IFQ166" s="146"/>
      <c r="IFR166" s="146"/>
      <c r="IFS166" s="146"/>
      <c r="IFT166" s="146"/>
      <c r="IFU166" s="146"/>
      <c r="IFV166" s="146"/>
      <c r="IFW166" s="146"/>
      <c r="IFX166" s="146"/>
      <c r="IFY166" s="146"/>
      <c r="IFZ166" s="146"/>
      <c r="IGA166" s="146"/>
      <c r="IGB166" s="146"/>
      <c r="IGC166" s="146"/>
      <c r="IGD166" s="146"/>
      <c r="IGE166" s="146"/>
      <c r="IGF166" s="146"/>
      <c r="IGG166" s="146"/>
      <c r="IGH166" s="146"/>
      <c r="IGI166" s="146"/>
      <c r="IGJ166" s="146"/>
      <c r="IGK166" s="146"/>
      <c r="IGL166" s="146"/>
      <c r="IGM166" s="146"/>
      <c r="IGN166" s="146"/>
      <c r="IGO166" s="146"/>
      <c r="IGP166" s="146"/>
      <c r="IGQ166" s="146"/>
      <c r="IGR166" s="146"/>
      <c r="IGS166" s="146"/>
      <c r="IGT166" s="146"/>
      <c r="IGU166" s="146"/>
      <c r="IGV166" s="146"/>
      <c r="IGW166" s="146"/>
      <c r="IGX166" s="146"/>
      <c r="IGY166" s="146"/>
      <c r="IGZ166" s="146"/>
      <c r="IHA166" s="146"/>
      <c r="IHB166" s="146"/>
      <c r="IHC166" s="146"/>
      <c r="IHD166" s="146"/>
      <c r="IHE166" s="146"/>
      <c r="IHF166" s="146"/>
      <c r="IHG166" s="146"/>
      <c r="IHH166" s="146"/>
      <c r="IHI166" s="146"/>
      <c r="IHJ166" s="146"/>
      <c r="IHK166" s="146"/>
      <c r="IHL166" s="146"/>
      <c r="IHM166" s="146"/>
      <c r="IHN166" s="146"/>
      <c r="IHO166" s="146"/>
      <c r="IHP166" s="146"/>
      <c r="IHQ166" s="146"/>
      <c r="IHR166" s="146"/>
      <c r="IHS166" s="146"/>
      <c r="IHT166" s="146"/>
      <c r="IHU166" s="146"/>
      <c r="IHV166" s="146"/>
      <c r="IHW166" s="146"/>
      <c r="IHX166" s="146"/>
      <c r="IHY166" s="146"/>
      <c r="IHZ166" s="146"/>
      <c r="IIA166" s="146"/>
      <c r="IIB166" s="146"/>
      <c r="IIC166" s="146"/>
      <c r="IID166" s="146"/>
      <c r="IIE166" s="146"/>
      <c r="IIF166" s="146"/>
      <c r="IIG166" s="146"/>
      <c r="IIH166" s="146"/>
      <c r="III166" s="146"/>
      <c r="IIJ166" s="146"/>
      <c r="IIK166" s="146"/>
      <c r="IIL166" s="146"/>
      <c r="IIM166" s="146"/>
      <c r="IIN166" s="146"/>
      <c r="IIO166" s="146"/>
      <c r="IIP166" s="146"/>
      <c r="IIQ166" s="146"/>
      <c r="IIR166" s="146"/>
      <c r="IIS166" s="146"/>
      <c r="IIT166" s="146"/>
      <c r="IIU166" s="146"/>
      <c r="IIV166" s="146"/>
      <c r="IIW166" s="146"/>
      <c r="IIX166" s="146"/>
      <c r="IIY166" s="146"/>
      <c r="IIZ166" s="146"/>
      <c r="IJA166" s="146"/>
      <c r="IJB166" s="146"/>
      <c r="IJC166" s="146"/>
      <c r="IJD166" s="146"/>
      <c r="IJE166" s="146"/>
      <c r="IJF166" s="146"/>
      <c r="IJG166" s="146"/>
      <c r="IJH166" s="146"/>
      <c r="IJI166" s="146"/>
      <c r="IJJ166" s="146"/>
      <c r="IJK166" s="146"/>
      <c r="IJL166" s="146"/>
      <c r="IJM166" s="146"/>
      <c r="IJN166" s="146"/>
      <c r="IJO166" s="146"/>
      <c r="IJP166" s="146"/>
      <c r="IJQ166" s="146"/>
      <c r="IJR166" s="146"/>
      <c r="IJS166" s="146"/>
      <c r="IJT166" s="146"/>
      <c r="IJU166" s="146"/>
      <c r="IJV166" s="146"/>
      <c r="IJW166" s="146"/>
      <c r="IJX166" s="146"/>
      <c r="IJY166" s="146"/>
      <c r="IJZ166" s="146"/>
      <c r="IKA166" s="146"/>
      <c r="IKB166" s="146"/>
      <c r="IKC166" s="146"/>
      <c r="IKD166" s="146"/>
      <c r="IKE166" s="146"/>
      <c r="IKF166" s="146"/>
      <c r="IKG166" s="146"/>
      <c r="IKH166" s="146"/>
      <c r="IKI166" s="146"/>
      <c r="IKJ166" s="146"/>
      <c r="IKK166" s="146"/>
      <c r="IKL166" s="146"/>
      <c r="IKM166" s="146"/>
      <c r="IKN166" s="146"/>
      <c r="IKO166" s="146"/>
      <c r="IKP166" s="146"/>
      <c r="IKQ166" s="146"/>
      <c r="IKR166" s="146"/>
      <c r="IKS166" s="146"/>
      <c r="IKT166" s="146"/>
      <c r="IKU166" s="146"/>
      <c r="IKV166" s="146"/>
      <c r="IKW166" s="146"/>
      <c r="IKX166" s="146"/>
      <c r="IKY166" s="146"/>
      <c r="IKZ166" s="146"/>
      <c r="ILA166" s="146"/>
      <c r="ILB166" s="146"/>
      <c r="ILC166" s="146"/>
      <c r="ILD166" s="146"/>
      <c r="ILE166" s="146"/>
      <c r="ILF166" s="146"/>
      <c r="ILG166" s="146"/>
      <c r="ILH166" s="146"/>
      <c r="ILI166" s="146"/>
      <c r="ILJ166" s="146"/>
      <c r="ILK166" s="146"/>
      <c r="ILL166" s="146"/>
      <c r="ILM166" s="146"/>
      <c r="ILN166" s="146"/>
      <c r="ILO166" s="146"/>
      <c r="ILP166" s="146"/>
      <c r="ILQ166" s="146"/>
      <c r="ILR166" s="146"/>
      <c r="ILS166" s="146"/>
      <c r="ILT166" s="146"/>
      <c r="ILU166" s="146"/>
      <c r="ILV166" s="146"/>
      <c r="ILW166" s="146"/>
      <c r="ILX166" s="146"/>
      <c r="ILY166" s="146"/>
      <c r="ILZ166" s="146"/>
      <c r="IMA166" s="146"/>
      <c r="IMB166" s="146"/>
      <c r="IMC166" s="146"/>
      <c r="IMD166" s="146"/>
      <c r="IME166" s="146"/>
      <c r="IMF166" s="146"/>
      <c r="IMG166" s="146"/>
      <c r="IMH166" s="146"/>
      <c r="IMI166" s="146"/>
      <c r="IMJ166" s="146"/>
      <c r="IMK166" s="146"/>
      <c r="IML166" s="146"/>
      <c r="IMM166" s="146"/>
      <c r="IMN166" s="146"/>
      <c r="IMO166" s="146"/>
      <c r="IMP166" s="146"/>
      <c r="IMQ166" s="146"/>
      <c r="IMR166" s="146"/>
      <c r="IMS166" s="146"/>
      <c r="IMT166" s="146"/>
      <c r="IMU166" s="146"/>
      <c r="IMV166" s="146"/>
      <c r="IMW166" s="146"/>
      <c r="IMX166" s="146"/>
      <c r="IMY166" s="146"/>
      <c r="IMZ166" s="146"/>
      <c r="INA166" s="146"/>
      <c r="INB166" s="146"/>
      <c r="INC166" s="146"/>
      <c r="IND166" s="146"/>
      <c r="INE166" s="146"/>
      <c r="INF166" s="146"/>
      <c r="ING166" s="146"/>
      <c r="INH166" s="146"/>
      <c r="INI166" s="146"/>
      <c r="INJ166" s="146"/>
      <c r="INK166" s="146"/>
      <c r="INL166" s="146"/>
      <c r="INM166" s="146"/>
      <c r="INN166" s="146"/>
      <c r="INO166" s="146"/>
      <c r="INP166" s="146"/>
      <c r="INQ166" s="146"/>
      <c r="INR166" s="146"/>
      <c r="INS166" s="146"/>
      <c r="INT166" s="146"/>
      <c r="INU166" s="146"/>
      <c r="INV166" s="146"/>
      <c r="INW166" s="146"/>
      <c r="INX166" s="146"/>
      <c r="INY166" s="146"/>
      <c r="INZ166" s="146"/>
      <c r="IOA166" s="146"/>
      <c r="IOB166" s="146"/>
      <c r="IOC166" s="146"/>
      <c r="IOD166" s="146"/>
      <c r="IOE166" s="146"/>
      <c r="IOF166" s="146"/>
      <c r="IOG166" s="146"/>
      <c r="IOH166" s="146"/>
      <c r="IOI166" s="146"/>
      <c r="IOJ166" s="146"/>
      <c r="IOK166" s="146"/>
      <c r="IOL166" s="146"/>
      <c r="IOM166" s="146"/>
      <c r="ION166" s="146"/>
      <c r="IOO166" s="146"/>
      <c r="IOP166" s="146"/>
      <c r="IOQ166" s="146"/>
      <c r="IOR166" s="146"/>
      <c r="IOS166" s="146"/>
      <c r="IOT166" s="146"/>
      <c r="IOU166" s="146"/>
      <c r="IOV166" s="146"/>
      <c r="IOW166" s="146"/>
      <c r="IOX166" s="146"/>
      <c r="IOY166" s="146"/>
      <c r="IOZ166" s="146"/>
      <c r="IPA166" s="146"/>
      <c r="IPB166" s="146"/>
      <c r="IPC166" s="146"/>
      <c r="IPD166" s="146"/>
      <c r="IPE166" s="146"/>
      <c r="IPF166" s="146"/>
      <c r="IPG166" s="146"/>
      <c r="IPH166" s="146"/>
      <c r="IPI166" s="146"/>
      <c r="IPJ166" s="146"/>
      <c r="IPK166" s="146"/>
      <c r="IPL166" s="146"/>
      <c r="IPM166" s="146"/>
      <c r="IPN166" s="146"/>
      <c r="IPO166" s="146"/>
      <c r="IPP166" s="146"/>
      <c r="IPQ166" s="146"/>
      <c r="IPR166" s="146"/>
      <c r="IPS166" s="146"/>
      <c r="IPT166" s="146"/>
      <c r="IPU166" s="146"/>
      <c r="IPV166" s="146"/>
      <c r="IPW166" s="146"/>
      <c r="IPX166" s="146"/>
      <c r="IPY166" s="146"/>
      <c r="IPZ166" s="146"/>
      <c r="IQA166" s="146"/>
      <c r="IQB166" s="146"/>
      <c r="IQC166" s="146"/>
      <c r="IQD166" s="146"/>
      <c r="IQE166" s="146"/>
      <c r="IQF166" s="146"/>
      <c r="IQG166" s="146"/>
      <c r="IQH166" s="146"/>
      <c r="IQI166" s="146"/>
      <c r="IQJ166" s="146"/>
      <c r="IQK166" s="146"/>
      <c r="IQL166" s="146"/>
      <c r="IQM166" s="146"/>
      <c r="IQN166" s="146"/>
      <c r="IQO166" s="146"/>
      <c r="IQP166" s="146"/>
      <c r="IQQ166" s="146"/>
      <c r="IQR166" s="146"/>
      <c r="IQS166" s="146"/>
      <c r="IQT166" s="146"/>
      <c r="IQU166" s="146"/>
      <c r="IQV166" s="146"/>
      <c r="IQW166" s="146"/>
      <c r="IQX166" s="146"/>
      <c r="IQY166" s="146"/>
      <c r="IQZ166" s="146"/>
      <c r="IRA166" s="146"/>
      <c r="IRB166" s="146"/>
      <c r="IRC166" s="146"/>
      <c r="IRD166" s="146"/>
      <c r="IRE166" s="146"/>
      <c r="IRF166" s="146"/>
      <c r="IRG166" s="146"/>
      <c r="IRH166" s="146"/>
      <c r="IRI166" s="146"/>
      <c r="IRJ166" s="146"/>
      <c r="IRK166" s="146"/>
      <c r="IRL166" s="146"/>
      <c r="IRM166" s="146"/>
      <c r="IRN166" s="146"/>
      <c r="IRO166" s="146"/>
      <c r="IRP166" s="146"/>
      <c r="IRQ166" s="146"/>
      <c r="IRR166" s="146"/>
      <c r="IRS166" s="146"/>
      <c r="IRT166" s="146"/>
      <c r="IRU166" s="146"/>
      <c r="IRV166" s="146"/>
      <c r="IRW166" s="146"/>
      <c r="IRX166" s="146"/>
      <c r="IRY166" s="146"/>
      <c r="IRZ166" s="146"/>
      <c r="ISA166" s="146"/>
      <c r="ISB166" s="146"/>
      <c r="ISC166" s="146"/>
      <c r="ISD166" s="146"/>
      <c r="ISE166" s="146"/>
      <c r="ISF166" s="146"/>
      <c r="ISG166" s="146"/>
      <c r="ISH166" s="146"/>
      <c r="ISI166" s="146"/>
      <c r="ISJ166" s="146"/>
      <c r="ISK166" s="146"/>
      <c r="ISL166" s="146"/>
      <c r="ISM166" s="146"/>
      <c r="ISN166" s="146"/>
      <c r="ISO166" s="146"/>
      <c r="ISP166" s="146"/>
      <c r="ISQ166" s="146"/>
      <c r="ISR166" s="146"/>
      <c r="ISS166" s="146"/>
      <c r="IST166" s="146"/>
      <c r="ISU166" s="146"/>
      <c r="ISV166" s="146"/>
      <c r="ISW166" s="146"/>
      <c r="ISX166" s="146"/>
      <c r="ISY166" s="146"/>
      <c r="ISZ166" s="146"/>
      <c r="ITA166" s="146"/>
      <c r="ITB166" s="146"/>
      <c r="ITC166" s="146"/>
      <c r="ITD166" s="146"/>
      <c r="ITE166" s="146"/>
      <c r="ITF166" s="146"/>
      <c r="ITG166" s="146"/>
      <c r="ITH166" s="146"/>
      <c r="ITI166" s="146"/>
      <c r="ITJ166" s="146"/>
      <c r="ITK166" s="146"/>
      <c r="ITL166" s="146"/>
      <c r="ITM166" s="146"/>
      <c r="ITN166" s="146"/>
      <c r="ITO166" s="146"/>
      <c r="ITP166" s="146"/>
      <c r="ITQ166" s="146"/>
      <c r="ITR166" s="146"/>
      <c r="ITS166" s="146"/>
      <c r="ITT166" s="146"/>
      <c r="ITU166" s="146"/>
      <c r="ITV166" s="146"/>
      <c r="ITW166" s="146"/>
      <c r="ITX166" s="146"/>
      <c r="ITY166" s="146"/>
      <c r="ITZ166" s="146"/>
      <c r="IUA166" s="146"/>
      <c r="IUB166" s="146"/>
      <c r="IUC166" s="146"/>
      <c r="IUD166" s="146"/>
      <c r="IUE166" s="146"/>
      <c r="IUF166" s="146"/>
      <c r="IUG166" s="146"/>
      <c r="IUH166" s="146"/>
      <c r="IUI166" s="146"/>
      <c r="IUJ166" s="146"/>
      <c r="IUK166" s="146"/>
      <c r="IUL166" s="146"/>
      <c r="IUM166" s="146"/>
      <c r="IUN166" s="146"/>
      <c r="IUO166" s="146"/>
      <c r="IUP166" s="146"/>
      <c r="IUQ166" s="146"/>
      <c r="IUR166" s="146"/>
      <c r="IUS166" s="146"/>
      <c r="IUT166" s="146"/>
      <c r="IUU166" s="146"/>
      <c r="IUV166" s="146"/>
      <c r="IUW166" s="146"/>
      <c r="IUX166" s="146"/>
      <c r="IUY166" s="146"/>
      <c r="IUZ166" s="146"/>
      <c r="IVA166" s="146"/>
      <c r="IVB166" s="146"/>
      <c r="IVC166" s="146"/>
      <c r="IVD166" s="146"/>
      <c r="IVE166" s="146"/>
      <c r="IVF166" s="146"/>
      <c r="IVG166" s="146"/>
      <c r="IVH166" s="146"/>
      <c r="IVI166" s="146"/>
      <c r="IVJ166" s="146"/>
      <c r="IVK166" s="146"/>
      <c r="IVL166" s="146"/>
      <c r="IVM166" s="146"/>
      <c r="IVN166" s="146"/>
      <c r="IVO166" s="146"/>
      <c r="IVP166" s="146"/>
      <c r="IVQ166" s="146"/>
      <c r="IVR166" s="146"/>
      <c r="IVS166" s="146"/>
      <c r="IVT166" s="146"/>
      <c r="IVU166" s="146"/>
      <c r="IVV166" s="146"/>
      <c r="IVW166" s="146"/>
      <c r="IVX166" s="146"/>
      <c r="IVY166" s="146"/>
      <c r="IVZ166" s="146"/>
      <c r="IWA166" s="146"/>
      <c r="IWB166" s="146"/>
      <c r="IWC166" s="146"/>
      <c r="IWD166" s="146"/>
      <c r="IWE166" s="146"/>
      <c r="IWF166" s="146"/>
      <c r="IWG166" s="146"/>
      <c r="IWH166" s="146"/>
      <c r="IWI166" s="146"/>
      <c r="IWJ166" s="146"/>
      <c r="IWK166" s="146"/>
      <c r="IWL166" s="146"/>
      <c r="IWM166" s="146"/>
      <c r="IWN166" s="146"/>
      <c r="IWO166" s="146"/>
      <c r="IWP166" s="146"/>
      <c r="IWQ166" s="146"/>
      <c r="IWR166" s="146"/>
      <c r="IWS166" s="146"/>
      <c r="IWT166" s="146"/>
      <c r="IWU166" s="146"/>
      <c r="IWV166" s="146"/>
      <c r="IWW166" s="146"/>
      <c r="IWX166" s="146"/>
      <c r="IWY166" s="146"/>
      <c r="IWZ166" s="146"/>
      <c r="IXA166" s="146"/>
      <c r="IXB166" s="146"/>
      <c r="IXC166" s="146"/>
      <c r="IXD166" s="146"/>
      <c r="IXE166" s="146"/>
      <c r="IXF166" s="146"/>
      <c r="IXG166" s="146"/>
      <c r="IXH166" s="146"/>
      <c r="IXI166" s="146"/>
      <c r="IXJ166" s="146"/>
      <c r="IXK166" s="146"/>
      <c r="IXL166" s="146"/>
      <c r="IXM166" s="146"/>
      <c r="IXN166" s="146"/>
      <c r="IXO166" s="146"/>
      <c r="IXP166" s="146"/>
      <c r="IXQ166" s="146"/>
      <c r="IXR166" s="146"/>
      <c r="IXS166" s="146"/>
      <c r="IXT166" s="146"/>
      <c r="IXU166" s="146"/>
      <c r="IXV166" s="146"/>
      <c r="IXW166" s="146"/>
      <c r="IXX166" s="146"/>
      <c r="IXY166" s="146"/>
      <c r="IXZ166" s="146"/>
      <c r="IYA166" s="146"/>
      <c r="IYB166" s="146"/>
      <c r="IYC166" s="146"/>
      <c r="IYD166" s="146"/>
      <c r="IYE166" s="146"/>
      <c r="IYF166" s="146"/>
      <c r="IYG166" s="146"/>
      <c r="IYH166" s="146"/>
      <c r="IYI166" s="146"/>
      <c r="IYJ166" s="146"/>
      <c r="IYK166" s="146"/>
      <c r="IYL166" s="146"/>
      <c r="IYM166" s="146"/>
      <c r="IYN166" s="146"/>
      <c r="IYO166" s="146"/>
      <c r="IYP166" s="146"/>
      <c r="IYQ166" s="146"/>
      <c r="IYR166" s="146"/>
      <c r="IYS166" s="146"/>
      <c r="IYT166" s="146"/>
      <c r="IYU166" s="146"/>
      <c r="IYV166" s="146"/>
      <c r="IYW166" s="146"/>
      <c r="IYX166" s="146"/>
      <c r="IYY166" s="146"/>
      <c r="IYZ166" s="146"/>
      <c r="IZA166" s="146"/>
      <c r="IZB166" s="146"/>
      <c r="IZC166" s="146"/>
      <c r="IZD166" s="146"/>
      <c r="IZE166" s="146"/>
      <c r="IZF166" s="146"/>
      <c r="IZG166" s="146"/>
      <c r="IZH166" s="146"/>
      <c r="IZI166" s="146"/>
      <c r="IZJ166" s="146"/>
      <c r="IZK166" s="146"/>
      <c r="IZL166" s="146"/>
      <c r="IZM166" s="146"/>
      <c r="IZN166" s="146"/>
      <c r="IZO166" s="146"/>
      <c r="IZP166" s="146"/>
      <c r="IZQ166" s="146"/>
      <c r="IZR166" s="146"/>
      <c r="IZS166" s="146"/>
      <c r="IZT166" s="146"/>
      <c r="IZU166" s="146"/>
      <c r="IZV166" s="146"/>
      <c r="IZW166" s="146"/>
      <c r="IZX166" s="146"/>
      <c r="IZY166" s="146"/>
      <c r="IZZ166" s="146"/>
      <c r="JAA166" s="146"/>
      <c r="JAB166" s="146"/>
      <c r="JAC166" s="146"/>
      <c r="JAD166" s="146"/>
      <c r="JAE166" s="146"/>
      <c r="JAF166" s="146"/>
      <c r="JAG166" s="146"/>
      <c r="JAH166" s="146"/>
      <c r="JAI166" s="146"/>
      <c r="JAJ166" s="146"/>
      <c r="JAK166" s="146"/>
      <c r="JAL166" s="146"/>
      <c r="JAM166" s="146"/>
      <c r="JAN166" s="146"/>
      <c r="JAO166" s="146"/>
      <c r="JAP166" s="146"/>
      <c r="JAQ166" s="146"/>
      <c r="JAR166" s="146"/>
      <c r="JAS166" s="146"/>
      <c r="JAT166" s="146"/>
      <c r="JAU166" s="146"/>
      <c r="JAV166" s="146"/>
      <c r="JAW166" s="146"/>
      <c r="JAX166" s="146"/>
      <c r="JAY166" s="146"/>
      <c r="JAZ166" s="146"/>
      <c r="JBA166" s="146"/>
      <c r="JBB166" s="146"/>
      <c r="JBC166" s="146"/>
      <c r="JBD166" s="146"/>
      <c r="JBE166" s="146"/>
      <c r="JBF166" s="146"/>
      <c r="JBG166" s="146"/>
      <c r="JBH166" s="146"/>
      <c r="JBI166" s="146"/>
      <c r="JBJ166" s="146"/>
      <c r="JBK166" s="146"/>
      <c r="JBL166" s="146"/>
      <c r="JBM166" s="146"/>
      <c r="JBN166" s="146"/>
      <c r="JBO166" s="146"/>
      <c r="JBP166" s="146"/>
      <c r="JBQ166" s="146"/>
      <c r="JBR166" s="146"/>
      <c r="JBS166" s="146"/>
      <c r="JBT166" s="146"/>
      <c r="JBU166" s="146"/>
      <c r="JBV166" s="146"/>
      <c r="JBW166" s="146"/>
      <c r="JBX166" s="146"/>
      <c r="JBY166" s="146"/>
      <c r="JBZ166" s="146"/>
      <c r="JCA166" s="146"/>
      <c r="JCB166" s="146"/>
      <c r="JCC166" s="146"/>
      <c r="JCD166" s="146"/>
      <c r="JCE166" s="146"/>
      <c r="JCF166" s="146"/>
      <c r="JCG166" s="146"/>
      <c r="JCH166" s="146"/>
      <c r="JCI166" s="146"/>
      <c r="JCJ166" s="146"/>
      <c r="JCK166" s="146"/>
      <c r="JCL166" s="146"/>
      <c r="JCM166" s="146"/>
      <c r="JCN166" s="146"/>
      <c r="JCO166" s="146"/>
      <c r="JCP166" s="146"/>
      <c r="JCQ166" s="146"/>
      <c r="JCR166" s="146"/>
      <c r="JCS166" s="146"/>
      <c r="JCT166" s="146"/>
      <c r="JCU166" s="146"/>
      <c r="JCV166" s="146"/>
      <c r="JCW166" s="146"/>
      <c r="JCX166" s="146"/>
      <c r="JCY166" s="146"/>
      <c r="JCZ166" s="146"/>
      <c r="JDA166" s="146"/>
      <c r="JDB166" s="146"/>
      <c r="JDC166" s="146"/>
      <c r="JDD166" s="146"/>
      <c r="JDE166" s="146"/>
      <c r="JDF166" s="146"/>
      <c r="JDG166" s="146"/>
      <c r="JDH166" s="146"/>
      <c r="JDI166" s="146"/>
      <c r="JDJ166" s="146"/>
      <c r="JDK166" s="146"/>
      <c r="JDL166" s="146"/>
      <c r="JDM166" s="146"/>
      <c r="JDN166" s="146"/>
      <c r="JDO166" s="146"/>
      <c r="JDP166" s="146"/>
      <c r="JDQ166" s="146"/>
      <c r="JDR166" s="146"/>
      <c r="JDS166" s="146"/>
      <c r="JDT166" s="146"/>
      <c r="JDU166" s="146"/>
      <c r="JDV166" s="146"/>
      <c r="JDW166" s="146"/>
      <c r="JDX166" s="146"/>
      <c r="JDY166" s="146"/>
      <c r="JDZ166" s="146"/>
      <c r="JEA166" s="146"/>
      <c r="JEB166" s="146"/>
      <c r="JEC166" s="146"/>
      <c r="JED166" s="146"/>
      <c r="JEE166" s="146"/>
      <c r="JEF166" s="146"/>
      <c r="JEG166" s="146"/>
      <c r="JEH166" s="146"/>
      <c r="JEI166" s="146"/>
      <c r="JEJ166" s="146"/>
      <c r="JEK166" s="146"/>
      <c r="JEL166" s="146"/>
      <c r="JEM166" s="146"/>
      <c r="JEN166" s="146"/>
      <c r="JEO166" s="146"/>
      <c r="JEP166" s="146"/>
      <c r="JEQ166" s="146"/>
      <c r="JER166" s="146"/>
      <c r="JES166" s="146"/>
      <c r="JET166" s="146"/>
      <c r="JEU166" s="146"/>
      <c r="JEV166" s="146"/>
      <c r="JEW166" s="146"/>
      <c r="JEX166" s="146"/>
      <c r="JEY166" s="146"/>
      <c r="JEZ166" s="146"/>
      <c r="JFA166" s="146"/>
      <c r="JFB166" s="146"/>
      <c r="JFC166" s="146"/>
      <c r="JFD166" s="146"/>
      <c r="JFE166" s="146"/>
      <c r="JFF166" s="146"/>
      <c r="JFG166" s="146"/>
      <c r="JFH166" s="146"/>
      <c r="JFI166" s="146"/>
      <c r="JFJ166" s="146"/>
      <c r="JFK166" s="146"/>
      <c r="JFL166" s="146"/>
      <c r="JFM166" s="146"/>
      <c r="JFN166" s="146"/>
      <c r="JFO166" s="146"/>
      <c r="JFP166" s="146"/>
      <c r="JFQ166" s="146"/>
      <c r="JFR166" s="146"/>
      <c r="JFS166" s="146"/>
      <c r="JFT166" s="146"/>
      <c r="JFU166" s="146"/>
      <c r="JFV166" s="146"/>
      <c r="JFW166" s="146"/>
      <c r="JFX166" s="146"/>
      <c r="JFY166" s="146"/>
      <c r="JFZ166" s="146"/>
      <c r="JGA166" s="146"/>
      <c r="JGB166" s="146"/>
      <c r="JGC166" s="146"/>
      <c r="JGD166" s="146"/>
      <c r="JGE166" s="146"/>
      <c r="JGF166" s="146"/>
      <c r="JGG166" s="146"/>
      <c r="JGH166" s="146"/>
      <c r="JGI166" s="146"/>
      <c r="JGJ166" s="146"/>
      <c r="JGK166" s="146"/>
      <c r="JGL166" s="146"/>
      <c r="JGM166" s="146"/>
      <c r="JGN166" s="146"/>
      <c r="JGO166" s="146"/>
      <c r="JGP166" s="146"/>
      <c r="JGQ166" s="146"/>
      <c r="JGR166" s="146"/>
      <c r="JGS166" s="146"/>
      <c r="JGT166" s="146"/>
      <c r="JGU166" s="146"/>
      <c r="JGV166" s="146"/>
      <c r="JGW166" s="146"/>
      <c r="JGX166" s="146"/>
      <c r="JGY166" s="146"/>
      <c r="JGZ166" s="146"/>
      <c r="JHA166" s="146"/>
      <c r="JHB166" s="146"/>
      <c r="JHC166" s="146"/>
      <c r="JHD166" s="146"/>
      <c r="JHE166" s="146"/>
      <c r="JHF166" s="146"/>
      <c r="JHG166" s="146"/>
      <c r="JHH166" s="146"/>
      <c r="JHI166" s="146"/>
      <c r="JHJ166" s="146"/>
      <c r="JHK166" s="146"/>
      <c r="JHL166" s="146"/>
      <c r="JHM166" s="146"/>
      <c r="JHN166" s="146"/>
      <c r="JHO166" s="146"/>
      <c r="JHP166" s="146"/>
      <c r="JHQ166" s="146"/>
      <c r="JHR166" s="146"/>
      <c r="JHS166" s="146"/>
      <c r="JHT166" s="146"/>
      <c r="JHU166" s="146"/>
      <c r="JHV166" s="146"/>
      <c r="JHW166" s="146"/>
      <c r="JHX166" s="146"/>
      <c r="JHY166" s="146"/>
      <c r="JHZ166" s="146"/>
      <c r="JIA166" s="146"/>
      <c r="JIB166" s="146"/>
      <c r="JIC166" s="146"/>
      <c r="JID166" s="146"/>
      <c r="JIE166" s="146"/>
      <c r="JIF166" s="146"/>
      <c r="JIG166" s="146"/>
      <c r="JIH166" s="146"/>
      <c r="JII166" s="146"/>
      <c r="JIJ166" s="146"/>
      <c r="JIK166" s="146"/>
      <c r="JIL166" s="146"/>
      <c r="JIM166" s="146"/>
      <c r="JIN166" s="146"/>
      <c r="JIO166" s="146"/>
      <c r="JIP166" s="146"/>
      <c r="JIQ166" s="146"/>
      <c r="JIR166" s="146"/>
      <c r="JIS166" s="146"/>
      <c r="JIT166" s="146"/>
      <c r="JIU166" s="146"/>
      <c r="JIV166" s="146"/>
      <c r="JIW166" s="146"/>
      <c r="JIX166" s="146"/>
      <c r="JIY166" s="146"/>
      <c r="JIZ166" s="146"/>
      <c r="JJA166" s="146"/>
      <c r="JJB166" s="146"/>
      <c r="JJC166" s="146"/>
      <c r="JJD166" s="146"/>
      <c r="JJE166" s="146"/>
      <c r="JJF166" s="146"/>
      <c r="JJG166" s="146"/>
      <c r="JJH166" s="146"/>
      <c r="JJI166" s="146"/>
      <c r="JJJ166" s="146"/>
      <c r="JJK166" s="146"/>
      <c r="JJL166" s="146"/>
      <c r="JJM166" s="146"/>
      <c r="JJN166" s="146"/>
      <c r="JJO166" s="146"/>
      <c r="JJP166" s="146"/>
      <c r="JJQ166" s="146"/>
      <c r="JJR166" s="146"/>
      <c r="JJS166" s="146"/>
      <c r="JJT166" s="146"/>
      <c r="JJU166" s="146"/>
      <c r="JJV166" s="146"/>
      <c r="JJW166" s="146"/>
      <c r="JJX166" s="146"/>
      <c r="JJY166" s="146"/>
      <c r="JJZ166" s="146"/>
      <c r="JKA166" s="146"/>
      <c r="JKB166" s="146"/>
      <c r="JKC166" s="146"/>
      <c r="JKD166" s="146"/>
      <c r="JKE166" s="146"/>
      <c r="JKF166" s="146"/>
      <c r="JKG166" s="146"/>
      <c r="JKH166" s="146"/>
      <c r="JKI166" s="146"/>
      <c r="JKJ166" s="146"/>
      <c r="JKK166" s="146"/>
      <c r="JKL166" s="146"/>
      <c r="JKM166" s="146"/>
      <c r="JKN166" s="146"/>
      <c r="JKO166" s="146"/>
      <c r="JKP166" s="146"/>
      <c r="JKQ166" s="146"/>
      <c r="JKR166" s="146"/>
      <c r="JKS166" s="146"/>
      <c r="JKT166" s="146"/>
      <c r="JKU166" s="146"/>
      <c r="JKV166" s="146"/>
      <c r="JKW166" s="146"/>
      <c r="JKX166" s="146"/>
      <c r="JKY166" s="146"/>
      <c r="JKZ166" s="146"/>
      <c r="JLA166" s="146"/>
      <c r="JLB166" s="146"/>
      <c r="JLC166" s="146"/>
      <c r="JLD166" s="146"/>
      <c r="JLE166" s="146"/>
      <c r="JLF166" s="146"/>
      <c r="JLG166" s="146"/>
      <c r="JLH166" s="146"/>
      <c r="JLI166" s="146"/>
      <c r="JLJ166" s="146"/>
      <c r="JLK166" s="146"/>
      <c r="JLL166" s="146"/>
      <c r="JLM166" s="146"/>
      <c r="JLN166" s="146"/>
      <c r="JLO166" s="146"/>
      <c r="JLP166" s="146"/>
      <c r="JLQ166" s="146"/>
      <c r="JLR166" s="146"/>
      <c r="JLS166" s="146"/>
      <c r="JLT166" s="146"/>
      <c r="JLU166" s="146"/>
      <c r="JLV166" s="146"/>
      <c r="JLW166" s="146"/>
      <c r="JLX166" s="146"/>
      <c r="JLY166" s="146"/>
      <c r="JLZ166" s="146"/>
      <c r="JMA166" s="146"/>
      <c r="JMB166" s="146"/>
      <c r="JMC166" s="146"/>
      <c r="JMD166" s="146"/>
      <c r="JME166" s="146"/>
      <c r="JMF166" s="146"/>
      <c r="JMG166" s="146"/>
      <c r="JMH166" s="146"/>
      <c r="JMI166" s="146"/>
      <c r="JMJ166" s="146"/>
      <c r="JMK166" s="146"/>
      <c r="JML166" s="146"/>
      <c r="JMM166" s="146"/>
      <c r="JMN166" s="146"/>
      <c r="JMO166" s="146"/>
      <c r="JMP166" s="146"/>
      <c r="JMQ166" s="146"/>
      <c r="JMR166" s="146"/>
      <c r="JMS166" s="146"/>
      <c r="JMT166" s="146"/>
      <c r="JMU166" s="146"/>
      <c r="JMV166" s="146"/>
      <c r="JMW166" s="146"/>
      <c r="JMX166" s="146"/>
      <c r="JMY166" s="146"/>
      <c r="JMZ166" s="146"/>
      <c r="JNA166" s="146"/>
      <c r="JNB166" s="146"/>
      <c r="JNC166" s="146"/>
      <c r="JND166" s="146"/>
      <c r="JNE166" s="146"/>
      <c r="JNF166" s="146"/>
      <c r="JNG166" s="146"/>
      <c r="JNH166" s="146"/>
      <c r="JNI166" s="146"/>
      <c r="JNJ166" s="146"/>
      <c r="JNK166" s="146"/>
      <c r="JNL166" s="146"/>
      <c r="JNM166" s="146"/>
      <c r="JNN166" s="146"/>
      <c r="JNO166" s="146"/>
      <c r="JNP166" s="146"/>
      <c r="JNQ166" s="146"/>
      <c r="JNR166" s="146"/>
      <c r="JNS166" s="146"/>
      <c r="JNT166" s="146"/>
      <c r="JNU166" s="146"/>
      <c r="JNV166" s="146"/>
      <c r="JNW166" s="146"/>
      <c r="JNX166" s="146"/>
      <c r="JNY166" s="146"/>
      <c r="JNZ166" s="146"/>
      <c r="JOA166" s="146"/>
      <c r="JOB166" s="146"/>
      <c r="JOC166" s="146"/>
      <c r="JOD166" s="146"/>
      <c r="JOE166" s="146"/>
      <c r="JOF166" s="146"/>
      <c r="JOG166" s="146"/>
      <c r="JOH166" s="146"/>
      <c r="JOI166" s="146"/>
      <c r="JOJ166" s="146"/>
      <c r="JOK166" s="146"/>
      <c r="JOL166" s="146"/>
      <c r="JOM166" s="146"/>
      <c r="JON166" s="146"/>
      <c r="JOO166" s="146"/>
      <c r="JOP166" s="146"/>
      <c r="JOQ166" s="146"/>
      <c r="JOR166" s="146"/>
      <c r="JOS166" s="146"/>
      <c r="JOT166" s="146"/>
      <c r="JOU166" s="146"/>
      <c r="JOV166" s="146"/>
      <c r="JOW166" s="146"/>
      <c r="JOX166" s="146"/>
      <c r="JOY166" s="146"/>
      <c r="JOZ166" s="146"/>
      <c r="JPA166" s="146"/>
      <c r="JPB166" s="146"/>
      <c r="JPC166" s="146"/>
      <c r="JPD166" s="146"/>
      <c r="JPE166" s="146"/>
      <c r="JPF166" s="146"/>
      <c r="JPG166" s="146"/>
      <c r="JPH166" s="146"/>
      <c r="JPI166" s="146"/>
      <c r="JPJ166" s="146"/>
      <c r="JPK166" s="146"/>
      <c r="JPL166" s="146"/>
      <c r="JPM166" s="146"/>
      <c r="JPN166" s="146"/>
      <c r="JPO166" s="146"/>
      <c r="JPP166" s="146"/>
      <c r="JPQ166" s="146"/>
      <c r="JPR166" s="146"/>
      <c r="JPS166" s="146"/>
      <c r="JPT166" s="146"/>
      <c r="JPU166" s="146"/>
      <c r="JPV166" s="146"/>
      <c r="JPW166" s="146"/>
      <c r="JPX166" s="146"/>
      <c r="JPY166" s="146"/>
      <c r="JPZ166" s="146"/>
      <c r="JQA166" s="146"/>
      <c r="JQB166" s="146"/>
      <c r="JQC166" s="146"/>
      <c r="JQD166" s="146"/>
      <c r="JQE166" s="146"/>
      <c r="JQF166" s="146"/>
      <c r="JQG166" s="146"/>
      <c r="JQH166" s="146"/>
      <c r="JQI166" s="146"/>
      <c r="JQJ166" s="146"/>
      <c r="JQK166" s="146"/>
      <c r="JQL166" s="146"/>
      <c r="JQM166" s="146"/>
      <c r="JQN166" s="146"/>
      <c r="JQO166" s="146"/>
      <c r="JQP166" s="146"/>
      <c r="JQQ166" s="146"/>
      <c r="JQR166" s="146"/>
      <c r="JQS166" s="146"/>
      <c r="JQT166" s="146"/>
      <c r="JQU166" s="146"/>
      <c r="JQV166" s="146"/>
      <c r="JQW166" s="146"/>
      <c r="JQX166" s="146"/>
      <c r="JQY166" s="146"/>
      <c r="JQZ166" s="146"/>
      <c r="JRA166" s="146"/>
      <c r="JRB166" s="146"/>
      <c r="JRC166" s="146"/>
      <c r="JRD166" s="146"/>
      <c r="JRE166" s="146"/>
      <c r="JRF166" s="146"/>
      <c r="JRG166" s="146"/>
      <c r="JRH166" s="146"/>
      <c r="JRI166" s="146"/>
      <c r="JRJ166" s="146"/>
      <c r="JRK166" s="146"/>
      <c r="JRL166" s="146"/>
      <c r="JRM166" s="146"/>
      <c r="JRN166" s="146"/>
      <c r="JRO166" s="146"/>
      <c r="JRP166" s="146"/>
      <c r="JRQ166" s="146"/>
      <c r="JRR166" s="146"/>
      <c r="JRS166" s="146"/>
      <c r="JRT166" s="146"/>
      <c r="JRU166" s="146"/>
      <c r="JRV166" s="146"/>
      <c r="JRW166" s="146"/>
      <c r="JRX166" s="146"/>
      <c r="JRY166" s="146"/>
      <c r="JRZ166" s="146"/>
      <c r="JSA166" s="146"/>
      <c r="JSB166" s="146"/>
      <c r="JSC166" s="146"/>
      <c r="JSD166" s="146"/>
      <c r="JSE166" s="146"/>
      <c r="JSF166" s="146"/>
      <c r="JSG166" s="146"/>
      <c r="JSH166" s="146"/>
      <c r="JSI166" s="146"/>
      <c r="JSJ166" s="146"/>
      <c r="JSK166" s="146"/>
      <c r="JSL166" s="146"/>
      <c r="JSM166" s="146"/>
      <c r="JSN166" s="146"/>
      <c r="JSO166" s="146"/>
      <c r="JSP166" s="146"/>
      <c r="JSQ166" s="146"/>
      <c r="JSR166" s="146"/>
      <c r="JSS166" s="146"/>
      <c r="JST166" s="146"/>
      <c r="JSU166" s="146"/>
      <c r="JSV166" s="146"/>
      <c r="JSW166" s="146"/>
      <c r="JSX166" s="146"/>
      <c r="JSY166" s="146"/>
      <c r="JSZ166" s="146"/>
      <c r="JTA166" s="146"/>
      <c r="JTB166" s="146"/>
      <c r="JTC166" s="146"/>
      <c r="JTD166" s="146"/>
      <c r="JTE166" s="146"/>
      <c r="JTF166" s="146"/>
      <c r="JTG166" s="146"/>
      <c r="JTH166" s="146"/>
      <c r="JTI166" s="146"/>
      <c r="JTJ166" s="146"/>
      <c r="JTK166" s="146"/>
      <c r="JTL166" s="146"/>
      <c r="JTM166" s="146"/>
      <c r="JTN166" s="146"/>
      <c r="JTO166" s="146"/>
      <c r="JTP166" s="146"/>
      <c r="JTQ166" s="146"/>
      <c r="JTR166" s="146"/>
      <c r="JTS166" s="146"/>
      <c r="JTT166" s="146"/>
      <c r="JTU166" s="146"/>
      <c r="JTV166" s="146"/>
      <c r="JTW166" s="146"/>
      <c r="JTX166" s="146"/>
      <c r="JTY166" s="146"/>
      <c r="JTZ166" s="146"/>
      <c r="JUA166" s="146"/>
      <c r="JUB166" s="146"/>
      <c r="JUC166" s="146"/>
      <c r="JUD166" s="146"/>
      <c r="JUE166" s="146"/>
      <c r="JUF166" s="146"/>
      <c r="JUG166" s="146"/>
      <c r="JUH166" s="146"/>
      <c r="JUI166" s="146"/>
      <c r="JUJ166" s="146"/>
      <c r="JUK166" s="146"/>
      <c r="JUL166" s="146"/>
      <c r="JUM166" s="146"/>
      <c r="JUN166" s="146"/>
      <c r="JUO166" s="146"/>
      <c r="JUP166" s="146"/>
      <c r="JUQ166" s="146"/>
      <c r="JUR166" s="146"/>
      <c r="JUS166" s="146"/>
      <c r="JUT166" s="146"/>
      <c r="JUU166" s="146"/>
      <c r="JUV166" s="146"/>
      <c r="JUW166" s="146"/>
      <c r="JUX166" s="146"/>
      <c r="JUY166" s="146"/>
      <c r="JUZ166" s="146"/>
      <c r="JVA166" s="146"/>
      <c r="JVB166" s="146"/>
      <c r="JVC166" s="146"/>
      <c r="JVD166" s="146"/>
      <c r="JVE166" s="146"/>
      <c r="JVF166" s="146"/>
      <c r="JVG166" s="146"/>
      <c r="JVH166" s="146"/>
      <c r="JVI166" s="146"/>
      <c r="JVJ166" s="146"/>
      <c r="JVK166" s="146"/>
      <c r="JVL166" s="146"/>
      <c r="JVM166" s="146"/>
      <c r="JVN166" s="146"/>
      <c r="JVO166" s="146"/>
      <c r="JVP166" s="146"/>
      <c r="JVQ166" s="146"/>
      <c r="JVR166" s="146"/>
      <c r="JVS166" s="146"/>
      <c r="JVT166" s="146"/>
      <c r="JVU166" s="146"/>
      <c r="JVV166" s="146"/>
      <c r="JVW166" s="146"/>
      <c r="JVX166" s="146"/>
      <c r="JVY166" s="146"/>
      <c r="JVZ166" s="146"/>
      <c r="JWA166" s="146"/>
      <c r="JWB166" s="146"/>
      <c r="JWC166" s="146"/>
      <c r="JWD166" s="146"/>
      <c r="JWE166" s="146"/>
      <c r="JWF166" s="146"/>
      <c r="JWG166" s="146"/>
      <c r="JWH166" s="146"/>
      <c r="JWI166" s="146"/>
      <c r="JWJ166" s="146"/>
      <c r="JWK166" s="146"/>
      <c r="JWL166" s="146"/>
      <c r="JWM166" s="146"/>
      <c r="JWN166" s="146"/>
      <c r="JWO166" s="146"/>
      <c r="JWP166" s="146"/>
      <c r="JWQ166" s="146"/>
      <c r="JWR166" s="146"/>
      <c r="JWS166" s="146"/>
      <c r="JWT166" s="146"/>
      <c r="JWU166" s="146"/>
      <c r="JWV166" s="146"/>
      <c r="JWW166" s="146"/>
      <c r="JWX166" s="146"/>
      <c r="JWY166" s="146"/>
      <c r="JWZ166" s="146"/>
      <c r="JXA166" s="146"/>
      <c r="JXB166" s="146"/>
      <c r="JXC166" s="146"/>
      <c r="JXD166" s="146"/>
      <c r="JXE166" s="146"/>
      <c r="JXF166" s="146"/>
      <c r="JXG166" s="146"/>
      <c r="JXH166" s="146"/>
      <c r="JXI166" s="146"/>
      <c r="JXJ166" s="146"/>
      <c r="JXK166" s="146"/>
      <c r="JXL166" s="146"/>
      <c r="JXM166" s="146"/>
      <c r="JXN166" s="146"/>
      <c r="JXO166" s="146"/>
      <c r="JXP166" s="146"/>
      <c r="JXQ166" s="146"/>
      <c r="JXR166" s="146"/>
      <c r="JXS166" s="146"/>
      <c r="JXT166" s="146"/>
      <c r="JXU166" s="146"/>
      <c r="JXV166" s="146"/>
      <c r="JXW166" s="146"/>
      <c r="JXX166" s="146"/>
      <c r="JXY166" s="146"/>
      <c r="JXZ166" s="146"/>
      <c r="JYA166" s="146"/>
      <c r="JYB166" s="146"/>
      <c r="JYC166" s="146"/>
      <c r="JYD166" s="146"/>
      <c r="JYE166" s="146"/>
      <c r="JYF166" s="146"/>
      <c r="JYG166" s="146"/>
      <c r="JYH166" s="146"/>
      <c r="JYI166" s="146"/>
      <c r="JYJ166" s="146"/>
      <c r="JYK166" s="146"/>
      <c r="JYL166" s="146"/>
      <c r="JYM166" s="146"/>
      <c r="JYN166" s="146"/>
      <c r="JYO166" s="146"/>
      <c r="JYP166" s="146"/>
      <c r="JYQ166" s="146"/>
      <c r="JYR166" s="146"/>
      <c r="JYS166" s="146"/>
      <c r="JYT166" s="146"/>
      <c r="JYU166" s="146"/>
      <c r="JYV166" s="146"/>
      <c r="JYW166" s="146"/>
      <c r="JYX166" s="146"/>
      <c r="JYY166" s="146"/>
      <c r="JYZ166" s="146"/>
      <c r="JZA166" s="146"/>
      <c r="JZB166" s="146"/>
      <c r="JZC166" s="146"/>
      <c r="JZD166" s="146"/>
      <c r="JZE166" s="146"/>
      <c r="JZF166" s="146"/>
      <c r="JZG166" s="146"/>
      <c r="JZH166" s="146"/>
      <c r="JZI166" s="146"/>
      <c r="JZJ166" s="146"/>
      <c r="JZK166" s="146"/>
      <c r="JZL166" s="146"/>
      <c r="JZM166" s="146"/>
      <c r="JZN166" s="146"/>
      <c r="JZO166" s="146"/>
      <c r="JZP166" s="146"/>
      <c r="JZQ166" s="146"/>
      <c r="JZR166" s="146"/>
      <c r="JZS166" s="146"/>
      <c r="JZT166" s="146"/>
      <c r="JZU166" s="146"/>
      <c r="JZV166" s="146"/>
      <c r="JZW166" s="146"/>
      <c r="JZX166" s="146"/>
      <c r="JZY166" s="146"/>
      <c r="JZZ166" s="146"/>
      <c r="KAA166" s="146"/>
      <c r="KAB166" s="146"/>
      <c r="KAC166" s="146"/>
      <c r="KAD166" s="146"/>
      <c r="KAE166" s="146"/>
      <c r="KAF166" s="146"/>
      <c r="KAG166" s="146"/>
      <c r="KAH166" s="146"/>
      <c r="KAI166" s="146"/>
      <c r="KAJ166" s="146"/>
      <c r="KAK166" s="146"/>
      <c r="KAL166" s="146"/>
      <c r="KAM166" s="146"/>
      <c r="KAN166" s="146"/>
      <c r="KAO166" s="146"/>
      <c r="KAP166" s="146"/>
      <c r="KAQ166" s="146"/>
      <c r="KAR166" s="146"/>
      <c r="KAS166" s="146"/>
      <c r="KAT166" s="146"/>
      <c r="KAU166" s="146"/>
      <c r="KAV166" s="146"/>
      <c r="KAW166" s="146"/>
      <c r="KAX166" s="146"/>
      <c r="KAY166" s="146"/>
      <c r="KAZ166" s="146"/>
      <c r="KBA166" s="146"/>
      <c r="KBB166" s="146"/>
      <c r="KBC166" s="146"/>
      <c r="KBD166" s="146"/>
      <c r="KBE166" s="146"/>
      <c r="KBF166" s="146"/>
      <c r="KBG166" s="146"/>
      <c r="KBH166" s="146"/>
      <c r="KBI166" s="146"/>
      <c r="KBJ166" s="146"/>
      <c r="KBK166" s="146"/>
      <c r="KBL166" s="146"/>
      <c r="KBM166" s="146"/>
      <c r="KBN166" s="146"/>
      <c r="KBO166" s="146"/>
      <c r="KBP166" s="146"/>
      <c r="KBQ166" s="146"/>
      <c r="KBR166" s="146"/>
      <c r="KBS166" s="146"/>
      <c r="KBT166" s="146"/>
      <c r="KBU166" s="146"/>
      <c r="KBV166" s="146"/>
      <c r="KBW166" s="146"/>
      <c r="KBX166" s="146"/>
      <c r="KBY166" s="146"/>
      <c r="KBZ166" s="146"/>
      <c r="KCA166" s="146"/>
      <c r="KCB166" s="146"/>
      <c r="KCC166" s="146"/>
      <c r="KCD166" s="146"/>
      <c r="KCE166" s="146"/>
      <c r="KCF166" s="146"/>
      <c r="KCG166" s="146"/>
      <c r="KCH166" s="146"/>
      <c r="KCI166" s="146"/>
      <c r="KCJ166" s="146"/>
      <c r="KCK166" s="146"/>
      <c r="KCL166" s="146"/>
      <c r="KCM166" s="146"/>
      <c r="KCN166" s="146"/>
      <c r="KCO166" s="146"/>
      <c r="KCP166" s="146"/>
      <c r="KCQ166" s="146"/>
      <c r="KCR166" s="146"/>
      <c r="KCS166" s="146"/>
      <c r="KCT166" s="146"/>
      <c r="KCU166" s="146"/>
      <c r="KCV166" s="146"/>
      <c r="KCW166" s="146"/>
      <c r="KCX166" s="146"/>
      <c r="KCY166" s="146"/>
      <c r="KCZ166" s="146"/>
      <c r="KDA166" s="146"/>
      <c r="KDB166" s="146"/>
      <c r="KDC166" s="146"/>
      <c r="KDD166" s="146"/>
      <c r="KDE166" s="146"/>
      <c r="KDF166" s="146"/>
      <c r="KDG166" s="146"/>
      <c r="KDH166" s="146"/>
      <c r="KDI166" s="146"/>
      <c r="KDJ166" s="146"/>
      <c r="KDK166" s="146"/>
      <c r="KDL166" s="146"/>
      <c r="KDM166" s="146"/>
      <c r="KDN166" s="146"/>
      <c r="KDO166" s="146"/>
      <c r="KDP166" s="146"/>
      <c r="KDQ166" s="146"/>
      <c r="KDR166" s="146"/>
      <c r="KDS166" s="146"/>
      <c r="KDT166" s="146"/>
      <c r="KDU166" s="146"/>
      <c r="KDV166" s="146"/>
      <c r="KDW166" s="146"/>
      <c r="KDX166" s="146"/>
      <c r="KDY166" s="146"/>
      <c r="KDZ166" s="146"/>
      <c r="KEA166" s="146"/>
      <c r="KEB166" s="146"/>
      <c r="KEC166" s="146"/>
      <c r="KED166" s="146"/>
      <c r="KEE166" s="146"/>
      <c r="KEF166" s="146"/>
      <c r="KEG166" s="146"/>
      <c r="KEH166" s="146"/>
      <c r="KEI166" s="146"/>
      <c r="KEJ166" s="146"/>
      <c r="KEK166" s="146"/>
      <c r="KEL166" s="146"/>
      <c r="KEM166" s="146"/>
      <c r="KEN166" s="146"/>
      <c r="KEO166" s="146"/>
      <c r="KEP166" s="146"/>
      <c r="KEQ166" s="146"/>
      <c r="KER166" s="146"/>
      <c r="KES166" s="146"/>
      <c r="KET166" s="146"/>
      <c r="KEU166" s="146"/>
      <c r="KEV166" s="146"/>
      <c r="KEW166" s="146"/>
      <c r="KEX166" s="146"/>
      <c r="KEY166" s="146"/>
      <c r="KEZ166" s="146"/>
      <c r="KFA166" s="146"/>
      <c r="KFB166" s="146"/>
      <c r="KFC166" s="146"/>
      <c r="KFD166" s="146"/>
      <c r="KFE166" s="146"/>
      <c r="KFF166" s="146"/>
      <c r="KFG166" s="146"/>
      <c r="KFH166" s="146"/>
      <c r="KFI166" s="146"/>
      <c r="KFJ166" s="146"/>
      <c r="KFK166" s="146"/>
      <c r="KFL166" s="146"/>
      <c r="KFM166" s="146"/>
      <c r="KFN166" s="146"/>
      <c r="KFO166" s="146"/>
      <c r="KFP166" s="146"/>
      <c r="KFQ166" s="146"/>
      <c r="KFR166" s="146"/>
      <c r="KFS166" s="146"/>
      <c r="KFT166" s="146"/>
      <c r="KFU166" s="146"/>
      <c r="KFV166" s="146"/>
      <c r="KFW166" s="146"/>
      <c r="KFX166" s="146"/>
      <c r="KFY166" s="146"/>
      <c r="KFZ166" s="146"/>
      <c r="KGA166" s="146"/>
      <c r="KGB166" s="146"/>
      <c r="KGC166" s="146"/>
      <c r="KGD166" s="146"/>
      <c r="KGE166" s="146"/>
      <c r="KGF166" s="146"/>
      <c r="KGG166" s="146"/>
      <c r="KGH166" s="146"/>
      <c r="KGI166" s="146"/>
      <c r="KGJ166" s="146"/>
      <c r="KGK166" s="146"/>
      <c r="KGL166" s="146"/>
      <c r="KGM166" s="146"/>
      <c r="KGN166" s="146"/>
      <c r="KGO166" s="146"/>
      <c r="KGP166" s="146"/>
      <c r="KGQ166" s="146"/>
      <c r="KGR166" s="146"/>
      <c r="KGS166" s="146"/>
      <c r="KGT166" s="146"/>
      <c r="KGU166" s="146"/>
      <c r="KGV166" s="146"/>
      <c r="KGW166" s="146"/>
      <c r="KGX166" s="146"/>
      <c r="KGY166" s="146"/>
      <c r="KGZ166" s="146"/>
      <c r="KHA166" s="146"/>
      <c r="KHB166" s="146"/>
      <c r="KHC166" s="146"/>
      <c r="KHD166" s="146"/>
      <c r="KHE166" s="146"/>
      <c r="KHF166" s="146"/>
      <c r="KHG166" s="146"/>
      <c r="KHH166" s="146"/>
      <c r="KHI166" s="146"/>
      <c r="KHJ166" s="146"/>
      <c r="KHK166" s="146"/>
      <c r="KHL166" s="146"/>
      <c r="KHM166" s="146"/>
      <c r="KHN166" s="146"/>
      <c r="KHO166" s="146"/>
      <c r="KHP166" s="146"/>
      <c r="KHQ166" s="146"/>
      <c r="KHR166" s="146"/>
      <c r="KHS166" s="146"/>
      <c r="KHT166" s="146"/>
      <c r="KHU166" s="146"/>
      <c r="KHV166" s="146"/>
      <c r="KHW166" s="146"/>
      <c r="KHX166" s="146"/>
      <c r="KHY166" s="146"/>
      <c r="KHZ166" s="146"/>
      <c r="KIA166" s="146"/>
      <c r="KIB166" s="146"/>
      <c r="KIC166" s="146"/>
      <c r="KID166" s="146"/>
      <c r="KIE166" s="146"/>
      <c r="KIF166" s="146"/>
      <c r="KIG166" s="146"/>
      <c r="KIH166" s="146"/>
      <c r="KII166" s="146"/>
      <c r="KIJ166" s="146"/>
      <c r="KIK166" s="146"/>
      <c r="KIL166" s="146"/>
      <c r="KIM166" s="146"/>
      <c r="KIN166" s="146"/>
      <c r="KIO166" s="146"/>
      <c r="KIP166" s="146"/>
      <c r="KIQ166" s="146"/>
      <c r="KIR166" s="146"/>
      <c r="KIS166" s="146"/>
      <c r="KIT166" s="146"/>
      <c r="KIU166" s="146"/>
      <c r="KIV166" s="146"/>
      <c r="KIW166" s="146"/>
      <c r="KIX166" s="146"/>
      <c r="KIY166" s="146"/>
      <c r="KIZ166" s="146"/>
      <c r="KJA166" s="146"/>
      <c r="KJB166" s="146"/>
      <c r="KJC166" s="146"/>
      <c r="KJD166" s="146"/>
      <c r="KJE166" s="146"/>
      <c r="KJF166" s="146"/>
      <c r="KJG166" s="146"/>
      <c r="KJH166" s="146"/>
      <c r="KJI166" s="146"/>
      <c r="KJJ166" s="146"/>
      <c r="KJK166" s="146"/>
      <c r="KJL166" s="146"/>
      <c r="KJM166" s="146"/>
      <c r="KJN166" s="146"/>
      <c r="KJO166" s="146"/>
      <c r="KJP166" s="146"/>
      <c r="KJQ166" s="146"/>
      <c r="KJR166" s="146"/>
      <c r="KJS166" s="146"/>
      <c r="KJT166" s="146"/>
      <c r="KJU166" s="146"/>
      <c r="KJV166" s="146"/>
      <c r="KJW166" s="146"/>
      <c r="KJX166" s="146"/>
      <c r="KJY166" s="146"/>
      <c r="KJZ166" s="146"/>
      <c r="KKA166" s="146"/>
      <c r="KKB166" s="146"/>
      <c r="KKC166" s="146"/>
      <c r="KKD166" s="146"/>
      <c r="KKE166" s="146"/>
      <c r="KKF166" s="146"/>
      <c r="KKG166" s="146"/>
      <c r="KKH166" s="146"/>
      <c r="KKI166" s="146"/>
      <c r="KKJ166" s="146"/>
      <c r="KKK166" s="146"/>
      <c r="KKL166" s="146"/>
      <c r="KKM166" s="146"/>
      <c r="KKN166" s="146"/>
      <c r="KKO166" s="146"/>
      <c r="KKP166" s="146"/>
      <c r="KKQ166" s="146"/>
      <c r="KKR166" s="146"/>
      <c r="KKS166" s="146"/>
      <c r="KKT166" s="146"/>
      <c r="KKU166" s="146"/>
      <c r="KKV166" s="146"/>
      <c r="KKW166" s="146"/>
      <c r="KKX166" s="146"/>
      <c r="KKY166" s="146"/>
      <c r="KKZ166" s="146"/>
      <c r="KLA166" s="146"/>
      <c r="KLB166" s="146"/>
      <c r="KLC166" s="146"/>
      <c r="KLD166" s="146"/>
      <c r="KLE166" s="146"/>
      <c r="KLF166" s="146"/>
      <c r="KLG166" s="146"/>
      <c r="KLH166" s="146"/>
      <c r="KLI166" s="146"/>
      <c r="KLJ166" s="146"/>
      <c r="KLK166" s="146"/>
      <c r="KLL166" s="146"/>
      <c r="KLM166" s="146"/>
      <c r="KLN166" s="146"/>
      <c r="KLO166" s="146"/>
      <c r="KLP166" s="146"/>
      <c r="KLQ166" s="146"/>
      <c r="KLR166" s="146"/>
      <c r="KLS166" s="146"/>
      <c r="KLT166" s="146"/>
      <c r="KLU166" s="146"/>
      <c r="KLV166" s="146"/>
      <c r="KLW166" s="146"/>
      <c r="KLX166" s="146"/>
      <c r="KLY166" s="146"/>
      <c r="KLZ166" s="146"/>
      <c r="KMA166" s="146"/>
      <c r="KMB166" s="146"/>
      <c r="KMC166" s="146"/>
      <c r="KMD166" s="146"/>
      <c r="KME166" s="146"/>
      <c r="KMF166" s="146"/>
      <c r="KMG166" s="146"/>
      <c r="KMH166" s="146"/>
      <c r="KMI166" s="146"/>
      <c r="KMJ166" s="146"/>
      <c r="KMK166" s="146"/>
      <c r="KML166" s="146"/>
      <c r="KMM166" s="146"/>
      <c r="KMN166" s="146"/>
      <c r="KMO166" s="146"/>
      <c r="KMP166" s="146"/>
      <c r="KMQ166" s="146"/>
      <c r="KMR166" s="146"/>
      <c r="KMS166" s="146"/>
      <c r="KMT166" s="146"/>
      <c r="KMU166" s="146"/>
      <c r="KMV166" s="146"/>
      <c r="KMW166" s="146"/>
      <c r="KMX166" s="146"/>
      <c r="KMY166" s="146"/>
      <c r="KMZ166" s="146"/>
      <c r="KNA166" s="146"/>
      <c r="KNB166" s="146"/>
      <c r="KNC166" s="146"/>
      <c r="KND166" s="146"/>
      <c r="KNE166" s="146"/>
      <c r="KNF166" s="146"/>
      <c r="KNG166" s="146"/>
      <c r="KNH166" s="146"/>
      <c r="KNI166" s="146"/>
      <c r="KNJ166" s="146"/>
      <c r="KNK166" s="146"/>
      <c r="KNL166" s="146"/>
      <c r="KNM166" s="146"/>
      <c r="KNN166" s="146"/>
      <c r="KNO166" s="146"/>
      <c r="KNP166" s="146"/>
      <c r="KNQ166" s="146"/>
      <c r="KNR166" s="146"/>
      <c r="KNS166" s="146"/>
      <c r="KNT166" s="146"/>
      <c r="KNU166" s="146"/>
      <c r="KNV166" s="146"/>
      <c r="KNW166" s="146"/>
      <c r="KNX166" s="146"/>
      <c r="KNY166" s="146"/>
      <c r="KNZ166" s="146"/>
      <c r="KOA166" s="146"/>
      <c r="KOB166" s="146"/>
      <c r="KOC166" s="146"/>
      <c r="KOD166" s="146"/>
      <c r="KOE166" s="146"/>
      <c r="KOF166" s="146"/>
      <c r="KOG166" s="146"/>
      <c r="KOH166" s="146"/>
      <c r="KOI166" s="146"/>
      <c r="KOJ166" s="146"/>
      <c r="KOK166" s="146"/>
      <c r="KOL166" s="146"/>
      <c r="KOM166" s="146"/>
      <c r="KON166" s="146"/>
      <c r="KOO166" s="146"/>
      <c r="KOP166" s="146"/>
      <c r="KOQ166" s="146"/>
      <c r="KOR166" s="146"/>
      <c r="KOS166" s="146"/>
      <c r="KOT166" s="146"/>
      <c r="KOU166" s="146"/>
      <c r="KOV166" s="146"/>
      <c r="KOW166" s="146"/>
      <c r="KOX166" s="146"/>
      <c r="KOY166" s="146"/>
      <c r="KOZ166" s="146"/>
      <c r="KPA166" s="146"/>
      <c r="KPB166" s="146"/>
      <c r="KPC166" s="146"/>
      <c r="KPD166" s="146"/>
      <c r="KPE166" s="146"/>
      <c r="KPF166" s="146"/>
      <c r="KPG166" s="146"/>
      <c r="KPH166" s="146"/>
      <c r="KPI166" s="146"/>
      <c r="KPJ166" s="146"/>
      <c r="KPK166" s="146"/>
      <c r="KPL166" s="146"/>
      <c r="KPM166" s="146"/>
      <c r="KPN166" s="146"/>
      <c r="KPO166" s="146"/>
      <c r="KPP166" s="146"/>
      <c r="KPQ166" s="146"/>
      <c r="KPR166" s="146"/>
      <c r="KPS166" s="146"/>
      <c r="KPT166" s="146"/>
      <c r="KPU166" s="146"/>
      <c r="KPV166" s="146"/>
      <c r="KPW166" s="146"/>
      <c r="KPX166" s="146"/>
      <c r="KPY166" s="146"/>
      <c r="KPZ166" s="146"/>
      <c r="KQA166" s="146"/>
      <c r="KQB166" s="146"/>
      <c r="KQC166" s="146"/>
      <c r="KQD166" s="146"/>
      <c r="KQE166" s="146"/>
      <c r="KQF166" s="146"/>
      <c r="KQG166" s="146"/>
      <c r="KQH166" s="146"/>
      <c r="KQI166" s="146"/>
      <c r="KQJ166" s="146"/>
      <c r="KQK166" s="146"/>
      <c r="KQL166" s="146"/>
      <c r="KQM166" s="146"/>
      <c r="KQN166" s="146"/>
      <c r="KQO166" s="146"/>
      <c r="KQP166" s="146"/>
      <c r="KQQ166" s="146"/>
      <c r="KQR166" s="146"/>
      <c r="KQS166" s="146"/>
      <c r="KQT166" s="146"/>
      <c r="KQU166" s="146"/>
      <c r="KQV166" s="146"/>
      <c r="KQW166" s="146"/>
      <c r="KQX166" s="146"/>
      <c r="KQY166" s="146"/>
      <c r="KQZ166" s="146"/>
      <c r="KRA166" s="146"/>
      <c r="KRB166" s="146"/>
      <c r="KRC166" s="146"/>
      <c r="KRD166" s="146"/>
      <c r="KRE166" s="146"/>
      <c r="KRF166" s="146"/>
      <c r="KRG166" s="146"/>
      <c r="KRH166" s="146"/>
      <c r="KRI166" s="146"/>
      <c r="KRJ166" s="146"/>
      <c r="KRK166" s="146"/>
      <c r="KRL166" s="146"/>
      <c r="KRM166" s="146"/>
      <c r="KRN166" s="146"/>
      <c r="KRO166" s="146"/>
      <c r="KRP166" s="146"/>
      <c r="KRQ166" s="146"/>
      <c r="KRR166" s="146"/>
      <c r="KRS166" s="146"/>
      <c r="KRT166" s="146"/>
      <c r="KRU166" s="146"/>
      <c r="KRV166" s="146"/>
      <c r="KRW166" s="146"/>
      <c r="KRX166" s="146"/>
      <c r="KRY166" s="146"/>
      <c r="KRZ166" s="146"/>
      <c r="KSA166" s="146"/>
      <c r="KSB166" s="146"/>
      <c r="KSC166" s="146"/>
      <c r="KSD166" s="146"/>
      <c r="KSE166" s="146"/>
      <c r="KSF166" s="146"/>
      <c r="KSG166" s="146"/>
      <c r="KSH166" s="146"/>
      <c r="KSI166" s="146"/>
      <c r="KSJ166" s="146"/>
      <c r="KSK166" s="146"/>
      <c r="KSL166" s="146"/>
      <c r="KSM166" s="146"/>
      <c r="KSN166" s="146"/>
      <c r="KSO166" s="146"/>
      <c r="KSP166" s="146"/>
      <c r="KSQ166" s="146"/>
      <c r="KSR166" s="146"/>
      <c r="KSS166" s="146"/>
      <c r="KST166" s="146"/>
      <c r="KSU166" s="146"/>
      <c r="KSV166" s="146"/>
      <c r="KSW166" s="146"/>
      <c r="KSX166" s="146"/>
      <c r="KSY166" s="146"/>
      <c r="KSZ166" s="146"/>
      <c r="KTA166" s="146"/>
      <c r="KTB166" s="146"/>
      <c r="KTC166" s="146"/>
      <c r="KTD166" s="146"/>
      <c r="KTE166" s="146"/>
      <c r="KTF166" s="146"/>
      <c r="KTG166" s="146"/>
      <c r="KTH166" s="146"/>
      <c r="KTI166" s="146"/>
      <c r="KTJ166" s="146"/>
      <c r="KTK166" s="146"/>
      <c r="KTL166" s="146"/>
      <c r="KTM166" s="146"/>
      <c r="KTN166" s="146"/>
      <c r="KTO166" s="146"/>
      <c r="KTP166" s="146"/>
      <c r="KTQ166" s="146"/>
      <c r="KTR166" s="146"/>
      <c r="KTS166" s="146"/>
      <c r="KTT166" s="146"/>
      <c r="KTU166" s="146"/>
      <c r="KTV166" s="146"/>
      <c r="KTW166" s="146"/>
      <c r="KTX166" s="146"/>
      <c r="KTY166" s="146"/>
      <c r="KTZ166" s="146"/>
      <c r="KUA166" s="146"/>
      <c r="KUB166" s="146"/>
      <c r="KUC166" s="146"/>
      <c r="KUD166" s="146"/>
      <c r="KUE166" s="146"/>
      <c r="KUF166" s="146"/>
      <c r="KUG166" s="146"/>
      <c r="KUH166" s="146"/>
      <c r="KUI166" s="146"/>
      <c r="KUJ166" s="146"/>
      <c r="KUK166" s="146"/>
      <c r="KUL166" s="146"/>
      <c r="KUM166" s="146"/>
      <c r="KUN166" s="146"/>
      <c r="KUO166" s="146"/>
      <c r="KUP166" s="146"/>
      <c r="KUQ166" s="146"/>
      <c r="KUR166" s="146"/>
      <c r="KUS166" s="146"/>
      <c r="KUT166" s="146"/>
      <c r="KUU166" s="146"/>
      <c r="KUV166" s="146"/>
      <c r="KUW166" s="146"/>
      <c r="KUX166" s="146"/>
      <c r="KUY166" s="146"/>
      <c r="KUZ166" s="146"/>
      <c r="KVA166" s="146"/>
      <c r="KVB166" s="146"/>
      <c r="KVC166" s="146"/>
      <c r="KVD166" s="146"/>
      <c r="KVE166" s="146"/>
      <c r="KVF166" s="146"/>
      <c r="KVG166" s="146"/>
      <c r="KVH166" s="146"/>
      <c r="KVI166" s="146"/>
      <c r="KVJ166" s="146"/>
      <c r="KVK166" s="146"/>
      <c r="KVL166" s="146"/>
      <c r="KVM166" s="146"/>
      <c r="KVN166" s="146"/>
      <c r="KVO166" s="146"/>
      <c r="KVP166" s="146"/>
      <c r="KVQ166" s="146"/>
      <c r="KVR166" s="146"/>
      <c r="KVS166" s="146"/>
      <c r="KVT166" s="146"/>
      <c r="KVU166" s="146"/>
      <c r="KVV166" s="146"/>
      <c r="KVW166" s="146"/>
      <c r="KVX166" s="146"/>
      <c r="KVY166" s="146"/>
      <c r="KVZ166" s="146"/>
      <c r="KWA166" s="146"/>
      <c r="KWB166" s="146"/>
      <c r="KWC166" s="146"/>
      <c r="KWD166" s="146"/>
      <c r="KWE166" s="146"/>
      <c r="KWF166" s="146"/>
      <c r="KWG166" s="146"/>
      <c r="KWH166" s="146"/>
      <c r="KWI166" s="146"/>
      <c r="KWJ166" s="146"/>
      <c r="KWK166" s="146"/>
      <c r="KWL166" s="146"/>
      <c r="KWM166" s="146"/>
      <c r="KWN166" s="146"/>
      <c r="KWO166" s="146"/>
      <c r="KWP166" s="146"/>
      <c r="KWQ166" s="146"/>
      <c r="KWR166" s="146"/>
      <c r="KWS166" s="146"/>
      <c r="KWT166" s="146"/>
      <c r="KWU166" s="146"/>
      <c r="KWV166" s="146"/>
      <c r="KWW166" s="146"/>
      <c r="KWX166" s="146"/>
      <c r="KWY166" s="146"/>
      <c r="KWZ166" s="146"/>
      <c r="KXA166" s="146"/>
      <c r="KXB166" s="146"/>
      <c r="KXC166" s="146"/>
      <c r="KXD166" s="146"/>
      <c r="KXE166" s="146"/>
      <c r="KXF166" s="146"/>
      <c r="KXG166" s="146"/>
      <c r="KXH166" s="146"/>
      <c r="KXI166" s="146"/>
      <c r="KXJ166" s="146"/>
      <c r="KXK166" s="146"/>
      <c r="KXL166" s="146"/>
      <c r="KXM166" s="146"/>
      <c r="KXN166" s="146"/>
      <c r="KXO166" s="146"/>
      <c r="KXP166" s="146"/>
      <c r="KXQ166" s="146"/>
      <c r="KXR166" s="146"/>
      <c r="KXS166" s="146"/>
      <c r="KXT166" s="146"/>
      <c r="KXU166" s="146"/>
      <c r="KXV166" s="146"/>
      <c r="KXW166" s="146"/>
      <c r="KXX166" s="146"/>
      <c r="KXY166" s="146"/>
      <c r="KXZ166" s="146"/>
      <c r="KYA166" s="146"/>
      <c r="KYB166" s="146"/>
      <c r="KYC166" s="146"/>
      <c r="KYD166" s="146"/>
      <c r="KYE166" s="146"/>
      <c r="KYF166" s="146"/>
      <c r="KYG166" s="146"/>
      <c r="KYH166" s="146"/>
      <c r="KYI166" s="146"/>
      <c r="KYJ166" s="146"/>
      <c r="KYK166" s="146"/>
      <c r="KYL166" s="146"/>
      <c r="KYM166" s="146"/>
      <c r="KYN166" s="146"/>
      <c r="KYO166" s="146"/>
      <c r="KYP166" s="146"/>
      <c r="KYQ166" s="146"/>
      <c r="KYR166" s="146"/>
      <c r="KYS166" s="146"/>
      <c r="KYT166" s="146"/>
      <c r="KYU166" s="146"/>
      <c r="KYV166" s="146"/>
      <c r="KYW166" s="146"/>
      <c r="KYX166" s="146"/>
      <c r="KYY166" s="146"/>
      <c r="KYZ166" s="146"/>
      <c r="KZA166" s="146"/>
      <c r="KZB166" s="146"/>
      <c r="KZC166" s="146"/>
      <c r="KZD166" s="146"/>
      <c r="KZE166" s="146"/>
      <c r="KZF166" s="146"/>
      <c r="KZG166" s="146"/>
      <c r="KZH166" s="146"/>
      <c r="KZI166" s="146"/>
      <c r="KZJ166" s="146"/>
      <c r="KZK166" s="146"/>
      <c r="KZL166" s="146"/>
      <c r="KZM166" s="146"/>
      <c r="KZN166" s="146"/>
      <c r="KZO166" s="146"/>
      <c r="KZP166" s="146"/>
      <c r="KZQ166" s="146"/>
      <c r="KZR166" s="146"/>
      <c r="KZS166" s="146"/>
      <c r="KZT166" s="146"/>
      <c r="KZU166" s="146"/>
      <c r="KZV166" s="146"/>
      <c r="KZW166" s="146"/>
      <c r="KZX166" s="146"/>
      <c r="KZY166" s="146"/>
      <c r="KZZ166" s="146"/>
      <c r="LAA166" s="146"/>
      <c r="LAB166" s="146"/>
      <c r="LAC166" s="146"/>
      <c r="LAD166" s="146"/>
      <c r="LAE166" s="146"/>
      <c r="LAF166" s="146"/>
      <c r="LAG166" s="146"/>
      <c r="LAH166" s="146"/>
      <c r="LAI166" s="146"/>
      <c r="LAJ166" s="146"/>
      <c r="LAK166" s="146"/>
      <c r="LAL166" s="146"/>
      <c r="LAM166" s="146"/>
      <c r="LAN166" s="146"/>
      <c r="LAO166" s="146"/>
      <c r="LAP166" s="146"/>
      <c r="LAQ166" s="146"/>
      <c r="LAR166" s="146"/>
      <c r="LAS166" s="146"/>
      <c r="LAT166" s="146"/>
      <c r="LAU166" s="146"/>
      <c r="LAV166" s="146"/>
      <c r="LAW166" s="146"/>
      <c r="LAX166" s="146"/>
      <c r="LAY166" s="146"/>
      <c r="LAZ166" s="146"/>
      <c r="LBA166" s="146"/>
      <c r="LBB166" s="146"/>
      <c r="LBC166" s="146"/>
      <c r="LBD166" s="146"/>
      <c r="LBE166" s="146"/>
      <c r="LBF166" s="146"/>
      <c r="LBG166" s="146"/>
      <c r="LBH166" s="146"/>
      <c r="LBI166" s="146"/>
      <c r="LBJ166" s="146"/>
      <c r="LBK166" s="146"/>
      <c r="LBL166" s="146"/>
      <c r="LBM166" s="146"/>
      <c r="LBN166" s="146"/>
      <c r="LBO166" s="146"/>
      <c r="LBP166" s="146"/>
      <c r="LBQ166" s="146"/>
      <c r="LBR166" s="146"/>
      <c r="LBS166" s="146"/>
      <c r="LBT166" s="146"/>
      <c r="LBU166" s="146"/>
      <c r="LBV166" s="146"/>
      <c r="LBW166" s="146"/>
      <c r="LBX166" s="146"/>
      <c r="LBY166" s="146"/>
      <c r="LBZ166" s="146"/>
      <c r="LCA166" s="146"/>
      <c r="LCB166" s="146"/>
      <c r="LCC166" s="146"/>
      <c r="LCD166" s="146"/>
      <c r="LCE166" s="146"/>
      <c r="LCF166" s="146"/>
      <c r="LCG166" s="146"/>
      <c r="LCH166" s="146"/>
      <c r="LCI166" s="146"/>
      <c r="LCJ166" s="146"/>
      <c r="LCK166" s="146"/>
      <c r="LCL166" s="146"/>
      <c r="LCM166" s="146"/>
      <c r="LCN166" s="146"/>
      <c r="LCO166" s="146"/>
      <c r="LCP166" s="146"/>
      <c r="LCQ166" s="146"/>
      <c r="LCR166" s="146"/>
      <c r="LCS166" s="146"/>
      <c r="LCT166" s="146"/>
      <c r="LCU166" s="146"/>
      <c r="LCV166" s="146"/>
      <c r="LCW166" s="146"/>
      <c r="LCX166" s="146"/>
      <c r="LCY166" s="146"/>
      <c r="LCZ166" s="146"/>
      <c r="LDA166" s="146"/>
      <c r="LDB166" s="146"/>
      <c r="LDC166" s="146"/>
      <c r="LDD166" s="146"/>
      <c r="LDE166" s="146"/>
      <c r="LDF166" s="146"/>
      <c r="LDG166" s="146"/>
      <c r="LDH166" s="146"/>
      <c r="LDI166" s="146"/>
      <c r="LDJ166" s="146"/>
      <c r="LDK166" s="146"/>
      <c r="LDL166" s="146"/>
      <c r="LDM166" s="146"/>
      <c r="LDN166" s="146"/>
      <c r="LDO166" s="146"/>
      <c r="LDP166" s="146"/>
      <c r="LDQ166" s="146"/>
      <c r="LDR166" s="146"/>
      <c r="LDS166" s="146"/>
      <c r="LDT166" s="146"/>
      <c r="LDU166" s="146"/>
      <c r="LDV166" s="146"/>
      <c r="LDW166" s="146"/>
      <c r="LDX166" s="146"/>
      <c r="LDY166" s="146"/>
      <c r="LDZ166" s="146"/>
      <c r="LEA166" s="146"/>
      <c r="LEB166" s="146"/>
      <c r="LEC166" s="146"/>
      <c r="LED166" s="146"/>
      <c r="LEE166" s="146"/>
      <c r="LEF166" s="146"/>
      <c r="LEG166" s="146"/>
      <c r="LEH166" s="146"/>
      <c r="LEI166" s="146"/>
      <c r="LEJ166" s="146"/>
      <c r="LEK166" s="146"/>
      <c r="LEL166" s="146"/>
      <c r="LEM166" s="146"/>
      <c r="LEN166" s="146"/>
      <c r="LEO166" s="146"/>
      <c r="LEP166" s="146"/>
      <c r="LEQ166" s="146"/>
      <c r="LER166" s="146"/>
      <c r="LES166" s="146"/>
      <c r="LET166" s="146"/>
      <c r="LEU166" s="146"/>
      <c r="LEV166" s="146"/>
      <c r="LEW166" s="146"/>
      <c r="LEX166" s="146"/>
      <c r="LEY166" s="146"/>
      <c r="LEZ166" s="146"/>
      <c r="LFA166" s="146"/>
      <c r="LFB166" s="146"/>
      <c r="LFC166" s="146"/>
      <c r="LFD166" s="146"/>
      <c r="LFE166" s="146"/>
      <c r="LFF166" s="146"/>
      <c r="LFG166" s="146"/>
      <c r="LFH166" s="146"/>
      <c r="LFI166" s="146"/>
      <c r="LFJ166" s="146"/>
      <c r="LFK166" s="146"/>
      <c r="LFL166" s="146"/>
      <c r="LFM166" s="146"/>
      <c r="LFN166" s="146"/>
      <c r="LFO166" s="146"/>
      <c r="LFP166" s="146"/>
      <c r="LFQ166" s="146"/>
      <c r="LFR166" s="146"/>
      <c r="LFS166" s="146"/>
      <c r="LFT166" s="146"/>
      <c r="LFU166" s="146"/>
      <c r="LFV166" s="146"/>
      <c r="LFW166" s="146"/>
      <c r="LFX166" s="146"/>
      <c r="LFY166" s="146"/>
      <c r="LFZ166" s="146"/>
      <c r="LGA166" s="146"/>
      <c r="LGB166" s="146"/>
      <c r="LGC166" s="146"/>
      <c r="LGD166" s="146"/>
      <c r="LGE166" s="146"/>
      <c r="LGF166" s="146"/>
      <c r="LGG166" s="146"/>
      <c r="LGH166" s="146"/>
      <c r="LGI166" s="146"/>
      <c r="LGJ166" s="146"/>
      <c r="LGK166" s="146"/>
      <c r="LGL166" s="146"/>
      <c r="LGM166" s="146"/>
      <c r="LGN166" s="146"/>
      <c r="LGO166" s="146"/>
      <c r="LGP166" s="146"/>
      <c r="LGQ166" s="146"/>
      <c r="LGR166" s="146"/>
      <c r="LGS166" s="146"/>
      <c r="LGT166" s="146"/>
      <c r="LGU166" s="146"/>
      <c r="LGV166" s="146"/>
      <c r="LGW166" s="146"/>
      <c r="LGX166" s="146"/>
      <c r="LGY166" s="146"/>
      <c r="LGZ166" s="146"/>
      <c r="LHA166" s="146"/>
      <c r="LHB166" s="146"/>
      <c r="LHC166" s="146"/>
      <c r="LHD166" s="146"/>
      <c r="LHE166" s="146"/>
      <c r="LHF166" s="146"/>
      <c r="LHG166" s="146"/>
      <c r="LHH166" s="146"/>
      <c r="LHI166" s="146"/>
      <c r="LHJ166" s="146"/>
      <c r="LHK166" s="146"/>
      <c r="LHL166" s="146"/>
      <c r="LHM166" s="146"/>
      <c r="LHN166" s="146"/>
      <c r="LHO166" s="146"/>
      <c r="LHP166" s="146"/>
      <c r="LHQ166" s="146"/>
      <c r="LHR166" s="146"/>
      <c r="LHS166" s="146"/>
      <c r="LHT166" s="146"/>
      <c r="LHU166" s="146"/>
      <c r="LHV166" s="146"/>
      <c r="LHW166" s="146"/>
      <c r="LHX166" s="146"/>
      <c r="LHY166" s="146"/>
      <c r="LHZ166" s="146"/>
      <c r="LIA166" s="146"/>
      <c r="LIB166" s="146"/>
      <c r="LIC166" s="146"/>
      <c r="LID166" s="146"/>
      <c r="LIE166" s="146"/>
      <c r="LIF166" s="146"/>
      <c r="LIG166" s="146"/>
      <c r="LIH166" s="146"/>
      <c r="LII166" s="146"/>
      <c r="LIJ166" s="146"/>
      <c r="LIK166" s="146"/>
      <c r="LIL166" s="146"/>
      <c r="LIM166" s="146"/>
      <c r="LIN166" s="146"/>
      <c r="LIO166" s="146"/>
      <c r="LIP166" s="146"/>
      <c r="LIQ166" s="146"/>
      <c r="LIR166" s="146"/>
      <c r="LIS166" s="146"/>
      <c r="LIT166" s="146"/>
      <c r="LIU166" s="146"/>
      <c r="LIV166" s="146"/>
      <c r="LIW166" s="146"/>
      <c r="LIX166" s="146"/>
      <c r="LIY166" s="146"/>
      <c r="LIZ166" s="146"/>
      <c r="LJA166" s="146"/>
      <c r="LJB166" s="146"/>
      <c r="LJC166" s="146"/>
      <c r="LJD166" s="146"/>
      <c r="LJE166" s="146"/>
      <c r="LJF166" s="146"/>
      <c r="LJG166" s="146"/>
      <c r="LJH166" s="146"/>
      <c r="LJI166" s="146"/>
      <c r="LJJ166" s="146"/>
      <c r="LJK166" s="146"/>
      <c r="LJL166" s="146"/>
      <c r="LJM166" s="146"/>
      <c r="LJN166" s="146"/>
      <c r="LJO166" s="146"/>
      <c r="LJP166" s="146"/>
      <c r="LJQ166" s="146"/>
      <c r="LJR166" s="146"/>
      <c r="LJS166" s="146"/>
      <c r="LJT166" s="146"/>
      <c r="LJU166" s="146"/>
      <c r="LJV166" s="146"/>
      <c r="LJW166" s="146"/>
      <c r="LJX166" s="146"/>
      <c r="LJY166" s="146"/>
      <c r="LJZ166" s="146"/>
      <c r="LKA166" s="146"/>
      <c r="LKB166" s="146"/>
      <c r="LKC166" s="146"/>
      <c r="LKD166" s="146"/>
      <c r="LKE166" s="146"/>
      <c r="LKF166" s="146"/>
      <c r="LKG166" s="146"/>
      <c r="LKH166" s="146"/>
      <c r="LKI166" s="146"/>
      <c r="LKJ166" s="146"/>
      <c r="LKK166" s="146"/>
      <c r="LKL166" s="146"/>
      <c r="LKM166" s="146"/>
      <c r="LKN166" s="146"/>
      <c r="LKO166" s="146"/>
      <c r="LKP166" s="146"/>
      <c r="LKQ166" s="146"/>
      <c r="LKR166" s="146"/>
      <c r="LKS166" s="146"/>
      <c r="LKT166" s="146"/>
      <c r="LKU166" s="146"/>
      <c r="LKV166" s="146"/>
      <c r="LKW166" s="146"/>
      <c r="LKX166" s="146"/>
      <c r="LKY166" s="146"/>
      <c r="LKZ166" s="146"/>
      <c r="LLA166" s="146"/>
      <c r="LLB166" s="146"/>
      <c r="LLC166" s="146"/>
      <c r="LLD166" s="146"/>
      <c r="LLE166" s="146"/>
      <c r="LLF166" s="146"/>
      <c r="LLG166" s="146"/>
      <c r="LLH166" s="146"/>
      <c r="LLI166" s="146"/>
      <c r="LLJ166" s="146"/>
      <c r="LLK166" s="146"/>
      <c r="LLL166" s="146"/>
      <c r="LLM166" s="146"/>
      <c r="LLN166" s="146"/>
      <c r="LLO166" s="146"/>
      <c r="LLP166" s="146"/>
      <c r="LLQ166" s="146"/>
      <c r="LLR166" s="146"/>
      <c r="LLS166" s="146"/>
      <c r="LLT166" s="146"/>
      <c r="LLU166" s="146"/>
      <c r="LLV166" s="146"/>
      <c r="LLW166" s="146"/>
      <c r="LLX166" s="146"/>
      <c r="LLY166" s="146"/>
      <c r="LLZ166" s="146"/>
      <c r="LMA166" s="146"/>
      <c r="LMB166" s="146"/>
      <c r="LMC166" s="146"/>
      <c r="LMD166" s="146"/>
      <c r="LME166" s="146"/>
      <c r="LMF166" s="146"/>
      <c r="LMG166" s="146"/>
      <c r="LMH166" s="146"/>
      <c r="LMI166" s="146"/>
      <c r="LMJ166" s="146"/>
      <c r="LMK166" s="146"/>
      <c r="LML166" s="146"/>
      <c r="LMM166" s="146"/>
      <c r="LMN166" s="146"/>
      <c r="LMO166" s="146"/>
      <c r="LMP166" s="146"/>
      <c r="LMQ166" s="146"/>
      <c r="LMR166" s="146"/>
      <c r="LMS166" s="146"/>
      <c r="LMT166" s="146"/>
      <c r="LMU166" s="146"/>
      <c r="LMV166" s="146"/>
      <c r="LMW166" s="146"/>
      <c r="LMX166" s="146"/>
      <c r="LMY166" s="146"/>
      <c r="LMZ166" s="146"/>
      <c r="LNA166" s="146"/>
      <c r="LNB166" s="146"/>
      <c r="LNC166" s="146"/>
      <c r="LND166" s="146"/>
      <c r="LNE166" s="146"/>
      <c r="LNF166" s="146"/>
      <c r="LNG166" s="146"/>
      <c r="LNH166" s="146"/>
      <c r="LNI166" s="146"/>
      <c r="LNJ166" s="146"/>
      <c r="LNK166" s="146"/>
      <c r="LNL166" s="146"/>
      <c r="LNM166" s="146"/>
      <c r="LNN166" s="146"/>
      <c r="LNO166" s="146"/>
      <c r="LNP166" s="146"/>
      <c r="LNQ166" s="146"/>
      <c r="LNR166" s="146"/>
      <c r="LNS166" s="146"/>
      <c r="LNT166" s="146"/>
      <c r="LNU166" s="146"/>
      <c r="LNV166" s="146"/>
      <c r="LNW166" s="146"/>
      <c r="LNX166" s="146"/>
      <c r="LNY166" s="146"/>
      <c r="LNZ166" s="146"/>
      <c r="LOA166" s="146"/>
      <c r="LOB166" s="146"/>
      <c r="LOC166" s="146"/>
      <c r="LOD166" s="146"/>
      <c r="LOE166" s="146"/>
      <c r="LOF166" s="146"/>
      <c r="LOG166" s="146"/>
      <c r="LOH166" s="146"/>
      <c r="LOI166" s="146"/>
      <c r="LOJ166" s="146"/>
      <c r="LOK166" s="146"/>
      <c r="LOL166" s="146"/>
      <c r="LOM166" s="146"/>
      <c r="LON166" s="146"/>
      <c r="LOO166" s="146"/>
      <c r="LOP166" s="146"/>
      <c r="LOQ166" s="146"/>
      <c r="LOR166" s="146"/>
      <c r="LOS166" s="146"/>
      <c r="LOT166" s="146"/>
      <c r="LOU166" s="146"/>
      <c r="LOV166" s="146"/>
      <c r="LOW166" s="146"/>
      <c r="LOX166" s="146"/>
      <c r="LOY166" s="146"/>
      <c r="LOZ166" s="146"/>
      <c r="LPA166" s="146"/>
      <c r="LPB166" s="146"/>
      <c r="LPC166" s="146"/>
      <c r="LPD166" s="146"/>
      <c r="LPE166" s="146"/>
      <c r="LPF166" s="146"/>
      <c r="LPG166" s="146"/>
      <c r="LPH166" s="146"/>
      <c r="LPI166" s="146"/>
      <c r="LPJ166" s="146"/>
      <c r="LPK166" s="146"/>
      <c r="LPL166" s="146"/>
      <c r="LPM166" s="146"/>
      <c r="LPN166" s="146"/>
      <c r="LPO166" s="146"/>
      <c r="LPP166" s="146"/>
      <c r="LPQ166" s="146"/>
      <c r="LPR166" s="146"/>
      <c r="LPS166" s="146"/>
      <c r="LPT166" s="146"/>
      <c r="LPU166" s="146"/>
      <c r="LPV166" s="146"/>
      <c r="LPW166" s="146"/>
      <c r="LPX166" s="146"/>
      <c r="LPY166" s="146"/>
      <c r="LPZ166" s="146"/>
      <c r="LQA166" s="146"/>
      <c r="LQB166" s="146"/>
      <c r="LQC166" s="146"/>
      <c r="LQD166" s="146"/>
      <c r="LQE166" s="146"/>
      <c r="LQF166" s="146"/>
      <c r="LQG166" s="146"/>
      <c r="LQH166" s="146"/>
      <c r="LQI166" s="146"/>
      <c r="LQJ166" s="146"/>
      <c r="LQK166" s="146"/>
      <c r="LQL166" s="146"/>
      <c r="LQM166" s="146"/>
      <c r="LQN166" s="146"/>
      <c r="LQO166" s="146"/>
      <c r="LQP166" s="146"/>
      <c r="LQQ166" s="146"/>
      <c r="LQR166" s="146"/>
      <c r="LQS166" s="146"/>
      <c r="LQT166" s="146"/>
      <c r="LQU166" s="146"/>
      <c r="LQV166" s="146"/>
      <c r="LQW166" s="146"/>
      <c r="LQX166" s="146"/>
      <c r="LQY166" s="146"/>
      <c r="LQZ166" s="146"/>
      <c r="LRA166" s="146"/>
      <c r="LRB166" s="146"/>
      <c r="LRC166" s="146"/>
      <c r="LRD166" s="146"/>
      <c r="LRE166" s="146"/>
      <c r="LRF166" s="146"/>
      <c r="LRG166" s="146"/>
      <c r="LRH166" s="146"/>
      <c r="LRI166" s="146"/>
      <c r="LRJ166" s="146"/>
      <c r="LRK166" s="146"/>
      <c r="LRL166" s="146"/>
      <c r="LRM166" s="146"/>
      <c r="LRN166" s="146"/>
      <c r="LRO166" s="146"/>
      <c r="LRP166" s="146"/>
      <c r="LRQ166" s="146"/>
      <c r="LRR166" s="146"/>
      <c r="LRS166" s="146"/>
      <c r="LRT166" s="146"/>
      <c r="LRU166" s="146"/>
      <c r="LRV166" s="146"/>
      <c r="LRW166" s="146"/>
      <c r="LRX166" s="146"/>
      <c r="LRY166" s="146"/>
      <c r="LRZ166" s="146"/>
      <c r="LSA166" s="146"/>
      <c r="LSB166" s="146"/>
      <c r="LSC166" s="146"/>
      <c r="LSD166" s="146"/>
      <c r="LSE166" s="146"/>
      <c r="LSF166" s="146"/>
      <c r="LSG166" s="146"/>
      <c r="LSH166" s="146"/>
      <c r="LSI166" s="146"/>
      <c r="LSJ166" s="146"/>
      <c r="LSK166" s="146"/>
      <c r="LSL166" s="146"/>
      <c r="LSM166" s="146"/>
      <c r="LSN166" s="146"/>
      <c r="LSO166" s="146"/>
      <c r="LSP166" s="146"/>
      <c r="LSQ166" s="146"/>
      <c r="LSR166" s="146"/>
      <c r="LSS166" s="146"/>
      <c r="LST166" s="146"/>
      <c r="LSU166" s="146"/>
      <c r="LSV166" s="146"/>
      <c r="LSW166" s="146"/>
      <c r="LSX166" s="146"/>
      <c r="LSY166" s="146"/>
      <c r="LSZ166" s="146"/>
      <c r="LTA166" s="146"/>
      <c r="LTB166" s="146"/>
      <c r="LTC166" s="146"/>
      <c r="LTD166" s="146"/>
      <c r="LTE166" s="146"/>
      <c r="LTF166" s="146"/>
      <c r="LTG166" s="146"/>
      <c r="LTH166" s="146"/>
      <c r="LTI166" s="146"/>
      <c r="LTJ166" s="146"/>
      <c r="LTK166" s="146"/>
      <c r="LTL166" s="146"/>
      <c r="LTM166" s="146"/>
      <c r="LTN166" s="146"/>
      <c r="LTO166" s="146"/>
      <c r="LTP166" s="146"/>
      <c r="LTQ166" s="146"/>
      <c r="LTR166" s="146"/>
      <c r="LTS166" s="146"/>
      <c r="LTT166" s="146"/>
      <c r="LTU166" s="146"/>
      <c r="LTV166" s="146"/>
      <c r="LTW166" s="146"/>
      <c r="LTX166" s="146"/>
      <c r="LTY166" s="146"/>
      <c r="LTZ166" s="146"/>
      <c r="LUA166" s="146"/>
      <c r="LUB166" s="146"/>
      <c r="LUC166" s="146"/>
      <c r="LUD166" s="146"/>
      <c r="LUE166" s="146"/>
      <c r="LUF166" s="146"/>
      <c r="LUG166" s="146"/>
      <c r="LUH166" s="146"/>
      <c r="LUI166" s="146"/>
      <c r="LUJ166" s="146"/>
      <c r="LUK166" s="146"/>
      <c r="LUL166" s="146"/>
      <c r="LUM166" s="146"/>
      <c r="LUN166" s="146"/>
      <c r="LUO166" s="146"/>
      <c r="LUP166" s="146"/>
      <c r="LUQ166" s="146"/>
      <c r="LUR166" s="146"/>
      <c r="LUS166" s="146"/>
      <c r="LUT166" s="146"/>
      <c r="LUU166" s="146"/>
      <c r="LUV166" s="146"/>
      <c r="LUW166" s="146"/>
      <c r="LUX166" s="146"/>
      <c r="LUY166" s="146"/>
      <c r="LUZ166" s="146"/>
      <c r="LVA166" s="146"/>
      <c r="LVB166" s="146"/>
      <c r="LVC166" s="146"/>
      <c r="LVD166" s="146"/>
      <c r="LVE166" s="146"/>
      <c r="LVF166" s="146"/>
      <c r="LVG166" s="146"/>
      <c r="LVH166" s="146"/>
      <c r="LVI166" s="146"/>
      <c r="LVJ166" s="146"/>
      <c r="LVK166" s="146"/>
      <c r="LVL166" s="146"/>
      <c r="LVM166" s="146"/>
      <c r="LVN166" s="146"/>
      <c r="LVO166" s="146"/>
      <c r="LVP166" s="146"/>
      <c r="LVQ166" s="146"/>
      <c r="LVR166" s="146"/>
      <c r="LVS166" s="146"/>
      <c r="LVT166" s="146"/>
      <c r="LVU166" s="146"/>
      <c r="LVV166" s="146"/>
      <c r="LVW166" s="146"/>
      <c r="LVX166" s="146"/>
      <c r="LVY166" s="146"/>
      <c r="LVZ166" s="146"/>
      <c r="LWA166" s="146"/>
      <c r="LWB166" s="146"/>
      <c r="LWC166" s="146"/>
      <c r="LWD166" s="146"/>
      <c r="LWE166" s="146"/>
      <c r="LWF166" s="146"/>
      <c r="LWG166" s="146"/>
      <c r="LWH166" s="146"/>
      <c r="LWI166" s="146"/>
      <c r="LWJ166" s="146"/>
      <c r="LWK166" s="146"/>
      <c r="LWL166" s="146"/>
      <c r="LWM166" s="146"/>
      <c r="LWN166" s="146"/>
      <c r="LWO166" s="146"/>
      <c r="LWP166" s="146"/>
      <c r="LWQ166" s="146"/>
      <c r="LWR166" s="146"/>
      <c r="LWS166" s="146"/>
      <c r="LWT166" s="146"/>
      <c r="LWU166" s="146"/>
      <c r="LWV166" s="146"/>
      <c r="LWW166" s="146"/>
      <c r="LWX166" s="146"/>
      <c r="LWY166" s="146"/>
      <c r="LWZ166" s="146"/>
      <c r="LXA166" s="146"/>
      <c r="LXB166" s="146"/>
      <c r="LXC166" s="146"/>
      <c r="LXD166" s="146"/>
      <c r="LXE166" s="146"/>
      <c r="LXF166" s="146"/>
      <c r="LXG166" s="146"/>
      <c r="LXH166" s="146"/>
      <c r="LXI166" s="146"/>
      <c r="LXJ166" s="146"/>
      <c r="LXK166" s="146"/>
      <c r="LXL166" s="146"/>
      <c r="LXM166" s="146"/>
      <c r="LXN166" s="146"/>
      <c r="LXO166" s="146"/>
      <c r="LXP166" s="146"/>
      <c r="LXQ166" s="146"/>
      <c r="LXR166" s="146"/>
      <c r="LXS166" s="146"/>
      <c r="LXT166" s="146"/>
      <c r="LXU166" s="146"/>
      <c r="LXV166" s="146"/>
      <c r="LXW166" s="146"/>
      <c r="LXX166" s="146"/>
      <c r="LXY166" s="146"/>
      <c r="LXZ166" s="146"/>
      <c r="LYA166" s="146"/>
      <c r="LYB166" s="146"/>
      <c r="LYC166" s="146"/>
      <c r="LYD166" s="146"/>
      <c r="LYE166" s="146"/>
      <c r="LYF166" s="146"/>
      <c r="LYG166" s="146"/>
      <c r="LYH166" s="146"/>
      <c r="LYI166" s="146"/>
      <c r="LYJ166" s="146"/>
      <c r="LYK166" s="146"/>
      <c r="LYL166" s="146"/>
      <c r="LYM166" s="146"/>
      <c r="LYN166" s="146"/>
      <c r="LYO166" s="146"/>
      <c r="LYP166" s="146"/>
      <c r="LYQ166" s="146"/>
      <c r="LYR166" s="146"/>
      <c r="LYS166" s="146"/>
      <c r="LYT166" s="146"/>
      <c r="LYU166" s="146"/>
      <c r="LYV166" s="146"/>
      <c r="LYW166" s="146"/>
      <c r="LYX166" s="146"/>
      <c r="LYY166" s="146"/>
      <c r="LYZ166" s="146"/>
      <c r="LZA166" s="146"/>
      <c r="LZB166" s="146"/>
      <c r="LZC166" s="146"/>
      <c r="LZD166" s="146"/>
      <c r="LZE166" s="146"/>
      <c r="LZF166" s="146"/>
      <c r="LZG166" s="146"/>
      <c r="LZH166" s="146"/>
      <c r="LZI166" s="146"/>
      <c r="LZJ166" s="146"/>
      <c r="LZK166" s="146"/>
      <c r="LZL166" s="146"/>
      <c r="LZM166" s="146"/>
      <c r="LZN166" s="146"/>
      <c r="LZO166" s="146"/>
      <c r="LZP166" s="146"/>
      <c r="LZQ166" s="146"/>
      <c r="LZR166" s="146"/>
      <c r="LZS166" s="146"/>
      <c r="LZT166" s="146"/>
      <c r="LZU166" s="146"/>
      <c r="LZV166" s="146"/>
      <c r="LZW166" s="146"/>
      <c r="LZX166" s="146"/>
      <c r="LZY166" s="146"/>
      <c r="LZZ166" s="146"/>
      <c r="MAA166" s="146"/>
      <c r="MAB166" s="146"/>
      <c r="MAC166" s="146"/>
      <c r="MAD166" s="146"/>
      <c r="MAE166" s="146"/>
      <c r="MAF166" s="146"/>
      <c r="MAG166" s="146"/>
      <c r="MAH166" s="146"/>
      <c r="MAI166" s="146"/>
      <c r="MAJ166" s="146"/>
      <c r="MAK166" s="146"/>
      <c r="MAL166" s="146"/>
      <c r="MAM166" s="146"/>
      <c r="MAN166" s="146"/>
      <c r="MAO166" s="146"/>
      <c r="MAP166" s="146"/>
      <c r="MAQ166" s="146"/>
      <c r="MAR166" s="146"/>
      <c r="MAS166" s="146"/>
      <c r="MAT166" s="146"/>
      <c r="MAU166" s="146"/>
      <c r="MAV166" s="146"/>
      <c r="MAW166" s="146"/>
      <c r="MAX166" s="146"/>
      <c r="MAY166" s="146"/>
      <c r="MAZ166" s="146"/>
      <c r="MBA166" s="146"/>
      <c r="MBB166" s="146"/>
      <c r="MBC166" s="146"/>
      <c r="MBD166" s="146"/>
      <c r="MBE166" s="146"/>
      <c r="MBF166" s="146"/>
      <c r="MBG166" s="146"/>
      <c r="MBH166" s="146"/>
      <c r="MBI166" s="146"/>
      <c r="MBJ166" s="146"/>
      <c r="MBK166" s="146"/>
      <c r="MBL166" s="146"/>
      <c r="MBM166" s="146"/>
      <c r="MBN166" s="146"/>
      <c r="MBO166" s="146"/>
      <c r="MBP166" s="146"/>
      <c r="MBQ166" s="146"/>
      <c r="MBR166" s="146"/>
      <c r="MBS166" s="146"/>
      <c r="MBT166" s="146"/>
      <c r="MBU166" s="146"/>
      <c r="MBV166" s="146"/>
      <c r="MBW166" s="146"/>
      <c r="MBX166" s="146"/>
      <c r="MBY166" s="146"/>
      <c r="MBZ166" s="146"/>
      <c r="MCA166" s="146"/>
      <c r="MCB166" s="146"/>
      <c r="MCC166" s="146"/>
      <c r="MCD166" s="146"/>
      <c r="MCE166" s="146"/>
      <c r="MCF166" s="146"/>
      <c r="MCG166" s="146"/>
      <c r="MCH166" s="146"/>
      <c r="MCI166" s="146"/>
      <c r="MCJ166" s="146"/>
      <c r="MCK166" s="146"/>
      <c r="MCL166" s="146"/>
      <c r="MCM166" s="146"/>
      <c r="MCN166" s="146"/>
      <c r="MCO166" s="146"/>
      <c r="MCP166" s="146"/>
      <c r="MCQ166" s="146"/>
      <c r="MCR166" s="146"/>
      <c r="MCS166" s="146"/>
      <c r="MCT166" s="146"/>
      <c r="MCU166" s="146"/>
      <c r="MCV166" s="146"/>
      <c r="MCW166" s="146"/>
      <c r="MCX166" s="146"/>
      <c r="MCY166" s="146"/>
      <c r="MCZ166" s="146"/>
      <c r="MDA166" s="146"/>
      <c r="MDB166" s="146"/>
      <c r="MDC166" s="146"/>
      <c r="MDD166" s="146"/>
      <c r="MDE166" s="146"/>
      <c r="MDF166" s="146"/>
      <c r="MDG166" s="146"/>
      <c r="MDH166" s="146"/>
      <c r="MDI166" s="146"/>
      <c r="MDJ166" s="146"/>
      <c r="MDK166" s="146"/>
      <c r="MDL166" s="146"/>
      <c r="MDM166" s="146"/>
      <c r="MDN166" s="146"/>
      <c r="MDO166" s="146"/>
      <c r="MDP166" s="146"/>
      <c r="MDQ166" s="146"/>
      <c r="MDR166" s="146"/>
      <c r="MDS166" s="146"/>
      <c r="MDT166" s="146"/>
      <c r="MDU166" s="146"/>
      <c r="MDV166" s="146"/>
      <c r="MDW166" s="146"/>
      <c r="MDX166" s="146"/>
      <c r="MDY166" s="146"/>
      <c r="MDZ166" s="146"/>
      <c r="MEA166" s="146"/>
      <c r="MEB166" s="146"/>
      <c r="MEC166" s="146"/>
      <c r="MED166" s="146"/>
      <c r="MEE166" s="146"/>
      <c r="MEF166" s="146"/>
      <c r="MEG166" s="146"/>
      <c r="MEH166" s="146"/>
      <c r="MEI166" s="146"/>
      <c r="MEJ166" s="146"/>
      <c r="MEK166" s="146"/>
      <c r="MEL166" s="146"/>
      <c r="MEM166" s="146"/>
      <c r="MEN166" s="146"/>
      <c r="MEO166" s="146"/>
      <c r="MEP166" s="146"/>
      <c r="MEQ166" s="146"/>
      <c r="MER166" s="146"/>
      <c r="MES166" s="146"/>
      <c r="MET166" s="146"/>
      <c r="MEU166" s="146"/>
      <c r="MEV166" s="146"/>
      <c r="MEW166" s="146"/>
      <c r="MEX166" s="146"/>
      <c r="MEY166" s="146"/>
      <c r="MEZ166" s="146"/>
      <c r="MFA166" s="146"/>
      <c r="MFB166" s="146"/>
      <c r="MFC166" s="146"/>
      <c r="MFD166" s="146"/>
      <c r="MFE166" s="146"/>
      <c r="MFF166" s="146"/>
      <c r="MFG166" s="146"/>
      <c r="MFH166" s="146"/>
      <c r="MFI166" s="146"/>
      <c r="MFJ166" s="146"/>
      <c r="MFK166" s="146"/>
      <c r="MFL166" s="146"/>
      <c r="MFM166" s="146"/>
      <c r="MFN166" s="146"/>
      <c r="MFO166" s="146"/>
      <c r="MFP166" s="146"/>
      <c r="MFQ166" s="146"/>
      <c r="MFR166" s="146"/>
      <c r="MFS166" s="146"/>
      <c r="MFT166" s="146"/>
      <c r="MFU166" s="146"/>
      <c r="MFV166" s="146"/>
      <c r="MFW166" s="146"/>
      <c r="MFX166" s="146"/>
      <c r="MFY166" s="146"/>
      <c r="MFZ166" s="146"/>
      <c r="MGA166" s="146"/>
      <c r="MGB166" s="146"/>
      <c r="MGC166" s="146"/>
      <c r="MGD166" s="146"/>
      <c r="MGE166" s="146"/>
      <c r="MGF166" s="146"/>
      <c r="MGG166" s="146"/>
      <c r="MGH166" s="146"/>
      <c r="MGI166" s="146"/>
      <c r="MGJ166" s="146"/>
      <c r="MGK166" s="146"/>
      <c r="MGL166" s="146"/>
      <c r="MGM166" s="146"/>
      <c r="MGN166" s="146"/>
      <c r="MGO166" s="146"/>
      <c r="MGP166" s="146"/>
      <c r="MGQ166" s="146"/>
      <c r="MGR166" s="146"/>
      <c r="MGS166" s="146"/>
      <c r="MGT166" s="146"/>
      <c r="MGU166" s="146"/>
      <c r="MGV166" s="146"/>
      <c r="MGW166" s="146"/>
      <c r="MGX166" s="146"/>
      <c r="MGY166" s="146"/>
      <c r="MGZ166" s="146"/>
      <c r="MHA166" s="146"/>
      <c r="MHB166" s="146"/>
      <c r="MHC166" s="146"/>
      <c r="MHD166" s="146"/>
      <c r="MHE166" s="146"/>
      <c r="MHF166" s="146"/>
      <c r="MHG166" s="146"/>
      <c r="MHH166" s="146"/>
      <c r="MHI166" s="146"/>
      <c r="MHJ166" s="146"/>
      <c r="MHK166" s="146"/>
      <c r="MHL166" s="146"/>
      <c r="MHM166" s="146"/>
      <c r="MHN166" s="146"/>
      <c r="MHO166" s="146"/>
      <c r="MHP166" s="146"/>
      <c r="MHQ166" s="146"/>
      <c r="MHR166" s="146"/>
      <c r="MHS166" s="146"/>
      <c r="MHT166" s="146"/>
      <c r="MHU166" s="146"/>
      <c r="MHV166" s="146"/>
      <c r="MHW166" s="146"/>
      <c r="MHX166" s="146"/>
      <c r="MHY166" s="146"/>
      <c r="MHZ166" s="146"/>
      <c r="MIA166" s="146"/>
      <c r="MIB166" s="146"/>
      <c r="MIC166" s="146"/>
      <c r="MID166" s="146"/>
      <c r="MIE166" s="146"/>
      <c r="MIF166" s="146"/>
      <c r="MIG166" s="146"/>
      <c r="MIH166" s="146"/>
      <c r="MII166" s="146"/>
      <c r="MIJ166" s="146"/>
      <c r="MIK166" s="146"/>
      <c r="MIL166" s="146"/>
      <c r="MIM166" s="146"/>
      <c r="MIN166" s="146"/>
      <c r="MIO166" s="146"/>
      <c r="MIP166" s="146"/>
      <c r="MIQ166" s="146"/>
      <c r="MIR166" s="146"/>
      <c r="MIS166" s="146"/>
      <c r="MIT166" s="146"/>
      <c r="MIU166" s="146"/>
      <c r="MIV166" s="146"/>
      <c r="MIW166" s="146"/>
      <c r="MIX166" s="146"/>
      <c r="MIY166" s="146"/>
      <c r="MIZ166" s="146"/>
      <c r="MJA166" s="146"/>
      <c r="MJB166" s="146"/>
      <c r="MJC166" s="146"/>
      <c r="MJD166" s="146"/>
      <c r="MJE166" s="146"/>
      <c r="MJF166" s="146"/>
      <c r="MJG166" s="146"/>
      <c r="MJH166" s="146"/>
      <c r="MJI166" s="146"/>
      <c r="MJJ166" s="146"/>
      <c r="MJK166" s="146"/>
      <c r="MJL166" s="146"/>
      <c r="MJM166" s="146"/>
      <c r="MJN166" s="146"/>
      <c r="MJO166" s="146"/>
      <c r="MJP166" s="146"/>
      <c r="MJQ166" s="146"/>
      <c r="MJR166" s="146"/>
      <c r="MJS166" s="146"/>
      <c r="MJT166" s="146"/>
      <c r="MJU166" s="146"/>
      <c r="MJV166" s="146"/>
      <c r="MJW166" s="146"/>
      <c r="MJX166" s="146"/>
      <c r="MJY166" s="146"/>
      <c r="MJZ166" s="146"/>
      <c r="MKA166" s="146"/>
      <c r="MKB166" s="146"/>
      <c r="MKC166" s="146"/>
      <c r="MKD166" s="146"/>
      <c r="MKE166" s="146"/>
      <c r="MKF166" s="146"/>
      <c r="MKG166" s="146"/>
      <c r="MKH166" s="146"/>
      <c r="MKI166" s="146"/>
      <c r="MKJ166" s="146"/>
      <c r="MKK166" s="146"/>
      <c r="MKL166" s="146"/>
      <c r="MKM166" s="146"/>
      <c r="MKN166" s="146"/>
      <c r="MKO166" s="146"/>
      <c r="MKP166" s="146"/>
      <c r="MKQ166" s="146"/>
      <c r="MKR166" s="146"/>
      <c r="MKS166" s="146"/>
      <c r="MKT166" s="146"/>
      <c r="MKU166" s="146"/>
      <c r="MKV166" s="146"/>
      <c r="MKW166" s="146"/>
      <c r="MKX166" s="146"/>
      <c r="MKY166" s="146"/>
      <c r="MKZ166" s="146"/>
      <c r="MLA166" s="146"/>
      <c r="MLB166" s="146"/>
      <c r="MLC166" s="146"/>
      <c r="MLD166" s="146"/>
      <c r="MLE166" s="146"/>
      <c r="MLF166" s="146"/>
      <c r="MLG166" s="146"/>
      <c r="MLH166" s="146"/>
      <c r="MLI166" s="146"/>
      <c r="MLJ166" s="146"/>
      <c r="MLK166" s="146"/>
      <c r="MLL166" s="146"/>
      <c r="MLM166" s="146"/>
      <c r="MLN166" s="146"/>
      <c r="MLO166" s="146"/>
      <c r="MLP166" s="146"/>
      <c r="MLQ166" s="146"/>
      <c r="MLR166" s="146"/>
      <c r="MLS166" s="146"/>
      <c r="MLT166" s="146"/>
      <c r="MLU166" s="146"/>
      <c r="MLV166" s="146"/>
      <c r="MLW166" s="146"/>
      <c r="MLX166" s="146"/>
      <c r="MLY166" s="146"/>
      <c r="MLZ166" s="146"/>
      <c r="MMA166" s="146"/>
      <c r="MMB166" s="146"/>
      <c r="MMC166" s="146"/>
      <c r="MMD166" s="146"/>
      <c r="MME166" s="146"/>
      <c r="MMF166" s="146"/>
      <c r="MMG166" s="146"/>
      <c r="MMH166" s="146"/>
      <c r="MMI166" s="146"/>
      <c r="MMJ166" s="146"/>
      <c r="MMK166" s="146"/>
      <c r="MML166" s="146"/>
      <c r="MMM166" s="146"/>
      <c r="MMN166" s="146"/>
      <c r="MMO166" s="146"/>
      <c r="MMP166" s="146"/>
      <c r="MMQ166" s="146"/>
      <c r="MMR166" s="146"/>
      <c r="MMS166" s="146"/>
      <c r="MMT166" s="146"/>
      <c r="MMU166" s="146"/>
      <c r="MMV166" s="146"/>
      <c r="MMW166" s="146"/>
      <c r="MMX166" s="146"/>
      <c r="MMY166" s="146"/>
      <c r="MMZ166" s="146"/>
      <c r="MNA166" s="146"/>
      <c r="MNB166" s="146"/>
      <c r="MNC166" s="146"/>
      <c r="MND166" s="146"/>
      <c r="MNE166" s="146"/>
      <c r="MNF166" s="146"/>
      <c r="MNG166" s="146"/>
      <c r="MNH166" s="146"/>
      <c r="MNI166" s="146"/>
      <c r="MNJ166" s="146"/>
      <c r="MNK166" s="146"/>
      <c r="MNL166" s="146"/>
      <c r="MNM166" s="146"/>
      <c r="MNN166" s="146"/>
      <c r="MNO166" s="146"/>
      <c r="MNP166" s="146"/>
      <c r="MNQ166" s="146"/>
      <c r="MNR166" s="146"/>
      <c r="MNS166" s="146"/>
      <c r="MNT166" s="146"/>
      <c r="MNU166" s="146"/>
      <c r="MNV166" s="146"/>
      <c r="MNW166" s="146"/>
      <c r="MNX166" s="146"/>
      <c r="MNY166" s="146"/>
      <c r="MNZ166" s="146"/>
      <c r="MOA166" s="146"/>
      <c r="MOB166" s="146"/>
      <c r="MOC166" s="146"/>
      <c r="MOD166" s="146"/>
      <c r="MOE166" s="146"/>
      <c r="MOF166" s="146"/>
      <c r="MOG166" s="146"/>
      <c r="MOH166" s="146"/>
      <c r="MOI166" s="146"/>
      <c r="MOJ166" s="146"/>
      <c r="MOK166" s="146"/>
      <c r="MOL166" s="146"/>
      <c r="MOM166" s="146"/>
      <c r="MON166" s="146"/>
      <c r="MOO166" s="146"/>
      <c r="MOP166" s="146"/>
      <c r="MOQ166" s="146"/>
      <c r="MOR166" s="146"/>
      <c r="MOS166" s="146"/>
      <c r="MOT166" s="146"/>
      <c r="MOU166" s="146"/>
      <c r="MOV166" s="146"/>
      <c r="MOW166" s="146"/>
      <c r="MOX166" s="146"/>
      <c r="MOY166" s="146"/>
      <c r="MOZ166" s="146"/>
      <c r="MPA166" s="146"/>
      <c r="MPB166" s="146"/>
      <c r="MPC166" s="146"/>
      <c r="MPD166" s="146"/>
      <c r="MPE166" s="146"/>
      <c r="MPF166" s="146"/>
      <c r="MPG166" s="146"/>
      <c r="MPH166" s="146"/>
      <c r="MPI166" s="146"/>
      <c r="MPJ166" s="146"/>
      <c r="MPK166" s="146"/>
      <c r="MPL166" s="146"/>
      <c r="MPM166" s="146"/>
      <c r="MPN166" s="146"/>
      <c r="MPO166" s="146"/>
      <c r="MPP166" s="146"/>
      <c r="MPQ166" s="146"/>
      <c r="MPR166" s="146"/>
      <c r="MPS166" s="146"/>
      <c r="MPT166" s="146"/>
      <c r="MPU166" s="146"/>
      <c r="MPV166" s="146"/>
      <c r="MPW166" s="146"/>
      <c r="MPX166" s="146"/>
      <c r="MPY166" s="146"/>
      <c r="MPZ166" s="146"/>
      <c r="MQA166" s="146"/>
      <c r="MQB166" s="146"/>
      <c r="MQC166" s="146"/>
      <c r="MQD166" s="146"/>
      <c r="MQE166" s="146"/>
      <c r="MQF166" s="146"/>
      <c r="MQG166" s="146"/>
      <c r="MQH166" s="146"/>
      <c r="MQI166" s="146"/>
      <c r="MQJ166" s="146"/>
      <c r="MQK166" s="146"/>
      <c r="MQL166" s="146"/>
      <c r="MQM166" s="146"/>
      <c r="MQN166" s="146"/>
      <c r="MQO166" s="146"/>
      <c r="MQP166" s="146"/>
      <c r="MQQ166" s="146"/>
      <c r="MQR166" s="146"/>
      <c r="MQS166" s="146"/>
      <c r="MQT166" s="146"/>
      <c r="MQU166" s="146"/>
      <c r="MQV166" s="146"/>
      <c r="MQW166" s="146"/>
      <c r="MQX166" s="146"/>
      <c r="MQY166" s="146"/>
      <c r="MQZ166" s="146"/>
      <c r="MRA166" s="146"/>
      <c r="MRB166" s="146"/>
      <c r="MRC166" s="146"/>
      <c r="MRD166" s="146"/>
      <c r="MRE166" s="146"/>
      <c r="MRF166" s="146"/>
      <c r="MRG166" s="146"/>
      <c r="MRH166" s="146"/>
      <c r="MRI166" s="146"/>
      <c r="MRJ166" s="146"/>
      <c r="MRK166" s="146"/>
      <c r="MRL166" s="146"/>
      <c r="MRM166" s="146"/>
      <c r="MRN166" s="146"/>
      <c r="MRO166" s="146"/>
      <c r="MRP166" s="146"/>
      <c r="MRQ166" s="146"/>
      <c r="MRR166" s="146"/>
      <c r="MRS166" s="146"/>
      <c r="MRT166" s="146"/>
      <c r="MRU166" s="146"/>
      <c r="MRV166" s="146"/>
      <c r="MRW166" s="146"/>
      <c r="MRX166" s="146"/>
      <c r="MRY166" s="146"/>
      <c r="MRZ166" s="146"/>
      <c r="MSA166" s="146"/>
      <c r="MSB166" s="146"/>
      <c r="MSC166" s="146"/>
      <c r="MSD166" s="146"/>
      <c r="MSE166" s="146"/>
      <c r="MSF166" s="146"/>
      <c r="MSG166" s="146"/>
      <c r="MSH166" s="146"/>
      <c r="MSI166" s="146"/>
      <c r="MSJ166" s="146"/>
      <c r="MSK166" s="146"/>
      <c r="MSL166" s="146"/>
      <c r="MSM166" s="146"/>
      <c r="MSN166" s="146"/>
      <c r="MSO166" s="146"/>
      <c r="MSP166" s="146"/>
      <c r="MSQ166" s="146"/>
      <c r="MSR166" s="146"/>
      <c r="MSS166" s="146"/>
      <c r="MST166" s="146"/>
      <c r="MSU166" s="146"/>
      <c r="MSV166" s="146"/>
      <c r="MSW166" s="146"/>
      <c r="MSX166" s="146"/>
      <c r="MSY166" s="146"/>
      <c r="MSZ166" s="146"/>
      <c r="MTA166" s="146"/>
      <c r="MTB166" s="146"/>
      <c r="MTC166" s="146"/>
      <c r="MTD166" s="146"/>
      <c r="MTE166" s="146"/>
      <c r="MTF166" s="146"/>
      <c r="MTG166" s="146"/>
      <c r="MTH166" s="146"/>
      <c r="MTI166" s="146"/>
      <c r="MTJ166" s="146"/>
      <c r="MTK166" s="146"/>
      <c r="MTL166" s="146"/>
      <c r="MTM166" s="146"/>
      <c r="MTN166" s="146"/>
      <c r="MTO166" s="146"/>
      <c r="MTP166" s="146"/>
      <c r="MTQ166" s="146"/>
      <c r="MTR166" s="146"/>
      <c r="MTS166" s="146"/>
      <c r="MTT166" s="146"/>
      <c r="MTU166" s="146"/>
      <c r="MTV166" s="146"/>
      <c r="MTW166" s="146"/>
      <c r="MTX166" s="146"/>
      <c r="MTY166" s="146"/>
      <c r="MTZ166" s="146"/>
      <c r="MUA166" s="146"/>
      <c r="MUB166" s="146"/>
      <c r="MUC166" s="146"/>
      <c r="MUD166" s="146"/>
      <c r="MUE166" s="146"/>
      <c r="MUF166" s="146"/>
      <c r="MUG166" s="146"/>
      <c r="MUH166" s="146"/>
      <c r="MUI166" s="146"/>
      <c r="MUJ166" s="146"/>
      <c r="MUK166" s="146"/>
      <c r="MUL166" s="146"/>
      <c r="MUM166" s="146"/>
      <c r="MUN166" s="146"/>
      <c r="MUO166" s="146"/>
      <c r="MUP166" s="146"/>
      <c r="MUQ166" s="146"/>
      <c r="MUR166" s="146"/>
      <c r="MUS166" s="146"/>
      <c r="MUT166" s="146"/>
      <c r="MUU166" s="146"/>
      <c r="MUV166" s="146"/>
      <c r="MUW166" s="146"/>
      <c r="MUX166" s="146"/>
      <c r="MUY166" s="146"/>
      <c r="MUZ166" s="146"/>
      <c r="MVA166" s="146"/>
      <c r="MVB166" s="146"/>
      <c r="MVC166" s="146"/>
      <c r="MVD166" s="146"/>
      <c r="MVE166" s="146"/>
      <c r="MVF166" s="146"/>
      <c r="MVG166" s="146"/>
      <c r="MVH166" s="146"/>
      <c r="MVI166" s="146"/>
      <c r="MVJ166" s="146"/>
      <c r="MVK166" s="146"/>
      <c r="MVL166" s="146"/>
      <c r="MVM166" s="146"/>
      <c r="MVN166" s="146"/>
      <c r="MVO166" s="146"/>
      <c r="MVP166" s="146"/>
      <c r="MVQ166" s="146"/>
      <c r="MVR166" s="146"/>
      <c r="MVS166" s="146"/>
      <c r="MVT166" s="146"/>
      <c r="MVU166" s="146"/>
      <c r="MVV166" s="146"/>
      <c r="MVW166" s="146"/>
      <c r="MVX166" s="146"/>
      <c r="MVY166" s="146"/>
      <c r="MVZ166" s="146"/>
      <c r="MWA166" s="146"/>
      <c r="MWB166" s="146"/>
      <c r="MWC166" s="146"/>
      <c r="MWD166" s="146"/>
      <c r="MWE166" s="146"/>
      <c r="MWF166" s="146"/>
      <c r="MWG166" s="146"/>
      <c r="MWH166" s="146"/>
      <c r="MWI166" s="146"/>
      <c r="MWJ166" s="146"/>
      <c r="MWK166" s="146"/>
      <c r="MWL166" s="146"/>
      <c r="MWM166" s="146"/>
      <c r="MWN166" s="146"/>
      <c r="MWO166" s="146"/>
      <c r="MWP166" s="146"/>
      <c r="MWQ166" s="146"/>
      <c r="MWR166" s="146"/>
      <c r="MWS166" s="146"/>
      <c r="MWT166" s="146"/>
      <c r="MWU166" s="146"/>
      <c r="MWV166" s="146"/>
      <c r="MWW166" s="146"/>
      <c r="MWX166" s="146"/>
      <c r="MWY166" s="146"/>
      <c r="MWZ166" s="146"/>
      <c r="MXA166" s="146"/>
      <c r="MXB166" s="146"/>
      <c r="MXC166" s="146"/>
      <c r="MXD166" s="146"/>
      <c r="MXE166" s="146"/>
      <c r="MXF166" s="146"/>
      <c r="MXG166" s="146"/>
      <c r="MXH166" s="146"/>
      <c r="MXI166" s="146"/>
      <c r="MXJ166" s="146"/>
      <c r="MXK166" s="146"/>
      <c r="MXL166" s="146"/>
      <c r="MXM166" s="146"/>
      <c r="MXN166" s="146"/>
      <c r="MXO166" s="146"/>
      <c r="MXP166" s="146"/>
      <c r="MXQ166" s="146"/>
      <c r="MXR166" s="146"/>
      <c r="MXS166" s="146"/>
      <c r="MXT166" s="146"/>
      <c r="MXU166" s="146"/>
      <c r="MXV166" s="146"/>
      <c r="MXW166" s="146"/>
      <c r="MXX166" s="146"/>
      <c r="MXY166" s="146"/>
      <c r="MXZ166" s="146"/>
      <c r="MYA166" s="146"/>
      <c r="MYB166" s="146"/>
      <c r="MYC166" s="146"/>
      <c r="MYD166" s="146"/>
      <c r="MYE166" s="146"/>
      <c r="MYF166" s="146"/>
      <c r="MYG166" s="146"/>
      <c r="MYH166" s="146"/>
      <c r="MYI166" s="146"/>
      <c r="MYJ166" s="146"/>
      <c r="MYK166" s="146"/>
      <c r="MYL166" s="146"/>
      <c r="MYM166" s="146"/>
      <c r="MYN166" s="146"/>
      <c r="MYO166" s="146"/>
      <c r="MYP166" s="146"/>
      <c r="MYQ166" s="146"/>
      <c r="MYR166" s="146"/>
      <c r="MYS166" s="146"/>
      <c r="MYT166" s="146"/>
      <c r="MYU166" s="146"/>
      <c r="MYV166" s="146"/>
      <c r="MYW166" s="146"/>
      <c r="MYX166" s="146"/>
      <c r="MYY166" s="146"/>
      <c r="MYZ166" s="146"/>
      <c r="MZA166" s="146"/>
      <c r="MZB166" s="146"/>
      <c r="MZC166" s="146"/>
      <c r="MZD166" s="146"/>
      <c r="MZE166" s="146"/>
      <c r="MZF166" s="146"/>
      <c r="MZG166" s="146"/>
      <c r="MZH166" s="146"/>
      <c r="MZI166" s="146"/>
      <c r="MZJ166" s="146"/>
      <c r="MZK166" s="146"/>
      <c r="MZL166" s="146"/>
      <c r="MZM166" s="146"/>
      <c r="MZN166" s="146"/>
      <c r="MZO166" s="146"/>
      <c r="MZP166" s="146"/>
      <c r="MZQ166" s="146"/>
      <c r="MZR166" s="146"/>
      <c r="MZS166" s="146"/>
      <c r="MZT166" s="146"/>
      <c r="MZU166" s="146"/>
      <c r="MZV166" s="146"/>
      <c r="MZW166" s="146"/>
      <c r="MZX166" s="146"/>
      <c r="MZY166" s="146"/>
      <c r="MZZ166" s="146"/>
      <c r="NAA166" s="146"/>
      <c r="NAB166" s="146"/>
      <c r="NAC166" s="146"/>
      <c r="NAD166" s="146"/>
      <c r="NAE166" s="146"/>
      <c r="NAF166" s="146"/>
      <c r="NAG166" s="146"/>
      <c r="NAH166" s="146"/>
      <c r="NAI166" s="146"/>
      <c r="NAJ166" s="146"/>
      <c r="NAK166" s="146"/>
      <c r="NAL166" s="146"/>
      <c r="NAM166" s="146"/>
      <c r="NAN166" s="146"/>
      <c r="NAO166" s="146"/>
      <c r="NAP166" s="146"/>
      <c r="NAQ166" s="146"/>
      <c r="NAR166" s="146"/>
      <c r="NAS166" s="146"/>
      <c r="NAT166" s="146"/>
      <c r="NAU166" s="146"/>
      <c r="NAV166" s="146"/>
      <c r="NAW166" s="146"/>
      <c r="NAX166" s="146"/>
      <c r="NAY166" s="146"/>
      <c r="NAZ166" s="146"/>
      <c r="NBA166" s="146"/>
      <c r="NBB166" s="146"/>
      <c r="NBC166" s="146"/>
      <c r="NBD166" s="146"/>
      <c r="NBE166" s="146"/>
      <c r="NBF166" s="146"/>
      <c r="NBG166" s="146"/>
      <c r="NBH166" s="146"/>
      <c r="NBI166" s="146"/>
      <c r="NBJ166" s="146"/>
      <c r="NBK166" s="146"/>
      <c r="NBL166" s="146"/>
      <c r="NBM166" s="146"/>
      <c r="NBN166" s="146"/>
      <c r="NBO166" s="146"/>
      <c r="NBP166" s="146"/>
      <c r="NBQ166" s="146"/>
      <c r="NBR166" s="146"/>
      <c r="NBS166" s="146"/>
      <c r="NBT166" s="146"/>
      <c r="NBU166" s="146"/>
      <c r="NBV166" s="146"/>
      <c r="NBW166" s="146"/>
      <c r="NBX166" s="146"/>
      <c r="NBY166" s="146"/>
      <c r="NBZ166" s="146"/>
      <c r="NCA166" s="146"/>
      <c r="NCB166" s="146"/>
      <c r="NCC166" s="146"/>
      <c r="NCD166" s="146"/>
      <c r="NCE166" s="146"/>
      <c r="NCF166" s="146"/>
      <c r="NCG166" s="146"/>
      <c r="NCH166" s="146"/>
      <c r="NCI166" s="146"/>
      <c r="NCJ166" s="146"/>
      <c r="NCK166" s="146"/>
      <c r="NCL166" s="146"/>
      <c r="NCM166" s="146"/>
      <c r="NCN166" s="146"/>
      <c r="NCO166" s="146"/>
      <c r="NCP166" s="146"/>
      <c r="NCQ166" s="146"/>
      <c r="NCR166" s="146"/>
      <c r="NCS166" s="146"/>
      <c r="NCT166" s="146"/>
      <c r="NCU166" s="146"/>
      <c r="NCV166" s="146"/>
      <c r="NCW166" s="146"/>
      <c r="NCX166" s="146"/>
      <c r="NCY166" s="146"/>
      <c r="NCZ166" s="146"/>
      <c r="NDA166" s="146"/>
      <c r="NDB166" s="146"/>
      <c r="NDC166" s="146"/>
      <c r="NDD166" s="146"/>
      <c r="NDE166" s="146"/>
      <c r="NDF166" s="146"/>
      <c r="NDG166" s="146"/>
      <c r="NDH166" s="146"/>
      <c r="NDI166" s="146"/>
      <c r="NDJ166" s="146"/>
      <c r="NDK166" s="146"/>
      <c r="NDL166" s="146"/>
      <c r="NDM166" s="146"/>
      <c r="NDN166" s="146"/>
      <c r="NDO166" s="146"/>
      <c r="NDP166" s="146"/>
      <c r="NDQ166" s="146"/>
      <c r="NDR166" s="146"/>
      <c r="NDS166" s="146"/>
      <c r="NDT166" s="146"/>
      <c r="NDU166" s="146"/>
      <c r="NDV166" s="146"/>
      <c r="NDW166" s="146"/>
      <c r="NDX166" s="146"/>
      <c r="NDY166" s="146"/>
      <c r="NDZ166" s="146"/>
      <c r="NEA166" s="146"/>
      <c r="NEB166" s="146"/>
      <c r="NEC166" s="146"/>
      <c r="NED166" s="146"/>
      <c r="NEE166" s="146"/>
      <c r="NEF166" s="146"/>
      <c r="NEG166" s="146"/>
      <c r="NEH166" s="146"/>
      <c r="NEI166" s="146"/>
      <c r="NEJ166" s="146"/>
      <c r="NEK166" s="146"/>
      <c r="NEL166" s="146"/>
      <c r="NEM166" s="146"/>
      <c r="NEN166" s="146"/>
      <c r="NEO166" s="146"/>
      <c r="NEP166" s="146"/>
      <c r="NEQ166" s="146"/>
      <c r="NER166" s="146"/>
      <c r="NES166" s="146"/>
      <c r="NET166" s="146"/>
      <c r="NEU166" s="146"/>
      <c r="NEV166" s="146"/>
      <c r="NEW166" s="146"/>
      <c r="NEX166" s="146"/>
      <c r="NEY166" s="146"/>
      <c r="NEZ166" s="146"/>
      <c r="NFA166" s="146"/>
      <c r="NFB166" s="146"/>
      <c r="NFC166" s="146"/>
      <c r="NFD166" s="146"/>
      <c r="NFE166" s="146"/>
      <c r="NFF166" s="146"/>
      <c r="NFG166" s="146"/>
      <c r="NFH166" s="146"/>
      <c r="NFI166" s="146"/>
      <c r="NFJ166" s="146"/>
      <c r="NFK166" s="146"/>
      <c r="NFL166" s="146"/>
      <c r="NFM166" s="146"/>
      <c r="NFN166" s="146"/>
      <c r="NFO166" s="146"/>
      <c r="NFP166" s="146"/>
      <c r="NFQ166" s="146"/>
      <c r="NFR166" s="146"/>
      <c r="NFS166" s="146"/>
      <c r="NFT166" s="146"/>
      <c r="NFU166" s="146"/>
      <c r="NFV166" s="146"/>
      <c r="NFW166" s="146"/>
      <c r="NFX166" s="146"/>
      <c r="NFY166" s="146"/>
      <c r="NFZ166" s="146"/>
      <c r="NGA166" s="146"/>
      <c r="NGB166" s="146"/>
      <c r="NGC166" s="146"/>
      <c r="NGD166" s="146"/>
      <c r="NGE166" s="146"/>
      <c r="NGF166" s="146"/>
      <c r="NGG166" s="146"/>
      <c r="NGH166" s="146"/>
      <c r="NGI166" s="146"/>
      <c r="NGJ166" s="146"/>
      <c r="NGK166" s="146"/>
      <c r="NGL166" s="146"/>
      <c r="NGM166" s="146"/>
      <c r="NGN166" s="146"/>
      <c r="NGO166" s="146"/>
      <c r="NGP166" s="146"/>
      <c r="NGQ166" s="146"/>
      <c r="NGR166" s="146"/>
      <c r="NGS166" s="146"/>
      <c r="NGT166" s="146"/>
      <c r="NGU166" s="146"/>
      <c r="NGV166" s="146"/>
      <c r="NGW166" s="146"/>
      <c r="NGX166" s="146"/>
      <c r="NGY166" s="146"/>
      <c r="NGZ166" s="146"/>
      <c r="NHA166" s="146"/>
      <c r="NHB166" s="146"/>
      <c r="NHC166" s="146"/>
      <c r="NHD166" s="146"/>
      <c r="NHE166" s="146"/>
      <c r="NHF166" s="146"/>
      <c r="NHG166" s="146"/>
      <c r="NHH166" s="146"/>
      <c r="NHI166" s="146"/>
      <c r="NHJ166" s="146"/>
      <c r="NHK166" s="146"/>
      <c r="NHL166" s="146"/>
      <c r="NHM166" s="146"/>
      <c r="NHN166" s="146"/>
      <c r="NHO166" s="146"/>
      <c r="NHP166" s="146"/>
      <c r="NHQ166" s="146"/>
      <c r="NHR166" s="146"/>
      <c r="NHS166" s="146"/>
      <c r="NHT166" s="146"/>
      <c r="NHU166" s="146"/>
      <c r="NHV166" s="146"/>
      <c r="NHW166" s="146"/>
      <c r="NHX166" s="146"/>
      <c r="NHY166" s="146"/>
      <c r="NHZ166" s="146"/>
      <c r="NIA166" s="146"/>
      <c r="NIB166" s="146"/>
      <c r="NIC166" s="146"/>
      <c r="NID166" s="146"/>
      <c r="NIE166" s="146"/>
      <c r="NIF166" s="146"/>
      <c r="NIG166" s="146"/>
      <c r="NIH166" s="146"/>
      <c r="NII166" s="146"/>
      <c r="NIJ166" s="146"/>
      <c r="NIK166" s="146"/>
      <c r="NIL166" s="146"/>
      <c r="NIM166" s="146"/>
      <c r="NIN166" s="146"/>
      <c r="NIO166" s="146"/>
      <c r="NIP166" s="146"/>
      <c r="NIQ166" s="146"/>
      <c r="NIR166" s="146"/>
      <c r="NIS166" s="146"/>
      <c r="NIT166" s="146"/>
      <c r="NIU166" s="146"/>
      <c r="NIV166" s="146"/>
      <c r="NIW166" s="146"/>
      <c r="NIX166" s="146"/>
      <c r="NIY166" s="146"/>
      <c r="NIZ166" s="146"/>
      <c r="NJA166" s="146"/>
      <c r="NJB166" s="146"/>
      <c r="NJC166" s="146"/>
      <c r="NJD166" s="146"/>
      <c r="NJE166" s="146"/>
      <c r="NJF166" s="146"/>
      <c r="NJG166" s="146"/>
      <c r="NJH166" s="146"/>
      <c r="NJI166" s="146"/>
      <c r="NJJ166" s="146"/>
      <c r="NJK166" s="146"/>
      <c r="NJL166" s="146"/>
      <c r="NJM166" s="146"/>
      <c r="NJN166" s="146"/>
      <c r="NJO166" s="146"/>
      <c r="NJP166" s="146"/>
      <c r="NJQ166" s="146"/>
      <c r="NJR166" s="146"/>
      <c r="NJS166" s="146"/>
      <c r="NJT166" s="146"/>
      <c r="NJU166" s="146"/>
      <c r="NJV166" s="146"/>
      <c r="NJW166" s="146"/>
      <c r="NJX166" s="146"/>
      <c r="NJY166" s="146"/>
      <c r="NJZ166" s="146"/>
      <c r="NKA166" s="146"/>
      <c r="NKB166" s="146"/>
      <c r="NKC166" s="146"/>
      <c r="NKD166" s="146"/>
      <c r="NKE166" s="146"/>
      <c r="NKF166" s="146"/>
      <c r="NKG166" s="146"/>
      <c r="NKH166" s="146"/>
      <c r="NKI166" s="146"/>
      <c r="NKJ166" s="146"/>
      <c r="NKK166" s="146"/>
      <c r="NKL166" s="146"/>
      <c r="NKM166" s="146"/>
      <c r="NKN166" s="146"/>
      <c r="NKO166" s="146"/>
      <c r="NKP166" s="146"/>
      <c r="NKQ166" s="146"/>
      <c r="NKR166" s="146"/>
      <c r="NKS166" s="146"/>
      <c r="NKT166" s="146"/>
      <c r="NKU166" s="146"/>
      <c r="NKV166" s="146"/>
      <c r="NKW166" s="146"/>
      <c r="NKX166" s="146"/>
      <c r="NKY166" s="146"/>
      <c r="NKZ166" s="146"/>
      <c r="NLA166" s="146"/>
      <c r="NLB166" s="146"/>
      <c r="NLC166" s="146"/>
      <c r="NLD166" s="146"/>
      <c r="NLE166" s="146"/>
      <c r="NLF166" s="146"/>
      <c r="NLG166" s="146"/>
      <c r="NLH166" s="146"/>
      <c r="NLI166" s="146"/>
      <c r="NLJ166" s="146"/>
      <c r="NLK166" s="146"/>
      <c r="NLL166" s="146"/>
      <c r="NLM166" s="146"/>
      <c r="NLN166" s="146"/>
      <c r="NLO166" s="146"/>
      <c r="NLP166" s="146"/>
      <c r="NLQ166" s="146"/>
      <c r="NLR166" s="146"/>
      <c r="NLS166" s="146"/>
      <c r="NLT166" s="146"/>
      <c r="NLU166" s="146"/>
      <c r="NLV166" s="146"/>
      <c r="NLW166" s="146"/>
      <c r="NLX166" s="146"/>
      <c r="NLY166" s="146"/>
      <c r="NLZ166" s="146"/>
      <c r="NMA166" s="146"/>
      <c r="NMB166" s="146"/>
      <c r="NMC166" s="146"/>
      <c r="NMD166" s="146"/>
      <c r="NME166" s="146"/>
      <c r="NMF166" s="146"/>
      <c r="NMG166" s="146"/>
      <c r="NMH166" s="146"/>
      <c r="NMI166" s="146"/>
      <c r="NMJ166" s="146"/>
      <c r="NMK166" s="146"/>
      <c r="NML166" s="146"/>
      <c r="NMM166" s="146"/>
      <c r="NMN166" s="146"/>
      <c r="NMO166" s="146"/>
      <c r="NMP166" s="146"/>
      <c r="NMQ166" s="146"/>
      <c r="NMR166" s="146"/>
      <c r="NMS166" s="146"/>
      <c r="NMT166" s="146"/>
      <c r="NMU166" s="146"/>
      <c r="NMV166" s="146"/>
      <c r="NMW166" s="146"/>
      <c r="NMX166" s="146"/>
      <c r="NMY166" s="146"/>
      <c r="NMZ166" s="146"/>
      <c r="NNA166" s="146"/>
      <c r="NNB166" s="146"/>
      <c r="NNC166" s="146"/>
      <c r="NND166" s="146"/>
      <c r="NNE166" s="146"/>
      <c r="NNF166" s="146"/>
      <c r="NNG166" s="146"/>
      <c r="NNH166" s="146"/>
      <c r="NNI166" s="146"/>
      <c r="NNJ166" s="146"/>
      <c r="NNK166" s="146"/>
      <c r="NNL166" s="146"/>
      <c r="NNM166" s="146"/>
      <c r="NNN166" s="146"/>
      <c r="NNO166" s="146"/>
      <c r="NNP166" s="146"/>
      <c r="NNQ166" s="146"/>
      <c r="NNR166" s="146"/>
      <c r="NNS166" s="146"/>
      <c r="NNT166" s="146"/>
      <c r="NNU166" s="146"/>
      <c r="NNV166" s="146"/>
      <c r="NNW166" s="146"/>
      <c r="NNX166" s="146"/>
      <c r="NNY166" s="146"/>
      <c r="NNZ166" s="146"/>
      <c r="NOA166" s="146"/>
      <c r="NOB166" s="146"/>
      <c r="NOC166" s="146"/>
      <c r="NOD166" s="146"/>
      <c r="NOE166" s="146"/>
      <c r="NOF166" s="146"/>
      <c r="NOG166" s="146"/>
      <c r="NOH166" s="146"/>
      <c r="NOI166" s="146"/>
      <c r="NOJ166" s="146"/>
      <c r="NOK166" s="146"/>
      <c r="NOL166" s="146"/>
      <c r="NOM166" s="146"/>
      <c r="NON166" s="146"/>
      <c r="NOO166" s="146"/>
      <c r="NOP166" s="146"/>
      <c r="NOQ166" s="146"/>
      <c r="NOR166" s="146"/>
      <c r="NOS166" s="146"/>
      <c r="NOT166" s="146"/>
      <c r="NOU166" s="146"/>
      <c r="NOV166" s="146"/>
      <c r="NOW166" s="146"/>
      <c r="NOX166" s="146"/>
      <c r="NOY166" s="146"/>
      <c r="NOZ166" s="146"/>
      <c r="NPA166" s="146"/>
      <c r="NPB166" s="146"/>
      <c r="NPC166" s="146"/>
      <c r="NPD166" s="146"/>
      <c r="NPE166" s="146"/>
      <c r="NPF166" s="146"/>
      <c r="NPG166" s="146"/>
      <c r="NPH166" s="146"/>
      <c r="NPI166" s="146"/>
      <c r="NPJ166" s="146"/>
      <c r="NPK166" s="146"/>
      <c r="NPL166" s="146"/>
      <c r="NPM166" s="146"/>
      <c r="NPN166" s="146"/>
      <c r="NPO166" s="146"/>
      <c r="NPP166" s="146"/>
      <c r="NPQ166" s="146"/>
      <c r="NPR166" s="146"/>
      <c r="NPS166" s="146"/>
      <c r="NPT166" s="146"/>
      <c r="NPU166" s="146"/>
      <c r="NPV166" s="146"/>
      <c r="NPW166" s="146"/>
      <c r="NPX166" s="146"/>
      <c r="NPY166" s="146"/>
      <c r="NPZ166" s="146"/>
      <c r="NQA166" s="146"/>
      <c r="NQB166" s="146"/>
      <c r="NQC166" s="146"/>
      <c r="NQD166" s="146"/>
      <c r="NQE166" s="146"/>
      <c r="NQF166" s="146"/>
      <c r="NQG166" s="146"/>
      <c r="NQH166" s="146"/>
      <c r="NQI166" s="146"/>
      <c r="NQJ166" s="146"/>
      <c r="NQK166" s="146"/>
      <c r="NQL166" s="146"/>
      <c r="NQM166" s="146"/>
      <c r="NQN166" s="146"/>
      <c r="NQO166" s="146"/>
      <c r="NQP166" s="146"/>
      <c r="NQQ166" s="146"/>
      <c r="NQR166" s="146"/>
      <c r="NQS166" s="146"/>
      <c r="NQT166" s="146"/>
      <c r="NQU166" s="146"/>
      <c r="NQV166" s="146"/>
      <c r="NQW166" s="146"/>
      <c r="NQX166" s="146"/>
      <c r="NQY166" s="146"/>
      <c r="NQZ166" s="146"/>
      <c r="NRA166" s="146"/>
      <c r="NRB166" s="146"/>
      <c r="NRC166" s="146"/>
      <c r="NRD166" s="146"/>
      <c r="NRE166" s="146"/>
      <c r="NRF166" s="146"/>
      <c r="NRG166" s="146"/>
      <c r="NRH166" s="146"/>
      <c r="NRI166" s="146"/>
      <c r="NRJ166" s="146"/>
      <c r="NRK166" s="146"/>
      <c r="NRL166" s="146"/>
      <c r="NRM166" s="146"/>
      <c r="NRN166" s="146"/>
      <c r="NRO166" s="146"/>
      <c r="NRP166" s="146"/>
      <c r="NRQ166" s="146"/>
      <c r="NRR166" s="146"/>
      <c r="NRS166" s="146"/>
      <c r="NRT166" s="146"/>
      <c r="NRU166" s="146"/>
      <c r="NRV166" s="146"/>
      <c r="NRW166" s="146"/>
      <c r="NRX166" s="146"/>
      <c r="NRY166" s="146"/>
      <c r="NRZ166" s="146"/>
      <c r="NSA166" s="146"/>
      <c r="NSB166" s="146"/>
      <c r="NSC166" s="146"/>
      <c r="NSD166" s="146"/>
      <c r="NSE166" s="146"/>
      <c r="NSF166" s="146"/>
      <c r="NSG166" s="146"/>
      <c r="NSH166" s="146"/>
      <c r="NSI166" s="146"/>
      <c r="NSJ166" s="146"/>
      <c r="NSK166" s="146"/>
      <c r="NSL166" s="146"/>
      <c r="NSM166" s="146"/>
      <c r="NSN166" s="146"/>
      <c r="NSO166" s="146"/>
      <c r="NSP166" s="146"/>
      <c r="NSQ166" s="146"/>
      <c r="NSR166" s="146"/>
      <c r="NSS166" s="146"/>
      <c r="NST166" s="146"/>
      <c r="NSU166" s="146"/>
      <c r="NSV166" s="146"/>
      <c r="NSW166" s="146"/>
      <c r="NSX166" s="146"/>
      <c r="NSY166" s="146"/>
      <c r="NSZ166" s="146"/>
      <c r="NTA166" s="146"/>
      <c r="NTB166" s="146"/>
      <c r="NTC166" s="146"/>
      <c r="NTD166" s="146"/>
      <c r="NTE166" s="146"/>
      <c r="NTF166" s="146"/>
      <c r="NTG166" s="146"/>
      <c r="NTH166" s="146"/>
      <c r="NTI166" s="146"/>
      <c r="NTJ166" s="146"/>
      <c r="NTK166" s="146"/>
      <c r="NTL166" s="146"/>
      <c r="NTM166" s="146"/>
      <c r="NTN166" s="146"/>
      <c r="NTO166" s="146"/>
      <c r="NTP166" s="146"/>
      <c r="NTQ166" s="146"/>
      <c r="NTR166" s="146"/>
      <c r="NTS166" s="146"/>
      <c r="NTT166" s="146"/>
      <c r="NTU166" s="146"/>
      <c r="NTV166" s="146"/>
      <c r="NTW166" s="146"/>
      <c r="NTX166" s="146"/>
      <c r="NTY166" s="146"/>
      <c r="NTZ166" s="146"/>
      <c r="NUA166" s="146"/>
      <c r="NUB166" s="146"/>
      <c r="NUC166" s="146"/>
      <c r="NUD166" s="146"/>
      <c r="NUE166" s="146"/>
      <c r="NUF166" s="146"/>
      <c r="NUG166" s="146"/>
      <c r="NUH166" s="146"/>
      <c r="NUI166" s="146"/>
      <c r="NUJ166" s="146"/>
      <c r="NUK166" s="146"/>
      <c r="NUL166" s="146"/>
      <c r="NUM166" s="146"/>
      <c r="NUN166" s="146"/>
      <c r="NUO166" s="146"/>
      <c r="NUP166" s="146"/>
      <c r="NUQ166" s="146"/>
      <c r="NUR166" s="146"/>
      <c r="NUS166" s="146"/>
      <c r="NUT166" s="146"/>
      <c r="NUU166" s="146"/>
      <c r="NUV166" s="146"/>
      <c r="NUW166" s="146"/>
      <c r="NUX166" s="146"/>
      <c r="NUY166" s="146"/>
      <c r="NUZ166" s="146"/>
      <c r="NVA166" s="146"/>
      <c r="NVB166" s="146"/>
      <c r="NVC166" s="146"/>
      <c r="NVD166" s="146"/>
      <c r="NVE166" s="146"/>
      <c r="NVF166" s="146"/>
      <c r="NVG166" s="146"/>
      <c r="NVH166" s="146"/>
      <c r="NVI166" s="146"/>
      <c r="NVJ166" s="146"/>
      <c r="NVK166" s="146"/>
      <c r="NVL166" s="146"/>
      <c r="NVM166" s="146"/>
      <c r="NVN166" s="146"/>
      <c r="NVO166" s="146"/>
      <c r="NVP166" s="146"/>
      <c r="NVQ166" s="146"/>
      <c r="NVR166" s="146"/>
      <c r="NVS166" s="146"/>
      <c r="NVT166" s="146"/>
      <c r="NVU166" s="146"/>
      <c r="NVV166" s="146"/>
      <c r="NVW166" s="146"/>
      <c r="NVX166" s="146"/>
      <c r="NVY166" s="146"/>
      <c r="NVZ166" s="146"/>
      <c r="NWA166" s="146"/>
      <c r="NWB166" s="146"/>
      <c r="NWC166" s="146"/>
      <c r="NWD166" s="146"/>
      <c r="NWE166" s="146"/>
      <c r="NWF166" s="146"/>
      <c r="NWG166" s="146"/>
      <c r="NWH166" s="146"/>
      <c r="NWI166" s="146"/>
      <c r="NWJ166" s="146"/>
      <c r="NWK166" s="146"/>
      <c r="NWL166" s="146"/>
      <c r="NWM166" s="146"/>
      <c r="NWN166" s="146"/>
      <c r="NWO166" s="146"/>
      <c r="NWP166" s="146"/>
      <c r="NWQ166" s="146"/>
      <c r="NWR166" s="146"/>
      <c r="NWS166" s="146"/>
      <c r="NWT166" s="146"/>
      <c r="NWU166" s="146"/>
      <c r="NWV166" s="146"/>
      <c r="NWW166" s="146"/>
      <c r="NWX166" s="146"/>
      <c r="NWY166" s="146"/>
      <c r="NWZ166" s="146"/>
      <c r="NXA166" s="146"/>
      <c r="NXB166" s="146"/>
      <c r="NXC166" s="146"/>
      <c r="NXD166" s="146"/>
      <c r="NXE166" s="146"/>
      <c r="NXF166" s="146"/>
      <c r="NXG166" s="146"/>
      <c r="NXH166" s="146"/>
      <c r="NXI166" s="146"/>
      <c r="NXJ166" s="146"/>
      <c r="NXK166" s="146"/>
      <c r="NXL166" s="146"/>
      <c r="NXM166" s="146"/>
      <c r="NXN166" s="146"/>
      <c r="NXO166" s="146"/>
      <c r="NXP166" s="146"/>
      <c r="NXQ166" s="146"/>
      <c r="NXR166" s="146"/>
      <c r="NXS166" s="146"/>
      <c r="NXT166" s="146"/>
      <c r="NXU166" s="146"/>
      <c r="NXV166" s="146"/>
      <c r="NXW166" s="146"/>
      <c r="NXX166" s="146"/>
      <c r="NXY166" s="146"/>
      <c r="NXZ166" s="146"/>
      <c r="NYA166" s="146"/>
      <c r="NYB166" s="146"/>
      <c r="NYC166" s="146"/>
      <c r="NYD166" s="146"/>
      <c r="NYE166" s="146"/>
      <c r="NYF166" s="146"/>
      <c r="NYG166" s="146"/>
      <c r="NYH166" s="146"/>
      <c r="NYI166" s="146"/>
      <c r="NYJ166" s="146"/>
      <c r="NYK166" s="146"/>
      <c r="NYL166" s="146"/>
      <c r="NYM166" s="146"/>
      <c r="NYN166" s="146"/>
      <c r="NYO166" s="146"/>
      <c r="NYP166" s="146"/>
      <c r="NYQ166" s="146"/>
      <c r="NYR166" s="146"/>
      <c r="NYS166" s="146"/>
      <c r="NYT166" s="146"/>
      <c r="NYU166" s="146"/>
      <c r="NYV166" s="146"/>
      <c r="NYW166" s="146"/>
      <c r="NYX166" s="146"/>
      <c r="NYY166" s="146"/>
      <c r="NYZ166" s="146"/>
      <c r="NZA166" s="146"/>
      <c r="NZB166" s="146"/>
      <c r="NZC166" s="146"/>
      <c r="NZD166" s="146"/>
      <c r="NZE166" s="146"/>
      <c r="NZF166" s="146"/>
      <c r="NZG166" s="146"/>
      <c r="NZH166" s="146"/>
      <c r="NZI166" s="146"/>
      <c r="NZJ166" s="146"/>
      <c r="NZK166" s="146"/>
      <c r="NZL166" s="146"/>
      <c r="NZM166" s="146"/>
      <c r="NZN166" s="146"/>
      <c r="NZO166" s="146"/>
      <c r="NZP166" s="146"/>
      <c r="NZQ166" s="146"/>
      <c r="NZR166" s="146"/>
      <c r="NZS166" s="146"/>
      <c r="NZT166" s="146"/>
      <c r="NZU166" s="146"/>
      <c r="NZV166" s="146"/>
      <c r="NZW166" s="146"/>
      <c r="NZX166" s="146"/>
      <c r="NZY166" s="146"/>
      <c r="NZZ166" s="146"/>
      <c r="OAA166" s="146"/>
      <c r="OAB166" s="146"/>
      <c r="OAC166" s="146"/>
      <c r="OAD166" s="146"/>
      <c r="OAE166" s="146"/>
      <c r="OAF166" s="146"/>
      <c r="OAG166" s="146"/>
      <c r="OAH166" s="146"/>
      <c r="OAI166" s="146"/>
      <c r="OAJ166" s="146"/>
      <c r="OAK166" s="146"/>
      <c r="OAL166" s="146"/>
      <c r="OAM166" s="146"/>
      <c r="OAN166" s="146"/>
      <c r="OAO166" s="146"/>
      <c r="OAP166" s="146"/>
      <c r="OAQ166" s="146"/>
      <c r="OAR166" s="146"/>
      <c r="OAS166" s="146"/>
      <c r="OAT166" s="146"/>
      <c r="OAU166" s="146"/>
      <c r="OAV166" s="146"/>
      <c r="OAW166" s="146"/>
      <c r="OAX166" s="146"/>
      <c r="OAY166" s="146"/>
      <c r="OAZ166" s="146"/>
      <c r="OBA166" s="146"/>
      <c r="OBB166" s="146"/>
      <c r="OBC166" s="146"/>
      <c r="OBD166" s="146"/>
      <c r="OBE166" s="146"/>
      <c r="OBF166" s="146"/>
      <c r="OBG166" s="146"/>
      <c r="OBH166" s="146"/>
      <c r="OBI166" s="146"/>
      <c r="OBJ166" s="146"/>
      <c r="OBK166" s="146"/>
      <c r="OBL166" s="146"/>
      <c r="OBM166" s="146"/>
      <c r="OBN166" s="146"/>
      <c r="OBO166" s="146"/>
      <c r="OBP166" s="146"/>
      <c r="OBQ166" s="146"/>
      <c r="OBR166" s="146"/>
      <c r="OBS166" s="146"/>
      <c r="OBT166" s="146"/>
      <c r="OBU166" s="146"/>
      <c r="OBV166" s="146"/>
      <c r="OBW166" s="146"/>
      <c r="OBX166" s="146"/>
      <c r="OBY166" s="146"/>
      <c r="OBZ166" s="146"/>
      <c r="OCA166" s="146"/>
      <c r="OCB166" s="146"/>
      <c r="OCC166" s="146"/>
      <c r="OCD166" s="146"/>
      <c r="OCE166" s="146"/>
      <c r="OCF166" s="146"/>
      <c r="OCG166" s="146"/>
      <c r="OCH166" s="146"/>
      <c r="OCI166" s="146"/>
      <c r="OCJ166" s="146"/>
      <c r="OCK166" s="146"/>
      <c r="OCL166" s="146"/>
      <c r="OCM166" s="146"/>
      <c r="OCN166" s="146"/>
      <c r="OCO166" s="146"/>
      <c r="OCP166" s="146"/>
      <c r="OCQ166" s="146"/>
      <c r="OCR166" s="146"/>
      <c r="OCS166" s="146"/>
      <c r="OCT166" s="146"/>
      <c r="OCU166" s="146"/>
      <c r="OCV166" s="146"/>
      <c r="OCW166" s="146"/>
      <c r="OCX166" s="146"/>
      <c r="OCY166" s="146"/>
      <c r="OCZ166" s="146"/>
      <c r="ODA166" s="146"/>
      <c r="ODB166" s="146"/>
      <c r="ODC166" s="146"/>
      <c r="ODD166" s="146"/>
      <c r="ODE166" s="146"/>
      <c r="ODF166" s="146"/>
      <c r="ODG166" s="146"/>
      <c r="ODH166" s="146"/>
      <c r="ODI166" s="146"/>
      <c r="ODJ166" s="146"/>
      <c r="ODK166" s="146"/>
      <c r="ODL166" s="146"/>
      <c r="ODM166" s="146"/>
      <c r="ODN166" s="146"/>
      <c r="ODO166" s="146"/>
      <c r="ODP166" s="146"/>
      <c r="ODQ166" s="146"/>
      <c r="ODR166" s="146"/>
      <c r="ODS166" s="146"/>
      <c r="ODT166" s="146"/>
      <c r="ODU166" s="146"/>
      <c r="ODV166" s="146"/>
      <c r="ODW166" s="146"/>
      <c r="ODX166" s="146"/>
      <c r="ODY166" s="146"/>
      <c r="ODZ166" s="146"/>
      <c r="OEA166" s="146"/>
      <c r="OEB166" s="146"/>
      <c r="OEC166" s="146"/>
      <c r="OED166" s="146"/>
      <c r="OEE166" s="146"/>
      <c r="OEF166" s="146"/>
      <c r="OEG166" s="146"/>
      <c r="OEH166" s="146"/>
      <c r="OEI166" s="146"/>
      <c r="OEJ166" s="146"/>
      <c r="OEK166" s="146"/>
      <c r="OEL166" s="146"/>
      <c r="OEM166" s="146"/>
      <c r="OEN166" s="146"/>
      <c r="OEO166" s="146"/>
      <c r="OEP166" s="146"/>
      <c r="OEQ166" s="146"/>
      <c r="OER166" s="146"/>
      <c r="OES166" s="146"/>
      <c r="OET166" s="146"/>
      <c r="OEU166" s="146"/>
      <c r="OEV166" s="146"/>
      <c r="OEW166" s="146"/>
      <c r="OEX166" s="146"/>
      <c r="OEY166" s="146"/>
      <c r="OEZ166" s="146"/>
      <c r="OFA166" s="146"/>
      <c r="OFB166" s="146"/>
      <c r="OFC166" s="146"/>
      <c r="OFD166" s="146"/>
      <c r="OFE166" s="146"/>
      <c r="OFF166" s="146"/>
      <c r="OFG166" s="146"/>
      <c r="OFH166" s="146"/>
      <c r="OFI166" s="146"/>
      <c r="OFJ166" s="146"/>
      <c r="OFK166" s="146"/>
      <c r="OFL166" s="146"/>
      <c r="OFM166" s="146"/>
      <c r="OFN166" s="146"/>
      <c r="OFO166" s="146"/>
      <c r="OFP166" s="146"/>
      <c r="OFQ166" s="146"/>
      <c r="OFR166" s="146"/>
      <c r="OFS166" s="146"/>
      <c r="OFT166" s="146"/>
      <c r="OFU166" s="146"/>
      <c r="OFV166" s="146"/>
      <c r="OFW166" s="146"/>
      <c r="OFX166" s="146"/>
      <c r="OFY166" s="146"/>
      <c r="OFZ166" s="146"/>
      <c r="OGA166" s="146"/>
      <c r="OGB166" s="146"/>
      <c r="OGC166" s="146"/>
      <c r="OGD166" s="146"/>
      <c r="OGE166" s="146"/>
      <c r="OGF166" s="146"/>
      <c r="OGG166" s="146"/>
      <c r="OGH166" s="146"/>
      <c r="OGI166" s="146"/>
      <c r="OGJ166" s="146"/>
      <c r="OGK166" s="146"/>
      <c r="OGL166" s="146"/>
      <c r="OGM166" s="146"/>
      <c r="OGN166" s="146"/>
      <c r="OGO166" s="146"/>
      <c r="OGP166" s="146"/>
      <c r="OGQ166" s="146"/>
      <c r="OGR166" s="146"/>
      <c r="OGS166" s="146"/>
      <c r="OGT166" s="146"/>
      <c r="OGU166" s="146"/>
      <c r="OGV166" s="146"/>
      <c r="OGW166" s="146"/>
      <c r="OGX166" s="146"/>
      <c r="OGY166" s="146"/>
      <c r="OGZ166" s="146"/>
      <c r="OHA166" s="146"/>
      <c r="OHB166" s="146"/>
      <c r="OHC166" s="146"/>
      <c r="OHD166" s="146"/>
      <c r="OHE166" s="146"/>
      <c r="OHF166" s="146"/>
      <c r="OHG166" s="146"/>
      <c r="OHH166" s="146"/>
      <c r="OHI166" s="146"/>
      <c r="OHJ166" s="146"/>
      <c r="OHK166" s="146"/>
      <c r="OHL166" s="146"/>
      <c r="OHM166" s="146"/>
      <c r="OHN166" s="146"/>
      <c r="OHO166" s="146"/>
      <c r="OHP166" s="146"/>
      <c r="OHQ166" s="146"/>
      <c r="OHR166" s="146"/>
      <c r="OHS166" s="146"/>
      <c r="OHT166" s="146"/>
      <c r="OHU166" s="146"/>
      <c r="OHV166" s="146"/>
      <c r="OHW166" s="146"/>
      <c r="OHX166" s="146"/>
      <c r="OHY166" s="146"/>
      <c r="OHZ166" s="146"/>
      <c r="OIA166" s="146"/>
      <c r="OIB166" s="146"/>
      <c r="OIC166" s="146"/>
      <c r="OID166" s="146"/>
      <c r="OIE166" s="146"/>
      <c r="OIF166" s="146"/>
      <c r="OIG166" s="146"/>
      <c r="OIH166" s="146"/>
      <c r="OII166" s="146"/>
      <c r="OIJ166" s="146"/>
      <c r="OIK166" s="146"/>
      <c r="OIL166" s="146"/>
      <c r="OIM166" s="146"/>
      <c r="OIN166" s="146"/>
      <c r="OIO166" s="146"/>
      <c r="OIP166" s="146"/>
      <c r="OIQ166" s="146"/>
      <c r="OIR166" s="146"/>
      <c r="OIS166" s="146"/>
      <c r="OIT166" s="146"/>
      <c r="OIU166" s="146"/>
      <c r="OIV166" s="146"/>
      <c r="OIW166" s="146"/>
      <c r="OIX166" s="146"/>
      <c r="OIY166" s="146"/>
      <c r="OIZ166" s="146"/>
      <c r="OJA166" s="146"/>
      <c r="OJB166" s="146"/>
      <c r="OJC166" s="146"/>
      <c r="OJD166" s="146"/>
      <c r="OJE166" s="146"/>
      <c r="OJF166" s="146"/>
      <c r="OJG166" s="146"/>
      <c r="OJH166" s="146"/>
      <c r="OJI166" s="146"/>
      <c r="OJJ166" s="146"/>
      <c r="OJK166" s="146"/>
      <c r="OJL166" s="146"/>
      <c r="OJM166" s="146"/>
      <c r="OJN166" s="146"/>
      <c r="OJO166" s="146"/>
      <c r="OJP166" s="146"/>
      <c r="OJQ166" s="146"/>
      <c r="OJR166" s="146"/>
      <c r="OJS166" s="146"/>
      <c r="OJT166" s="146"/>
      <c r="OJU166" s="146"/>
      <c r="OJV166" s="146"/>
      <c r="OJW166" s="146"/>
      <c r="OJX166" s="146"/>
      <c r="OJY166" s="146"/>
      <c r="OJZ166" s="146"/>
      <c r="OKA166" s="146"/>
      <c r="OKB166" s="146"/>
      <c r="OKC166" s="146"/>
      <c r="OKD166" s="146"/>
      <c r="OKE166" s="146"/>
      <c r="OKF166" s="146"/>
      <c r="OKG166" s="146"/>
      <c r="OKH166" s="146"/>
      <c r="OKI166" s="146"/>
      <c r="OKJ166" s="146"/>
      <c r="OKK166" s="146"/>
      <c r="OKL166" s="146"/>
      <c r="OKM166" s="146"/>
      <c r="OKN166" s="146"/>
      <c r="OKO166" s="146"/>
      <c r="OKP166" s="146"/>
      <c r="OKQ166" s="146"/>
      <c r="OKR166" s="146"/>
      <c r="OKS166" s="146"/>
      <c r="OKT166" s="146"/>
      <c r="OKU166" s="146"/>
      <c r="OKV166" s="146"/>
      <c r="OKW166" s="146"/>
      <c r="OKX166" s="146"/>
      <c r="OKY166" s="146"/>
      <c r="OKZ166" s="146"/>
      <c r="OLA166" s="146"/>
      <c r="OLB166" s="146"/>
      <c r="OLC166" s="146"/>
      <c r="OLD166" s="146"/>
      <c r="OLE166" s="146"/>
      <c r="OLF166" s="146"/>
      <c r="OLG166" s="146"/>
      <c r="OLH166" s="146"/>
      <c r="OLI166" s="146"/>
      <c r="OLJ166" s="146"/>
      <c r="OLK166" s="146"/>
      <c r="OLL166" s="146"/>
      <c r="OLM166" s="146"/>
      <c r="OLN166" s="146"/>
      <c r="OLO166" s="146"/>
      <c r="OLP166" s="146"/>
      <c r="OLQ166" s="146"/>
      <c r="OLR166" s="146"/>
      <c r="OLS166" s="146"/>
      <c r="OLT166" s="146"/>
      <c r="OLU166" s="146"/>
      <c r="OLV166" s="146"/>
      <c r="OLW166" s="146"/>
      <c r="OLX166" s="146"/>
      <c r="OLY166" s="146"/>
      <c r="OLZ166" s="146"/>
      <c r="OMA166" s="146"/>
      <c r="OMB166" s="146"/>
      <c r="OMC166" s="146"/>
      <c r="OMD166" s="146"/>
      <c r="OME166" s="146"/>
      <c r="OMF166" s="146"/>
      <c r="OMG166" s="146"/>
      <c r="OMH166" s="146"/>
      <c r="OMI166" s="146"/>
      <c r="OMJ166" s="146"/>
      <c r="OMK166" s="146"/>
      <c r="OML166" s="146"/>
      <c r="OMM166" s="146"/>
      <c r="OMN166" s="146"/>
      <c r="OMO166" s="146"/>
      <c r="OMP166" s="146"/>
      <c r="OMQ166" s="146"/>
      <c r="OMR166" s="146"/>
      <c r="OMS166" s="146"/>
      <c r="OMT166" s="146"/>
      <c r="OMU166" s="146"/>
      <c r="OMV166" s="146"/>
      <c r="OMW166" s="146"/>
      <c r="OMX166" s="146"/>
      <c r="OMY166" s="146"/>
      <c r="OMZ166" s="146"/>
      <c r="ONA166" s="146"/>
      <c r="ONB166" s="146"/>
      <c r="ONC166" s="146"/>
      <c r="OND166" s="146"/>
      <c r="ONE166" s="146"/>
      <c r="ONF166" s="146"/>
      <c r="ONG166" s="146"/>
      <c r="ONH166" s="146"/>
      <c r="ONI166" s="146"/>
      <c r="ONJ166" s="146"/>
      <c r="ONK166" s="146"/>
      <c r="ONL166" s="146"/>
      <c r="ONM166" s="146"/>
      <c r="ONN166" s="146"/>
      <c r="ONO166" s="146"/>
      <c r="ONP166" s="146"/>
      <c r="ONQ166" s="146"/>
      <c r="ONR166" s="146"/>
      <c r="ONS166" s="146"/>
      <c r="ONT166" s="146"/>
      <c r="ONU166" s="146"/>
      <c r="ONV166" s="146"/>
      <c r="ONW166" s="146"/>
      <c r="ONX166" s="146"/>
      <c r="ONY166" s="146"/>
      <c r="ONZ166" s="146"/>
      <c r="OOA166" s="146"/>
      <c r="OOB166" s="146"/>
      <c r="OOC166" s="146"/>
      <c r="OOD166" s="146"/>
      <c r="OOE166" s="146"/>
      <c r="OOF166" s="146"/>
      <c r="OOG166" s="146"/>
      <c r="OOH166" s="146"/>
      <c r="OOI166" s="146"/>
      <c r="OOJ166" s="146"/>
      <c r="OOK166" s="146"/>
      <c r="OOL166" s="146"/>
      <c r="OOM166" s="146"/>
      <c r="OON166" s="146"/>
      <c r="OOO166" s="146"/>
      <c r="OOP166" s="146"/>
      <c r="OOQ166" s="146"/>
      <c r="OOR166" s="146"/>
      <c r="OOS166" s="146"/>
      <c r="OOT166" s="146"/>
      <c r="OOU166" s="146"/>
      <c r="OOV166" s="146"/>
      <c r="OOW166" s="146"/>
      <c r="OOX166" s="146"/>
      <c r="OOY166" s="146"/>
      <c r="OOZ166" s="146"/>
      <c r="OPA166" s="146"/>
      <c r="OPB166" s="146"/>
      <c r="OPC166" s="146"/>
      <c r="OPD166" s="146"/>
      <c r="OPE166" s="146"/>
      <c r="OPF166" s="146"/>
      <c r="OPG166" s="146"/>
      <c r="OPH166" s="146"/>
      <c r="OPI166" s="146"/>
      <c r="OPJ166" s="146"/>
      <c r="OPK166" s="146"/>
      <c r="OPL166" s="146"/>
      <c r="OPM166" s="146"/>
      <c r="OPN166" s="146"/>
      <c r="OPO166" s="146"/>
      <c r="OPP166" s="146"/>
      <c r="OPQ166" s="146"/>
      <c r="OPR166" s="146"/>
      <c r="OPS166" s="146"/>
      <c r="OPT166" s="146"/>
      <c r="OPU166" s="146"/>
      <c r="OPV166" s="146"/>
      <c r="OPW166" s="146"/>
      <c r="OPX166" s="146"/>
      <c r="OPY166" s="146"/>
      <c r="OPZ166" s="146"/>
      <c r="OQA166" s="146"/>
      <c r="OQB166" s="146"/>
      <c r="OQC166" s="146"/>
      <c r="OQD166" s="146"/>
      <c r="OQE166" s="146"/>
      <c r="OQF166" s="146"/>
      <c r="OQG166" s="146"/>
      <c r="OQH166" s="146"/>
      <c r="OQI166" s="146"/>
      <c r="OQJ166" s="146"/>
      <c r="OQK166" s="146"/>
      <c r="OQL166" s="146"/>
      <c r="OQM166" s="146"/>
      <c r="OQN166" s="146"/>
      <c r="OQO166" s="146"/>
      <c r="OQP166" s="146"/>
      <c r="OQQ166" s="146"/>
      <c r="OQR166" s="146"/>
      <c r="OQS166" s="146"/>
      <c r="OQT166" s="146"/>
      <c r="OQU166" s="146"/>
      <c r="OQV166" s="146"/>
      <c r="OQW166" s="146"/>
      <c r="OQX166" s="146"/>
      <c r="OQY166" s="146"/>
      <c r="OQZ166" s="146"/>
      <c r="ORA166" s="146"/>
      <c r="ORB166" s="146"/>
      <c r="ORC166" s="146"/>
      <c r="ORD166" s="146"/>
      <c r="ORE166" s="146"/>
      <c r="ORF166" s="146"/>
      <c r="ORG166" s="146"/>
      <c r="ORH166" s="146"/>
      <c r="ORI166" s="146"/>
      <c r="ORJ166" s="146"/>
      <c r="ORK166" s="146"/>
      <c r="ORL166" s="146"/>
      <c r="ORM166" s="146"/>
      <c r="ORN166" s="146"/>
      <c r="ORO166" s="146"/>
      <c r="ORP166" s="146"/>
      <c r="ORQ166" s="146"/>
      <c r="ORR166" s="146"/>
      <c r="ORS166" s="146"/>
      <c r="ORT166" s="146"/>
      <c r="ORU166" s="146"/>
      <c r="ORV166" s="146"/>
      <c r="ORW166" s="146"/>
      <c r="ORX166" s="146"/>
      <c r="ORY166" s="146"/>
      <c r="ORZ166" s="146"/>
      <c r="OSA166" s="146"/>
      <c r="OSB166" s="146"/>
      <c r="OSC166" s="146"/>
      <c r="OSD166" s="146"/>
      <c r="OSE166" s="146"/>
      <c r="OSF166" s="146"/>
      <c r="OSG166" s="146"/>
      <c r="OSH166" s="146"/>
      <c r="OSI166" s="146"/>
      <c r="OSJ166" s="146"/>
      <c r="OSK166" s="146"/>
      <c r="OSL166" s="146"/>
      <c r="OSM166" s="146"/>
      <c r="OSN166" s="146"/>
      <c r="OSO166" s="146"/>
      <c r="OSP166" s="146"/>
      <c r="OSQ166" s="146"/>
      <c r="OSR166" s="146"/>
      <c r="OSS166" s="146"/>
      <c r="OST166" s="146"/>
      <c r="OSU166" s="146"/>
      <c r="OSV166" s="146"/>
      <c r="OSW166" s="146"/>
      <c r="OSX166" s="146"/>
      <c r="OSY166" s="146"/>
      <c r="OSZ166" s="146"/>
      <c r="OTA166" s="146"/>
      <c r="OTB166" s="146"/>
      <c r="OTC166" s="146"/>
      <c r="OTD166" s="146"/>
      <c r="OTE166" s="146"/>
      <c r="OTF166" s="146"/>
      <c r="OTG166" s="146"/>
      <c r="OTH166" s="146"/>
      <c r="OTI166" s="146"/>
      <c r="OTJ166" s="146"/>
      <c r="OTK166" s="146"/>
      <c r="OTL166" s="146"/>
      <c r="OTM166" s="146"/>
      <c r="OTN166" s="146"/>
      <c r="OTO166" s="146"/>
      <c r="OTP166" s="146"/>
      <c r="OTQ166" s="146"/>
      <c r="OTR166" s="146"/>
      <c r="OTS166" s="146"/>
      <c r="OTT166" s="146"/>
      <c r="OTU166" s="146"/>
      <c r="OTV166" s="146"/>
      <c r="OTW166" s="146"/>
      <c r="OTX166" s="146"/>
      <c r="OTY166" s="146"/>
      <c r="OTZ166" s="146"/>
      <c r="OUA166" s="146"/>
      <c r="OUB166" s="146"/>
      <c r="OUC166" s="146"/>
      <c r="OUD166" s="146"/>
      <c r="OUE166" s="146"/>
      <c r="OUF166" s="146"/>
      <c r="OUG166" s="146"/>
      <c r="OUH166" s="146"/>
      <c r="OUI166" s="146"/>
      <c r="OUJ166" s="146"/>
      <c r="OUK166" s="146"/>
      <c r="OUL166" s="146"/>
      <c r="OUM166" s="146"/>
      <c r="OUN166" s="146"/>
      <c r="OUO166" s="146"/>
      <c r="OUP166" s="146"/>
      <c r="OUQ166" s="146"/>
      <c r="OUR166" s="146"/>
      <c r="OUS166" s="146"/>
      <c r="OUT166" s="146"/>
      <c r="OUU166" s="146"/>
      <c r="OUV166" s="146"/>
      <c r="OUW166" s="146"/>
      <c r="OUX166" s="146"/>
      <c r="OUY166" s="146"/>
      <c r="OUZ166" s="146"/>
      <c r="OVA166" s="146"/>
      <c r="OVB166" s="146"/>
      <c r="OVC166" s="146"/>
      <c r="OVD166" s="146"/>
      <c r="OVE166" s="146"/>
      <c r="OVF166" s="146"/>
      <c r="OVG166" s="146"/>
      <c r="OVH166" s="146"/>
      <c r="OVI166" s="146"/>
      <c r="OVJ166" s="146"/>
      <c r="OVK166" s="146"/>
      <c r="OVL166" s="146"/>
      <c r="OVM166" s="146"/>
      <c r="OVN166" s="146"/>
      <c r="OVO166" s="146"/>
      <c r="OVP166" s="146"/>
      <c r="OVQ166" s="146"/>
      <c r="OVR166" s="146"/>
      <c r="OVS166" s="146"/>
      <c r="OVT166" s="146"/>
      <c r="OVU166" s="146"/>
      <c r="OVV166" s="146"/>
      <c r="OVW166" s="146"/>
      <c r="OVX166" s="146"/>
      <c r="OVY166" s="146"/>
      <c r="OVZ166" s="146"/>
      <c r="OWA166" s="146"/>
      <c r="OWB166" s="146"/>
      <c r="OWC166" s="146"/>
      <c r="OWD166" s="146"/>
      <c r="OWE166" s="146"/>
      <c r="OWF166" s="146"/>
      <c r="OWG166" s="146"/>
      <c r="OWH166" s="146"/>
      <c r="OWI166" s="146"/>
      <c r="OWJ166" s="146"/>
      <c r="OWK166" s="146"/>
      <c r="OWL166" s="146"/>
      <c r="OWM166" s="146"/>
      <c r="OWN166" s="146"/>
      <c r="OWO166" s="146"/>
      <c r="OWP166" s="146"/>
      <c r="OWQ166" s="146"/>
      <c r="OWR166" s="146"/>
      <c r="OWS166" s="146"/>
      <c r="OWT166" s="146"/>
      <c r="OWU166" s="146"/>
      <c r="OWV166" s="146"/>
      <c r="OWW166" s="146"/>
      <c r="OWX166" s="146"/>
      <c r="OWY166" s="146"/>
      <c r="OWZ166" s="146"/>
      <c r="OXA166" s="146"/>
      <c r="OXB166" s="146"/>
      <c r="OXC166" s="146"/>
      <c r="OXD166" s="146"/>
      <c r="OXE166" s="146"/>
      <c r="OXF166" s="146"/>
      <c r="OXG166" s="146"/>
      <c r="OXH166" s="146"/>
      <c r="OXI166" s="146"/>
      <c r="OXJ166" s="146"/>
      <c r="OXK166" s="146"/>
      <c r="OXL166" s="146"/>
      <c r="OXM166" s="146"/>
      <c r="OXN166" s="146"/>
      <c r="OXO166" s="146"/>
      <c r="OXP166" s="146"/>
      <c r="OXQ166" s="146"/>
      <c r="OXR166" s="146"/>
      <c r="OXS166" s="146"/>
      <c r="OXT166" s="146"/>
      <c r="OXU166" s="146"/>
      <c r="OXV166" s="146"/>
      <c r="OXW166" s="146"/>
      <c r="OXX166" s="146"/>
      <c r="OXY166" s="146"/>
      <c r="OXZ166" s="146"/>
      <c r="OYA166" s="146"/>
      <c r="OYB166" s="146"/>
      <c r="OYC166" s="146"/>
      <c r="OYD166" s="146"/>
      <c r="OYE166" s="146"/>
      <c r="OYF166" s="146"/>
      <c r="OYG166" s="146"/>
      <c r="OYH166" s="146"/>
      <c r="OYI166" s="146"/>
      <c r="OYJ166" s="146"/>
      <c r="OYK166" s="146"/>
      <c r="OYL166" s="146"/>
      <c r="OYM166" s="146"/>
      <c r="OYN166" s="146"/>
      <c r="OYO166" s="146"/>
      <c r="OYP166" s="146"/>
      <c r="OYQ166" s="146"/>
      <c r="OYR166" s="146"/>
      <c r="OYS166" s="146"/>
      <c r="OYT166" s="146"/>
      <c r="OYU166" s="146"/>
      <c r="OYV166" s="146"/>
      <c r="OYW166" s="146"/>
      <c r="OYX166" s="146"/>
      <c r="OYY166" s="146"/>
      <c r="OYZ166" s="146"/>
      <c r="OZA166" s="146"/>
      <c r="OZB166" s="146"/>
      <c r="OZC166" s="146"/>
      <c r="OZD166" s="146"/>
      <c r="OZE166" s="146"/>
      <c r="OZF166" s="146"/>
      <c r="OZG166" s="146"/>
      <c r="OZH166" s="146"/>
      <c r="OZI166" s="146"/>
      <c r="OZJ166" s="146"/>
      <c r="OZK166" s="146"/>
      <c r="OZL166" s="146"/>
      <c r="OZM166" s="146"/>
      <c r="OZN166" s="146"/>
      <c r="OZO166" s="146"/>
      <c r="OZP166" s="146"/>
      <c r="OZQ166" s="146"/>
      <c r="OZR166" s="146"/>
      <c r="OZS166" s="146"/>
      <c r="OZT166" s="146"/>
      <c r="OZU166" s="146"/>
      <c r="OZV166" s="146"/>
      <c r="OZW166" s="146"/>
      <c r="OZX166" s="146"/>
      <c r="OZY166" s="146"/>
      <c r="OZZ166" s="146"/>
      <c r="PAA166" s="146"/>
      <c r="PAB166" s="146"/>
      <c r="PAC166" s="146"/>
      <c r="PAD166" s="146"/>
      <c r="PAE166" s="146"/>
      <c r="PAF166" s="146"/>
      <c r="PAG166" s="146"/>
      <c r="PAH166" s="146"/>
      <c r="PAI166" s="146"/>
      <c r="PAJ166" s="146"/>
      <c r="PAK166" s="146"/>
      <c r="PAL166" s="146"/>
      <c r="PAM166" s="146"/>
      <c r="PAN166" s="146"/>
      <c r="PAO166" s="146"/>
      <c r="PAP166" s="146"/>
      <c r="PAQ166" s="146"/>
      <c r="PAR166" s="146"/>
      <c r="PAS166" s="146"/>
      <c r="PAT166" s="146"/>
      <c r="PAU166" s="146"/>
      <c r="PAV166" s="146"/>
      <c r="PAW166" s="146"/>
      <c r="PAX166" s="146"/>
      <c r="PAY166" s="146"/>
      <c r="PAZ166" s="146"/>
      <c r="PBA166" s="146"/>
      <c r="PBB166" s="146"/>
      <c r="PBC166" s="146"/>
      <c r="PBD166" s="146"/>
      <c r="PBE166" s="146"/>
      <c r="PBF166" s="146"/>
      <c r="PBG166" s="146"/>
      <c r="PBH166" s="146"/>
      <c r="PBI166" s="146"/>
      <c r="PBJ166" s="146"/>
      <c r="PBK166" s="146"/>
      <c r="PBL166" s="146"/>
      <c r="PBM166" s="146"/>
      <c r="PBN166" s="146"/>
      <c r="PBO166" s="146"/>
      <c r="PBP166" s="146"/>
      <c r="PBQ166" s="146"/>
      <c r="PBR166" s="146"/>
      <c r="PBS166" s="146"/>
      <c r="PBT166" s="146"/>
      <c r="PBU166" s="146"/>
      <c r="PBV166" s="146"/>
      <c r="PBW166" s="146"/>
      <c r="PBX166" s="146"/>
      <c r="PBY166" s="146"/>
      <c r="PBZ166" s="146"/>
      <c r="PCA166" s="146"/>
      <c r="PCB166" s="146"/>
      <c r="PCC166" s="146"/>
      <c r="PCD166" s="146"/>
      <c r="PCE166" s="146"/>
      <c r="PCF166" s="146"/>
      <c r="PCG166" s="146"/>
      <c r="PCH166" s="146"/>
      <c r="PCI166" s="146"/>
      <c r="PCJ166" s="146"/>
      <c r="PCK166" s="146"/>
      <c r="PCL166" s="146"/>
      <c r="PCM166" s="146"/>
      <c r="PCN166" s="146"/>
      <c r="PCO166" s="146"/>
      <c r="PCP166" s="146"/>
      <c r="PCQ166" s="146"/>
      <c r="PCR166" s="146"/>
      <c r="PCS166" s="146"/>
      <c r="PCT166" s="146"/>
      <c r="PCU166" s="146"/>
      <c r="PCV166" s="146"/>
      <c r="PCW166" s="146"/>
      <c r="PCX166" s="146"/>
      <c r="PCY166" s="146"/>
      <c r="PCZ166" s="146"/>
      <c r="PDA166" s="146"/>
      <c r="PDB166" s="146"/>
      <c r="PDC166" s="146"/>
      <c r="PDD166" s="146"/>
      <c r="PDE166" s="146"/>
      <c r="PDF166" s="146"/>
      <c r="PDG166" s="146"/>
      <c r="PDH166" s="146"/>
      <c r="PDI166" s="146"/>
      <c r="PDJ166" s="146"/>
      <c r="PDK166" s="146"/>
      <c r="PDL166" s="146"/>
      <c r="PDM166" s="146"/>
      <c r="PDN166" s="146"/>
      <c r="PDO166" s="146"/>
      <c r="PDP166" s="146"/>
      <c r="PDQ166" s="146"/>
      <c r="PDR166" s="146"/>
      <c r="PDS166" s="146"/>
      <c r="PDT166" s="146"/>
      <c r="PDU166" s="146"/>
      <c r="PDV166" s="146"/>
      <c r="PDW166" s="146"/>
      <c r="PDX166" s="146"/>
      <c r="PDY166" s="146"/>
      <c r="PDZ166" s="146"/>
      <c r="PEA166" s="146"/>
      <c r="PEB166" s="146"/>
      <c r="PEC166" s="146"/>
      <c r="PED166" s="146"/>
      <c r="PEE166" s="146"/>
      <c r="PEF166" s="146"/>
      <c r="PEG166" s="146"/>
      <c r="PEH166" s="146"/>
      <c r="PEI166" s="146"/>
      <c r="PEJ166" s="146"/>
      <c r="PEK166" s="146"/>
      <c r="PEL166" s="146"/>
      <c r="PEM166" s="146"/>
      <c r="PEN166" s="146"/>
      <c r="PEO166" s="146"/>
      <c r="PEP166" s="146"/>
      <c r="PEQ166" s="146"/>
      <c r="PER166" s="146"/>
      <c r="PES166" s="146"/>
      <c r="PET166" s="146"/>
      <c r="PEU166" s="146"/>
      <c r="PEV166" s="146"/>
      <c r="PEW166" s="146"/>
      <c r="PEX166" s="146"/>
      <c r="PEY166" s="146"/>
      <c r="PEZ166" s="146"/>
      <c r="PFA166" s="146"/>
      <c r="PFB166" s="146"/>
      <c r="PFC166" s="146"/>
      <c r="PFD166" s="146"/>
      <c r="PFE166" s="146"/>
      <c r="PFF166" s="146"/>
      <c r="PFG166" s="146"/>
      <c r="PFH166" s="146"/>
      <c r="PFI166" s="146"/>
      <c r="PFJ166" s="146"/>
      <c r="PFK166" s="146"/>
      <c r="PFL166" s="146"/>
      <c r="PFM166" s="146"/>
      <c r="PFN166" s="146"/>
      <c r="PFO166" s="146"/>
      <c r="PFP166" s="146"/>
      <c r="PFQ166" s="146"/>
      <c r="PFR166" s="146"/>
      <c r="PFS166" s="146"/>
      <c r="PFT166" s="146"/>
      <c r="PFU166" s="146"/>
      <c r="PFV166" s="146"/>
      <c r="PFW166" s="146"/>
      <c r="PFX166" s="146"/>
      <c r="PFY166" s="146"/>
      <c r="PFZ166" s="146"/>
      <c r="PGA166" s="146"/>
      <c r="PGB166" s="146"/>
      <c r="PGC166" s="146"/>
      <c r="PGD166" s="146"/>
      <c r="PGE166" s="146"/>
      <c r="PGF166" s="146"/>
      <c r="PGG166" s="146"/>
      <c r="PGH166" s="146"/>
      <c r="PGI166" s="146"/>
      <c r="PGJ166" s="146"/>
      <c r="PGK166" s="146"/>
      <c r="PGL166" s="146"/>
      <c r="PGM166" s="146"/>
      <c r="PGN166" s="146"/>
      <c r="PGO166" s="146"/>
      <c r="PGP166" s="146"/>
      <c r="PGQ166" s="146"/>
      <c r="PGR166" s="146"/>
      <c r="PGS166" s="146"/>
      <c r="PGT166" s="146"/>
      <c r="PGU166" s="146"/>
      <c r="PGV166" s="146"/>
      <c r="PGW166" s="146"/>
      <c r="PGX166" s="146"/>
      <c r="PGY166" s="146"/>
      <c r="PGZ166" s="146"/>
      <c r="PHA166" s="146"/>
      <c r="PHB166" s="146"/>
      <c r="PHC166" s="146"/>
      <c r="PHD166" s="146"/>
      <c r="PHE166" s="146"/>
      <c r="PHF166" s="146"/>
      <c r="PHG166" s="146"/>
      <c r="PHH166" s="146"/>
      <c r="PHI166" s="146"/>
      <c r="PHJ166" s="146"/>
      <c r="PHK166" s="146"/>
      <c r="PHL166" s="146"/>
      <c r="PHM166" s="146"/>
      <c r="PHN166" s="146"/>
      <c r="PHO166" s="146"/>
      <c r="PHP166" s="146"/>
      <c r="PHQ166" s="146"/>
      <c r="PHR166" s="146"/>
      <c r="PHS166" s="146"/>
      <c r="PHT166" s="146"/>
      <c r="PHU166" s="146"/>
      <c r="PHV166" s="146"/>
      <c r="PHW166" s="146"/>
      <c r="PHX166" s="146"/>
      <c r="PHY166" s="146"/>
      <c r="PHZ166" s="146"/>
      <c r="PIA166" s="146"/>
      <c r="PIB166" s="146"/>
      <c r="PIC166" s="146"/>
      <c r="PID166" s="146"/>
      <c r="PIE166" s="146"/>
      <c r="PIF166" s="146"/>
      <c r="PIG166" s="146"/>
      <c r="PIH166" s="146"/>
      <c r="PII166" s="146"/>
      <c r="PIJ166" s="146"/>
      <c r="PIK166" s="146"/>
      <c r="PIL166" s="146"/>
      <c r="PIM166" s="146"/>
      <c r="PIN166" s="146"/>
      <c r="PIO166" s="146"/>
      <c r="PIP166" s="146"/>
      <c r="PIQ166" s="146"/>
      <c r="PIR166" s="146"/>
      <c r="PIS166" s="146"/>
      <c r="PIT166" s="146"/>
      <c r="PIU166" s="146"/>
      <c r="PIV166" s="146"/>
      <c r="PIW166" s="146"/>
      <c r="PIX166" s="146"/>
      <c r="PIY166" s="146"/>
      <c r="PIZ166" s="146"/>
      <c r="PJA166" s="146"/>
      <c r="PJB166" s="146"/>
      <c r="PJC166" s="146"/>
      <c r="PJD166" s="146"/>
      <c r="PJE166" s="146"/>
      <c r="PJF166" s="146"/>
      <c r="PJG166" s="146"/>
      <c r="PJH166" s="146"/>
      <c r="PJI166" s="146"/>
      <c r="PJJ166" s="146"/>
      <c r="PJK166" s="146"/>
      <c r="PJL166" s="146"/>
      <c r="PJM166" s="146"/>
      <c r="PJN166" s="146"/>
      <c r="PJO166" s="146"/>
      <c r="PJP166" s="146"/>
      <c r="PJQ166" s="146"/>
      <c r="PJR166" s="146"/>
      <c r="PJS166" s="146"/>
      <c r="PJT166" s="146"/>
      <c r="PJU166" s="146"/>
      <c r="PJV166" s="146"/>
      <c r="PJW166" s="146"/>
      <c r="PJX166" s="146"/>
      <c r="PJY166" s="146"/>
      <c r="PJZ166" s="146"/>
      <c r="PKA166" s="146"/>
      <c r="PKB166" s="146"/>
      <c r="PKC166" s="146"/>
      <c r="PKD166" s="146"/>
      <c r="PKE166" s="146"/>
      <c r="PKF166" s="146"/>
      <c r="PKG166" s="146"/>
      <c r="PKH166" s="146"/>
      <c r="PKI166" s="146"/>
      <c r="PKJ166" s="146"/>
      <c r="PKK166" s="146"/>
      <c r="PKL166" s="146"/>
      <c r="PKM166" s="146"/>
      <c r="PKN166" s="146"/>
      <c r="PKO166" s="146"/>
      <c r="PKP166" s="146"/>
      <c r="PKQ166" s="146"/>
      <c r="PKR166" s="146"/>
      <c r="PKS166" s="146"/>
      <c r="PKT166" s="146"/>
      <c r="PKU166" s="146"/>
      <c r="PKV166" s="146"/>
      <c r="PKW166" s="146"/>
      <c r="PKX166" s="146"/>
      <c r="PKY166" s="146"/>
      <c r="PKZ166" s="146"/>
      <c r="PLA166" s="146"/>
      <c r="PLB166" s="146"/>
      <c r="PLC166" s="146"/>
      <c r="PLD166" s="146"/>
      <c r="PLE166" s="146"/>
      <c r="PLF166" s="146"/>
      <c r="PLG166" s="146"/>
      <c r="PLH166" s="146"/>
      <c r="PLI166" s="146"/>
      <c r="PLJ166" s="146"/>
      <c r="PLK166" s="146"/>
      <c r="PLL166" s="146"/>
      <c r="PLM166" s="146"/>
      <c r="PLN166" s="146"/>
      <c r="PLO166" s="146"/>
      <c r="PLP166" s="146"/>
      <c r="PLQ166" s="146"/>
      <c r="PLR166" s="146"/>
      <c r="PLS166" s="146"/>
      <c r="PLT166" s="146"/>
      <c r="PLU166" s="146"/>
      <c r="PLV166" s="146"/>
      <c r="PLW166" s="146"/>
      <c r="PLX166" s="146"/>
      <c r="PLY166" s="146"/>
      <c r="PLZ166" s="146"/>
      <c r="PMA166" s="146"/>
      <c r="PMB166" s="146"/>
      <c r="PMC166" s="146"/>
      <c r="PMD166" s="146"/>
      <c r="PME166" s="146"/>
      <c r="PMF166" s="146"/>
      <c r="PMG166" s="146"/>
      <c r="PMH166" s="146"/>
      <c r="PMI166" s="146"/>
      <c r="PMJ166" s="146"/>
      <c r="PMK166" s="146"/>
      <c r="PML166" s="146"/>
      <c r="PMM166" s="146"/>
      <c r="PMN166" s="146"/>
      <c r="PMO166" s="146"/>
      <c r="PMP166" s="146"/>
      <c r="PMQ166" s="146"/>
      <c r="PMR166" s="146"/>
      <c r="PMS166" s="146"/>
      <c r="PMT166" s="146"/>
      <c r="PMU166" s="146"/>
      <c r="PMV166" s="146"/>
      <c r="PMW166" s="146"/>
      <c r="PMX166" s="146"/>
      <c r="PMY166" s="146"/>
      <c r="PMZ166" s="146"/>
      <c r="PNA166" s="146"/>
      <c r="PNB166" s="146"/>
      <c r="PNC166" s="146"/>
      <c r="PND166" s="146"/>
      <c r="PNE166" s="146"/>
      <c r="PNF166" s="146"/>
      <c r="PNG166" s="146"/>
      <c r="PNH166" s="146"/>
      <c r="PNI166" s="146"/>
      <c r="PNJ166" s="146"/>
      <c r="PNK166" s="146"/>
      <c r="PNL166" s="146"/>
      <c r="PNM166" s="146"/>
      <c r="PNN166" s="146"/>
      <c r="PNO166" s="146"/>
      <c r="PNP166" s="146"/>
      <c r="PNQ166" s="146"/>
      <c r="PNR166" s="146"/>
      <c r="PNS166" s="146"/>
      <c r="PNT166" s="146"/>
      <c r="PNU166" s="146"/>
      <c r="PNV166" s="146"/>
      <c r="PNW166" s="146"/>
      <c r="PNX166" s="146"/>
      <c r="PNY166" s="146"/>
      <c r="PNZ166" s="146"/>
      <c r="POA166" s="146"/>
      <c r="POB166" s="146"/>
      <c r="POC166" s="146"/>
      <c r="POD166" s="146"/>
      <c r="POE166" s="146"/>
      <c r="POF166" s="146"/>
      <c r="POG166" s="146"/>
      <c r="POH166" s="146"/>
      <c r="POI166" s="146"/>
      <c r="POJ166" s="146"/>
      <c r="POK166" s="146"/>
      <c r="POL166" s="146"/>
      <c r="POM166" s="146"/>
      <c r="PON166" s="146"/>
      <c r="POO166" s="146"/>
      <c r="POP166" s="146"/>
      <c r="POQ166" s="146"/>
      <c r="POR166" s="146"/>
      <c r="POS166" s="146"/>
      <c r="POT166" s="146"/>
      <c r="POU166" s="146"/>
      <c r="POV166" s="146"/>
      <c r="POW166" s="146"/>
      <c r="POX166" s="146"/>
      <c r="POY166" s="146"/>
      <c r="POZ166" s="146"/>
      <c r="PPA166" s="146"/>
      <c r="PPB166" s="146"/>
      <c r="PPC166" s="146"/>
      <c r="PPD166" s="146"/>
      <c r="PPE166" s="146"/>
      <c r="PPF166" s="146"/>
      <c r="PPG166" s="146"/>
      <c r="PPH166" s="146"/>
      <c r="PPI166" s="146"/>
      <c r="PPJ166" s="146"/>
      <c r="PPK166" s="146"/>
      <c r="PPL166" s="146"/>
      <c r="PPM166" s="146"/>
      <c r="PPN166" s="146"/>
      <c r="PPO166" s="146"/>
      <c r="PPP166" s="146"/>
      <c r="PPQ166" s="146"/>
      <c r="PPR166" s="146"/>
      <c r="PPS166" s="146"/>
      <c r="PPT166" s="146"/>
      <c r="PPU166" s="146"/>
      <c r="PPV166" s="146"/>
      <c r="PPW166" s="146"/>
      <c r="PPX166" s="146"/>
      <c r="PPY166" s="146"/>
      <c r="PPZ166" s="146"/>
      <c r="PQA166" s="146"/>
      <c r="PQB166" s="146"/>
      <c r="PQC166" s="146"/>
      <c r="PQD166" s="146"/>
      <c r="PQE166" s="146"/>
      <c r="PQF166" s="146"/>
      <c r="PQG166" s="146"/>
      <c r="PQH166" s="146"/>
      <c r="PQI166" s="146"/>
      <c r="PQJ166" s="146"/>
      <c r="PQK166" s="146"/>
      <c r="PQL166" s="146"/>
      <c r="PQM166" s="146"/>
      <c r="PQN166" s="146"/>
      <c r="PQO166" s="146"/>
      <c r="PQP166" s="146"/>
      <c r="PQQ166" s="146"/>
      <c r="PQR166" s="146"/>
      <c r="PQS166" s="146"/>
      <c r="PQT166" s="146"/>
      <c r="PQU166" s="146"/>
      <c r="PQV166" s="146"/>
      <c r="PQW166" s="146"/>
      <c r="PQX166" s="146"/>
      <c r="PQY166" s="146"/>
      <c r="PQZ166" s="146"/>
      <c r="PRA166" s="146"/>
      <c r="PRB166" s="146"/>
      <c r="PRC166" s="146"/>
      <c r="PRD166" s="146"/>
      <c r="PRE166" s="146"/>
      <c r="PRF166" s="146"/>
      <c r="PRG166" s="146"/>
      <c r="PRH166" s="146"/>
      <c r="PRI166" s="146"/>
      <c r="PRJ166" s="146"/>
      <c r="PRK166" s="146"/>
      <c r="PRL166" s="146"/>
      <c r="PRM166" s="146"/>
      <c r="PRN166" s="146"/>
      <c r="PRO166" s="146"/>
      <c r="PRP166" s="146"/>
      <c r="PRQ166" s="146"/>
      <c r="PRR166" s="146"/>
      <c r="PRS166" s="146"/>
      <c r="PRT166" s="146"/>
      <c r="PRU166" s="146"/>
      <c r="PRV166" s="146"/>
      <c r="PRW166" s="146"/>
      <c r="PRX166" s="146"/>
      <c r="PRY166" s="146"/>
      <c r="PRZ166" s="146"/>
      <c r="PSA166" s="146"/>
      <c r="PSB166" s="146"/>
      <c r="PSC166" s="146"/>
      <c r="PSD166" s="146"/>
      <c r="PSE166" s="146"/>
      <c r="PSF166" s="146"/>
      <c r="PSG166" s="146"/>
      <c r="PSH166" s="146"/>
      <c r="PSI166" s="146"/>
      <c r="PSJ166" s="146"/>
      <c r="PSK166" s="146"/>
      <c r="PSL166" s="146"/>
      <c r="PSM166" s="146"/>
      <c r="PSN166" s="146"/>
      <c r="PSO166" s="146"/>
      <c r="PSP166" s="146"/>
      <c r="PSQ166" s="146"/>
      <c r="PSR166" s="146"/>
      <c r="PSS166" s="146"/>
      <c r="PST166" s="146"/>
      <c r="PSU166" s="146"/>
      <c r="PSV166" s="146"/>
      <c r="PSW166" s="146"/>
      <c r="PSX166" s="146"/>
      <c r="PSY166" s="146"/>
      <c r="PSZ166" s="146"/>
      <c r="PTA166" s="146"/>
      <c r="PTB166" s="146"/>
      <c r="PTC166" s="146"/>
      <c r="PTD166" s="146"/>
      <c r="PTE166" s="146"/>
      <c r="PTF166" s="146"/>
      <c r="PTG166" s="146"/>
      <c r="PTH166" s="146"/>
      <c r="PTI166" s="146"/>
      <c r="PTJ166" s="146"/>
      <c r="PTK166" s="146"/>
      <c r="PTL166" s="146"/>
      <c r="PTM166" s="146"/>
      <c r="PTN166" s="146"/>
      <c r="PTO166" s="146"/>
      <c r="PTP166" s="146"/>
      <c r="PTQ166" s="146"/>
      <c r="PTR166" s="146"/>
      <c r="PTS166" s="146"/>
      <c r="PTT166" s="146"/>
      <c r="PTU166" s="146"/>
      <c r="PTV166" s="146"/>
      <c r="PTW166" s="146"/>
      <c r="PTX166" s="146"/>
      <c r="PTY166" s="146"/>
      <c r="PTZ166" s="146"/>
      <c r="PUA166" s="146"/>
      <c r="PUB166" s="146"/>
      <c r="PUC166" s="146"/>
      <c r="PUD166" s="146"/>
      <c r="PUE166" s="146"/>
      <c r="PUF166" s="146"/>
      <c r="PUG166" s="146"/>
      <c r="PUH166" s="146"/>
      <c r="PUI166" s="146"/>
      <c r="PUJ166" s="146"/>
      <c r="PUK166" s="146"/>
      <c r="PUL166" s="146"/>
      <c r="PUM166" s="146"/>
      <c r="PUN166" s="146"/>
      <c r="PUO166" s="146"/>
      <c r="PUP166" s="146"/>
      <c r="PUQ166" s="146"/>
      <c r="PUR166" s="146"/>
      <c r="PUS166" s="146"/>
      <c r="PUT166" s="146"/>
      <c r="PUU166" s="146"/>
      <c r="PUV166" s="146"/>
      <c r="PUW166" s="146"/>
      <c r="PUX166" s="146"/>
      <c r="PUY166" s="146"/>
      <c r="PUZ166" s="146"/>
      <c r="PVA166" s="146"/>
      <c r="PVB166" s="146"/>
      <c r="PVC166" s="146"/>
      <c r="PVD166" s="146"/>
      <c r="PVE166" s="146"/>
      <c r="PVF166" s="146"/>
      <c r="PVG166" s="146"/>
      <c r="PVH166" s="146"/>
      <c r="PVI166" s="146"/>
      <c r="PVJ166" s="146"/>
      <c r="PVK166" s="146"/>
      <c r="PVL166" s="146"/>
      <c r="PVM166" s="146"/>
      <c r="PVN166" s="146"/>
      <c r="PVO166" s="146"/>
      <c r="PVP166" s="146"/>
      <c r="PVQ166" s="146"/>
      <c r="PVR166" s="146"/>
      <c r="PVS166" s="146"/>
      <c r="PVT166" s="146"/>
      <c r="PVU166" s="146"/>
      <c r="PVV166" s="146"/>
      <c r="PVW166" s="146"/>
      <c r="PVX166" s="146"/>
      <c r="PVY166" s="146"/>
      <c r="PVZ166" s="146"/>
      <c r="PWA166" s="146"/>
      <c r="PWB166" s="146"/>
      <c r="PWC166" s="146"/>
      <c r="PWD166" s="146"/>
      <c r="PWE166" s="146"/>
      <c r="PWF166" s="146"/>
      <c r="PWG166" s="146"/>
      <c r="PWH166" s="146"/>
      <c r="PWI166" s="146"/>
      <c r="PWJ166" s="146"/>
      <c r="PWK166" s="146"/>
      <c r="PWL166" s="146"/>
      <c r="PWM166" s="146"/>
      <c r="PWN166" s="146"/>
      <c r="PWO166" s="146"/>
      <c r="PWP166" s="146"/>
      <c r="PWQ166" s="146"/>
      <c r="PWR166" s="146"/>
      <c r="PWS166" s="146"/>
      <c r="PWT166" s="146"/>
      <c r="PWU166" s="146"/>
      <c r="PWV166" s="146"/>
      <c r="PWW166" s="146"/>
      <c r="PWX166" s="146"/>
      <c r="PWY166" s="146"/>
      <c r="PWZ166" s="146"/>
      <c r="PXA166" s="146"/>
      <c r="PXB166" s="146"/>
      <c r="PXC166" s="146"/>
      <c r="PXD166" s="146"/>
      <c r="PXE166" s="146"/>
      <c r="PXF166" s="146"/>
      <c r="PXG166" s="146"/>
      <c r="PXH166" s="146"/>
      <c r="PXI166" s="146"/>
      <c r="PXJ166" s="146"/>
      <c r="PXK166" s="146"/>
      <c r="PXL166" s="146"/>
      <c r="PXM166" s="146"/>
      <c r="PXN166" s="146"/>
      <c r="PXO166" s="146"/>
      <c r="PXP166" s="146"/>
      <c r="PXQ166" s="146"/>
      <c r="PXR166" s="146"/>
      <c r="PXS166" s="146"/>
      <c r="PXT166" s="146"/>
      <c r="PXU166" s="146"/>
      <c r="PXV166" s="146"/>
      <c r="PXW166" s="146"/>
      <c r="PXX166" s="146"/>
      <c r="PXY166" s="146"/>
      <c r="PXZ166" s="146"/>
      <c r="PYA166" s="146"/>
      <c r="PYB166" s="146"/>
      <c r="PYC166" s="146"/>
      <c r="PYD166" s="146"/>
      <c r="PYE166" s="146"/>
      <c r="PYF166" s="146"/>
      <c r="PYG166" s="146"/>
      <c r="PYH166" s="146"/>
      <c r="PYI166" s="146"/>
      <c r="PYJ166" s="146"/>
      <c r="PYK166" s="146"/>
      <c r="PYL166" s="146"/>
      <c r="PYM166" s="146"/>
      <c r="PYN166" s="146"/>
      <c r="PYO166" s="146"/>
      <c r="PYP166" s="146"/>
      <c r="PYQ166" s="146"/>
      <c r="PYR166" s="146"/>
      <c r="PYS166" s="146"/>
      <c r="PYT166" s="146"/>
      <c r="PYU166" s="146"/>
      <c r="PYV166" s="146"/>
      <c r="PYW166" s="146"/>
      <c r="PYX166" s="146"/>
      <c r="PYY166" s="146"/>
      <c r="PYZ166" s="146"/>
      <c r="PZA166" s="146"/>
      <c r="PZB166" s="146"/>
      <c r="PZC166" s="146"/>
      <c r="PZD166" s="146"/>
      <c r="PZE166" s="146"/>
      <c r="PZF166" s="146"/>
      <c r="PZG166" s="146"/>
      <c r="PZH166" s="146"/>
      <c r="PZI166" s="146"/>
      <c r="PZJ166" s="146"/>
      <c r="PZK166" s="146"/>
      <c r="PZL166" s="146"/>
      <c r="PZM166" s="146"/>
      <c r="PZN166" s="146"/>
      <c r="PZO166" s="146"/>
      <c r="PZP166" s="146"/>
      <c r="PZQ166" s="146"/>
      <c r="PZR166" s="146"/>
      <c r="PZS166" s="146"/>
      <c r="PZT166" s="146"/>
      <c r="PZU166" s="146"/>
      <c r="PZV166" s="146"/>
      <c r="PZW166" s="146"/>
      <c r="PZX166" s="146"/>
      <c r="PZY166" s="146"/>
      <c r="PZZ166" s="146"/>
      <c r="QAA166" s="146"/>
      <c r="QAB166" s="146"/>
      <c r="QAC166" s="146"/>
      <c r="QAD166" s="146"/>
      <c r="QAE166" s="146"/>
      <c r="QAF166" s="146"/>
      <c r="QAG166" s="146"/>
      <c r="QAH166" s="146"/>
      <c r="QAI166" s="146"/>
      <c r="QAJ166" s="146"/>
      <c r="QAK166" s="146"/>
      <c r="QAL166" s="146"/>
      <c r="QAM166" s="146"/>
      <c r="QAN166" s="146"/>
      <c r="QAO166" s="146"/>
      <c r="QAP166" s="146"/>
      <c r="QAQ166" s="146"/>
      <c r="QAR166" s="146"/>
      <c r="QAS166" s="146"/>
      <c r="QAT166" s="146"/>
      <c r="QAU166" s="146"/>
      <c r="QAV166" s="146"/>
      <c r="QAW166" s="146"/>
      <c r="QAX166" s="146"/>
      <c r="QAY166" s="146"/>
      <c r="QAZ166" s="146"/>
      <c r="QBA166" s="146"/>
      <c r="QBB166" s="146"/>
      <c r="QBC166" s="146"/>
      <c r="QBD166" s="146"/>
      <c r="QBE166" s="146"/>
      <c r="QBF166" s="146"/>
      <c r="QBG166" s="146"/>
      <c r="QBH166" s="146"/>
      <c r="QBI166" s="146"/>
      <c r="QBJ166" s="146"/>
      <c r="QBK166" s="146"/>
      <c r="QBL166" s="146"/>
      <c r="QBM166" s="146"/>
      <c r="QBN166" s="146"/>
      <c r="QBO166" s="146"/>
      <c r="QBP166" s="146"/>
      <c r="QBQ166" s="146"/>
      <c r="QBR166" s="146"/>
      <c r="QBS166" s="146"/>
      <c r="QBT166" s="146"/>
      <c r="QBU166" s="146"/>
      <c r="QBV166" s="146"/>
      <c r="QBW166" s="146"/>
      <c r="QBX166" s="146"/>
      <c r="QBY166" s="146"/>
      <c r="QBZ166" s="146"/>
      <c r="QCA166" s="146"/>
      <c r="QCB166" s="146"/>
      <c r="QCC166" s="146"/>
      <c r="QCD166" s="146"/>
      <c r="QCE166" s="146"/>
      <c r="QCF166" s="146"/>
      <c r="QCG166" s="146"/>
      <c r="QCH166" s="146"/>
      <c r="QCI166" s="146"/>
      <c r="QCJ166" s="146"/>
      <c r="QCK166" s="146"/>
      <c r="QCL166" s="146"/>
      <c r="QCM166" s="146"/>
      <c r="QCN166" s="146"/>
      <c r="QCO166" s="146"/>
      <c r="QCP166" s="146"/>
      <c r="QCQ166" s="146"/>
      <c r="QCR166" s="146"/>
      <c r="QCS166" s="146"/>
      <c r="QCT166" s="146"/>
      <c r="QCU166" s="146"/>
      <c r="QCV166" s="146"/>
      <c r="QCW166" s="146"/>
      <c r="QCX166" s="146"/>
      <c r="QCY166" s="146"/>
      <c r="QCZ166" s="146"/>
      <c r="QDA166" s="146"/>
      <c r="QDB166" s="146"/>
      <c r="QDC166" s="146"/>
      <c r="QDD166" s="146"/>
      <c r="QDE166" s="146"/>
      <c r="QDF166" s="146"/>
      <c r="QDG166" s="146"/>
      <c r="QDH166" s="146"/>
      <c r="QDI166" s="146"/>
      <c r="QDJ166" s="146"/>
      <c r="QDK166" s="146"/>
      <c r="QDL166" s="146"/>
      <c r="QDM166" s="146"/>
      <c r="QDN166" s="146"/>
      <c r="QDO166" s="146"/>
      <c r="QDP166" s="146"/>
      <c r="QDQ166" s="146"/>
      <c r="QDR166" s="146"/>
      <c r="QDS166" s="146"/>
      <c r="QDT166" s="146"/>
      <c r="QDU166" s="146"/>
      <c r="QDV166" s="146"/>
      <c r="QDW166" s="146"/>
      <c r="QDX166" s="146"/>
      <c r="QDY166" s="146"/>
      <c r="QDZ166" s="146"/>
      <c r="QEA166" s="146"/>
      <c r="QEB166" s="146"/>
      <c r="QEC166" s="146"/>
      <c r="QED166" s="146"/>
      <c r="QEE166" s="146"/>
      <c r="QEF166" s="146"/>
      <c r="QEG166" s="146"/>
      <c r="QEH166" s="146"/>
      <c r="QEI166" s="146"/>
      <c r="QEJ166" s="146"/>
      <c r="QEK166" s="146"/>
      <c r="QEL166" s="146"/>
      <c r="QEM166" s="146"/>
      <c r="QEN166" s="146"/>
      <c r="QEO166" s="146"/>
      <c r="QEP166" s="146"/>
      <c r="QEQ166" s="146"/>
      <c r="QER166" s="146"/>
      <c r="QES166" s="146"/>
      <c r="QET166" s="146"/>
      <c r="QEU166" s="146"/>
      <c r="QEV166" s="146"/>
      <c r="QEW166" s="146"/>
      <c r="QEX166" s="146"/>
      <c r="QEY166" s="146"/>
      <c r="QEZ166" s="146"/>
      <c r="QFA166" s="146"/>
      <c r="QFB166" s="146"/>
      <c r="QFC166" s="146"/>
      <c r="QFD166" s="146"/>
      <c r="QFE166" s="146"/>
      <c r="QFF166" s="146"/>
      <c r="QFG166" s="146"/>
      <c r="QFH166" s="146"/>
      <c r="QFI166" s="146"/>
      <c r="QFJ166" s="146"/>
      <c r="QFK166" s="146"/>
      <c r="QFL166" s="146"/>
      <c r="QFM166" s="146"/>
      <c r="QFN166" s="146"/>
      <c r="QFO166" s="146"/>
      <c r="QFP166" s="146"/>
      <c r="QFQ166" s="146"/>
      <c r="QFR166" s="146"/>
      <c r="QFS166" s="146"/>
      <c r="QFT166" s="146"/>
      <c r="QFU166" s="146"/>
      <c r="QFV166" s="146"/>
      <c r="QFW166" s="146"/>
      <c r="QFX166" s="146"/>
      <c r="QFY166" s="146"/>
      <c r="QFZ166" s="146"/>
      <c r="QGA166" s="146"/>
      <c r="QGB166" s="146"/>
      <c r="QGC166" s="146"/>
      <c r="QGD166" s="146"/>
      <c r="QGE166" s="146"/>
      <c r="QGF166" s="146"/>
      <c r="QGG166" s="146"/>
      <c r="QGH166" s="146"/>
      <c r="QGI166" s="146"/>
      <c r="QGJ166" s="146"/>
      <c r="QGK166" s="146"/>
      <c r="QGL166" s="146"/>
      <c r="QGM166" s="146"/>
      <c r="QGN166" s="146"/>
      <c r="QGO166" s="146"/>
      <c r="QGP166" s="146"/>
      <c r="QGQ166" s="146"/>
      <c r="QGR166" s="146"/>
      <c r="QGS166" s="146"/>
      <c r="QGT166" s="146"/>
      <c r="QGU166" s="146"/>
      <c r="QGV166" s="146"/>
      <c r="QGW166" s="146"/>
      <c r="QGX166" s="146"/>
      <c r="QGY166" s="146"/>
      <c r="QGZ166" s="146"/>
      <c r="QHA166" s="146"/>
      <c r="QHB166" s="146"/>
      <c r="QHC166" s="146"/>
      <c r="QHD166" s="146"/>
      <c r="QHE166" s="146"/>
      <c r="QHF166" s="146"/>
      <c r="QHG166" s="146"/>
      <c r="QHH166" s="146"/>
      <c r="QHI166" s="146"/>
      <c r="QHJ166" s="146"/>
      <c r="QHK166" s="146"/>
      <c r="QHL166" s="146"/>
      <c r="QHM166" s="146"/>
      <c r="QHN166" s="146"/>
      <c r="QHO166" s="146"/>
      <c r="QHP166" s="146"/>
      <c r="QHQ166" s="146"/>
      <c r="QHR166" s="146"/>
      <c r="QHS166" s="146"/>
      <c r="QHT166" s="146"/>
      <c r="QHU166" s="146"/>
      <c r="QHV166" s="146"/>
      <c r="QHW166" s="146"/>
      <c r="QHX166" s="146"/>
      <c r="QHY166" s="146"/>
      <c r="QHZ166" s="146"/>
      <c r="QIA166" s="146"/>
      <c r="QIB166" s="146"/>
      <c r="QIC166" s="146"/>
      <c r="QID166" s="146"/>
      <c r="QIE166" s="146"/>
      <c r="QIF166" s="146"/>
      <c r="QIG166" s="146"/>
      <c r="QIH166" s="146"/>
      <c r="QII166" s="146"/>
      <c r="QIJ166" s="146"/>
      <c r="QIK166" s="146"/>
      <c r="QIL166" s="146"/>
      <c r="QIM166" s="146"/>
      <c r="QIN166" s="146"/>
      <c r="QIO166" s="146"/>
      <c r="QIP166" s="146"/>
      <c r="QIQ166" s="146"/>
      <c r="QIR166" s="146"/>
      <c r="QIS166" s="146"/>
      <c r="QIT166" s="146"/>
      <c r="QIU166" s="146"/>
      <c r="QIV166" s="146"/>
      <c r="QIW166" s="146"/>
      <c r="QIX166" s="146"/>
      <c r="QIY166" s="146"/>
      <c r="QIZ166" s="146"/>
      <c r="QJA166" s="146"/>
      <c r="QJB166" s="146"/>
      <c r="QJC166" s="146"/>
      <c r="QJD166" s="146"/>
      <c r="QJE166" s="146"/>
      <c r="QJF166" s="146"/>
      <c r="QJG166" s="146"/>
      <c r="QJH166" s="146"/>
      <c r="QJI166" s="146"/>
      <c r="QJJ166" s="146"/>
      <c r="QJK166" s="146"/>
      <c r="QJL166" s="146"/>
      <c r="QJM166" s="146"/>
      <c r="QJN166" s="146"/>
      <c r="QJO166" s="146"/>
      <c r="QJP166" s="146"/>
      <c r="QJQ166" s="146"/>
      <c r="QJR166" s="146"/>
      <c r="QJS166" s="146"/>
      <c r="QJT166" s="146"/>
      <c r="QJU166" s="146"/>
      <c r="QJV166" s="146"/>
      <c r="QJW166" s="146"/>
      <c r="QJX166" s="146"/>
      <c r="QJY166" s="146"/>
      <c r="QJZ166" s="146"/>
      <c r="QKA166" s="146"/>
      <c r="QKB166" s="146"/>
      <c r="QKC166" s="146"/>
      <c r="QKD166" s="146"/>
      <c r="QKE166" s="146"/>
      <c r="QKF166" s="146"/>
      <c r="QKG166" s="146"/>
      <c r="QKH166" s="146"/>
      <c r="QKI166" s="146"/>
      <c r="QKJ166" s="146"/>
      <c r="QKK166" s="146"/>
      <c r="QKL166" s="146"/>
      <c r="QKM166" s="146"/>
      <c r="QKN166" s="146"/>
      <c r="QKO166" s="146"/>
      <c r="QKP166" s="146"/>
      <c r="QKQ166" s="146"/>
      <c r="QKR166" s="146"/>
      <c r="QKS166" s="146"/>
      <c r="QKT166" s="146"/>
      <c r="QKU166" s="146"/>
      <c r="QKV166" s="146"/>
      <c r="QKW166" s="146"/>
      <c r="QKX166" s="146"/>
      <c r="QKY166" s="146"/>
      <c r="QKZ166" s="146"/>
      <c r="QLA166" s="146"/>
      <c r="QLB166" s="146"/>
      <c r="QLC166" s="146"/>
      <c r="QLD166" s="146"/>
      <c r="QLE166" s="146"/>
      <c r="QLF166" s="146"/>
      <c r="QLG166" s="146"/>
      <c r="QLH166" s="146"/>
      <c r="QLI166" s="146"/>
      <c r="QLJ166" s="146"/>
      <c r="QLK166" s="146"/>
      <c r="QLL166" s="146"/>
      <c r="QLM166" s="146"/>
      <c r="QLN166" s="146"/>
      <c r="QLO166" s="146"/>
      <c r="QLP166" s="146"/>
      <c r="QLQ166" s="146"/>
      <c r="QLR166" s="146"/>
      <c r="QLS166" s="146"/>
      <c r="QLT166" s="146"/>
      <c r="QLU166" s="146"/>
      <c r="QLV166" s="146"/>
      <c r="QLW166" s="146"/>
      <c r="QLX166" s="146"/>
      <c r="QLY166" s="146"/>
      <c r="QLZ166" s="146"/>
      <c r="QMA166" s="146"/>
      <c r="QMB166" s="146"/>
      <c r="QMC166" s="146"/>
      <c r="QMD166" s="146"/>
      <c r="QME166" s="146"/>
      <c r="QMF166" s="146"/>
      <c r="QMG166" s="146"/>
      <c r="QMH166" s="146"/>
      <c r="QMI166" s="146"/>
      <c r="QMJ166" s="146"/>
      <c r="QMK166" s="146"/>
      <c r="QML166" s="146"/>
      <c r="QMM166" s="146"/>
      <c r="QMN166" s="146"/>
      <c r="QMO166" s="146"/>
      <c r="QMP166" s="146"/>
      <c r="QMQ166" s="146"/>
      <c r="QMR166" s="146"/>
      <c r="QMS166" s="146"/>
      <c r="QMT166" s="146"/>
      <c r="QMU166" s="146"/>
      <c r="QMV166" s="146"/>
      <c r="QMW166" s="146"/>
      <c r="QMX166" s="146"/>
      <c r="QMY166" s="146"/>
      <c r="QMZ166" s="146"/>
      <c r="QNA166" s="146"/>
      <c r="QNB166" s="146"/>
      <c r="QNC166" s="146"/>
      <c r="QND166" s="146"/>
      <c r="QNE166" s="146"/>
      <c r="QNF166" s="146"/>
      <c r="QNG166" s="146"/>
      <c r="QNH166" s="146"/>
      <c r="QNI166" s="146"/>
      <c r="QNJ166" s="146"/>
      <c r="QNK166" s="146"/>
      <c r="QNL166" s="146"/>
      <c r="QNM166" s="146"/>
      <c r="QNN166" s="146"/>
      <c r="QNO166" s="146"/>
      <c r="QNP166" s="146"/>
      <c r="QNQ166" s="146"/>
      <c r="QNR166" s="146"/>
      <c r="QNS166" s="146"/>
      <c r="QNT166" s="146"/>
      <c r="QNU166" s="146"/>
      <c r="QNV166" s="146"/>
      <c r="QNW166" s="146"/>
      <c r="QNX166" s="146"/>
      <c r="QNY166" s="146"/>
      <c r="QNZ166" s="146"/>
      <c r="QOA166" s="146"/>
      <c r="QOB166" s="146"/>
      <c r="QOC166" s="146"/>
      <c r="QOD166" s="146"/>
      <c r="QOE166" s="146"/>
      <c r="QOF166" s="146"/>
      <c r="QOG166" s="146"/>
      <c r="QOH166" s="146"/>
      <c r="QOI166" s="146"/>
      <c r="QOJ166" s="146"/>
      <c r="QOK166" s="146"/>
      <c r="QOL166" s="146"/>
      <c r="QOM166" s="146"/>
      <c r="QON166" s="146"/>
      <c r="QOO166" s="146"/>
      <c r="QOP166" s="146"/>
      <c r="QOQ166" s="146"/>
      <c r="QOR166" s="146"/>
      <c r="QOS166" s="146"/>
      <c r="QOT166" s="146"/>
      <c r="QOU166" s="146"/>
      <c r="QOV166" s="146"/>
      <c r="QOW166" s="146"/>
      <c r="QOX166" s="146"/>
      <c r="QOY166" s="146"/>
      <c r="QOZ166" s="146"/>
      <c r="QPA166" s="146"/>
      <c r="QPB166" s="146"/>
      <c r="QPC166" s="146"/>
      <c r="QPD166" s="146"/>
      <c r="QPE166" s="146"/>
      <c r="QPF166" s="146"/>
      <c r="QPG166" s="146"/>
      <c r="QPH166" s="146"/>
      <c r="QPI166" s="146"/>
      <c r="QPJ166" s="146"/>
      <c r="QPK166" s="146"/>
      <c r="QPL166" s="146"/>
      <c r="QPM166" s="146"/>
      <c r="QPN166" s="146"/>
      <c r="QPO166" s="146"/>
      <c r="QPP166" s="146"/>
      <c r="QPQ166" s="146"/>
      <c r="QPR166" s="146"/>
      <c r="QPS166" s="146"/>
      <c r="QPT166" s="146"/>
      <c r="QPU166" s="146"/>
      <c r="QPV166" s="146"/>
      <c r="QPW166" s="146"/>
      <c r="QPX166" s="146"/>
      <c r="QPY166" s="146"/>
      <c r="QPZ166" s="146"/>
      <c r="QQA166" s="146"/>
      <c r="QQB166" s="146"/>
      <c r="QQC166" s="146"/>
      <c r="QQD166" s="146"/>
      <c r="QQE166" s="146"/>
      <c r="QQF166" s="146"/>
      <c r="QQG166" s="146"/>
      <c r="QQH166" s="146"/>
      <c r="QQI166" s="146"/>
      <c r="QQJ166" s="146"/>
      <c r="QQK166" s="146"/>
      <c r="QQL166" s="146"/>
      <c r="QQM166" s="146"/>
      <c r="QQN166" s="146"/>
      <c r="QQO166" s="146"/>
      <c r="QQP166" s="146"/>
      <c r="QQQ166" s="146"/>
      <c r="QQR166" s="146"/>
      <c r="QQS166" s="146"/>
      <c r="QQT166" s="146"/>
      <c r="QQU166" s="146"/>
      <c r="QQV166" s="146"/>
      <c r="QQW166" s="146"/>
      <c r="QQX166" s="146"/>
      <c r="QQY166" s="146"/>
      <c r="QQZ166" s="146"/>
      <c r="QRA166" s="146"/>
      <c r="QRB166" s="146"/>
      <c r="QRC166" s="146"/>
      <c r="QRD166" s="146"/>
      <c r="QRE166" s="146"/>
      <c r="QRF166" s="146"/>
      <c r="QRG166" s="146"/>
      <c r="QRH166" s="146"/>
      <c r="QRI166" s="146"/>
      <c r="QRJ166" s="146"/>
      <c r="QRK166" s="146"/>
      <c r="QRL166" s="146"/>
      <c r="QRM166" s="146"/>
      <c r="QRN166" s="146"/>
      <c r="QRO166" s="146"/>
      <c r="QRP166" s="146"/>
      <c r="QRQ166" s="146"/>
      <c r="QRR166" s="146"/>
      <c r="QRS166" s="146"/>
      <c r="QRT166" s="146"/>
      <c r="QRU166" s="146"/>
      <c r="QRV166" s="146"/>
      <c r="QRW166" s="146"/>
      <c r="QRX166" s="146"/>
      <c r="QRY166" s="146"/>
      <c r="QRZ166" s="146"/>
      <c r="QSA166" s="146"/>
      <c r="QSB166" s="146"/>
      <c r="QSC166" s="146"/>
      <c r="QSD166" s="146"/>
      <c r="QSE166" s="146"/>
      <c r="QSF166" s="146"/>
      <c r="QSG166" s="146"/>
      <c r="QSH166" s="146"/>
      <c r="QSI166" s="146"/>
      <c r="QSJ166" s="146"/>
      <c r="QSK166" s="146"/>
      <c r="QSL166" s="146"/>
      <c r="QSM166" s="146"/>
      <c r="QSN166" s="146"/>
      <c r="QSO166" s="146"/>
      <c r="QSP166" s="146"/>
      <c r="QSQ166" s="146"/>
      <c r="QSR166" s="146"/>
      <c r="QSS166" s="146"/>
      <c r="QST166" s="146"/>
      <c r="QSU166" s="146"/>
      <c r="QSV166" s="146"/>
      <c r="QSW166" s="146"/>
      <c r="QSX166" s="146"/>
      <c r="QSY166" s="146"/>
      <c r="QSZ166" s="146"/>
      <c r="QTA166" s="146"/>
      <c r="QTB166" s="146"/>
      <c r="QTC166" s="146"/>
      <c r="QTD166" s="146"/>
      <c r="QTE166" s="146"/>
      <c r="QTF166" s="146"/>
      <c r="QTG166" s="146"/>
      <c r="QTH166" s="146"/>
      <c r="QTI166" s="146"/>
      <c r="QTJ166" s="146"/>
      <c r="QTK166" s="146"/>
      <c r="QTL166" s="146"/>
      <c r="QTM166" s="146"/>
      <c r="QTN166" s="146"/>
      <c r="QTO166" s="146"/>
      <c r="QTP166" s="146"/>
      <c r="QTQ166" s="146"/>
      <c r="QTR166" s="146"/>
      <c r="QTS166" s="146"/>
      <c r="QTT166" s="146"/>
      <c r="QTU166" s="146"/>
      <c r="QTV166" s="146"/>
      <c r="QTW166" s="146"/>
      <c r="QTX166" s="146"/>
      <c r="QTY166" s="146"/>
      <c r="QTZ166" s="146"/>
      <c r="QUA166" s="146"/>
      <c r="QUB166" s="146"/>
      <c r="QUC166" s="146"/>
      <c r="QUD166" s="146"/>
      <c r="QUE166" s="146"/>
      <c r="QUF166" s="146"/>
      <c r="QUG166" s="146"/>
      <c r="QUH166" s="146"/>
      <c r="QUI166" s="146"/>
      <c r="QUJ166" s="146"/>
      <c r="QUK166" s="146"/>
      <c r="QUL166" s="146"/>
      <c r="QUM166" s="146"/>
      <c r="QUN166" s="146"/>
      <c r="QUO166" s="146"/>
      <c r="QUP166" s="146"/>
      <c r="QUQ166" s="146"/>
      <c r="QUR166" s="146"/>
      <c r="QUS166" s="146"/>
      <c r="QUT166" s="146"/>
      <c r="QUU166" s="146"/>
      <c r="QUV166" s="146"/>
      <c r="QUW166" s="146"/>
      <c r="QUX166" s="146"/>
      <c r="QUY166" s="146"/>
      <c r="QUZ166" s="146"/>
      <c r="QVA166" s="146"/>
      <c r="QVB166" s="146"/>
      <c r="QVC166" s="146"/>
      <c r="QVD166" s="146"/>
      <c r="QVE166" s="146"/>
      <c r="QVF166" s="146"/>
      <c r="QVG166" s="146"/>
      <c r="QVH166" s="146"/>
      <c r="QVI166" s="146"/>
      <c r="QVJ166" s="146"/>
      <c r="QVK166" s="146"/>
      <c r="QVL166" s="146"/>
      <c r="QVM166" s="146"/>
      <c r="QVN166" s="146"/>
      <c r="QVO166" s="146"/>
      <c r="QVP166" s="146"/>
      <c r="QVQ166" s="146"/>
      <c r="QVR166" s="146"/>
      <c r="QVS166" s="146"/>
      <c r="QVT166" s="146"/>
      <c r="QVU166" s="146"/>
      <c r="QVV166" s="146"/>
      <c r="QVW166" s="146"/>
      <c r="QVX166" s="146"/>
      <c r="QVY166" s="146"/>
      <c r="QVZ166" s="146"/>
      <c r="QWA166" s="146"/>
      <c r="QWB166" s="146"/>
      <c r="QWC166" s="146"/>
      <c r="QWD166" s="146"/>
      <c r="QWE166" s="146"/>
      <c r="QWF166" s="146"/>
      <c r="QWG166" s="146"/>
      <c r="QWH166" s="146"/>
      <c r="QWI166" s="146"/>
      <c r="QWJ166" s="146"/>
      <c r="QWK166" s="146"/>
      <c r="QWL166" s="146"/>
      <c r="QWM166" s="146"/>
      <c r="QWN166" s="146"/>
      <c r="QWO166" s="146"/>
      <c r="QWP166" s="146"/>
      <c r="QWQ166" s="146"/>
      <c r="QWR166" s="146"/>
      <c r="QWS166" s="146"/>
      <c r="QWT166" s="146"/>
      <c r="QWU166" s="146"/>
      <c r="QWV166" s="146"/>
      <c r="QWW166" s="146"/>
      <c r="QWX166" s="146"/>
      <c r="QWY166" s="146"/>
      <c r="QWZ166" s="146"/>
      <c r="QXA166" s="146"/>
      <c r="QXB166" s="146"/>
      <c r="QXC166" s="146"/>
      <c r="QXD166" s="146"/>
      <c r="QXE166" s="146"/>
      <c r="QXF166" s="146"/>
      <c r="QXG166" s="146"/>
      <c r="QXH166" s="146"/>
      <c r="QXI166" s="146"/>
      <c r="QXJ166" s="146"/>
      <c r="QXK166" s="146"/>
      <c r="QXL166" s="146"/>
      <c r="QXM166" s="146"/>
      <c r="QXN166" s="146"/>
      <c r="QXO166" s="146"/>
      <c r="QXP166" s="146"/>
      <c r="QXQ166" s="146"/>
      <c r="QXR166" s="146"/>
      <c r="QXS166" s="146"/>
      <c r="QXT166" s="146"/>
      <c r="QXU166" s="146"/>
      <c r="QXV166" s="146"/>
      <c r="QXW166" s="146"/>
      <c r="QXX166" s="146"/>
      <c r="QXY166" s="146"/>
      <c r="QXZ166" s="146"/>
      <c r="QYA166" s="146"/>
      <c r="QYB166" s="146"/>
      <c r="QYC166" s="146"/>
      <c r="QYD166" s="146"/>
      <c r="QYE166" s="146"/>
      <c r="QYF166" s="146"/>
      <c r="QYG166" s="146"/>
      <c r="QYH166" s="146"/>
      <c r="QYI166" s="146"/>
      <c r="QYJ166" s="146"/>
      <c r="QYK166" s="146"/>
      <c r="QYL166" s="146"/>
      <c r="QYM166" s="146"/>
      <c r="QYN166" s="146"/>
      <c r="QYO166" s="146"/>
      <c r="QYP166" s="146"/>
      <c r="QYQ166" s="146"/>
      <c r="QYR166" s="146"/>
      <c r="QYS166" s="146"/>
      <c r="QYT166" s="146"/>
      <c r="QYU166" s="146"/>
      <c r="QYV166" s="146"/>
      <c r="QYW166" s="146"/>
      <c r="QYX166" s="146"/>
      <c r="QYY166" s="146"/>
      <c r="QYZ166" s="146"/>
      <c r="QZA166" s="146"/>
      <c r="QZB166" s="146"/>
      <c r="QZC166" s="146"/>
      <c r="QZD166" s="146"/>
      <c r="QZE166" s="146"/>
      <c r="QZF166" s="146"/>
      <c r="QZG166" s="146"/>
      <c r="QZH166" s="146"/>
      <c r="QZI166" s="146"/>
      <c r="QZJ166" s="146"/>
      <c r="QZK166" s="146"/>
      <c r="QZL166" s="146"/>
      <c r="QZM166" s="146"/>
      <c r="QZN166" s="146"/>
      <c r="QZO166" s="146"/>
      <c r="QZP166" s="146"/>
      <c r="QZQ166" s="146"/>
      <c r="QZR166" s="146"/>
      <c r="QZS166" s="146"/>
      <c r="QZT166" s="146"/>
      <c r="QZU166" s="146"/>
      <c r="QZV166" s="146"/>
      <c r="QZW166" s="146"/>
      <c r="QZX166" s="146"/>
      <c r="QZY166" s="146"/>
      <c r="QZZ166" s="146"/>
      <c r="RAA166" s="146"/>
      <c r="RAB166" s="146"/>
      <c r="RAC166" s="146"/>
      <c r="RAD166" s="146"/>
      <c r="RAE166" s="146"/>
      <c r="RAF166" s="146"/>
      <c r="RAG166" s="146"/>
      <c r="RAH166" s="146"/>
      <c r="RAI166" s="146"/>
      <c r="RAJ166" s="146"/>
      <c r="RAK166" s="146"/>
      <c r="RAL166" s="146"/>
      <c r="RAM166" s="146"/>
      <c r="RAN166" s="146"/>
      <c r="RAO166" s="146"/>
      <c r="RAP166" s="146"/>
      <c r="RAQ166" s="146"/>
      <c r="RAR166" s="146"/>
      <c r="RAS166" s="146"/>
      <c r="RAT166" s="146"/>
      <c r="RAU166" s="146"/>
      <c r="RAV166" s="146"/>
      <c r="RAW166" s="146"/>
      <c r="RAX166" s="146"/>
      <c r="RAY166" s="146"/>
      <c r="RAZ166" s="146"/>
      <c r="RBA166" s="146"/>
      <c r="RBB166" s="146"/>
      <c r="RBC166" s="146"/>
      <c r="RBD166" s="146"/>
      <c r="RBE166" s="146"/>
      <c r="RBF166" s="146"/>
      <c r="RBG166" s="146"/>
      <c r="RBH166" s="146"/>
      <c r="RBI166" s="146"/>
      <c r="RBJ166" s="146"/>
      <c r="RBK166" s="146"/>
      <c r="RBL166" s="146"/>
      <c r="RBM166" s="146"/>
      <c r="RBN166" s="146"/>
      <c r="RBO166" s="146"/>
      <c r="RBP166" s="146"/>
      <c r="RBQ166" s="146"/>
      <c r="RBR166" s="146"/>
      <c r="RBS166" s="146"/>
      <c r="RBT166" s="146"/>
      <c r="RBU166" s="146"/>
      <c r="RBV166" s="146"/>
      <c r="RBW166" s="146"/>
      <c r="RBX166" s="146"/>
      <c r="RBY166" s="146"/>
      <c r="RBZ166" s="146"/>
      <c r="RCA166" s="146"/>
      <c r="RCB166" s="146"/>
      <c r="RCC166" s="146"/>
      <c r="RCD166" s="146"/>
      <c r="RCE166" s="146"/>
      <c r="RCF166" s="146"/>
      <c r="RCG166" s="146"/>
      <c r="RCH166" s="146"/>
      <c r="RCI166" s="146"/>
      <c r="RCJ166" s="146"/>
      <c r="RCK166" s="146"/>
      <c r="RCL166" s="146"/>
      <c r="RCM166" s="146"/>
      <c r="RCN166" s="146"/>
      <c r="RCO166" s="146"/>
      <c r="RCP166" s="146"/>
      <c r="RCQ166" s="146"/>
      <c r="RCR166" s="146"/>
      <c r="RCS166" s="146"/>
      <c r="RCT166" s="146"/>
      <c r="RCU166" s="146"/>
      <c r="RCV166" s="146"/>
      <c r="RCW166" s="146"/>
      <c r="RCX166" s="146"/>
      <c r="RCY166" s="146"/>
      <c r="RCZ166" s="146"/>
      <c r="RDA166" s="146"/>
      <c r="RDB166" s="146"/>
      <c r="RDC166" s="146"/>
      <c r="RDD166" s="146"/>
      <c r="RDE166" s="146"/>
      <c r="RDF166" s="146"/>
      <c r="RDG166" s="146"/>
      <c r="RDH166" s="146"/>
      <c r="RDI166" s="146"/>
      <c r="RDJ166" s="146"/>
      <c r="RDK166" s="146"/>
      <c r="RDL166" s="146"/>
      <c r="RDM166" s="146"/>
      <c r="RDN166" s="146"/>
      <c r="RDO166" s="146"/>
      <c r="RDP166" s="146"/>
      <c r="RDQ166" s="146"/>
      <c r="RDR166" s="146"/>
      <c r="RDS166" s="146"/>
      <c r="RDT166" s="146"/>
      <c r="RDU166" s="146"/>
      <c r="RDV166" s="146"/>
      <c r="RDW166" s="146"/>
      <c r="RDX166" s="146"/>
      <c r="RDY166" s="146"/>
      <c r="RDZ166" s="146"/>
      <c r="REA166" s="146"/>
      <c r="REB166" s="146"/>
      <c r="REC166" s="146"/>
      <c r="RED166" s="146"/>
      <c r="REE166" s="146"/>
      <c r="REF166" s="146"/>
      <c r="REG166" s="146"/>
      <c r="REH166" s="146"/>
      <c r="REI166" s="146"/>
      <c r="REJ166" s="146"/>
      <c r="REK166" s="146"/>
      <c r="REL166" s="146"/>
      <c r="REM166" s="146"/>
      <c r="REN166" s="146"/>
      <c r="REO166" s="146"/>
      <c r="REP166" s="146"/>
      <c r="REQ166" s="146"/>
      <c r="RER166" s="146"/>
      <c r="RES166" s="146"/>
      <c r="RET166" s="146"/>
      <c r="REU166" s="146"/>
      <c r="REV166" s="146"/>
      <c r="REW166" s="146"/>
      <c r="REX166" s="146"/>
      <c r="REY166" s="146"/>
      <c r="REZ166" s="146"/>
      <c r="RFA166" s="146"/>
      <c r="RFB166" s="146"/>
      <c r="RFC166" s="146"/>
      <c r="RFD166" s="146"/>
      <c r="RFE166" s="146"/>
      <c r="RFF166" s="146"/>
      <c r="RFG166" s="146"/>
      <c r="RFH166" s="146"/>
      <c r="RFI166" s="146"/>
      <c r="RFJ166" s="146"/>
      <c r="RFK166" s="146"/>
      <c r="RFL166" s="146"/>
      <c r="RFM166" s="146"/>
      <c r="RFN166" s="146"/>
      <c r="RFO166" s="146"/>
      <c r="RFP166" s="146"/>
      <c r="RFQ166" s="146"/>
      <c r="RFR166" s="146"/>
      <c r="RFS166" s="146"/>
      <c r="RFT166" s="146"/>
      <c r="RFU166" s="146"/>
      <c r="RFV166" s="146"/>
      <c r="RFW166" s="146"/>
      <c r="RFX166" s="146"/>
      <c r="RFY166" s="146"/>
      <c r="RFZ166" s="146"/>
      <c r="RGA166" s="146"/>
      <c r="RGB166" s="146"/>
      <c r="RGC166" s="146"/>
      <c r="RGD166" s="146"/>
      <c r="RGE166" s="146"/>
      <c r="RGF166" s="146"/>
      <c r="RGG166" s="146"/>
      <c r="RGH166" s="146"/>
      <c r="RGI166" s="146"/>
      <c r="RGJ166" s="146"/>
      <c r="RGK166" s="146"/>
      <c r="RGL166" s="146"/>
      <c r="RGM166" s="146"/>
      <c r="RGN166" s="146"/>
      <c r="RGO166" s="146"/>
      <c r="RGP166" s="146"/>
      <c r="RGQ166" s="146"/>
      <c r="RGR166" s="146"/>
      <c r="RGS166" s="146"/>
      <c r="RGT166" s="146"/>
      <c r="RGU166" s="146"/>
      <c r="RGV166" s="146"/>
      <c r="RGW166" s="146"/>
      <c r="RGX166" s="146"/>
      <c r="RGY166" s="146"/>
      <c r="RGZ166" s="146"/>
      <c r="RHA166" s="146"/>
      <c r="RHB166" s="146"/>
      <c r="RHC166" s="146"/>
      <c r="RHD166" s="146"/>
      <c r="RHE166" s="146"/>
      <c r="RHF166" s="146"/>
      <c r="RHG166" s="146"/>
      <c r="RHH166" s="146"/>
      <c r="RHI166" s="146"/>
      <c r="RHJ166" s="146"/>
      <c r="RHK166" s="146"/>
      <c r="RHL166" s="146"/>
      <c r="RHM166" s="146"/>
      <c r="RHN166" s="146"/>
      <c r="RHO166" s="146"/>
      <c r="RHP166" s="146"/>
      <c r="RHQ166" s="146"/>
      <c r="RHR166" s="146"/>
      <c r="RHS166" s="146"/>
      <c r="RHT166" s="146"/>
      <c r="RHU166" s="146"/>
      <c r="RHV166" s="146"/>
      <c r="RHW166" s="146"/>
      <c r="RHX166" s="146"/>
      <c r="RHY166" s="146"/>
      <c r="RHZ166" s="146"/>
      <c r="RIA166" s="146"/>
      <c r="RIB166" s="146"/>
      <c r="RIC166" s="146"/>
      <c r="RID166" s="146"/>
      <c r="RIE166" s="146"/>
      <c r="RIF166" s="146"/>
      <c r="RIG166" s="146"/>
      <c r="RIH166" s="146"/>
      <c r="RII166" s="146"/>
      <c r="RIJ166" s="146"/>
      <c r="RIK166" s="146"/>
      <c r="RIL166" s="146"/>
      <c r="RIM166" s="146"/>
      <c r="RIN166" s="146"/>
      <c r="RIO166" s="146"/>
      <c r="RIP166" s="146"/>
      <c r="RIQ166" s="146"/>
      <c r="RIR166" s="146"/>
      <c r="RIS166" s="146"/>
      <c r="RIT166" s="146"/>
      <c r="RIU166" s="146"/>
      <c r="RIV166" s="146"/>
      <c r="RIW166" s="146"/>
      <c r="RIX166" s="146"/>
      <c r="RIY166" s="146"/>
      <c r="RIZ166" s="146"/>
      <c r="RJA166" s="146"/>
      <c r="RJB166" s="146"/>
      <c r="RJC166" s="146"/>
      <c r="RJD166" s="146"/>
      <c r="RJE166" s="146"/>
      <c r="RJF166" s="146"/>
      <c r="RJG166" s="146"/>
      <c r="RJH166" s="146"/>
      <c r="RJI166" s="146"/>
      <c r="RJJ166" s="146"/>
      <c r="RJK166" s="146"/>
      <c r="RJL166" s="146"/>
      <c r="RJM166" s="146"/>
      <c r="RJN166" s="146"/>
      <c r="RJO166" s="146"/>
      <c r="RJP166" s="146"/>
      <c r="RJQ166" s="146"/>
      <c r="RJR166" s="146"/>
      <c r="RJS166" s="146"/>
      <c r="RJT166" s="146"/>
      <c r="RJU166" s="146"/>
      <c r="RJV166" s="146"/>
      <c r="RJW166" s="146"/>
      <c r="RJX166" s="146"/>
      <c r="RJY166" s="146"/>
      <c r="RJZ166" s="146"/>
      <c r="RKA166" s="146"/>
      <c r="RKB166" s="146"/>
      <c r="RKC166" s="146"/>
      <c r="RKD166" s="146"/>
      <c r="RKE166" s="146"/>
      <c r="RKF166" s="146"/>
      <c r="RKG166" s="146"/>
      <c r="RKH166" s="146"/>
      <c r="RKI166" s="146"/>
      <c r="RKJ166" s="146"/>
      <c r="RKK166" s="146"/>
      <c r="RKL166" s="146"/>
      <c r="RKM166" s="146"/>
      <c r="RKN166" s="146"/>
      <c r="RKO166" s="146"/>
      <c r="RKP166" s="146"/>
      <c r="RKQ166" s="146"/>
      <c r="RKR166" s="146"/>
      <c r="RKS166" s="146"/>
      <c r="RKT166" s="146"/>
      <c r="RKU166" s="146"/>
      <c r="RKV166" s="146"/>
      <c r="RKW166" s="146"/>
      <c r="RKX166" s="146"/>
      <c r="RKY166" s="146"/>
      <c r="RKZ166" s="146"/>
      <c r="RLA166" s="146"/>
      <c r="RLB166" s="146"/>
      <c r="RLC166" s="146"/>
      <c r="RLD166" s="146"/>
      <c r="RLE166" s="146"/>
      <c r="RLF166" s="146"/>
      <c r="RLG166" s="146"/>
      <c r="RLH166" s="146"/>
      <c r="RLI166" s="146"/>
      <c r="RLJ166" s="146"/>
      <c r="RLK166" s="146"/>
      <c r="RLL166" s="146"/>
      <c r="RLM166" s="146"/>
      <c r="RLN166" s="146"/>
      <c r="RLO166" s="146"/>
      <c r="RLP166" s="146"/>
      <c r="RLQ166" s="146"/>
      <c r="RLR166" s="146"/>
      <c r="RLS166" s="146"/>
      <c r="RLT166" s="146"/>
      <c r="RLU166" s="146"/>
      <c r="RLV166" s="146"/>
      <c r="RLW166" s="146"/>
      <c r="RLX166" s="146"/>
      <c r="RLY166" s="146"/>
      <c r="RLZ166" s="146"/>
      <c r="RMA166" s="146"/>
      <c r="RMB166" s="146"/>
      <c r="RMC166" s="146"/>
      <c r="RMD166" s="146"/>
      <c r="RME166" s="146"/>
      <c r="RMF166" s="146"/>
      <c r="RMG166" s="146"/>
      <c r="RMH166" s="146"/>
      <c r="RMI166" s="146"/>
      <c r="RMJ166" s="146"/>
      <c r="RMK166" s="146"/>
      <c r="RML166" s="146"/>
      <c r="RMM166" s="146"/>
      <c r="RMN166" s="146"/>
      <c r="RMO166" s="146"/>
      <c r="RMP166" s="146"/>
      <c r="RMQ166" s="146"/>
      <c r="RMR166" s="146"/>
      <c r="RMS166" s="146"/>
      <c r="RMT166" s="146"/>
      <c r="RMU166" s="146"/>
      <c r="RMV166" s="146"/>
      <c r="RMW166" s="146"/>
      <c r="RMX166" s="146"/>
      <c r="RMY166" s="146"/>
      <c r="RMZ166" s="146"/>
      <c r="RNA166" s="146"/>
      <c r="RNB166" s="146"/>
      <c r="RNC166" s="146"/>
      <c r="RND166" s="146"/>
      <c r="RNE166" s="146"/>
      <c r="RNF166" s="146"/>
      <c r="RNG166" s="146"/>
      <c r="RNH166" s="146"/>
      <c r="RNI166" s="146"/>
      <c r="RNJ166" s="146"/>
      <c r="RNK166" s="146"/>
      <c r="RNL166" s="146"/>
      <c r="RNM166" s="146"/>
      <c r="RNN166" s="146"/>
      <c r="RNO166" s="146"/>
      <c r="RNP166" s="146"/>
      <c r="RNQ166" s="146"/>
      <c r="RNR166" s="146"/>
      <c r="RNS166" s="146"/>
      <c r="RNT166" s="146"/>
      <c r="RNU166" s="146"/>
      <c r="RNV166" s="146"/>
      <c r="RNW166" s="146"/>
      <c r="RNX166" s="146"/>
      <c r="RNY166" s="146"/>
      <c r="RNZ166" s="146"/>
      <c r="ROA166" s="146"/>
      <c r="ROB166" s="146"/>
      <c r="ROC166" s="146"/>
      <c r="ROD166" s="146"/>
      <c r="ROE166" s="146"/>
      <c r="ROF166" s="146"/>
      <c r="ROG166" s="146"/>
      <c r="ROH166" s="146"/>
      <c r="ROI166" s="146"/>
      <c r="ROJ166" s="146"/>
      <c r="ROK166" s="146"/>
      <c r="ROL166" s="146"/>
      <c r="ROM166" s="146"/>
      <c r="RON166" s="146"/>
      <c r="ROO166" s="146"/>
      <c r="ROP166" s="146"/>
      <c r="ROQ166" s="146"/>
      <c r="ROR166" s="146"/>
      <c r="ROS166" s="146"/>
      <c r="ROT166" s="146"/>
      <c r="ROU166" s="146"/>
      <c r="ROV166" s="146"/>
      <c r="ROW166" s="146"/>
      <c r="ROX166" s="146"/>
      <c r="ROY166" s="146"/>
      <c r="ROZ166" s="146"/>
      <c r="RPA166" s="146"/>
      <c r="RPB166" s="146"/>
      <c r="RPC166" s="146"/>
      <c r="RPD166" s="146"/>
      <c r="RPE166" s="146"/>
      <c r="RPF166" s="146"/>
      <c r="RPG166" s="146"/>
      <c r="RPH166" s="146"/>
      <c r="RPI166" s="146"/>
      <c r="RPJ166" s="146"/>
      <c r="RPK166" s="146"/>
      <c r="RPL166" s="146"/>
      <c r="RPM166" s="146"/>
      <c r="RPN166" s="146"/>
      <c r="RPO166" s="146"/>
      <c r="RPP166" s="146"/>
      <c r="RPQ166" s="146"/>
      <c r="RPR166" s="146"/>
      <c r="RPS166" s="146"/>
      <c r="RPT166" s="146"/>
      <c r="RPU166" s="146"/>
      <c r="RPV166" s="146"/>
      <c r="RPW166" s="146"/>
      <c r="RPX166" s="146"/>
      <c r="RPY166" s="146"/>
      <c r="RPZ166" s="146"/>
      <c r="RQA166" s="146"/>
      <c r="RQB166" s="146"/>
      <c r="RQC166" s="146"/>
      <c r="RQD166" s="146"/>
      <c r="RQE166" s="146"/>
      <c r="RQF166" s="146"/>
      <c r="RQG166" s="146"/>
      <c r="RQH166" s="146"/>
      <c r="RQI166" s="146"/>
      <c r="RQJ166" s="146"/>
      <c r="RQK166" s="146"/>
      <c r="RQL166" s="146"/>
      <c r="RQM166" s="146"/>
      <c r="RQN166" s="146"/>
      <c r="RQO166" s="146"/>
      <c r="RQP166" s="146"/>
      <c r="RQQ166" s="146"/>
      <c r="RQR166" s="146"/>
      <c r="RQS166" s="146"/>
      <c r="RQT166" s="146"/>
      <c r="RQU166" s="146"/>
      <c r="RQV166" s="146"/>
      <c r="RQW166" s="146"/>
      <c r="RQX166" s="146"/>
      <c r="RQY166" s="146"/>
      <c r="RQZ166" s="146"/>
      <c r="RRA166" s="146"/>
      <c r="RRB166" s="146"/>
      <c r="RRC166" s="146"/>
      <c r="RRD166" s="146"/>
      <c r="RRE166" s="146"/>
      <c r="RRF166" s="146"/>
      <c r="RRG166" s="146"/>
      <c r="RRH166" s="146"/>
      <c r="RRI166" s="146"/>
      <c r="RRJ166" s="146"/>
      <c r="RRK166" s="146"/>
      <c r="RRL166" s="146"/>
      <c r="RRM166" s="146"/>
      <c r="RRN166" s="146"/>
      <c r="RRO166" s="146"/>
      <c r="RRP166" s="146"/>
      <c r="RRQ166" s="146"/>
      <c r="RRR166" s="146"/>
      <c r="RRS166" s="146"/>
      <c r="RRT166" s="146"/>
      <c r="RRU166" s="146"/>
      <c r="RRV166" s="146"/>
      <c r="RRW166" s="146"/>
      <c r="RRX166" s="146"/>
      <c r="RRY166" s="146"/>
      <c r="RRZ166" s="146"/>
      <c r="RSA166" s="146"/>
      <c r="RSB166" s="146"/>
      <c r="RSC166" s="146"/>
      <c r="RSD166" s="146"/>
      <c r="RSE166" s="146"/>
      <c r="RSF166" s="146"/>
      <c r="RSG166" s="146"/>
      <c r="RSH166" s="146"/>
      <c r="RSI166" s="146"/>
      <c r="RSJ166" s="146"/>
      <c r="RSK166" s="146"/>
      <c r="RSL166" s="146"/>
      <c r="RSM166" s="146"/>
      <c r="RSN166" s="146"/>
      <c r="RSO166" s="146"/>
      <c r="RSP166" s="146"/>
      <c r="RSQ166" s="146"/>
      <c r="RSR166" s="146"/>
      <c r="RSS166" s="146"/>
      <c r="RST166" s="146"/>
      <c r="RSU166" s="146"/>
      <c r="RSV166" s="146"/>
      <c r="RSW166" s="146"/>
      <c r="RSX166" s="146"/>
      <c r="RSY166" s="146"/>
      <c r="RSZ166" s="146"/>
      <c r="RTA166" s="146"/>
      <c r="RTB166" s="146"/>
      <c r="RTC166" s="146"/>
      <c r="RTD166" s="146"/>
      <c r="RTE166" s="146"/>
      <c r="RTF166" s="146"/>
      <c r="RTG166" s="146"/>
      <c r="RTH166" s="146"/>
      <c r="RTI166" s="146"/>
      <c r="RTJ166" s="146"/>
      <c r="RTK166" s="146"/>
      <c r="RTL166" s="146"/>
      <c r="RTM166" s="146"/>
      <c r="RTN166" s="146"/>
      <c r="RTO166" s="146"/>
      <c r="RTP166" s="146"/>
      <c r="RTQ166" s="146"/>
      <c r="RTR166" s="146"/>
      <c r="RTS166" s="146"/>
      <c r="RTT166" s="146"/>
      <c r="RTU166" s="146"/>
      <c r="RTV166" s="146"/>
      <c r="RTW166" s="146"/>
      <c r="RTX166" s="146"/>
      <c r="RTY166" s="146"/>
      <c r="RTZ166" s="146"/>
      <c r="RUA166" s="146"/>
      <c r="RUB166" s="146"/>
      <c r="RUC166" s="146"/>
      <c r="RUD166" s="146"/>
      <c r="RUE166" s="146"/>
      <c r="RUF166" s="146"/>
      <c r="RUG166" s="146"/>
      <c r="RUH166" s="146"/>
      <c r="RUI166" s="146"/>
      <c r="RUJ166" s="146"/>
      <c r="RUK166" s="146"/>
      <c r="RUL166" s="146"/>
      <c r="RUM166" s="146"/>
      <c r="RUN166" s="146"/>
      <c r="RUO166" s="146"/>
      <c r="RUP166" s="146"/>
      <c r="RUQ166" s="146"/>
      <c r="RUR166" s="146"/>
      <c r="RUS166" s="146"/>
      <c r="RUT166" s="146"/>
      <c r="RUU166" s="146"/>
      <c r="RUV166" s="146"/>
      <c r="RUW166" s="146"/>
      <c r="RUX166" s="146"/>
      <c r="RUY166" s="146"/>
      <c r="RUZ166" s="146"/>
      <c r="RVA166" s="146"/>
      <c r="RVB166" s="146"/>
      <c r="RVC166" s="146"/>
      <c r="RVD166" s="146"/>
      <c r="RVE166" s="146"/>
      <c r="RVF166" s="146"/>
      <c r="RVG166" s="146"/>
      <c r="RVH166" s="146"/>
      <c r="RVI166" s="146"/>
      <c r="RVJ166" s="146"/>
      <c r="RVK166" s="146"/>
      <c r="RVL166" s="146"/>
      <c r="RVM166" s="146"/>
      <c r="RVN166" s="146"/>
      <c r="RVO166" s="146"/>
      <c r="RVP166" s="146"/>
      <c r="RVQ166" s="146"/>
      <c r="RVR166" s="146"/>
      <c r="RVS166" s="146"/>
      <c r="RVT166" s="146"/>
      <c r="RVU166" s="146"/>
      <c r="RVV166" s="146"/>
      <c r="RVW166" s="146"/>
      <c r="RVX166" s="146"/>
      <c r="RVY166" s="146"/>
      <c r="RVZ166" s="146"/>
      <c r="RWA166" s="146"/>
      <c r="RWB166" s="146"/>
      <c r="RWC166" s="146"/>
      <c r="RWD166" s="146"/>
      <c r="RWE166" s="146"/>
      <c r="RWF166" s="146"/>
      <c r="RWG166" s="146"/>
      <c r="RWH166" s="146"/>
      <c r="RWI166" s="146"/>
      <c r="RWJ166" s="146"/>
      <c r="RWK166" s="146"/>
      <c r="RWL166" s="146"/>
      <c r="RWM166" s="146"/>
      <c r="RWN166" s="146"/>
      <c r="RWO166" s="146"/>
      <c r="RWP166" s="146"/>
      <c r="RWQ166" s="146"/>
      <c r="RWR166" s="146"/>
      <c r="RWS166" s="146"/>
      <c r="RWT166" s="146"/>
      <c r="RWU166" s="146"/>
      <c r="RWV166" s="146"/>
      <c r="RWW166" s="146"/>
      <c r="RWX166" s="146"/>
      <c r="RWY166" s="146"/>
      <c r="RWZ166" s="146"/>
      <c r="RXA166" s="146"/>
      <c r="RXB166" s="146"/>
      <c r="RXC166" s="146"/>
      <c r="RXD166" s="146"/>
      <c r="RXE166" s="146"/>
      <c r="RXF166" s="146"/>
      <c r="RXG166" s="146"/>
      <c r="RXH166" s="146"/>
      <c r="RXI166" s="146"/>
      <c r="RXJ166" s="146"/>
      <c r="RXK166" s="146"/>
      <c r="RXL166" s="146"/>
      <c r="RXM166" s="146"/>
      <c r="RXN166" s="146"/>
      <c r="RXO166" s="146"/>
      <c r="RXP166" s="146"/>
      <c r="RXQ166" s="146"/>
      <c r="RXR166" s="146"/>
      <c r="RXS166" s="146"/>
      <c r="RXT166" s="146"/>
      <c r="RXU166" s="146"/>
      <c r="RXV166" s="146"/>
      <c r="RXW166" s="146"/>
      <c r="RXX166" s="146"/>
      <c r="RXY166" s="146"/>
      <c r="RXZ166" s="146"/>
      <c r="RYA166" s="146"/>
      <c r="RYB166" s="146"/>
      <c r="RYC166" s="146"/>
      <c r="RYD166" s="146"/>
      <c r="RYE166" s="146"/>
      <c r="RYF166" s="146"/>
      <c r="RYG166" s="146"/>
      <c r="RYH166" s="146"/>
      <c r="RYI166" s="146"/>
      <c r="RYJ166" s="146"/>
      <c r="RYK166" s="146"/>
      <c r="RYL166" s="146"/>
      <c r="RYM166" s="146"/>
      <c r="RYN166" s="146"/>
      <c r="RYO166" s="146"/>
      <c r="RYP166" s="146"/>
      <c r="RYQ166" s="146"/>
      <c r="RYR166" s="146"/>
      <c r="RYS166" s="146"/>
      <c r="RYT166" s="146"/>
      <c r="RYU166" s="146"/>
      <c r="RYV166" s="146"/>
      <c r="RYW166" s="146"/>
      <c r="RYX166" s="146"/>
      <c r="RYY166" s="146"/>
      <c r="RYZ166" s="146"/>
      <c r="RZA166" s="146"/>
      <c r="RZB166" s="146"/>
      <c r="RZC166" s="146"/>
      <c r="RZD166" s="146"/>
      <c r="RZE166" s="146"/>
      <c r="RZF166" s="146"/>
      <c r="RZG166" s="146"/>
      <c r="RZH166" s="146"/>
      <c r="RZI166" s="146"/>
      <c r="RZJ166" s="146"/>
      <c r="RZK166" s="146"/>
      <c r="RZL166" s="146"/>
      <c r="RZM166" s="146"/>
      <c r="RZN166" s="146"/>
      <c r="RZO166" s="146"/>
      <c r="RZP166" s="146"/>
      <c r="RZQ166" s="146"/>
      <c r="RZR166" s="146"/>
      <c r="RZS166" s="146"/>
      <c r="RZT166" s="146"/>
      <c r="RZU166" s="146"/>
      <c r="RZV166" s="146"/>
      <c r="RZW166" s="146"/>
      <c r="RZX166" s="146"/>
      <c r="RZY166" s="146"/>
      <c r="RZZ166" s="146"/>
      <c r="SAA166" s="146"/>
      <c r="SAB166" s="146"/>
      <c r="SAC166" s="146"/>
      <c r="SAD166" s="146"/>
      <c r="SAE166" s="146"/>
      <c r="SAF166" s="146"/>
      <c r="SAG166" s="146"/>
      <c r="SAH166" s="146"/>
      <c r="SAI166" s="146"/>
      <c r="SAJ166" s="146"/>
      <c r="SAK166" s="146"/>
      <c r="SAL166" s="146"/>
      <c r="SAM166" s="146"/>
      <c r="SAN166" s="146"/>
      <c r="SAO166" s="146"/>
      <c r="SAP166" s="146"/>
      <c r="SAQ166" s="146"/>
      <c r="SAR166" s="146"/>
      <c r="SAS166" s="146"/>
      <c r="SAT166" s="146"/>
      <c r="SAU166" s="146"/>
      <c r="SAV166" s="146"/>
      <c r="SAW166" s="146"/>
      <c r="SAX166" s="146"/>
      <c r="SAY166" s="146"/>
      <c r="SAZ166" s="146"/>
      <c r="SBA166" s="146"/>
      <c r="SBB166" s="146"/>
      <c r="SBC166" s="146"/>
      <c r="SBD166" s="146"/>
      <c r="SBE166" s="146"/>
      <c r="SBF166" s="146"/>
      <c r="SBG166" s="146"/>
      <c r="SBH166" s="146"/>
      <c r="SBI166" s="146"/>
      <c r="SBJ166" s="146"/>
      <c r="SBK166" s="146"/>
      <c r="SBL166" s="146"/>
      <c r="SBM166" s="146"/>
      <c r="SBN166" s="146"/>
      <c r="SBO166" s="146"/>
      <c r="SBP166" s="146"/>
      <c r="SBQ166" s="146"/>
      <c r="SBR166" s="146"/>
      <c r="SBS166" s="146"/>
      <c r="SBT166" s="146"/>
      <c r="SBU166" s="146"/>
      <c r="SBV166" s="146"/>
      <c r="SBW166" s="146"/>
      <c r="SBX166" s="146"/>
      <c r="SBY166" s="146"/>
      <c r="SBZ166" s="146"/>
      <c r="SCA166" s="146"/>
      <c r="SCB166" s="146"/>
      <c r="SCC166" s="146"/>
      <c r="SCD166" s="146"/>
      <c r="SCE166" s="146"/>
      <c r="SCF166" s="146"/>
      <c r="SCG166" s="146"/>
      <c r="SCH166" s="146"/>
      <c r="SCI166" s="146"/>
      <c r="SCJ166" s="146"/>
      <c r="SCK166" s="146"/>
      <c r="SCL166" s="146"/>
      <c r="SCM166" s="146"/>
      <c r="SCN166" s="146"/>
      <c r="SCO166" s="146"/>
      <c r="SCP166" s="146"/>
      <c r="SCQ166" s="146"/>
      <c r="SCR166" s="146"/>
      <c r="SCS166" s="146"/>
      <c r="SCT166" s="146"/>
      <c r="SCU166" s="146"/>
      <c r="SCV166" s="146"/>
      <c r="SCW166" s="146"/>
      <c r="SCX166" s="146"/>
      <c r="SCY166" s="146"/>
      <c r="SCZ166" s="146"/>
      <c r="SDA166" s="146"/>
      <c r="SDB166" s="146"/>
      <c r="SDC166" s="146"/>
      <c r="SDD166" s="146"/>
      <c r="SDE166" s="146"/>
      <c r="SDF166" s="146"/>
      <c r="SDG166" s="146"/>
      <c r="SDH166" s="146"/>
      <c r="SDI166" s="146"/>
      <c r="SDJ166" s="146"/>
      <c r="SDK166" s="146"/>
      <c r="SDL166" s="146"/>
      <c r="SDM166" s="146"/>
      <c r="SDN166" s="146"/>
      <c r="SDO166" s="146"/>
      <c r="SDP166" s="146"/>
      <c r="SDQ166" s="146"/>
      <c r="SDR166" s="146"/>
      <c r="SDS166" s="146"/>
      <c r="SDT166" s="146"/>
      <c r="SDU166" s="146"/>
      <c r="SDV166" s="146"/>
      <c r="SDW166" s="146"/>
      <c r="SDX166" s="146"/>
      <c r="SDY166" s="146"/>
      <c r="SDZ166" s="146"/>
      <c r="SEA166" s="146"/>
      <c r="SEB166" s="146"/>
      <c r="SEC166" s="146"/>
      <c r="SED166" s="146"/>
      <c r="SEE166" s="146"/>
      <c r="SEF166" s="146"/>
      <c r="SEG166" s="146"/>
      <c r="SEH166" s="146"/>
      <c r="SEI166" s="146"/>
      <c r="SEJ166" s="146"/>
      <c r="SEK166" s="146"/>
      <c r="SEL166" s="146"/>
      <c r="SEM166" s="146"/>
      <c r="SEN166" s="146"/>
      <c r="SEO166" s="146"/>
      <c r="SEP166" s="146"/>
      <c r="SEQ166" s="146"/>
      <c r="SER166" s="146"/>
      <c r="SES166" s="146"/>
      <c r="SET166" s="146"/>
      <c r="SEU166" s="146"/>
      <c r="SEV166" s="146"/>
      <c r="SEW166" s="146"/>
      <c r="SEX166" s="146"/>
      <c r="SEY166" s="146"/>
      <c r="SEZ166" s="146"/>
      <c r="SFA166" s="146"/>
      <c r="SFB166" s="146"/>
      <c r="SFC166" s="146"/>
      <c r="SFD166" s="146"/>
      <c r="SFE166" s="146"/>
      <c r="SFF166" s="146"/>
      <c r="SFG166" s="146"/>
      <c r="SFH166" s="146"/>
      <c r="SFI166" s="146"/>
      <c r="SFJ166" s="146"/>
      <c r="SFK166" s="146"/>
      <c r="SFL166" s="146"/>
      <c r="SFM166" s="146"/>
      <c r="SFN166" s="146"/>
      <c r="SFO166" s="146"/>
      <c r="SFP166" s="146"/>
      <c r="SFQ166" s="146"/>
      <c r="SFR166" s="146"/>
      <c r="SFS166" s="146"/>
      <c r="SFT166" s="146"/>
      <c r="SFU166" s="146"/>
      <c r="SFV166" s="146"/>
      <c r="SFW166" s="146"/>
      <c r="SFX166" s="146"/>
      <c r="SFY166" s="146"/>
      <c r="SFZ166" s="146"/>
      <c r="SGA166" s="146"/>
      <c r="SGB166" s="146"/>
      <c r="SGC166" s="146"/>
      <c r="SGD166" s="146"/>
      <c r="SGE166" s="146"/>
      <c r="SGF166" s="146"/>
      <c r="SGG166" s="146"/>
      <c r="SGH166" s="146"/>
      <c r="SGI166" s="146"/>
      <c r="SGJ166" s="146"/>
      <c r="SGK166" s="146"/>
      <c r="SGL166" s="146"/>
      <c r="SGM166" s="146"/>
      <c r="SGN166" s="146"/>
      <c r="SGO166" s="146"/>
      <c r="SGP166" s="146"/>
      <c r="SGQ166" s="146"/>
      <c r="SGR166" s="146"/>
      <c r="SGS166" s="146"/>
      <c r="SGT166" s="146"/>
      <c r="SGU166" s="146"/>
      <c r="SGV166" s="146"/>
      <c r="SGW166" s="146"/>
      <c r="SGX166" s="146"/>
      <c r="SGY166" s="146"/>
      <c r="SGZ166" s="146"/>
      <c r="SHA166" s="146"/>
      <c r="SHB166" s="146"/>
      <c r="SHC166" s="146"/>
      <c r="SHD166" s="146"/>
      <c r="SHE166" s="146"/>
      <c r="SHF166" s="146"/>
      <c r="SHG166" s="146"/>
      <c r="SHH166" s="146"/>
      <c r="SHI166" s="146"/>
      <c r="SHJ166" s="146"/>
      <c r="SHK166" s="146"/>
      <c r="SHL166" s="146"/>
      <c r="SHM166" s="146"/>
      <c r="SHN166" s="146"/>
      <c r="SHO166" s="146"/>
      <c r="SHP166" s="146"/>
      <c r="SHQ166" s="146"/>
      <c r="SHR166" s="146"/>
      <c r="SHS166" s="146"/>
      <c r="SHT166" s="146"/>
      <c r="SHU166" s="146"/>
      <c r="SHV166" s="146"/>
      <c r="SHW166" s="146"/>
      <c r="SHX166" s="146"/>
      <c r="SHY166" s="146"/>
      <c r="SHZ166" s="146"/>
      <c r="SIA166" s="146"/>
      <c r="SIB166" s="146"/>
      <c r="SIC166" s="146"/>
      <c r="SID166" s="146"/>
      <c r="SIE166" s="146"/>
      <c r="SIF166" s="146"/>
      <c r="SIG166" s="146"/>
      <c r="SIH166" s="146"/>
      <c r="SII166" s="146"/>
      <c r="SIJ166" s="146"/>
      <c r="SIK166" s="146"/>
      <c r="SIL166" s="146"/>
      <c r="SIM166" s="146"/>
      <c r="SIN166" s="146"/>
      <c r="SIO166" s="146"/>
      <c r="SIP166" s="146"/>
      <c r="SIQ166" s="146"/>
      <c r="SIR166" s="146"/>
      <c r="SIS166" s="146"/>
      <c r="SIT166" s="146"/>
      <c r="SIU166" s="146"/>
      <c r="SIV166" s="146"/>
      <c r="SIW166" s="146"/>
      <c r="SIX166" s="146"/>
      <c r="SIY166" s="146"/>
      <c r="SIZ166" s="146"/>
      <c r="SJA166" s="146"/>
      <c r="SJB166" s="146"/>
      <c r="SJC166" s="146"/>
      <c r="SJD166" s="146"/>
      <c r="SJE166" s="146"/>
      <c r="SJF166" s="146"/>
      <c r="SJG166" s="146"/>
      <c r="SJH166" s="146"/>
      <c r="SJI166" s="146"/>
      <c r="SJJ166" s="146"/>
      <c r="SJK166" s="146"/>
      <c r="SJL166" s="146"/>
      <c r="SJM166" s="146"/>
      <c r="SJN166" s="146"/>
      <c r="SJO166" s="146"/>
      <c r="SJP166" s="146"/>
      <c r="SJQ166" s="146"/>
      <c r="SJR166" s="146"/>
      <c r="SJS166" s="146"/>
      <c r="SJT166" s="146"/>
      <c r="SJU166" s="146"/>
      <c r="SJV166" s="146"/>
      <c r="SJW166" s="146"/>
      <c r="SJX166" s="146"/>
      <c r="SJY166" s="146"/>
      <c r="SJZ166" s="146"/>
      <c r="SKA166" s="146"/>
      <c r="SKB166" s="146"/>
      <c r="SKC166" s="146"/>
      <c r="SKD166" s="146"/>
      <c r="SKE166" s="146"/>
      <c r="SKF166" s="146"/>
      <c r="SKG166" s="146"/>
      <c r="SKH166" s="146"/>
      <c r="SKI166" s="146"/>
      <c r="SKJ166" s="146"/>
      <c r="SKK166" s="146"/>
      <c r="SKL166" s="146"/>
      <c r="SKM166" s="146"/>
      <c r="SKN166" s="146"/>
      <c r="SKO166" s="146"/>
      <c r="SKP166" s="146"/>
      <c r="SKQ166" s="146"/>
      <c r="SKR166" s="146"/>
      <c r="SKS166" s="146"/>
      <c r="SKT166" s="146"/>
      <c r="SKU166" s="146"/>
      <c r="SKV166" s="146"/>
      <c r="SKW166" s="146"/>
      <c r="SKX166" s="146"/>
      <c r="SKY166" s="146"/>
      <c r="SKZ166" s="146"/>
      <c r="SLA166" s="146"/>
      <c r="SLB166" s="146"/>
      <c r="SLC166" s="146"/>
      <c r="SLD166" s="146"/>
      <c r="SLE166" s="146"/>
      <c r="SLF166" s="146"/>
      <c r="SLG166" s="146"/>
      <c r="SLH166" s="146"/>
      <c r="SLI166" s="146"/>
      <c r="SLJ166" s="146"/>
      <c r="SLK166" s="146"/>
      <c r="SLL166" s="146"/>
      <c r="SLM166" s="146"/>
      <c r="SLN166" s="146"/>
      <c r="SLO166" s="146"/>
      <c r="SLP166" s="146"/>
      <c r="SLQ166" s="146"/>
      <c r="SLR166" s="146"/>
      <c r="SLS166" s="146"/>
      <c r="SLT166" s="146"/>
      <c r="SLU166" s="146"/>
      <c r="SLV166" s="146"/>
      <c r="SLW166" s="146"/>
      <c r="SLX166" s="146"/>
      <c r="SLY166" s="146"/>
      <c r="SLZ166" s="146"/>
      <c r="SMA166" s="146"/>
      <c r="SMB166" s="146"/>
      <c r="SMC166" s="146"/>
      <c r="SMD166" s="146"/>
      <c r="SME166" s="146"/>
      <c r="SMF166" s="146"/>
      <c r="SMG166" s="146"/>
      <c r="SMH166" s="146"/>
      <c r="SMI166" s="146"/>
      <c r="SMJ166" s="146"/>
      <c r="SMK166" s="146"/>
      <c r="SML166" s="146"/>
      <c r="SMM166" s="146"/>
      <c r="SMN166" s="146"/>
      <c r="SMO166" s="146"/>
      <c r="SMP166" s="146"/>
      <c r="SMQ166" s="146"/>
      <c r="SMR166" s="146"/>
      <c r="SMS166" s="146"/>
      <c r="SMT166" s="146"/>
      <c r="SMU166" s="146"/>
      <c r="SMV166" s="146"/>
      <c r="SMW166" s="146"/>
      <c r="SMX166" s="146"/>
      <c r="SMY166" s="146"/>
      <c r="SMZ166" s="146"/>
      <c r="SNA166" s="146"/>
      <c r="SNB166" s="146"/>
      <c r="SNC166" s="146"/>
      <c r="SND166" s="146"/>
      <c r="SNE166" s="146"/>
      <c r="SNF166" s="146"/>
      <c r="SNG166" s="146"/>
      <c r="SNH166" s="146"/>
      <c r="SNI166" s="146"/>
      <c r="SNJ166" s="146"/>
      <c r="SNK166" s="146"/>
      <c r="SNL166" s="146"/>
      <c r="SNM166" s="146"/>
      <c r="SNN166" s="146"/>
      <c r="SNO166" s="146"/>
      <c r="SNP166" s="146"/>
      <c r="SNQ166" s="146"/>
      <c r="SNR166" s="146"/>
      <c r="SNS166" s="146"/>
      <c r="SNT166" s="146"/>
      <c r="SNU166" s="146"/>
      <c r="SNV166" s="146"/>
      <c r="SNW166" s="146"/>
      <c r="SNX166" s="146"/>
      <c r="SNY166" s="146"/>
      <c r="SNZ166" s="146"/>
      <c r="SOA166" s="146"/>
      <c r="SOB166" s="146"/>
      <c r="SOC166" s="146"/>
      <c r="SOD166" s="146"/>
      <c r="SOE166" s="146"/>
      <c r="SOF166" s="146"/>
      <c r="SOG166" s="146"/>
      <c r="SOH166" s="146"/>
      <c r="SOI166" s="146"/>
      <c r="SOJ166" s="146"/>
      <c r="SOK166" s="146"/>
      <c r="SOL166" s="146"/>
      <c r="SOM166" s="146"/>
      <c r="SON166" s="146"/>
      <c r="SOO166" s="146"/>
      <c r="SOP166" s="146"/>
      <c r="SOQ166" s="146"/>
      <c r="SOR166" s="146"/>
      <c r="SOS166" s="146"/>
      <c r="SOT166" s="146"/>
      <c r="SOU166" s="146"/>
      <c r="SOV166" s="146"/>
      <c r="SOW166" s="146"/>
      <c r="SOX166" s="146"/>
      <c r="SOY166" s="146"/>
      <c r="SOZ166" s="146"/>
      <c r="SPA166" s="146"/>
      <c r="SPB166" s="146"/>
      <c r="SPC166" s="146"/>
      <c r="SPD166" s="146"/>
      <c r="SPE166" s="146"/>
      <c r="SPF166" s="146"/>
      <c r="SPG166" s="146"/>
      <c r="SPH166" s="146"/>
      <c r="SPI166" s="146"/>
      <c r="SPJ166" s="146"/>
      <c r="SPK166" s="146"/>
      <c r="SPL166" s="146"/>
      <c r="SPM166" s="146"/>
      <c r="SPN166" s="146"/>
      <c r="SPO166" s="146"/>
      <c r="SPP166" s="146"/>
      <c r="SPQ166" s="146"/>
      <c r="SPR166" s="146"/>
      <c r="SPS166" s="146"/>
      <c r="SPT166" s="146"/>
      <c r="SPU166" s="146"/>
      <c r="SPV166" s="146"/>
      <c r="SPW166" s="146"/>
      <c r="SPX166" s="146"/>
      <c r="SPY166" s="146"/>
      <c r="SPZ166" s="146"/>
      <c r="SQA166" s="146"/>
      <c r="SQB166" s="146"/>
      <c r="SQC166" s="146"/>
      <c r="SQD166" s="146"/>
      <c r="SQE166" s="146"/>
      <c r="SQF166" s="146"/>
      <c r="SQG166" s="146"/>
      <c r="SQH166" s="146"/>
      <c r="SQI166" s="146"/>
      <c r="SQJ166" s="146"/>
      <c r="SQK166" s="146"/>
      <c r="SQL166" s="146"/>
      <c r="SQM166" s="146"/>
      <c r="SQN166" s="146"/>
      <c r="SQO166" s="146"/>
      <c r="SQP166" s="146"/>
      <c r="SQQ166" s="146"/>
      <c r="SQR166" s="146"/>
      <c r="SQS166" s="146"/>
      <c r="SQT166" s="146"/>
      <c r="SQU166" s="146"/>
      <c r="SQV166" s="146"/>
      <c r="SQW166" s="146"/>
      <c r="SQX166" s="146"/>
      <c r="SQY166" s="146"/>
      <c r="SQZ166" s="146"/>
      <c r="SRA166" s="146"/>
      <c r="SRB166" s="146"/>
      <c r="SRC166" s="146"/>
      <c r="SRD166" s="146"/>
      <c r="SRE166" s="146"/>
      <c r="SRF166" s="146"/>
      <c r="SRG166" s="146"/>
      <c r="SRH166" s="146"/>
      <c r="SRI166" s="146"/>
      <c r="SRJ166" s="146"/>
      <c r="SRK166" s="146"/>
      <c r="SRL166" s="146"/>
      <c r="SRM166" s="146"/>
      <c r="SRN166" s="146"/>
      <c r="SRO166" s="146"/>
      <c r="SRP166" s="146"/>
      <c r="SRQ166" s="146"/>
      <c r="SRR166" s="146"/>
      <c r="SRS166" s="146"/>
      <c r="SRT166" s="146"/>
      <c r="SRU166" s="146"/>
      <c r="SRV166" s="146"/>
      <c r="SRW166" s="146"/>
      <c r="SRX166" s="146"/>
      <c r="SRY166" s="146"/>
      <c r="SRZ166" s="146"/>
      <c r="SSA166" s="146"/>
      <c r="SSB166" s="146"/>
      <c r="SSC166" s="146"/>
      <c r="SSD166" s="146"/>
      <c r="SSE166" s="146"/>
      <c r="SSF166" s="146"/>
      <c r="SSG166" s="146"/>
      <c r="SSH166" s="146"/>
      <c r="SSI166" s="146"/>
      <c r="SSJ166" s="146"/>
      <c r="SSK166" s="146"/>
      <c r="SSL166" s="146"/>
      <c r="SSM166" s="146"/>
      <c r="SSN166" s="146"/>
      <c r="SSO166" s="146"/>
      <c r="SSP166" s="146"/>
      <c r="SSQ166" s="146"/>
      <c r="SSR166" s="146"/>
      <c r="SSS166" s="146"/>
      <c r="SST166" s="146"/>
      <c r="SSU166" s="146"/>
      <c r="SSV166" s="146"/>
      <c r="SSW166" s="146"/>
      <c r="SSX166" s="146"/>
      <c r="SSY166" s="146"/>
      <c r="SSZ166" s="146"/>
      <c r="STA166" s="146"/>
      <c r="STB166" s="146"/>
      <c r="STC166" s="146"/>
      <c r="STD166" s="146"/>
      <c r="STE166" s="146"/>
      <c r="STF166" s="146"/>
      <c r="STG166" s="146"/>
      <c r="STH166" s="146"/>
      <c r="STI166" s="146"/>
      <c r="STJ166" s="146"/>
      <c r="STK166" s="146"/>
      <c r="STL166" s="146"/>
      <c r="STM166" s="146"/>
      <c r="STN166" s="146"/>
      <c r="STO166" s="146"/>
      <c r="STP166" s="146"/>
      <c r="STQ166" s="146"/>
      <c r="STR166" s="146"/>
      <c r="STS166" s="146"/>
      <c r="STT166" s="146"/>
      <c r="STU166" s="146"/>
      <c r="STV166" s="146"/>
      <c r="STW166" s="146"/>
      <c r="STX166" s="146"/>
      <c r="STY166" s="146"/>
      <c r="STZ166" s="146"/>
      <c r="SUA166" s="146"/>
      <c r="SUB166" s="146"/>
      <c r="SUC166" s="146"/>
      <c r="SUD166" s="146"/>
      <c r="SUE166" s="146"/>
      <c r="SUF166" s="146"/>
      <c r="SUG166" s="146"/>
      <c r="SUH166" s="146"/>
      <c r="SUI166" s="146"/>
      <c r="SUJ166" s="146"/>
      <c r="SUK166" s="146"/>
      <c r="SUL166" s="146"/>
      <c r="SUM166" s="146"/>
      <c r="SUN166" s="146"/>
      <c r="SUO166" s="146"/>
      <c r="SUP166" s="146"/>
      <c r="SUQ166" s="146"/>
      <c r="SUR166" s="146"/>
      <c r="SUS166" s="146"/>
      <c r="SUT166" s="146"/>
      <c r="SUU166" s="146"/>
      <c r="SUV166" s="146"/>
      <c r="SUW166" s="146"/>
      <c r="SUX166" s="146"/>
      <c r="SUY166" s="146"/>
      <c r="SUZ166" s="146"/>
      <c r="SVA166" s="146"/>
      <c r="SVB166" s="146"/>
      <c r="SVC166" s="146"/>
      <c r="SVD166" s="146"/>
      <c r="SVE166" s="146"/>
      <c r="SVF166" s="146"/>
      <c r="SVG166" s="146"/>
      <c r="SVH166" s="146"/>
      <c r="SVI166" s="146"/>
      <c r="SVJ166" s="146"/>
      <c r="SVK166" s="146"/>
      <c r="SVL166" s="146"/>
      <c r="SVM166" s="146"/>
      <c r="SVN166" s="146"/>
      <c r="SVO166" s="146"/>
      <c r="SVP166" s="146"/>
      <c r="SVQ166" s="146"/>
      <c r="SVR166" s="146"/>
      <c r="SVS166" s="146"/>
      <c r="SVT166" s="146"/>
      <c r="SVU166" s="146"/>
      <c r="SVV166" s="146"/>
      <c r="SVW166" s="146"/>
      <c r="SVX166" s="146"/>
      <c r="SVY166" s="146"/>
      <c r="SVZ166" s="146"/>
      <c r="SWA166" s="146"/>
      <c r="SWB166" s="146"/>
      <c r="SWC166" s="146"/>
      <c r="SWD166" s="146"/>
      <c r="SWE166" s="146"/>
      <c r="SWF166" s="146"/>
      <c r="SWG166" s="146"/>
      <c r="SWH166" s="146"/>
      <c r="SWI166" s="146"/>
      <c r="SWJ166" s="146"/>
      <c r="SWK166" s="146"/>
      <c r="SWL166" s="146"/>
      <c r="SWM166" s="146"/>
      <c r="SWN166" s="146"/>
      <c r="SWO166" s="146"/>
      <c r="SWP166" s="146"/>
      <c r="SWQ166" s="146"/>
      <c r="SWR166" s="146"/>
      <c r="SWS166" s="146"/>
      <c r="SWT166" s="146"/>
      <c r="SWU166" s="146"/>
      <c r="SWV166" s="146"/>
      <c r="SWW166" s="146"/>
      <c r="SWX166" s="146"/>
      <c r="SWY166" s="146"/>
      <c r="SWZ166" s="146"/>
      <c r="SXA166" s="146"/>
      <c r="SXB166" s="146"/>
      <c r="SXC166" s="146"/>
      <c r="SXD166" s="146"/>
      <c r="SXE166" s="146"/>
      <c r="SXF166" s="146"/>
      <c r="SXG166" s="146"/>
      <c r="SXH166" s="146"/>
      <c r="SXI166" s="146"/>
      <c r="SXJ166" s="146"/>
      <c r="SXK166" s="146"/>
      <c r="SXL166" s="146"/>
      <c r="SXM166" s="146"/>
      <c r="SXN166" s="146"/>
      <c r="SXO166" s="146"/>
      <c r="SXP166" s="146"/>
      <c r="SXQ166" s="146"/>
      <c r="SXR166" s="146"/>
      <c r="SXS166" s="146"/>
      <c r="SXT166" s="146"/>
      <c r="SXU166" s="146"/>
      <c r="SXV166" s="146"/>
      <c r="SXW166" s="146"/>
      <c r="SXX166" s="146"/>
      <c r="SXY166" s="146"/>
      <c r="SXZ166" s="146"/>
      <c r="SYA166" s="146"/>
      <c r="SYB166" s="146"/>
      <c r="SYC166" s="146"/>
      <c r="SYD166" s="146"/>
      <c r="SYE166" s="146"/>
      <c r="SYF166" s="146"/>
      <c r="SYG166" s="146"/>
      <c r="SYH166" s="146"/>
      <c r="SYI166" s="146"/>
      <c r="SYJ166" s="146"/>
      <c r="SYK166" s="146"/>
      <c r="SYL166" s="146"/>
      <c r="SYM166" s="146"/>
      <c r="SYN166" s="146"/>
      <c r="SYO166" s="146"/>
      <c r="SYP166" s="146"/>
      <c r="SYQ166" s="146"/>
      <c r="SYR166" s="146"/>
      <c r="SYS166" s="146"/>
      <c r="SYT166" s="146"/>
      <c r="SYU166" s="146"/>
      <c r="SYV166" s="146"/>
      <c r="SYW166" s="146"/>
      <c r="SYX166" s="146"/>
      <c r="SYY166" s="146"/>
      <c r="SYZ166" s="146"/>
      <c r="SZA166" s="146"/>
      <c r="SZB166" s="146"/>
      <c r="SZC166" s="146"/>
      <c r="SZD166" s="146"/>
      <c r="SZE166" s="146"/>
      <c r="SZF166" s="146"/>
      <c r="SZG166" s="146"/>
      <c r="SZH166" s="146"/>
      <c r="SZI166" s="146"/>
      <c r="SZJ166" s="146"/>
      <c r="SZK166" s="146"/>
      <c r="SZL166" s="146"/>
      <c r="SZM166" s="146"/>
      <c r="SZN166" s="146"/>
      <c r="SZO166" s="146"/>
      <c r="SZP166" s="146"/>
      <c r="SZQ166" s="146"/>
      <c r="SZR166" s="146"/>
      <c r="SZS166" s="146"/>
      <c r="SZT166" s="146"/>
      <c r="SZU166" s="146"/>
      <c r="SZV166" s="146"/>
      <c r="SZW166" s="146"/>
      <c r="SZX166" s="146"/>
      <c r="SZY166" s="146"/>
      <c r="SZZ166" s="146"/>
      <c r="TAA166" s="146"/>
      <c r="TAB166" s="146"/>
      <c r="TAC166" s="146"/>
      <c r="TAD166" s="146"/>
      <c r="TAE166" s="146"/>
      <c r="TAF166" s="146"/>
      <c r="TAG166" s="146"/>
      <c r="TAH166" s="146"/>
      <c r="TAI166" s="146"/>
      <c r="TAJ166" s="146"/>
      <c r="TAK166" s="146"/>
      <c r="TAL166" s="146"/>
      <c r="TAM166" s="146"/>
      <c r="TAN166" s="146"/>
      <c r="TAO166" s="146"/>
      <c r="TAP166" s="146"/>
      <c r="TAQ166" s="146"/>
      <c r="TAR166" s="146"/>
      <c r="TAS166" s="146"/>
      <c r="TAT166" s="146"/>
      <c r="TAU166" s="146"/>
      <c r="TAV166" s="146"/>
      <c r="TAW166" s="146"/>
      <c r="TAX166" s="146"/>
      <c r="TAY166" s="146"/>
      <c r="TAZ166" s="146"/>
      <c r="TBA166" s="146"/>
      <c r="TBB166" s="146"/>
      <c r="TBC166" s="146"/>
      <c r="TBD166" s="146"/>
      <c r="TBE166" s="146"/>
      <c r="TBF166" s="146"/>
      <c r="TBG166" s="146"/>
      <c r="TBH166" s="146"/>
      <c r="TBI166" s="146"/>
      <c r="TBJ166" s="146"/>
      <c r="TBK166" s="146"/>
      <c r="TBL166" s="146"/>
      <c r="TBM166" s="146"/>
      <c r="TBN166" s="146"/>
      <c r="TBO166" s="146"/>
      <c r="TBP166" s="146"/>
      <c r="TBQ166" s="146"/>
      <c r="TBR166" s="146"/>
      <c r="TBS166" s="146"/>
      <c r="TBT166" s="146"/>
      <c r="TBU166" s="146"/>
      <c r="TBV166" s="146"/>
      <c r="TBW166" s="146"/>
      <c r="TBX166" s="146"/>
      <c r="TBY166" s="146"/>
      <c r="TBZ166" s="146"/>
      <c r="TCA166" s="146"/>
      <c r="TCB166" s="146"/>
      <c r="TCC166" s="146"/>
      <c r="TCD166" s="146"/>
      <c r="TCE166" s="146"/>
      <c r="TCF166" s="146"/>
      <c r="TCG166" s="146"/>
      <c r="TCH166" s="146"/>
      <c r="TCI166" s="146"/>
      <c r="TCJ166" s="146"/>
      <c r="TCK166" s="146"/>
      <c r="TCL166" s="146"/>
      <c r="TCM166" s="146"/>
      <c r="TCN166" s="146"/>
      <c r="TCO166" s="146"/>
      <c r="TCP166" s="146"/>
      <c r="TCQ166" s="146"/>
      <c r="TCR166" s="146"/>
      <c r="TCS166" s="146"/>
      <c r="TCT166" s="146"/>
      <c r="TCU166" s="146"/>
      <c r="TCV166" s="146"/>
      <c r="TCW166" s="146"/>
      <c r="TCX166" s="146"/>
      <c r="TCY166" s="146"/>
      <c r="TCZ166" s="146"/>
      <c r="TDA166" s="146"/>
      <c r="TDB166" s="146"/>
      <c r="TDC166" s="146"/>
      <c r="TDD166" s="146"/>
      <c r="TDE166" s="146"/>
      <c r="TDF166" s="146"/>
      <c r="TDG166" s="146"/>
      <c r="TDH166" s="146"/>
      <c r="TDI166" s="146"/>
      <c r="TDJ166" s="146"/>
      <c r="TDK166" s="146"/>
      <c r="TDL166" s="146"/>
      <c r="TDM166" s="146"/>
      <c r="TDN166" s="146"/>
      <c r="TDO166" s="146"/>
      <c r="TDP166" s="146"/>
      <c r="TDQ166" s="146"/>
      <c r="TDR166" s="146"/>
      <c r="TDS166" s="146"/>
      <c r="TDT166" s="146"/>
      <c r="TDU166" s="146"/>
      <c r="TDV166" s="146"/>
      <c r="TDW166" s="146"/>
      <c r="TDX166" s="146"/>
      <c r="TDY166" s="146"/>
      <c r="TDZ166" s="146"/>
      <c r="TEA166" s="146"/>
      <c r="TEB166" s="146"/>
      <c r="TEC166" s="146"/>
      <c r="TED166" s="146"/>
      <c r="TEE166" s="146"/>
      <c r="TEF166" s="146"/>
      <c r="TEG166" s="146"/>
      <c r="TEH166" s="146"/>
      <c r="TEI166" s="146"/>
      <c r="TEJ166" s="146"/>
      <c r="TEK166" s="146"/>
      <c r="TEL166" s="146"/>
      <c r="TEM166" s="146"/>
      <c r="TEN166" s="146"/>
      <c r="TEO166" s="146"/>
      <c r="TEP166" s="146"/>
      <c r="TEQ166" s="146"/>
      <c r="TER166" s="146"/>
      <c r="TES166" s="146"/>
      <c r="TET166" s="146"/>
      <c r="TEU166" s="146"/>
      <c r="TEV166" s="146"/>
      <c r="TEW166" s="146"/>
      <c r="TEX166" s="146"/>
      <c r="TEY166" s="146"/>
      <c r="TEZ166" s="146"/>
      <c r="TFA166" s="146"/>
      <c r="TFB166" s="146"/>
      <c r="TFC166" s="146"/>
      <c r="TFD166" s="146"/>
      <c r="TFE166" s="146"/>
      <c r="TFF166" s="146"/>
      <c r="TFG166" s="146"/>
      <c r="TFH166" s="146"/>
      <c r="TFI166" s="146"/>
      <c r="TFJ166" s="146"/>
      <c r="TFK166" s="146"/>
      <c r="TFL166" s="146"/>
      <c r="TFM166" s="146"/>
      <c r="TFN166" s="146"/>
      <c r="TFO166" s="146"/>
      <c r="TFP166" s="146"/>
      <c r="TFQ166" s="146"/>
      <c r="TFR166" s="146"/>
      <c r="TFS166" s="146"/>
      <c r="TFT166" s="146"/>
      <c r="TFU166" s="146"/>
      <c r="TFV166" s="146"/>
      <c r="TFW166" s="146"/>
      <c r="TFX166" s="146"/>
      <c r="TFY166" s="146"/>
      <c r="TFZ166" s="146"/>
      <c r="TGA166" s="146"/>
      <c r="TGB166" s="146"/>
      <c r="TGC166" s="146"/>
      <c r="TGD166" s="146"/>
      <c r="TGE166" s="146"/>
      <c r="TGF166" s="146"/>
      <c r="TGG166" s="146"/>
      <c r="TGH166" s="146"/>
      <c r="TGI166" s="146"/>
      <c r="TGJ166" s="146"/>
      <c r="TGK166" s="146"/>
      <c r="TGL166" s="146"/>
      <c r="TGM166" s="146"/>
      <c r="TGN166" s="146"/>
      <c r="TGO166" s="146"/>
      <c r="TGP166" s="146"/>
      <c r="TGQ166" s="146"/>
      <c r="TGR166" s="146"/>
      <c r="TGS166" s="146"/>
      <c r="TGT166" s="146"/>
      <c r="TGU166" s="146"/>
      <c r="TGV166" s="146"/>
      <c r="TGW166" s="146"/>
      <c r="TGX166" s="146"/>
      <c r="TGY166" s="146"/>
      <c r="TGZ166" s="146"/>
      <c r="THA166" s="146"/>
      <c r="THB166" s="146"/>
      <c r="THC166" s="146"/>
      <c r="THD166" s="146"/>
      <c r="THE166" s="146"/>
      <c r="THF166" s="146"/>
      <c r="THG166" s="146"/>
      <c r="THH166" s="146"/>
      <c r="THI166" s="146"/>
      <c r="THJ166" s="146"/>
      <c r="THK166" s="146"/>
      <c r="THL166" s="146"/>
      <c r="THM166" s="146"/>
      <c r="THN166" s="146"/>
      <c r="THO166" s="146"/>
      <c r="THP166" s="146"/>
      <c r="THQ166" s="146"/>
      <c r="THR166" s="146"/>
      <c r="THS166" s="146"/>
      <c r="THT166" s="146"/>
      <c r="THU166" s="146"/>
      <c r="THV166" s="146"/>
      <c r="THW166" s="146"/>
      <c r="THX166" s="146"/>
      <c r="THY166" s="146"/>
      <c r="THZ166" s="146"/>
      <c r="TIA166" s="146"/>
      <c r="TIB166" s="146"/>
      <c r="TIC166" s="146"/>
      <c r="TID166" s="146"/>
      <c r="TIE166" s="146"/>
      <c r="TIF166" s="146"/>
      <c r="TIG166" s="146"/>
      <c r="TIH166" s="146"/>
      <c r="TII166" s="146"/>
      <c r="TIJ166" s="146"/>
      <c r="TIK166" s="146"/>
      <c r="TIL166" s="146"/>
      <c r="TIM166" s="146"/>
      <c r="TIN166" s="146"/>
      <c r="TIO166" s="146"/>
      <c r="TIP166" s="146"/>
      <c r="TIQ166" s="146"/>
      <c r="TIR166" s="146"/>
      <c r="TIS166" s="146"/>
      <c r="TIT166" s="146"/>
      <c r="TIU166" s="146"/>
      <c r="TIV166" s="146"/>
      <c r="TIW166" s="146"/>
      <c r="TIX166" s="146"/>
      <c r="TIY166" s="146"/>
      <c r="TIZ166" s="146"/>
      <c r="TJA166" s="146"/>
      <c r="TJB166" s="146"/>
      <c r="TJC166" s="146"/>
      <c r="TJD166" s="146"/>
      <c r="TJE166" s="146"/>
      <c r="TJF166" s="146"/>
      <c r="TJG166" s="146"/>
      <c r="TJH166" s="146"/>
      <c r="TJI166" s="146"/>
      <c r="TJJ166" s="146"/>
      <c r="TJK166" s="146"/>
      <c r="TJL166" s="146"/>
      <c r="TJM166" s="146"/>
      <c r="TJN166" s="146"/>
      <c r="TJO166" s="146"/>
      <c r="TJP166" s="146"/>
      <c r="TJQ166" s="146"/>
      <c r="TJR166" s="146"/>
      <c r="TJS166" s="146"/>
      <c r="TJT166" s="146"/>
      <c r="TJU166" s="146"/>
      <c r="TJV166" s="146"/>
      <c r="TJW166" s="146"/>
      <c r="TJX166" s="146"/>
      <c r="TJY166" s="146"/>
      <c r="TJZ166" s="146"/>
      <c r="TKA166" s="146"/>
      <c r="TKB166" s="146"/>
      <c r="TKC166" s="146"/>
      <c r="TKD166" s="146"/>
      <c r="TKE166" s="146"/>
      <c r="TKF166" s="146"/>
      <c r="TKG166" s="146"/>
      <c r="TKH166" s="146"/>
      <c r="TKI166" s="146"/>
      <c r="TKJ166" s="146"/>
      <c r="TKK166" s="146"/>
      <c r="TKL166" s="146"/>
      <c r="TKM166" s="146"/>
      <c r="TKN166" s="146"/>
      <c r="TKO166" s="146"/>
      <c r="TKP166" s="146"/>
      <c r="TKQ166" s="146"/>
      <c r="TKR166" s="146"/>
      <c r="TKS166" s="146"/>
      <c r="TKT166" s="146"/>
      <c r="TKU166" s="146"/>
      <c r="TKV166" s="146"/>
      <c r="TKW166" s="146"/>
      <c r="TKX166" s="146"/>
      <c r="TKY166" s="146"/>
      <c r="TKZ166" s="146"/>
      <c r="TLA166" s="146"/>
      <c r="TLB166" s="146"/>
      <c r="TLC166" s="146"/>
      <c r="TLD166" s="146"/>
      <c r="TLE166" s="146"/>
      <c r="TLF166" s="146"/>
      <c r="TLG166" s="146"/>
      <c r="TLH166" s="146"/>
      <c r="TLI166" s="146"/>
      <c r="TLJ166" s="146"/>
      <c r="TLK166" s="146"/>
      <c r="TLL166" s="146"/>
      <c r="TLM166" s="146"/>
      <c r="TLN166" s="146"/>
      <c r="TLO166" s="146"/>
      <c r="TLP166" s="146"/>
      <c r="TLQ166" s="146"/>
      <c r="TLR166" s="146"/>
      <c r="TLS166" s="146"/>
      <c r="TLT166" s="146"/>
      <c r="TLU166" s="146"/>
      <c r="TLV166" s="146"/>
      <c r="TLW166" s="146"/>
      <c r="TLX166" s="146"/>
      <c r="TLY166" s="146"/>
      <c r="TLZ166" s="146"/>
      <c r="TMA166" s="146"/>
      <c r="TMB166" s="146"/>
      <c r="TMC166" s="146"/>
      <c r="TMD166" s="146"/>
      <c r="TME166" s="146"/>
      <c r="TMF166" s="146"/>
      <c r="TMG166" s="146"/>
      <c r="TMH166" s="146"/>
      <c r="TMI166" s="146"/>
      <c r="TMJ166" s="146"/>
      <c r="TMK166" s="146"/>
      <c r="TML166" s="146"/>
      <c r="TMM166" s="146"/>
      <c r="TMN166" s="146"/>
      <c r="TMO166" s="146"/>
      <c r="TMP166" s="146"/>
      <c r="TMQ166" s="146"/>
      <c r="TMR166" s="146"/>
      <c r="TMS166" s="146"/>
      <c r="TMT166" s="146"/>
      <c r="TMU166" s="146"/>
      <c r="TMV166" s="146"/>
      <c r="TMW166" s="146"/>
      <c r="TMX166" s="146"/>
      <c r="TMY166" s="146"/>
      <c r="TMZ166" s="146"/>
      <c r="TNA166" s="146"/>
      <c r="TNB166" s="146"/>
      <c r="TNC166" s="146"/>
      <c r="TND166" s="146"/>
      <c r="TNE166" s="146"/>
      <c r="TNF166" s="146"/>
      <c r="TNG166" s="146"/>
      <c r="TNH166" s="146"/>
      <c r="TNI166" s="146"/>
      <c r="TNJ166" s="146"/>
      <c r="TNK166" s="146"/>
      <c r="TNL166" s="146"/>
      <c r="TNM166" s="146"/>
      <c r="TNN166" s="146"/>
      <c r="TNO166" s="146"/>
      <c r="TNP166" s="146"/>
      <c r="TNQ166" s="146"/>
      <c r="TNR166" s="146"/>
      <c r="TNS166" s="146"/>
      <c r="TNT166" s="146"/>
      <c r="TNU166" s="146"/>
      <c r="TNV166" s="146"/>
      <c r="TNW166" s="146"/>
      <c r="TNX166" s="146"/>
      <c r="TNY166" s="146"/>
      <c r="TNZ166" s="146"/>
      <c r="TOA166" s="146"/>
      <c r="TOB166" s="146"/>
      <c r="TOC166" s="146"/>
      <c r="TOD166" s="146"/>
      <c r="TOE166" s="146"/>
      <c r="TOF166" s="146"/>
      <c r="TOG166" s="146"/>
      <c r="TOH166" s="146"/>
      <c r="TOI166" s="146"/>
      <c r="TOJ166" s="146"/>
      <c r="TOK166" s="146"/>
      <c r="TOL166" s="146"/>
      <c r="TOM166" s="146"/>
      <c r="TON166" s="146"/>
      <c r="TOO166" s="146"/>
      <c r="TOP166" s="146"/>
      <c r="TOQ166" s="146"/>
      <c r="TOR166" s="146"/>
      <c r="TOS166" s="146"/>
      <c r="TOT166" s="146"/>
      <c r="TOU166" s="146"/>
      <c r="TOV166" s="146"/>
      <c r="TOW166" s="146"/>
      <c r="TOX166" s="146"/>
      <c r="TOY166" s="146"/>
      <c r="TOZ166" s="146"/>
      <c r="TPA166" s="146"/>
      <c r="TPB166" s="146"/>
      <c r="TPC166" s="146"/>
      <c r="TPD166" s="146"/>
      <c r="TPE166" s="146"/>
      <c r="TPF166" s="146"/>
      <c r="TPG166" s="146"/>
      <c r="TPH166" s="146"/>
      <c r="TPI166" s="146"/>
      <c r="TPJ166" s="146"/>
      <c r="TPK166" s="146"/>
      <c r="TPL166" s="146"/>
      <c r="TPM166" s="146"/>
      <c r="TPN166" s="146"/>
      <c r="TPO166" s="146"/>
      <c r="TPP166" s="146"/>
      <c r="TPQ166" s="146"/>
      <c r="TPR166" s="146"/>
      <c r="TPS166" s="146"/>
      <c r="TPT166" s="146"/>
      <c r="TPU166" s="146"/>
      <c r="TPV166" s="146"/>
      <c r="TPW166" s="146"/>
      <c r="TPX166" s="146"/>
      <c r="TPY166" s="146"/>
      <c r="TPZ166" s="146"/>
      <c r="TQA166" s="146"/>
      <c r="TQB166" s="146"/>
      <c r="TQC166" s="146"/>
      <c r="TQD166" s="146"/>
      <c r="TQE166" s="146"/>
      <c r="TQF166" s="146"/>
      <c r="TQG166" s="146"/>
      <c r="TQH166" s="146"/>
      <c r="TQI166" s="146"/>
      <c r="TQJ166" s="146"/>
      <c r="TQK166" s="146"/>
      <c r="TQL166" s="146"/>
      <c r="TQM166" s="146"/>
      <c r="TQN166" s="146"/>
      <c r="TQO166" s="146"/>
      <c r="TQP166" s="146"/>
      <c r="TQQ166" s="146"/>
      <c r="TQR166" s="146"/>
      <c r="TQS166" s="146"/>
      <c r="TQT166" s="146"/>
      <c r="TQU166" s="146"/>
      <c r="TQV166" s="146"/>
      <c r="TQW166" s="146"/>
      <c r="TQX166" s="146"/>
      <c r="TQY166" s="146"/>
      <c r="TQZ166" s="146"/>
      <c r="TRA166" s="146"/>
      <c r="TRB166" s="146"/>
      <c r="TRC166" s="146"/>
      <c r="TRD166" s="146"/>
      <c r="TRE166" s="146"/>
      <c r="TRF166" s="146"/>
      <c r="TRG166" s="146"/>
      <c r="TRH166" s="146"/>
      <c r="TRI166" s="146"/>
      <c r="TRJ166" s="146"/>
      <c r="TRK166" s="146"/>
      <c r="TRL166" s="146"/>
      <c r="TRM166" s="146"/>
      <c r="TRN166" s="146"/>
      <c r="TRO166" s="146"/>
      <c r="TRP166" s="146"/>
      <c r="TRQ166" s="146"/>
      <c r="TRR166" s="146"/>
      <c r="TRS166" s="146"/>
      <c r="TRT166" s="146"/>
      <c r="TRU166" s="146"/>
      <c r="TRV166" s="146"/>
      <c r="TRW166" s="146"/>
      <c r="TRX166" s="146"/>
      <c r="TRY166" s="146"/>
      <c r="TRZ166" s="146"/>
      <c r="TSA166" s="146"/>
      <c r="TSB166" s="146"/>
      <c r="TSC166" s="146"/>
      <c r="TSD166" s="146"/>
      <c r="TSE166" s="146"/>
      <c r="TSF166" s="146"/>
      <c r="TSG166" s="146"/>
      <c r="TSH166" s="146"/>
      <c r="TSI166" s="146"/>
      <c r="TSJ166" s="146"/>
      <c r="TSK166" s="146"/>
      <c r="TSL166" s="146"/>
      <c r="TSM166" s="146"/>
      <c r="TSN166" s="146"/>
      <c r="TSO166" s="146"/>
      <c r="TSP166" s="146"/>
      <c r="TSQ166" s="146"/>
      <c r="TSR166" s="146"/>
      <c r="TSS166" s="146"/>
      <c r="TST166" s="146"/>
      <c r="TSU166" s="146"/>
      <c r="TSV166" s="146"/>
      <c r="TSW166" s="146"/>
      <c r="TSX166" s="146"/>
      <c r="TSY166" s="146"/>
      <c r="TSZ166" s="146"/>
      <c r="TTA166" s="146"/>
      <c r="TTB166" s="146"/>
      <c r="TTC166" s="146"/>
      <c r="TTD166" s="146"/>
      <c r="TTE166" s="146"/>
      <c r="TTF166" s="146"/>
      <c r="TTG166" s="146"/>
      <c r="TTH166" s="146"/>
      <c r="TTI166" s="146"/>
      <c r="TTJ166" s="146"/>
      <c r="TTK166" s="146"/>
      <c r="TTL166" s="146"/>
      <c r="TTM166" s="146"/>
      <c r="TTN166" s="146"/>
      <c r="TTO166" s="146"/>
      <c r="TTP166" s="146"/>
      <c r="TTQ166" s="146"/>
      <c r="TTR166" s="146"/>
      <c r="TTS166" s="146"/>
      <c r="TTT166" s="146"/>
      <c r="TTU166" s="146"/>
      <c r="TTV166" s="146"/>
      <c r="TTW166" s="146"/>
      <c r="TTX166" s="146"/>
      <c r="TTY166" s="146"/>
      <c r="TTZ166" s="146"/>
      <c r="TUA166" s="146"/>
      <c r="TUB166" s="146"/>
      <c r="TUC166" s="146"/>
      <c r="TUD166" s="146"/>
      <c r="TUE166" s="146"/>
      <c r="TUF166" s="146"/>
      <c r="TUG166" s="146"/>
      <c r="TUH166" s="146"/>
      <c r="TUI166" s="146"/>
      <c r="TUJ166" s="146"/>
      <c r="TUK166" s="146"/>
      <c r="TUL166" s="146"/>
      <c r="TUM166" s="146"/>
      <c r="TUN166" s="146"/>
      <c r="TUO166" s="146"/>
      <c r="TUP166" s="146"/>
      <c r="TUQ166" s="146"/>
      <c r="TUR166" s="146"/>
      <c r="TUS166" s="146"/>
      <c r="TUT166" s="146"/>
      <c r="TUU166" s="146"/>
      <c r="TUV166" s="146"/>
      <c r="TUW166" s="146"/>
      <c r="TUX166" s="146"/>
      <c r="TUY166" s="146"/>
      <c r="TUZ166" s="146"/>
      <c r="TVA166" s="146"/>
      <c r="TVB166" s="146"/>
      <c r="TVC166" s="146"/>
      <c r="TVD166" s="146"/>
      <c r="TVE166" s="146"/>
      <c r="TVF166" s="146"/>
      <c r="TVG166" s="146"/>
      <c r="TVH166" s="146"/>
      <c r="TVI166" s="146"/>
      <c r="TVJ166" s="146"/>
      <c r="TVK166" s="146"/>
      <c r="TVL166" s="146"/>
      <c r="TVM166" s="146"/>
      <c r="TVN166" s="146"/>
      <c r="TVO166" s="146"/>
      <c r="TVP166" s="146"/>
      <c r="TVQ166" s="146"/>
      <c r="TVR166" s="146"/>
      <c r="TVS166" s="146"/>
      <c r="TVT166" s="146"/>
      <c r="TVU166" s="146"/>
      <c r="TVV166" s="146"/>
      <c r="TVW166" s="146"/>
      <c r="TVX166" s="146"/>
      <c r="TVY166" s="146"/>
      <c r="TVZ166" s="146"/>
      <c r="TWA166" s="146"/>
      <c r="TWB166" s="146"/>
      <c r="TWC166" s="146"/>
      <c r="TWD166" s="146"/>
      <c r="TWE166" s="146"/>
      <c r="TWF166" s="146"/>
      <c r="TWG166" s="146"/>
      <c r="TWH166" s="146"/>
      <c r="TWI166" s="146"/>
      <c r="TWJ166" s="146"/>
      <c r="TWK166" s="146"/>
      <c r="TWL166" s="146"/>
      <c r="TWM166" s="146"/>
      <c r="TWN166" s="146"/>
      <c r="TWO166" s="146"/>
      <c r="TWP166" s="146"/>
      <c r="TWQ166" s="146"/>
      <c r="TWR166" s="146"/>
      <c r="TWS166" s="146"/>
      <c r="TWT166" s="146"/>
      <c r="TWU166" s="146"/>
      <c r="TWV166" s="146"/>
      <c r="TWW166" s="146"/>
      <c r="TWX166" s="146"/>
      <c r="TWY166" s="146"/>
      <c r="TWZ166" s="146"/>
      <c r="TXA166" s="146"/>
      <c r="TXB166" s="146"/>
      <c r="TXC166" s="146"/>
      <c r="TXD166" s="146"/>
      <c r="TXE166" s="146"/>
      <c r="TXF166" s="146"/>
      <c r="TXG166" s="146"/>
      <c r="TXH166" s="146"/>
      <c r="TXI166" s="146"/>
      <c r="TXJ166" s="146"/>
      <c r="TXK166" s="146"/>
      <c r="TXL166" s="146"/>
      <c r="TXM166" s="146"/>
      <c r="TXN166" s="146"/>
      <c r="TXO166" s="146"/>
      <c r="TXP166" s="146"/>
      <c r="TXQ166" s="146"/>
      <c r="TXR166" s="146"/>
      <c r="TXS166" s="146"/>
      <c r="TXT166" s="146"/>
      <c r="TXU166" s="146"/>
      <c r="TXV166" s="146"/>
      <c r="TXW166" s="146"/>
      <c r="TXX166" s="146"/>
      <c r="TXY166" s="146"/>
      <c r="TXZ166" s="146"/>
      <c r="TYA166" s="146"/>
      <c r="TYB166" s="146"/>
      <c r="TYC166" s="146"/>
      <c r="TYD166" s="146"/>
      <c r="TYE166" s="146"/>
      <c r="TYF166" s="146"/>
      <c r="TYG166" s="146"/>
      <c r="TYH166" s="146"/>
      <c r="TYI166" s="146"/>
      <c r="TYJ166" s="146"/>
      <c r="TYK166" s="146"/>
      <c r="TYL166" s="146"/>
      <c r="TYM166" s="146"/>
      <c r="TYN166" s="146"/>
      <c r="TYO166" s="146"/>
      <c r="TYP166" s="146"/>
      <c r="TYQ166" s="146"/>
      <c r="TYR166" s="146"/>
      <c r="TYS166" s="146"/>
      <c r="TYT166" s="146"/>
      <c r="TYU166" s="146"/>
      <c r="TYV166" s="146"/>
      <c r="TYW166" s="146"/>
      <c r="TYX166" s="146"/>
      <c r="TYY166" s="146"/>
      <c r="TYZ166" s="146"/>
      <c r="TZA166" s="146"/>
      <c r="TZB166" s="146"/>
      <c r="TZC166" s="146"/>
      <c r="TZD166" s="146"/>
      <c r="TZE166" s="146"/>
      <c r="TZF166" s="146"/>
      <c r="TZG166" s="146"/>
      <c r="TZH166" s="146"/>
      <c r="TZI166" s="146"/>
      <c r="TZJ166" s="146"/>
      <c r="TZK166" s="146"/>
      <c r="TZL166" s="146"/>
      <c r="TZM166" s="146"/>
      <c r="TZN166" s="146"/>
      <c r="TZO166" s="146"/>
      <c r="TZP166" s="146"/>
      <c r="TZQ166" s="146"/>
      <c r="TZR166" s="146"/>
      <c r="TZS166" s="146"/>
      <c r="TZT166" s="146"/>
      <c r="TZU166" s="146"/>
      <c r="TZV166" s="146"/>
      <c r="TZW166" s="146"/>
      <c r="TZX166" s="146"/>
      <c r="TZY166" s="146"/>
      <c r="TZZ166" s="146"/>
      <c r="UAA166" s="146"/>
      <c r="UAB166" s="146"/>
      <c r="UAC166" s="146"/>
      <c r="UAD166" s="146"/>
      <c r="UAE166" s="146"/>
      <c r="UAF166" s="146"/>
      <c r="UAG166" s="146"/>
      <c r="UAH166" s="146"/>
      <c r="UAI166" s="146"/>
      <c r="UAJ166" s="146"/>
      <c r="UAK166" s="146"/>
      <c r="UAL166" s="146"/>
      <c r="UAM166" s="146"/>
      <c r="UAN166" s="146"/>
      <c r="UAO166" s="146"/>
      <c r="UAP166" s="146"/>
      <c r="UAQ166" s="146"/>
      <c r="UAR166" s="146"/>
      <c r="UAS166" s="146"/>
      <c r="UAT166" s="146"/>
      <c r="UAU166" s="146"/>
      <c r="UAV166" s="146"/>
      <c r="UAW166" s="146"/>
      <c r="UAX166" s="146"/>
      <c r="UAY166" s="146"/>
      <c r="UAZ166" s="146"/>
      <c r="UBA166" s="146"/>
      <c r="UBB166" s="146"/>
      <c r="UBC166" s="146"/>
      <c r="UBD166" s="146"/>
      <c r="UBE166" s="146"/>
      <c r="UBF166" s="146"/>
      <c r="UBG166" s="146"/>
      <c r="UBH166" s="146"/>
      <c r="UBI166" s="146"/>
      <c r="UBJ166" s="146"/>
      <c r="UBK166" s="146"/>
      <c r="UBL166" s="146"/>
      <c r="UBM166" s="146"/>
      <c r="UBN166" s="146"/>
      <c r="UBO166" s="146"/>
      <c r="UBP166" s="146"/>
      <c r="UBQ166" s="146"/>
      <c r="UBR166" s="146"/>
      <c r="UBS166" s="146"/>
      <c r="UBT166" s="146"/>
      <c r="UBU166" s="146"/>
      <c r="UBV166" s="146"/>
      <c r="UBW166" s="146"/>
      <c r="UBX166" s="146"/>
      <c r="UBY166" s="146"/>
      <c r="UBZ166" s="146"/>
      <c r="UCA166" s="146"/>
      <c r="UCB166" s="146"/>
      <c r="UCC166" s="146"/>
      <c r="UCD166" s="146"/>
      <c r="UCE166" s="146"/>
      <c r="UCF166" s="146"/>
      <c r="UCG166" s="146"/>
      <c r="UCH166" s="146"/>
      <c r="UCI166" s="146"/>
      <c r="UCJ166" s="146"/>
      <c r="UCK166" s="146"/>
      <c r="UCL166" s="146"/>
      <c r="UCM166" s="146"/>
      <c r="UCN166" s="146"/>
      <c r="UCO166" s="146"/>
      <c r="UCP166" s="146"/>
      <c r="UCQ166" s="146"/>
      <c r="UCR166" s="146"/>
      <c r="UCS166" s="146"/>
      <c r="UCT166" s="146"/>
      <c r="UCU166" s="146"/>
      <c r="UCV166" s="146"/>
      <c r="UCW166" s="146"/>
      <c r="UCX166" s="146"/>
      <c r="UCY166" s="146"/>
      <c r="UCZ166" s="146"/>
      <c r="UDA166" s="146"/>
      <c r="UDB166" s="146"/>
      <c r="UDC166" s="146"/>
      <c r="UDD166" s="146"/>
      <c r="UDE166" s="146"/>
      <c r="UDF166" s="146"/>
      <c r="UDG166" s="146"/>
      <c r="UDH166" s="146"/>
      <c r="UDI166" s="146"/>
      <c r="UDJ166" s="146"/>
      <c r="UDK166" s="146"/>
      <c r="UDL166" s="146"/>
      <c r="UDM166" s="146"/>
      <c r="UDN166" s="146"/>
      <c r="UDO166" s="146"/>
      <c r="UDP166" s="146"/>
      <c r="UDQ166" s="146"/>
      <c r="UDR166" s="146"/>
      <c r="UDS166" s="146"/>
      <c r="UDT166" s="146"/>
      <c r="UDU166" s="146"/>
      <c r="UDV166" s="146"/>
      <c r="UDW166" s="146"/>
      <c r="UDX166" s="146"/>
      <c r="UDY166" s="146"/>
      <c r="UDZ166" s="146"/>
      <c r="UEA166" s="146"/>
      <c r="UEB166" s="146"/>
      <c r="UEC166" s="146"/>
      <c r="UED166" s="146"/>
      <c r="UEE166" s="146"/>
      <c r="UEF166" s="146"/>
      <c r="UEG166" s="146"/>
      <c r="UEH166" s="146"/>
      <c r="UEI166" s="146"/>
      <c r="UEJ166" s="146"/>
      <c r="UEK166" s="146"/>
      <c r="UEL166" s="146"/>
      <c r="UEM166" s="146"/>
      <c r="UEN166" s="146"/>
      <c r="UEO166" s="146"/>
      <c r="UEP166" s="146"/>
      <c r="UEQ166" s="146"/>
      <c r="UER166" s="146"/>
      <c r="UES166" s="146"/>
      <c r="UET166" s="146"/>
      <c r="UEU166" s="146"/>
      <c r="UEV166" s="146"/>
      <c r="UEW166" s="146"/>
      <c r="UEX166" s="146"/>
      <c r="UEY166" s="146"/>
      <c r="UEZ166" s="146"/>
      <c r="UFA166" s="146"/>
      <c r="UFB166" s="146"/>
      <c r="UFC166" s="146"/>
      <c r="UFD166" s="146"/>
      <c r="UFE166" s="146"/>
      <c r="UFF166" s="146"/>
      <c r="UFG166" s="146"/>
      <c r="UFH166" s="146"/>
      <c r="UFI166" s="146"/>
      <c r="UFJ166" s="146"/>
      <c r="UFK166" s="146"/>
      <c r="UFL166" s="146"/>
      <c r="UFM166" s="146"/>
      <c r="UFN166" s="146"/>
      <c r="UFO166" s="146"/>
      <c r="UFP166" s="146"/>
      <c r="UFQ166" s="146"/>
      <c r="UFR166" s="146"/>
      <c r="UFS166" s="146"/>
      <c r="UFT166" s="146"/>
      <c r="UFU166" s="146"/>
      <c r="UFV166" s="146"/>
      <c r="UFW166" s="146"/>
      <c r="UFX166" s="146"/>
      <c r="UFY166" s="146"/>
      <c r="UFZ166" s="146"/>
      <c r="UGA166" s="146"/>
      <c r="UGB166" s="146"/>
      <c r="UGC166" s="146"/>
      <c r="UGD166" s="146"/>
      <c r="UGE166" s="146"/>
      <c r="UGF166" s="146"/>
      <c r="UGG166" s="146"/>
      <c r="UGH166" s="146"/>
      <c r="UGI166" s="146"/>
      <c r="UGJ166" s="146"/>
      <c r="UGK166" s="146"/>
      <c r="UGL166" s="146"/>
      <c r="UGM166" s="146"/>
      <c r="UGN166" s="146"/>
      <c r="UGO166" s="146"/>
      <c r="UGP166" s="146"/>
      <c r="UGQ166" s="146"/>
      <c r="UGR166" s="146"/>
      <c r="UGS166" s="146"/>
      <c r="UGT166" s="146"/>
      <c r="UGU166" s="146"/>
      <c r="UGV166" s="146"/>
      <c r="UGW166" s="146"/>
      <c r="UGX166" s="146"/>
      <c r="UGY166" s="146"/>
      <c r="UGZ166" s="146"/>
      <c r="UHA166" s="146"/>
      <c r="UHB166" s="146"/>
      <c r="UHC166" s="146"/>
      <c r="UHD166" s="146"/>
      <c r="UHE166" s="146"/>
      <c r="UHF166" s="146"/>
      <c r="UHG166" s="146"/>
      <c r="UHH166" s="146"/>
      <c r="UHI166" s="146"/>
      <c r="UHJ166" s="146"/>
      <c r="UHK166" s="146"/>
      <c r="UHL166" s="146"/>
      <c r="UHM166" s="146"/>
      <c r="UHN166" s="146"/>
      <c r="UHO166" s="146"/>
      <c r="UHP166" s="146"/>
      <c r="UHQ166" s="146"/>
      <c r="UHR166" s="146"/>
      <c r="UHS166" s="146"/>
      <c r="UHT166" s="146"/>
      <c r="UHU166" s="146"/>
      <c r="UHV166" s="146"/>
      <c r="UHW166" s="146"/>
      <c r="UHX166" s="146"/>
      <c r="UHY166" s="146"/>
      <c r="UHZ166" s="146"/>
      <c r="UIA166" s="146"/>
      <c r="UIB166" s="146"/>
      <c r="UIC166" s="146"/>
      <c r="UID166" s="146"/>
      <c r="UIE166" s="146"/>
      <c r="UIF166" s="146"/>
      <c r="UIG166" s="146"/>
      <c r="UIH166" s="146"/>
      <c r="UII166" s="146"/>
      <c r="UIJ166" s="146"/>
      <c r="UIK166" s="146"/>
      <c r="UIL166" s="146"/>
      <c r="UIM166" s="146"/>
      <c r="UIN166" s="146"/>
      <c r="UIO166" s="146"/>
      <c r="UIP166" s="146"/>
      <c r="UIQ166" s="146"/>
      <c r="UIR166" s="146"/>
      <c r="UIS166" s="146"/>
      <c r="UIT166" s="146"/>
      <c r="UIU166" s="146"/>
      <c r="UIV166" s="146"/>
      <c r="UIW166" s="146"/>
      <c r="UIX166" s="146"/>
      <c r="UIY166" s="146"/>
      <c r="UIZ166" s="146"/>
      <c r="UJA166" s="146"/>
      <c r="UJB166" s="146"/>
      <c r="UJC166" s="146"/>
      <c r="UJD166" s="146"/>
      <c r="UJE166" s="146"/>
      <c r="UJF166" s="146"/>
      <c r="UJG166" s="146"/>
      <c r="UJH166" s="146"/>
      <c r="UJI166" s="146"/>
      <c r="UJJ166" s="146"/>
      <c r="UJK166" s="146"/>
      <c r="UJL166" s="146"/>
      <c r="UJM166" s="146"/>
      <c r="UJN166" s="146"/>
      <c r="UJO166" s="146"/>
      <c r="UJP166" s="146"/>
      <c r="UJQ166" s="146"/>
      <c r="UJR166" s="146"/>
      <c r="UJS166" s="146"/>
      <c r="UJT166" s="146"/>
      <c r="UJU166" s="146"/>
      <c r="UJV166" s="146"/>
      <c r="UJW166" s="146"/>
      <c r="UJX166" s="146"/>
      <c r="UJY166" s="146"/>
      <c r="UJZ166" s="146"/>
      <c r="UKA166" s="146"/>
      <c r="UKB166" s="146"/>
      <c r="UKC166" s="146"/>
      <c r="UKD166" s="146"/>
      <c r="UKE166" s="146"/>
      <c r="UKF166" s="146"/>
      <c r="UKG166" s="146"/>
      <c r="UKH166" s="146"/>
      <c r="UKI166" s="146"/>
      <c r="UKJ166" s="146"/>
      <c r="UKK166" s="146"/>
      <c r="UKL166" s="146"/>
      <c r="UKM166" s="146"/>
      <c r="UKN166" s="146"/>
      <c r="UKO166" s="146"/>
      <c r="UKP166" s="146"/>
      <c r="UKQ166" s="146"/>
      <c r="UKR166" s="146"/>
      <c r="UKS166" s="146"/>
      <c r="UKT166" s="146"/>
      <c r="UKU166" s="146"/>
      <c r="UKV166" s="146"/>
      <c r="UKW166" s="146"/>
      <c r="UKX166" s="146"/>
      <c r="UKY166" s="146"/>
      <c r="UKZ166" s="146"/>
      <c r="ULA166" s="146"/>
      <c r="ULB166" s="146"/>
      <c r="ULC166" s="146"/>
      <c r="ULD166" s="146"/>
      <c r="ULE166" s="146"/>
      <c r="ULF166" s="146"/>
      <c r="ULG166" s="146"/>
      <c r="ULH166" s="146"/>
      <c r="ULI166" s="146"/>
      <c r="ULJ166" s="146"/>
      <c r="ULK166" s="146"/>
      <c r="ULL166" s="146"/>
      <c r="ULM166" s="146"/>
      <c r="ULN166" s="146"/>
      <c r="ULO166" s="146"/>
      <c r="ULP166" s="146"/>
      <c r="ULQ166" s="146"/>
      <c r="ULR166" s="146"/>
      <c r="ULS166" s="146"/>
      <c r="ULT166" s="146"/>
      <c r="ULU166" s="146"/>
      <c r="ULV166" s="146"/>
      <c r="ULW166" s="146"/>
      <c r="ULX166" s="146"/>
      <c r="ULY166" s="146"/>
      <c r="ULZ166" s="146"/>
      <c r="UMA166" s="146"/>
      <c r="UMB166" s="146"/>
      <c r="UMC166" s="146"/>
      <c r="UMD166" s="146"/>
      <c r="UME166" s="146"/>
      <c r="UMF166" s="146"/>
      <c r="UMG166" s="146"/>
      <c r="UMH166" s="146"/>
      <c r="UMI166" s="146"/>
      <c r="UMJ166" s="146"/>
      <c r="UMK166" s="146"/>
      <c r="UML166" s="146"/>
      <c r="UMM166" s="146"/>
      <c r="UMN166" s="146"/>
      <c r="UMO166" s="146"/>
      <c r="UMP166" s="146"/>
      <c r="UMQ166" s="146"/>
      <c r="UMR166" s="146"/>
      <c r="UMS166" s="146"/>
      <c r="UMT166" s="146"/>
      <c r="UMU166" s="146"/>
      <c r="UMV166" s="146"/>
      <c r="UMW166" s="146"/>
      <c r="UMX166" s="146"/>
      <c r="UMY166" s="146"/>
      <c r="UMZ166" s="146"/>
      <c r="UNA166" s="146"/>
      <c r="UNB166" s="146"/>
      <c r="UNC166" s="146"/>
      <c r="UND166" s="146"/>
      <c r="UNE166" s="146"/>
      <c r="UNF166" s="146"/>
      <c r="UNG166" s="146"/>
      <c r="UNH166" s="146"/>
      <c r="UNI166" s="146"/>
      <c r="UNJ166" s="146"/>
      <c r="UNK166" s="146"/>
      <c r="UNL166" s="146"/>
      <c r="UNM166" s="146"/>
      <c r="UNN166" s="146"/>
      <c r="UNO166" s="146"/>
      <c r="UNP166" s="146"/>
      <c r="UNQ166" s="146"/>
      <c r="UNR166" s="146"/>
      <c r="UNS166" s="146"/>
      <c r="UNT166" s="146"/>
      <c r="UNU166" s="146"/>
      <c r="UNV166" s="146"/>
      <c r="UNW166" s="146"/>
      <c r="UNX166" s="146"/>
      <c r="UNY166" s="146"/>
      <c r="UNZ166" s="146"/>
      <c r="UOA166" s="146"/>
      <c r="UOB166" s="146"/>
      <c r="UOC166" s="146"/>
      <c r="UOD166" s="146"/>
      <c r="UOE166" s="146"/>
      <c r="UOF166" s="146"/>
      <c r="UOG166" s="146"/>
      <c r="UOH166" s="146"/>
      <c r="UOI166" s="146"/>
      <c r="UOJ166" s="146"/>
      <c r="UOK166" s="146"/>
      <c r="UOL166" s="146"/>
      <c r="UOM166" s="146"/>
      <c r="UON166" s="146"/>
      <c r="UOO166" s="146"/>
      <c r="UOP166" s="146"/>
      <c r="UOQ166" s="146"/>
      <c r="UOR166" s="146"/>
      <c r="UOS166" s="146"/>
      <c r="UOT166" s="146"/>
      <c r="UOU166" s="146"/>
      <c r="UOV166" s="146"/>
      <c r="UOW166" s="146"/>
      <c r="UOX166" s="146"/>
      <c r="UOY166" s="146"/>
      <c r="UOZ166" s="146"/>
      <c r="UPA166" s="146"/>
      <c r="UPB166" s="146"/>
      <c r="UPC166" s="146"/>
      <c r="UPD166" s="146"/>
      <c r="UPE166" s="146"/>
      <c r="UPF166" s="146"/>
      <c r="UPG166" s="146"/>
      <c r="UPH166" s="146"/>
      <c r="UPI166" s="146"/>
      <c r="UPJ166" s="146"/>
      <c r="UPK166" s="146"/>
      <c r="UPL166" s="146"/>
      <c r="UPM166" s="146"/>
      <c r="UPN166" s="146"/>
      <c r="UPO166" s="146"/>
      <c r="UPP166" s="146"/>
      <c r="UPQ166" s="146"/>
      <c r="UPR166" s="146"/>
      <c r="UPS166" s="146"/>
      <c r="UPT166" s="146"/>
      <c r="UPU166" s="146"/>
      <c r="UPV166" s="146"/>
      <c r="UPW166" s="146"/>
      <c r="UPX166" s="146"/>
      <c r="UPY166" s="146"/>
      <c r="UPZ166" s="146"/>
      <c r="UQA166" s="146"/>
      <c r="UQB166" s="146"/>
      <c r="UQC166" s="146"/>
      <c r="UQD166" s="146"/>
      <c r="UQE166" s="146"/>
      <c r="UQF166" s="146"/>
      <c r="UQG166" s="146"/>
      <c r="UQH166" s="146"/>
      <c r="UQI166" s="146"/>
      <c r="UQJ166" s="146"/>
      <c r="UQK166" s="146"/>
      <c r="UQL166" s="146"/>
      <c r="UQM166" s="146"/>
      <c r="UQN166" s="146"/>
      <c r="UQO166" s="146"/>
      <c r="UQP166" s="146"/>
      <c r="UQQ166" s="146"/>
      <c r="UQR166" s="146"/>
      <c r="UQS166" s="146"/>
      <c r="UQT166" s="146"/>
      <c r="UQU166" s="146"/>
      <c r="UQV166" s="146"/>
      <c r="UQW166" s="146"/>
      <c r="UQX166" s="146"/>
      <c r="UQY166" s="146"/>
      <c r="UQZ166" s="146"/>
      <c r="URA166" s="146"/>
      <c r="URB166" s="146"/>
      <c r="URC166" s="146"/>
      <c r="URD166" s="146"/>
      <c r="URE166" s="146"/>
      <c r="URF166" s="146"/>
      <c r="URG166" s="146"/>
      <c r="URH166" s="146"/>
      <c r="URI166" s="146"/>
      <c r="URJ166" s="146"/>
      <c r="URK166" s="146"/>
      <c r="URL166" s="146"/>
      <c r="URM166" s="146"/>
      <c r="URN166" s="146"/>
      <c r="URO166" s="146"/>
      <c r="URP166" s="146"/>
      <c r="URQ166" s="146"/>
      <c r="URR166" s="146"/>
      <c r="URS166" s="146"/>
      <c r="URT166" s="146"/>
      <c r="URU166" s="146"/>
      <c r="URV166" s="146"/>
      <c r="URW166" s="146"/>
      <c r="URX166" s="146"/>
      <c r="URY166" s="146"/>
      <c r="URZ166" s="146"/>
      <c r="USA166" s="146"/>
      <c r="USB166" s="146"/>
      <c r="USC166" s="146"/>
      <c r="USD166" s="146"/>
      <c r="USE166" s="146"/>
      <c r="USF166" s="146"/>
      <c r="USG166" s="146"/>
      <c r="USH166" s="146"/>
      <c r="USI166" s="146"/>
      <c r="USJ166" s="146"/>
      <c r="USK166" s="146"/>
      <c r="USL166" s="146"/>
      <c r="USM166" s="146"/>
      <c r="USN166" s="146"/>
      <c r="USO166" s="146"/>
      <c r="USP166" s="146"/>
      <c r="USQ166" s="146"/>
      <c r="USR166" s="146"/>
      <c r="USS166" s="146"/>
      <c r="UST166" s="146"/>
      <c r="USU166" s="146"/>
      <c r="USV166" s="146"/>
      <c r="USW166" s="146"/>
      <c r="USX166" s="146"/>
      <c r="USY166" s="146"/>
      <c r="USZ166" s="146"/>
      <c r="UTA166" s="146"/>
      <c r="UTB166" s="146"/>
      <c r="UTC166" s="146"/>
      <c r="UTD166" s="146"/>
      <c r="UTE166" s="146"/>
      <c r="UTF166" s="146"/>
      <c r="UTG166" s="146"/>
      <c r="UTH166" s="146"/>
      <c r="UTI166" s="146"/>
      <c r="UTJ166" s="146"/>
      <c r="UTK166" s="146"/>
      <c r="UTL166" s="146"/>
      <c r="UTM166" s="146"/>
      <c r="UTN166" s="146"/>
      <c r="UTO166" s="146"/>
      <c r="UTP166" s="146"/>
      <c r="UTQ166" s="146"/>
      <c r="UTR166" s="146"/>
      <c r="UTS166" s="146"/>
      <c r="UTT166" s="146"/>
      <c r="UTU166" s="146"/>
      <c r="UTV166" s="146"/>
      <c r="UTW166" s="146"/>
      <c r="UTX166" s="146"/>
      <c r="UTY166" s="146"/>
      <c r="UTZ166" s="146"/>
      <c r="UUA166" s="146"/>
      <c r="UUB166" s="146"/>
      <c r="UUC166" s="146"/>
      <c r="UUD166" s="146"/>
      <c r="UUE166" s="146"/>
      <c r="UUF166" s="146"/>
      <c r="UUG166" s="146"/>
      <c r="UUH166" s="146"/>
      <c r="UUI166" s="146"/>
      <c r="UUJ166" s="146"/>
      <c r="UUK166" s="146"/>
      <c r="UUL166" s="146"/>
      <c r="UUM166" s="146"/>
      <c r="UUN166" s="146"/>
      <c r="UUO166" s="146"/>
      <c r="UUP166" s="146"/>
      <c r="UUQ166" s="146"/>
      <c r="UUR166" s="146"/>
      <c r="UUS166" s="146"/>
      <c r="UUT166" s="146"/>
      <c r="UUU166" s="146"/>
      <c r="UUV166" s="146"/>
      <c r="UUW166" s="146"/>
      <c r="UUX166" s="146"/>
      <c r="UUY166" s="146"/>
      <c r="UUZ166" s="146"/>
      <c r="UVA166" s="146"/>
      <c r="UVB166" s="146"/>
      <c r="UVC166" s="146"/>
      <c r="UVD166" s="146"/>
      <c r="UVE166" s="146"/>
      <c r="UVF166" s="146"/>
      <c r="UVG166" s="146"/>
      <c r="UVH166" s="146"/>
      <c r="UVI166" s="146"/>
      <c r="UVJ166" s="146"/>
      <c r="UVK166" s="146"/>
      <c r="UVL166" s="146"/>
      <c r="UVM166" s="146"/>
      <c r="UVN166" s="146"/>
      <c r="UVO166" s="146"/>
      <c r="UVP166" s="146"/>
      <c r="UVQ166" s="146"/>
      <c r="UVR166" s="146"/>
      <c r="UVS166" s="146"/>
      <c r="UVT166" s="146"/>
      <c r="UVU166" s="146"/>
      <c r="UVV166" s="146"/>
      <c r="UVW166" s="146"/>
      <c r="UVX166" s="146"/>
      <c r="UVY166" s="146"/>
      <c r="UVZ166" s="146"/>
      <c r="UWA166" s="146"/>
      <c r="UWB166" s="146"/>
      <c r="UWC166" s="146"/>
      <c r="UWD166" s="146"/>
      <c r="UWE166" s="146"/>
      <c r="UWF166" s="146"/>
      <c r="UWG166" s="146"/>
      <c r="UWH166" s="146"/>
      <c r="UWI166" s="146"/>
      <c r="UWJ166" s="146"/>
      <c r="UWK166" s="146"/>
      <c r="UWL166" s="146"/>
      <c r="UWM166" s="146"/>
      <c r="UWN166" s="146"/>
      <c r="UWO166" s="146"/>
      <c r="UWP166" s="146"/>
      <c r="UWQ166" s="146"/>
      <c r="UWR166" s="146"/>
      <c r="UWS166" s="146"/>
      <c r="UWT166" s="146"/>
      <c r="UWU166" s="146"/>
      <c r="UWV166" s="146"/>
      <c r="UWW166" s="146"/>
      <c r="UWX166" s="146"/>
      <c r="UWY166" s="146"/>
      <c r="UWZ166" s="146"/>
      <c r="UXA166" s="146"/>
      <c r="UXB166" s="146"/>
      <c r="UXC166" s="146"/>
      <c r="UXD166" s="146"/>
      <c r="UXE166" s="146"/>
      <c r="UXF166" s="146"/>
      <c r="UXG166" s="146"/>
      <c r="UXH166" s="146"/>
      <c r="UXI166" s="146"/>
      <c r="UXJ166" s="146"/>
      <c r="UXK166" s="146"/>
      <c r="UXL166" s="146"/>
      <c r="UXM166" s="146"/>
      <c r="UXN166" s="146"/>
      <c r="UXO166" s="146"/>
      <c r="UXP166" s="146"/>
      <c r="UXQ166" s="146"/>
      <c r="UXR166" s="146"/>
      <c r="UXS166" s="146"/>
      <c r="UXT166" s="146"/>
      <c r="UXU166" s="146"/>
      <c r="UXV166" s="146"/>
      <c r="UXW166" s="146"/>
      <c r="UXX166" s="146"/>
      <c r="UXY166" s="146"/>
      <c r="UXZ166" s="146"/>
      <c r="UYA166" s="146"/>
      <c r="UYB166" s="146"/>
      <c r="UYC166" s="146"/>
      <c r="UYD166" s="146"/>
      <c r="UYE166" s="146"/>
      <c r="UYF166" s="146"/>
      <c r="UYG166" s="146"/>
      <c r="UYH166" s="146"/>
      <c r="UYI166" s="146"/>
      <c r="UYJ166" s="146"/>
      <c r="UYK166" s="146"/>
      <c r="UYL166" s="146"/>
      <c r="UYM166" s="146"/>
      <c r="UYN166" s="146"/>
      <c r="UYO166" s="146"/>
      <c r="UYP166" s="146"/>
      <c r="UYQ166" s="146"/>
      <c r="UYR166" s="146"/>
      <c r="UYS166" s="146"/>
      <c r="UYT166" s="146"/>
      <c r="UYU166" s="146"/>
      <c r="UYV166" s="146"/>
      <c r="UYW166" s="146"/>
      <c r="UYX166" s="146"/>
      <c r="UYY166" s="146"/>
      <c r="UYZ166" s="146"/>
      <c r="UZA166" s="146"/>
      <c r="UZB166" s="146"/>
      <c r="UZC166" s="146"/>
      <c r="UZD166" s="146"/>
      <c r="UZE166" s="146"/>
      <c r="UZF166" s="146"/>
      <c r="UZG166" s="146"/>
      <c r="UZH166" s="146"/>
      <c r="UZI166" s="146"/>
      <c r="UZJ166" s="146"/>
      <c r="UZK166" s="146"/>
      <c r="UZL166" s="146"/>
      <c r="UZM166" s="146"/>
      <c r="UZN166" s="146"/>
      <c r="UZO166" s="146"/>
      <c r="UZP166" s="146"/>
      <c r="UZQ166" s="146"/>
      <c r="UZR166" s="146"/>
      <c r="UZS166" s="146"/>
      <c r="UZT166" s="146"/>
      <c r="UZU166" s="146"/>
      <c r="UZV166" s="146"/>
      <c r="UZW166" s="146"/>
      <c r="UZX166" s="146"/>
      <c r="UZY166" s="146"/>
      <c r="UZZ166" s="146"/>
      <c r="VAA166" s="146"/>
      <c r="VAB166" s="146"/>
      <c r="VAC166" s="146"/>
      <c r="VAD166" s="146"/>
      <c r="VAE166" s="146"/>
      <c r="VAF166" s="146"/>
      <c r="VAG166" s="146"/>
      <c r="VAH166" s="146"/>
      <c r="VAI166" s="146"/>
      <c r="VAJ166" s="146"/>
      <c r="VAK166" s="146"/>
      <c r="VAL166" s="146"/>
      <c r="VAM166" s="146"/>
      <c r="VAN166" s="146"/>
      <c r="VAO166" s="146"/>
      <c r="VAP166" s="146"/>
      <c r="VAQ166" s="146"/>
      <c r="VAR166" s="146"/>
      <c r="VAS166" s="146"/>
      <c r="VAT166" s="146"/>
      <c r="VAU166" s="146"/>
      <c r="VAV166" s="146"/>
      <c r="VAW166" s="146"/>
      <c r="VAX166" s="146"/>
      <c r="VAY166" s="146"/>
      <c r="VAZ166" s="146"/>
      <c r="VBA166" s="146"/>
      <c r="VBB166" s="146"/>
      <c r="VBC166" s="146"/>
      <c r="VBD166" s="146"/>
      <c r="VBE166" s="146"/>
      <c r="VBF166" s="146"/>
      <c r="VBG166" s="146"/>
      <c r="VBH166" s="146"/>
      <c r="VBI166" s="146"/>
      <c r="VBJ166" s="146"/>
      <c r="VBK166" s="146"/>
      <c r="VBL166" s="146"/>
      <c r="VBM166" s="146"/>
      <c r="VBN166" s="146"/>
      <c r="VBO166" s="146"/>
      <c r="VBP166" s="146"/>
      <c r="VBQ166" s="146"/>
      <c r="VBR166" s="146"/>
      <c r="VBS166" s="146"/>
      <c r="VBT166" s="146"/>
      <c r="VBU166" s="146"/>
      <c r="VBV166" s="146"/>
      <c r="VBW166" s="146"/>
      <c r="VBX166" s="146"/>
      <c r="VBY166" s="146"/>
      <c r="VBZ166" s="146"/>
      <c r="VCA166" s="146"/>
      <c r="VCB166" s="146"/>
      <c r="VCC166" s="146"/>
      <c r="VCD166" s="146"/>
      <c r="VCE166" s="146"/>
      <c r="VCF166" s="146"/>
      <c r="VCG166" s="146"/>
      <c r="VCH166" s="146"/>
      <c r="VCI166" s="146"/>
      <c r="VCJ166" s="146"/>
      <c r="VCK166" s="146"/>
      <c r="VCL166" s="146"/>
      <c r="VCM166" s="146"/>
      <c r="VCN166" s="146"/>
      <c r="VCO166" s="146"/>
      <c r="VCP166" s="146"/>
      <c r="VCQ166" s="146"/>
      <c r="VCR166" s="146"/>
      <c r="VCS166" s="146"/>
      <c r="VCT166" s="146"/>
      <c r="VCU166" s="146"/>
      <c r="VCV166" s="146"/>
      <c r="VCW166" s="146"/>
      <c r="VCX166" s="146"/>
      <c r="VCY166" s="146"/>
      <c r="VCZ166" s="146"/>
      <c r="VDA166" s="146"/>
      <c r="VDB166" s="146"/>
      <c r="VDC166" s="146"/>
      <c r="VDD166" s="146"/>
      <c r="VDE166" s="146"/>
      <c r="VDF166" s="146"/>
      <c r="VDG166" s="146"/>
      <c r="VDH166" s="146"/>
      <c r="VDI166" s="146"/>
      <c r="VDJ166" s="146"/>
      <c r="VDK166" s="146"/>
      <c r="VDL166" s="146"/>
      <c r="VDM166" s="146"/>
      <c r="VDN166" s="146"/>
      <c r="VDO166" s="146"/>
      <c r="VDP166" s="146"/>
      <c r="VDQ166" s="146"/>
      <c r="VDR166" s="146"/>
      <c r="VDS166" s="146"/>
      <c r="VDT166" s="146"/>
      <c r="VDU166" s="146"/>
      <c r="VDV166" s="146"/>
      <c r="VDW166" s="146"/>
      <c r="VDX166" s="146"/>
      <c r="VDY166" s="146"/>
      <c r="VDZ166" s="146"/>
      <c r="VEA166" s="146"/>
      <c r="VEB166" s="146"/>
      <c r="VEC166" s="146"/>
      <c r="VED166" s="146"/>
      <c r="VEE166" s="146"/>
      <c r="VEF166" s="146"/>
      <c r="VEG166" s="146"/>
      <c r="VEH166" s="146"/>
      <c r="VEI166" s="146"/>
      <c r="VEJ166" s="146"/>
      <c r="VEK166" s="146"/>
      <c r="VEL166" s="146"/>
      <c r="VEM166" s="146"/>
      <c r="VEN166" s="146"/>
      <c r="VEO166" s="146"/>
      <c r="VEP166" s="146"/>
      <c r="VEQ166" s="146"/>
      <c r="VER166" s="146"/>
      <c r="VES166" s="146"/>
      <c r="VET166" s="146"/>
      <c r="VEU166" s="146"/>
      <c r="VEV166" s="146"/>
      <c r="VEW166" s="146"/>
      <c r="VEX166" s="146"/>
      <c r="VEY166" s="146"/>
      <c r="VEZ166" s="146"/>
      <c r="VFA166" s="146"/>
      <c r="VFB166" s="146"/>
      <c r="VFC166" s="146"/>
      <c r="VFD166" s="146"/>
      <c r="VFE166" s="146"/>
      <c r="VFF166" s="146"/>
      <c r="VFG166" s="146"/>
      <c r="VFH166" s="146"/>
      <c r="VFI166" s="146"/>
      <c r="VFJ166" s="146"/>
      <c r="VFK166" s="146"/>
      <c r="VFL166" s="146"/>
      <c r="VFM166" s="146"/>
      <c r="VFN166" s="146"/>
      <c r="VFO166" s="146"/>
      <c r="VFP166" s="146"/>
      <c r="VFQ166" s="146"/>
      <c r="VFR166" s="146"/>
      <c r="VFS166" s="146"/>
      <c r="VFT166" s="146"/>
      <c r="VFU166" s="146"/>
      <c r="VFV166" s="146"/>
      <c r="VFW166" s="146"/>
      <c r="VFX166" s="146"/>
      <c r="VFY166" s="146"/>
      <c r="VFZ166" s="146"/>
      <c r="VGA166" s="146"/>
      <c r="VGB166" s="146"/>
      <c r="VGC166" s="146"/>
      <c r="VGD166" s="146"/>
      <c r="VGE166" s="146"/>
      <c r="VGF166" s="146"/>
      <c r="VGG166" s="146"/>
      <c r="VGH166" s="146"/>
      <c r="VGI166" s="146"/>
      <c r="VGJ166" s="146"/>
      <c r="VGK166" s="146"/>
      <c r="VGL166" s="146"/>
      <c r="VGM166" s="146"/>
      <c r="VGN166" s="146"/>
      <c r="VGO166" s="146"/>
      <c r="VGP166" s="146"/>
      <c r="VGQ166" s="146"/>
      <c r="VGR166" s="146"/>
      <c r="VGS166" s="146"/>
      <c r="VGT166" s="146"/>
      <c r="VGU166" s="146"/>
      <c r="VGV166" s="146"/>
      <c r="VGW166" s="146"/>
      <c r="VGX166" s="146"/>
      <c r="VGY166" s="146"/>
      <c r="VGZ166" s="146"/>
      <c r="VHA166" s="146"/>
      <c r="VHB166" s="146"/>
      <c r="VHC166" s="146"/>
      <c r="VHD166" s="146"/>
      <c r="VHE166" s="146"/>
      <c r="VHF166" s="146"/>
      <c r="VHG166" s="146"/>
      <c r="VHH166" s="146"/>
      <c r="VHI166" s="146"/>
      <c r="VHJ166" s="146"/>
      <c r="VHK166" s="146"/>
      <c r="VHL166" s="146"/>
      <c r="VHM166" s="146"/>
      <c r="VHN166" s="146"/>
      <c r="VHO166" s="146"/>
      <c r="VHP166" s="146"/>
      <c r="VHQ166" s="146"/>
      <c r="VHR166" s="146"/>
      <c r="VHS166" s="146"/>
      <c r="VHT166" s="146"/>
      <c r="VHU166" s="146"/>
      <c r="VHV166" s="146"/>
      <c r="VHW166" s="146"/>
      <c r="VHX166" s="146"/>
      <c r="VHY166" s="146"/>
      <c r="VHZ166" s="146"/>
      <c r="VIA166" s="146"/>
      <c r="VIB166" s="146"/>
      <c r="VIC166" s="146"/>
      <c r="VID166" s="146"/>
      <c r="VIE166" s="146"/>
      <c r="VIF166" s="146"/>
      <c r="VIG166" s="146"/>
      <c r="VIH166" s="146"/>
      <c r="VII166" s="146"/>
      <c r="VIJ166" s="146"/>
      <c r="VIK166" s="146"/>
      <c r="VIL166" s="146"/>
      <c r="VIM166" s="146"/>
      <c r="VIN166" s="146"/>
      <c r="VIO166" s="146"/>
      <c r="VIP166" s="146"/>
      <c r="VIQ166" s="146"/>
      <c r="VIR166" s="146"/>
      <c r="VIS166" s="146"/>
      <c r="VIT166" s="146"/>
      <c r="VIU166" s="146"/>
      <c r="VIV166" s="146"/>
      <c r="VIW166" s="146"/>
      <c r="VIX166" s="146"/>
      <c r="VIY166" s="146"/>
      <c r="VIZ166" s="146"/>
      <c r="VJA166" s="146"/>
      <c r="VJB166" s="146"/>
      <c r="VJC166" s="146"/>
      <c r="VJD166" s="146"/>
      <c r="VJE166" s="146"/>
      <c r="VJF166" s="146"/>
      <c r="VJG166" s="146"/>
      <c r="VJH166" s="146"/>
      <c r="VJI166" s="146"/>
      <c r="VJJ166" s="146"/>
      <c r="VJK166" s="146"/>
      <c r="VJL166" s="146"/>
      <c r="VJM166" s="146"/>
      <c r="VJN166" s="146"/>
      <c r="VJO166" s="146"/>
      <c r="VJP166" s="146"/>
      <c r="VJQ166" s="146"/>
      <c r="VJR166" s="146"/>
      <c r="VJS166" s="146"/>
      <c r="VJT166" s="146"/>
      <c r="VJU166" s="146"/>
      <c r="VJV166" s="146"/>
      <c r="VJW166" s="146"/>
      <c r="VJX166" s="146"/>
      <c r="VJY166" s="146"/>
      <c r="VJZ166" s="146"/>
      <c r="VKA166" s="146"/>
      <c r="VKB166" s="146"/>
      <c r="VKC166" s="146"/>
      <c r="VKD166" s="146"/>
      <c r="VKE166" s="146"/>
      <c r="VKF166" s="146"/>
      <c r="VKG166" s="146"/>
      <c r="VKH166" s="146"/>
      <c r="VKI166" s="146"/>
      <c r="VKJ166" s="146"/>
      <c r="VKK166" s="146"/>
      <c r="VKL166" s="146"/>
      <c r="VKM166" s="146"/>
      <c r="VKN166" s="146"/>
      <c r="VKO166" s="146"/>
      <c r="VKP166" s="146"/>
      <c r="VKQ166" s="146"/>
      <c r="VKR166" s="146"/>
      <c r="VKS166" s="146"/>
      <c r="VKT166" s="146"/>
      <c r="VKU166" s="146"/>
      <c r="VKV166" s="146"/>
      <c r="VKW166" s="146"/>
      <c r="VKX166" s="146"/>
      <c r="VKY166" s="146"/>
      <c r="VKZ166" s="146"/>
      <c r="VLA166" s="146"/>
      <c r="VLB166" s="146"/>
      <c r="VLC166" s="146"/>
      <c r="VLD166" s="146"/>
      <c r="VLE166" s="146"/>
      <c r="VLF166" s="146"/>
      <c r="VLG166" s="146"/>
      <c r="VLH166" s="146"/>
      <c r="VLI166" s="146"/>
      <c r="VLJ166" s="146"/>
      <c r="VLK166" s="146"/>
      <c r="VLL166" s="146"/>
      <c r="VLM166" s="146"/>
      <c r="VLN166" s="146"/>
      <c r="VLO166" s="146"/>
      <c r="VLP166" s="146"/>
      <c r="VLQ166" s="146"/>
      <c r="VLR166" s="146"/>
      <c r="VLS166" s="146"/>
      <c r="VLT166" s="146"/>
      <c r="VLU166" s="146"/>
      <c r="VLV166" s="146"/>
      <c r="VLW166" s="146"/>
      <c r="VLX166" s="146"/>
      <c r="VLY166" s="146"/>
      <c r="VLZ166" s="146"/>
      <c r="VMA166" s="146"/>
      <c r="VMB166" s="146"/>
      <c r="VMC166" s="146"/>
      <c r="VMD166" s="146"/>
      <c r="VME166" s="146"/>
      <c r="VMF166" s="146"/>
      <c r="VMG166" s="146"/>
      <c r="VMH166" s="146"/>
      <c r="VMI166" s="146"/>
      <c r="VMJ166" s="146"/>
      <c r="VMK166" s="146"/>
      <c r="VML166" s="146"/>
      <c r="VMM166" s="146"/>
      <c r="VMN166" s="146"/>
      <c r="VMO166" s="146"/>
      <c r="VMP166" s="146"/>
      <c r="VMQ166" s="146"/>
      <c r="VMR166" s="146"/>
      <c r="VMS166" s="146"/>
      <c r="VMT166" s="146"/>
      <c r="VMU166" s="146"/>
      <c r="VMV166" s="146"/>
      <c r="VMW166" s="146"/>
      <c r="VMX166" s="146"/>
      <c r="VMY166" s="146"/>
      <c r="VMZ166" s="146"/>
      <c r="VNA166" s="146"/>
      <c r="VNB166" s="146"/>
      <c r="VNC166" s="146"/>
      <c r="VND166" s="146"/>
      <c r="VNE166" s="146"/>
      <c r="VNF166" s="146"/>
      <c r="VNG166" s="146"/>
      <c r="VNH166" s="146"/>
      <c r="VNI166" s="146"/>
      <c r="VNJ166" s="146"/>
      <c r="VNK166" s="146"/>
      <c r="VNL166" s="146"/>
      <c r="VNM166" s="146"/>
      <c r="VNN166" s="146"/>
      <c r="VNO166" s="146"/>
      <c r="VNP166" s="146"/>
      <c r="VNQ166" s="146"/>
      <c r="VNR166" s="146"/>
      <c r="VNS166" s="146"/>
      <c r="VNT166" s="146"/>
      <c r="VNU166" s="146"/>
      <c r="VNV166" s="146"/>
      <c r="VNW166" s="146"/>
      <c r="VNX166" s="146"/>
      <c r="VNY166" s="146"/>
      <c r="VNZ166" s="146"/>
      <c r="VOA166" s="146"/>
      <c r="VOB166" s="146"/>
      <c r="VOC166" s="146"/>
      <c r="VOD166" s="146"/>
      <c r="VOE166" s="146"/>
      <c r="VOF166" s="146"/>
      <c r="VOG166" s="146"/>
      <c r="VOH166" s="146"/>
      <c r="VOI166" s="146"/>
      <c r="VOJ166" s="146"/>
      <c r="VOK166" s="146"/>
      <c r="VOL166" s="146"/>
      <c r="VOM166" s="146"/>
      <c r="VON166" s="146"/>
      <c r="VOO166" s="146"/>
      <c r="VOP166" s="146"/>
      <c r="VOQ166" s="146"/>
      <c r="VOR166" s="146"/>
      <c r="VOS166" s="146"/>
      <c r="VOT166" s="146"/>
      <c r="VOU166" s="146"/>
      <c r="VOV166" s="146"/>
      <c r="VOW166" s="146"/>
      <c r="VOX166" s="146"/>
      <c r="VOY166" s="146"/>
      <c r="VOZ166" s="146"/>
      <c r="VPA166" s="146"/>
      <c r="VPB166" s="146"/>
      <c r="VPC166" s="146"/>
      <c r="VPD166" s="146"/>
      <c r="VPE166" s="146"/>
      <c r="VPF166" s="146"/>
      <c r="VPG166" s="146"/>
      <c r="VPH166" s="146"/>
      <c r="VPI166" s="146"/>
      <c r="VPJ166" s="146"/>
      <c r="VPK166" s="146"/>
      <c r="VPL166" s="146"/>
      <c r="VPM166" s="146"/>
      <c r="VPN166" s="146"/>
      <c r="VPO166" s="146"/>
      <c r="VPP166" s="146"/>
      <c r="VPQ166" s="146"/>
      <c r="VPR166" s="146"/>
      <c r="VPS166" s="146"/>
      <c r="VPT166" s="146"/>
      <c r="VPU166" s="146"/>
      <c r="VPV166" s="146"/>
      <c r="VPW166" s="146"/>
      <c r="VPX166" s="146"/>
      <c r="VPY166" s="146"/>
      <c r="VPZ166" s="146"/>
      <c r="VQA166" s="146"/>
      <c r="VQB166" s="146"/>
      <c r="VQC166" s="146"/>
      <c r="VQD166" s="146"/>
      <c r="VQE166" s="146"/>
      <c r="VQF166" s="146"/>
      <c r="VQG166" s="146"/>
      <c r="VQH166" s="146"/>
      <c r="VQI166" s="146"/>
      <c r="VQJ166" s="146"/>
      <c r="VQK166" s="146"/>
      <c r="VQL166" s="146"/>
      <c r="VQM166" s="146"/>
      <c r="VQN166" s="146"/>
      <c r="VQO166" s="146"/>
      <c r="VQP166" s="146"/>
      <c r="VQQ166" s="146"/>
      <c r="VQR166" s="146"/>
      <c r="VQS166" s="146"/>
      <c r="VQT166" s="146"/>
      <c r="VQU166" s="146"/>
      <c r="VQV166" s="146"/>
      <c r="VQW166" s="146"/>
      <c r="VQX166" s="146"/>
      <c r="VQY166" s="146"/>
      <c r="VQZ166" s="146"/>
      <c r="VRA166" s="146"/>
      <c r="VRB166" s="146"/>
      <c r="VRC166" s="146"/>
      <c r="VRD166" s="146"/>
      <c r="VRE166" s="146"/>
      <c r="VRF166" s="146"/>
      <c r="VRG166" s="146"/>
      <c r="VRH166" s="146"/>
      <c r="VRI166" s="146"/>
      <c r="VRJ166" s="146"/>
      <c r="VRK166" s="146"/>
      <c r="VRL166" s="146"/>
      <c r="VRM166" s="146"/>
      <c r="VRN166" s="146"/>
      <c r="VRO166" s="146"/>
      <c r="VRP166" s="146"/>
      <c r="VRQ166" s="146"/>
      <c r="VRR166" s="146"/>
      <c r="VRS166" s="146"/>
      <c r="VRT166" s="146"/>
      <c r="VRU166" s="146"/>
      <c r="VRV166" s="146"/>
      <c r="VRW166" s="146"/>
      <c r="VRX166" s="146"/>
      <c r="VRY166" s="146"/>
      <c r="VRZ166" s="146"/>
      <c r="VSA166" s="146"/>
      <c r="VSB166" s="146"/>
      <c r="VSC166" s="146"/>
      <c r="VSD166" s="146"/>
      <c r="VSE166" s="146"/>
      <c r="VSF166" s="146"/>
      <c r="VSG166" s="146"/>
      <c r="VSH166" s="146"/>
      <c r="VSI166" s="146"/>
      <c r="VSJ166" s="146"/>
      <c r="VSK166" s="146"/>
      <c r="VSL166" s="146"/>
      <c r="VSM166" s="146"/>
      <c r="VSN166" s="146"/>
      <c r="VSO166" s="146"/>
      <c r="VSP166" s="146"/>
      <c r="VSQ166" s="146"/>
      <c r="VSR166" s="146"/>
      <c r="VSS166" s="146"/>
      <c r="VST166" s="146"/>
      <c r="VSU166" s="146"/>
      <c r="VSV166" s="146"/>
      <c r="VSW166" s="146"/>
      <c r="VSX166" s="146"/>
      <c r="VSY166" s="146"/>
      <c r="VSZ166" s="146"/>
      <c r="VTA166" s="146"/>
      <c r="VTB166" s="146"/>
      <c r="VTC166" s="146"/>
      <c r="VTD166" s="146"/>
      <c r="VTE166" s="146"/>
      <c r="VTF166" s="146"/>
      <c r="VTG166" s="146"/>
      <c r="VTH166" s="146"/>
      <c r="VTI166" s="146"/>
      <c r="VTJ166" s="146"/>
      <c r="VTK166" s="146"/>
      <c r="VTL166" s="146"/>
      <c r="VTM166" s="146"/>
      <c r="VTN166" s="146"/>
      <c r="VTO166" s="146"/>
      <c r="VTP166" s="146"/>
      <c r="VTQ166" s="146"/>
      <c r="VTR166" s="146"/>
      <c r="VTS166" s="146"/>
      <c r="VTT166" s="146"/>
      <c r="VTU166" s="146"/>
      <c r="VTV166" s="146"/>
      <c r="VTW166" s="146"/>
      <c r="VTX166" s="146"/>
      <c r="VTY166" s="146"/>
      <c r="VTZ166" s="146"/>
      <c r="VUA166" s="146"/>
      <c r="VUB166" s="146"/>
      <c r="VUC166" s="146"/>
      <c r="VUD166" s="146"/>
      <c r="VUE166" s="146"/>
      <c r="VUF166" s="146"/>
      <c r="VUG166" s="146"/>
      <c r="VUH166" s="146"/>
      <c r="VUI166" s="146"/>
      <c r="VUJ166" s="146"/>
      <c r="VUK166" s="146"/>
      <c r="VUL166" s="146"/>
      <c r="VUM166" s="146"/>
      <c r="VUN166" s="146"/>
      <c r="VUO166" s="146"/>
      <c r="VUP166" s="146"/>
      <c r="VUQ166" s="146"/>
      <c r="VUR166" s="146"/>
      <c r="VUS166" s="146"/>
      <c r="VUT166" s="146"/>
      <c r="VUU166" s="146"/>
      <c r="VUV166" s="146"/>
      <c r="VUW166" s="146"/>
      <c r="VUX166" s="146"/>
      <c r="VUY166" s="146"/>
      <c r="VUZ166" s="146"/>
      <c r="VVA166" s="146"/>
      <c r="VVB166" s="146"/>
      <c r="VVC166" s="146"/>
      <c r="VVD166" s="146"/>
      <c r="VVE166" s="146"/>
      <c r="VVF166" s="146"/>
      <c r="VVG166" s="146"/>
      <c r="VVH166" s="146"/>
      <c r="VVI166" s="146"/>
      <c r="VVJ166" s="146"/>
      <c r="VVK166" s="146"/>
      <c r="VVL166" s="146"/>
      <c r="VVM166" s="146"/>
      <c r="VVN166" s="146"/>
      <c r="VVO166" s="146"/>
      <c r="VVP166" s="146"/>
      <c r="VVQ166" s="146"/>
      <c r="VVR166" s="146"/>
      <c r="VVS166" s="146"/>
      <c r="VVT166" s="146"/>
      <c r="VVU166" s="146"/>
      <c r="VVV166" s="146"/>
      <c r="VVW166" s="146"/>
      <c r="VVX166" s="146"/>
      <c r="VVY166" s="146"/>
      <c r="VVZ166" s="146"/>
      <c r="VWA166" s="146"/>
      <c r="VWB166" s="146"/>
      <c r="VWC166" s="146"/>
      <c r="VWD166" s="146"/>
      <c r="VWE166" s="146"/>
      <c r="VWF166" s="146"/>
      <c r="VWG166" s="146"/>
      <c r="VWH166" s="146"/>
      <c r="VWI166" s="146"/>
      <c r="VWJ166" s="146"/>
      <c r="VWK166" s="146"/>
      <c r="VWL166" s="146"/>
      <c r="VWM166" s="146"/>
      <c r="VWN166" s="146"/>
      <c r="VWO166" s="146"/>
      <c r="VWP166" s="146"/>
      <c r="VWQ166" s="146"/>
      <c r="VWR166" s="146"/>
      <c r="VWS166" s="146"/>
      <c r="VWT166" s="146"/>
      <c r="VWU166" s="146"/>
      <c r="VWV166" s="146"/>
      <c r="VWW166" s="146"/>
      <c r="VWX166" s="146"/>
      <c r="VWY166" s="146"/>
      <c r="VWZ166" s="146"/>
      <c r="VXA166" s="146"/>
      <c r="VXB166" s="146"/>
      <c r="VXC166" s="146"/>
      <c r="VXD166" s="146"/>
      <c r="VXE166" s="146"/>
      <c r="VXF166" s="146"/>
      <c r="VXG166" s="146"/>
      <c r="VXH166" s="146"/>
      <c r="VXI166" s="146"/>
      <c r="VXJ166" s="146"/>
      <c r="VXK166" s="146"/>
      <c r="VXL166" s="146"/>
      <c r="VXM166" s="146"/>
      <c r="VXN166" s="146"/>
      <c r="VXO166" s="146"/>
      <c r="VXP166" s="146"/>
      <c r="VXQ166" s="146"/>
      <c r="VXR166" s="146"/>
      <c r="VXS166" s="146"/>
      <c r="VXT166" s="146"/>
      <c r="VXU166" s="146"/>
      <c r="VXV166" s="146"/>
      <c r="VXW166" s="146"/>
      <c r="VXX166" s="146"/>
      <c r="VXY166" s="146"/>
      <c r="VXZ166" s="146"/>
      <c r="VYA166" s="146"/>
      <c r="VYB166" s="146"/>
      <c r="VYC166" s="146"/>
      <c r="VYD166" s="146"/>
      <c r="VYE166" s="146"/>
      <c r="VYF166" s="146"/>
      <c r="VYG166" s="146"/>
      <c r="VYH166" s="146"/>
      <c r="VYI166" s="146"/>
      <c r="VYJ166" s="146"/>
      <c r="VYK166" s="146"/>
      <c r="VYL166" s="146"/>
      <c r="VYM166" s="146"/>
      <c r="VYN166" s="146"/>
      <c r="VYO166" s="146"/>
      <c r="VYP166" s="146"/>
      <c r="VYQ166" s="146"/>
      <c r="VYR166" s="146"/>
      <c r="VYS166" s="146"/>
      <c r="VYT166" s="146"/>
      <c r="VYU166" s="146"/>
      <c r="VYV166" s="146"/>
      <c r="VYW166" s="146"/>
      <c r="VYX166" s="146"/>
      <c r="VYY166" s="146"/>
      <c r="VYZ166" s="146"/>
      <c r="VZA166" s="146"/>
      <c r="VZB166" s="146"/>
      <c r="VZC166" s="146"/>
      <c r="VZD166" s="146"/>
      <c r="VZE166" s="146"/>
      <c r="VZF166" s="146"/>
      <c r="VZG166" s="146"/>
      <c r="VZH166" s="146"/>
      <c r="VZI166" s="146"/>
      <c r="VZJ166" s="146"/>
      <c r="VZK166" s="146"/>
      <c r="VZL166" s="146"/>
      <c r="VZM166" s="146"/>
      <c r="VZN166" s="146"/>
      <c r="VZO166" s="146"/>
      <c r="VZP166" s="146"/>
      <c r="VZQ166" s="146"/>
      <c r="VZR166" s="146"/>
      <c r="VZS166" s="146"/>
      <c r="VZT166" s="146"/>
      <c r="VZU166" s="146"/>
      <c r="VZV166" s="146"/>
      <c r="VZW166" s="146"/>
      <c r="VZX166" s="146"/>
      <c r="VZY166" s="146"/>
      <c r="VZZ166" s="146"/>
      <c r="WAA166" s="146"/>
      <c r="WAB166" s="146"/>
      <c r="WAC166" s="146"/>
      <c r="WAD166" s="146"/>
      <c r="WAE166" s="146"/>
      <c r="WAF166" s="146"/>
      <c r="WAG166" s="146"/>
      <c r="WAH166" s="146"/>
      <c r="WAI166" s="146"/>
      <c r="WAJ166" s="146"/>
      <c r="WAK166" s="146"/>
      <c r="WAL166" s="146"/>
      <c r="WAM166" s="146"/>
      <c r="WAN166" s="146"/>
      <c r="WAO166" s="146"/>
      <c r="WAP166" s="146"/>
      <c r="WAQ166" s="146"/>
      <c r="WAR166" s="146"/>
      <c r="WAS166" s="146"/>
      <c r="WAT166" s="146"/>
      <c r="WAU166" s="146"/>
      <c r="WAV166" s="146"/>
      <c r="WAW166" s="146"/>
      <c r="WAX166" s="146"/>
      <c r="WAY166" s="146"/>
      <c r="WAZ166" s="146"/>
      <c r="WBA166" s="146"/>
      <c r="WBB166" s="146"/>
      <c r="WBC166" s="146"/>
      <c r="WBD166" s="146"/>
      <c r="WBE166" s="146"/>
      <c r="WBF166" s="146"/>
      <c r="WBG166" s="146"/>
      <c r="WBH166" s="146"/>
      <c r="WBI166" s="146"/>
      <c r="WBJ166" s="146"/>
      <c r="WBK166" s="146"/>
      <c r="WBL166" s="146"/>
      <c r="WBM166" s="146"/>
      <c r="WBN166" s="146"/>
      <c r="WBO166" s="146"/>
      <c r="WBP166" s="146"/>
      <c r="WBQ166" s="146"/>
      <c r="WBR166" s="146"/>
      <c r="WBS166" s="146"/>
      <c r="WBT166" s="146"/>
      <c r="WBU166" s="146"/>
      <c r="WBV166" s="146"/>
      <c r="WBW166" s="146"/>
      <c r="WBX166" s="146"/>
      <c r="WBY166" s="146"/>
      <c r="WBZ166" s="146"/>
      <c r="WCA166" s="146"/>
      <c r="WCB166" s="146"/>
      <c r="WCC166" s="146"/>
      <c r="WCD166" s="146"/>
      <c r="WCE166" s="146"/>
      <c r="WCF166" s="146"/>
      <c r="WCG166" s="146"/>
      <c r="WCH166" s="146"/>
      <c r="WCI166" s="146"/>
      <c r="WCJ166" s="146"/>
      <c r="WCK166" s="146"/>
      <c r="WCL166" s="146"/>
      <c r="WCM166" s="146"/>
      <c r="WCN166" s="146"/>
      <c r="WCO166" s="146"/>
      <c r="WCP166" s="146"/>
      <c r="WCQ166" s="146"/>
      <c r="WCR166" s="146"/>
      <c r="WCS166" s="146"/>
      <c r="WCT166" s="146"/>
      <c r="WCU166" s="146"/>
      <c r="WCV166" s="146"/>
      <c r="WCW166" s="146"/>
      <c r="WCX166" s="146"/>
      <c r="WCY166" s="146"/>
      <c r="WCZ166" s="146"/>
      <c r="WDA166" s="146"/>
      <c r="WDB166" s="146"/>
      <c r="WDC166" s="146"/>
      <c r="WDD166" s="146"/>
      <c r="WDE166" s="146"/>
      <c r="WDF166" s="146"/>
      <c r="WDG166" s="146"/>
      <c r="WDH166" s="146"/>
      <c r="WDI166" s="146"/>
      <c r="WDJ166" s="146"/>
      <c r="WDK166" s="146"/>
      <c r="WDL166" s="146"/>
      <c r="WDM166" s="146"/>
      <c r="WDN166" s="146"/>
      <c r="WDO166" s="146"/>
      <c r="WDP166" s="146"/>
      <c r="WDQ166" s="146"/>
      <c r="WDR166" s="146"/>
      <c r="WDS166" s="146"/>
      <c r="WDT166" s="146"/>
      <c r="WDU166" s="146"/>
      <c r="WDV166" s="146"/>
      <c r="WDW166" s="146"/>
      <c r="WDX166" s="146"/>
      <c r="WDY166" s="146"/>
      <c r="WDZ166" s="146"/>
      <c r="WEA166" s="146"/>
      <c r="WEB166" s="146"/>
      <c r="WEC166" s="146"/>
      <c r="WED166" s="146"/>
      <c r="WEE166" s="146"/>
      <c r="WEF166" s="146"/>
      <c r="WEG166" s="146"/>
      <c r="WEH166" s="146"/>
      <c r="WEI166" s="146"/>
      <c r="WEJ166" s="146"/>
      <c r="WEK166" s="146"/>
      <c r="WEL166" s="146"/>
      <c r="WEM166" s="146"/>
      <c r="WEN166" s="146"/>
      <c r="WEO166" s="146"/>
      <c r="WEP166" s="146"/>
      <c r="WEQ166" s="146"/>
      <c r="WER166" s="146"/>
      <c r="WES166" s="146"/>
      <c r="WET166" s="146"/>
      <c r="WEU166" s="146"/>
      <c r="WEV166" s="146"/>
      <c r="WEW166" s="146"/>
      <c r="WEX166" s="146"/>
      <c r="WEY166" s="146"/>
      <c r="WEZ166" s="146"/>
      <c r="WFA166" s="146"/>
      <c r="WFB166" s="146"/>
      <c r="WFC166" s="146"/>
      <c r="WFD166" s="146"/>
      <c r="WFE166" s="146"/>
      <c r="WFF166" s="146"/>
      <c r="WFG166" s="146"/>
      <c r="WFH166" s="146"/>
      <c r="WFI166" s="146"/>
      <c r="WFJ166" s="146"/>
      <c r="WFK166" s="146"/>
      <c r="WFL166" s="146"/>
      <c r="WFM166" s="146"/>
      <c r="WFN166" s="146"/>
      <c r="WFO166" s="146"/>
      <c r="WFP166" s="146"/>
      <c r="WFQ166" s="146"/>
      <c r="WFR166" s="146"/>
      <c r="WFS166" s="146"/>
      <c r="WFT166" s="146"/>
      <c r="WFU166" s="146"/>
      <c r="WFV166" s="146"/>
      <c r="WFW166" s="146"/>
      <c r="WFX166" s="146"/>
      <c r="WFY166" s="146"/>
      <c r="WFZ166" s="146"/>
      <c r="WGA166" s="146"/>
      <c r="WGB166" s="146"/>
      <c r="WGC166" s="146"/>
      <c r="WGD166" s="146"/>
      <c r="WGE166" s="146"/>
      <c r="WGF166" s="146"/>
      <c r="WGG166" s="146"/>
      <c r="WGH166" s="146"/>
      <c r="WGI166" s="146"/>
      <c r="WGJ166" s="146"/>
      <c r="WGK166" s="146"/>
      <c r="WGL166" s="146"/>
      <c r="WGM166" s="146"/>
      <c r="WGN166" s="146"/>
      <c r="WGO166" s="146"/>
      <c r="WGP166" s="146"/>
      <c r="WGQ166" s="146"/>
      <c r="WGR166" s="146"/>
      <c r="WGS166" s="146"/>
      <c r="WGT166" s="146"/>
      <c r="WGU166" s="146"/>
      <c r="WGV166" s="146"/>
      <c r="WGW166" s="146"/>
      <c r="WGX166" s="146"/>
      <c r="WGY166" s="146"/>
      <c r="WGZ166" s="146"/>
      <c r="WHA166" s="146"/>
      <c r="WHB166" s="146"/>
      <c r="WHC166" s="146"/>
      <c r="WHD166" s="146"/>
      <c r="WHE166" s="146"/>
      <c r="WHF166" s="146"/>
      <c r="WHG166" s="146"/>
      <c r="WHH166" s="146"/>
      <c r="WHI166" s="146"/>
      <c r="WHJ166" s="146"/>
      <c r="WHK166" s="146"/>
      <c r="WHL166" s="146"/>
      <c r="WHM166" s="146"/>
      <c r="WHN166" s="146"/>
      <c r="WHO166" s="146"/>
      <c r="WHP166" s="146"/>
      <c r="WHQ166" s="146"/>
      <c r="WHR166" s="146"/>
      <c r="WHS166" s="146"/>
      <c r="WHT166" s="146"/>
      <c r="WHU166" s="146"/>
      <c r="WHV166" s="146"/>
      <c r="WHW166" s="146"/>
      <c r="WHX166" s="146"/>
      <c r="WHY166" s="146"/>
      <c r="WHZ166" s="146"/>
      <c r="WIA166" s="146"/>
      <c r="WIB166" s="146"/>
      <c r="WIC166" s="146"/>
      <c r="WID166" s="146"/>
      <c r="WIE166" s="146"/>
      <c r="WIF166" s="146"/>
      <c r="WIG166" s="146"/>
      <c r="WIH166" s="146"/>
      <c r="WII166" s="146"/>
      <c r="WIJ166" s="146"/>
      <c r="WIK166" s="146"/>
      <c r="WIL166" s="146"/>
      <c r="WIM166" s="146"/>
      <c r="WIN166" s="146"/>
      <c r="WIO166" s="146"/>
      <c r="WIP166" s="146"/>
      <c r="WIQ166" s="146"/>
      <c r="WIR166" s="146"/>
      <c r="WIS166" s="146"/>
      <c r="WIT166" s="146"/>
      <c r="WIU166" s="146"/>
      <c r="WIV166" s="146"/>
      <c r="WIW166" s="146"/>
      <c r="WIX166" s="146"/>
      <c r="WIY166" s="146"/>
      <c r="WIZ166" s="146"/>
      <c r="WJA166" s="146"/>
      <c r="WJB166" s="146"/>
      <c r="WJC166" s="146"/>
      <c r="WJD166" s="146"/>
      <c r="WJE166" s="146"/>
      <c r="WJF166" s="146"/>
      <c r="WJG166" s="146"/>
      <c r="WJH166" s="146"/>
      <c r="WJI166" s="146"/>
      <c r="WJJ166" s="146"/>
      <c r="WJK166" s="146"/>
      <c r="WJL166" s="146"/>
      <c r="WJM166" s="146"/>
      <c r="WJN166" s="146"/>
      <c r="WJO166" s="146"/>
      <c r="WJP166" s="146"/>
      <c r="WJQ166" s="146"/>
      <c r="WJR166" s="146"/>
      <c r="WJS166" s="146"/>
      <c r="WJT166" s="146"/>
      <c r="WJU166" s="146"/>
      <c r="WJV166" s="146"/>
      <c r="WJW166" s="146"/>
      <c r="WJX166" s="146"/>
      <c r="WJY166" s="146"/>
      <c r="WJZ166" s="146"/>
      <c r="WKA166" s="146"/>
      <c r="WKB166" s="146"/>
      <c r="WKC166" s="146"/>
      <c r="WKD166" s="146"/>
      <c r="WKE166" s="146"/>
      <c r="WKF166" s="146"/>
      <c r="WKG166" s="146"/>
      <c r="WKH166" s="146"/>
      <c r="WKI166" s="146"/>
      <c r="WKJ166" s="146"/>
      <c r="WKK166" s="146"/>
      <c r="WKL166" s="146"/>
      <c r="WKM166" s="146"/>
      <c r="WKN166" s="146"/>
      <c r="WKO166" s="146"/>
      <c r="WKP166" s="146"/>
      <c r="WKQ166" s="146"/>
      <c r="WKR166" s="146"/>
      <c r="WKS166" s="146"/>
      <c r="WKT166" s="146"/>
      <c r="WKU166" s="146"/>
      <c r="WKV166" s="146"/>
      <c r="WKW166" s="146"/>
      <c r="WKX166" s="146"/>
      <c r="WKY166" s="146"/>
      <c r="WKZ166" s="146"/>
      <c r="WLA166" s="146"/>
      <c r="WLB166" s="146"/>
      <c r="WLC166" s="146"/>
      <c r="WLD166" s="146"/>
      <c r="WLE166" s="146"/>
      <c r="WLF166" s="146"/>
      <c r="WLG166" s="146"/>
      <c r="WLH166" s="146"/>
      <c r="WLI166" s="146"/>
      <c r="WLJ166" s="146"/>
      <c r="WLK166" s="146"/>
      <c r="WLL166" s="146"/>
      <c r="WLM166" s="146"/>
      <c r="WLN166" s="146"/>
      <c r="WLO166" s="146"/>
      <c r="WLP166" s="146"/>
      <c r="WLQ166" s="146"/>
      <c r="WLR166" s="146"/>
      <c r="WLS166" s="146"/>
      <c r="WLT166" s="146"/>
      <c r="WLU166" s="146"/>
      <c r="WLV166" s="146"/>
      <c r="WLW166" s="146"/>
      <c r="WLX166" s="146"/>
      <c r="WLY166" s="146"/>
      <c r="WLZ166" s="146"/>
      <c r="WMA166" s="146"/>
      <c r="WMB166" s="146"/>
      <c r="WMC166" s="146"/>
      <c r="WMD166" s="146"/>
      <c r="WME166" s="146"/>
      <c r="WMF166" s="146"/>
      <c r="WMG166" s="146"/>
      <c r="WMH166" s="146"/>
      <c r="WMI166" s="146"/>
      <c r="WMJ166" s="146"/>
      <c r="WMK166" s="146"/>
      <c r="WML166" s="146"/>
      <c r="WMM166" s="146"/>
      <c r="WMN166" s="146"/>
      <c r="WMO166" s="146"/>
      <c r="WMP166" s="146"/>
      <c r="WMQ166" s="146"/>
      <c r="WMR166" s="146"/>
      <c r="WMS166" s="146"/>
      <c r="WMT166" s="146"/>
      <c r="WMU166" s="146"/>
      <c r="WMV166" s="146"/>
      <c r="WMW166" s="146"/>
      <c r="WMX166" s="146"/>
      <c r="WMY166" s="146"/>
      <c r="WMZ166" s="146"/>
      <c r="WNA166" s="146"/>
      <c r="WNB166" s="146"/>
      <c r="WNC166" s="146"/>
      <c r="WND166" s="146"/>
      <c r="WNE166" s="146"/>
      <c r="WNF166" s="146"/>
      <c r="WNG166" s="146"/>
      <c r="WNH166" s="146"/>
      <c r="WNI166" s="146"/>
      <c r="WNJ166" s="146"/>
      <c r="WNK166" s="146"/>
      <c r="WNL166" s="146"/>
      <c r="WNM166" s="146"/>
      <c r="WNN166" s="146"/>
      <c r="WNO166" s="146"/>
      <c r="WNP166" s="146"/>
      <c r="WNQ166" s="146"/>
      <c r="WNR166" s="146"/>
      <c r="WNS166" s="146"/>
      <c r="WNT166" s="146"/>
      <c r="WNU166" s="146"/>
      <c r="WNV166" s="146"/>
      <c r="WNW166" s="146"/>
      <c r="WNX166" s="146"/>
      <c r="WNY166" s="146"/>
      <c r="WNZ166" s="146"/>
      <c r="WOA166" s="146"/>
      <c r="WOB166" s="146"/>
      <c r="WOC166" s="146"/>
      <c r="WOD166" s="146"/>
      <c r="WOE166" s="146"/>
      <c r="WOF166" s="146"/>
      <c r="WOG166" s="146"/>
      <c r="WOH166" s="146"/>
      <c r="WOI166" s="146"/>
      <c r="WOJ166" s="146"/>
      <c r="WOK166" s="146"/>
      <c r="WOL166" s="146"/>
      <c r="WOM166" s="146"/>
      <c r="WON166" s="146"/>
      <c r="WOO166" s="146"/>
      <c r="WOP166" s="146"/>
      <c r="WOQ166" s="146"/>
      <c r="WOR166" s="146"/>
      <c r="WOS166" s="146"/>
      <c r="WOT166" s="146"/>
      <c r="WOU166" s="146"/>
      <c r="WOV166" s="146"/>
      <c r="WOW166" s="146"/>
      <c r="WOX166" s="146"/>
      <c r="WOY166" s="146"/>
      <c r="WOZ166" s="146"/>
      <c r="WPA166" s="146"/>
      <c r="WPB166" s="146"/>
      <c r="WPC166" s="146"/>
      <c r="WPD166" s="146"/>
      <c r="WPE166" s="146"/>
      <c r="WPF166" s="146"/>
      <c r="WPG166" s="146"/>
      <c r="WPH166" s="146"/>
      <c r="WPI166" s="146"/>
      <c r="WPJ166" s="146"/>
      <c r="WPK166" s="146"/>
      <c r="WPL166" s="146"/>
      <c r="WPM166" s="146"/>
      <c r="WPN166" s="146"/>
      <c r="WPO166" s="146"/>
      <c r="WPP166" s="146"/>
      <c r="WPQ166" s="146"/>
      <c r="WPR166" s="146"/>
      <c r="WPS166" s="146"/>
      <c r="WPT166" s="146"/>
      <c r="WPU166" s="146"/>
      <c r="WPV166" s="146"/>
      <c r="WPW166" s="146"/>
      <c r="WPX166" s="146"/>
      <c r="WPY166" s="146"/>
      <c r="WPZ166" s="146"/>
      <c r="WQA166" s="146"/>
      <c r="WQB166" s="146"/>
      <c r="WQC166" s="146"/>
      <c r="WQD166" s="146"/>
      <c r="WQE166" s="146"/>
      <c r="WQF166" s="146"/>
      <c r="WQG166" s="146"/>
      <c r="WQH166" s="146"/>
      <c r="WQI166" s="146"/>
      <c r="WQJ166" s="146"/>
      <c r="WQK166" s="146"/>
      <c r="WQL166" s="146"/>
      <c r="WQM166" s="146"/>
      <c r="WQN166" s="146"/>
      <c r="WQO166" s="146"/>
      <c r="WQP166" s="146"/>
      <c r="WQQ166" s="146"/>
      <c r="WQR166" s="146"/>
      <c r="WQS166" s="146"/>
      <c r="WQT166" s="146"/>
      <c r="WQU166" s="146"/>
      <c r="WQV166" s="146"/>
      <c r="WQW166" s="146"/>
      <c r="WQX166" s="146"/>
      <c r="WQY166" s="146"/>
      <c r="WQZ166" s="146"/>
      <c r="WRA166" s="146"/>
      <c r="WRB166" s="146"/>
      <c r="WRC166" s="146"/>
      <c r="WRD166" s="146"/>
      <c r="WRE166" s="146"/>
      <c r="WRF166" s="146"/>
      <c r="WRG166" s="146"/>
      <c r="WRH166" s="146"/>
      <c r="WRI166" s="146"/>
      <c r="WRJ166" s="146"/>
      <c r="WRK166" s="146"/>
      <c r="WRL166" s="146"/>
      <c r="WRM166" s="146"/>
      <c r="WRN166" s="146"/>
      <c r="WRO166" s="146"/>
      <c r="WRP166" s="146"/>
      <c r="WRQ166" s="146"/>
      <c r="WRR166" s="146"/>
      <c r="WRS166" s="146"/>
      <c r="WRT166" s="146"/>
      <c r="WRU166" s="146"/>
      <c r="WRV166" s="146"/>
      <c r="WRW166" s="146"/>
      <c r="WRX166" s="146"/>
      <c r="WRY166" s="146"/>
      <c r="WRZ166" s="146"/>
      <c r="WSA166" s="146"/>
      <c r="WSB166" s="146"/>
      <c r="WSC166" s="146"/>
      <c r="WSD166" s="146"/>
      <c r="WSE166" s="146"/>
      <c r="WSF166" s="146"/>
      <c r="WSG166" s="146"/>
      <c r="WSH166" s="146"/>
      <c r="WSI166" s="146"/>
      <c r="WSJ166" s="146"/>
      <c r="WSK166" s="146"/>
      <c r="WSL166" s="146"/>
      <c r="WSM166" s="146"/>
      <c r="WSN166" s="146"/>
      <c r="WSO166" s="146"/>
      <c r="WSP166" s="146"/>
      <c r="WSQ166" s="146"/>
      <c r="WSR166" s="146"/>
      <c r="WSS166" s="146"/>
      <c r="WST166" s="146"/>
      <c r="WSU166" s="146"/>
      <c r="WSV166" s="146"/>
      <c r="WSW166" s="146"/>
      <c r="WSX166" s="146"/>
      <c r="WSY166" s="146"/>
      <c r="WSZ166" s="146"/>
      <c r="WTA166" s="146"/>
      <c r="WTB166" s="146"/>
      <c r="WTC166" s="146"/>
      <c r="WTD166" s="146"/>
      <c r="WTE166" s="146"/>
      <c r="WTF166" s="146"/>
      <c r="WTG166" s="146"/>
      <c r="WTH166" s="146"/>
      <c r="WTI166" s="146"/>
      <c r="WTJ166" s="146"/>
      <c r="WTK166" s="146"/>
      <c r="WTL166" s="146"/>
      <c r="WTM166" s="146"/>
      <c r="WTN166" s="146"/>
      <c r="WTO166" s="146"/>
      <c r="WTP166" s="146"/>
      <c r="WTQ166" s="146"/>
      <c r="WTR166" s="146"/>
      <c r="WTS166" s="146"/>
      <c r="WTT166" s="146"/>
      <c r="WTU166" s="146"/>
      <c r="WTV166" s="146"/>
      <c r="WTW166" s="146"/>
      <c r="WTX166" s="146"/>
      <c r="WTY166" s="146"/>
      <c r="WTZ166" s="146"/>
      <c r="WUA166" s="146"/>
      <c r="WUB166" s="146"/>
      <c r="WUC166" s="146"/>
      <c r="WUD166" s="146"/>
      <c r="WUE166" s="146"/>
      <c r="WUF166" s="146"/>
      <c r="WUG166" s="146"/>
      <c r="WUH166" s="146"/>
      <c r="WUI166" s="146"/>
      <c r="WUJ166" s="146"/>
      <c r="WUK166" s="146"/>
      <c r="WUL166" s="146"/>
      <c r="WUM166" s="146"/>
      <c r="WUN166" s="146"/>
      <c r="WUO166" s="146"/>
      <c r="WUP166" s="146"/>
      <c r="WUQ166" s="146"/>
      <c r="WUR166" s="146"/>
      <c r="WUS166" s="146"/>
      <c r="WUT166" s="146"/>
      <c r="WUU166" s="146"/>
      <c r="WUV166" s="146"/>
      <c r="WUW166" s="146"/>
      <c r="WUX166" s="146"/>
      <c r="WUY166" s="146"/>
      <c r="WUZ166" s="146"/>
      <c r="WVA166" s="146"/>
      <c r="WVB166" s="146"/>
      <c r="WVC166" s="146"/>
      <c r="WVD166" s="146"/>
      <c r="WVE166" s="146"/>
      <c r="WVF166" s="146"/>
      <c r="WVG166" s="146"/>
      <c r="WVH166" s="146"/>
      <c r="WVI166" s="146"/>
      <c r="WVJ166" s="146"/>
      <c r="WVK166" s="146"/>
      <c r="WVL166" s="146"/>
      <c r="WVM166" s="146"/>
      <c r="WVN166" s="146"/>
      <c r="WVO166" s="146"/>
      <c r="WVP166" s="146"/>
      <c r="WVQ166" s="146"/>
      <c r="WVR166" s="146"/>
      <c r="WVS166" s="146"/>
      <c r="WVT166" s="146"/>
      <c r="WVU166" s="146"/>
      <c r="WVV166" s="146"/>
      <c r="WVW166" s="146"/>
      <c r="WVX166" s="146"/>
      <c r="WVY166" s="146"/>
      <c r="WVZ166" s="146"/>
      <c r="WWA166" s="146"/>
      <c r="WWB166" s="146"/>
      <c r="WWC166" s="146"/>
      <c r="WWD166" s="146"/>
      <c r="WWE166" s="146"/>
      <c r="WWF166" s="146"/>
      <c r="WWG166" s="146"/>
      <c r="WWH166" s="146"/>
      <c r="WWI166" s="146"/>
      <c r="WWJ166" s="146"/>
      <c r="WWK166" s="146"/>
      <c r="WWL166" s="146"/>
      <c r="WWM166" s="146"/>
      <c r="WWN166" s="146"/>
      <c r="WWO166" s="146"/>
      <c r="WWP166" s="146"/>
      <c r="WWQ166" s="146"/>
      <c r="WWR166" s="146"/>
      <c r="WWS166" s="146"/>
      <c r="WWT166" s="146"/>
      <c r="WWU166" s="146"/>
      <c r="WWV166" s="146"/>
      <c r="WWW166" s="146"/>
      <c r="WWX166" s="146"/>
      <c r="WWY166" s="146"/>
      <c r="WWZ166" s="146"/>
      <c r="WXA166" s="146"/>
      <c r="WXB166" s="146"/>
      <c r="WXC166" s="146"/>
      <c r="WXD166" s="146"/>
      <c r="WXE166" s="146"/>
      <c r="WXF166" s="146"/>
      <c r="WXG166" s="146"/>
      <c r="WXH166" s="146"/>
      <c r="WXI166" s="146"/>
      <c r="WXJ166" s="146"/>
      <c r="WXK166" s="146"/>
      <c r="WXL166" s="146"/>
      <c r="WXM166" s="146"/>
      <c r="WXN166" s="146"/>
      <c r="WXO166" s="146"/>
      <c r="WXP166" s="146"/>
      <c r="WXQ166" s="146"/>
      <c r="WXR166" s="146"/>
      <c r="WXS166" s="146"/>
      <c r="WXT166" s="146"/>
      <c r="WXU166" s="146"/>
      <c r="WXV166" s="146"/>
      <c r="WXW166" s="146"/>
      <c r="WXX166" s="146"/>
      <c r="WXY166" s="146"/>
      <c r="WXZ166" s="146"/>
      <c r="WYA166" s="146"/>
      <c r="WYB166" s="146"/>
      <c r="WYC166" s="146"/>
      <c r="WYD166" s="146"/>
      <c r="WYE166" s="146"/>
      <c r="WYF166" s="146"/>
      <c r="WYG166" s="146"/>
      <c r="WYH166" s="146"/>
      <c r="WYI166" s="146"/>
      <c r="WYJ166" s="146"/>
      <c r="WYK166" s="146"/>
      <c r="WYL166" s="146"/>
      <c r="WYM166" s="146"/>
      <c r="WYN166" s="146"/>
      <c r="WYO166" s="146"/>
      <c r="WYP166" s="146"/>
      <c r="WYQ166" s="146"/>
      <c r="WYR166" s="146"/>
      <c r="WYS166" s="146"/>
      <c r="WYT166" s="146"/>
      <c r="WYU166" s="146"/>
      <c r="WYV166" s="146"/>
      <c r="WYW166" s="146"/>
      <c r="WYX166" s="146"/>
      <c r="WYY166" s="146"/>
      <c r="WYZ166" s="146"/>
      <c r="WZA166" s="146"/>
      <c r="WZB166" s="146"/>
      <c r="WZC166" s="146"/>
      <c r="WZD166" s="146"/>
      <c r="WZE166" s="146"/>
      <c r="WZF166" s="146"/>
      <c r="WZG166" s="146"/>
      <c r="WZH166" s="146"/>
      <c r="WZI166" s="146"/>
      <c r="WZJ166" s="146"/>
      <c r="WZK166" s="146"/>
      <c r="WZL166" s="146"/>
      <c r="WZM166" s="146"/>
      <c r="WZN166" s="146"/>
      <c r="WZO166" s="146"/>
      <c r="WZP166" s="146"/>
      <c r="WZQ166" s="146"/>
      <c r="WZR166" s="146"/>
      <c r="WZS166" s="146"/>
      <c r="WZT166" s="146"/>
      <c r="WZU166" s="146"/>
      <c r="WZV166" s="146"/>
      <c r="WZW166" s="146"/>
      <c r="WZX166" s="146"/>
      <c r="WZY166" s="146"/>
      <c r="WZZ166" s="146"/>
      <c r="XAA166" s="146"/>
      <c r="XAB166" s="146"/>
      <c r="XAC166" s="146"/>
      <c r="XAD166" s="146"/>
      <c r="XAE166" s="146"/>
      <c r="XAF166" s="146"/>
      <c r="XAG166" s="146"/>
      <c r="XAH166" s="146"/>
      <c r="XAI166" s="146"/>
      <c r="XAJ166" s="146"/>
      <c r="XAK166" s="146"/>
      <c r="XAL166" s="146"/>
      <c r="XAM166" s="146"/>
      <c r="XAN166" s="146"/>
      <c r="XAO166" s="146"/>
      <c r="XAP166" s="146"/>
      <c r="XAQ166" s="146"/>
      <c r="XAR166" s="146"/>
      <c r="XAS166" s="146"/>
      <c r="XAT166" s="146"/>
      <c r="XAU166" s="146"/>
      <c r="XAV166" s="146"/>
      <c r="XAW166" s="146"/>
      <c r="XAX166" s="146"/>
      <c r="XAY166" s="146"/>
      <c r="XAZ166" s="146"/>
      <c r="XBA166" s="146"/>
      <c r="XBB166" s="146"/>
      <c r="XBC166" s="146"/>
      <c r="XBD166" s="146"/>
      <c r="XBE166" s="146"/>
      <c r="XBF166" s="146"/>
      <c r="XBG166" s="146"/>
      <c r="XBH166" s="146"/>
      <c r="XBI166" s="146"/>
      <c r="XBJ166" s="146"/>
      <c r="XBK166" s="146"/>
      <c r="XBL166" s="146"/>
      <c r="XBM166" s="146"/>
      <c r="XBN166" s="146"/>
      <c r="XBO166" s="146"/>
      <c r="XBP166" s="146"/>
      <c r="XBQ166" s="146"/>
      <c r="XBR166" s="146"/>
      <c r="XBS166" s="146"/>
      <c r="XBT166" s="146"/>
      <c r="XBU166" s="146"/>
      <c r="XBV166" s="146"/>
      <c r="XBW166" s="146"/>
      <c r="XBX166" s="146"/>
      <c r="XBY166" s="146"/>
      <c r="XBZ166" s="146"/>
      <c r="XCA166" s="146"/>
      <c r="XCB166" s="146"/>
      <c r="XCC166" s="146"/>
      <c r="XCD166" s="146"/>
      <c r="XCE166" s="146"/>
      <c r="XCF166" s="146"/>
      <c r="XCG166" s="146"/>
      <c r="XCH166" s="146"/>
      <c r="XCI166" s="146"/>
      <c r="XCJ166" s="146"/>
      <c r="XCK166" s="146"/>
      <c r="XCL166" s="146"/>
      <c r="XCM166" s="146"/>
      <c r="XCN166" s="146"/>
      <c r="XCO166" s="146"/>
      <c r="XCP166" s="146"/>
      <c r="XCQ166" s="146"/>
      <c r="XCR166" s="146"/>
      <c r="XCS166" s="146"/>
      <c r="XCT166" s="146"/>
      <c r="XCU166" s="146"/>
      <c r="XCV166" s="146"/>
      <c r="XCW166" s="146"/>
      <c r="XCX166" s="146"/>
      <c r="XCY166" s="146"/>
      <c r="XCZ166" s="146"/>
      <c r="XDA166" s="146"/>
      <c r="XDB166" s="146"/>
      <c r="XDC166" s="146"/>
      <c r="XDD166" s="146"/>
      <c r="XDE166" s="146"/>
      <c r="XDF166" s="146"/>
      <c r="XDG166" s="146"/>
      <c r="XDH166" s="146"/>
      <c r="XDI166" s="146"/>
      <c r="XDJ166" s="146"/>
      <c r="XDK166" s="146"/>
      <c r="XDL166" s="146"/>
      <c r="XDM166" s="146"/>
      <c r="XDN166" s="146"/>
      <c r="XDO166" s="146"/>
      <c r="XDP166" s="146"/>
      <c r="XDQ166" s="146"/>
      <c r="XDR166" s="146"/>
      <c r="XDS166" s="146"/>
      <c r="XDT166" s="146"/>
      <c r="XDU166" s="146"/>
      <c r="XDV166" s="146"/>
      <c r="XDW166" s="146"/>
      <c r="XDX166" s="146"/>
      <c r="XDY166" s="146"/>
      <c r="XDZ166" s="146"/>
      <c r="XEA166" s="146"/>
      <c r="XEB166" s="146"/>
      <c r="XEC166" s="146"/>
      <c r="XED166" s="146"/>
      <c r="XEE166" s="146"/>
      <c r="XEF166" s="146"/>
      <c r="XEG166" s="146"/>
      <c r="XEH166" s="146"/>
      <c r="XEI166" s="146"/>
      <c r="XEJ166" s="146"/>
      <c r="XEK166" s="146"/>
      <c r="XEL166" s="146"/>
      <c r="XEM166" s="146"/>
      <c r="XEN166" s="146"/>
      <c r="XEO166" s="146"/>
      <c r="XEP166" s="146"/>
      <c r="XEQ166" s="146"/>
      <c r="XER166" s="146"/>
      <c r="XES166" s="146"/>
      <c r="XET166" s="146"/>
      <c r="XEU166" s="146"/>
      <c r="XEV166" s="146"/>
      <c r="XEW166" s="146"/>
      <c r="XEX166" s="146"/>
      <c r="XEY166" s="146"/>
      <c r="XEZ166" s="146"/>
      <c r="XFA166" s="146"/>
      <c r="XFB166" s="146"/>
    </row>
    <row r="167" spans="1:16382" s="106" customFormat="1" x14ac:dyDescent="0.25">
      <c r="A167" s="78" t="s">
        <v>887</v>
      </c>
      <c r="B167" s="78" t="s">
        <v>2008</v>
      </c>
      <c r="C167" s="78" t="s">
        <v>1892</v>
      </c>
      <c r="D167" s="81" t="str">
        <f>IF(MouserListTable[[#This Row],[Vendor]]=FilterSpecs!$A$8,MouserListTable[[#This Row],[Mouser SKU]], MouserListTable[[#This Row],[Supplier SKU]])</f>
        <v>474-DEV-13293</v>
      </c>
      <c r="E167" s="94">
        <f>MouserListTable[[#This Row],[Tot '#]]-MouserListTable[[#This Row],['# Initial]]</f>
        <v>0</v>
      </c>
      <c r="F167" s="94">
        <f>IF(AND(MouserListTable[[#This Row],[Tag]]&lt;&gt;FilterSpecs!$F$12, MouserListTable[[#This Row],[Tag]]&lt;&gt;FilterSpecs!$F$9), MouserListTable[[#This Row],['#/Unit]]*FilterSpecs!$B$3+MouserListTable[[#This Row],[Extra Initial]],0)</f>
        <v>0</v>
      </c>
      <c r="G167" s="78" t="s">
        <v>111</v>
      </c>
      <c r="H167" s="150" t="s">
        <v>112</v>
      </c>
      <c r="I167" s="78" t="s">
        <v>113</v>
      </c>
      <c r="J167" s="78">
        <v>1</v>
      </c>
      <c r="K167" s="117">
        <v>12.95</v>
      </c>
      <c r="L167" s="78" t="s">
        <v>2461</v>
      </c>
      <c r="M167" s="81"/>
      <c r="N167" s="154">
        <f>MouserListTable[[#This Row],['# Initial]]*MouserListTable[[#This Row],[Price (USD)]]</f>
        <v>0</v>
      </c>
      <c r="O167" s="81" t="s">
        <v>110</v>
      </c>
      <c r="P167" s="150">
        <f t="shared" si="2"/>
        <v>154</v>
      </c>
      <c r="Q167" s="78" t="s">
        <v>5</v>
      </c>
      <c r="R167"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474-DEV-13293</v>
      </c>
      <c r="S167" s="133" t="str">
        <f>HYPERLINK("https://www.mouser.com/ProductDetail/" &amp;MouserListTable[[#This Row],[Mouser SKU]])</f>
        <v>https://www.mouser.com/ProductDetail/474-DEV-13293</v>
      </c>
      <c r="T167" s="94">
        <v>0</v>
      </c>
      <c r="U167" s="94">
        <v>0</v>
      </c>
      <c r="V167" s="94">
        <v>0</v>
      </c>
      <c r="W167" s="94">
        <f>MouserListTable[[#This Row],['#/Unit]]*FilterSpecs!$C$3+MouserListTable[[#This Row],[Extra]]</f>
        <v>0</v>
      </c>
      <c r="X167" s="94">
        <f>IF(MouserListTable[[#This Row],[Tag]]=FilterSpecs!$F$7,MouserListTable[[#This Row],['#/Unit]]*MouserListTable[[#This Row],[Price (USD)]],0)</f>
        <v>0</v>
      </c>
      <c r="Y167" s="94">
        <f>MouserListTable[[#This Row],[Tot '#]]*MouserListTable[[#This Row],[Price (USD)]]</f>
        <v>0</v>
      </c>
      <c r="Z167"/>
    </row>
    <row r="168" spans="1:16382" s="106" customFormat="1" x14ac:dyDescent="0.25">
      <c r="A168" s="78" t="s">
        <v>887</v>
      </c>
      <c r="B168" s="78" t="s">
        <v>2008</v>
      </c>
      <c r="C168" s="78" t="s">
        <v>1892</v>
      </c>
      <c r="D168" s="120" t="str">
        <f>IF(MouserListTable[[#This Row],[Vendor]]=FilterSpecs!$A$8,MouserListTable[[#This Row],[Mouser SKU]], MouserListTable[[#This Row],[Supplier SKU]])</f>
        <v>485-716</v>
      </c>
      <c r="E168" s="94">
        <f>MouserListTable[[#This Row],[Tot '#]]-MouserListTable[[#This Row],['# Initial]]</f>
        <v>0</v>
      </c>
      <c r="F168" s="94">
        <f>IF(AND(MouserListTable[[#This Row],[Tag]]&lt;&gt;FilterSpecs!$F$12, MouserListTable[[#This Row],[Tag]]&lt;&gt;FilterSpecs!$F$9), MouserListTable[[#This Row],['#/Unit]]*FilterSpecs!$B$3+MouserListTable[[#This Row],[Extra Initial]],0)</f>
        <v>5</v>
      </c>
      <c r="G168" s="78"/>
      <c r="H168" s="150"/>
      <c r="I168" s="78" t="s">
        <v>2550</v>
      </c>
      <c r="J168" s="78"/>
      <c r="K168" s="117">
        <v>23.95</v>
      </c>
      <c r="L168" s="94" t="s">
        <v>1897</v>
      </c>
      <c r="M168" s="78"/>
      <c r="N168" s="154">
        <f>MouserListTable[[#This Row],['# Initial]]*MouserListTable[[#This Row],[Price (USD)]]</f>
        <v>119.75</v>
      </c>
      <c r="O168" s="81">
        <v>716</v>
      </c>
      <c r="P168" s="150">
        <f t="shared" si="2"/>
        <v>155</v>
      </c>
      <c r="Q168" s="78" t="s">
        <v>1884</v>
      </c>
      <c r="R168"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485-716</v>
      </c>
      <c r="S168" s="133" t="str">
        <f>HYPERLINK("https://www.mouser.com/ProductDetail/" &amp;MouserListTable[[#This Row],[Mouser SKU]])</f>
        <v>https://www.mouser.com/ProductDetail/485-716</v>
      </c>
      <c r="T168" s="94">
        <v>1</v>
      </c>
      <c r="U168" s="94">
        <v>0</v>
      </c>
      <c r="V168" s="94">
        <v>0</v>
      </c>
      <c r="W168" s="94">
        <f>MouserListTable[[#This Row],['#/Unit]]*FilterSpecs!$C$3+MouserListTable[[#This Row],[Extra]]</f>
        <v>5</v>
      </c>
      <c r="X168" s="94">
        <f>IF(MouserListTable[[#This Row],[Tag]]=FilterSpecs!$F$7,MouserListTable[[#This Row],['#/Unit]]*MouserListTable[[#This Row],[Price (USD)]],0)</f>
        <v>23.95</v>
      </c>
      <c r="Y168" s="94">
        <f>MouserListTable[[#This Row],[Tot '#]]*MouserListTable[[#This Row],[Price (USD)]]</f>
        <v>119.75</v>
      </c>
      <c r="Z168"/>
    </row>
    <row r="169" spans="1:16382" s="106" customFormat="1" x14ac:dyDescent="0.25">
      <c r="A169" s="78" t="s">
        <v>887</v>
      </c>
      <c r="B169" s="78" t="s">
        <v>2008</v>
      </c>
      <c r="C169" s="78" t="s">
        <v>1892</v>
      </c>
      <c r="D169" s="120" t="str">
        <f>IF(MouserListTable[[#This Row],[Vendor]]=FilterSpecs!$A$8,MouserListTable[[#This Row],[Mouser SKU]], MouserListTable[[#This Row],[Supplier SKU]])</f>
        <v>485-772</v>
      </c>
      <c r="E169" s="94">
        <f>MouserListTable[[#This Row],[Tot '#]]-MouserListTable[[#This Row],['# Initial]]</f>
        <v>0</v>
      </c>
      <c r="F169" s="94">
        <f>IF(AND(MouserListTable[[#This Row],[Tag]]&lt;&gt;FilterSpecs!$F$12, MouserListTable[[#This Row],[Tag]]&lt;&gt;FilterSpecs!$F$9), MouserListTable[[#This Row],['#/Unit]]*FilterSpecs!$B$3+MouserListTable[[#This Row],[Extra Initial]],0)</f>
        <v>0</v>
      </c>
      <c r="G169" s="78"/>
      <c r="H169" s="150"/>
      <c r="I169" s="78" t="s">
        <v>2551</v>
      </c>
      <c r="J169" s="78"/>
      <c r="K169" s="117">
        <v>19.95</v>
      </c>
      <c r="L169" s="94" t="s">
        <v>1897</v>
      </c>
      <c r="M169" s="78"/>
      <c r="N169" s="154">
        <f>MouserListTable[[#This Row],['# Initial]]*MouserListTable[[#This Row],[Price (USD)]]</f>
        <v>0</v>
      </c>
      <c r="O169" s="81">
        <v>772</v>
      </c>
      <c r="P169" s="150">
        <f t="shared" si="2"/>
        <v>156</v>
      </c>
      <c r="Q169" s="78" t="s">
        <v>1884</v>
      </c>
      <c r="R169"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485-772</v>
      </c>
      <c r="S169" s="133" t="str">
        <f>HYPERLINK("https://www.mouser.com/ProductDetail/" &amp;MouserListTable[[#This Row],[Mouser SKU]])</f>
        <v>https://www.mouser.com/ProductDetail/485-772</v>
      </c>
      <c r="T169" s="94">
        <v>0</v>
      </c>
      <c r="U169" s="94">
        <v>0</v>
      </c>
      <c r="V169" s="94">
        <v>0</v>
      </c>
      <c r="W169" s="94">
        <f>MouserListTable[[#This Row],['#/Unit]]*FilterSpecs!$C$3+MouserListTable[[#This Row],[Extra]]</f>
        <v>0</v>
      </c>
      <c r="X169" s="94">
        <f>IF(MouserListTable[[#This Row],[Tag]]=FilterSpecs!$F$7,MouserListTable[[#This Row],['#/Unit]]*MouserListTable[[#This Row],[Price (USD)]],0)</f>
        <v>0</v>
      </c>
      <c r="Y169" s="94">
        <f>MouserListTable[[#This Row],[Tot '#]]*MouserListTable[[#This Row],[Price (USD)]]</f>
        <v>0</v>
      </c>
      <c r="Z169"/>
    </row>
    <row r="170" spans="1:16382" s="106" customFormat="1" x14ac:dyDescent="0.25">
      <c r="A170" s="78" t="s">
        <v>887</v>
      </c>
      <c r="B170" s="78" t="s">
        <v>2008</v>
      </c>
      <c r="C170" s="78" t="s">
        <v>1892</v>
      </c>
      <c r="D170" s="81" t="str">
        <f>IF(MouserListTable[[#This Row],[Vendor]]=FilterSpecs!$A$8,MouserListTable[[#This Row],[Mouser SKU]], MouserListTable[[#This Row],[Supplier SKU]])</f>
        <v>474-LCD-00710</v>
      </c>
      <c r="E170" s="94">
        <f>MouserListTable[[#This Row],[Tot '#]]-MouserListTable[[#This Row],['# Initial]]</f>
        <v>1</v>
      </c>
      <c r="F170" s="94">
        <f>IF(AND(MouserListTable[[#This Row],[Tag]]&lt;&gt;FilterSpecs!$F$12, MouserListTable[[#This Row],[Tag]]&lt;&gt;FilterSpecs!$F$9), MouserListTable[[#This Row],['#/Unit]]*FilterSpecs!$B$3+MouserListTable[[#This Row],[Extra Initial]],0)</f>
        <v>0</v>
      </c>
      <c r="G170" s="78" t="s">
        <v>1170</v>
      </c>
      <c r="H170" s="150" t="s">
        <v>1171</v>
      </c>
      <c r="I170" s="78" t="s">
        <v>1172</v>
      </c>
      <c r="J170" s="78">
        <v>1</v>
      </c>
      <c r="K170" s="117">
        <v>19.95</v>
      </c>
      <c r="L170" s="78" t="s">
        <v>1896</v>
      </c>
      <c r="M170" s="81"/>
      <c r="N170" s="154">
        <f>MouserListTable[[#This Row],['# Initial]]*MouserListTable[[#This Row],[Price (USD)]]</f>
        <v>0</v>
      </c>
      <c r="O170" s="81" t="s">
        <v>1169</v>
      </c>
      <c r="P170" s="150">
        <f t="shared" si="2"/>
        <v>157</v>
      </c>
      <c r="Q170" s="78" t="s">
        <v>5</v>
      </c>
      <c r="R170"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474-LCD-00710</v>
      </c>
      <c r="S170" s="133" t="str">
        <f>HYPERLINK("https://www.mouser.com/ProductDetail/" &amp;MouserListTable[[#This Row],[Mouser SKU]])</f>
        <v>https://www.mouser.com/ProductDetail/474-LCD-00710</v>
      </c>
      <c r="T170" s="94">
        <v>0</v>
      </c>
      <c r="U170" s="94">
        <v>1</v>
      </c>
      <c r="V170" s="94">
        <v>0</v>
      </c>
      <c r="W170" s="94">
        <f>MouserListTable[[#This Row],['#/Unit]]*FilterSpecs!$C$3+MouserListTable[[#This Row],[Extra]]</f>
        <v>1</v>
      </c>
      <c r="X170" s="94">
        <f>IF(MouserListTable[[#This Row],[Tag]]=FilterSpecs!$F$7,MouserListTable[[#This Row],['#/Unit]]*MouserListTable[[#This Row],[Price (USD)]],0)</f>
        <v>0</v>
      </c>
      <c r="Y170" s="94">
        <f>MouserListTable[[#This Row],[Tot '#]]*MouserListTable[[#This Row],[Price (USD)]]</f>
        <v>19.95</v>
      </c>
      <c r="Z170"/>
    </row>
    <row r="171" spans="1:16382" s="106" customFormat="1" x14ac:dyDescent="0.25">
      <c r="A171" s="97" t="s">
        <v>887</v>
      </c>
      <c r="B171" s="97" t="s">
        <v>2008</v>
      </c>
      <c r="C171" s="78" t="s">
        <v>1892</v>
      </c>
      <c r="D171" s="81" t="str">
        <f>IF(MouserListTable[[#This Row],[Vendor]]=FilterSpecs!$A$8,MouserListTable[[#This Row],[Mouser SKU]], MouserListTable[[#This Row],[Supplier SKU]])</f>
        <v>474-LCD-09568</v>
      </c>
      <c r="E171" s="94">
        <f>MouserListTable[[#This Row],[Tot '#]]-MouserListTable[[#This Row],['# Initial]]</f>
        <v>0</v>
      </c>
      <c r="F171" s="94">
        <f>IF(AND(MouserListTable[[#This Row],[Tag]]&lt;&gt;FilterSpecs!$F$12, MouserListTable[[#This Row],[Tag]]&lt;&gt;FilterSpecs!$F$9), MouserListTable[[#This Row],['#/Unit]]*FilterSpecs!$B$3+MouserListTable[[#This Row],[Extra Initial]],0)</f>
        <v>0</v>
      </c>
      <c r="G171" s="78" t="s">
        <v>1510</v>
      </c>
      <c r="H171" s="150" t="s">
        <v>1511</v>
      </c>
      <c r="I171" s="78" t="s">
        <v>1512</v>
      </c>
      <c r="J171" s="78">
        <v>1</v>
      </c>
      <c r="K171" s="117">
        <v>29.95</v>
      </c>
      <c r="L171" s="78" t="s">
        <v>1896</v>
      </c>
      <c r="N171" s="154">
        <f>MouserListTable[[#This Row],['# Initial]]*MouserListTable[[#This Row],[Price (USD)]]</f>
        <v>0</v>
      </c>
      <c r="O171" s="81" t="s">
        <v>1509</v>
      </c>
      <c r="P171" s="150">
        <f t="shared" si="2"/>
        <v>158</v>
      </c>
      <c r="Q171" s="78" t="s">
        <v>5</v>
      </c>
      <c r="R171"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474-LCD-09568</v>
      </c>
      <c r="S171" s="133" t="str">
        <f>HYPERLINK("https://www.mouser.com/ProductDetail/" &amp;MouserListTable[[#This Row],[Mouser SKU]])</f>
        <v>https://www.mouser.com/ProductDetail/474-LCD-09568</v>
      </c>
      <c r="T171" s="94">
        <v>0</v>
      </c>
      <c r="U171" s="94">
        <v>0</v>
      </c>
      <c r="V171" s="94">
        <v>0</v>
      </c>
      <c r="W171" s="94">
        <f>MouserListTable[[#This Row],['#/Unit]]*FilterSpecs!$C$3+MouserListTable[[#This Row],[Extra]]</f>
        <v>0</v>
      </c>
      <c r="X171" s="94">
        <f>IF(MouserListTable[[#This Row],[Tag]]=FilterSpecs!$F$7,MouserListTable[[#This Row],['#/Unit]]*MouserListTable[[#This Row],[Price (USD)]],0)</f>
        <v>0</v>
      </c>
      <c r="Y171" s="94">
        <f>MouserListTable[[#This Row],[Tot '#]]*MouserListTable[[#This Row],[Price (USD)]]</f>
        <v>0</v>
      </c>
      <c r="Z171"/>
    </row>
    <row r="172" spans="1:16382" s="106" customFormat="1" x14ac:dyDescent="0.25">
      <c r="A172" s="78" t="s">
        <v>887</v>
      </c>
      <c r="B172" s="78" t="s">
        <v>2008</v>
      </c>
      <c r="C172" s="78" t="s">
        <v>1892</v>
      </c>
      <c r="D172" s="81" t="str">
        <f>IF(MouserListTable[[#This Row],[Vendor]]=FilterSpecs!$A$8,MouserListTable[[#This Row],[Mouser SKU]], MouserListTable[[#This Row],[Supplier SKU]])</f>
        <v>485-198</v>
      </c>
      <c r="E172" s="94">
        <f>MouserListTable[[#This Row],[Tot '#]]-MouserListTable[[#This Row],['# Initial]]</f>
        <v>0</v>
      </c>
      <c r="F172" s="94">
        <f>IF(AND(MouserListTable[[#This Row],[Tag]]&lt;&gt;FilterSpecs!$F$12, MouserListTable[[#This Row],[Tag]]&lt;&gt;FilterSpecs!$F$9), MouserListTable[[#This Row],['#/Unit]]*FilterSpecs!$B$3+MouserListTable[[#This Row],[Extra Initial]],0)</f>
        <v>0</v>
      </c>
      <c r="G172" s="78"/>
      <c r="H172" s="150"/>
      <c r="I172" s="97" t="s">
        <v>2049</v>
      </c>
      <c r="K172" s="118">
        <v>17.95</v>
      </c>
      <c r="L172" s="97" t="s">
        <v>1896</v>
      </c>
      <c r="N172" s="154">
        <f>MouserListTable[[#This Row],['# Initial]]*MouserListTable[[#This Row],[Price (USD)]]</f>
        <v>0</v>
      </c>
      <c r="O172" s="81" t="s">
        <v>2050</v>
      </c>
      <c r="P172" s="150">
        <f t="shared" si="2"/>
        <v>159</v>
      </c>
      <c r="Q172" s="78" t="s">
        <v>1884</v>
      </c>
      <c r="R172"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485-198</v>
      </c>
      <c r="S172" s="133" t="str">
        <f>HYPERLINK("https://www.mouser.com/ProductDetail/" &amp;MouserListTable[[#This Row],[Mouser SKU]])</f>
        <v>https://www.mouser.com/ProductDetail/485-198</v>
      </c>
      <c r="T172" s="94">
        <v>0</v>
      </c>
      <c r="U172" s="94">
        <v>0</v>
      </c>
      <c r="V172" s="94">
        <v>0</v>
      </c>
      <c r="W172" s="94">
        <f>MouserListTable[[#This Row],['#/Unit]]*FilterSpecs!$C$3+MouserListTable[[#This Row],[Extra]]</f>
        <v>0</v>
      </c>
      <c r="X172" s="94">
        <f>IF(MouserListTable[[#This Row],[Tag]]=FilterSpecs!$F$7,MouserListTable[[#This Row],['#/Unit]]*MouserListTable[[#This Row],[Price (USD)]],0)</f>
        <v>0</v>
      </c>
      <c r="Y172" s="94">
        <f>MouserListTable[[#This Row],[Tot '#]]*MouserListTable[[#This Row],[Price (USD)]]</f>
        <v>0</v>
      </c>
      <c r="Z172"/>
    </row>
    <row r="173" spans="1:16382" s="106" customFormat="1" x14ac:dyDescent="0.25">
      <c r="A173" s="78" t="s">
        <v>887</v>
      </c>
      <c r="B173" s="78" t="s">
        <v>2008</v>
      </c>
      <c r="C173" s="78" t="s">
        <v>1892</v>
      </c>
      <c r="D173" s="81" t="str">
        <f>IF(MouserListTable[[#This Row],[Vendor]]=FilterSpecs!$A$8,MouserListTable[[#This Row],[Mouser SKU]], MouserListTable[[#This Row],[Supplier SKU]])</f>
        <v>485-3330</v>
      </c>
      <c r="E173" s="94">
        <f>MouserListTable[[#This Row],[Tot '#]]-MouserListTable[[#This Row],['# Initial]]</f>
        <v>0</v>
      </c>
      <c r="F173" s="94">
        <f>IF(AND(MouserListTable[[#This Row],[Tag]]&lt;&gt;FilterSpecs!$F$12, MouserListTable[[#This Row],[Tag]]&lt;&gt;FilterSpecs!$F$9), MouserListTable[[#This Row],['#/Unit]]*FilterSpecs!$B$3+MouserListTable[[#This Row],[Extra Initial]],0)</f>
        <v>0</v>
      </c>
      <c r="G173" s="78"/>
      <c r="H173" s="150"/>
      <c r="I173" s="97" t="s">
        <v>2317</v>
      </c>
      <c r="K173" s="118">
        <v>7.5</v>
      </c>
      <c r="L173" s="97" t="s">
        <v>1896</v>
      </c>
      <c r="N173" s="154">
        <f>MouserListTable[[#This Row],['# Initial]]*MouserListTable[[#This Row],[Price (USD)]]</f>
        <v>0</v>
      </c>
      <c r="O173" s="81" t="s">
        <v>2316</v>
      </c>
      <c r="P173" s="150">
        <f t="shared" si="2"/>
        <v>160</v>
      </c>
      <c r="Q173" s="78" t="s">
        <v>1884</v>
      </c>
      <c r="R173"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485-3330</v>
      </c>
      <c r="S173" s="133" t="str">
        <f>HYPERLINK("https://www.mouser.com/ProductDetail/" &amp;MouserListTable[[#This Row],[Mouser SKU]])</f>
        <v>https://www.mouser.com/ProductDetail/485-3330</v>
      </c>
      <c r="T173" s="94">
        <v>0</v>
      </c>
      <c r="U173" s="94">
        <v>0</v>
      </c>
      <c r="V173" s="94">
        <v>0</v>
      </c>
      <c r="W173" s="94">
        <f>MouserListTable[[#This Row],['#/Unit]]*FilterSpecs!$C$3+MouserListTable[[#This Row],[Extra]]</f>
        <v>0</v>
      </c>
      <c r="X173" s="94">
        <f>IF(MouserListTable[[#This Row],[Tag]]=FilterSpecs!$F$7,MouserListTable[[#This Row],['#/Unit]]*MouserListTable[[#This Row],[Price (USD)]],0)</f>
        <v>0</v>
      </c>
      <c r="Y173" s="94">
        <f>MouserListTable[[#This Row],[Tot '#]]*MouserListTable[[#This Row],[Price (USD)]]</f>
        <v>0</v>
      </c>
      <c r="Z173"/>
    </row>
    <row r="174" spans="1:16382" s="106" customFormat="1" x14ac:dyDescent="0.25">
      <c r="A174" s="78" t="s">
        <v>887</v>
      </c>
      <c r="B174" s="78" t="s">
        <v>2008</v>
      </c>
      <c r="C174" s="78" t="s">
        <v>1892</v>
      </c>
      <c r="D174" s="81" t="str">
        <f>IF(MouserListTable[[#This Row],[Vendor]]=FilterSpecs!$A$8,MouserListTable[[#This Row],[Mouser SKU]], MouserListTable[[#This Row],[Supplier SKU]])</f>
        <v>485-1332</v>
      </c>
      <c r="E174" s="94">
        <f>MouserListTable[[#This Row],[Tot '#]]-MouserListTable[[#This Row],['# Initial]]</f>
        <v>0</v>
      </c>
      <c r="F174" s="94">
        <f>IF(AND(MouserListTable[[#This Row],[Tag]]&lt;&gt;FilterSpecs!$F$12, MouserListTable[[#This Row],[Tag]]&lt;&gt;FilterSpecs!$F$9), MouserListTable[[#This Row],['#/Unit]]*FilterSpecs!$B$3+MouserListTable[[#This Row],[Extra Initial]],0)</f>
        <v>0</v>
      </c>
      <c r="G174" s="78"/>
      <c r="H174" s="150"/>
      <c r="I174" s="78" t="s">
        <v>2347</v>
      </c>
      <c r="K174" s="117">
        <v>2.95</v>
      </c>
      <c r="L174" s="78" t="s">
        <v>1896</v>
      </c>
      <c r="M174" s="81"/>
      <c r="N174" s="154">
        <f>MouserListTable[[#This Row],['# Initial]]*MouserListTable[[#This Row],[Price (USD)]]</f>
        <v>0</v>
      </c>
      <c r="O174" s="81" t="s">
        <v>2346</v>
      </c>
      <c r="P174" s="150">
        <f t="shared" si="2"/>
        <v>161</v>
      </c>
      <c r="Q174" s="78" t="s">
        <v>1884</v>
      </c>
      <c r="R174"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485-1332</v>
      </c>
      <c r="S174" s="133" t="str">
        <f>HYPERLINK("https://www.mouser.com/ProductDetail/" &amp;MouserListTable[[#This Row],[Mouser SKU]])</f>
        <v>https://www.mouser.com/ProductDetail/485-1332</v>
      </c>
      <c r="T174" s="94">
        <v>0</v>
      </c>
      <c r="U174" s="94">
        <v>0</v>
      </c>
      <c r="V174" s="94">
        <v>0</v>
      </c>
      <c r="W174" s="94">
        <f>MouserListTable[[#This Row],['#/Unit]]*FilterSpecs!$C$3+MouserListTable[[#This Row],[Extra]]</f>
        <v>0</v>
      </c>
      <c r="X174" s="94">
        <f>IF(MouserListTable[[#This Row],[Tag]]=FilterSpecs!$F$7,MouserListTable[[#This Row],['#/Unit]]*MouserListTable[[#This Row],[Price (USD)]],0)</f>
        <v>0</v>
      </c>
      <c r="Y174" s="94">
        <f>MouserListTable[[#This Row],[Tot '#]]*MouserListTable[[#This Row],[Price (USD)]]</f>
        <v>0</v>
      </c>
      <c r="Z174"/>
    </row>
    <row r="175" spans="1:16382" s="106" customFormat="1" x14ac:dyDescent="0.25">
      <c r="A175" s="78" t="s">
        <v>887</v>
      </c>
      <c r="B175" s="78" t="s">
        <v>2008</v>
      </c>
      <c r="C175" s="78" t="s">
        <v>1892</v>
      </c>
      <c r="D175" s="81" t="str">
        <f>IF(MouserListTable[[#This Row],[Vendor]]=FilterSpecs!$A$8,MouserListTable[[#This Row],[Mouser SKU]], MouserListTable[[#This Row],[Supplier SKU]])</f>
        <v>485-419</v>
      </c>
      <c r="E175" s="94">
        <f>MouserListTable[[#This Row],[Tot '#]]-MouserListTable[[#This Row],['# Initial]]</f>
        <v>0</v>
      </c>
      <c r="F175" s="94">
        <f>IF(AND(MouserListTable[[#This Row],[Tag]]&lt;&gt;FilterSpecs!$F$12, MouserListTable[[#This Row],[Tag]]&lt;&gt;FilterSpecs!$F$9), MouserListTable[[#This Row],['#/Unit]]*FilterSpecs!$B$3+MouserListTable[[#This Row],[Extra Initial]],0)</f>
        <v>5</v>
      </c>
      <c r="G175" s="78"/>
      <c r="H175" s="150"/>
      <c r="I175" s="78" t="s">
        <v>2349</v>
      </c>
      <c r="K175" s="117">
        <v>3.95</v>
      </c>
      <c r="L175" s="78" t="s">
        <v>1897</v>
      </c>
      <c r="M175" s="81"/>
      <c r="N175" s="154">
        <f>MouserListTable[[#This Row],['# Initial]]*MouserListTable[[#This Row],[Price (USD)]]</f>
        <v>19.75</v>
      </c>
      <c r="O175" s="81" t="s">
        <v>2348</v>
      </c>
      <c r="P175" s="150">
        <f t="shared" si="2"/>
        <v>162</v>
      </c>
      <c r="Q175" s="78" t="s">
        <v>1884</v>
      </c>
      <c r="R175"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485-419</v>
      </c>
      <c r="S175" s="133" t="str">
        <f>HYPERLINK("https://www.mouser.com/ProductDetail/" &amp;MouserListTable[[#This Row],[Mouser SKU]])</f>
        <v>https://www.mouser.com/ProductDetail/485-419</v>
      </c>
      <c r="T175" s="94">
        <v>1</v>
      </c>
      <c r="U175" s="94">
        <v>0</v>
      </c>
      <c r="V175" s="94">
        <v>0</v>
      </c>
      <c r="W175" s="94">
        <f>MouserListTable[[#This Row],['#/Unit]]*FilterSpecs!$C$3+MouserListTable[[#This Row],[Extra]]</f>
        <v>5</v>
      </c>
      <c r="X175" s="94">
        <f>IF(MouserListTable[[#This Row],[Tag]]=FilterSpecs!$F$7,MouserListTable[[#This Row],['#/Unit]]*MouserListTable[[#This Row],[Price (USD)]],0)</f>
        <v>3.95</v>
      </c>
      <c r="Y175" s="94">
        <f>MouserListTable[[#This Row],[Tot '#]]*MouserListTable[[#This Row],[Price (USD)]]</f>
        <v>19.75</v>
      </c>
      <c r="Z175"/>
    </row>
    <row r="176" spans="1:16382" s="153" customFormat="1" x14ac:dyDescent="0.25">
      <c r="A176" s="150" t="s">
        <v>887</v>
      </c>
      <c r="B176" s="150" t="s">
        <v>2008</v>
      </c>
      <c r="C176" s="150" t="s">
        <v>1892</v>
      </c>
      <c r="D176" s="151" t="str">
        <f>IF(MouserListTable[[#This Row],[Vendor]]=FilterSpecs!$A$8,MouserListTable[[#This Row],[Mouser SKU]], MouserListTable[[#This Row],[Supplier SKU]])</f>
        <v>474-DEV-11649</v>
      </c>
      <c r="E176" s="152">
        <f>MouserListTable[[#This Row],[Tot '#]]-MouserListTable[[#This Row],['# Initial]]</f>
        <v>0</v>
      </c>
      <c r="F176" s="152">
        <f>IF(AND(MouserListTable[[#This Row],[Tag]]&lt;&gt;FilterSpecs!$F$12, MouserListTable[[#This Row],[Tag]]&lt;&gt;FilterSpecs!$F$9), MouserListTable[[#This Row],['#/Unit]]*FilterSpecs!$B$3+MouserListTable[[#This Row],[Extra Initial]],0)</f>
        <v>0</v>
      </c>
      <c r="G176" s="147" t="s">
        <v>1782</v>
      </c>
      <c r="H176" s="150" t="s">
        <v>1783</v>
      </c>
      <c r="I176" s="150" t="s">
        <v>1784</v>
      </c>
      <c r="J176" s="153">
        <v>29.95</v>
      </c>
      <c r="K176" s="154">
        <v>29.95</v>
      </c>
      <c r="L176" s="150" t="s">
        <v>2464</v>
      </c>
      <c r="M176" s="151"/>
      <c r="N176" s="154">
        <f>MouserListTable[[#This Row],['# Initial]]*MouserListTable[[#This Row],[Price (USD)]]</f>
        <v>0</v>
      </c>
      <c r="O176" s="151" t="s">
        <v>1781</v>
      </c>
      <c r="P176" s="150">
        <f t="shared" si="2"/>
        <v>163</v>
      </c>
      <c r="Q176" s="150" t="s">
        <v>5</v>
      </c>
      <c r="R17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474-DEV-11649</v>
      </c>
      <c r="S176" s="157" t="str">
        <f>HYPERLINK("https://www.mouser.com/ProductDetail/" &amp;MouserListTable[[#This Row],[Mouser SKU]])</f>
        <v>https://www.mouser.com/ProductDetail/474-DEV-11649</v>
      </c>
      <c r="T176" s="152">
        <v>0</v>
      </c>
      <c r="U176" s="152">
        <v>0</v>
      </c>
      <c r="V176" s="152">
        <v>0</v>
      </c>
      <c r="W176" s="152">
        <f>MouserListTable[[#This Row],['#/Unit]]*FilterSpecs!$C$3+MouserListTable[[#This Row],[Extra]]</f>
        <v>0</v>
      </c>
      <c r="X176" s="152">
        <f>IF(MouserListTable[[#This Row],[Tag]]=FilterSpecs!$F$7,MouserListTable[[#This Row],['#/Unit]]*MouserListTable[[#This Row],[Price (USD)]],0)</f>
        <v>0</v>
      </c>
      <c r="Y176" s="152">
        <f>MouserListTable[[#This Row],[Tot '#]]*MouserListTable[[#This Row],[Price (USD)]]</f>
        <v>0</v>
      </c>
      <c r="Z176" s="146"/>
      <c r="AA176" s="146"/>
      <c r="AB176" s="146"/>
      <c r="AC176" s="146"/>
      <c r="AD176" s="146"/>
      <c r="AE176" s="146"/>
      <c r="AF176" s="146"/>
      <c r="AG176" s="146"/>
      <c r="AH176" s="146"/>
      <c r="AI176" s="146"/>
      <c r="AJ176" s="146"/>
      <c r="AK176" s="146"/>
      <c r="AL176" s="146"/>
      <c r="AM176" s="146"/>
      <c r="AN176" s="146"/>
      <c r="AO176" s="146"/>
      <c r="AP176" s="146"/>
      <c r="AQ176" s="146"/>
      <c r="AR176" s="146"/>
      <c r="AS176" s="146"/>
      <c r="AT176" s="146"/>
      <c r="AU176" s="146"/>
      <c r="AV176" s="146"/>
      <c r="AW176" s="146"/>
      <c r="AX176" s="146"/>
      <c r="AY176" s="146"/>
      <c r="AZ176" s="146"/>
      <c r="BA176" s="146"/>
      <c r="BB176" s="146"/>
      <c r="BC176" s="146"/>
      <c r="BD176" s="146"/>
      <c r="BE176" s="146"/>
      <c r="BF176" s="146"/>
      <c r="BG176" s="146"/>
      <c r="BH176" s="146"/>
      <c r="BI176" s="146"/>
      <c r="BJ176" s="146"/>
      <c r="BK176" s="146"/>
      <c r="BL176" s="146"/>
      <c r="BM176" s="146"/>
      <c r="BN176" s="146"/>
      <c r="BO176" s="146"/>
      <c r="BP176" s="146"/>
      <c r="BQ176" s="146"/>
      <c r="BR176" s="146"/>
      <c r="BS176" s="146"/>
      <c r="BT176" s="146"/>
      <c r="BU176" s="146"/>
      <c r="BV176" s="146"/>
      <c r="BW176" s="146"/>
      <c r="BX176" s="146"/>
      <c r="BY176" s="146"/>
      <c r="BZ176" s="146"/>
      <c r="CA176" s="146"/>
      <c r="CB176" s="146"/>
      <c r="CC176" s="146"/>
      <c r="CD176" s="146"/>
      <c r="CE176" s="146"/>
      <c r="CF176" s="146"/>
      <c r="CG176" s="146"/>
      <c r="CH176" s="146"/>
      <c r="CI176" s="146"/>
      <c r="CJ176" s="146"/>
      <c r="CK176" s="146"/>
      <c r="CL176" s="146"/>
      <c r="CM176" s="146"/>
      <c r="CN176" s="146"/>
      <c r="CO176" s="146"/>
      <c r="CP176" s="146"/>
      <c r="CQ176" s="146"/>
      <c r="CR176" s="146"/>
      <c r="CS176" s="146"/>
      <c r="CT176" s="146"/>
      <c r="CU176" s="146"/>
      <c r="CV176" s="146"/>
      <c r="CW176" s="146"/>
      <c r="CX176" s="146"/>
      <c r="CY176" s="146"/>
      <c r="CZ176" s="146"/>
      <c r="DA176" s="146"/>
      <c r="DB176" s="146"/>
      <c r="DC176" s="146"/>
      <c r="DD176" s="146"/>
      <c r="DE176" s="146"/>
      <c r="DF176" s="146"/>
      <c r="DG176" s="146"/>
      <c r="DH176" s="146"/>
      <c r="DI176" s="146"/>
      <c r="DJ176" s="146"/>
      <c r="DK176" s="146"/>
      <c r="DL176" s="146"/>
      <c r="DM176" s="146"/>
      <c r="DN176" s="146"/>
      <c r="DO176" s="146"/>
      <c r="DP176" s="146"/>
      <c r="DQ176" s="146"/>
      <c r="DR176" s="146"/>
      <c r="DS176" s="146"/>
      <c r="DT176" s="146"/>
      <c r="DU176" s="146"/>
      <c r="DV176" s="146"/>
      <c r="DW176" s="146"/>
      <c r="DX176" s="146"/>
      <c r="DY176" s="146"/>
      <c r="DZ176" s="146"/>
      <c r="EA176" s="146"/>
      <c r="EB176" s="146"/>
      <c r="EC176" s="146"/>
      <c r="ED176" s="146"/>
      <c r="EE176" s="146"/>
      <c r="EF176" s="146"/>
      <c r="EG176" s="146"/>
      <c r="EH176" s="146"/>
      <c r="EI176" s="146"/>
      <c r="EJ176" s="146"/>
      <c r="EK176" s="146"/>
      <c r="EL176" s="146"/>
      <c r="EM176" s="146"/>
      <c r="EN176" s="146"/>
      <c r="EO176" s="146"/>
      <c r="EP176" s="146"/>
      <c r="EQ176" s="146"/>
      <c r="ER176" s="146"/>
      <c r="ES176" s="146"/>
      <c r="ET176" s="146"/>
      <c r="EU176" s="146"/>
      <c r="EV176" s="146"/>
      <c r="EW176" s="146"/>
      <c r="EX176" s="146"/>
      <c r="EY176" s="146"/>
      <c r="EZ176" s="146"/>
      <c r="FA176" s="146"/>
      <c r="FB176" s="146"/>
      <c r="FC176" s="146"/>
      <c r="FD176" s="146"/>
      <c r="FE176" s="146"/>
      <c r="FF176" s="146"/>
      <c r="FG176" s="146"/>
      <c r="FH176" s="146"/>
      <c r="FI176" s="146"/>
      <c r="FJ176" s="146"/>
      <c r="FK176" s="146"/>
      <c r="FL176" s="146"/>
      <c r="FM176" s="146"/>
      <c r="FN176" s="146"/>
      <c r="FO176" s="146"/>
      <c r="FP176" s="146"/>
      <c r="FQ176" s="146"/>
      <c r="FR176" s="146"/>
      <c r="FS176" s="146"/>
      <c r="FT176" s="146"/>
      <c r="FU176" s="146"/>
      <c r="FV176" s="146"/>
      <c r="FW176" s="146"/>
      <c r="FX176" s="146"/>
      <c r="FY176" s="146"/>
      <c r="FZ176" s="146"/>
      <c r="GA176" s="146"/>
      <c r="GB176" s="146"/>
      <c r="GC176" s="146"/>
      <c r="GD176" s="146"/>
      <c r="GE176" s="146"/>
      <c r="GF176" s="146"/>
      <c r="GG176" s="146"/>
      <c r="GH176" s="146"/>
      <c r="GI176" s="146"/>
      <c r="GJ176" s="146"/>
      <c r="GK176" s="146"/>
      <c r="GL176" s="146"/>
      <c r="GM176" s="146"/>
      <c r="GN176" s="146"/>
      <c r="GO176" s="146"/>
      <c r="GP176" s="146"/>
      <c r="GQ176" s="146"/>
      <c r="GR176" s="146"/>
      <c r="GS176" s="146"/>
      <c r="GT176" s="146"/>
      <c r="GU176" s="146"/>
      <c r="GV176" s="146"/>
      <c r="GW176" s="146"/>
      <c r="GX176" s="146"/>
      <c r="GY176" s="146"/>
      <c r="GZ176" s="146"/>
      <c r="HA176" s="146"/>
      <c r="HB176" s="146"/>
      <c r="HC176" s="146"/>
      <c r="HD176" s="146"/>
      <c r="HE176" s="146"/>
      <c r="HF176" s="146"/>
      <c r="HG176" s="146"/>
      <c r="HH176" s="146"/>
      <c r="HI176" s="146"/>
      <c r="HJ176" s="146"/>
      <c r="HK176" s="146"/>
      <c r="HL176" s="146"/>
      <c r="HM176" s="146"/>
      <c r="HN176" s="146"/>
      <c r="HO176" s="146"/>
      <c r="HP176" s="146"/>
      <c r="HQ176" s="146"/>
      <c r="HR176" s="146"/>
      <c r="HS176" s="146"/>
      <c r="HT176" s="146"/>
      <c r="HU176" s="146"/>
      <c r="HV176" s="146"/>
      <c r="HW176" s="146"/>
      <c r="HX176" s="146"/>
      <c r="HY176" s="146"/>
      <c r="HZ176" s="146"/>
      <c r="IA176" s="146"/>
      <c r="IB176" s="146"/>
      <c r="IC176" s="146"/>
      <c r="ID176" s="146"/>
      <c r="IE176" s="146"/>
      <c r="IF176" s="146"/>
      <c r="IG176" s="146"/>
      <c r="IH176" s="146"/>
      <c r="II176" s="146"/>
      <c r="IJ176" s="146"/>
      <c r="IK176" s="146"/>
      <c r="IL176" s="146"/>
      <c r="IM176" s="146"/>
      <c r="IN176" s="146"/>
      <c r="IO176" s="146"/>
      <c r="IP176" s="146"/>
      <c r="IQ176" s="146"/>
      <c r="IR176" s="146"/>
      <c r="IS176" s="146"/>
      <c r="IT176" s="146"/>
      <c r="IU176" s="146"/>
      <c r="IV176" s="146"/>
      <c r="IW176" s="146"/>
      <c r="IX176" s="146"/>
      <c r="IY176" s="146"/>
      <c r="IZ176" s="146"/>
      <c r="JA176" s="146"/>
      <c r="JB176" s="146"/>
      <c r="JC176" s="146"/>
      <c r="JD176" s="146"/>
      <c r="JE176" s="146"/>
      <c r="JF176" s="146"/>
      <c r="JG176" s="146"/>
      <c r="JH176" s="146"/>
      <c r="JI176" s="146"/>
      <c r="JJ176" s="146"/>
      <c r="JK176" s="146"/>
      <c r="JL176" s="146"/>
      <c r="JM176" s="146"/>
      <c r="JN176" s="146"/>
      <c r="JO176" s="146"/>
      <c r="JP176" s="146"/>
      <c r="JQ176" s="146"/>
      <c r="JR176" s="146"/>
      <c r="JS176" s="146"/>
      <c r="JT176" s="146"/>
      <c r="JU176" s="146"/>
      <c r="JV176" s="146"/>
      <c r="JW176" s="146"/>
      <c r="JX176" s="146"/>
      <c r="JY176" s="146"/>
      <c r="JZ176" s="146"/>
      <c r="KA176" s="146"/>
      <c r="KB176" s="146"/>
      <c r="KC176" s="146"/>
      <c r="KD176" s="146"/>
      <c r="KE176" s="146"/>
      <c r="KF176" s="146"/>
      <c r="KG176" s="146"/>
      <c r="KH176" s="146"/>
      <c r="KI176" s="146"/>
      <c r="KJ176" s="146"/>
      <c r="KK176" s="146"/>
      <c r="KL176" s="146"/>
      <c r="KM176" s="146"/>
      <c r="KN176" s="146"/>
      <c r="KO176" s="146"/>
      <c r="KP176" s="146"/>
      <c r="KQ176" s="146"/>
      <c r="KR176" s="146"/>
      <c r="KS176" s="146"/>
      <c r="KT176" s="146"/>
      <c r="KU176" s="146"/>
      <c r="KV176" s="146"/>
      <c r="KW176" s="146"/>
      <c r="KX176" s="146"/>
      <c r="KY176" s="146"/>
      <c r="KZ176" s="146"/>
      <c r="LA176" s="146"/>
      <c r="LB176" s="146"/>
      <c r="LC176" s="146"/>
      <c r="LD176" s="146"/>
      <c r="LE176" s="146"/>
      <c r="LF176" s="146"/>
      <c r="LG176" s="146"/>
      <c r="LH176" s="146"/>
      <c r="LI176" s="146"/>
      <c r="LJ176" s="146"/>
      <c r="LK176" s="146"/>
      <c r="LL176" s="146"/>
      <c r="LM176" s="146"/>
      <c r="LN176" s="146"/>
      <c r="LO176" s="146"/>
      <c r="LP176" s="146"/>
      <c r="LQ176" s="146"/>
      <c r="LR176" s="146"/>
      <c r="LS176" s="146"/>
      <c r="LT176" s="146"/>
      <c r="LU176" s="146"/>
      <c r="LV176" s="146"/>
      <c r="LW176" s="146"/>
      <c r="LX176" s="146"/>
      <c r="LY176" s="146"/>
      <c r="LZ176" s="146"/>
      <c r="MA176" s="146"/>
      <c r="MB176" s="146"/>
      <c r="MC176" s="146"/>
      <c r="MD176" s="146"/>
      <c r="ME176" s="146"/>
      <c r="MF176" s="146"/>
      <c r="MG176" s="146"/>
      <c r="MH176" s="146"/>
      <c r="MI176" s="146"/>
      <c r="MJ176" s="146"/>
      <c r="MK176" s="146"/>
      <c r="ML176" s="146"/>
      <c r="MM176" s="146"/>
      <c r="MN176" s="146"/>
      <c r="MO176" s="146"/>
      <c r="MP176" s="146"/>
      <c r="MQ176" s="146"/>
      <c r="MR176" s="146"/>
      <c r="MS176" s="146"/>
      <c r="MT176" s="146"/>
      <c r="MU176" s="146"/>
      <c r="MV176" s="146"/>
      <c r="MW176" s="146"/>
      <c r="MX176" s="146"/>
      <c r="MY176" s="146"/>
      <c r="MZ176" s="146"/>
      <c r="NA176" s="146"/>
      <c r="NB176" s="146"/>
      <c r="NC176" s="146"/>
      <c r="ND176" s="146"/>
      <c r="NE176" s="146"/>
      <c r="NF176" s="146"/>
      <c r="NG176" s="146"/>
      <c r="NH176" s="146"/>
      <c r="NI176" s="146"/>
      <c r="NJ176" s="146"/>
      <c r="NK176" s="146"/>
      <c r="NL176" s="146"/>
      <c r="NM176" s="146"/>
      <c r="NN176" s="146"/>
      <c r="NO176" s="146"/>
      <c r="NP176" s="146"/>
      <c r="NQ176" s="146"/>
      <c r="NR176" s="146"/>
      <c r="NS176" s="146"/>
      <c r="NT176" s="146"/>
      <c r="NU176" s="146"/>
      <c r="NV176" s="146"/>
      <c r="NW176" s="146"/>
      <c r="NX176" s="146"/>
      <c r="NY176" s="146"/>
      <c r="NZ176" s="146"/>
      <c r="OA176" s="146"/>
      <c r="OB176" s="146"/>
      <c r="OC176" s="146"/>
      <c r="OD176" s="146"/>
      <c r="OE176" s="146"/>
      <c r="OF176" s="146"/>
      <c r="OG176" s="146"/>
      <c r="OH176" s="146"/>
      <c r="OI176" s="146"/>
      <c r="OJ176" s="146"/>
      <c r="OK176" s="146"/>
      <c r="OL176" s="146"/>
      <c r="OM176" s="146"/>
      <c r="ON176" s="146"/>
      <c r="OO176" s="146"/>
      <c r="OP176" s="146"/>
      <c r="OQ176" s="146"/>
      <c r="OR176" s="146"/>
      <c r="OS176" s="146"/>
      <c r="OT176" s="146"/>
      <c r="OU176" s="146"/>
      <c r="OV176" s="146"/>
      <c r="OW176" s="146"/>
      <c r="OX176" s="146"/>
      <c r="OY176" s="146"/>
      <c r="OZ176" s="146"/>
      <c r="PA176" s="146"/>
      <c r="PB176" s="146"/>
      <c r="PC176" s="146"/>
      <c r="PD176" s="146"/>
      <c r="PE176" s="146"/>
      <c r="PF176" s="146"/>
      <c r="PG176" s="146"/>
      <c r="PH176" s="146"/>
      <c r="PI176" s="146"/>
      <c r="PJ176" s="146"/>
      <c r="PK176" s="146"/>
      <c r="PL176" s="146"/>
      <c r="PM176" s="146"/>
      <c r="PN176" s="146"/>
      <c r="PO176" s="146"/>
      <c r="PP176" s="146"/>
      <c r="PQ176" s="146"/>
      <c r="PR176" s="146"/>
      <c r="PS176" s="146"/>
      <c r="PT176" s="146"/>
      <c r="PU176" s="146"/>
      <c r="PV176" s="146"/>
      <c r="PW176" s="146"/>
      <c r="PX176" s="146"/>
      <c r="PY176" s="146"/>
      <c r="PZ176" s="146"/>
      <c r="QA176" s="146"/>
      <c r="QB176" s="146"/>
      <c r="QC176" s="146"/>
      <c r="QD176" s="146"/>
      <c r="QE176" s="146"/>
      <c r="QF176" s="146"/>
      <c r="QG176" s="146"/>
      <c r="QH176" s="146"/>
      <c r="QI176" s="146"/>
      <c r="QJ176" s="146"/>
      <c r="QK176" s="146"/>
      <c r="QL176" s="146"/>
      <c r="QM176" s="146"/>
      <c r="QN176" s="146"/>
      <c r="QO176" s="146"/>
      <c r="QP176" s="146"/>
      <c r="QQ176" s="146"/>
      <c r="QR176" s="146"/>
      <c r="QS176" s="146"/>
      <c r="QT176" s="146"/>
      <c r="QU176" s="146"/>
      <c r="QV176" s="146"/>
      <c r="QW176" s="146"/>
      <c r="QX176" s="146"/>
      <c r="QY176" s="146"/>
      <c r="QZ176" s="146"/>
      <c r="RA176" s="146"/>
      <c r="RB176" s="146"/>
      <c r="RC176" s="146"/>
      <c r="RD176" s="146"/>
      <c r="RE176" s="146"/>
      <c r="RF176" s="146"/>
      <c r="RG176" s="146"/>
      <c r="RH176" s="146"/>
      <c r="RI176" s="146"/>
      <c r="RJ176" s="146"/>
      <c r="RK176" s="146"/>
      <c r="RL176" s="146"/>
      <c r="RM176" s="146"/>
      <c r="RN176" s="146"/>
      <c r="RO176" s="146"/>
      <c r="RP176" s="146"/>
      <c r="RQ176" s="146"/>
      <c r="RR176" s="146"/>
      <c r="RS176" s="146"/>
      <c r="RT176" s="146"/>
      <c r="RU176" s="146"/>
      <c r="RV176" s="146"/>
      <c r="RW176" s="146"/>
      <c r="RX176" s="146"/>
      <c r="RY176" s="146"/>
      <c r="RZ176" s="146"/>
      <c r="SA176" s="146"/>
      <c r="SB176" s="146"/>
      <c r="SC176" s="146"/>
      <c r="SD176" s="146"/>
      <c r="SE176" s="146"/>
      <c r="SF176" s="146"/>
      <c r="SG176" s="146"/>
      <c r="SH176" s="146"/>
      <c r="SI176" s="146"/>
      <c r="SJ176" s="146"/>
      <c r="SK176" s="146"/>
      <c r="SL176" s="146"/>
      <c r="SM176" s="146"/>
      <c r="SN176" s="146"/>
      <c r="SO176" s="146"/>
      <c r="SP176" s="146"/>
      <c r="SQ176" s="146"/>
      <c r="SR176" s="146"/>
      <c r="SS176" s="146"/>
      <c r="ST176" s="146"/>
      <c r="SU176" s="146"/>
      <c r="SV176" s="146"/>
      <c r="SW176" s="146"/>
      <c r="SX176" s="146"/>
      <c r="SY176" s="146"/>
      <c r="SZ176" s="146"/>
      <c r="TA176" s="146"/>
      <c r="TB176" s="146"/>
      <c r="TC176" s="146"/>
      <c r="TD176" s="146"/>
      <c r="TE176" s="146"/>
      <c r="TF176" s="146"/>
      <c r="TG176" s="146"/>
      <c r="TH176" s="146"/>
      <c r="TI176" s="146"/>
      <c r="TJ176" s="146"/>
      <c r="TK176" s="146"/>
      <c r="TL176" s="146"/>
      <c r="TM176" s="146"/>
      <c r="TN176" s="146"/>
      <c r="TO176" s="146"/>
      <c r="TP176" s="146"/>
      <c r="TQ176" s="146"/>
      <c r="TR176" s="146"/>
      <c r="TS176" s="146"/>
      <c r="TT176" s="146"/>
      <c r="TU176" s="146"/>
      <c r="TV176" s="146"/>
      <c r="TW176" s="146"/>
      <c r="TX176" s="146"/>
      <c r="TY176" s="146"/>
      <c r="TZ176" s="146"/>
      <c r="UA176" s="146"/>
      <c r="UB176" s="146"/>
      <c r="UC176" s="146"/>
      <c r="UD176" s="146"/>
      <c r="UE176" s="146"/>
      <c r="UF176" s="146"/>
      <c r="UG176" s="146"/>
      <c r="UH176" s="146"/>
      <c r="UI176" s="146"/>
      <c r="UJ176" s="146"/>
      <c r="UK176" s="146"/>
      <c r="UL176" s="146"/>
      <c r="UM176" s="146"/>
      <c r="UN176" s="146"/>
      <c r="UO176" s="146"/>
      <c r="UP176" s="146"/>
      <c r="UQ176" s="146"/>
      <c r="UR176" s="146"/>
      <c r="US176" s="146"/>
      <c r="UT176" s="146"/>
      <c r="UU176" s="146"/>
      <c r="UV176" s="146"/>
      <c r="UW176" s="146"/>
      <c r="UX176" s="146"/>
      <c r="UY176" s="146"/>
      <c r="UZ176" s="146"/>
      <c r="VA176" s="146"/>
      <c r="VB176" s="146"/>
      <c r="VC176" s="146"/>
      <c r="VD176" s="146"/>
      <c r="VE176" s="146"/>
      <c r="VF176" s="146"/>
      <c r="VG176" s="146"/>
      <c r="VH176" s="146"/>
      <c r="VI176" s="146"/>
      <c r="VJ176" s="146"/>
      <c r="VK176" s="146"/>
      <c r="VL176" s="146"/>
      <c r="VM176" s="146"/>
      <c r="VN176" s="146"/>
      <c r="VO176" s="146"/>
      <c r="VP176" s="146"/>
      <c r="VQ176" s="146"/>
      <c r="VR176" s="146"/>
      <c r="VS176" s="146"/>
      <c r="VT176" s="146"/>
      <c r="VU176" s="146"/>
      <c r="VV176" s="146"/>
      <c r="VW176" s="146"/>
      <c r="VX176" s="146"/>
      <c r="VY176" s="146"/>
      <c r="VZ176" s="146"/>
      <c r="WA176" s="146"/>
      <c r="WB176" s="146"/>
      <c r="WC176" s="146"/>
      <c r="WD176" s="146"/>
      <c r="WE176" s="146"/>
      <c r="WF176" s="146"/>
      <c r="WG176" s="146"/>
      <c r="WH176" s="146"/>
      <c r="WI176" s="146"/>
      <c r="WJ176" s="146"/>
      <c r="WK176" s="146"/>
      <c r="WL176" s="146"/>
      <c r="WM176" s="146"/>
      <c r="WN176" s="146"/>
      <c r="WO176" s="146"/>
      <c r="WP176" s="146"/>
      <c r="WQ176" s="146"/>
      <c r="WR176" s="146"/>
      <c r="WS176" s="146"/>
      <c r="WT176" s="146"/>
      <c r="WU176" s="146"/>
      <c r="WV176" s="146"/>
      <c r="WW176" s="146"/>
      <c r="WX176" s="146"/>
      <c r="WY176" s="146"/>
      <c r="WZ176" s="146"/>
      <c r="XA176" s="146"/>
      <c r="XB176" s="146"/>
      <c r="XC176" s="146"/>
      <c r="XD176" s="146"/>
      <c r="XE176" s="146"/>
      <c r="XF176" s="146"/>
      <c r="XG176" s="146"/>
      <c r="XH176" s="146"/>
      <c r="XI176" s="146"/>
      <c r="XJ176" s="146"/>
      <c r="XK176" s="146"/>
      <c r="XL176" s="146"/>
      <c r="XM176" s="146"/>
      <c r="XN176" s="146"/>
      <c r="XO176" s="146"/>
      <c r="XP176" s="146"/>
      <c r="XQ176" s="146"/>
      <c r="XR176" s="146"/>
      <c r="XS176" s="146"/>
      <c r="XT176" s="146"/>
      <c r="XU176" s="146"/>
      <c r="XV176" s="146"/>
      <c r="XW176" s="146"/>
      <c r="XX176" s="146"/>
      <c r="XY176" s="146"/>
      <c r="XZ176" s="146"/>
      <c r="YA176" s="146"/>
      <c r="YB176" s="146"/>
      <c r="YC176" s="146"/>
      <c r="YD176" s="146"/>
      <c r="YE176" s="146"/>
      <c r="YF176" s="146"/>
      <c r="YG176" s="146"/>
      <c r="YH176" s="146"/>
      <c r="YI176" s="146"/>
      <c r="YJ176" s="146"/>
      <c r="YK176" s="146"/>
      <c r="YL176" s="146"/>
      <c r="YM176" s="146"/>
      <c r="YN176" s="146"/>
      <c r="YO176" s="146"/>
      <c r="YP176" s="146"/>
      <c r="YQ176" s="146"/>
      <c r="YR176" s="146"/>
      <c r="YS176" s="146"/>
      <c r="YT176" s="146"/>
      <c r="YU176" s="146"/>
      <c r="YV176" s="146"/>
      <c r="YW176" s="146"/>
      <c r="YX176" s="146"/>
      <c r="YY176" s="146"/>
      <c r="YZ176" s="146"/>
      <c r="ZA176" s="146"/>
      <c r="ZB176" s="146"/>
      <c r="ZC176" s="146"/>
      <c r="ZD176" s="146"/>
      <c r="ZE176" s="146"/>
      <c r="ZF176" s="146"/>
      <c r="ZG176" s="146"/>
      <c r="ZH176" s="146"/>
      <c r="ZI176" s="146"/>
      <c r="ZJ176" s="146"/>
      <c r="ZK176" s="146"/>
      <c r="ZL176" s="146"/>
      <c r="ZM176" s="146"/>
      <c r="ZN176" s="146"/>
      <c r="ZO176" s="146"/>
      <c r="ZP176" s="146"/>
      <c r="ZQ176" s="146"/>
      <c r="ZR176" s="146"/>
      <c r="ZS176" s="146"/>
      <c r="ZT176" s="146"/>
      <c r="ZU176" s="146"/>
      <c r="ZV176" s="146"/>
      <c r="ZW176" s="146"/>
      <c r="ZX176" s="146"/>
      <c r="ZY176" s="146"/>
      <c r="ZZ176" s="146"/>
      <c r="AAA176" s="146"/>
      <c r="AAB176" s="146"/>
      <c r="AAC176" s="146"/>
      <c r="AAD176" s="146"/>
      <c r="AAE176" s="146"/>
      <c r="AAF176" s="146"/>
      <c r="AAG176" s="146"/>
      <c r="AAH176" s="146"/>
      <c r="AAI176" s="146"/>
      <c r="AAJ176" s="146"/>
      <c r="AAK176" s="146"/>
      <c r="AAL176" s="146"/>
      <c r="AAM176" s="146"/>
      <c r="AAN176" s="146"/>
      <c r="AAO176" s="146"/>
      <c r="AAP176" s="146"/>
      <c r="AAQ176" s="146"/>
      <c r="AAR176" s="146"/>
      <c r="AAS176" s="146"/>
      <c r="AAT176" s="146"/>
      <c r="AAU176" s="146"/>
      <c r="AAV176" s="146"/>
      <c r="AAW176" s="146"/>
      <c r="AAX176" s="146"/>
      <c r="AAY176" s="146"/>
      <c r="AAZ176" s="146"/>
      <c r="ABA176" s="146"/>
      <c r="ABB176" s="146"/>
      <c r="ABC176" s="146"/>
      <c r="ABD176" s="146"/>
      <c r="ABE176" s="146"/>
      <c r="ABF176" s="146"/>
      <c r="ABG176" s="146"/>
      <c r="ABH176" s="146"/>
      <c r="ABI176" s="146"/>
      <c r="ABJ176" s="146"/>
      <c r="ABK176" s="146"/>
      <c r="ABL176" s="146"/>
      <c r="ABM176" s="146"/>
      <c r="ABN176" s="146"/>
      <c r="ABO176" s="146"/>
      <c r="ABP176" s="146"/>
      <c r="ABQ176" s="146"/>
      <c r="ABR176" s="146"/>
      <c r="ABS176" s="146"/>
      <c r="ABT176" s="146"/>
      <c r="ABU176" s="146"/>
      <c r="ABV176" s="146"/>
      <c r="ABW176" s="146"/>
      <c r="ABX176" s="146"/>
      <c r="ABY176" s="146"/>
      <c r="ABZ176" s="146"/>
      <c r="ACA176" s="146"/>
      <c r="ACB176" s="146"/>
      <c r="ACC176" s="146"/>
      <c r="ACD176" s="146"/>
      <c r="ACE176" s="146"/>
      <c r="ACF176" s="146"/>
      <c r="ACG176" s="146"/>
      <c r="ACH176" s="146"/>
      <c r="ACI176" s="146"/>
      <c r="ACJ176" s="146"/>
      <c r="ACK176" s="146"/>
      <c r="ACL176" s="146"/>
      <c r="ACM176" s="146"/>
      <c r="ACN176" s="146"/>
      <c r="ACO176" s="146"/>
      <c r="ACP176" s="146"/>
      <c r="ACQ176" s="146"/>
      <c r="ACR176" s="146"/>
      <c r="ACS176" s="146"/>
      <c r="ACT176" s="146"/>
      <c r="ACU176" s="146"/>
      <c r="ACV176" s="146"/>
      <c r="ACW176" s="146"/>
      <c r="ACX176" s="146"/>
      <c r="ACY176" s="146"/>
      <c r="ACZ176" s="146"/>
      <c r="ADA176" s="146"/>
      <c r="ADB176" s="146"/>
      <c r="ADC176" s="146"/>
      <c r="ADD176" s="146"/>
      <c r="ADE176" s="146"/>
      <c r="ADF176" s="146"/>
      <c r="ADG176" s="146"/>
      <c r="ADH176" s="146"/>
      <c r="ADI176" s="146"/>
      <c r="ADJ176" s="146"/>
      <c r="ADK176" s="146"/>
      <c r="ADL176" s="146"/>
      <c r="ADM176" s="146"/>
      <c r="ADN176" s="146"/>
      <c r="ADO176" s="146"/>
      <c r="ADP176" s="146"/>
      <c r="ADQ176" s="146"/>
      <c r="ADR176" s="146"/>
      <c r="ADS176" s="146"/>
      <c r="ADT176" s="146"/>
      <c r="ADU176" s="146"/>
      <c r="ADV176" s="146"/>
      <c r="ADW176" s="146"/>
      <c r="ADX176" s="146"/>
      <c r="ADY176" s="146"/>
      <c r="ADZ176" s="146"/>
      <c r="AEA176" s="146"/>
      <c r="AEB176" s="146"/>
      <c r="AEC176" s="146"/>
      <c r="AED176" s="146"/>
      <c r="AEE176" s="146"/>
      <c r="AEF176" s="146"/>
      <c r="AEG176" s="146"/>
      <c r="AEH176" s="146"/>
      <c r="AEI176" s="146"/>
      <c r="AEJ176" s="146"/>
      <c r="AEK176" s="146"/>
      <c r="AEL176" s="146"/>
      <c r="AEM176" s="146"/>
      <c r="AEN176" s="146"/>
      <c r="AEO176" s="146"/>
      <c r="AEP176" s="146"/>
      <c r="AEQ176" s="146"/>
      <c r="AER176" s="146"/>
      <c r="AES176" s="146"/>
      <c r="AET176" s="146"/>
      <c r="AEU176" s="146"/>
      <c r="AEV176" s="146"/>
      <c r="AEW176" s="146"/>
      <c r="AEX176" s="146"/>
      <c r="AEY176" s="146"/>
      <c r="AEZ176" s="146"/>
      <c r="AFA176" s="146"/>
      <c r="AFB176" s="146"/>
      <c r="AFC176" s="146"/>
      <c r="AFD176" s="146"/>
      <c r="AFE176" s="146"/>
      <c r="AFF176" s="146"/>
      <c r="AFG176" s="146"/>
      <c r="AFH176" s="146"/>
      <c r="AFI176" s="146"/>
      <c r="AFJ176" s="146"/>
      <c r="AFK176" s="146"/>
      <c r="AFL176" s="146"/>
      <c r="AFM176" s="146"/>
      <c r="AFN176" s="146"/>
      <c r="AFO176" s="146"/>
      <c r="AFP176" s="146"/>
      <c r="AFQ176" s="146"/>
      <c r="AFR176" s="146"/>
      <c r="AFS176" s="146"/>
      <c r="AFT176" s="146"/>
      <c r="AFU176" s="146"/>
      <c r="AFV176" s="146"/>
      <c r="AFW176" s="146"/>
      <c r="AFX176" s="146"/>
      <c r="AFY176" s="146"/>
      <c r="AFZ176" s="146"/>
      <c r="AGA176" s="146"/>
      <c r="AGB176" s="146"/>
      <c r="AGC176" s="146"/>
      <c r="AGD176" s="146"/>
      <c r="AGE176" s="146"/>
      <c r="AGF176" s="146"/>
      <c r="AGG176" s="146"/>
      <c r="AGH176" s="146"/>
      <c r="AGI176" s="146"/>
      <c r="AGJ176" s="146"/>
      <c r="AGK176" s="146"/>
      <c r="AGL176" s="146"/>
      <c r="AGM176" s="146"/>
      <c r="AGN176" s="146"/>
      <c r="AGO176" s="146"/>
      <c r="AGP176" s="146"/>
      <c r="AGQ176" s="146"/>
      <c r="AGR176" s="146"/>
      <c r="AGS176" s="146"/>
      <c r="AGT176" s="146"/>
      <c r="AGU176" s="146"/>
      <c r="AGV176" s="146"/>
      <c r="AGW176" s="146"/>
      <c r="AGX176" s="146"/>
      <c r="AGY176" s="146"/>
      <c r="AGZ176" s="146"/>
      <c r="AHA176" s="146"/>
      <c r="AHB176" s="146"/>
      <c r="AHC176" s="146"/>
      <c r="AHD176" s="146"/>
      <c r="AHE176" s="146"/>
      <c r="AHF176" s="146"/>
      <c r="AHG176" s="146"/>
      <c r="AHH176" s="146"/>
      <c r="AHI176" s="146"/>
      <c r="AHJ176" s="146"/>
      <c r="AHK176" s="146"/>
      <c r="AHL176" s="146"/>
      <c r="AHM176" s="146"/>
      <c r="AHN176" s="146"/>
      <c r="AHO176" s="146"/>
      <c r="AHP176" s="146"/>
      <c r="AHQ176" s="146"/>
      <c r="AHR176" s="146"/>
      <c r="AHS176" s="146"/>
      <c r="AHT176" s="146"/>
      <c r="AHU176" s="146"/>
      <c r="AHV176" s="146"/>
      <c r="AHW176" s="146"/>
      <c r="AHX176" s="146"/>
      <c r="AHY176" s="146"/>
      <c r="AHZ176" s="146"/>
      <c r="AIA176" s="146"/>
      <c r="AIB176" s="146"/>
      <c r="AIC176" s="146"/>
      <c r="AID176" s="146"/>
      <c r="AIE176" s="146"/>
      <c r="AIF176" s="146"/>
      <c r="AIG176" s="146"/>
      <c r="AIH176" s="146"/>
      <c r="AII176" s="146"/>
      <c r="AIJ176" s="146"/>
      <c r="AIK176" s="146"/>
      <c r="AIL176" s="146"/>
      <c r="AIM176" s="146"/>
      <c r="AIN176" s="146"/>
      <c r="AIO176" s="146"/>
      <c r="AIP176" s="146"/>
      <c r="AIQ176" s="146"/>
      <c r="AIR176" s="146"/>
      <c r="AIS176" s="146"/>
      <c r="AIT176" s="146"/>
      <c r="AIU176" s="146"/>
      <c r="AIV176" s="146"/>
      <c r="AIW176" s="146"/>
      <c r="AIX176" s="146"/>
      <c r="AIY176" s="146"/>
      <c r="AIZ176" s="146"/>
      <c r="AJA176" s="146"/>
      <c r="AJB176" s="146"/>
      <c r="AJC176" s="146"/>
      <c r="AJD176" s="146"/>
      <c r="AJE176" s="146"/>
      <c r="AJF176" s="146"/>
      <c r="AJG176" s="146"/>
      <c r="AJH176" s="146"/>
      <c r="AJI176" s="146"/>
      <c r="AJJ176" s="146"/>
      <c r="AJK176" s="146"/>
      <c r="AJL176" s="146"/>
      <c r="AJM176" s="146"/>
      <c r="AJN176" s="146"/>
      <c r="AJO176" s="146"/>
      <c r="AJP176" s="146"/>
      <c r="AJQ176" s="146"/>
      <c r="AJR176" s="146"/>
      <c r="AJS176" s="146"/>
      <c r="AJT176" s="146"/>
      <c r="AJU176" s="146"/>
      <c r="AJV176" s="146"/>
      <c r="AJW176" s="146"/>
      <c r="AJX176" s="146"/>
      <c r="AJY176" s="146"/>
      <c r="AJZ176" s="146"/>
      <c r="AKA176" s="146"/>
      <c r="AKB176" s="146"/>
      <c r="AKC176" s="146"/>
      <c r="AKD176" s="146"/>
      <c r="AKE176" s="146"/>
      <c r="AKF176" s="146"/>
      <c r="AKG176" s="146"/>
      <c r="AKH176" s="146"/>
      <c r="AKI176" s="146"/>
      <c r="AKJ176" s="146"/>
      <c r="AKK176" s="146"/>
      <c r="AKL176" s="146"/>
      <c r="AKM176" s="146"/>
      <c r="AKN176" s="146"/>
      <c r="AKO176" s="146"/>
      <c r="AKP176" s="146"/>
      <c r="AKQ176" s="146"/>
      <c r="AKR176" s="146"/>
      <c r="AKS176" s="146"/>
      <c r="AKT176" s="146"/>
      <c r="AKU176" s="146"/>
      <c r="AKV176" s="146"/>
      <c r="AKW176" s="146"/>
      <c r="AKX176" s="146"/>
      <c r="AKY176" s="146"/>
      <c r="AKZ176" s="146"/>
      <c r="ALA176" s="146"/>
      <c r="ALB176" s="146"/>
      <c r="ALC176" s="146"/>
      <c r="ALD176" s="146"/>
      <c r="ALE176" s="146"/>
      <c r="ALF176" s="146"/>
      <c r="ALG176" s="146"/>
      <c r="ALH176" s="146"/>
      <c r="ALI176" s="146"/>
      <c r="ALJ176" s="146"/>
      <c r="ALK176" s="146"/>
      <c r="ALL176" s="146"/>
      <c r="ALM176" s="146"/>
      <c r="ALN176" s="146"/>
      <c r="ALO176" s="146"/>
      <c r="ALP176" s="146"/>
      <c r="ALQ176" s="146"/>
      <c r="ALR176" s="146"/>
      <c r="ALS176" s="146"/>
      <c r="ALT176" s="146"/>
      <c r="ALU176" s="146"/>
      <c r="ALV176" s="146"/>
      <c r="ALW176" s="146"/>
      <c r="ALX176" s="146"/>
      <c r="ALY176" s="146"/>
      <c r="ALZ176" s="146"/>
      <c r="AMA176" s="146"/>
      <c r="AMB176" s="146"/>
      <c r="AMC176" s="146"/>
      <c r="AMD176" s="146"/>
      <c r="AME176" s="146"/>
      <c r="AMF176" s="146"/>
      <c r="AMG176" s="146"/>
      <c r="AMH176" s="146"/>
      <c r="AMI176" s="146"/>
      <c r="AMJ176" s="146"/>
      <c r="AMK176" s="146"/>
      <c r="AML176" s="146"/>
      <c r="AMM176" s="146"/>
      <c r="AMN176" s="146"/>
      <c r="AMO176" s="146"/>
      <c r="AMP176" s="146"/>
      <c r="AMQ176" s="146"/>
      <c r="AMR176" s="146"/>
      <c r="AMS176" s="146"/>
      <c r="AMT176" s="146"/>
      <c r="AMU176" s="146"/>
      <c r="AMV176" s="146"/>
      <c r="AMW176" s="146"/>
      <c r="AMX176" s="146"/>
      <c r="AMY176" s="146"/>
      <c r="AMZ176" s="146"/>
      <c r="ANA176" s="146"/>
      <c r="ANB176" s="146"/>
      <c r="ANC176" s="146"/>
      <c r="AND176" s="146"/>
      <c r="ANE176" s="146"/>
      <c r="ANF176" s="146"/>
      <c r="ANG176" s="146"/>
      <c r="ANH176" s="146"/>
      <c r="ANI176" s="146"/>
      <c r="ANJ176" s="146"/>
      <c r="ANK176" s="146"/>
      <c r="ANL176" s="146"/>
      <c r="ANM176" s="146"/>
      <c r="ANN176" s="146"/>
      <c r="ANO176" s="146"/>
      <c r="ANP176" s="146"/>
      <c r="ANQ176" s="146"/>
      <c r="ANR176" s="146"/>
      <c r="ANS176" s="146"/>
      <c r="ANT176" s="146"/>
      <c r="ANU176" s="146"/>
      <c r="ANV176" s="146"/>
      <c r="ANW176" s="146"/>
      <c r="ANX176" s="146"/>
      <c r="ANY176" s="146"/>
      <c r="ANZ176" s="146"/>
      <c r="AOA176" s="146"/>
      <c r="AOB176" s="146"/>
      <c r="AOC176" s="146"/>
      <c r="AOD176" s="146"/>
      <c r="AOE176" s="146"/>
      <c r="AOF176" s="146"/>
      <c r="AOG176" s="146"/>
      <c r="AOH176" s="146"/>
      <c r="AOI176" s="146"/>
      <c r="AOJ176" s="146"/>
      <c r="AOK176" s="146"/>
      <c r="AOL176" s="146"/>
      <c r="AOM176" s="146"/>
      <c r="AON176" s="146"/>
      <c r="AOO176" s="146"/>
      <c r="AOP176" s="146"/>
      <c r="AOQ176" s="146"/>
      <c r="AOR176" s="146"/>
      <c r="AOS176" s="146"/>
      <c r="AOT176" s="146"/>
      <c r="AOU176" s="146"/>
      <c r="AOV176" s="146"/>
      <c r="AOW176" s="146"/>
      <c r="AOX176" s="146"/>
      <c r="AOY176" s="146"/>
      <c r="AOZ176" s="146"/>
      <c r="APA176" s="146"/>
      <c r="APB176" s="146"/>
      <c r="APC176" s="146"/>
      <c r="APD176" s="146"/>
      <c r="APE176" s="146"/>
      <c r="APF176" s="146"/>
      <c r="APG176" s="146"/>
      <c r="APH176" s="146"/>
      <c r="API176" s="146"/>
      <c r="APJ176" s="146"/>
      <c r="APK176" s="146"/>
      <c r="APL176" s="146"/>
      <c r="APM176" s="146"/>
      <c r="APN176" s="146"/>
      <c r="APO176" s="146"/>
      <c r="APP176" s="146"/>
      <c r="APQ176" s="146"/>
      <c r="APR176" s="146"/>
      <c r="APS176" s="146"/>
      <c r="APT176" s="146"/>
      <c r="APU176" s="146"/>
      <c r="APV176" s="146"/>
      <c r="APW176" s="146"/>
      <c r="APX176" s="146"/>
      <c r="APY176" s="146"/>
      <c r="APZ176" s="146"/>
      <c r="AQA176" s="146"/>
      <c r="AQB176" s="146"/>
      <c r="AQC176" s="146"/>
      <c r="AQD176" s="146"/>
      <c r="AQE176" s="146"/>
      <c r="AQF176" s="146"/>
      <c r="AQG176" s="146"/>
      <c r="AQH176" s="146"/>
      <c r="AQI176" s="146"/>
      <c r="AQJ176" s="146"/>
      <c r="AQK176" s="146"/>
      <c r="AQL176" s="146"/>
      <c r="AQM176" s="146"/>
      <c r="AQN176" s="146"/>
      <c r="AQO176" s="146"/>
      <c r="AQP176" s="146"/>
      <c r="AQQ176" s="146"/>
      <c r="AQR176" s="146"/>
      <c r="AQS176" s="146"/>
      <c r="AQT176" s="146"/>
      <c r="AQU176" s="146"/>
      <c r="AQV176" s="146"/>
      <c r="AQW176" s="146"/>
      <c r="AQX176" s="146"/>
      <c r="AQY176" s="146"/>
      <c r="AQZ176" s="146"/>
      <c r="ARA176" s="146"/>
      <c r="ARB176" s="146"/>
      <c r="ARC176" s="146"/>
      <c r="ARD176" s="146"/>
      <c r="ARE176" s="146"/>
      <c r="ARF176" s="146"/>
      <c r="ARG176" s="146"/>
      <c r="ARH176" s="146"/>
      <c r="ARI176" s="146"/>
      <c r="ARJ176" s="146"/>
      <c r="ARK176" s="146"/>
      <c r="ARL176" s="146"/>
      <c r="ARM176" s="146"/>
      <c r="ARN176" s="146"/>
      <c r="ARO176" s="146"/>
      <c r="ARP176" s="146"/>
      <c r="ARQ176" s="146"/>
      <c r="ARR176" s="146"/>
      <c r="ARS176" s="146"/>
      <c r="ART176" s="146"/>
      <c r="ARU176" s="146"/>
      <c r="ARV176" s="146"/>
      <c r="ARW176" s="146"/>
      <c r="ARX176" s="146"/>
      <c r="ARY176" s="146"/>
      <c r="ARZ176" s="146"/>
      <c r="ASA176" s="146"/>
      <c r="ASB176" s="146"/>
      <c r="ASC176" s="146"/>
      <c r="ASD176" s="146"/>
      <c r="ASE176" s="146"/>
      <c r="ASF176" s="146"/>
      <c r="ASG176" s="146"/>
      <c r="ASH176" s="146"/>
      <c r="ASI176" s="146"/>
      <c r="ASJ176" s="146"/>
      <c r="ASK176" s="146"/>
      <c r="ASL176" s="146"/>
      <c r="ASM176" s="146"/>
      <c r="ASN176" s="146"/>
      <c r="ASO176" s="146"/>
      <c r="ASP176" s="146"/>
      <c r="ASQ176" s="146"/>
      <c r="ASR176" s="146"/>
      <c r="ASS176" s="146"/>
      <c r="AST176" s="146"/>
      <c r="ASU176" s="146"/>
      <c r="ASV176" s="146"/>
      <c r="ASW176" s="146"/>
      <c r="ASX176" s="146"/>
      <c r="ASY176" s="146"/>
      <c r="ASZ176" s="146"/>
      <c r="ATA176" s="146"/>
      <c r="ATB176" s="146"/>
      <c r="ATC176" s="146"/>
      <c r="ATD176" s="146"/>
      <c r="ATE176" s="146"/>
      <c r="ATF176" s="146"/>
      <c r="ATG176" s="146"/>
      <c r="ATH176" s="146"/>
      <c r="ATI176" s="146"/>
      <c r="ATJ176" s="146"/>
      <c r="ATK176" s="146"/>
      <c r="ATL176" s="146"/>
      <c r="ATM176" s="146"/>
      <c r="ATN176" s="146"/>
      <c r="ATO176" s="146"/>
      <c r="ATP176" s="146"/>
      <c r="ATQ176" s="146"/>
      <c r="ATR176" s="146"/>
      <c r="ATS176" s="146"/>
      <c r="ATT176" s="146"/>
      <c r="ATU176" s="146"/>
      <c r="ATV176" s="146"/>
      <c r="ATW176" s="146"/>
      <c r="ATX176" s="146"/>
      <c r="ATY176" s="146"/>
      <c r="ATZ176" s="146"/>
      <c r="AUA176" s="146"/>
      <c r="AUB176" s="146"/>
      <c r="AUC176" s="146"/>
      <c r="AUD176" s="146"/>
      <c r="AUE176" s="146"/>
      <c r="AUF176" s="146"/>
      <c r="AUG176" s="146"/>
      <c r="AUH176" s="146"/>
      <c r="AUI176" s="146"/>
      <c r="AUJ176" s="146"/>
      <c r="AUK176" s="146"/>
      <c r="AUL176" s="146"/>
      <c r="AUM176" s="146"/>
      <c r="AUN176" s="146"/>
      <c r="AUO176" s="146"/>
      <c r="AUP176" s="146"/>
      <c r="AUQ176" s="146"/>
      <c r="AUR176" s="146"/>
      <c r="AUS176" s="146"/>
      <c r="AUT176" s="146"/>
      <c r="AUU176" s="146"/>
      <c r="AUV176" s="146"/>
      <c r="AUW176" s="146"/>
      <c r="AUX176" s="146"/>
      <c r="AUY176" s="146"/>
      <c r="AUZ176" s="146"/>
      <c r="AVA176" s="146"/>
      <c r="AVB176" s="146"/>
      <c r="AVC176" s="146"/>
      <c r="AVD176" s="146"/>
      <c r="AVE176" s="146"/>
      <c r="AVF176" s="146"/>
      <c r="AVG176" s="146"/>
      <c r="AVH176" s="146"/>
      <c r="AVI176" s="146"/>
      <c r="AVJ176" s="146"/>
      <c r="AVK176" s="146"/>
      <c r="AVL176" s="146"/>
      <c r="AVM176" s="146"/>
      <c r="AVN176" s="146"/>
      <c r="AVO176" s="146"/>
      <c r="AVP176" s="146"/>
      <c r="AVQ176" s="146"/>
      <c r="AVR176" s="146"/>
      <c r="AVS176" s="146"/>
      <c r="AVT176" s="146"/>
      <c r="AVU176" s="146"/>
      <c r="AVV176" s="146"/>
      <c r="AVW176" s="146"/>
      <c r="AVX176" s="146"/>
      <c r="AVY176" s="146"/>
      <c r="AVZ176" s="146"/>
      <c r="AWA176" s="146"/>
      <c r="AWB176" s="146"/>
      <c r="AWC176" s="146"/>
      <c r="AWD176" s="146"/>
      <c r="AWE176" s="146"/>
      <c r="AWF176" s="146"/>
      <c r="AWG176" s="146"/>
      <c r="AWH176" s="146"/>
      <c r="AWI176" s="146"/>
      <c r="AWJ176" s="146"/>
      <c r="AWK176" s="146"/>
      <c r="AWL176" s="146"/>
      <c r="AWM176" s="146"/>
      <c r="AWN176" s="146"/>
      <c r="AWO176" s="146"/>
      <c r="AWP176" s="146"/>
      <c r="AWQ176" s="146"/>
      <c r="AWR176" s="146"/>
      <c r="AWS176" s="146"/>
      <c r="AWT176" s="146"/>
      <c r="AWU176" s="146"/>
      <c r="AWV176" s="146"/>
      <c r="AWW176" s="146"/>
      <c r="AWX176" s="146"/>
      <c r="AWY176" s="146"/>
      <c r="AWZ176" s="146"/>
      <c r="AXA176" s="146"/>
      <c r="AXB176" s="146"/>
      <c r="AXC176" s="146"/>
      <c r="AXD176" s="146"/>
      <c r="AXE176" s="146"/>
      <c r="AXF176" s="146"/>
      <c r="AXG176" s="146"/>
      <c r="AXH176" s="146"/>
      <c r="AXI176" s="146"/>
      <c r="AXJ176" s="146"/>
      <c r="AXK176" s="146"/>
      <c r="AXL176" s="146"/>
      <c r="AXM176" s="146"/>
      <c r="AXN176" s="146"/>
      <c r="AXO176" s="146"/>
      <c r="AXP176" s="146"/>
      <c r="AXQ176" s="146"/>
      <c r="AXR176" s="146"/>
      <c r="AXS176" s="146"/>
      <c r="AXT176" s="146"/>
      <c r="AXU176" s="146"/>
      <c r="AXV176" s="146"/>
      <c r="AXW176" s="146"/>
      <c r="AXX176" s="146"/>
      <c r="AXY176" s="146"/>
      <c r="AXZ176" s="146"/>
      <c r="AYA176" s="146"/>
      <c r="AYB176" s="146"/>
      <c r="AYC176" s="146"/>
      <c r="AYD176" s="146"/>
      <c r="AYE176" s="146"/>
      <c r="AYF176" s="146"/>
      <c r="AYG176" s="146"/>
      <c r="AYH176" s="146"/>
      <c r="AYI176" s="146"/>
      <c r="AYJ176" s="146"/>
      <c r="AYK176" s="146"/>
      <c r="AYL176" s="146"/>
      <c r="AYM176" s="146"/>
      <c r="AYN176" s="146"/>
      <c r="AYO176" s="146"/>
      <c r="AYP176" s="146"/>
      <c r="AYQ176" s="146"/>
      <c r="AYR176" s="146"/>
      <c r="AYS176" s="146"/>
      <c r="AYT176" s="146"/>
      <c r="AYU176" s="146"/>
      <c r="AYV176" s="146"/>
      <c r="AYW176" s="146"/>
      <c r="AYX176" s="146"/>
      <c r="AYY176" s="146"/>
      <c r="AYZ176" s="146"/>
      <c r="AZA176" s="146"/>
      <c r="AZB176" s="146"/>
      <c r="AZC176" s="146"/>
      <c r="AZD176" s="146"/>
      <c r="AZE176" s="146"/>
      <c r="AZF176" s="146"/>
      <c r="AZG176" s="146"/>
      <c r="AZH176" s="146"/>
      <c r="AZI176" s="146"/>
      <c r="AZJ176" s="146"/>
      <c r="AZK176" s="146"/>
      <c r="AZL176" s="146"/>
      <c r="AZM176" s="146"/>
      <c r="AZN176" s="146"/>
      <c r="AZO176" s="146"/>
      <c r="AZP176" s="146"/>
      <c r="AZQ176" s="146"/>
      <c r="AZR176" s="146"/>
      <c r="AZS176" s="146"/>
      <c r="AZT176" s="146"/>
      <c r="AZU176" s="146"/>
      <c r="AZV176" s="146"/>
      <c r="AZW176" s="146"/>
      <c r="AZX176" s="146"/>
      <c r="AZY176" s="146"/>
      <c r="AZZ176" s="146"/>
      <c r="BAA176" s="146"/>
      <c r="BAB176" s="146"/>
      <c r="BAC176" s="146"/>
      <c r="BAD176" s="146"/>
      <c r="BAE176" s="146"/>
      <c r="BAF176" s="146"/>
      <c r="BAG176" s="146"/>
      <c r="BAH176" s="146"/>
      <c r="BAI176" s="146"/>
      <c r="BAJ176" s="146"/>
      <c r="BAK176" s="146"/>
      <c r="BAL176" s="146"/>
      <c r="BAM176" s="146"/>
      <c r="BAN176" s="146"/>
      <c r="BAO176" s="146"/>
      <c r="BAP176" s="146"/>
      <c r="BAQ176" s="146"/>
      <c r="BAR176" s="146"/>
      <c r="BAS176" s="146"/>
      <c r="BAT176" s="146"/>
      <c r="BAU176" s="146"/>
      <c r="BAV176" s="146"/>
      <c r="BAW176" s="146"/>
      <c r="BAX176" s="146"/>
      <c r="BAY176" s="146"/>
      <c r="BAZ176" s="146"/>
      <c r="BBA176" s="146"/>
      <c r="BBB176" s="146"/>
      <c r="BBC176" s="146"/>
      <c r="BBD176" s="146"/>
      <c r="BBE176" s="146"/>
      <c r="BBF176" s="146"/>
      <c r="BBG176" s="146"/>
      <c r="BBH176" s="146"/>
      <c r="BBI176" s="146"/>
      <c r="BBJ176" s="146"/>
      <c r="BBK176" s="146"/>
      <c r="BBL176" s="146"/>
      <c r="BBM176" s="146"/>
      <c r="BBN176" s="146"/>
      <c r="BBO176" s="146"/>
      <c r="BBP176" s="146"/>
      <c r="BBQ176" s="146"/>
      <c r="BBR176" s="146"/>
      <c r="BBS176" s="146"/>
      <c r="BBT176" s="146"/>
      <c r="BBU176" s="146"/>
      <c r="BBV176" s="146"/>
      <c r="BBW176" s="146"/>
      <c r="BBX176" s="146"/>
      <c r="BBY176" s="146"/>
      <c r="BBZ176" s="146"/>
      <c r="BCA176" s="146"/>
      <c r="BCB176" s="146"/>
      <c r="BCC176" s="146"/>
      <c r="BCD176" s="146"/>
      <c r="BCE176" s="146"/>
      <c r="BCF176" s="146"/>
      <c r="BCG176" s="146"/>
      <c r="BCH176" s="146"/>
      <c r="BCI176" s="146"/>
      <c r="BCJ176" s="146"/>
      <c r="BCK176" s="146"/>
      <c r="BCL176" s="146"/>
      <c r="BCM176" s="146"/>
      <c r="BCN176" s="146"/>
      <c r="BCO176" s="146"/>
      <c r="BCP176" s="146"/>
      <c r="BCQ176" s="146"/>
      <c r="BCR176" s="146"/>
      <c r="BCS176" s="146"/>
      <c r="BCT176" s="146"/>
      <c r="BCU176" s="146"/>
      <c r="BCV176" s="146"/>
      <c r="BCW176" s="146"/>
      <c r="BCX176" s="146"/>
      <c r="BCY176" s="146"/>
      <c r="BCZ176" s="146"/>
      <c r="BDA176" s="146"/>
      <c r="BDB176" s="146"/>
      <c r="BDC176" s="146"/>
      <c r="BDD176" s="146"/>
      <c r="BDE176" s="146"/>
      <c r="BDF176" s="146"/>
      <c r="BDG176" s="146"/>
      <c r="BDH176" s="146"/>
      <c r="BDI176" s="146"/>
      <c r="BDJ176" s="146"/>
      <c r="BDK176" s="146"/>
      <c r="BDL176" s="146"/>
      <c r="BDM176" s="146"/>
      <c r="BDN176" s="146"/>
      <c r="BDO176" s="146"/>
      <c r="BDP176" s="146"/>
      <c r="BDQ176" s="146"/>
      <c r="BDR176" s="146"/>
      <c r="BDS176" s="146"/>
      <c r="BDT176" s="146"/>
      <c r="BDU176" s="146"/>
      <c r="BDV176" s="146"/>
      <c r="BDW176" s="146"/>
      <c r="BDX176" s="146"/>
      <c r="BDY176" s="146"/>
      <c r="BDZ176" s="146"/>
      <c r="BEA176" s="146"/>
      <c r="BEB176" s="146"/>
      <c r="BEC176" s="146"/>
      <c r="BED176" s="146"/>
      <c r="BEE176" s="146"/>
      <c r="BEF176" s="146"/>
      <c r="BEG176" s="146"/>
      <c r="BEH176" s="146"/>
      <c r="BEI176" s="146"/>
      <c r="BEJ176" s="146"/>
      <c r="BEK176" s="146"/>
      <c r="BEL176" s="146"/>
      <c r="BEM176" s="146"/>
      <c r="BEN176" s="146"/>
      <c r="BEO176" s="146"/>
      <c r="BEP176" s="146"/>
      <c r="BEQ176" s="146"/>
      <c r="BER176" s="146"/>
      <c r="BES176" s="146"/>
      <c r="BET176" s="146"/>
      <c r="BEU176" s="146"/>
      <c r="BEV176" s="146"/>
      <c r="BEW176" s="146"/>
      <c r="BEX176" s="146"/>
      <c r="BEY176" s="146"/>
      <c r="BEZ176" s="146"/>
      <c r="BFA176" s="146"/>
      <c r="BFB176" s="146"/>
      <c r="BFC176" s="146"/>
      <c r="BFD176" s="146"/>
      <c r="BFE176" s="146"/>
      <c r="BFF176" s="146"/>
      <c r="BFG176" s="146"/>
      <c r="BFH176" s="146"/>
      <c r="BFI176" s="146"/>
      <c r="BFJ176" s="146"/>
      <c r="BFK176" s="146"/>
      <c r="BFL176" s="146"/>
      <c r="BFM176" s="146"/>
      <c r="BFN176" s="146"/>
      <c r="BFO176" s="146"/>
      <c r="BFP176" s="146"/>
      <c r="BFQ176" s="146"/>
      <c r="BFR176" s="146"/>
      <c r="BFS176" s="146"/>
      <c r="BFT176" s="146"/>
      <c r="BFU176" s="146"/>
      <c r="BFV176" s="146"/>
      <c r="BFW176" s="146"/>
      <c r="BFX176" s="146"/>
      <c r="BFY176" s="146"/>
      <c r="BFZ176" s="146"/>
      <c r="BGA176" s="146"/>
      <c r="BGB176" s="146"/>
      <c r="BGC176" s="146"/>
      <c r="BGD176" s="146"/>
      <c r="BGE176" s="146"/>
      <c r="BGF176" s="146"/>
      <c r="BGG176" s="146"/>
      <c r="BGH176" s="146"/>
      <c r="BGI176" s="146"/>
      <c r="BGJ176" s="146"/>
      <c r="BGK176" s="146"/>
      <c r="BGL176" s="146"/>
      <c r="BGM176" s="146"/>
      <c r="BGN176" s="146"/>
      <c r="BGO176" s="146"/>
      <c r="BGP176" s="146"/>
      <c r="BGQ176" s="146"/>
      <c r="BGR176" s="146"/>
      <c r="BGS176" s="146"/>
      <c r="BGT176" s="146"/>
      <c r="BGU176" s="146"/>
      <c r="BGV176" s="146"/>
      <c r="BGW176" s="146"/>
      <c r="BGX176" s="146"/>
      <c r="BGY176" s="146"/>
      <c r="BGZ176" s="146"/>
      <c r="BHA176" s="146"/>
      <c r="BHB176" s="146"/>
      <c r="BHC176" s="146"/>
      <c r="BHD176" s="146"/>
      <c r="BHE176" s="146"/>
      <c r="BHF176" s="146"/>
      <c r="BHG176" s="146"/>
      <c r="BHH176" s="146"/>
      <c r="BHI176" s="146"/>
      <c r="BHJ176" s="146"/>
      <c r="BHK176" s="146"/>
      <c r="BHL176" s="146"/>
      <c r="BHM176" s="146"/>
      <c r="BHN176" s="146"/>
      <c r="BHO176" s="146"/>
      <c r="BHP176" s="146"/>
      <c r="BHQ176" s="146"/>
      <c r="BHR176" s="146"/>
      <c r="BHS176" s="146"/>
      <c r="BHT176" s="146"/>
      <c r="BHU176" s="146"/>
      <c r="BHV176" s="146"/>
      <c r="BHW176" s="146"/>
      <c r="BHX176" s="146"/>
      <c r="BHY176" s="146"/>
      <c r="BHZ176" s="146"/>
      <c r="BIA176" s="146"/>
      <c r="BIB176" s="146"/>
      <c r="BIC176" s="146"/>
      <c r="BID176" s="146"/>
      <c r="BIE176" s="146"/>
      <c r="BIF176" s="146"/>
      <c r="BIG176" s="146"/>
      <c r="BIH176" s="146"/>
      <c r="BII176" s="146"/>
      <c r="BIJ176" s="146"/>
      <c r="BIK176" s="146"/>
      <c r="BIL176" s="146"/>
      <c r="BIM176" s="146"/>
      <c r="BIN176" s="146"/>
      <c r="BIO176" s="146"/>
      <c r="BIP176" s="146"/>
      <c r="BIQ176" s="146"/>
      <c r="BIR176" s="146"/>
      <c r="BIS176" s="146"/>
      <c r="BIT176" s="146"/>
      <c r="BIU176" s="146"/>
      <c r="BIV176" s="146"/>
      <c r="BIW176" s="146"/>
      <c r="BIX176" s="146"/>
      <c r="BIY176" s="146"/>
      <c r="BIZ176" s="146"/>
      <c r="BJA176" s="146"/>
      <c r="BJB176" s="146"/>
      <c r="BJC176" s="146"/>
      <c r="BJD176" s="146"/>
      <c r="BJE176" s="146"/>
      <c r="BJF176" s="146"/>
      <c r="BJG176" s="146"/>
      <c r="BJH176" s="146"/>
      <c r="BJI176" s="146"/>
      <c r="BJJ176" s="146"/>
      <c r="BJK176" s="146"/>
      <c r="BJL176" s="146"/>
      <c r="BJM176" s="146"/>
      <c r="BJN176" s="146"/>
      <c r="BJO176" s="146"/>
      <c r="BJP176" s="146"/>
      <c r="BJQ176" s="146"/>
      <c r="BJR176" s="146"/>
      <c r="BJS176" s="146"/>
      <c r="BJT176" s="146"/>
      <c r="BJU176" s="146"/>
      <c r="BJV176" s="146"/>
      <c r="BJW176" s="146"/>
      <c r="BJX176" s="146"/>
      <c r="BJY176" s="146"/>
      <c r="BJZ176" s="146"/>
      <c r="BKA176" s="146"/>
      <c r="BKB176" s="146"/>
      <c r="BKC176" s="146"/>
      <c r="BKD176" s="146"/>
      <c r="BKE176" s="146"/>
      <c r="BKF176" s="146"/>
      <c r="BKG176" s="146"/>
      <c r="BKH176" s="146"/>
      <c r="BKI176" s="146"/>
      <c r="BKJ176" s="146"/>
      <c r="BKK176" s="146"/>
      <c r="BKL176" s="146"/>
      <c r="BKM176" s="146"/>
      <c r="BKN176" s="146"/>
      <c r="BKO176" s="146"/>
      <c r="BKP176" s="146"/>
      <c r="BKQ176" s="146"/>
      <c r="BKR176" s="146"/>
      <c r="BKS176" s="146"/>
      <c r="BKT176" s="146"/>
      <c r="BKU176" s="146"/>
      <c r="BKV176" s="146"/>
      <c r="BKW176" s="146"/>
      <c r="BKX176" s="146"/>
      <c r="BKY176" s="146"/>
      <c r="BKZ176" s="146"/>
      <c r="BLA176" s="146"/>
      <c r="BLB176" s="146"/>
      <c r="BLC176" s="146"/>
      <c r="BLD176" s="146"/>
      <c r="BLE176" s="146"/>
      <c r="BLF176" s="146"/>
      <c r="BLG176" s="146"/>
      <c r="BLH176" s="146"/>
      <c r="BLI176" s="146"/>
      <c r="BLJ176" s="146"/>
      <c r="BLK176" s="146"/>
      <c r="BLL176" s="146"/>
      <c r="BLM176" s="146"/>
      <c r="BLN176" s="146"/>
      <c r="BLO176" s="146"/>
      <c r="BLP176" s="146"/>
      <c r="BLQ176" s="146"/>
      <c r="BLR176" s="146"/>
      <c r="BLS176" s="146"/>
      <c r="BLT176" s="146"/>
      <c r="BLU176" s="146"/>
      <c r="BLV176" s="146"/>
      <c r="BLW176" s="146"/>
      <c r="BLX176" s="146"/>
      <c r="BLY176" s="146"/>
      <c r="BLZ176" s="146"/>
      <c r="BMA176" s="146"/>
      <c r="BMB176" s="146"/>
      <c r="BMC176" s="146"/>
      <c r="BMD176" s="146"/>
      <c r="BME176" s="146"/>
      <c r="BMF176" s="146"/>
      <c r="BMG176" s="146"/>
      <c r="BMH176" s="146"/>
      <c r="BMI176" s="146"/>
      <c r="BMJ176" s="146"/>
      <c r="BMK176" s="146"/>
      <c r="BML176" s="146"/>
      <c r="BMM176" s="146"/>
      <c r="BMN176" s="146"/>
      <c r="BMO176" s="146"/>
      <c r="BMP176" s="146"/>
      <c r="BMQ176" s="146"/>
      <c r="BMR176" s="146"/>
      <c r="BMS176" s="146"/>
      <c r="BMT176" s="146"/>
      <c r="BMU176" s="146"/>
      <c r="BMV176" s="146"/>
      <c r="BMW176" s="146"/>
      <c r="BMX176" s="146"/>
      <c r="BMY176" s="146"/>
      <c r="BMZ176" s="146"/>
      <c r="BNA176" s="146"/>
      <c r="BNB176" s="146"/>
      <c r="BNC176" s="146"/>
      <c r="BND176" s="146"/>
      <c r="BNE176" s="146"/>
      <c r="BNF176" s="146"/>
      <c r="BNG176" s="146"/>
      <c r="BNH176" s="146"/>
      <c r="BNI176" s="146"/>
      <c r="BNJ176" s="146"/>
      <c r="BNK176" s="146"/>
      <c r="BNL176" s="146"/>
      <c r="BNM176" s="146"/>
      <c r="BNN176" s="146"/>
      <c r="BNO176" s="146"/>
      <c r="BNP176" s="146"/>
      <c r="BNQ176" s="146"/>
      <c r="BNR176" s="146"/>
      <c r="BNS176" s="146"/>
      <c r="BNT176" s="146"/>
      <c r="BNU176" s="146"/>
      <c r="BNV176" s="146"/>
      <c r="BNW176" s="146"/>
      <c r="BNX176" s="146"/>
      <c r="BNY176" s="146"/>
      <c r="BNZ176" s="146"/>
      <c r="BOA176" s="146"/>
      <c r="BOB176" s="146"/>
      <c r="BOC176" s="146"/>
      <c r="BOD176" s="146"/>
      <c r="BOE176" s="146"/>
      <c r="BOF176" s="146"/>
      <c r="BOG176" s="146"/>
      <c r="BOH176" s="146"/>
      <c r="BOI176" s="146"/>
      <c r="BOJ176" s="146"/>
      <c r="BOK176" s="146"/>
      <c r="BOL176" s="146"/>
      <c r="BOM176" s="146"/>
      <c r="BON176" s="146"/>
      <c r="BOO176" s="146"/>
      <c r="BOP176" s="146"/>
      <c r="BOQ176" s="146"/>
      <c r="BOR176" s="146"/>
      <c r="BOS176" s="146"/>
      <c r="BOT176" s="146"/>
      <c r="BOU176" s="146"/>
      <c r="BOV176" s="146"/>
      <c r="BOW176" s="146"/>
      <c r="BOX176" s="146"/>
      <c r="BOY176" s="146"/>
      <c r="BOZ176" s="146"/>
      <c r="BPA176" s="146"/>
      <c r="BPB176" s="146"/>
      <c r="BPC176" s="146"/>
      <c r="BPD176" s="146"/>
      <c r="BPE176" s="146"/>
      <c r="BPF176" s="146"/>
      <c r="BPG176" s="146"/>
      <c r="BPH176" s="146"/>
      <c r="BPI176" s="146"/>
      <c r="BPJ176" s="146"/>
      <c r="BPK176" s="146"/>
      <c r="BPL176" s="146"/>
      <c r="BPM176" s="146"/>
      <c r="BPN176" s="146"/>
      <c r="BPO176" s="146"/>
      <c r="BPP176" s="146"/>
      <c r="BPQ176" s="146"/>
      <c r="BPR176" s="146"/>
      <c r="BPS176" s="146"/>
      <c r="BPT176" s="146"/>
      <c r="BPU176" s="146"/>
      <c r="BPV176" s="146"/>
      <c r="BPW176" s="146"/>
      <c r="BPX176" s="146"/>
      <c r="BPY176" s="146"/>
      <c r="BPZ176" s="146"/>
      <c r="BQA176" s="146"/>
      <c r="BQB176" s="146"/>
      <c r="BQC176" s="146"/>
      <c r="BQD176" s="146"/>
      <c r="BQE176" s="146"/>
      <c r="BQF176" s="146"/>
      <c r="BQG176" s="146"/>
      <c r="BQH176" s="146"/>
      <c r="BQI176" s="146"/>
      <c r="BQJ176" s="146"/>
      <c r="BQK176" s="146"/>
      <c r="BQL176" s="146"/>
      <c r="BQM176" s="146"/>
      <c r="BQN176" s="146"/>
      <c r="BQO176" s="146"/>
      <c r="BQP176" s="146"/>
      <c r="BQQ176" s="146"/>
      <c r="BQR176" s="146"/>
      <c r="BQS176" s="146"/>
      <c r="BQT176" s="146"/>
      <c r="BQU176" s="146"/>
      <c r="BQV176" s="146"/>
      <c r="BQW176" s="146"/>
      <c r="BQX176" s="146"/>
      <c r="BQY176" s="146"/>
      <c r="BQZ176" s="146"/>
      <c r="BRA176" s="146"/>
      <c r="BRB176" s="146"/>
      <c r="BRC176" s="146"/>
      <c r="BRD176" s="146"/>
      <c r="BRE176" s="146"/>
      <c r="BRF176" s="146"/>
      <c r="BRG176" s="146"/>
      <c r="BRH176" s="146"/>
      <c r="BRI176" s="146"/>
      <c r="BRJ176" s="146"/>
      <c r="BRK176" s="146"/>
      <c r="BRL176" s="146"/>
      <c r="BRM176" s="146"/>
      <c r="BRN176" s="146"/>
      <c r="BRO176" s="146"/>
      <c r="BRP176" s="146"/>
      <c r="BRQ176" s="146"/>
      <c r="BRR176" s="146"/>
      <c r="BRS176" s="146"/>
      <c r="BRT176" s="146"/>
      <c r="BRU176" s="146"/>
      <c r="BRV176" s="146"/>
      <c r="BRW176" s="146"/>
      <c r="BRX176" s="146"/>
      <c r="BRY176" s="146"/>
      <c r="BRZ176" s="146"/>
      <c r="BSA176" s="146"/>
      <c r="BSB176" s="146"/>
      <c r="BSC176" s="146"/>
      <c r="BSD176" s="146"/>
      <c r="BSE176" s="146"/>
      <c r="BSF176" s="146"/>
      <c r="BSG176" s="146"/>
      <c r="BSH176" s="146"/>
      <c r="BSI176" s="146"/>
      <c r="BSJ176" s="146"/>
      <c r="BSK176" s="146"/>
      <c r="BSL176" s="146"/>
      <c r="BSM176" s="146"/>
      <c r="BSN176" s="146"/>
      <c r="BSO176" s="146"/>
      <c r="BSP176" s="146"/>
      <c r="BSQ176" s="146"/>
      <c r="BSR176" s="146"/>
      <c r="BSS176" s="146"/>
      <c r="BST176" s="146"/>
      <c r="BSU176" s="146"/>
      <c r="BSV176" s="146"/>
      <c r="BSW176" s="146"/>
      <c r="BSX176" s="146"/>
      <c r="BSY176" s="146"/>
      <c r="BSZ176" s="146"/>
      <c r="BTA176" s="146"/>
      <c r="BTB176" s="146"/>
      <c r="BTC176" s="146"/>
      <c r="BTD176" s="146"/>
      <c r="BTE176" s="146"/>
      <c r="BTF176" s="146"/>
      <c r="BTG176" s="146"/>
      <c r="BTH176" s="146"/>
      <c r="BTI176" s="146"/>
      <c r="BTJ176" s="146"/>
      <c r="BTK176" s="146"/>
      <c r="BTL176" s="146"/>
      <c r="BTM176" s="146"/>
      <c r="BTN176" s="146"/>
      <c r="BTO176" s="146"/>
      <c r="BTP176" s="146"/>
      <c r="BTQ176" s="146"/>
      <c r="BTR176" s="146"/>
      <c r="BTS176" s="146"/>
      <c r="BTT176" s="146"/>
      <c r="BTU176" s="146"/>
      <c r="BTV176" s="146"/>
      <c r="BTW176" s="146"/>
      <c r="BTX176" s="146"/>
      <c r="BTY176" s="146"/>
      <c r="BTZ176" s="146"/>
      <c r="BUA176" s="146"/>
      <c r="BUB176" s="146"/>
      <c r="BUC176" s="146"/>
      <c r="BUD176" s="146"/>
      <c r="BUE176" s="146"/>
      <c r="BUF176" s="146"/>
      <c r="BUG176" s="146"/>
      <c r="BUH176" s="146"/>
      <c r="BUI176" s="146"/>
      <c r="BUJ176" s="146"/>
      <c r="BUK176" s="146"/>
      <c r="BUL176" s="146"/>
      <c r="BUM176" s="146"/>
      <c r="BUN176" s="146"/>
      <c r="BUO176" s="146"/>
      <c r="BUP176" s="146"/>
      <c r="BUQ176" s="146"/>
      <c r="BUR176" s="146"/>
      <c r="BUS176" s="146"/>
      <c r="BUT176" s="146"/>
      <c r="BUU176" s="146"/>
      <c r="BUV176" s="146"/>
      <c r="BUW176" s="146"/>
      <c r="BUX176" s="146"/>
      <c r="BUY176" s="146"/>
      <c r="BUZ176" s="146"/>
      <c r="BVA176" s="146"/>
      <c r="BVB176" s="146"/>
      <c r="BVC176" s="146"/>
      <c r="BVD176" s="146"/>
      <c r="BVE176" s="146"/>
      <c r="BVF176" s="146"/>
      <c r="BVG176" s="146"/>
      <c r="BVH176" s="146"/>
      <c r="BVI176" s="146"/>
      <c r="BVJ176" s="146"/>
      <c r="BVK176" s="146"/>
      <c r="BVL176" s="146"/>
      <c r="BVM176" s="146"/>
      <c r="BVN176" s="146"/>
      <c r="BVO176" s="146"/>
      <c r="BVP176" s="146"/>
      <c r="BVQ176" s="146"/>
      <c r="BVR176" s="146"/>
      <c r="BVS176" s="146"/>
      <c r="BVT176" s="146"/>
      <c r="BVU176" s="146"/>
      <c r="BVV176" s="146"/>
      <c r="BVW176" s="146"/>
      <c r="BVX176" s="146"/>
      <c r="BVY176" s="146"/>
      <c r="BVZ176" s="146"/>
      <c r="BWA176" s="146"/>
      <c r="BWB176" s="146"/>
      <c r="BWC176" s="146"/>
      <c r="BWD176" s="146"/>
      <c r="BWE176" s="146"/>
      <c r="BWF176" s="146"/>
      <c r="BWG176" s="146"/>
      <c r="BWH176" s="146"/>
      <c r="BWI176" s="146"/>
      <c r="BWJ176" s="146"/>
      <c r="BWK176" s="146"/>
      <c r="BWL176" s="146"/>
      <c r="BWM176" s="146"/>
      <c r="BWN176" s="146"/>
      <c r="BWO176" s="146"/>
      <c r="BWP176" s="146"/>
      <c r="BWQ176" s="146"/>
      <c r="BWR176" s="146"/>
      <c r="BWS176" s="146"/>
      <c r="BWT176" s="146"/>
      <c r="BWU176" s="146"/>
      <c r="BWV176" s="146"/>
      <c r="BWW176" s="146"/>
      <c r="BWX176" s="146"/>
      <c r="BWY176" s="146"/>
      <c r="BWZ176" s="146"/>
      <c r="BXA176" s="146"/>
      <c r="BXB176" s="146"/>
      <c r="BXC176" s="146"/>
      <c r="BXD176" s="146"/>
      <c r="BXE176" s="146"/>
      <c r="BXF176" s="146"/>
      <c r="BXG176" s="146"/>
      <c r="BXH176" s="146"/>
      <c r="BXI176" s="146"/>
      <c r="BXJ176" s="146"/>
      <c r="BXK176" s="146"/>
      <c r="BXL176" s="146"/>
      <c r="BXM176" s="146"/>
      <c r="BXN176" s="146"/>
      <c r="BXO176" s="146"/>
      <c r="BXP176" s="146"/>
      <c r="BXQ176" s="146"/>
      <c r="BXR176" s="146"/>
      <c r="BXS176" s="146"/>
      <c r="BXT176" s="146"/>
      <c r="BXU176" s="146"/>
      <c r="BXV176" s="146"/>
      <c r="BXW176" s="146"/>
      <c r="BXX176" s="146"/>
      <c r="BXY176" s="146"/>
      <c r="BXZ176" s="146"/>
      <c r="BYA176" s="146"/>
      <c r="BYB176" s="146"/>
      <c r="BYC176" s="146"/>
      <c r="BYD176" s="146"/>
      <c r="BYE176" s="146"/>
      <c r="BYF176" s="146"/>
      <c r="BYG176" s="146"/>
      <c r="BYH176" s="146"/>
      <c r="BYI176" s="146"/>
      <c r="BYJ176" s="146"/>
      <c r="BYK176" s="146"/>
      <c r="BYL176" s="146"/>
      <c r="BYM176" s="146"/>
      <c r="BYN176" s="146"/>
      <c r="BYO176" s="146"/>
      <c r="BYP176" s="146"/>
      <c r="BYQ176" s="146"/>
      <c r="BYR176" s="146"/>
      <c r="BYS176" s="146"/>
      <c r="BYT176" s="146"/>
      <c r="BYU176" s="146"/>
      <c r="BYV176" s="146"/>
      <c r="BYW176" s="146"/>
      <c r="BYX176" s="146"/>
      <c r="BYY176" s="146"/>
      <c r="BYZ176" s="146"/>
      <c r="BZA176" s="146"/>
      <c r="BZB176" s="146"/>
      <c r="BZC176" s="146"/>
      <c r="BZD176" s="146"/>
      <c r="BZE176" s="146"/>
      <c r="BZF176" s="146"/>
      <c r="BZG176" s="146"/>
      <c r="BZH176" s="146"/>
      <c r="BZI176" s="146"/>
      <c r="BZJ176" s="146"/>
      <c r="BZK176" s="146"/>
      <c r="BZL176" s="146"/>
      <c r="BZM176" s="146"/>
      <c r="BZN176" s="146"/>
      <c r="BZO176" s="146"/>
      <c r="BZP176" s="146"/>
      <c r="BZQ176" s="146"/>
      <c r="BZR176" s="146"/>
      <c r="BZS176" s="146"/>
      <c r="BZT176" s="146"/>
      <c r="BZU176" s="146"/>
      <c r="BZV176" s="146"/>
      <c r="BZW176" s="146"/>
      <c r="BZX176" s="146"/>
      <c r="BZY176" s="146"/>
      <c r="BZZ176" s="146"/>
      <c r="CAA176" s="146"/>
      <c r="CAB176" s="146"/>
      <c r="CAC176" s="146"/>
      <c r="CAD176" s="146"/>
      <c r="CAE176" s="146"/>
      <c r="CAF176" s="146"/>
      <c r="CAG176" s="146"/>
      <c r="CAH176" s="146"/>
      <c r="CAI176" s="146"/>
      <c r="CAJ176" s="146"/>
      <c r="CAK176" s="146"/>
      <c r="CAL176" s="146"/>
      <c r="CAM176" s="146"/>
      <c r="CAN176" s="146"/>
      <c r="CAO176" s="146"/>
      <c r="CAP176" s="146"/>
      <c r="CAQ176" s="146"/>
      <c r="CAR176" s="146"/>
      <c r="CAS176" s="146"/>
      <c r="CAT176" s="146"/>
      <c r="CAU176" s="146"/>
      <c r="CAV176" s="146"/>
      <c r="CAW176" s="146"/>
      <c r="CAX176" s="146"/>
      <c r="CAY176" s="146"/>
      <c r="CAZ176" s="146"/>
      <c r="CBA176" s="146"/>
      <c r="CBB176" s="146"/>
      <c r="CBC176" s="146"/>
      <c r="CBD176" s="146"/>
      <c r="CBE176" s="146"/>
      <c r="CBF176" s="146"/>
      <c r="CBG176" s="146"/>
      <c r="CBH176" s="146"/>
      <c r="CBI176" s="146"/>
      <c r="CBJ176" s="146"/>
      <c r="CBK176" s="146"/>
      <c r="CBL176" s="146"/>
      <c r="CBM176" s="146"/>
      <c r="CBN176" s="146"/>
      <c r="CBO176" s="146"/>
      <c r="CBP176" s="146"/>
      <c r="CBQ176" s="146"/>
      <c r="CBR176" s="146"/>
      <c r="CBS176" s="146"/>
      <c r="CBT176" s="146"/>
      <c r="CBU176" s="146"/>
      <c r="CBV176" s="146"/>
      <c r="CBW176" s="146"/>
      <c r="CBX176" s="146"/>
      <c r="CBY176" s="146"/>
      <c r="CBZ176" s="146"/>
      <c r="CCA176" s="146"/>
      <c r="CCB176" s="146"/>
      <c r="CCC176" s="146"/>
      <c r="CCD176" s="146"/>
      <c r="CCE176" s="146"/>
      <c r="CCF176" s="146"/>
      <c r="CCG176" s="146"/>
      <c r="CCH176" s="146"/>
      <c r="CCI176" s="146"/>
      <c r="CCJ176" s="146"/>
      <c r="CCK176" s="146"/>
      <c r="CCL176" s="146"/>
      <c r="CCM176" s="146"/>
      <c r="CCN176" s="146"/>
      <c r="CCO176" s="146"/>
      <c r="CCP176" s="146"/>
      <c r="CCQ176" s="146"/>
      <c r="CCR176" s="146"/>
      <c r="CCS176" s="146"/>
      <c r="CCT176" s="146"/>
      <c r="CCU176" s="146"/>
      <c r="CCV176" s="146"/>
      <c r="CCW176" s="146"/>
      <c r="CCX176" s="146"/>
      <c r="CCY176" s="146"/>
      <c r="CCZ176" s="146"/>
      <c r="CDA176" s="146"/>
      <c r="CDB176" s="146"/>
      <c r="CDC176" s="146"/>
      <c r="CDD176" s="146"/>
      <c r="CDE176" s="146"/>
      <c r="CDF176" s="146"/>
      <c r="CDG176" s="146"/>
      <c r="CDH176" s="146"/>
      <c r="CDI176" s="146"/>
      <c r="CDJ176" s="146"/>
      <c r="CDK176" s="146"/>
      <c r="CDL176" s="146"/>
      <c r="CDM176" s="146"/>
      <c r="CDN176" s="146"/>
      <c r="CDO176" s="146"/>
      <c r="CDP176" s="146"/>
      <c r="CDQ176" s="146"/>
      <c r="CDR176" s="146"/>
      <c r="CDS176" s="146"/>
      <c r="CDT176" s="146"/>
      <c r="CDU176" s="146"/>
      <c r="CDV176" s="146"/>
      <c r="CDW176" s="146"/>
      <c r="CDX176" s="146"/>
      <c r="CDY176" s="146"/>
      <c r="CDZ176" s="146"/>
      <c r="CEA176" s="146"/>
      <c r="CEB176" s="146"/>
      <c r="CEC176" s="146"/>
      <c r="CED176" s="146"/>
      <c r="CEE176" s="146"/>
      <c r="CEF176" s="146"/>
      <c r="CEG176" s="146"/>
      <c r="CEH176" s="146"/>
      <c r="CEI176" s="146"/>
      <c r="CEJ176" s="146"/>
      <c r="CEK176" s="146"/>
      <c r="CEL176" s="146"/>
      <c r="CEM176" s="146"/>
      <c r="CEN176" s="146"/>
      <c r="CEO176" s="146"/>
      <c r="CEP176" s="146"/>
      <c r="CEQ176" s="146"/>
      <c r="CER176" s="146"/>
      <c r="CES176" s="146"/>
      <c r="CET176" s="146"/>
      <c r="CEU176" s="146"/>
      <c r="CEV176" s="146"/>
      <c r="CEW176" s="146"/>
      <c r="CEX176" s="146"/>
      <c r="CEY176" s="146"/>
      <c r="CEZ176" s="146"/>
      <c r="CFA176" s="146"/>
      <c r="CFB176" s="146"/>
      <c r="CFC176" s="146"/>
      <c r="CFD176" s="146"/>
      <c r="CFE176" s="146"/>
      <c r="CFF176" s="146"/>
      <c r="CFG176" s="146"/>
      <c r="CFH176" s="146"/>
      <c r="CFI176" s="146"/>
      <c r="CFJ176" s="146"/>
      <c r="CFK176" s="146"/>
      <c r="CFL176" s="146"/>
      <c r="CFM176" s="146"/>
      <c r="CFN176" s="146"/>
      <c r="CFO176" s="146"/>
      <c r="CFP176" s="146"/>
      <c r="CFQ176" s="146"/>
      <c r="CFR176" s="146"/>
      <c r="CFS176" s="146"/>
      <c r="CFT176" s="146"/>
      <c r="CFU176" s="146"/>
      <c r="CFV176" s="146"/>
      <c r="CFW176" s="146"/>
      <c r="CFX176" s="146"/>
      <c r="CFY176" s="146"/>
      <c r="CFZ176" s="146"/>
      <c r="CGA176" s="146"/>
      <c r="CGB176" s="146"/>
      <c r="CGC176" s="146"/>
      <c r="CGD176" s="146"/>
      <c r="CGE176" s="146"/>
      <c r="CGF176" s="146"/>
      <c r="CGG176" s="146"/>
      <c r="CGH176" s="146"/>
      <c r="CGI176" s="146"/>
      <c r="CGJ176" s="146"/>
      <c r="CGK176" s="146"/>
      <c r="CGL176" s="146"/>
      <c r="CGM176" s="146"/>
      <c r="CGN176" s="146"/>
      <c r="CGO176" s="146"/>
      <c r="CGP176" s="146"/>
      <c r="CGQ176" s="146"/>
      <c r="CGR176" s="146"/>
      <c r="CGS176" s="146"/>
      <c r="CGT176" s="146"/>
      <c r="CGU176" s="146"/>
      <c r="CGV176" s="146"/>
      <c r="CGW176" s="146"/>
      <c r="CGX176" s="146"/>
      <c r="CGY176" s="146"/>
      <c r="CGZ176" s="146"/>
      <c r="CHA176" s="146"/>
      <c r="CHB176" s="146"/>
      <c r="CHC176" s="146"/>
      <c r="CHD176" s="146"/>
      <c r="CHE176" s="146"/>
      <c r="CHF176" s="146"/>
      <c r="CHG176" s="146"/>
      <c r="CHH176" s="146"/>
      <c r="CHI176" s="146"/>
      <c r="CHJ176" s="146"/>
      <c r="CHK176" s="146"/>
      <c r="CHL176" s="146"/>
      <c r="CHM176" s="146"/>
      <c r="CHN176" s="146"/>
      <c r="CHO176" s="146"/>
      <c r="CHP176" s="146"/>
      <c r="CHQ176" s="146"/>
      <c r="CHR176" s="146"/>
      <c r="CHS176" s="146"/>
      <c r="CHT176" s="146"/>
      <c r="CHU176" s="146"/>
      <c r="CHV176" s="146"/>
      <c r="CHW176" s="146"/>
      <c r="CHX176" s="146"/>
      <c r="CHY176" s="146"/>
      <c r="CHZ176" s="146"/>
      <c r="CIA176" s="146"/>
      <c r="CIB176" s="146"/>
      <c r="CIC176" s="146"/>
      <c r="CID176" s="146"/>
      <c r="CIE176" s="146"/>
      <c r="CIF176" s="146"/>
      <c r="CIG176" s="146"/>
      <c r="CIH176" s="146"/>
      <c r="CII176" s="146"/>
      <c r="CIJ176" s="146"/>
      <c r="CIK176" s="146"/>
      <c r="CIL176" s="146"/>
      <c r="CIM176" s="146"/>
      <c r="CIN176" s="146"/>
      <c r="CIO176" s="146"/>
      <c r="CIP176" s="146"/>
      <c r="CIQ176" s="146"/>
      <c r="CIR176" s="146"/>
      <c r="CIS176" s="146"/>
      <c r="CIT176" s="146"/>
      <c r="CIU176" s="146"/>
      <c r="CIV176" s="146"/>
      <c r="CIW176" s="146"/>
      <c r="CIX176" s="146"/>
      <c r="CIY176" s="146"/>
      <c r="CIZ176" s="146"/>
      <c r="CJA176" s="146"/>
      <c r="CJB176" s="146"/>
      <c r="CJC176" s="146"/>
      <c r="CJD176" s="146"/>
      <c r="CJE176" s="146"/>
      <c r="CJF176" s="146"/>
      <c r="CJG176" s="146"/>
      <c r="CJH176" s="146"/>
      <c r="CJI176" s="146"/>
      <c r="CJJ176" s="146"/>
      <c r="CJK176" s="146"/>
      <c r="CJL176" s="146"/>
      <c r="CJM176" s="146"/>
      <c r="CJN176" s="146"/>
      <c r="CJO176" s="146"/>
      <c r="CJP176" s="146"/>
      <c r="CJQ176" s="146"/>
      <c r="CJR176" s="146"/>
      <c r="CJS176" s="146"/>
      <c r="CJT176" s="146"/>
      <c r="CJU176" s="146"/>
      <c r="CJV176" s="146"/>
      <c r="CJW176" s="146"/>
      <c r="CJX176" s="146"/>
      <c r="CJY176" s="146"/>
      <c r="CJZ176" s="146"/>
      <c r="CKA176" s="146"/>
      <c r="CKB176" s="146"/>
      <c r="CKC176" s="146"/>
      <c r="CKD176" s="146"/>
      <c r="CKE176" s="146"/>
      <c r="CKF176" s="146"/>
      <c r="CKG176" s="146"/>
      <c r="CKH176" s="146"/>
      <c r="CKI176" s="146"/>
      <c r="CKJ176" s="146"/>
      <c r="CKK176" s="146"/>
      <c r="CKL176" s="146"/>
      <c r="CKM176" s="146"/>
      <c r="CKN176" s="146"/>
      <c r="CKO176" s="146"/>
      <c r="CKP176" s="146"/>
      <c r="CKQ176" s="146"/>
      <c r="CKR176" s="146"/>
      <c r="CKS176" s="146"/>
      <c r="CKT176" s="146"/>
      <c r="CKU176" s="146"/>
      <c r="CKV176" s="146"/>
      <c r="CKW176" s="146"/>
      <c r="CKX176" s="146"/>
      <c r="CKY176" s="146"/>
      <c r="CKZ176" s="146"/>
      <c r="CLA176" s="146"/>
      <c r="CLB176" s="146"/>
      <c r="CLC176" s="146"/>
      <c r="CLD176" s="146"/>
      <c r="CLE176" s="146"/>
      <c r="CLF176" s="146"/>
      <c r="CLG176" s="146"/>
      <c r="CLH176" s="146"/>
      <c r="CLI176" s="146"/>
      <c r="CLJ176" s="146"/>
      <c r="CLK176" s="146"/>
      <c r="CLL176" s="146"/>
      <c r="CLM176" s="146"/>
      <c r="CLN176" s="146"/>
      <c r="CLO176" s="146"/>
      <c r="CLP176" s="146"/>
      <c r="CLQ176" s="146"/>
      <c r="CLR176" s="146"/>
      <c r="CLS176" s="146"/>
      <c r="CLT176" s="146"/>
      <c r="CLU176" s="146"/>
      <c r="CLV176" s="146"/>
      <c r="CLW176" s="146"/>
      <c r="CLX176" s="146"/>
      <c r="CLY176" s="146"/>
      <c r="CLZ176" s="146"/>
      <c r="CMA176" s="146"/>
      <c r="CMB176" s="146"/>
      <c r="CMC176" s="146"/>
      <c r="CMD176" s="146"/>
      <c r="CME176" s="146"/>
      <c r="CMF176" s="146"/>
      <c r="CMG176" s="146"/>
      <c r="CMH176" s="146"/>
      <c r="CMI176" s="146"/>
      <c r="CMJ176" s="146"/>
      <c r="CMK176" s="146"/>
      <c r="CML176" s="146"/>
      <c r="CMM176" s="146"/>
      <c r="CMN176" s="146"/>
      <c r="CMO176" s="146"/>
      <c r="CMP176" s="146"/>
      <c r="CMQ176" s="146"/>
      <c r="CMR176" s="146"/>
      <c r="CMS176" s="146"/>
      <c r="CMT176" s="146"/>
      <c r="CMU176" s="146"/>
      <c r="CMV176" s="146"/>
      <c r="CMW176" s="146"/>
      <c r="CMX176" s="146"/>
      <c r="CMY176" s="146"/>
      <c r="CMZ176" s="146"/>
      <c r="CNA176" s="146"/>
      <c r="CNB176" s="146"/>
      <c r="CNC176" s="146"/>
      <c r="CND176" s="146"/>
      <c r="CNE176" s="146"/>
      <c r="CNF176" s="146"/>
      <c r="CNG176" s="146"/>
      <c r="CNH176" s="146"/>
      <c r="CNI176" s="146"/>
      <c r="CNJ176" s="146"/>
      <c r="CNK176" s="146"/>
      <c r="CNL176" s="146"/>
      <c r="CNM176" s="146"/>
      <c r="CNN176" s="146"/>
      <c r="CNO176" s="146"/>
      <c r="CNP176" s="146"/>
      <c r="CNQ176" s="146"/>
      <c r="CNR176" s="146"/>
      <c r="CNS176" s="146"/>
      <c r="CNT176" s="146"/>
      <c r="CNU176" s="146"/>
      <c r="CNV176" s="146"/>
      <c r="CNW176" s="146"/>
      <c r="CNX176" s="146"/>
      <c r="CNY176" s="146"/>
      <c r="CNZ176" s="146"/>
      <c r="COA176" s="146"/>
      <c r="COB176" s="146"/>
      <c r="COC176" s="146"/>
      <c r="COD176" s="146"/>
      <c r="COE176" s="146"/>
      <c r="COF176" s="146"/>
      <c r="COG176" s="146"/>
      <c r="COH176" s="146"/>
      <c r="COI176" s="146"/>
      <c r="COJ176" s="146"/>
      <c r="COK176" s="146"/>
      <c r="COL176" s="146"/>
      <c r="COM176" s="146"/>
      <c r="CON176" s="146"/>
      <c r="COO176" s="146"/>
      <c r="COP176" s="146"/>
      <c r="COQ176" s="146"/>
      <c r="COR176" s="146"/>
      <c r="COS176" s="146"/>
      <c r="COT176" s="146"/>
      <c r="COU176" s="146"/>
      <c r="COV176" s="146"/>
      <c r="COW176" s="146"/>
      <c r="COX176" s="146"/>
      <c r="COY176" s="146"/>
      <c r="COZ176" s="146"/>
      <c r="CPA176" s="146"/>
      <c r="CPB176" s="146"/>
      <c r="CPC176" s="146"/>
      <c r="CPD176" s="146"/>
      <c r="CPE176" s="146"/>
      <c r="CPF176" s="146"/>
      <c r="CPG176" s="146"/>
      <c r="CPH176" s="146"/>
      <c r="CPI176" s="146"/>
      <c r="CPJ176" s="146"/>
      <c r="CPK176" s="146"/>
      <c r="CPL176" s="146"/>
      <c r="CPM176" s="146"/>
      <c r="CPN176" s="146"/>
      <c r="CPO176" s="146"/>
      <c r="CPP176" s="146"/>
      <c r="CPQ176" s="146"/>
      <c r="CPR176" s="146"/>
      <c r="CPS176" s="146"/>
      <c r="CPT176" s="146"/>
      <c r="CPU176" s="146"/>
      <c r="CPV176" s="146"/>
      <c r="CPW176" s="146"/>
      <c r="CPX176" s="146"/>
      <c r="CPY176" s="146"/>
      <c r="CPZ176" s="146"/>
      <c r="CQA176" s="146"/>
      <c r="CQB176" s="146"/>
      <c r="CQC176" s="146"/>
      <c r="CQD176" s="146"/>
      <c r="CQE176" s="146"/>
      <c r="CQF176" s="146"/>
      <c r="CQG176" s="146"/>
      <c r="CQH176" s="146"/>
      <c r="CQI176" s="146"/>
      <c r="CQJ176" s="146"/>
      <c r="CQK176" s="146"/>
      <c r="CQL176" s="146"/>
      <c r="CQM176" s="146"/>
      <c r="CQN176" s="146"/>
      <c r="CQO176" s="146"/>
      <c r="CQP176" s="146"/>
      <c r="CQQ176" s="146"/>
      <c r="CQR176" s="146"/>
      <c r="CQS176" s="146"/>
      <c r="CQT176" s="146"/>
      <c r="CQU176" s="146"/>
      <c r="CQV176" s="146"/>
      <c r="CQW176" s="146"/>
      <c r="CQX176" s="146"/>
      <c r="CQY176" s="146"/>
      <c r="CQZ176" s="146"/>
      <c r="CRA176" s="146"/>
      <c r="CRB176" s="146"/>
      <c r="CRC176" s="146"/>
      <c r="CRD176" s="146"/>
      <c r="CRE176" s="146"/>
      <c r="CRF176" s="146"/>
      <c r="CRG176" s="146"/>
      <c r="CRH176" s="146"/>
      <c r="CRI176" s="146"/>
      <c r="CRJ176" s="146"/>
      <c r="CRK176" s="146"/>
      <c r="CRL176" s="146"/>
      <c r="CRM176" s="146"/>
      <c r="CRN176" s="146"/>
      <c r="CRO176" s="146"/>
      <c r="CRP176" s="146"/>
      <c r="CRQ176" s="146"/>
      <c r="CRR176" s="146"/>
      <c r="CRS176" s="146"/>
      <c r="CRT176" s="146"/>
      <c r="CRU176" s="146"/>
      <c r="CRV176" s="146"/>
      <c r="CRW176" s="146"/>
      <c r="CRX176" s="146"/>
      <c r="CRY176" s="146"/>
      <c r="CRZ176" s="146"/>
      <c r="CSA176" s="146"/>
      <c r="CSB176" s="146"/>
      <c r="CSC176" s="146"/>
      <c r="CSD176" s="146"/>
      <c r="CSE176" s="146"/>
      <c r="CSF176" s="146"/>
      <c r="CSG176" s="146"/>
      <c r="CSH176" s="146"/>
      <c r="CSI176" s="146"/>
      <c r="CSJ176" s="146"/>
      <c r="CSK176" s="146"/>
      <c r="CSL176" s="146"/>
      <c r="CSM176" s="146"/>
      <c r="CSN176" s="146"/>
      <c r="CSO176" s="146"/>
      <c r="CSP176" s="146"/>
      <c r="CSQ176" s="146"/>
      <c r="CSR176" s="146"/>
      <c r="CSS176" s="146"/>
      <c r="CST176" s="146"/>
      <c r="CSU176" s="146"/>
      <c r="CSV176" s="146"/>
      <c r="CSW176" s="146"/>
      <c r="CSX176" s="146"/>
      <c r="CSY176" s="146"/>
      <c r="CSZ176" s="146"/>
      <c r="CTA176" s="146"/>
      <c r="CTB176" s="146"/>
      <c r="CTC176" s="146"/>
      <c r="CTD176" s="146"/>
      <c r="CTE176" s="146"/>
      <c r="CTF176" s="146"/>
      <c r="CTG176" s="146"/>
      <c r="CTH176" s="146"/>
      <c r="CTI176" s="146"/>
      <c r="CTJ176" s="146"/>
      <c r="CTK176" s="146"/>
      <c r="CTL176" s="146"/>
      <c r="CTM176" s="146"/>
      <c r="CTN176" s="146"/>
      <c r="CTO176" s="146"/>
      <c r="CTP176" s="146"/>
      <c r="CTQ176" s="146"/>
      <c r="CTR176" s="146"/>
      <c r="CTS176" s="146"/>
      <c r="CTT176" s="146"/>
      <c r="CTU176" s="146"/>
      <c r="CTV176" s="146"/>
      <c r="CTW176" s="146"/>
      <c r="CTX176" s="146"/>
      <c r="CTY176" s="146"/>
      <c r="CTZ176" s="146"/>
      <c r="CUA176" s="146"/>
      <c r="CUB176" s="146"/>
      <c r="CUC176" s="146"/>
      <c r="CUD176" s="146"/>
      <c r="CUE176" s="146"/>
      <c r="CUF176" s="146"/>
      <c r="CUG176" s="146"/>
      <c r="CUH176" s="146"/>
      <c r="CUI176" s="146"/>
      <c r="CUJ176" s="146"/>
      <c r="CUK176" s="146"/>
      <c r="CUL176" s="146"/>
      <c r="CUM176" s="146"/>
      <c r="CUN176" s="146"/>
      <c r="CUO176" s="146"/>
      <c r="CUP176" s="146"/>
      <c r="CUQ176" s="146"/>
      <c r="CUR176" s="146"/>
      <c r="CUS176" s="146"/>
      <c r="CUT176" s="146"/>
      <c r="CUU176" s="146"/>
      <c r="CUV176" s="146"/>
      <c r="CUW176" s="146"/>
      <c r="CUX176" s="146"/>
      <c r="CUY176" s="146"/>
      <c r="CUZ176" s="146"/>
      <c r="CVA176" s="146"/>
      <c r="CVB176" s="146"/>
      <c r="CVC176" s="146"/>
      <c r="CVD176" s="146"/>
      <c r="CVE176" s="146"/>
      <c r="CVF176" s="146"/>
      <c r="CVG176" s="146"/>
      <c r="CVH176" s="146"/>
      <c r="CVI176" s="146"/>
      <c r="CVJ176" s="146"/>
      <c r="CVK176" s="146"/>
      <c r="CVL176" s="146"/>
      <c r="CVM176" s="146"/>
      <c r="CVN176" s="146"/>
      <c r="CVO176" s="146"/>
      <c r="CVP176" s="146"/>
      <c r="CVQ176" s="146"/>
      <c r="CVR176" s="146"/>
      <c r="CVS176" s="146"/>
      <c r="CVT176" s="146"/>
      <c r="CVU176" s="146"/>
      <c r="CVV176" s="146"/>
      <c r="CVW176" s="146"/>
      <c r="CVX176" s="146"/>
      <c r="CVY176" s="146"/>
      <c r="CVZ176" s="146"/>
      <c r="CWA176" s="146"/>
      <c r="CWB176" s="146"/>
      <c r="CWC176" s="146"/>
      <c r="CWD176" s="146"/>
      <c r="CWE176" s="146"/>
      <c r="CWF176" s="146"/>
      <c r="CWG176" s="146"/>
      <c r="CWH176" s="146"/>
      <c r="CWI176" s="146"/>
      <c r="CWJ176" s="146"/>
      <c r="CWK176" s="146"/>
      <c r="CWL176" s="146"/>
      <c r="CWM176" s="146"/>
      <c r="CWN176" s="146"/>
      <c r="CWO176" s="146"/>
      <c r="CWP176" s="146"/>
      <c r="CWQ176" s="146"/>
      <c r="CWR176" s="146"/>
      <c r="CWS176" s="146"/>
      <c r="CWT176" s="146"/>
      <c r="CWU176" s="146"/>
      <c r="CWV176" s="146"/>
      <c r="CWW176" s="146"/>
      <c r="CWX176" s="146"/>
      <c r="CWY176" s="146"/>
      <c r="CWZ176" s="146"/>
      <c r="CXA176" s="146"/>
      <c r="CXB176" s="146"/>
      <c r="CXC176" s="146"/>
      <c r="CXD176" s="146"/>
      <c r="CXE176" s="146"/>
      <c r="CXF176" s="146"/>
      <c r="CXG176" s="146"/>
      <c r="CXH176" s="146"/>
      <c r="CXI176" s="146"/>
      <c r="CXJ176" s="146"/>
      <c r="CXK176" s="146"/>
      <c r="CXL176" s="146"/>
      <c r="CXM176" s="146"/>
      <c r="CXN176" s="146"/>
      <c r="CXO176" s="146"/>
      <c r="CXP176" s="146"/>
      <c r="CXQ176" s="146"/>
      <c r="CXR176" s="146"/>
      <c r="CXS176" s="146"/>
      <c r="CXT176" s="146"/>
      <c r="CXU176" s="146"/>
      <c r="CXV176" s="146"/>
      <c r="CXW176" s="146"/>
      <c r="CXX176" s="146"/>
      <c r="CXY176" s="146"/>
      <c r="CXZ176" s="146"/>
      <c r="CYA176" s="146"/>
      <c r="CYB176" s="146"/>
      <c r="CYC176" s="146"/>
      <c r="CYD176" s="146"/>
      <c r="CYE176" s="146"/>
      <c r="CYF176" s="146"/>
      <c r="CYG176" s="146"/>
      <c r="CYH176" s="146"/>
      <c r="CYI176" s="146"/>
      <c r="CYJ176" s="146"/>
      <c r="CYK176" s="146"/>
      <c r="CYL176" s="146"/>
      <c r="CYM176" s="146"/>
      <c r="CYN176" s="146"/>
      <c r="CYO176" s="146"/>
      <c r="CYP176" s="146"/>
      <c r="CYQ176" s="146"/>
      <c r="CYR176" s="146"/>
      <c r="CYS176" s="146"/>
      <c r="CYT176" s="146"/>
      <c r="CYU176" s="146"/>
      <c r="CYV176" s="146"/>
      <c r="CYW176" s="146"/>
      <c r="CYX176" s="146"/>
      <c r="CYY176" s="146"/>
      <c r="CYZ176" s="146"/>
      <c r="CZA176" s="146"/>
      <c r="CZB176" s="146"/>
      <c r="CZC176" s="146"/>
      <c r="CZD176" s="146"/>
      <c r="CZE176" s="146"/>
      <c r="CZF176" s="146"/>
      <c r="CZG176" s="146"/>
      <c r="CZH176" s="146"/>
      <c r="CZI176" s="146"/>
      <c r="CZJ176" s="146"/>
      <c r="CZK176" s="146"/>
      <c r="CZL176" s="146"/>
      <c r="CZM176" s="146"/>
      <c r="CZN176" s="146"/>
      <c r="CZO176" s="146"/>
      <c r="CZP176" s="146"/>
      <c r="CZQ176" s="146"/>
      <c r="CZR176" s="146"/>
      <c r="CZS176" s="146"/>
      <c r="CZT176" s="146"/>
      <c r="CZU176" s="146"/>
      <c r="CZV176" s="146"/>
      <c r="CZW176" s="146"/>
      <c r="CZX176" s="146"/>
      <c r="CZY176" s="146"/>
      <c r="CZZ176" s="146"/>
      <c r="DAA176" s="146"/>
      <c r="DAB176" s="146"/>
      <c r="DAC176" s="146"/>
      <c r="DAD176" s="146"/>
      <c r="DAE176" s="146"/>
      <c r="DAF176" s="146"/>
      <c r="DAG176" s="146"/>
      <c r="DAH176" s="146"/>
      <c r="DAI176" s="146"/>
      <c r="DAJ176" s="146"/>
      <c r="DAK176" s="146"/>
      <c r="DAL176" s="146"/>
      <c r="DAM176" s="146"/>
      <c r="DAN176" s="146"/>
      <c r="DAO176" s="146"/>
      <c r="DAP176" s="146"/>
      <c r="DAQ176" s="146"/>
      <c r="DAR176" s="146"/>
      <c r="DAS176" s="146"/>
      <c r="DAT176" s="146"/>
      <c r="DAU176" s="146"/>
      <c r="DAV176" s="146"/>
      <c r="DAW176" s="146"/>
      <c r="DAX176" s="146"/>
      <c r="DAY176" s="146"/>
      <c r="DAZ176" s="146"/>
      <c r="DBA176" s="146"/>
      <c r="DBB176" s="146"/>
      <c r="DBC176" s="146"/>
      <c r="DBD176" s="146"/>
      <c r="DBE176" s="146"/>
      <c r="DBF176" s="146"/>
      <c r="DBG176" s="146"/>
      <c r="DBH176" s="146"/>
      <c r="DBI176" s="146"/>
      <c r="DBJ176" s="146"/>
      <c r="DBK176" s="146"/>
      <c r="DBL176" s="146"/>
      <c r="DBM176" s="146"/>
      <c r="DBN176" s="146"/>
      <c r="DBO176" s="146"/>
      <c r="DBP176" s="146"/>
      <c r="DBQ176" s="146"/>
      <c r="DBR176" s="146"/>
      <c r="DBS176" s="146"/>
      <c r="DBT176" s="146"/>
      <c r="DBU176" s="146"/>
      <c r="DBV176" s="146"/>
      <c r="DBW176" s="146"/>
      <c r="DBX176" s="146"/>
      <c r="DBY176" s="146"/>
      <c r="DBZ176" s="146"/>
      <c r="DCA176" s="146"/>
      <c r="DCB176" s="146"/>
      <c r="DCC176" s="146"/>
      <c r="DCD176" s="146"/>
      <c r="DCE176" s="146"/>
      <c r="DCF176" s="146"/>
      <c r="DCG176" s="146"/>
      <c r="DCH176" s="146"/>
      <c r="DCI176" s="146"/>
      <c r="DCJ176" s="146"/>
      <c r="DCK176" s="146"/>
      <c r="DCL176" s="146"/>
      <c r="DCM176" s="146"/>
      <c r="DCN176" s="146"/>
      <c r="DCO176" s="146"/>
      <c r="DCP176" s="146"/>
      <c r="DCQ176" s="146"/>
      <c r="DCR176" s="146"/>
      <c r="DCS176" s="146"/>
      <c r="DCT176" s="146"/>
      <c r="DCU176" s="146"/>
      <c r="DCV176" s="146"/>
      <c r="DCW176" s="146"/>
      <c r="DCX176" s="146"/>
      <c r="DCY176" s="146"/>
      <c r="DCZ176" s="146"/>
      <c r="DDA176" s="146"/>
      <c r="DDB176" s="146"/>
      <c r="DDC176" s="146"/>
      <c r="DDD176" s="146"/>
      <c r="DDE176" s="146"/>
      <c r="DDF176" s="146"/>
      <c r="DDG176" s="146"/>
      <c r="DDH176" s="146"/>
      <c r="DDI176" s="146"/>
      <c r="DDJ176" s="146"/>
      <c r="DDK176" s="146"/>
      <c r="DDL176" s="146"/>
      <c r="DDM176" s="146"/>
      <c r="DDN176" s="146"/>
      <c r="DDO176" s="146"/>
      <c r="DDP176" s="146"/>
      <c r="DDQ176" s="146"/>
      <c r="DDR176" s="146"/>
      <c r="DDS176" s="146"/>
      <c r="DDT176" s="146"/>
      <c r="DDU176" s="146"/>
      <c r="DDV176" s="146"/>
      <c r="DDW176" s="146"/>
      <c r="DDX176" s="146"/>
      <c r="DDY176" s="146"/>
      <c r="DDZ176" s="146"/>
      <c r="DEA176" s="146"/>
      <c r="DEB176" s="146"/>
      <c r="DEC176" s="146"/>
      <c r="DED176" s="146"/>
      <c r="DEE176" s="146"/>
      <c r="DEF176" s="146"/>
      <c r="DEG176" s="146"/>
      <c r="DEH176" s="146"/>
      <c r="DEI176" s="146"/>
      <c r="DEJ176" s="146"/>
      <c r="DEK176" s="146"/>
      <c r="DEL176" s="146"/>
      <c r="DEM176" s="146"/>
      <c r="DEN176" s="146"/>
      <c r="DEO176" s="146"/>
      <c r="DEP176" s="146"/>
      <c r="DEQ176" s="146"/>
      <c r="DER176" s="146"/>
      <c r="DES176" s="146"/>
      <c r="DET176" s="146"/>
      <c r="DEU176" s="146"/>
      <c r="DEV176" s="146"/>
      <c r="DEW176" s="146"/>
      <c r="DEX176" s="146"/>
      <c r="DEY176" s="146"/>
      <c r="DEZ176" s="146"/>
      <c r="DFA176" s="146"/>
      <c r="DFB176" s="146"/>
      <c r="DFC176" s="146"/>
      <c r="DFD176" s="146"/>
      <c r="DFE176" s="146"/>
      <c r="DFF176" s="146"/>
      <c r="DFG176" s="146"/>
      <c r="DFH176" s="146"/>
      <c r="DFI176" s="146"/>
      <c r="DFJ176" s="146"/>
      <c r="DFK176" s="146"/>
      <c r="DFL176" s="146"/>
      <c r="DFM176" s="146"/>
      <c r="DFN176" s="146"/>
      <c r="DFO176" s="146"/>
      <c r="DFP176" s="146"/>
      <c r="DFQ176" s="146"/>
      <c r="DFR176" s="146"/>
      <c r="DFS176" s="146"/>
      <c r="DFT176" s="146"/>
      <c r="DFU176" s="146"/>
      <c r="DFV176" s="146"/>
      <c r="DFW176" s="146"/>
      <c r="DFX176" s="146"/>
      <c r="DFY176" s="146"/>
      <c r="DFZ176" s="146"/>
      <c r="DGA176" s="146"/>
      <c r="DGB176" s="146"/>
      <c r="DGC176" s="146"/>
      <c r="DGD176" s="146"/>
      <c r="DGE176" s="146"/>
      <c r="DGF176" s="146"/>
      <c r="DGG176" s="146"/>
      <c r="DGH176" s="146"/>
      <c r="DGI176" s="146"/>
      <c r="DGJ176" s="146"/>
      <c r="DGK176" s="146"/>
      <c r="DGL176" s="146"/>
      <c r="DGM176" s="146"/>
      <c r="DGN176" s="146"/>
      <c r="DGO176" s="146"/>
      <c r="DGP176" s="146"/>
      <c r="DGQ176" s="146"/>
      <c r="DGR176" s="146"/>
      <c r="DGS176" s="146"/>
      <c r="DGT176" s="146"/>
      <c r="DGU176" s="146"/>
      <c r="DGV176" s="146"/>
      <c r="DGW176" s="146"/>
      <c r="DGX176" s="146"/>
      <c r="DGY176" s="146"/>
      <c r="DGZ176" s="146"/>
      <c r="DHA176" s="146"/>
      <c r="DHB176" s="146"/>
      <c r="DHC176" s="146"/>
      <c r="DHD176" s="146"/>
      <c r="DHE176" s="146"/>
      <c r="DHF176" s="146"/>
      <c r="DHG176" s="146"/>
      <c r="DHH176" s="146"/>
      <c r="DHI176" s="146"/>
      <c r="DHJ176" s="146"/>
      <c r="DHK176" s="146"/>
      <c r="DHL176" s="146"/>
      <c r="DHM176" s="146"/>
      <c r="DHN176" s="146"/>
      <c r="DHO176" s="146"/>
      <c r="DHP176" s="146"/>
      <c r="DHQ176" s="146"/>
      <c r="DHR176" s="146"/>
      <c r="DHS176" s="146"/>
      <c r="DHT176" s="146"/>
      <c r="DHU176" s="146"/>
      <c r="DHV176" s="146"/>
      <c r="DHW176" s="146"/>
      <c r="DHX176" s="146"/>
      <c r="DHY176" s="146"/>
      <c r="DHZ176" s="146"/>
      <c r="DIA176" s="146"/>
      <c r="DIB176" s="146"/>
      <c r="DIC176" s="146"/>
      <c r="DID176" s="146"/>
      <c r="DIE176" s="146"/>
      <c r="DIF176" s="146"/>
      <c r="DIG176" s="146"/>
      <c r="DIH176" s="146"/>
      <c r="DII176" s="146"/>
      <c r="DIJ176" s="146"/>
      <c r="DIK176" s="146"/>
      <c r="DIL176" s="146"/>
      <c r="DIM176" s="146"/>
      <c r="DIN176" s="146"/>
      <c r="DIO176" s="146"/>
      <c r="DIP176" s="146"/>
      <c r="DIQ176" s="146"/>
      <c r="DIR176" s="146"/>
      <c r="DIS176" s="146"/>
      <c r="DIT176" s="146"/>
      <c r="DIU176" s="146"/>
      <c r="DIV176" s="146"/>
      <c r="DIW176" s="146"/>
      <c r="DIX176" s="146"/>
      <c r="DIY176" s="146"/>
      <c r="DIZ176" s="146"/>
      <c r="DJA176" s="146"/>
      <c r="DJB176" s="146"/>
      <c r="DJC176" s="146"/>
      <c r="DJD176" s="146"/>
      <c r="DJE176" s="146"/>
      <c r="DJF176" s="146"/>
      <c r="DJG176" s="146"/>
      <c r="DJH176" s="146"/>
      <c r="DJI176" s="146"/>
      <c r="DJJ176" s="146"/>
      <c r="DJK176" s="146"/>
      <c r="DJL176" s="146"/>
      <c r="DJM176" s="146"/>
      <c r="DJN176" s="146"/>
      <c r="DJO176" s="146"/>
      <c r="DJP176" s="146"/>
      <c r="DJQ176" s="146"/>
      <c r="DJR176" s="146"/>
      <c r="DJS176" s="146"/>
      <c r="DJT176" s="146"/>
      <c r="DJU176" s="146"/>
      <c r="DJV176" s="146"/>
      <c r="DJW176" s="146"/>
      <c r="DJX176" s="146"/>
      <c r="DJY176" s="146"/>
      <c r="DJZ176" s="146"/>
      <c r="DKA176" s="146"/>
      <c r="DKB176" s="146"/>
      <c r="DKC176" s="146"/>
      <c r="DKD176" s="146"/>
      <c r="DKE176" s="146"/>
      <c r="DKF176" s="146"/>
      <c r="DKG176" s="146"/>
      <c r="DKH176" s="146"/>
      <c r="DKI176" s="146"/>
      <c r="DKJ176" s="146"/>
      <c r="DKK176" s="146"/>
      <c r="DKL176" s="146"/>
      <c r="DKM176" s="146"/>
      <c r="DKN176" s="146"/>
      <c r="DKO176" s="146"/>
      <c r="DKP176" s="146"/>
      <c r="DKQ176" s="146"/>
      <c r="DKR176" s="146"/>
      <c r="DKS176" s="146"/>
      <c r="DKT176" s="146"/>
      <c r="DKU176" s="146"/>
      <c r="DKV176" s="146"/>
      <c r="DKW176" s="146"/>
      <c r="DKX176" s="146"/>
      <c r="DKY176" s="146"/>
      <c r="DKZ176" s="146"/>
      <c r="DLA176" s="146"/>
      <c r="DLB176" s="146"/>
      <c r="DLC176" s="146"/>
      <c r="DLD176" s="146"/>
      <c r="DLE176" s="146"/>
      <c r="DLF176" s="146"/>
      <c r="DLG176" s="146"/>
      <c r="DLH176" s="146"/>
      <c r="DLI176" s="146"/>
      <c r="DLJ176" s="146"/>
      <c r="DLK176" s="146"/>
      <c r="DLL176" s="146"/>
      <c r="DLM176" s="146"/>
      <c r="DLN176" s="146"/>
      <c r="DLO176" s="146"/>
      <c r="DLP176" s="146"/>
      <c r="DLQ176" s="146"/>
      <c r="DLR176" s="146"/>
      <c r="DLS176" s="146"/>
      <c r="DLT176" s="146"/>
      <c r="DLU176" s="146"/>
      <c r="DLV176" s="146"/>
      <c r="DLW176" s="146"/>
      <c r="DLX176" s="146"/>
      <c r="DLY176" s="146"/>
      <c r="DLZ176" s="146"/>
      <c r="DMA176" s="146"/>
      <c r="DMB176" s="146"/>
      <c r="DMC176" s="146"/>
      <c r="DMD176" s="146"/>
      <c r="DME176" s="146"/>
      <c r="DMF176" s="146"/>
      <c r="DMG176" s="146"/>
      <c r="DMH176" s="146"/>
      <c r="DMI176" s="146"/>
      <c r="DMJ176" s="146"/>
      <c r="DMK176" s="146"/>
      <c r="DML176" s="146"/>
      <c r="DMM176" s="146"/>
      <c r="DMN176" s="146"/>
      <c r="DMO176" s="146"/>
      <c r="DMP176" s="146"/>
      <c r="DMQ176" s="146"/>
      <c r="DMR176" s="146"/>
      <c r="DMS176" s="146"/>
      <c r="DMT176" s="146"/>
      <c r="DMU176" s="146"/>
      <c r="DMV176" s="146"/>
      <c r="DMW176" s="146"/>
      <c r="DMX176" s="146"/>
      <c r="DMY176" s="146"/>
      <c r="DMZ176" s="146"/>
      <c r="DNA176" s="146"/>
      <c r="DNB176" s="146"/>
      <c r="DNC176" s="146"/>
      <c r="DND176" s="146"/>
      <c r="DNE176" s="146"/>
      <c r="DNF176" s="146"/>
      <c r="DNG176" s="146"/>
      <c r="DNH176" s="146"/>
      <c r="DNI176" s="146"/>
      <c r="DNJ176" s="146"/>
      <c r="DNK176" s="146"/>
      <c r="DNL176" s="146"/>
      <c r="DNM176" s="146"/>
      <c r="DNN176" s="146"/>
      <c r="DNO176" s="146"/>
      <c r="DNP176" s="146"/>
      <c r="DNQ176" s="146"/>
      <c r="DNR176" s="146"/>
      <c r="DNS176" s="146"/>
      <c r="DNT176" s="146"/>
      <c r="DNU176" s="146"/>
      <c r="DNV176" s="146"/>
      <c r="DNW176" s="146"/>
      <c r="DNX176" s="146"/>
      <c r="DNY176" s="146"/>
      <c r="DNZ176" s="146"/>
      <c r="DOA176" s="146"/>
      <c r="DOB176" s="146"/>
      <c r="DOC176" s="146"/>
      <c r="DOD176" s="146"/>
      <c r="DOE176" s="146"/>
      <c r="DOF176" s="146"/>
      <c r="DOG176" s="146"/>
      <c r="DOH176" s="146"/>
      <c r="DOI176" s="146"/>
      <c r="DOJ176" s="146"/>
      <c r="DOK176" s="146"/>
      <c r="DOL176" s="146"/>
      <c r="DOM176" s="146"/>
      <c r="DON176" s="146"/>
      <c r="DOO176" s="146"/>
      <c r="DOP176" s="146"/>
      <c r="DOQ176" s="146"/>
      <c r="DOR176" s="146"/>
      <c r="DOS176" s="146"/>
      <c r="DOT176" s="146"/>
      <c r="DOU176" s="146"/>
      <c r="DOV176" s="146"/>
      <c r="DOW176" s="146"/>
      <c r="DOX176" s="146"/>
      <c r="DOY176" s="146"/>
      <c r="DOZ176" s="146"/>
      <c r="DPA176" s="146"/>
      <c r="DPB176" s="146"/>
      <c r="DPC176" s="146"/>
      <c r="DPD176" s="146"/>
      <c r="DPE176" s="146"/>
      <c r="DPF176" s="146"/>
      <c r="DPG176" s="146"/>
      <c r="DPH176" s="146"/>
      <c r="DPI176" s="146"/>
      <c r="DPJ176" s="146"/>
      <c r="DPK176" s="146"/>
      <c r="DPL176" s="146"/>
      <c r="DPM176" s="146"/>
      <c r="DPN176" s="146"/>
      <c r="DPO176" s="146"/>
      <c r="DPP176" s="146"/>
      <c r="DPQ176" s="146"/>
      <c r="DPR176" s="146"/>
      <c r="DPS176" s="146"/>
      <c r="DPT176" s="146"/>
      <c r="DPU176" s="146"/>
      <c r="DPV176" s="146"/>
      <c r="DPW176" s="146"/>
      <c r="DPX176" s="146"/>
      <c r="DPY176" s="146"/>
      <c r="DPZ176" s="146"/>
      <c r="DQA176" s="146"/>
      <c r="DQB176" s="146"/>
      <c r="DQC176" s="146"/>
      <c r="DQD176" s="146"/>
      <c r="DQE176" s="146"/>
      <c r="DQF176" s="146"/>
      <c r="DQG176" s="146"/>
      <c r="DQH176" s="146"/>
      <c r="DQI176" s="146"/>
      <c r="DQJ176" s="146"/>
      <c r="DQK176" s="146"/>
      <c r="DQL176" s="146"/>
      <c r="DQM176" s="146"/>
      <c r="DQN176" s="146"/>
      <c r="DQO176" s="146"/>
      <c r="DQP176" s="146"/>
      <c r="DQQ176" s="146"/>
      <c r="DQR176" s="146"/>
      <c r="DQS176" s="146"/>
      <c r="DQT176" s="146"/>
      <c r="DQU176" s="146"/>
      <c r="DQV176" s="146"/>
      <c r="DQW176" s="146"/>
      <c r="DQX176" s="146"/>
      <c r="DQY176" s="146"/>
      <c r="DQZ176" s="146"/>
      <c r="DRA176" s="146"/>
      <c r="DRB176" s="146"/>
      <c r="DRC176" s="146"/>
      <c r="DRD176" s="146"/>
      <c r="DRE176" s="146"/>
      <c r="DRF176" s="146"/>
      <c r="DRG176" s="146"/>
      <c r="DRH176" s="146"/>
      <c r="DRI176" s="146"/>
      <c r="DRJ176" s="146"/>
      <c r="DRK176" s="146"/>
      <c r="DRL176" s="146"/>
      <c r="DRM176" s="146"/>
      <c r="DRN176" s="146"/>
      <c r="DRO176" s="146"/>
      <c r="DRP176" s="146"/>
      <c r="DRQ176" s="146"/>
      <c r="DRR176" s="146"/>
      <c r="DRS176" s="146"/>
      <c r="DRT176" s="146"/>
      <c r="DRU176" s="146"/>
      <c r="DRV176" s="146"/>
      <c r="DRW176" s="146"/>
      <c r="DRX176" s="146"/>
      <c r="DRY176" s="146"/>
      <c r="DRZ176" s="146"/>
      <c r="DSA176" s="146"/>
      <c r="DSB176" s="146"/>
      <c r="DSC176" s="146"/>
      <c r="DSD176" s="146"/>
      <c r="DSE176" s="146"/>
      <c r="DSF176" s="146"/>
      <c r="DSG176" s="146"/>
      <c r="DSH176" s="146"/>
      <c r="DSI176" s="146"/>
      <c r="DSJ176" s="146"/>
      <c r="DSK176" s="146"/>
      <c r="DSL176" s="146"/>
      <c r="DSM176" s="146"/>
      <c r="DSN176" s="146"/>
      <c r="DSO176" s="146"/>
      <c r="DSP176" s="146"/>
      <c r="DSQ176" s="146"/>
      <c r="DSR176" s="146"/>
      <c r="DSS176" s="146"/>
      <c r="DST176" s="146"/>
      <c r="DSU176" s="146"/>
      <c r="DSV176" s="146"/>
      <c r="DSW176" s="146"/>
      <c r="DSX176" s="146"/>
      <c r="DSY176" s="146"/>
      <c r="DSZ176" s="146"/>
      <c r="DTA176" s="146"/>
      <c r="DTB176" s="146"/>
      <c r="DTC176" s="146"/>
      <c r="DTD176" s="146"/>
      <c r="DTE176" s="146"/>
      <c r="DTF176" s="146"/>
      <c r="DTG176" s="146"/>
      <c r="DTH176" s="146"/>
      <c r="DTI176" s="146"/>
      <c r="DTJ176" s="146"/>
      <c r="DTK176" s="146"/>
      <c r="DTL176" s="146"/>
      <c r="DTM176" s="146"/>
      <c r="DTN176" s="146"/>
      <c r="DTO176" s="146"/>
      <c r="DTP176" s="146"/>
      <c r="DTQ176" s="146"/>
      <c r="DTR176" s="146"/>
      <c r="DTS176" s="146"/>
      <c r="DTT176" s="146"/>
      <c r="DTU176" s="146"/>
      <c r="DTV176" s="146"/>
      <c r="DTW176" s="146"/>
      <c r="DTX176" s="146"/>
      <c r="DTY176" s="146"/>
      <c r="DTZ176" s="146"/>
      <c r="DUA176" s="146"/>
      <c r="DUB176" s="146"/>
      <c r="DUC176" s="146"/>
      <c r="DUD176" s="146"/>
      <c r="DUE176" s="146"/>
      <c r="DUF176" s="146"/>
      <c r="DUG176" s="146"/>
      <c r="DUH176" s="146"/>
      <c r="DUI176" s="146"/>
      <c r="DUJ176" s="146"/>
      <c r="DUK176" s="146"/>
      <c r="DUL176" s="146"/>
      <c r="DUM176" s="146"/>
      <c r="DUN176" s="146"/>
      <c r="DUO176" s="146"/>
      <c r="DUP176" s="146"/>
      <c r="DUQ176" s="146"/>
      <c r="DUR176" s="146"/>
      <c r="DUS176" s="146"/>
      <c r="DUT176" s="146"/>
      <c r="DUU176" s="146"/>
      <c r="DUV176" s="146"/>
      <c r="DUW176" s="146"/>
      <c r="DUX176" s="146"/>
      <c r="DUY176" s="146"/>
      <c r="DUZ176" s="146"/>
      <c r="DVA176" s="146"/>
      <c r="DVB176" s="146"/>
      <c r="DVC176" s="146"/>
      <c r="DVD176" s="146"/>
      <c r="DVE176" s="146"/>
      <c r="DVF176" s="146"/>
      <c r="DVG176" s="146"/>
      <c r="DVH176" s="146"/>
      <c r="DVI176" s="146"/>
      <c r="DVJ176" s="146"/>
      <c r="DVK176" s="146"/>
      <c r="DVL176" s="146"/>
      <c r="DVM176" s="146"/>
      <c r="DVN176" s="146"/>
      <c r="DVO176" s="146"/>
      <c r="DVP176" s="146"/>
      <c r="DVQ176" s="146"/>
      <c r="DVR176" s="146"/>
      <c r="DVS176" s="146"/>
      <c r="DVT176" s="146"/>
      <c r="DVU176" s="146"/>
      <c r="DVV176" s="146"/>
      <c r="DVW176" s="146"/>
      <c r="DVX176" s="146"/>
      <c r="DVY176" s="146"/>
      <c r="DVZ176" s="146"/>
      <c r="DWA176" s="146"/>
      <c r="DWB176" s="146"/>
      <c r="DWC176" s="146"/>
      <c r="DWD176" s="146"/>
      <c r="DWE176" s="146"/>
      <c r="DWF176" s="146"/>
      <c r="DWG176" s="146"/>
      <c r="DWH176" s="146"/>
      <c r="DWI176" s="146"/>
      <c r="DWJ176" s="146"/>
      <c r="DWK176" s="146"/>
      <c r="DWL176" s="146"/>
      <c r="DWM176" s="146"/>
      <c r="DWN176" s="146"/>
      <c r="DWO176" s="146"/>
      <c r="DWP176" s="146"/>
      <c r="DWQ176" s="146"/>
      <c r="DWR176" s="146"/>
      <c r="DWS176" s="146"/>
      <c r="DWT176" s="146"/>
      <c r="DWU176" s="146"/>
      <c r="DWV176" s="146"/>
      <c r="DWW176" s="146"/>
      <c r="DWX176" s="146"/>
      <c r="DWY176" s="146"/>
      <c r="DWZ176" s="146"/>
      <c r="DXA176" s="146"/>
      <c r="DXB176" s="146"/>
      <c r="DXC176" s="146"/>
      <c r="DXD176" s="146"/>
      <c r="DXE176" s="146"/>
      <c r="DXF176" s="146"/>
      <c r="DXG176" s="146"/>
      <c r="DXH176" s="146"/>
      <c r="DXI176" s="146"/>
      <c r="DXJ176" s="146"/>
      <c r="DXK176" s="146"/>
      <c r="DXL176" s="146"/>
      <c r="DXM176" s="146"/>
      <c r="DXN176" s="146"/>
      <c r="DXO176" s="146"/>
      <c r="DXP176" s="146"/>
      <c r="DXQ176" s="146"/>
      <c r="DXR176" s="146"/>
      <c r="DXS176" s="146"/>
      <c r="DXT176" s="146"/>
      <c r="DXU176" s="146"/>
      <c r="DXV176" s="146"/>
      <c r="DXW176" s="146"/>
      <c r="DXX176" s="146"/>
      <c r="DXY176" s="146"/>
      <c r="DXZ176" s="146"/>
      <c r="DYA176" s="146"/>
      <c r="DYB176" s="146"/>
      <c r="DYC176" s="146"/>
      <c r="DYD176" s="146"/>
      <c r="DYE176" s="146"/>
      <c r="DYF176" s="146"/>
      <c r="DYG176" s="146"/>
      <c r="DYH176" s="146"/>
      <c r="DYI176" s="146"/>
      <c r="DYJ176" s="146"/>
      <c r="DYK176" s="146"/>
      <c r="DYL176" s="146"/>
      <c r="DYM176" s="146"/>
      <c r="DYN176" s="146"/>
      <c r="DYO176" s="146"/>
      <c r="DYP176" s="146"/>
      <c r="DYQ176" s="146"/>
      <c r="DYR176" s="146"/>
      <c r="DYS176" s="146"/>
      <c r="DYT176" s="146"/>
      <c r="DYU176" s="146"/>
      <c r="DYV176" s="146"/>
      <c r="DYW176" s="146"/>
      <c r="DYX176" s="146"/>
      <c r="DYY176" s="146"/>
      <c r="DYZ176" s="146"/>
      <c r="DZA176" s="146"/>
      <c r="DZB176" s="146"/>
      <c r="DZC176" s="146"/>
      <c r="DZD176" s="146"/>
      <c r="DZE176" s="146"/>
      <c r="DZF176" s="146"/>
      <c r="DZG176" s="146"/>
      <c r="DZH176" s="146"/>
      <c r="DZI176" s="146"/>
      <c r="DZJ176" s="146"/>
      <c r="DZK176" s="146"/>
      <c r="DZL176" s="146"/>
      <c r="DZM176" s="146"/>
      <c r="DZN176" s="146"/>
      <c r="DZO176" s="146"/>
      <c r="DZP176" s="146"/>
      <c r="DZQ176" s="146"/>
      <c r="DZR176" s="146"/>
      <c r="DZS176" s="146"/>
      <c r="DZT176" s="146"/>
      <c r="DZU176" s="146"/>
      <c r="DZV176" s="146"/>
      <c r="DZW176" s="146"/>
      <c r="DZX176" s="146"/>
      <c r="DZY176" s="146"/>
      <c r="DZZ176" s="146"/>
      <c r="EAA176" s="146"/>
      <c r="EAB176" s="146"/>
      <c r="EAC176" s="146"/>
      <c r="EAD176" s="146"/>
      <c r="EAE176" s="146"/>
      <c r="EAF176" s="146"/>
      <c r="EAG176" s="146"/>
      <c r="EAH176" s="146"/>
      <c r="EAI176" s="146"/>
      <c r="EAJ176" s="146"/>
      <c r="EAK176" s="146"/>
      <c r="EAL176" s="146"/>
      <c r="EAM176" s="146"/>
      <c r="EAN176" s="146"/>
      <c r="EAO176" s="146"/>
      <c r="EAP176" s="146"/>
      <c r="EAQ176" s="146"/>
      <c r="EAR176" s="146"/>
      <c r="EAS176" s="146"/>
      <c r="EAT176" s="146"/>
      <c r="EAU176" s="146"/>
      <c r="EAV176" s="146"/>
      <c r="EAW176" s="146"/>
      <c r="EAX176" s="146"/>
      <c r="EAY176" s="146"/>
      <c r="EAZ176" s="146"/>
      <c r="EBA176" s="146"/>
      <c r="EBB176" s="146"/>
      <c r="EBC176" s="146"/>
      <c r="EBD176" s="146"/>
      <c r="EBE176" s="146"/>
      <c r="EBF176" s="146"/>
      <c r="EBG176" s="146"/>
      <c r="EBH176" s="146"/>
      <c r="EBI176" s="146"/>
      <c r="EBJ176" s="146"/>
      <c r="EBK176" s="146"/>
      <c r="EBL176" s="146"/>
      <c r="EBM176" s="146"/>
      <c r="EBN176" s="146"/>
      <c r="EBO176" s="146"/>
      <c r="EBP176" s="146"/>
      <c r="EBQ176" s="146"/>
      <c r="EBR176" s="146"/>
      <c r="EBS176" s="146"/>
      <c r="EBT176" s="146"/>
      <c r="EBU176" s="146"/>
      <c r="EBV176" s="146"/>
      <c r="EBW176" s="146"/>
      <c r="EBX176" s="146"/>
      <c r="EBY176" s="146"/>
      <c r="EBZ176" s="146"/>
      <c r="ECA176" s="146"/>
      <c r="ECB176" s="146"/>
      <c r="ECC176" s="146"/>
      <c r="ECD176" s="146"/>
      <c r="ECE176" s="146"/>
      <c r="ECF176" s="146"/>
      <c r="ECG176" s="146"/>
      <c r="ECH176" s="146"/>
      <c r="ECI176" s="146"/>
      <c r="ECJ176" s="146"/>
      <c r="ECK176" s="146"/>
      <c r="ECL176" s="146"/>
      <c r="ECM176" s="146"/>
      <c r="ECN176" s="146"/>
      <c r="ECO176" s="146"/>
      <c r="ECP176" s="146"/>
      <c r="ECQ176" s="146"/>
      <c r="ECR176" s="146"/>
      <c r="ECS176" s="146"/>
      <c r="ECT176" s="146"/>
      <c r="ECU176" s="146"/>
      <c r="ECV176" s="146"/>
      <c r="ECW176" s="146"/>
      <c r="ECX176" s="146"/>
      <c r="ECY176" s="146"/>
      <c r="ECZ176" s="146"/>
      <c r="EDA176" s="146"/>
      <c r="EDB176" s="146"/>
      <c r="EDC176" s="146"/>
      <c r="EDD176" s="146"/>
      <c r="EDE176" s="146"/>
      <c r="EDF176" s="146"/>
      <c r="EDG176" s="146"/>
      <c r="EDH176" s="146"/>
      <c r="EDI176" s="146"/>
      <c r="EDJ176" s="146"/>
      <c r="EDK176" s="146"/>
      <c r="EDL176" s="146"/>
      <c r="EDM176" s="146"/>
      <c r="EDN176" s="146"/>
      <c r="EDO176" s="146"/>
      <c r="EDP176" s="146"/>
      <c r="EDQ176" s="146"/>
      <c r="EDR176" s="146"/>
      <c r="EDS176" s="146"/>
      <c r="EDT176" s="146"/>
      <c r="EDU176" s="146"/>
      <c r="EDV176" s="146"/>
      <c r="EDW176" s="146"/>
      <c r="EDX176" s="146"/>
      <c r="EDY176" s="146"/>
      <c r="EDZ176" s="146"/>
      <c r="EEA176" s="146"/>
      <c r="EEB176" s="146"/>
      <c r="EEC176" s="146"/>
      <c r="EED176" s="146"/>
      <c r="EEE176" s="146"/>
      <c r="EEF176" s="146"/>
      <c r="EEG176" s="146"/>
      <c r="EEH176" s="146"/>
      <c r="EEI176" s="146"/>
      <c r="EEJ176" s="146"/>
      <c r="EEK176" s="146"/>
      <c r="EEL176" s="146"/>
      <c r="EEM176" s="146"/>
      <c r="EEN176" s="146"/>
      <c r="EEO176" s="146"/>
      <c r="EEP176" s="146"/>
      <c r="EEQ176" s="146"/>
      <c r="EER176" s="146"/>
      <c r="EES176" s="146"/>
      <c r="EET176" s="146"/>
      <c r="EEU176" s="146"/>
      <c r="EEV176" s="146"/>
      <c r="EEW176" s="146"/>
      <c r="EEX176" s="146"/>
      <c r="EEY176" s="146"/>
      <c r="EEZ176" s="146"/>
      <c r="EFA176" s="146"/>
      <c r="EFB176" s="146"/>
      <c r="EFC176" s="146"/>
      <c r="EFD176" s="146"/>
      <c r="EFE176" s="146"/>
      <c r="EFF176" s="146"/>
      <c r="EFG176" s="146"/>
      <c r="EFH176" s="146"/>
      <c r="EFI176" s="146"/>
      <c r="EFJ176" s="146"/>
      <c r="EFK176" s="146"/>
      <c r="EFL176" s="146"/>
      <c r="EFM176" s="146"/>
      <c r="EFN176" s="146"/>
      <c r="EFO176" s="146"/>
      <c r="EFP176" s="146"/>
      <c r="EFQ176" s="146"/>
      <c r="EFR176" s="146"/>
      <c r="EFS176" s="146"/>
      <c r="EFT176" s="146"/>
      <c r="EFU176" s="146"/>
      <c r="EFV176" s="146"/>
      <c r="EFW176" s="146"/>
      <c r="EFX176" s="146"/>
      <c r="EFY176" s="146"/>
      <c r="EFZ176" s="146"/>
      <c r="EGA176" s="146"/>
      <c r="EGB176" s="146"/>
      <c r="EGC176" s="146"/>
      <c r="EGD176" s="146"/>
      <c r="EGE176" s="146"/>
      <c r="EGF176" s="146"/>
      <c r="EGG176" s="146"/>
      <c r="EGH176" s="146"/>
      <c r="EGI176" s="146"/>
      <c r="EGJ176" s="146"/>
      <c r="EGK176" s="146"/>
      <c r="EGL176" s="146"/>
      <c r="EGM176" s="146"/>
      <c r="EGN176" s="146"/>
      <c r="EGO176" s="146"/>
      <c r="EGP176" s="146"/>
      <c r="EGQ176" s="146"/>
      <c r="EGR176" s="146"/>
      <c r="EGS176" s="146"/>
      <c r="EGT176" s="146"/>
      <c r="EGU176" s="146"/>
      <c r="EGV176" s="146"/>
      <c r="EGW176" s="146"/>
      <c r="EGX176" s="146"/>
      <c r="EGY176" s="146"/>
      <c r="EGZ176" s="146"/>
      <c r="EHA176" s="146"/>
      <c r="EHB176" s="146"/>
      <c r="EHC176" s="146"/>
      <c r="EHD176" s="146"/>
      <c r="EHE176" s="146"/>
      <c r="EHF176" s="146"/>
      <c r="EHG176" s="146"/>
      <c r="EHH176" s="146"/>
      <c r="EHI176" s="146"/>
      <c r="EHJ176" s="146"/>
      <c r="EHK176" s="146"/>
      <c r="EHL176" s="146"/>
      <c r="EHM176" s="146"/>
      <c r="EHN176" s="146"/>
      <c r="EHO176" s="146"/>
      <c r="EHP176" s="146"/>
      <c r="EHQ176" s="146"/>
      <c r="EHR176" s="146"/>
      <c r="EHS176" s="146"/>
      <c r="EHT176" s="146"/>
      <c r="EHU176" s="146"/>
      <c r="EHV176" s="146"/>
      <c r="EHW176" s="146"/>
      <c r="EHX176" s="146"/>
      <c r="EHY176" s="146"/>
      <c r="EHZ176" s="146"/>
      <c r="EIA176" s="146"/>
      <c r="EIB176" s="146"/>
      <c r="EIC176" s="146"/>
      <c r="EID176" s="146"/>
      <c r="EIE176" s="146"/>
      <c r="EIF176" s="146"/>
      <c r="EIG176" s="146"/>
      <c r="EIH176" s="146"/>
      <c r="EII176" s="146"/>
      <c r="EIJ176" s="146"/>
      <c r="EIK176" s="146"/>
      <c r="EIL176" s="146"/>
      <c r="EIM176" s="146"/>
      <c r="EIN176" s="146"/>
      <c r="EIO176" s="146"/>
      <c r="EIP176" s="146"/>
      <c r="EIQ176" s="146"/>
      <c r="EIR176" s="146"/>
      <c r="EIS176" s="146"/>
      <c r="EIT176" s="146"/>
      <c r="EIU176" s="146"/>
      <c r="EIV176" s="146"/>
      <c r="EIW176" s="146"/>
      <c r="EIX176" s="146"/>
      <c r="EIY176" s="146"/>
      <c r="EIZ176" s="146"/>
      <c r="EJA176" s="146"/>
      <c r="EJB176" s="146"/>
      <c r="EJC176" s="146"/>
      <c r="EJD176" s="146"/>
      <c r="EJE176" s="146"/>
      <c r="EJF176" s="146"/>
      <c r="EJG176" s="146"/>
      <c r="EJH176" s="146"/>
      <c r="EJI176" s="146"/>
      <c r="EJJ176" s="146"/>
      <c r="EJK176" s="146"/>
      <c r="EJL176" s="146"/>
      <c r="EJM176" s="146"/>
      <c r="EJN176" s="146"/>
      <c r="EJO176" s="146"/>
      <c r="EJP176" s="146"/>
      <c r="EJQ176" s="146"/>
      <c r="EJR176" s="146"/>
      <c r="EJS176" s="146"/>
      <c r="EJT176" s="146"/>
      <c r="EJU176" s="146"/>
      <c r="EJV176" s="146"/>
      <c r="EJW176" s="146"/>
      <c r="EJX176" s="146"/>
      <c r="EJY176" s="146"/>
      <c r="EJZ176" s="146"/>
      <c r="EKA176" s="146"/>
      <c r="EKB176" s="146"/>
      <c r="EKC176" s="146"/>
      <c r="EKD176" s="146"/>
      <c r="EKE176" s="146"/>
      <c r="EKF176" s="146"/>
      <c r="EKG176" s="146"/>
      <c r="EKH176" s="146"/>
      <c r="EKI176" s="146"/>
      <c r="EKJ176" s="146"/>
      <c r="EKK176" s="146"/>
      <c r="EKL176" s="146"/>
      <c r="EKM176" s="146"/>
      <c r="EKN176" s="146"/>
      <c r="EKO176" s="146"/>
      <c r="EKP176" s="146"/>
      <c r="EKQ176" s="146"/>
      <c r="EKR176" s="146"/>
      <c r="EKS176" s="146"/>
      <c r="EKT176" s="146"/>
      <c r="EKU176" s="146"/>
      <c r="EKV176" s="146"/>
      <c r="EKW176" s="146"/>
      <c r="EKX176" s="146"/>
      <c r="EKY176" s="146"/>
      <c r="EKZ176" s="146"/>
      <c r="ELA176" s="146"/>
      <c r="ELB176" s="146"/>
      <c r="ELC176" s="146"/>
      <c r="ELD176" s="146"/>
      <c r="ELE176" s="146"/>
      <c r="ELF176" s="146"/>
      <c r="ELG176" s="146"/>
      <c r="ELH176" s="146"/>
      <c r="ELI176" s="146"/>
      <c r="ELJ176" s="146"/>
      <c r="ELK176" s="146"/>
      <c r="ELL176" s="146"/>
      <c r="ELM176" s="146"/>
      <c r="ELN176" s="146"/>
      <c r="ELO176" s="146"/>
      <c r="ELP176" s="146"/>
      <c r="ELQ176" s="146"/>
      <c r="ELR176" s="146"/>
      <c r="ELS176" s="146"/>
      <c r="ELT176" s="146"/>
      <c r="ELU176" s="146"/>
      <c r="ELV176" s="146"/>
      <c r="ELW176" s="146"/>
      <c r="ELX176" s="146"/>
      <c r="ELY176" s="146"/>
      <c r="ELZ176" s="146"/>
      <c r="EMA176" s="146"/>
      <c r="EMB176" s="146"/>
      <c r="EMC176" s="146"/>
      <c r="EMD176" s="146"/>
      <c r="EME176" s="146"/>
      <c r="EMF176" s="146"/>
      <c r="EMG176" s="146"/>
      <c r="EMH176" s="146"/>
      <c r="EMI176" s="146"/>
      <c r="EMJ176" s="146"/>
      <c r="EMK176" s="146"/>
      <c r="EML176" s="146"/>
      <c r="EMM176" s="146"/>
      <c r="EMN176" s="146"/>
      <c r="EMO176" s="146"/>
      <c r="EMP176" s="146"/>
      <c r="EMQ176" s="146"/>
      <c r="EMR176" s="146"/>
      <c r="EMS176" s="146"/>
      <c r="EMT176" s="146"/>
      <c r="EMU176" s="146"/>
      <c r="EMV176" s="146"/>
      <c r="EMW176" s="146"/>
      <c r="EMX176" s="146"/>
      <c r="EMY176" s="146"/>
      <c r="EMZ176" s="146"/>
      <c r="ENA176" s="146"/>
      <c r="ENB176" s="146"/>
      <c r="ENC176" s="146"/>
      <c r="END176" s="146"/>
      <c r="ENE176" s="146"/>
      <c r="ENF176" s="146"/>
      <c r="ENG176" s="146"/>
      <c r="ENH176" s="146"/>
      <c r="ENI176" s="146"/>
      <c r="ENJ176" s="146"/>
      <c r="ENK176" s="146"/>
      <c r="ENL176" s="146"/>
      <c r="ENM176" s="146"/>
      <c r="ENN176" s="146"/>
      <c r="ENO176" s="146"/>
      <c r="ENP176" s="146"/>
      <c r="ENQ176" s="146"/>
      <c r="ENR176" s="146"/>
      <c r="ENS176" s="146"/>
      <c r="ENT176" s="146"/>
      <c r="ENU176" s="146"/>
      <c r="ENV176" s="146"/>
      <c r="ENW176" s="146"/>
      <c r="ENX176" s="146"/>
      <c r="ENY176" s="146"/>
      <c r="ENZ176" s="146"/>
      <c r="EOA176" s="146"/>
      <c r="EOB176" s="146"/>
      <c r="EOC176" s="146"/>
      <c r="EOD176" s="146"/>
      <c r="EOE176" s="146"/>
      <c r="EOF176" s="146"/>
      <c r="EOG176" s="146"/>
      <c r="EOH176" s="146"/>
      <c r="EOI176" s="146"/>
      <c r="EOJ176" s="146"/>
      <c r="EOK176" s="146"/>
      <c r="EOL176" s="146"/>
      <c r="EOM176" s="146"/>
      <c r="EON176" s="146"/>
      <c r="EOO176" s="146"/>
      <c r="EOP176" s="146"/>
      <c r="EOQ176" s="146"/>
      <c r="EOR176" s="146"/>
      <c r="EOS176" s="146"/>
      <c r="EOT176" s="146"/>
      <c r="EOU176" s="146"/>
      <c r="EOV176" s="146"/>
      <c r="EOW176" s="146"/>
      <c r="EOX176" s="146"/>
      <c r="EOY176" s="146"/>
      <c r="EOZ176" s="146"/>
      <c r="EPA176" s="146"/>
      <c r="EPB176" s="146"/>
      <c r="EPC176" s="146"/>
      <c r="EPD176" s="146"/>
      <c r="EPE176" s="146"/>
      <c r="EPF176" s="146"/>
      <c r="EPG176" s="146"/>
      <c r="EPH176" s="146"/>
      <c r="EPI176" s="146"/>
      <c r="EPJ176" s="146"/>
      <c r="EPK176" s="146"/>
      <c r="EPL176" s="146"/>
      <c r="EPM176" s="146"/>
      <c r="EPN176" s="146"/>
      <c r="EPO176" s="146"/>
      <c r="EPP176" s="146"/>
      <c r="EPQ176" s="146"/>
      <c r="EPR176" s="146"/>
      <c r="EPS176" s="146"/>
      <c r="EPT176" s="146"/>
      <c r="EPU176" s="146"/>
      <c r="EPV176" s="146"/>
      <c r="EPW176" s="146"/>
      <c r="EPX176" s="146"/>
      <c r="EPY176" s="146"/>
      <c r="EPZ176" s="146"/>
      <c r="EQA176" s="146"/>
      <c r="EQB176" s="146"/>
      <c r="EQC176" s="146"/>
      <c r="EQD176" s="146"/>
      <c r="EQE176" s="146"/>
      <c r="EQF176" s="146"/>
      <c r="EQG176" s="146"/>
      <c r="EQH176" s="146"/>
      <c r="EQI176" s="146"/>
      <c r="EQJ176" s="146"/>
      <c r="EQK176" s="146"/>
      <c r="EQL176" s="146"/>
      <c r="EQM176" s="146"/>
      <c r="EQN176" s="146"/>
      <c r="EQO176" s="146"/>
      <c r="EQP176" s="146"/>
      <c r="EQQ176" s="146"/>
      <c r="EQR176" s="146"/>
      <c r="EQS176" s="146"/>
      <c r="EQT176" s="146"/>
      <c r="EQU176" s="146"/>
      <c r="EQV176" s="146"/>
      <c r="EQW176" s="146"/>
      <c r="EQX176" s="146"/>
      <c r="EQY176" s="146"/>
      <c r="EQZ176" s="146"/>
      <c r="ERA176" s="146"/>
      <c r="ERB176" s="146"/>
      <c r="ERC176" s="146"/>
      <c r="ERD176" s="146"/>
      <c r="ERE176" s="146"/>
      <c r="ERF176" s="146"/>
      <c r="ERG176" s="146"/>
      <c r="ERH176" s="146"/>
      <c r="ERI176" s="146"/>
      <c r="ERJ176" s="146"/>
      <c r="ERK176" s="146"/>
      <c r="ERL176" s="146"/>
      <c r="ERM176" s="146"/>
      <c r="ERN176" s="146"/>
      <c r="ERO176" s="146"/>
      <c r="ERP176" s="146"/>
      <c r="ERQ176" s="146"/>
      <c r="ERR176" s="146"/>
      <c r="ERS176" s="146"/>
      <c r="ERT176" s="146"/>
      <c r="ERU176" s="146"/>
      <c r="ERV176" s="146"/>
      <c r="ERW176" s="146"/>
      <c r="ERX176" s="146"/>
      <c r="ERY176" s="146"/>
      <c r="ERZ176" s="146"/>
      <c r="ESA176" s="146"/>
      <c r="ESB176" s="146"/>
      <c r="ESC176" s="146"/>
      <c r="ESD176" s="146"/>
      <c r="ESE176" s="146"/>
      <c r="ESF176" s="146"/>
      <c r="ESG176" s="146"/>
      <c r="ESH176" s="146"/>
      <c r="ESI176" s="146"/>
      <c r="ESJ176" s="146"/>
      <c r="ESK176" s="146"/>
      <c r="ESL176" s="146"/>
      <c r="ESM176" s="146"/>
      <c r="ESN176" s="146"/>
      <c r="ESO176" s="146"/>
      <c r="ESP176" s="146"/>
      <c r="ESQ176" s="146"/>
      <c r="ESR176" s="146"/>
      <c r="ESS176" s="146"/>
      <c r="EST176" s="146"/>
      <c r="ESU176" s="146"/>
      <c r="ESV176" s="146"/>
      <c r="ESW176" s="146"/>
      <c r="ESX176" s="146"/>
      <c r="ESY176" s="146"/>
      <c r="ESZ176" s="146"/>
      <c r="ETA176" s="146"/>
      <c r="ETB176" s="146"/>
      <c r="ETC176" s="146"/>
      <c r="ETD176" s="146"/>
      <c r="ETE176" s="146"/>
      <c r="ETF176" s="146"/>
      <c r="ETG176" s="146"/>
      <c r="ETH176" s="146"/>
      <c r="ETI176" s="146"/>
      <c r="ETJ176" s="146"/>
      <c r="ETK176" s="146"/>
      <c r="ETL176" s="146"/>
      <c r="ETM176" s="146"/>
      <c r="ETN176" s="146"/>
      <c r="ETO176" s="146"/>
      <c r="ETP176" s="146"/>
      <c r="ETQ176" s="146"/>
      <c r="ETR176" s="146"/>
      <c r="ETS176" s="146"/>
      <c r="ETT176" s="146"/>
      <c r="ETU176" s="146"/>
      <c r="ETV176" s="146"/>
      <c r="ETW176" s="146"/>
      <c r="ETX176" s="146"/>
      <c r="ETY176" s="146"/>
      <c r="ETZ176" s="146"/>
      <c r="EUA176" s="146"/>
      <c r="EUB176" s="146"/>
      <c r="EUC176" s="146"/>
      <c r="EUD176" s="146"/>
      <c r="EUE176" s="146"/>
      <c r="EUF176" s="146"/>
      <c r="EUG176" s="146"/>
      <c r="EUH176" s="146"/>
      <c r="EUI176" s="146"/>
      <c r="EUJ176" s="146"/>
      <c r="EUK176" s="146"/>
      <c r="EUL176" s="146"/>
      <c r="EUM176" s="146"/>
      <c r="EUN176" s="146"/>
      <c r="EUO176" s="146"/>
      <c r="EUP176" s="146"/>
      <c r="EUQ176" s="146"/>
      <c r="EUR176" s="146"/>
      <c r="EUS176" s="146"/>
      <c r="EUT176" s="146"/>
      <c r="EUU176" s="146"/>
      <c r="EUV176" s="146"/>
      <c r="EUW176" s="146"/>
      <c r="EUX176" s="146"/>
      <c r="EUY176" s="146"/>
      <c r="EUZ176" s="146"/>
      <c r="EVA176" s="146"/>
      <c r="EVB176" s="146"/>
      <c r="EVC176" s="146"/>
      <c r="EVD176" s="146"/>
      <c r="EVE176" s="146"/>
      <c r="EVF176" s="146"/>
      <c r="EVG176" s="146"/>
      <c r="EVH176" s="146"/>
      <c r="EVI176" s="146"/>
      <c r="EVJ176" s="146"/>
      <c r="EVK176" s="146"/>
      <c r="EVL176" s="146"/>
      <c r="EVM176" s="146"/>
      <c r="EVN176" s="146"/>
      <c r="EVO176" s="146"/>
      <c r="EVP176" s="146"/>
      <c r="EVQ176" s="146"/>
      <c r="EVR176" s="146"/>
      <c r="EVS176" s="146"/>
      <c r="EVT176" s="146"/>
      <c r="EVU176" s="146"/>
      <c r="EVV176" s="146"/>
      <c r="EVW176" s="146"/>
      <c r="EVX176" s="146"/>
      <c r="EVY176" s="146"/>
      <c r="EVZ176" s="146"/>
      <c r="EWA176" s="146"/>
      <c r="EWB176" s="146"/>
      <c r="EWC176" s="146"/>
      <c r="EWD176" s="146"/>
      <c r="EWE176" s="146"/>
      <c r="EWF176" s="146"/>
      <c r="EWG176" s="146"/>
      <c r="EWH176" s="146"/>
      <c r="EWI176" s="146"/>
      <c r="EWJ176" s="146"/>
      <c r="EWK176" s="146"/>
      <c r="EWL176" s="146"/>
      <c r="EWM176" s="146"/>
      <c r="EWN176" s="146"/>
      <c r="EWO176" s="146"/>
      <c r="EWP176" s="146"/>
      <c r="EWQ176" s="146"/>
      <c r="EWR176" s="146"/>
      <c r="EWS176" s="146"/>
      <c r="EWT176" s="146"/>
      <c r="EWU176" s="146"/>
      <c r="EWV176" s="146"/>
      <c r="EWW176" s="146"/>
      <c r="EWX176" s="146"/>
      <c r="EWY176" s="146"/>
      <c r="EWZ176" s="146"/>
      <c r="EXA176" s="146"/>
      <c r="EXB176" s="146"/>
      <c r="EXC176" s="146"/>
      <c r="EXD176" s="146"/>
      <c r="EXE176" s="146"/>
      <c r="EXF176" s="146"/>
      <c r="EXG176" s="146"/>
      <c r="EXH176" s="146"/>
      <c r="EXI176" s="146"/>
      <c r="EXJ176" s="146"/>
      <c r="EXK176" s="146"/>
      <c r="EXL176" s="146"/>
      <c r="EXM176" s="146"/>
      <c r="EXN176" s="146"/>
      <c r="EXO176" s="146"/>
      <c r="EXP176" s="146"/>
      <c r="EXQ176" s="146"/>
      <c r="EXR176" s="146"/>
      <c r="EXS176" s="146"/>
      <c r="EXT176" s="146"/>
      <c r="EXU176" s="146"/>
      <c r="EXV176" s="146"/>
      <c r="EXW176" s="146"/>
      <c r="EXX176" s="146"/>
      <c r="EXY176" s="146"/>
      <c r="EXZ176" s="146"/>
      <c r="EYA176" s="146"/>
      <c r="EYB176" s="146"/>
      <c r="EYC176" s="146"/>
      <c r="EYD176" s="146"/>
      <c r="EYE176" s="146"/>
      <c r="EYF176" s="146"/>
      <c r="EYG176" s="146"/>
      <c r="EYH176" s="146"/>
      <c r="EYI176" s="146"/>
      <c r="EYJ176" s="146"/>
      <c r="EYK176" s="146"/>
      <c r="EYL176" s="146"/>
      <c r="EYM176" s="146"/>
      <c r="EYN176" s="146"/>
      <c r="EYO176" s="146"/>
      <c r="EYP176" s="146"/>
      <c r="EYQ176" s="146"/>
      <c r="EYR176" s="146"/>
      <c r="EYS176" s="146"/>
      <c r="EYT176" s="146"/>
      <c r="EYU176" s="146"/>
      <c r="EYV176" s="146"/>
      <c r="EYW176" s="146"/>
      <c r="EYX176" s="146"/>
      <c r="EYY176" s="146"/>
      <c r="EYZ176" s="146"/>
      <c r="EZA176" s="146"/>
      <c r="EZB176" s="146"/>
      <c r="EZC176" s="146"/>
      <c r="EZD176" s="146"/>
      <c r="EZE176" s="146"/>
      <c r="EZF176" s="146"/>
      <c r="EZG176" s="146"/>
      <c r="EZH176" s="146"/>
      <c r="EZI176" s="146"/>
      <c r="EZJ176" s="146"/>
      <c r="EZK176" s="146"/>
      <c r="EZL176" s="146"/>
      <c r="EZM176" s="146"/>
      <c r="EZN176" s="146"/>
      <c r="EZO176" s="146"/>
      <c r="EZP176" s="146"/>
      <c r="EZQ176" s="146"/>
      <c r="EZR176" s="146"/>
      <c r="EZS176" s="146"/>
      <c r="EZT176" s="146"/>
      <c r="EZU176" s="146"/>
      <c r="EZV176" s="146"/>
      <c r="EZW176" s="146"/>
      <c r="EZX176" s="146"/>
      <c r="EZY176" s="146"/>
      <c r="EZZ176" s="146"/>
      <c r="FAA176" s="146"/>
      <c r="FAB176" s="146"/>
      <c r="FAC176" s="146"/>
      <c r="FAD176" s="146"/>
      <c r="FAE176" s="146"/>
      <c r="FAF176" s="146"/>
      <c r="FAG176" s="146"/>
      <c r="FAH176" s="146"/>
      <c r="FAI176" s="146"/>
      <c r="FAJ176" s="146"/>
      <c r="FAK176" s="146"/>
      <c r="FAL176" s="146"/>
      <c r="FAM176" s="146"/>
      <c r="FAN176" s="146"/>
      <c r="FAO176" s="146"/>
      <c r="FAP176" s="146"/>
      <c r="FAQ176" s="146"/>
      <c r="FAR176" s="146"/>
      <c r="FAS176" s="146"/>
      <c r="FAT176" s="146"/>
      <c r="FAU176" s="146"/>
      <c r="FAV176" s="146"/>
      <c r="FAW176" s="146"/>
      <c r="FAX176" s="146"/>
      <c r="FAY176" s="146"/>
      <c r="FAZ176" s="146"/>
      <c r="FBA176" s="146"/>
      <c r="FBB176" s="146"/>
      <c r="FBC176" s="146"/>
      <c r="FBD176" s="146"/>
      <c r="FBE176" s="146"/>
      <c r="FBF176" s="146"/>
      <c r="FBG176" s="146"/>
      <c r="FBH176" s="146"/>
      <c r="FBI176" s="146"/>
      <c r="FBJ176" s="146"/>
      <c r="FBK176" s="146"/>
      <c r="FBL176" s="146"/>
      <c r="FBM176" s="146"/>
      <c r="FBN176" s="146"/>
      <c r="FBO176" s="146"/>
      <c r="FBP176" s="146"/>
      <c r="FBQ176" s="146"/>
      <c r="FBR176" s="146"/>
      <c r="FBS176" s="146"/>
      <c r="FBT176" s="146"/>
      <c r="FBU176" s="146"/>
      <c r="FBV176" s="146"/>
      <c r="FBW176" s="146"/>
      <c r="FBX176" s="146"/>
      <c r="FBY176" s="146"/>
      <c r="FBZ176" s="146"/>
      <c r="FCA176" s="146"/>
      <c r="FCB176" s="146"/>
      <c r="FCC176" s="146"/>
      <c r="FCD176" s="146"/>
      <c r="FCE176" s="146"/>
      <c r="FCF176" s="146"/>
      <c r="FCG176" s="146"/>
      <c r="FCH176" s="146"/>
      <c r="FCI176" s="146"/>
      <c r="FCJ176" s="146"/>
      <c r="FCK176" s="146"/>
      <c r="FCL176" s="146"/>
      <c r="FCM176" s="146"/>
      <c r="FCN176" s="146"/>
      <c r="FCO176" s="146"/>
      <c r="FCP176" s="146"/>
      <c r="FCQ176" s="146"/>
      <c r="FCR176" s="146"/>
      <c r="FCS176" s="146"/>
      <c r="FCT176" s="146"/>
      <c r="FCU176" s="146"/>
      <c r="FCV176" s="146"/>
      <c r="FCW176" s="146"/>
      <c r="FCX176" s="146"/>
      <c r="FCY176" s="146"/>
      <c r="FCZ176" s="146"/>
      <c r="FDA176" s="146"/>
      <c r="FDB176" s="146"/>
      <c r="FDC176" s="146"/>
      <c r="FDD176" s="146"/>
      <c r="FDE176" s="146"/>
      <c r="FDF176" s="146"/>
      <c r="FDG176" s="146"/>
      <c r="FDH176" s="146"/>
      <c r="FDI176" s="146"/>
      <c r="FDJ176" s="146"/>
      <c r="FDK176" s="146"/>
      <c r="FDL176" s="146"/>
      <c r="FDM176" s="146"/>
      <c r="FDN176" s="146"/>
      <c r="FDO176" s="146"/>
      <c r="FDP176" s="146"/>
      <c r="FDQ176" s="146"/>
      <c r="FDR176" s="146"/>
      <c r="FDS176" s="146"/>
      <c r="FDT176" s="146"/>
      <c r="FDU176" s="146"/>
      <c r="FDV176" s="146"/>
      <c r="FDW176" s="146"/>
      <c r="FDX176" s="146"/>
      <c r="FDY176" s="146"/>
      <c r="FDZ176" s="146"/>
      <c r="FEA176" s="146"/>
      <c r="FEB176" s="146"/>
      <c r="FEC176" s="146"/>
      <c r="FED176" s="146"/>
      <c r="FEE176" s="146"/>
      <c r="FEF176" s="146"/>
      <c r="FEG176" s="146"/>
      <c r="FEH176" s="146"/>
      <c r="FEI176" s="146"/>
      <c r="FEJ176" s="146"/>
      <c r="FEK176" s="146"/>
      <c r="FEL176" s="146"/>
      <c r="FEM176" s="146"/>
      <c r="FEN176" s="146"/>
      <c r="FEO176" s="146"/>
      <c r="FEP176" s="146"/>
      <c r="FEQ176" s="146"/>
      <c r="FER176" s="146"/>
      <c r="FES176" s="146"/>
      <c r="FET176" s="146"/>
      <c r="FEU176" s="146"/>
      <c r="FEV176" s="146"/>
      <c r="FEW176" s="146"/>
      <c r="FEX176" s="146"/>
      <c r="FEY176" s="146"/>
      <c r="FEZ176" s="146"/>
      <c r="FFA176" s="146"/>
      <c r="FFB176" s="146"/>
      <c r="FFC176" s="146"/>
      <c r="FFD176" s="146"/>
      <c r="FFE176" s="146"/>
      <c r="FFF176" s="146"/>
      <c r="FFG176" s="146"/>
      <c r="FFH176" s="146"/>
      <c r="FFI176" s="146"/>
      <c r="FFJ176" s="146"/>
      <c r="FFK176" s="146"/>
      <c r="FFL176" s="146"/>
      <c r="FFM176" s="146"/>
      <c r="FFN176" s="146"/>
      <c r="FFO176" s="146"/>
      <c r="FFP176" s="146"/>
      <c r="FFQ176" s="146"/>
      <c r="FFR176" s="146"/>
      <c r="FFS176" s="146"/>
      <c r="FFT176" s="146"/>
      <c r="FFU176" s="146"/>
      <c r="FFV176" s="146"/>
      <c r="FFW176" s="146"/>
      <c r="FFX176" s="146"/>
      <c r="FFY176" s="146"/>
      <c r="FFZ176" s="146"/>
      <c r="FGA176" s="146"/>
      <c r="FGB176" s="146"/>
      <c r="FGC176" s="146"/>
      <c r="FGD176" s="146"/>
      <c r="FGE176" s="146"/>
      <c r="FGF176" s="146"/>
      <c r="FGG176" s="146"/>
      <c r="FGH176" s="146"/>
      <c r="FGI176" s="146"/>
      <c r="FGJ176" s="146"/>
      <c r="FGK176" s="146"/>
      <c r="FGL176" s="146"/>
      <c r="FGM176" s="146"/>
      <c r="FGN176" s="146"/>
      <c r="FGO176" s="146"/>
      <c r="FGP176" s="146"/>
      <c r="FGQ176" s="146"/>
      <c r="FGR176" s="146"/>
      <c r="FGS176" s="146"/>
      <c r="FGT176" s="146"/>
      <c r="FGU176" s="146"/>
      <c r="FGV176" s="146"/>
      <c r="FGW176" s="146"/>
      <c r="FGX176" s="146"/>
      <c r="FGY176" s="146"/>
      <c r="FGZ176" s="146"/>
      <c r="FHA176" s="146"/>
      <c r="FHB176" s="146"/>
      <c r="FHC176" s="146"/>
      <c r="FHD176" s="146"/>
      <c r="FHE176" s="146"/>
      <c r="FHF176" s="146"/>
      <c r="FHG176" s="146"/>
      <c r="FHH176" s="146"/>
      <c r="FHI176" s="146"/>
      <c r="FHJ176" s="146"/>
      <c r="FHK176" s="146"/>
      <c r="FHL176" s="146"/>
      <c r="FHM176" s="146"/>
      <c r="FHN176" s="146"/>
      <c r="FHO176" s="146"/>
      <c r="FHP176" s="146"/>
      <c r="FHQ176" s="146"/>
      <c r="FHR176" s="146"/>
      <c r="FHS176" s="146"/>
      <c r="FHT176" s="146"/>
      <c r="FHU176" s="146"/>
      <c r="FHV176" s="146"/>
      <c r="FHW176" s="146"/>
      <c r="FHX176" s="146"/>
      <c r="FHY176" s="146"/>
      <c r="FHZ176" s="146"/>
      <c r="FIA176" s="146"/>
      <c r="FIB176" s="146"/>
      <c r="FIC176" s="146"/>
      <c r="FID176" s="146"/>
      <c r="FIE176" s="146"/>
      <c r="FIF176" s="146"/>
      <c r="FIG176" s="146"/>
      <c r="FIH176" s="146"/>
      <c r="FII176" s="146"/>
      <c r="FIJ176" s="146"/>
      <c r="FIK176" s="146"/>
      <c r="FIL176" s="146"/>
      <c r="FIM176" s="146"/>
      <c r="FIN176" s="146"/>
      <c r="FIO176" s="146"/>
      <c r="FIP176" s="146"/>
      <c r="FIQ176" s="146"/>
      <c r="FIR176" s="146"/>
      <c r="FIS176" s="146"/>
      <c r="FIT176" s="146"/>
      <c r="FIU176" s="146"/>
      <c r="FIV176" s="146"/>
      <c r="FIW176" s="146"/>
      <c r="FIX176" s="146"/>
      <c r="FIY176" s="146"/>
      <c r="FIZ176" s="146"/>
      <c r="FJA176" s="146"/>
      <c r="FJB176" s="146"/>
      <c r="FJC176" s="146"/>
      <c r="FJD176" s="146"/>
      <c r="FJE176" s="146"/>
      <c r="FJF176" s="146"/>
      <c r="FJG176" s="146"/>
      <c r="FJH176" s="146"/>
      <c r="FJI176" s="146"/>
      <c r="FJJ176" s="146"/>
      <c r="FJK176" s="146"/>
      <c r="FJL176" s="146"/>
      <c r="FJM176" s="146"/>
      <c r="FJN176" s="146"/>
      <c r="FJO176" s="146"/>
      <c r="FJP176" s="146"/>
      <c r="FJQ176" s="146"/>
      <c r="FJR176" s="146"/>
      <c r="FJS176" s="146"/>
      <c r="FJT176" s="146"/>
      <c r="FJU176" s="146"/>
      <c r="FJV176" s="146"/>
      <c r="FJW176" s="146"/>
      <c r="FJX176" s="146"/>
      <c r="FJY176" s="146"/>
      <c r="FJZ176" s="146"/>
      <c r="FKA176" s="146"/>
      <c r="FKB176" s="146"/>
      <c r="FKC176" s="146"/>
      <c r="FKD176" s="146"/>
      <c r="FKE176" s="146"/>
      <c r="FKF176" s="146"/>
      <c r="FKG176" s="146"/>
      <c r="FKH176" s="146"/>
      <c r="FKI176" s="146"/>
      <c r="FKJ176" s="146"/>
      <c r="FKK176" s="146"/>
      <c r="FKL176" s="146"/>
      <c r="FKM176" s="146"/>
      <c r="FKN176" s="146"/>
      <c r="FKO176" s="146"/>
      <c r="FKP176" s="146"/>
      <c r="FKQ176" s="146"/>
      <c r="FKR176" s="146"/>
      <c r="FKS176" s="146"/>
      <c r="FKT176" s="146"/>
      <c r="FKU176" s="146"/>
      <c r="FKV176" s="146"/>
      <c r="FKW176" s="146"/>
      <c r="FKX176" s="146"/>
      <c r="FKY176" s="146"/>
      <c r="FKZ176" s="146"/>
      <c r="FLA176" s="146"/>
      <c r="FLB176" s="146"/>
      <c r="FLC176" s="146"/>
      <c r="FLD176" s="146"/>
      <c r="FLE176" s="146"/>
      <c r="FLF176" s="146"/>
      <c r="FLG176" s="146"/>
      <c r="FLH176" s="146"/>
      <c r="FLI176" s="146"/>
      <c r="FLJ176" s="146"/>
      <c r="FLK176" s="146"/>
      <c r="FLL176" s="146"/>
      <c r="FLM176" s="146"/>
      <c r="FLN176" s="146"/>
      <c r="FLO176" s="146"/>
      <c r="FLP176" s="146"/>
      <c r="FLQ176" s="146"/>
      <c r="FLR176" s="146"/>
      <c r="FLS176" s="146"/>
      <c r="FLT176" s="146"/>
      <c r="FLU176" s="146"/>
      <c r="FLV176" s="146"/>
      <c r="FLW176" s="146"/>
      <c r="FLX176" s="146"/>
      <c r="FLY176" s="146"/>
      <c r="FLZ176" s="146"/>
      <c r="FMA176" s="146"/>
      <c r="FMB176" s="146"/>
      <c r="FMC176" s="146"/>
      <c r="FMD176" s="146"/>
      <c r="FME176" s="146"/>
      <c r="FMF176" s="146"/>
      <c r="FMG176" s="146"/>
      <c r="FMH176" s="146"/>
      <c r="FMI176" s="146"/>
      <c r="FMJ176" s="146"/>
      <c r="FMK176" s="146"/>
      <c r="FML176" s="146"/>
      <c r="FMM176" s="146"/>
      <c r="FMN176" s="146"/>
      <c r="FMO176" s="146"/>
      <c r="FMP176" s="146"/>
      <c r="FMQ176" s="146"/>
      <c r="FMR176" s="146"/>
      <c r="FMS176" s="146"/>
      <c r="FMT176" s="146"/>
      <c r="FMU176" s="146"/>
      <c r="FMV176" s="146"/>
      <c r="FMW176" s="146"/>
      <c r="FMX176" s="146"/>
      <c r="FMY176" s="146"/>
      <c r="FMZ176" s="146"/>
      <c r="FNA176" s="146"/>
      <c r="FNB176" s="146"/>
      <c r="FNC176" s="146"/>
      <c r="FND176" s="146"/>
      <c r="FNE176" s="146"/>
      <c r="FNF176" s="146"/>
      <c r="FNG176" s="146"/>
      <c r="FNH176" s="146"/>
      <c r="FNI176" s="146"/>
      <c r="FNJ176" s="146"/>
      <c r="FNK176" s="146"/>
      <c r="FNL176" s="146"/>
      <c r="FNM176" s="146"/>
      <c r="FNN176" s="146"/>
      <c r="FNO176" s="146"/>
      <c r="FNP176" s="146"/>
      <c r="FNQ176" s="146"/>
      <c r="FNR176" s="146"/>
      <c r="FNS176" s="146"/>
      <c r="FNT176" s="146"/>
      <c r="FNU176" s="146"/>
      <c r="FNV176" s="146"/>
      <c r="FNW176" s="146"/>
      <c r="FNX176" s="146"/>
      <c r="FNY176" s="146"/>
      <c r="FNZ176" s="146"/>
      <c r="FOA176" s="146"/>
      <c r="FOB176" s="146"/>
      <c r="FOC176" s="146"/>
      <c r="FOD176" s="146"/>
      <c r="FOE176" s="146"/>
      <c r="FOF176" s="146"/>
      <c r="FOG176" s="146"/>
      <c r="FOH176" s="146"/>
      <c r="FOI176" s="146"/>
      <c r="FOJ176" s="146"/>
      <c r="FOK176" s="146"/>
      <c r="FOL176" s="146"/>
      <c r="FOM176" s="146"/>
      <c r="FON176" s="146"/>
      <c r="FOO176" s="146"/>
      <c r="FOP176" s="146"/>
      <c r="FOQ176" s="146"/>
      <c r="FOR176" s="146"/>
      <c r="FOS176" s="146"/>
      <c r="FOT176" s="146"/>
      <c r="FOU176" s="146"/>
      <c r="FOV176" s="146"/>
      <c r="FOW176" s="146"/>
      <c r="FOX176" s="146"/>
      <c r="FOY176" s="146"/>
      <c r="FOZ176" s="146"/>
      <c r="FPA176" s="146"/>
      <c r="FPB176" s="146"/>
      <c r="FPC176" s="146"/>
      <c r="FPD176" s="146"/>
      <c r="FPE176" s="146"/>
      <c r="FPF176" s="146"/>
      <c r="FPG176" s="146"/>
      <c r="FPH176" s="146"/>
      <c r="FPI176" s="146"/>
      <c r="FPJ176" s="146"/>
      <c r="FPK176" s="146"/>
      <c r="FPL176" s="146"/>
      <c r="FPM176" s="146"/>
      <c r="FPN176" s="146"/>
      <c r="FPO176" s="146"/>
      <c r="FPP176" s="146"/>
      <c r="FPQ176" s="146"/>
      <c r="FPR176" s="146"/>
      <c r="FPS176" s="146"/>
      <c r="FPT176" s="146"/>
      <c r="FPU176" s="146"/>
      <c r="FPV176" s="146"/>
      <c r="FPW176" s="146"/>
      <c r="FPX176" s="146"/>
      <c r="FPY176" s="146"/>
      <c r="FPZ176" s="146"/>
      <c r="FQA176" s="146"/>
      <c r="FQB176" s="146"/>
      <c r="FQC176" s="146"/>
      <c r="FQD176" s="146"/>
      <c r="FQE176" s="146"/>
      <c r="FQF176" s="146"/>
      <c r="FQG176" s="146"/>
      <c r="FQH176" s="146"/>
      <c r="FQI176" s="146"/>
      <c r="FQJ176" s="146"/>
      <c r="FQK176" s="146"/>
      <c r="FQL176" s="146"/>
      <c r="FQM176" s="146"/>
      <c r="FQN176" s="146"/>
      <c r="FQO176" s="146"/>
      <c r="FQP176" s="146"/>
      <c r="FQQ176" s="146"/>
      <c r="FQR176" s="146"/>
      <c r="FQS176" s="146"/>
      <c r="FQT176" s="146"/>
      <c r="FQU176" s="146"/>
      <c r="FQV176" s="146"/>
      <c r="FQW176" s="146"/>
      <c r="FQX176" s="146"/>
      <c r="FQY176" s="146"/>
      <c r="FQZ176" s="146"/>
      <c r="FRA176" s="146"/>
      <c r="FRB176" s="146"/>
      <c r="FRC176" s="146"/>
      <c r="FRD176" s="146"/>
      <c r="FRE176" s="146"/>
      <c r="FRF176" s="146"/>
      <c r="FRG176" s="146"/>
      <c r="FRH176" s="146"/>
      <c r="FRI176" s="146"/>
      <c r="FRJ176" s="146"/>
      <c r="FRK176" s="146"/>
      <c r="FRL176" s="146"/>
      <c r="FRM176" s="146"/>
      <c r="FRN176" s="146"/>
      <c r="FRO176" s="146"/>
      <c r="FRP176" s="146"/>
      <c r="FRQ176" s="146"/>
      <c r="FRR176" s="146"/>
      <c r="FRS176" s="146"/>
      <c r="FRT176" s="146"/>
      <c r="FRU176" s="146"/>
      <c r="FRV176" s="146"/>
      <c r="FRW176" s="146"/>
      <c r="FRX176" s="146"/>
      <c r="FRY176" s="146"/>
      <c r="FRZ176" s="146"/>
      <c r="FSA176" s="146"/>
      <c r="FSB176" s="146"/>
      <c r="FSC176" s="146"/>
      <c r="FSD176" s="146"/>
      <c r="FSE176" s="146"/>
      <c r="FSF176" s="146"/>
      <c r="FSG176" s="146"/>
      <c r="FSH176" s="146"/>
      <c r="FSI176" s="146"/>
      <c r="FSJ176" s="146"/>
      <c r="FSK176" s="146"/>
      <c r="FSL176" s="146"/>
      <c r="FSM176" s="146"/>
      <c r="FSN176" s="146"/>
      <c r="FSO176" s="146"/>
      <c r="FSP176" s="146"/>
      <c r="FSQ176" s="146"/>
      <c r="FSR176" s="146"/>
      <c r="FSS176" s="146"/>
      <c r="FST176" s="146"/>
      <c r="FSU176" s="146"/>
      <c r="FSV176" s="146"/>
      <c r="FSW176" s="146"/>
      <c r="FSX176" s="146"/>
      <c r="FSY176" s="146"/>
      <c r="FSZ176" s="146"/>
      <c r="FTA176" s="146"/>
      <c r="FTB176" s="146"/>
      <c r="FTC176" s="146"/>
      <c r="FTD176" s="146"/>
      <c r="FTE176" s="146"/>
      <c r="FTF176" s="146"/>
      <c r="FTG176" s="146"/>
      <c r="FTH176" s="146"/>
      <c r="FTI176" s="146"/>
      <c r="FTJ176" s="146"/>
      <c r="FTK176" s="146"/>
      <c r="FTL176" s="146"/>
      <c r="FTM176" s="146"/>
      <c r="FTN176" s="146"/>
      <c r="FTO176" s="146"/>
      <c r="FTP176" s="146"/>
      <c r="FTQ176" s="146"/>
      <c r="FTR176" s="146"/>
      <c r="FTS176" s="146"/>
      <c r="FTT176" s="146"/>
      <c r="FTU176" s="146"/>
      <c r="FTV176" s="146"/>
      <c r="FTW176" s="146"/>
      <c r="FTX176" s="146"/>
      <c r="FTY176" s="146"/>
      <c r="FTZ176" s="146"/>
      <c r="FUA176" s="146"/>
      <c r="FUB176" s="146"/>
      <c r="FUC176" s="146"/>
      <c r="FUD176" s="146"/>
      <c r="FUE176" s="146"/>
      <c r="FUF176" s="146"/>
      <c r="FUG176" s="146"/>
      <c r="FUH176" s="146"/>
      <c r="FUI176" s="146"/>
      <c r="FUJ176" s="146"/>
      <c r="FUK176" s="146"/>
      <c r="FUL176" s="146"/>
      <c r="FUM176" s="146"/>
      <c r="FUN176" s="146"/>
      <c r="FUO176" s="146"/>
      <c r="FUP176" s="146"/>
      <c r="FUQ176" s="146"/>
      <c r="FUR176" s="146"/>
      <c r="FUS176" s="146"/>
      <c r="FUT176" s="146"/>
      <c r="FUU176" s="146"/>
      <c r="FUV176" s="146"/>
      <c r="FUW176" s="146"/>
      <c r="FUX176" s="146"/>
      <c r="FUY176" s="146"/>
      <c r="FUZ176" s="146"/>
      <c r="FVA176" s="146"/>
      <c r="FVB176" s="146"/>
      <c r="FVC176" s="146"/>
      <c r="FVD176" s="146"/>
      <c r="FVE176" s="146"/>
      <c r="FVF176" s="146"/>
      <c r="FVG176" s="146"/>
      <c r="FVH176" s="146"/>
      <c r="FVI176" s="146"/>
      <c r="FVJ176" s="146"/>
      <c r="FVK176" s="146"/>
      <c r="FVL176" s="146"/>
      <c r="FVM176" s="146"/>
      <c r="FVN176" s="146"/>
      <c r="FVO176" s="146"/>
      <c r="FVP176" s="146"/>
      <c r="FVQ176" s="146"/>
      <c r="FVR176" s="146"/>
      <c r="FVS176" s="146"/>
      <c r="FVT176" s="146"/>
      <c r="FVU176" s="146"/>
      <c r="FVV176" s="146"/>
      <c r="FVW176" s="146"/>
      <c r="FVX176" s="146"/>
      <c r="FVY176" s="146"/>
      <c r="FVZ176" s="146"/>
      <c r="FWA176" s="146"/>
      <c r="FWB176" s="146"/>
      <c r="FWC176" s="146"/>
      <c r="FWD176" s="146"/>
      <c r="FWE176" s="146"/>
      <c r="FWF176" s="146"/>
      <c r="FWG176" s="146"/>
      <c r="FWH176" s="146"/>
      <c r="FWI176" s="146"/>
      <c r="FWJ176" s="146"/>
      <c r="FWK176" s="146"/>
      <c r="FWL176" s="146"/>
      <c r="FWM176" s="146"/>
      <c r="FWN176" s="146"/>
      <c r="FWO176" s="146"/>
      <c r="FWP176" s="146"/>
      <c r="FWQ176" s="146"/>
      <c r="FWR176" s="146"/>
      <c r="FWS176" s="146"/>
      <c r="FWT176" s="146"/>
      <c r="FWU176" s="146"/>
      <c r="FWV176" s="146"/>
      <c r="FWW176" s="146"/>
      <c r="FWX176" s="146"/>
      <c r="FWY176" s="146"/>
      <c r="FWZ176" s="146"/>
      <c r="FXA176" s="146"/>
      <c r="FXB176" s="146"/>
      <c r="FXC176" s="146"/>
      <c r="FXD176" s="146"/>
      <c r="FXE176" s="146"/>
      <c r="FXF176" s="146"/>
      <c r="FXG176" s="146"/>
      <c r="FXH176" s="146"/>
      <c r="FXI176" s="146"/>
      <c r="FXJ176" s="146"/>
      <c r="FXK176" s="146"/>
      <c r="FXL176" s="146"/>
      <c r="FXM176" s="146"/>
      <c r="FXN176" s="146"/>
      <c r="FXO176" s="146"/>
      <c r="FXP176" s="146"/>
      <c r="FXQ176" s="146"/>
      <c r="FXR176" s="146"/>
      <c r="FXS176" s="146"/>
      <c r="FXT176" s="146"/>
      <c r="FXU176" s="146"/>
      <c r="FXV176" s="146"/>
      <c r="FXW176" s="146"/>
      <c r="FXX176" s="146"/>
      <c r="FXY176" s="146"/>
      <c r="FXZ176" s="146"/>
      <c r="FYA176" s="146"/>
      <c r="FYB176" s="146"/>
      <c r="FYC176" s="146"/>
      <c r="FYD176" s="146"/>
      <c r="FYE176" s="146"/>
      <c r="FYF176" s="146"/>
      <c r="FYG176" s="146"/>
      <c r="FYH176" s="146"/>
      <c r="FYI176" s="146"/>
      <c r="FYJ176" s="146"/>
      <c r="FYK176" s="146"/>
      <c r="FYL176" s="146"/>
      <c r="FYM176" s="146"/>
      <c r="FYN176" s="146"/>
      <c r="FYO176" s="146"/>
      <c r="FYP176" s="146"/>
      <c r="FYQ176" s="146"/>
      <c r="FYR176" s="146"/>
      <c r="FYS176" s="146"/>
      <c r="FYT176" s="146"/>
      <c r="FYU176" s="146"/>
      <c r="FYV176" s="146"/>
      <c r="FYW176" s="146"/>
      <c r="FYX176" s="146"/>
      <c r="FYY176" s="146"/>
      <c r="FYZ176" s="146"/>
      <c r="FZA176" s="146"/>
      <c r="FZB176" s="146"/>
      <c r="FZC176" s="146"/>
      <c r="FZD176" s="146"/>
      <c r="FZE176" s="146"/>
      <c r="FZF176" s="146"/>
      <c r="FZG176" s="146"/>
      <c r="FZH176" s="146"/>
      <c r="FZI176" s="146"/>
      <c r="FZJ176" s="146"/>
      <c r="FZK176" s="146"/>
      <c r="FZL176" s="146"/>
      <c r="FZM176" s="146"/>
      <c r="FZN176" s="146"/>
      <c r="FZO176" s="146"/>
      <c r="FZP176" s="146"/>
      <c r="FZQ176" s="146"/>
      <c r="FZR176" s="146"/>
      <c r="FZS176" s="146"/>
      <c r="FZT176" s="146"/>
      <c r="FZU176" s="146"/>
      <c r="FZV176" s="146"/>
      <c r="FZW176" s="146"/>
      <c r="FZX176" s="146"/>
      <c r="FZY176" s="146"/>
      <c r="FZZ176" s="146"/>
      <c r="GAA176" s="146"/>
      <c r="GAB176" s="146"/>
      <c r="GAC176" s="146"/>
      <c r="GAD176" s="146"/>
      <c r="GAE176" s="146"/>
      <c r="GAF176" s="146"/>
      <c r="GAG176" s="146"/>
      <c r="GAH176" s="146"/>
      <c r="GAI176" s="146"/>
      <c r="GAJ176" s="146"/>
      <c r="GAK176" s="146"/>
      <c r="GAL176" s="146"/>
      <c r="GAM176" s="146"/>
      <c r="GAN176" s="146"/>
      <c r="GAO176" s="146"/>
      <c r="GAP176" s="146"/>
      <c r="GAQ176" s="146"/>
      <c r="GAR176" s="146"/>
      <c r="GAS176" s="146"/>
      <c r="GAT176" s="146"/>
      <c r="GAU176" s="146"/>
      <c r="GAV176" s="146"/>
      <c r="GAW176" s="146"/>
      <c r="GAX176" s="146"/>
      <c r="GAY176" s="146"/>
      <c r="GAZ176" s="146"/>
      <c r="GBA176" s="146"/>
      <c r="GBB176" s="146"/>
      <c r="GBC176" s="146"/>
      <c r="GBD176" s="146"/>
      <c r="GBE176" s="146"/>
      <c r="GBF176" s="146"/>
      <c r="GBG176" s="146"/>
      <c r="GBH176" s="146"/>
      <c r="GBI176" s="146"/>
      <c r="GBJ176" s="146"/>
      <c r="GBK176" s="146"/>
      <c r="GBL176" s="146"/>
      <c r="GBM176" s="146"/>
      <c r="GBN176" s="146"/>
      <c r="GBO176" s="146"/>
      <c r="GBP176" s="146"/>
      <c r="GBQ176" s="146"/>
      <c r="GBR176" s="146"/>
      <c r="GBS176" s="146"/>
      <c r="GBT176" s="146"/>
      <c r="GBU176" s="146"/>
      <c r="GBV176" s="146"/>
      <c r="GBW176" s="146"/>
      <c r="GBX176" s="146"/>
      <c r="GBY176" s="146"/>
      <c r="GBZ176" s="146"/>
      <c r="GCA176" s="146"/>
      <c r="GCB176" s="146"/>
      <c r="GCC176" s="146"/>
      <c r="GCD176" s="146"/>
      <c r="GCE176" s="146"/>
      <c r="GCF176" s="146"/>
      <c r="GCG176" s="146"/>
      <c r="GCH176" s="146"/>
      <c r="GCI176" s="146"/>
      <c r="GCJ176" s="146"/>
      <c r="GCK176" s="146"/>
      <c r="GCL176" s="146"/>
      <c r="GCM176" s="146"/>
      <c r="GCN176" s="146"/>
      <c r="GCO176" s="146"/>
      <c r="GCP176" s="146"/>
      <c r="GCQ176" s="146"/>
      <c r="GCR176" s="146"/>
      <c r="GCS176" s="146"/>
      <c r="GCT176" s="146"/>
      <c r="GCU176" s="146"/>
      <c r="GCV176" s="146"/>
      <c r="GCW176" s="146"/>
      <c r="GCX176" s="146"/>
      <c r="GCY176" s="146"/>
      <c r="GCZ176" s="146"/>
      <c r="GDA176" s="146"/>
      <c r="GDB176" s="146"/>
      <c r="GDC176" s="146"/>
      <c r="GDD176" s="146"/>
      <c r="GDE176" s="146"/>
      <c r="GDF176" s="146"/>
      <c r="GDG176" s="146"/>
      <c r="GDH176" s="146"/>
      <c r="GDI176" s="146"/>
      <c r="GDJ176" s="146"/>
      <c r="GDK176" s="146"/>
      <c r="GDL176" s="146"/>
      <c r="GDM176" s="146"/>
      <c r="GDN176" s="146"/>
      <c r="GDO176" s="146"/>
      <c r="GDP176" s="146"/>
      <c r="GDQ176" s="146"/>
      <c r="GDR176" s="146"/>
      <c r="GDS176" s="146"/>
      <c r="GDT176" s="146"/>
      <c r="GDU176" s="146"/>
      <c r="GDV176" s="146"/>
      <c r="GDW176" s="146"/>
      <c r="GDX176" s="146"/>
      <c r="GDY176" s="146"/>
      <c r="GDZ176" s="146"/>
      <c r="GEA176" s="146"/>
      <c r="GEB176" s="146"/>
      <c r="GEC176" s="146"/>
      <c r="GED176" s="146"/>
      <c r="GEE176" s="146"/>
      <c r="GEF176" s="146"/>
      <c r="GEG176" s="146"/>
      <c r="GEH176" s="146"/>
      <c r="GEI176" s="146"/>
      <c r="GEJ176" s="146"/>
      <c r="GEK176" s="146"/>
      <c r="GEL176" s="146"/>
      <c r="GEM176" s="146"/>
      <c r="GEN176" s="146"/>
      <c r="GEO176" s="146"/>
      <c r="GEP176" s="146"/>
      <c r="GEQ176" s="146"/>
      <c r="GER176" s="146"/>
      <c r="GES176" s="146"/>
      <c r="GET176" s="146"/>
      <c r="GEU176" s="146"/>
      <c r="GEV176" s="146"/>
      <c r="GEW176" s="146"/>
      <c r="GEX176" s="146"/>
      <c r="GEY176" s="146"/>
      <c r="GEZ176" s="146"/>
      <c r="GFA176" s="146"/>
      <c r="GFB176" s="146"/>
      <c r="GFC176" s="146"/>
      <c r="GFD176" s="146"/>
      <c r="GFE176" s="146"/>
      <c r="GFF176" s="146"/>
      <c r="GFG176" s="146"/>
      <c r="GFH176" s="146"/>
      <c r="GFI176" s="146"/>
      <c r="GFJ176" s="146"/>
      <c r="GFK176" s="146"/>
      <c r="GFL176" s="146"/>
      <c r="GFM176" s="146"/>
      <c r="GFN176" s="146"/>
      <c r="GFO176" s="146"/>
      <c r="GFP176" s="146"/>
      <c r="GFQ176" s="146"/>
      <c r="GFR176" s="146"/>
      <c r="GFS176" s="146"/>
      <c r="GFT176" s="146"/>
      <c r="GFU176" s="146"/>
      <c r="GFV176" s="146"/>
      <c r="GFW176" s="146"/>
      <c r="GFX176" s="146"/>
      <c r="GFY176" s="146"/>
      <c r="GFZ176" s="146"/>
      <c r="GGA176" s="146"/>
      <c r="GGB176" s="146"/>
      <c r="GGC176" s="146"/>
      <c r="GGD176" s="146"/>
      <c r="GGE176" s="146"/>
      <c r="GGF176" s="146"/>
      <c r="GGG176" s="146"/>
      <c r="GGH176" s="146"/>
      <c r="GGI176" s="146"/>
      <c r="GGJ176" s="146"/>
      <c r="GGK176" s="146"/>
      <c r="GGL176" s="146"/>
      <c r="GGM176" s="146"/>
      <c r="GGN176" s="146"/>
      <c r="GGO176" s="146"/>
      <c r="GGP176" s="146"/>
      <c r="GGQ176" s="146"/>
      <c r="GGR176" s="146"/>
      <c r="GGS176" s="146"/>
      <c r="GGT176" s="146"/>
      <c r="GGU176" s="146"/>
      <c r="GGV176" s="146"/>
      <c r="GGW176" s="146"/>
      <c r="GGX176" s="146"/>
      <c r="GGY176" s="146"/>
      <c r="GGZ176" s="146"/>
      <c r="GHA176" s="146"/>
      <c r="GHB176" s="146"/>
      <c r="GHC176" s="146"/>
      <c r="GHD176" s="146"/>
      <c r="GHE176" s="146"/>
      <c r="GHF176" s="146"/>
      <c r="GHG176" s="146"/>
      <c r="GHH176" s="146"/>
      <c r="GHI176" s="146"/>
      <c r="GHJ176" s="146"/>
      <c r="GHK176" s="146"/>
      <c r="GHL176" s="146"/>
      <c r="GHM176" s="146"/>
      <c r="GHN176" s="146"/>
      <c r="GHO176" s="146"/>
      <c r="GHP176" s="146"/>
      <c r="GHQ176" s="146"/>
      <c r="GHR176" s="146"/>
      <c r="GHS176" s="146"/>
      <c r="GHT176" s="146"/>
      <c r="GHU176" s="146"/>
      <c r="GHV176" s="146"/>
      <c r="GHW176" s="146"/>
      <c r="GHX176" s="146"/>
      <c r="GHY176" s="146"/>
      <c r="GHZ176" s="146"/>
      <c r="GIA176" s="146"/>
      <c r="GIB176" s="146"/>
      <c r="GIC176" s="146"/>
      <c r="GID176" s="146"/>
      <c r="GIE176" s="146"/>
      <c r="GIF176" s="146"/>
      <c r="GIG176" s="146"/>
      <c r="GIH176" s="146"/>
      <c r="GII176" s="146"/>
      <c r="GIJ176" s="146"/>
      <c r="GIK176" s="146"/>
      <c r="GIL176" s="146"/>
      <c r="GIM176" s="146"/>
      <c r="GIN176" s="146"/>
      <c r="GIO176" s="146"/>
      <c r="GIP176" s="146"/>
      <c r="GIQ176" s="146"/>
      <c r="GIR176" s="146"/>
      <c r="GIS176" s="146"/>
      <c r="GIT176" s="146"/>
      <c r="GIU176" s="146"/>
      <c r="GIV176" s="146"/>
      <c r="GIW176" s="146"/>
      <c r="GIX176" s="146"/>
      <c r="GIY176" s="146"/>
      <c r="GIZ176" s="146"/>
      <c r="GJA176" s="146"/>
      <c r="GJB176" s="146"/>
      <c r="GJC176" s="146"/>
      <c r="GJD176" s="146"/>
      <c r="GJE176" s="146"/>
      <c r="GJF176" s="146"/>
      <c r="GJG176" s="146"/>
      <c r="GJH176" s="146"/>
      <c r="GJI176" s="146"/>
      <c r="GJJ176" s="146"/>
      <c r="GJK176" s="146"/>
      <c r="GJL176" s="146"/>
      <c r="GJM176" s="146"/>
      <c r="GJN176" s="146"/>
      <c r="GJO176" s="146"/>
      <c r="GJP176" s="146"/>
      <c r="GJQ176" s="146"/>
      <c r="GJR176" s="146"/>
      <c r="GJS176" s="146"/>
      <c r="GJT176" s="146"/>
      <c r="GJU176" s="146"/>
      <c r="GJV176" s="146"/>
      <c r="GJW176" s="146"/>
      <c r="GJX176" s="146"/>
      <c r="GJY176" s="146"/>
      <c r="GJZ176" s="146"/>
      <c r="GKA176" s="146"/>
      <c r="GKB176" s="146"/>
      <c r="GKC176" s="146"/>
      <c r="GKD176" s="146"/>
      <c r="GKE176" s="146"/>
      <c r="GKF176" s="146"/>
      <c r="GKG176" s="146"/>
      <c r="GKH176" s="146"/>
      <c r="GKI176" s="146"/>
      <c r="GKJ176" s="146"/>
      <c r="GKK176" s="146"/>
      <c r="GKL176" s="146"/>
      <c r="GKM176" s="146"/>
      <c r="GKN176" s="146"/>
      <c r="GKO176" s="146"/>
      <c r="GKP176" s="146"/>
      <c r="GKQ176" s="146"/>
      <c r="GKR176" s="146"/>
      <c r="GKS176" s="146"/>
      <c r="GKT176" s="146"/>
      <c r="GKU176" s="146"/>
      <c r="GKV176" s="146"/>
      <c r="GKW176" s="146"/>
      <c r="GKX176" s="146"/>
      <c r="GKY176" s="146"/>
      <c r="GKZ176" s="146"/>
      <c r="GLA176" s="146"/>
      <c r="GLB176" s="146"/>
      <c r="GLC176" s="146"/>
      <c r="GLD176" s="146"/>
      <c r="GLE176" s="146"/>
      <c r="GLF176" s="146"/>
      <c r="GLG176" s="146"/>
      <c r="GLH176" s="146"/>
      <c r="GLI176" s="146"/>
      <c r="GLJ176" s="146"/>
      <c r="GLK176" s="146"/>
      <c r="GLL176" s="146"/>
      <c r="GLM176" s="146"/>
      <c r="GLN176" s="146"/>
      <c r="GLO176" s="146"/>
      <c r="GLP176" s="146"/>
      <c r="GLQ176" s="146"/>
      <c r="GLR176" s="146"/>
      <c r="GLS176" s="146"/>
      <c r="GLT176" s="146"/>
      <c r="GLU176" s="146"/>
      <c r="GLV176" s="146"/>
      <c r="GLW176" s="146"/>
      <c r="GLX176" s="146"/>
      <c r="GLY176" s="146"/>
      <c r="GLZ176" s="146"/>
      <c r="GMA176" s="146"/>
      <c r="GMB176" s="146"/>
      <c r="GMC176" s="146"/>
      <c r="GMD176" s="146"/>
      <c r="GME176" s="146"/>
      <c r="GMF176" s="146"/>
      <c r="GMG176" s="146"/>
      <c r="GMH176" s="146"/>
      <c r="GMI176" s="146"/>
      <c r="GMJ176" s="146"/>
      <c r="GMK176" s="146"/>
      <c r="GML176" s="146"/>
      <c r="GMM176" s="146"/>
      <c r="GMN176" s="146"/>
      <c r="GMO176" s="146"/>
      <c r="GMP176" s="146"/>
      <c r="GMQ176" s="146"/>
      <c r="GMR176" s="146"/>
      <c r="GMS176" s="146"/>
      <c r="GMT176" s="146"/>
      <c r="GMU176" s="146"/>
      <c r="GMV176" s="146"/>
      <c r="GMW176" s="146"/>
      <c r="GMX176" s="146"/>
      <c r="GMY176" s="146"/>
      <c r="GMZ176" s="146"/>
      <c r="GNA176" s="146"/>
      <c r="GNB176" s="146"/>
      <c r="GNC176" s="146"/>
      <c r="GND176" s="146"/>
      <c r="GNE176" s="146"/>
      <c r="GNF176" s="146"/>
      <c r="GNG176" s="146"/>
      <c r="GNH176" s="146"/>
      <c r="GNI176" s="146"/>
      <c r="GNJ176" s="146"/>
      <c r="GNK176" s="146"/>
      <c r="GNL176" s="146"/>
      <c r="GNM176" s="146"/>
      <c r="GNN176" s="146"/>
      <c r="GNO176" s="146"/>
      <c r="GNP176" s="146"/>
      <c r="GNQ176" s="146"/>
      <c r="GNR176" s="146"/>
      <c r="GNS176" s="146"/>
      <c r="GNT176" s="146"/>
      <c r="GNU176" s="146"/>
      <c r="GNV176" s="146"/>
      <c r="GNW176" s="146"/>
      <c r="GNX176" s="146"/>
      <c r="GNY176" s="146"/>
      <c r="GNZ176" s="146"/>
      <c r="GOA176" s="146"/>
      <c r="GOB176" s="146"/>
      <c r="GOC176" s="146"/>
      <c r="GOD176" s="146"/>
      <c r="GOE176" s="146"/>
      <c r="GOF176" s="146"/>
      <c r="GOG176" s="146"/>
      <c r="GOH176" s="146"/>
      <c r="GOI176" s="146"/>
      <c r="GOJ176" s="146"/>
      <c r="GOK176" s="146"/>
      <c r="GOL176" s="146"/>
      <c r="GOM176" s="146"/>
      <c r="GON176" s="146"/>
      <c r="GOO176" s="146"/>
      <c r="GOP176" s="146"/>
      <c r="GOQ176" s="146"/>
      <c r="GOR176" s="146"/>
      <c r="GOS176" s="146"/>
      <c r="GOT176" s="146"/>
      <c r="GOU176" s="146"/>
      <c r="GOV176" s="146"/>
      <c r="GOW176" s="146"/>
      <c r="GOX176" s="146"/>
      <c r="GOY176" s="146"/>
      <c r="GOZ176" s="146"/>
      <c r="GPA176" s="146"/>
      <c r="GPB176" s="146"/>
      <c r="GPC176" s="146"/>
      <c r="GPD176" s="146"/>
      <c r="GPE176" s="146"/>
      <c r="GPF176" s="146"/>
      <c r="GPG176" s="146"/>
      <c r="GPH176" s="146"/>
      <c r="GPI176" s="146"/>
      <c r="GPJ176" s="146"/>
      <c r="GPK176" s="146"/>
      <c r="GPL176" s="146"/>
      <c r="GPM176" s="146"/>
      <c r="GPN176" s="146"/>
      <c r="GPO176" s="146"/>
      <c r="GPP176" s="146"/>
      <c r="GPQ176" s="146"/>
      <c r="GPR176" s="146"/>
      <c r="GPS176" s="146"/>
      <c r="GPT176" s="146"/>
      <c r="GPU176" s="146"/>
      <c r="GPV176" s="146"/>
      <c r="GPW176" s="146"/>
      <c r="GPX176" s="146"/>
      <c r="GPY176" s="146"/>
      <c r="GPZ176" s="146"/>
      <c r="GQA176" s="146"/>
      <c r="GQB176" s="146"/>
      <c r="GQC176" s="146"/>
      <c r="GQD176" s="146"/>
      <c r="GQE176" s="146"/>
      <c r="GQF176" s="146"/>
      <c r="GQG176" s="146"/>
      <c r="GQH176" s="146"/>
      <c r="GQI176" s="146"/>
      <c r="GQJ176" s="146"/>
      <c r="GQK176" s="146"/>
      <c r="GQL176" s="146"/>
      <c r="GQM176" s="146"/>
      <c r="GQN176" s="146"/>
      <c r="GQO176" s="146"/>
      <c r="GQP176" s="146"/>
      <c r="GQQ176" s="146"/>
      <c r="GQR176" s="146"/>
      <c r="GQS176" s="146"/>
      <c r="GQT176" s="146"/>
      <c r="GQU176" s="146"/>
      <c r="GQV176" s="146"/>
      <c r="GQW176" s="146"/>
      <c r="GQX176" s="146"/>
      <c r="GQY176" s="146"/>
      <c r="GQZ176" s="146"/>
      <c r="GRA176" s="146"/>
      <c r="GRB176" s="146"/>
      <c r="GRC176" s="146"/>
      <c r="GRD176" s="146"/>
      <c r="GRE176" s="146"/>
      <c r="GRF176" s="146"/>
      <c r="GRG176" s="146"/>
      <c r="GRH176" s="146"/>
      <c r="GRI176" s="146"/>
      <c r="GRJ176" s="146"/>
      <c r="GRK176" s="146"/>
      <c r="GRL176" s="146"/>
      <c r="GRM176" s="146"/>
      <c r="GRN176" s="146"/>
      <c r="GRO176" s="146"/>
      <c r="GRP176" s="146"/>
      <c r="GRQ176" s="146"/>
      <c r="GRR176" s="146"/>
      <c r="GRS176" s="146"/>
      <c r="GRT176" s="146"/>
      <c r="GRU176" s="146"/>
      <c r="GRV176" s="146"/>
      <c r="GRW176" s="146"/>
      <c r="GRX176" s="146"/>
      <c r="GRY176" s="146"/>
      <c r="GRZ176" s="146"/>
      <c r="GSA176" s="146"/>
      <c r="GSB176" s="146"/>
      <c r="GSC176" s="146"/>
      <c r="GSD176" s="146"/>
      <c r="GSE176" s="146"/>
      <c r="GSF176" s="146"/>
      <c r="GSG176" s="146"/>
      <c r="GSH176" s="146"/>
      <c r="GSI176" s="146"/>
      <c r="GSJ176" s="146"/>
      <c r="GSK176" s="146"/>
      <c r="GSL176" s="146"/>
      <c r="GSM176" s="146"/>
      <c r="GSN176" s="146"/>
      <c r="GSO176" s="146"/>
      <c r="GSP176" s="146"/>
      <c r="GSQ176" s="146"/>
      <c r="GSR176" s="146"/>
      <c r="GSS176" s="146"/>
      <c r="GST176" s="146"/>
      <c r="GSU176" s="146"/>
      <c r="GSV176" s="146"/>
      <c r="GSW176" s="146"/>
      <c r="GSX176" s="146"/>
      <c r="GSY176" s="146"/>
      <c r="GSZ176" s="146"/>
      <c r="GTA176" s="146"/>
      <c r="GTB176" s="146"/>
      <c r="GTC176" s="146"/>
      <c r="GTD176" s="146"/>
      <c r="GTE176" s="146"/>
      <c r="GTF176" s="146"/>
      <c r="GTG176" s="146"/>
      <c r="GTH176" s="146"/>
      <c r="GTI176" s="146"/>
      <c r="GTJ176" s="146"/>
      <c r="GTK176" s="146"/>
      <c r="GTL176" s="146"/>
      <c r="GTM176" s="146"/>
      <c r="GTN176" s="146"/>
      <c r="GTO176" s="146"/>
      <c r="GTP176" s="146"/>
      <c r="GTQ176" s="146"/>
      <c r="GTR176" s="146"/>
      <c r="GTS176" s="146"/>
      <c r="GTT176" s="146"/>
      <c r="GTU176" s="146"/>
      <c r="GTV176" s="146"/>
      <c r="GTW176" s="146"/>
      <c r="GTX176" s="146"/>
      <c r="GTY176" s="146"/>
      <c r="GTZ176" s="146"/>
      <c r="GUA176" s="146"/>
      <c r="GUB176" s="146"/>
      <c r="GUC176" s="146"/>
      <c r="GUD176" s="146"/>
      <c r="GUE176" s="146"/>
      <c r="GUF176" s="146"/>
      <c r="GUG176" s="146"/>
      <c r="GUH176" s="146"/>
      <c r="GUI176" s="146"/>
      <c r="GUJ176" s="146"/>
      <c r="GUK176" s="146"/>
      <c r="GUL176" s="146"/>
      <c r="GUM176" s="146"/>
      <c r="GUN176" s="146"/>
      <c r="GUO176" s="146"/>
      <c r="GUP176" s="146"/>
      <c r="GUQ176" s="146"/>
      <c r="GUR176" s="146"/>
      <c r="GUS176" s="146"/>
      <c r="GUT176" s="146"/>
      <c r="GUU176" s="146"/>
      <c r="GUV176" s="146"/>
      <c r="GUW176" s="146"/>
      <c r="GUX176" s="146"/>
      <c r="GUY176" s="146"/>
      <c r="GUZ176" s="146"/>
      <c r="GVA176" s="146"/>
      <c r="GVB176" s="146"/>
      <c r="GVC176" s="146"/>
      <c r="GVD176" s="146"/>
      <c r="GVE176" s="146"/>
      <c r="GVF176" s="146"/>
      <c r="GVG176" s="146"/>
      <c r="GVH176" s="146"/>
      <c r="GVI176" s="146"/>
      <c r="GVJ176" s="146"/>
      <c r="GVK176" s="146"/>
      <c r="GVL176" s="146"/>
      <c r="GVM176" s="146"/>
      <c r="GVN176" s="146"/>
      <c r="GVO176" s="146"/>
      <c r="GVP176" s="146"/>
      <c r="GVQ176" s="146"/>
      <c r="GVR176" s="146"/>
      <c r="GVS176" s="146"/>
      <c r="GVT176" s="146"/>
      <c r="GVU176" s="146"/>
      <c r="GVV176" s="146"/>
      <c r="GVW176" s="146"/>
      <c r="GVX176" s="146"/>
      <c r="GVY176" s="146"/>
      <c r="GVZ176" s="146"/>
      <c r="GWA176" s="146"/>
      <c r="GWB176" s="146"/>
      <c r="GWC176" s="146"/>
      <c r="GWD176" s="146"/>
      <c r="GWE176" s="146"/>
      <c r="GWF176" s="146"/>
      <c r="GWG176" s="146"/>
      <c r="GWH176" s="146"/>
      <c r="GWI176" s="146"/>
      <c r="GWJ176" s="146"/>
      <c r="GWK176" s="146"/>
      <c r="GWL176" s="146"/>
      <c r="GWM176" s="146"/>
      <c r="GWN176" s="146"/>
      <c r="GWO176" s="146"/>
      <c r="GWP176" s="146"/>
      <c r="GWQ176" s="146"/>
      <c r="GWR176" s="146"/>
      <c r="GWS176" s="146"/>
      <c r="GWT176" s="146"/>
      <c r="GWU176" s="146"/>
      <c r="GWV176" s="146"/>
      <c r="GWW176" s="146"/>
      <c r="GWX176" s="146"/>
      <c r="GWY176" s="146"/>
      <c r="GWZ176" s="146"/>
      <c r="GXA176" s="146"/>
      <c r="GXB176" s="146"/>
      <c r="GXC176" s="146"/>
      <c r="GXD176" s="146"/>
      <c r="GXE176" s="146"/>
      <c r="GXF176" s="146"/>
      <c r="GXG176" s="146"/>
      <c r="GXH176" s="146"/>
      <c r="GXI176" s="146"/>
      <c r="GXJ176" s="146"/>
      <c r="GXK176" s="146"/>
      <c r="GXL176" s="146"/>
      <c r="GXM176" s="146"/>
      <c r="GXN176" s="146"/>
      <c r="GXO176" s="146"/>
      <c r="GXP176" s="146"/>
      <c r="GXQ176" s="146"/>
      <c r="GXR176" s="146"/>
      <c r="GXS176" s="146"/>
      <c r="GXT176" s="146"/>
      <c r="GXU176" s="146"/>
      <c r="GXV176" s="146"/>
      <c r="GXW176" s="146"/>
      <c r="GXX176" s="146"/>
      <c r="GXY176" s="146"/>
      <c r="GXZ176" s="146"/>
      <c r="GYA176" s="146"/>
      <c r="GYB176" s="146"/>
      <c r="GYC176" s="146"/>
      <c r="GYD176" s="146"/>
      <c r="GYE176" s="146"/>
      <c r="GYF176" s="146"/>
      <c r="GYG176" s="146"/>
      <c r="GYH176" s="146"/>
      <c r="GYI176" s="146"/>
      <c r="GYJ176" s="146"/>
      <c r="GYK176" s="146"/>
      <c r="GYL176" s="146"/>
      <c r="GYM176" s="146"/>
      <c r="GYN176" s="146"/>
      <c r="GYO176" s="146"/>
      <c r="GYP176" s="146"/>
      <c r="GYQ176" s="146"/>
      <c r="GYR176" s="146"/>
      <c r="GYS176" s="146"/>
      <c r="GYT176" s="146"/>
      <c r="GYU176" s="146"/>
      <c r="GYV176" s="146"/>
      <c r="GYW176" s="146"/>
      <c r="GYX176" s="146"/>
      <c r="GYY176" s="146"/>
      <c r="GYZ176" s="146"/>
      <c r="GZA176" s="146"/>
      <c r="GZB176" s="146"/>
      <c r="GZC176" s="146"/>
      <c r="GZD176" s="146"/>
      <c r="GZE176" s="146"/>
      <c r="GZF176" s="146"/>
      <c r="GZG176" s="146"/>
      <c r="GZH176" s="146"/>
      <c r="GZI176" s="146"/>
      <c r="GZJ176" s="146"/>
      <c r="GZK176" s="146"/>
      <c r="GZL176" s="146"/>
      <c r="GZM176" s="146"/>
      <c r="GZN176" s="146"/>
      <c r="GZO176" s="146"/>
      <c r="GZP176" s="146"/>
      <c r="GZQ176" s="146"/>
      <c r="GZR176" s="146"/>
      <c r="GZS176" s="146"/>
      <c r="GZT176" s="146"/>
      <c r="GZU176" s="146"/>
      <c r="GZV176" s="146"/>
      <c r="GZW176" s="146"/>
      <c r="GZX176" s="146"/>
      <c r="GZY176" s="146"/>
      <c r="GZZ176" s="146"/>
      <c r="HAA176" s="146"/>
      <c r="HAB176" s="146"/>
      <c r="HAC176" s="146"/>
      <c r="HAD176" s="146"/>
      <c r="HAE176" s="146"/>
      <c r="HAF176" s="146"/>
      <c r="HAG176" s="146"/>
      <c r="HAH176" s="146"/>
      <c r="HAI176" s="146"/>
      <c r="HAJ176" s="146"/>
      <c r="HAK176" s="146"/>
      <c r="HAL176" s="146"/>
      <c r="HAM176" s="146"/>
      <c r="HAN176" s="146"/>
      <c r="HAO176" s="146"/>
      <c r="HAP176" s="146"/>
      <c r="HAQ176" s="146"/>
      <c r="HAR176" s="146"/>
      <c r="HAS176" s="146"/>
      <c r="HAT176" s="146"/>
      <c r="HAU176" s="146"/>
      <c r="HAV176" s="146"/>
      <c r="HAW176" s="146"/>
      <c r="HAX176" s="146"/>
      <c r="HAY176" s="146"/>
      <c r="HAZ176" s="146"/>
      <c r="HBA176" s="146"/>
      <c r="HBB176" s="146"/>
      <c r="HBC176" s="146"/>
      <c r="HBD176" s="146"/>
      <c r="HBE176" s="146"/>
      <c r="HBF176" s="146"/>
      <c r="HBG176" s="146"/>
      <c r="HBH176" s="146"/>
      <c r="HBI176" s="146"/>
      <c r="HBJ176" s="146"/>
      <c r="HBK176" s="146"/>
      <c r="HBL176" s="146"/>
      <c r="HBM176" s="146"/>
      <c r="HBN176" s="146"/>
      <c r="HBO176" s="146"/>
      <c r="HBP176" s="146"/>
      <c r="HBQ176" s="146"/>
      <c r="HBR176" s="146"/>
      <c r="HBS176" s="146"/>
      <c r="HBT176" s="146"/>
      <c r="HBU176" s="146"/>
      <c r="HBV176" s="146"/>
      <c r="HBW176" s="146"/>
      <c r="HBX176" s="146"/>
      <c r="HBY176" s="146"/>
      <c r="HBZ176" s="146"/>
      <c r="HCA176" s="146"/>
      <c r="HCB176" s="146"/>
      <c r="HCC176" s="146"/>
      <c r="HCD176" s="146"/>
      <c r="HCE176" s="146"/>
      <c r="HCF176" s="146"/>
      <c r="HCG176" s="146"/>
      <c r="HCH176" s="146"/>
      <c r="HCI176" s="146"/>
      <c r="HCJ176" s="146"/>
      <c r="HCK176" s="146"/>
      <c r="HCL176" s="146"/>
      <c r="HCM176" s="146"/>
      <c r="HCN176" s="146"/>
      <c r="HCO176" s="146"/>
      <c r="HCP176" s="146"/>
      <c r="HCQ176" s="146"/>
      <c r="HCR176" s="146"/>
      <c r="HCS176" s="146"/>
      <c r="HCT176" s="146"/>
      <c r="HCU176" s="146"/>
      <c r="HCV176" s="146"/>
      <c r="HCW176" s="146"/>
      <c r="HCX176" s="146"/>
      <c r="HCY176" s="146"/>
      <c r="HCZ176" s="146"/>
      <c r="HDA176" s="146"/>
      <c r="HDB176" s="146"/>
      <c r="HDC176" s="146"/>
      <c r="HDD176" s="146"/>
      <c r="HDE176" s="146"/>
      <c r="HDF176" s="146"/>
      <c r="HDG176" s="146"/>
      <c r="HDH176" s="146"/>
      <c r="HDI176" s="146"/>
      <c r="HDJ176" s="146"/>
      <c r="HDK176" s="146"/>
      <c r="HDL176" s="146"/>
      <c r="HDM176" s="146"/>
      <c r="HDN176" s="146"/>
      <c r="HDO176" s="146"/>
      <c r="HDP176" s="146"/>
      <c r="HDQ176" s="146"/>
      <c r="HDR176" s="146"/>
      <c r="HDS176" s="146"/>
      <c r="HDT176" s="146"/>
      <c r="HDU176" s="146"/>
      <c r="HDV176" s="146"/>
      <c r="HDW176" s="146"/>
      <c r="HDX176" s="146"/>
      <c r="HDY176" s="146"/>
      <c r="HDZ176" s="146"/>
      <c r="HEA176" s="146"/>
      <c r="HEB176" s="146"/>
      <c r="HEC176" s="146"/>
      <c r="HED176" s="146"/>
      <c r="HEE176" s="146"/>
      <c r="HEF176" s="146"/>
      <c r="HEG176" s="146"/>
      <c r="HEH176" s="146"/>
      <c r="HEI176" s="146"/>
      <c r="HEJ176" s="146"/>
      <c r="HEK176" s="146"/>
      <c r="HEL176" s="146"/>
      <c r="HEM176" s="146"/>
      <c r="HEN176" s="146"/>
      <c r="HEO176" s="146"/>
      <c r="HEP176" s="146"/>
      <c r="HEQ176" s="146"/>
      <c r="HER176" s="146"/>
      <c r="HES176" s="146"/>
      <c r="HET176" s="146"/>
      <c r="HEU176" s="146"/>
      <c r="HEV176" s="146"/>
      <c r="HEW176" s="146"/>
      <c r="HEX176" s="146"/>
      <c r="HEY176" s="146"/>
      <c r="HEZ176" s="146"/>
      <c r="HFA176" s="146"/>
      <c r="HFB176" s="146"/>
      <c r="HFC176" s="146"/>
      <c r="HFD176" s="146"/>
      <c r="HFE176" s="146"/>
      <c r="HFF176" s="146"/>
      <c r="HFG176" s="146"/>
      <c r="HFH176" s="146"/>
      <c r="HFI176" s="146"/>
      <c r="HFJ176" s="146"/>
      <c r="HFK176" s="146"/>
      <c r="HFL176" s="146"/>
      <c r="HFM176" s="146"/>
      <c r="HFN176" s="146"/>
      <c r="HFO176" s="146"/>
      <c r="HFP176" s="146"/>
      <c r="HFQ176" s="146"/>
      <c r="HFR176" s="146"/>
      <c r="HFS176" s="146"/>
      <c r="HFT176" s="146"/>
      <c r="HFU176" s="146"/>
      <c r="HFV176" s="146"/>
      <c r="HFW176" s="146"/>
      <c r="HFX176" s="146"/>
      <c r="HFY176" s="146"/>
      <c r="HFZ176" s="146"/>
      <c r="HGA176" s="146"/>
      <c r="HGB176" s="146"/>
      <c r="HGC176" s="146"/>
      <c r="HGD176" s="146"/>
      <c r="HGE176" s="146"/>
      <c r="HGF176" s="146"/>
      <c r="HGG176" s="146"/>
      <c r="HGH176" s="146"/>
      <c r="HGI176" s="146"/>
      <c r="HGJ176" s="146"/>
      <c r="HGK176" s="146"/>
      <c r="HGL176" s="146"/>
      <c r="HGM176" s="146"/>
      <c r="HGN176" s="146"/>
      <c r="HGO176" s="146"/>
      <c r="HGP176" s="146"/>
      <c r="HGQ176" s="146"/>
      <c r="HGR176" s="146"/>
      <c r="HGS176" s="146"/>
      <c r="HGT176" s="146"/>
      <c r="HGU176" s="146"/>
      <c r="HGV176" s="146"/>
      <c r="HGW176" s="146"/>
      <c r="HGX176" s="146"/>
      <c r="HGY176" s="146"/>
      <c r="HGZ176" s="146"/>
      <c r="HHA176" s="146"/>
      <c r="HHB176" s="146"/>
      <c r="HHC176" s="146"/>
      <c r="HHD176" s="146"/>
      <c r="HHE176" s="146"/>
      <c r="HHF176" s="146"/>
      <c r="HHG176" s="146"/>
      <c r="HHH176" s="146"/>
      <c r="HHI176" s="146"/>
      <c r="HHJ176" s="146"/>
      <c r="HHK176" s="146"/>
      <c r="HHL176" s="146"/>
      <c r="HHM176" s="146"/>
      <c r="HHN176" s="146"/>
      <c r="HHO176" s="146"/>
      <c r="HHP176" s="146"/>
      <c r="HHQ176" s="146"/>
      <c r="HHR176" s="146"/>
      <c r="HHS176" s="146"/>
      <c r="HHT176" s="146"/>
      <c r="HHU176" s="146"/>
      <c r="HHV176" s="146"/>
      <c r="HHW176" s="146"/>
      <c r="HHX176" s="146"/>
      <c r="HHY176" s="146"/>
      <c r="HHZ176" s="146"/>
      <c r="HIA176" s="146"/>
      <c r="HIB176" s="146"/>
      <c r="HIC176" s="146"/>
      <c r="HID176" s="146"/>
      <c r="HIE176" s="146"/>
      <c r="HIF176" s="146"/>
      <c r="HIG176" s="146"/>
      <c r="HIH176" s="146"/>
      <c r="HII176" s="146"/>
      <c r="HIJ176" s="146"/>
      <c r="HIK176" s="146"/>
      <c r="HIL176" s="146"/>
      <c r="HIM176" s="146"/>
      <c r="HIN176" s="146"/>
      <c r="HIO176" s="146"/>
      <c r="HIP176" s="146"/>
      <c r="HIQ176" s="146"/>
      <c r="HIR176" s="146"/>
      <c r="HIS176" s="146"/>
      <c r="HIT176" s="146"/>
      <c r="HIU176" s="146"/>
      <c r="HIV176" s="146"/>
      <c r="HIW176" s="146"/>
      <c r="HIX176" s="146"/>
      <c r="HIY176" s="146"/>
      <c r="HIZ176" s="146"/>
      <c r="HJA176" s="146"/>
      <c r="HJB176" s="146"/>
      <c r="HJC176" s="146"/>
      <c r="HJD176" s="146"/>
      <c r="HJE176" s="146"/>
      <c r="HJF176" s="146"/>
      <c r="HJG176" s="146"/>
      <c r="HJH176" s="146"/>
      <c r="HJI176" s="146"/>
      <c r="HJJ176" s="146"/>
      <c r="HJK176" s="146"/>
      <c r="HJL176" s="146"/>
      <c r="HJM176" s="146"/>
      <c r="HJN176" s="146"/>
      <c r="HJO176" s="146"/>
      <c r="HJP176" s="146"/>
      <c r="HJQ176" s="146"/>
      <c r="HJR176" s="146"/>
      <c r="HJS176" s="146"/>
      <c r="HJT176" s="146"/>
      <c r="HJU176" s="146"/>
      <c r="HJV176" s="146"/>
      <c r="HJW176" s="146"/>
      <c r="HJX176" s="146"/>
      <c r="HJY176" s="146"/>
      <c r="HJZ176" s="146"/>
      <c r="HKA176" s="146"/>
      <c r="HKB176" s="146"/>
      <c r="HKC176" s="146"/>
      <c r="HKD176" s="146"/>
      <c r="HKE176" s="146"/>
      <c r="HKF176" s="146"/>
      <c r="HKG176" s="146"/>
      <c r="HKH176" s="146"/>
      <c r="HKI176" s="146"/>
      <c r="HKJ176" s="146"/>
      <c r="HKK176" s="146"/>
      <c r="HKL176" s="146"/>
      <c r="HKM176" s="146"/>
      <c r="HKN176" s="146"/>
      <c r="HKO176" s="146"/>
      <c r="HKP176" s="146"/>
      <c r="HKQ176" s="146"/>
      <c r="HKR176" s="146"/>
      <c r="HKS176" s="146"/>
      <c r="HKT176" s="146"/>
      <c r="HKU176" s="146"/>
      <c r="HKV176" s="146"/>
      <c r="HKW176" s="146"/>
      <c r="HKX176" s="146"/>
      <c r="HKY176" s="146"/>
      <c r="HKZ176" s="146"/>
      <c r="HLA176" s="146"/>
      <c r="HLB176" s="146"/>
      <c r="HLC176" s="146"/>
      <c r="HLD176" s="146"/>
      <c r="HLE176" s="146"/>
      <c r="HLF176" s="146"/>
      <c r="HLG176" s="146"/>
      <c r="HLH176" s="146"/>
      <c r="HLI176" s="146"/>
      <c r="HLJ176" s="146"/>
      <c r="HLK176" s="146"/>
      <c r="HLL176" s="146"/>
      <c r="HLM176" s="146"/>
      <c r="HLN176" s="146"/>
      <c r="HLO176" s="146"/>
      <c r="HLP176" s="146"/>
      <c r="HLQ176" s="146"/>
      <c r="HLR176" s="146"/>
      <c r="HLS176" s="146"/>
      <c r="HLT176" s="146"/>
      <c r="HLU176" s="146"/>
      <c r="HLV176" s="146"/>
      <c r="HLW176" s="146"/>
      <c r="HLX176" s="146"/>
      <c r="HLY176" s="146"/>
      <c r="HLZ176" s="146"/>
      <c r="HMA176" s="146"/>
      <c r="HMB176" s="146"/>
      <c r="HMC176" s="146"/>
      <c r="HMD176" s="146"/>
      <c r="HME176" s="146"/>
      <c r="HMF176" s="146"/>
      <c r="HMG176" s="146"/>
      <c r="HMH176" s="146"/>
      <c r="HMI176" s="146"/>
      <c r="HMJ176" s="146"/>
      <c r="HMK176" s="146"/>
      <c r="HML176" s="146"/>
      <c r="HMM176" s="146"/>
      <c r="HMN176" s="146"/>
      <c r="HMO176" s="146"/>
      <c r="HMP176" s="146"/>
      <c r="HMQ176" s="146"/>
      <c r="HMR176" s="146"/>
      <c r="HMS176" s="146"/>
      <c r="HMT176" s="146"/>
      <c r="HMU176" s="146"/>
      <c r="HMV176" s="146"/>
      <c r="HMW176" s="146"/>
      <c r="HMX176" s="146"/>
      <c r="HMY176" s="146"/>
      <c r="HMZ176" s="146"/>
      <c r="HNA176" s="146"/>
      <c r="HNB176" s="146"/>
      <c r="HNC176" s="146"/>
      <c r="HND176" s="146"/>
      <c r="HNE176" s="146"/>
      <c r="HNF176" s="146"/>
      <c r="HNG176" s="146"/>
      <c r="HNH176" s="146"/>
      <c r="HNI176" s="146"/>
      <c r="HNJ176" s="146"/>
      <c r="HNK176" s="146"/>
      <c r="HNL176" s="146"/>
      <c r="HNM176" s="146"/>
      <c r="HNN176" s="146"/>
      <c r="HNO176" s="146"/>
      <c r="HNP176" s="146"/>
      <c r="HNQ176" s="146"/>
      <c r="HNR176" s="146"/>
      <c r="HNS176" s="146"/>
      <c r="HNT176" s="146"/>
      <c r="HNU176" s="146"/>
      <c r="HNV176" s="146"/>
      <c r="HNW176" s="146"/>
      <c r="HNX176" s="146"/>
      <c r="HNY176" s="146"/>
      <c r="HNZ176" s="146"/>
      <c r="HOA176" s="146"/>
      <c r="HOB176" s="146"/>
      <c r="HOC176" s="146"/>
      <c r="HOD176" s="146"/>
      <c r="HOE176" s="146"/>
      <c r="HOF176" s="146"/>
      <c r="HOG176" s="146"/>
      <c r="HOH176" s="146"/>
      <c r="HOI176" s="146"/>
      <c r="HOJ176" s="146"/>
      <c r="HOK176" s="146"/>
      <c r="HOL176" s="146"/>
      <c r="HOM176" s="146"/>
      <c r="HON176" s="146"/>
      <c r="HOO176" s="146"/>
      <c r="HOP176" s="146"/>
      <c r="HOQ176" s="146"/>
      <c r="HOR176" s="146"/>
      <c r="HOS176" s="146"/>
      <c r="HOT176" s="146"/>
      <c r="HOU176" s="146"/>
      <c r="HOV176" s="146"/>
      <c r="HOW176" s="146"/>
      <c r="HOX176" s="146"/>
      <c r="HOY176" s="146"/>
      <c r="HOZ176" s="146"/>
      <c r="HPA176" s="146"/>
      <c r="HPB176" s="146"/>
      <c r="HPC176" s="146"/>
      <c r="HPD176" s="146"/>
      <c r="HPE176" s="146"/>
      <c r="HPF176" s="146"/>
      <c r="HPG176" s="146"/>
      <c r="HPH176" s="146"/>
      <c r="HPI176" s="146"/>
      <c r="HPJ176" s="146"/>
      <c r="HPK176" s="146"/>
      <c r="HPL176" s="146"/>
      <c r="HPM176" s="146"/>
      <c r="HPN176" s="146"/>
      <c r="HPO176" s="146"/>
      <c r="HPP176" s="146"/>
      <c r="HPQ176" s="146"/>
      <c r="HPR176" s="146"/>
      <c r="HPS176" s="146"/>
      <c r="HPT176" s="146"/>
      <c r="HPU176" s="146"/>
      <c r="HPV176" s="146"/>
      <c r="HPW176" s="146"/>
      <c r="HPX176" s="146"/>
      <c r="HPY176" s="146"/>
      <c r="HPZ176" s="146"/>
      <c r="HQA176" s="146"/>
      <c r="HQB176" s="146"/>
      <c r="HQC176" s="146"/>
      <c r="HQD176" s="146"/>
      <c r="HQE176" s="146"/>
      <c r="HQF176" s="146"/>
      <c r="HQG176" s="146"/>
      <c r="HQH176" s="146"/>
      <c r="HQI176" s="146"/>
      <c r="HQJ176" s="146"/>
      <c r="HQK176" s="146"/>
      <c r="HQL176" s="146"/>
      <c r="HQM176" s="146"/>
      <c r="HQN176" s="146"/>
      <c r="HQO176" s="146"/>
      <c r="HQP176" s="146"/>
      <c r="HQQ176" s="146"/>
      <c r="HQR176" s="146"/>
      <c r="HQS176" s="146"/>
      <c r="HQT176" s="146"/>
      <c r="HQU176" s="146"/>
      <c r="HQV176" s="146"/>
      <c r="HQW176" s="146"/>
      <c r="HQX176" s="146"/>
      <c r="HQY176" s="146"/>
      <c r="HQZ176" s="146"/>
      <c r="HRA176" s="146"/>
      <c r="HRB176" s="146"/>
      <c r="HRC176" s="146"/>
      <c r="HRD176" s="146"/>
      <c r="HRE176" s="146"/>
      <c r="HRF176" s="146"/>
      <c r="HRG176" s="146"/>
      <c r="HRH176" s="146"/>
      <c r="HRI176" s="146"/>
      <c r="HRJ176" s="146"/>
      <c r="HRK176" s="146"/>
      <c r="HRL176" s="146"/>
      <c r="HRM176" s="146"/>
      <c r="HRN176" s="146"/>
      <c r="HRO176" s="146"/>
      <c r="HRP176" s="146"/>
      <c r="HRQ176" s="146"/>
      <c r="HRR176" s="146"/>
      <c r="HRS176" s="146"/>
      <c r="HRT176" s="146"/>
      <c r="HRU176" s="146"/>
      <c r="HRV176" s="146"/>
      <c r="HRW176" s="146"/>
      <c r="HRX176" s="146"/>
      <c r="HRY176" s="146"/>
      <c r="HRZ176" s="146"/>
      <c r="HSA176" s="146"/>
      <c r="HSB176" s="146"/>
      <c r="HSC176" s="146"/>
      <c r="HSD176" s="146"/>
      <c r="HSE176" s="146"/>
      <c r="HSF176" s="146"/>
      <c r="HSG176" s="146"/>
      <c r="HSH176" s="146"/>
      <c r="HSI176" s="146"/>
      <c r="HSJ176" s="146"/>
      <c r="HSK176" s="146"/>
      <c r="HSL176" s="146"/>
      <c r="HSM176" s="146"/>
      <c r="HSN176" s="146"/>
      <c r="HSO176" s="146"/>
      <c r="HSP176" s="146"/>
      <c r="HSQ176" s="146"/>
      <c r="HSR176" s="146"/>
      <c r="HSS176" s="146"/>
      <c r="HST176" s="146"/>
      <c r="HSU176" s="146"/>
      <c r="HSV176" s="146"/>
      <c r="HSW176" s="146"/>
      <c r="HSX176" s="146"/>
      <c r="HSY176" s="146"/>
      <c r="HSZ176" s="146"/>
      <c r="HTA176" s="146"/>
      <c r="HTB176" s="146"/>
      <c r="HTC176" s="146"/>
      <c r="HTD176" s="146"/>
      <c r="HTE176" s="146"/>
      <c r="HTF176" s="146"/>
      <c r="HTG176" s="146"/>
      <c r="HTH176" s="146"/>
      <c r="HTI176" s="146"/>
      <c r="HTJ176" s="146"/>
      <c r="HTK176" s="146"/>
      <c r="HTL176" s="146"/>
      <c r="HTM176" s="146"/>
      <c r="HTN176" s="146"/>
      <c r="HTO176" s="146"/>
      <c r="HTP176" s="146"/>
      <c r="HTQ176" s="146"/>
      <c r="HTR176" s="146"/>
      <c r="HTS176" s="146"/>
      <c r="HTT176" s="146"/>
      <c r="HTU176" s="146"/>
      <c r="HTV176" s="146"/>
      <c r="HTW176" s="146"/>
      <c r="HTX176" s="146"/>
      <c r="HTY176" s="146"/>
      <c r="HTZ176" s="146"/>
      <c r="HUA176" s="146"/>
      <c r="HUB176" s="146"/>
      <c r="HUC176" s="146"/>
      <c r="HUD176" s="146"/>
      <c r="HUE176" s="146"/>
      <c r="HUF176" s="146"/>
      <c r="HUG176" s="146"/>
      <c r="HUH176" s="146"/>
      <c r="HUI176" s="146"/>
      <c r="HUJ176" s="146"/>
      <c r="HUK176" s="146"/>
      <c r="HUL176" s="146"/>
      <c r="HUM176" s="146"/>
      <c r="HUN176" s="146"/>
      <c r="HUO176" s="146"/>
      <c r="HUP176" s="146"/>
      <c r="HUQ176" s="146"/>
      <c r="HUR176" s="146"/>
      <c r="HUS176" s="146"/>
      <c r="HUT176" s="146"/>
      <c r="HUU176" s="146"/>
      <c r="HUV176" s="146"/>
      <c r="HUW176" s="146"/>
      <c r="HUX176" s="146"/>
      <c r="HUY176" s="146"/>
      <c r="HUZ176" s="146"/>
      <c r="HVA176" s="146"/>
      <c r="HVB176" s="146"/>
      <c r="HVC176" s="146"/>
      <c r="HVD176" s="146"/>
      <c r="HVE176" s="146"/>
      <c r="HVF176" s="146"/>
      <c r="HVG176" s="146"/>
      <c r="HVH176" s="146"/>
      <c r="HVI176" s="146"/>
      <c r="HVJ176" s="146"/>
      <c r="HVK176" s="146"/>
      <c r="HVL176" s="146"/>
      <c r="HVM176" s="146"/>
      <c r="HVN176" s="146"/>
      <c r="HVO176" s="146"/>
      <c r="HVP176" s="146"/>
      <c r="HVQ176" s="146"/>
      <c r="HVR176" s="146"/>
      <c r="HVS176" s="146"/>
      <c r="HVT176" s="146"/>
      <c r="HVU176" s="146"/>
      <c r="HVV176" s="146"/>
      <c r="HVW176" s="146"/>
      <c r="HVX176" s="146"/>
      <c r="HVY176" s="146"/>
      <c r="HVZ176" s="146"/>
      <c r="HWA176" s="146"/>
      <c r="HWB176" s="146"/>
      <c r="HWC176" s="146"/>
      <c r="HWD176" s="146"/>
      <c r="HWE176" s="146"/>
      <c r="HWF176" s="146"/>
      <c r="HWG176" s="146"/>
      <c r="HWH176" s="146"/>
      <c r="HWI176" s="146"/>
      <c r="HWJ176" s="146"/>
      <c r="HWK176" s="146"/>
      <c r="HWL176" s="146"/>
      <c r="HWM176" s="146"/>
      <c r="HWN176" s="146"/>
      <c r="HWO176" s="146"/>
      <c r="HWP176" s="146"/>
      <c r="HWQ176" s="146"/>
      <c r="HWR176" s="146"/>
      <c r="HWS176" s="146"/>
      <c r="HWT176" s="146"/>
      <c r="HWU176" s="146"/>
      <c r="HWV176" s="146"/>
      <c r="HWW176" s="146"/>
      <c r="HWX176" s="146"/>
      <c r="HWY176" s="146"/>
      <c r="HWZ176" s="146"/>
      <c r="HXA176" s="146"/>
      <c r="HXB176" s="146"/>
      <c r="HXC176" s="146"/>
      <c r="HXD176" s="146"/>
      <c r="HXE176" s="146"/>
      <c r="HXF176" s="146"/>
      <c r="HXG176" s="146"/>
      <c r="HXH176" s="146"/>
      <c r="HXI176" s="146"/>
      <c r="HXJ176" s="146"/>
      <c r="HXK176" s="146"/>
      <c r="HXL176" s="146"/>
      <c r="HXM176" s="146"/>
      <c r="HXN176" s="146"/>
      <c r="HXO176" s="146"/>
      <c r="HXP176" s="146"/>
      <c r="HXQ176" s="146"/>
      <c r="HXR176" s="146"/>
      <c r="HXS176" s="146"/>
      <c r="HXT176" s="146"/>
      <c r="HXU176" s="146"/>
      <c r="HXV176" s="146"/>
      <c r="HXW176" s="146"/>
      <c r="HXX176" s="146"/>
      <c r="HXY176" s="146"/>
      <c r="HXZ176" s="146"/>
      <c r="HYA176" s="146"/>
      <c r="HYB176" s="146"/>
      <c r="HYC176" s="146"/>
      <c r="HYD176" s="146"/>
      <c r="HYE176" s="146"/>
      <c r="HYF176" s="146"/>
      <c r="HYG176" s="146"/>
      <c r="HYH176" s="146"/>
      <c r="HYI176" s="146"/>
      <c r="HYJ176" s="146"/>
      <c r="HYK176" s="146"/>
      <c r="HYL176" s="146"/>
      <c r="HYM176" s="146"/>
      <c r="HYN176" s="146"/>
      <c r="HYO176" s="146"/>
      <c r="HYP176" s="146"/>
      <c r="HYQ176" s="146"/>
      <c r="HYR176" s="146"/>
      <c r="HYS176" s="146"/>
      <c r="HYT176" s="146"/>
      <c r="HYU176" s="146"/>
      <c r="HYV176" s="146"/>
      <c r="HYW176" s="146"/>
      <c r="HYX176" s="146"/>
      <c r="HYY176" s="146"/>
      <c r="HYZ176" s="146"/>
      <c r="HZA176" s="146"/>
      <c r="HZB176" s="146"/>
      <c r="HZC176" s="146"/>
      <c r="HZD176" s="146"/>
      <c r="HZE176" s="146"/>
      <c r="HZF176" s="146"/>
      <c r="HZG176" s="146"/>
      <c r="HZH176" s="146"/>
      <c r="HZI176" s="146"/>
      <c r="HZJ176" s="146"/>
      <c r="HZK176" s="146"/>
      <c r="HZL176" s="146"/>
      <c r="HZM176" s="146"/>
      <c r="HZN176" s="146"/>
      <c r="HZO176" s="146"/>
      <c r="HZP176" s="146"/>
      <c r="HZQ176" s="146"/>
      <c r="HZR176" s="146"/>
      <c r="HZS176" s="146"/>
      <c r="HZT176" s="146"/>
      <c r="HZU176" s="146"/>
      <c r="HZV176" s="146"/>
      <c r="HZW176" s="146"/>
      <c r="HZX176" s="146"/>
      <c r="HZY176" s="146"/>
      <c r="HZZ176" s="146"/>
      <c r="IAA176" s="146"/>
      <c r="IAB176" s="146"/>
      <c r="IAC176" s="146"/>
      <c r="IAD176" s="146"/>
      <c r="IAE176" s="146"/>
      <c r="IAF176" s="146"/>
      <c r="IAG176" s="146"/>
      <c r="IAH176" s="146"/>
      <c r="IAI176" s="146"/>
      <c r="IAJ176" s="146"/>
      <c r="IAK176" s="146"/>
      <c r="IAL176" s="146"/>
      <c r="IAM176" s="146"/>
      <c r="IAN176" s="146"/>
      <c r="IAO176" s="146"/>
      <c r="IAP176" s="146"/>
      <c r="IAQ176" s="146"/>
      <c r="IAR176" s="146"/>
      <c r="IAS176" s="146"/>
      <c r="IAT176" s="146"/>
      <c r="IAU176" s="146"/>
      <c r="IAV176" s="146"/>
      <c r="IAW176" s="146"/>
      <c r="IAX176" s="146"/>
      <c r="IAY176" s="146"/>
      <c r="IAZ176" s="146"/>
      <c r="IBA176" s="146"/>
      <c r="IBB176" s="146"/>
      <c r="IBC176" s="146"/>
      <c r="IBD176" s="146"/>
      <c r="IBE176" s="146"/>
      <c r="IBF176" s="146"/>
      <c r="IBG176" s="146"/>
      <c r="IBH176" s="146"/>
      <c r="IBI176" s="146"/>
      <c r="IBJ176" s="146"/>
      <c r="IBK176" s="146"/>
      <c r="IBL176" s="146"/>
      <c r="IBM176" s="146"/>
      <c r="IBN176" s="146"/>
      <c r="IBO176" s="146"/>
      <c r="IBP176" s="146"/>
      <c r="IBQ176" s="146"/>
      <c r="IBR176" s="146"/>
      <c r="IBS176" s="146"/>
      <c r="IBT176" s="146"/>
      <c r="IBU176" s="146"/>
      <c r="IBV176" s="146"/>
      <c r="IBW176" s="146"/>
      <c r="IBX176" s="146"/>
      <c r="IBY176" s="146"/>
      <c r="IBZ176" s="146"/>
      <c r="ICA176" s="146"/>
      <c r="ICB176" s="146"/>
      <c r="ICC176" s="146"/>
      <c r="ICD176" s="146"/>
      <c r="ICE176" s="146"/>
      <c r="ICF176" s="146"/>
      <c r="ICG176" s="146"/>
      <c r="ICH176" s="146"/>
      <c r="ICI176" s="146"/>
      <c r="ICJ176" s="146"/>
      <c r="ICK176" s="146"/>
      <c r="ICL176" s="146"/>
      <c r="ICM176" s="146"/>
      <c r="ICN176" s="146"/>
      <c r="ICO176" s="146"/>
      <c r="ICP176" s="146"/>
      <c r="ICQ176" s="146"/>
      <c r="ICR176" s="146"/>
      <c r="ICS176" s="146"/>
      <c r="ICT176" s="146"/>
      <c r="ICU176" s="146"/>
      <c r="ICV176" s="146"/>
      <c r="ICW176" s="146"/>
      <c r="ICX176" s="146"/>
      <c r="ICY176" s="146"/>
      <c r="ICZ176" s="146"/>
      <c r="IDA176" s="146"/>
      <c r="IDB176" s="146"/>
      <c r="IDC176" s="146"/>
      <c r="IDD176" s="146"/>
      <c r="IDE176" s="146"/>
      <c r="IDF176" s="146"/>
      <c r="IDG176" s="146"/>
      <c r="IDH176" s="146"/>
      <c r="IDI176" s="146"/>
      <c r="IDJ176" s="146"/>
      <c r="IDK176" s="146"/>
      <c r="IDL176" s="146"/>
      <c r="IDM176" s="146"/>
      <c r="IDN176" s="146"/>
      <c r="IDO176" s="146"/>
      <c r="IDP176" s="146"/>
      <c r="IDQ176" s="146"/>
      <c r="IDR176" s="146"/>
      <c r="IDS176" s="146"/>
      <c r="IDT176" s="146"/>
      <c r="IDU176" s="146"/>
      <c r="IDV176" s="146"/>
      <c r="IDW176" s="146"/>
      <c r="IDX176" s="146"/>
      <c r="IDY176" s="146"/>
      <c r="IDZ176" s="146"/>
      <c r="IEA176" s="146"/>
      <c r="IEB176" s="146"/>
      <c r="IEC176" s="146"/>
      <c r="IED176" s="146"/>
      <c r="IEE176" s="146"/>
      <c r="IEF176" s="146"/>
      <c r="IEG176" s="146"/>
      <c r="IEH176" s="146"/>
      <c r="IEI176" s="146"/>
      <c r="IEJ176" s="146"/>
      <c r="IEK176" s="146"/>
      <c r="IEL176" s="146"/>
      <c r="IEM176" s="146"/>
      <c r="IEN176" s="146"/>
      <c r="IEO176" s="146"/>
      <c r="IEP176" s="146"/>
      <c r="IEQ176" s="146"/>
      <c r="IER176" s="146"/>
      <c r="IES176" s="146"/>
      <c r="IET176" s="146"/>
      <c r="IEU176" s="146"/>
      <c r="IEV176" s="146"/>
      <c r="IEW176" s="146"/>
      <c r="IEX176" s="146"/>
      <c r="IEY176" s="146"/>
      <c r="IEZ176" s="146"/>
      <c r="IFA176" s="146"/>
      <c r="IFB176" s="146"/>
      <c r="IFC176" s="146"/>
      <c r="IFD176" s="146"/>
      <c r="IFE176" s="146"/>
      <c r="IFF176" s="146"/>
      <c r="IFG176" s="146"/>
      <c r="IFH176" s="146"/>
      <c r="IFI176" s="146"/>
      <c r="IFJ176" s="146"/>
      <c r="IFK176" s="146"/>
      <c r="IFL176" s="146"/>
      <c r="IFM176" s="146"/>
      <c r="IFN176" s="146"/>
      <c r="IFO176" s="146"/>
      <c r="IFP176" s="146"/>
      <c r="IFQ176" s="146"/>
      <c r="IFR176" s="146"/>
      <c r="IFS176" s="146"/>
      <c r="IFT176" s="146"/>
      <c r="IFU176" s="146"/>
      <c r="IFV176" s="146"/>
      <c r="IFW176" s="146"/>
      <c r="IFX176" s="146"/>
      <c r="IFY176" s="146"/>
      <c r="IFZ176" s="146"/>
      <c r="IGA176" s="146"/>
      <c r="IGB176" s="146"/>
      <c r="IGC176" s="146"/>
      <c r="IGD176" s="146"/>
      <c r="IGE176" s="146"/>
      <c r="IGF176" s="146"/>
      <c r="IGG176" s="146"/>
      <c r="IGH176" s="146"/>
      <c r="IGI176" s="146"/>
      <c r="IGJ176" s="146"/>
      <c r="IGK176" s="146"/>
      <c r="IGL176" s="146"/>
      <c r="IGM176" s="146"/>
      <c r="IGN176" s="146"/>
      <c r="IGO176" s="146"/>
      <c r="IGP176" s="146"/>
      <c r="IGQ176" s="146"/>
      <c r="IGR176" s="146"/>
      <c r="IGS176" s="146"/>
      <c r="IGT176" s="146"/>
      <c r="IGU176" s="146"/>
      <c r="IGV176" s="146"/>
      <c r="IGW176" s="146"/>
      <c r="IGX176" s="146"/>
      <c r="IGY176" s="146"/>
      <c r="IGZ176" s="146"/>
      <c r="IHA176" s="146"/>
      <c r="IHB176" s="146"/>
      <c r="IHC176" s="146"/>
      <c r="IHD176" s="146"/>
      <c r="IHE176" s="146"/>
      <c r="IHF176" s="146"/>
      <c r="IHG176" s="146"/>
      <c r="IHH176" s="146"/>
      <c r="IHI176" s="146"/>
      <c r="IHJ176" s="146"/>
      <c r="IHK176" s="146"/>
      <c r="IHL176" s="146"/>
      <c r="IHM176" s="146"/>
      <c r="IHN176" s="146"/>
      <c r="IHO176" s="146"/>
      <c r="IHP176" s="146"/>
      <c r="IHQ176" s="146"/>
      <c r="IHR176" s="146"/>
      <c r="IHS176" s="146"/>
      <c r="IHT176" s="146"/>
      <c r="IHU176" s="146"/>
      <c r="IHV176" s="146"/>
      <c r="IHW176" s="146"/>
      <c r="IHX176" s="146"/>
      <c r="IHY176" s="146"/>
      <c r="IHZ176" s="146"/>
      <c r="IIA176" s="146"/>
      <c r="IIB176" s="146"/>
      <c r="IIC176" s="146"/>
      <c r="IID176" s="146"/>
      <c r="IIE176" s="146"/>
      <c r="IIF176" s="146"/>
      <c r="IIG176" s="146"/>
      <c r="IIH176" s="146"/>
      <c r="III176" s="146"/>
      <c r="IIJ176" s="146"/>
      <c r="IIK176" s="146"/>
      <c r="IIL176" s="146"/>
      <c r="IIM176" s="146"/>
      <c r="IIN176" s="146"/>
      <c r="IIO176" s="146"/>
      <c r="IIP176" s="146"/>
      <c r="IIQ176" s="146"/>
      <c r="IIR176" s="146"/>
      <c r="IIS176" s="146"/>
      <c r="IIT176" s="146"/>
      <c r="IIU176" s="146"/>
      <c r="IIV176" s="146"/>
      <c r="IIW176" s="146"/>
      <c r="IIX176" s="146"/>
      <c r="IIY176" s="146"/>
      <c r="IIZ176" s="146"/>
      <c r="IJA176" s="146"/>
      <c r="IJB176" s="146"/>
      <c r="IJC176" s="146"/>
      <c r="IJD176" s="146"/>
      <c r="IJE176" s="146"/>
      <c r="IJF176" s="146"/>
      <c r="IJG176" s="146"/>
      <c r="IJH176" s="146"/>
      <c r="IJI176" s="146"/>
      <c r="IJJ176" s="146"/>
      <c r="IJK176" s="146"/>
      <c r="IJL176" s="146"/>
      <c r="IJM176" s="146"/>
      <c r="IJN176" s="146"/>
      <c r="IJO176" s="146"/>
      <c r="IJP176" s="146"/>
      <c r="IJQ176" s="146"/>
      <c r="IJR176" s="146"/>
      <c r="IJS176" s="146"/>
      <c r="IJT176" s="146"/>
      <c r="IJU176" s="146"/>
      <c r="IJV176" s="146"/>
      <c r="IJW176" s="146"/>
      <c r="IJX176" s="146"/>
      <c r="IJY176" s="146"/>
      <c r="IJZ176" s="146"/>
      <c r="IKA176" s="146"/>
      <c r="IKB176" s="146"/>
      <c r="IKC176" s="146"/>
      <c r="IKD176" s="146"/>
      <c r="IKE176" s="146"/>
      <c r="IKF176" s="146"/>
      <c r="IKG176" s="146"/>
      <c r="IKH176" s="146"/>
      <c r="IKI176" s="146"/>
      <c r="IKJ176" s="146"/>
      <c r="IKK176" s="146"/>
      <c r="IKL176" s="146"/>
      <c r="IKM176" s="146"/>
      <c r="IKN176" s="146"/>
      <c r="IKO176" s="146"/>
      <c r="IKP176" s="146"/>
      <c r="IKQ176" s="146"/>
      <c r="IKR176" s="146"/>
      <c r="IKS176" s="146"/>
      <c r="IKT176" s="146"/>
      <c r="IKU176" s="146"/>
      <c r="IKV176" s="146"/>
      <c r="IKW176" s="146"/>
      <c r="IKX176" s="146"/>
      <c r="IKY176" s="146"/>
      <c r="IKZ176" s="146"/>
      <c r="ILA176" s="146"/>
      <c r="ILB176" s="146"/>
      <c r="ILC176" s="146"/>
      <c r="ILD176" s="146"/>
      <c r="ILE176" s="146"/>
      <c r="ILF176" s="146"/>
      <c r="ILG176" s="146"/>
      <c r="ILH176" s="146"/>
      <c r="ILI176" s="146"/>
      <c r="ILJ176" s="146"/>
      <c r="ILK176" s="146"/>
      <c r="ILL176" s="146"/>
      <c r="ILM176" s="146"/>
      <c r="ILN176" s="146"/>
      <c r="ILO176" s="146"/>
      <c r="ILP176" s="146"/>
      <c r="ILQ176" s="146"/>
      <c r="ILR176" s="146"/>
      <c r="ILS176" s="146"/>
      <c r="ILT176" s="146"/>
      <c r="ILU176" s="146"/>
      <c r="ILV176" s="146"/>
      <c r="ILW176" s="146"/>
      <c r="ILX176" s="146"/>
      <c r="ILY176" s="146"/>
      <c r="ILZ176" s="146"/>
      <c r="IMA176" s="146"/>
      <c r="IMB176" s="146"/>
      <c r="IMC176" s="146"/>
      <c r="IMD176" s="146"/>
      <c r="IME176" s="146"/>
      <c r="IMF176" s="146"/>
      <c r="IMG176" s="146"/>
      <c r="IMH176" s="146"/>
      <c r="IMI176" s="146"/>
      <c r="IMJ176" s="146"/>
      <c r="IMK176" s="146"/>
      <c r="IML176" s="146"/>
      <c r="IMM176" s="146"/>
      <c r="IMN176" s="146"/>
      <c r="IMO176" s="146"/>
      <c r="IMP176" s="146"/>
      <c r="IMQ176" s="146"/>
      <c r="IMR176" s="146"/>
      <c r="IMS176" s="146"/>
      <c r="IMT176" s="146"/>
      <c r="IMU176" s="146"/>
      <c r="IMV176" s="146"/>
      <c r="IMW176" s="146"/>
      <c r="IMX176" s="146"/>
      <c r="IMY176" s="146"/>
      <c r="IMZ176" s="146"/>
      <c r="INA176" s="146"/>
      <c r="INB176" s="146"/>
      <c r="INC176" s="146"/>
      <c r="IND176" s="146"/>
      <c r="INE176" s="146"/>
      <c r="INF176" s="146"/>
      <c r="ING176" s="146"/>
      <c r="INH176" s="146"/>
      <c r="INI176" s="146"/>
      <c r="INJ176" s="146"/>
      <c r="INK176" s="146"/>
      <c r="INL176" s="146"/>
      <c r="INM176" s="146"/>
      <c r="INN176" s="146"/>
      <c r="INO176" s="146"/>
      <c r="INP176" s="146"/>
      <c r="INQ176" s="146"/>
      <c r="INR176" s="146"/>
      <c r="INS176" s="146"/>
      <c r="INT176" s="146"/>
      <c r="INU176" s="146"/>
      <c r="INV176" s="146"/>
      <c r="INW176" s="146"/>
      <c r="INX176" s="146"/>
      <c r="INY176" s="146"/>
      <c r="INZ176" s="146"/>
      <c r="IOA176" s="146"/>
      <c r="IOB176" s="146"/>
      <c r="IOC176" s="146"/>
      <c r="IOD176" s="146"/>
      <c r="IOE176" s="146"/>
      <c r="IOF176" s="146"/>
      <c r="IOG176" s="146"/>
      <c r="IOH176" s="146"/>
      <c r="IOI176" s="146"/>
      <c r="IOJ176" s="146"/>
      <c r="IOK176" s="146"/>
      <c r="IOL176" s="146"/>
      <c r="IOM176" s="146"/>
      <c r="ION176" s="146"/>
      <c r="IOO176" s="146"/>
      <c r="IOP176" s="146"/>
      <c r="IOQ176" s="146"/>
      <c r="IOR176" s="146"/>
      <c r="IOS176" s="146"/>
      <c r="IOT176" s="146"/>
      <c r="IOU176" s="146"/>
      <c r="IOV176" s="146"/>
      <c r="IOW176" s="146"/>
      <c r="IOX176" s="146"/>
      <c r="IOY176" s="146"/>
      <c r="IOZ176" s="146"/>
      <c r="IPA176" s="146"/>
      <c r="IPB176" s="146"/>
      <c r="IPC176" s="146"/>
      <c r="IPD176" s="146"/>
      <c r="IPE176" s="146"/>
      <c r="IPF176" s="146"/>
      <c r="IPG176" s="146"/>
      <c r="IPH176" s="146"/>
      <c r="IPI176" s="146"/>
      <c r="IPJ176" s="146"/>
      <c r="IPK176" s="146"/>
      <c r="IPL176" s="146"/>
      <c r="IPM176" s="146"/>
      <c r="IPN176" s="146"/>
      <c r="IPO176" s="146"/>
      <c r="IPP176" s="146"/>
      <c r="IPQ176" s="146"/>
      <c r="IPR176" s="146"/>
      <c r="IPS176" s="146"/>
      <c r="IPT176" s="146"/>
      <c r="IPU176" s="146"/>
      <c r="IPV176" s="146"/>
      <c r="IPW176" s="146"/>
      <c r="IPX176" s="146"/>
      <c r="IPY176" s="146"/>
      <c r="IPZ176" s="146"/>
      <c r="IQA176" s="146"/>
      <c r="IQB176" s="146"/>
      <c r="IQC176" s="146"/>
      <c r="IQD176" s="146"/>
      <c r="IQE176" s="146"/>
      <c r="IQF176" s="146"/>
      <c r="IQG176" s="146"/>
      <c r="IQH176" s="146"/>
      <c r="IQI176" s="146"/>
      <c r="IQJ176" s="146"/>
      <c r="IQK176" s="146"/>
      <c r="IQL176" s="146"/>
      <c r="IQM176" s="146"/>
      <c r="IQN176" s="146"/>
      <c r="IQO176" s="146"/>
      <c r="IQP176" s="146"/>
      <c r="IQQ176" s="146"/>
      <c r="IQR176" s="146"/>
      <c r="IQS176" s="146"/>
      <c r="IQT176" s="146"/>
      <c r="IQU176" s="146"/>
      <c r="IQV176" s="146"/>
      <c r="IQW176" s="146"/>
      <c r="IQX176" s="146"/>
      <c r="IQY176" s="146"/>
      <c r="IQZ176" s="146"/>
      <c r="IRA176" s="146"/>
      <c r="IRB176" s="146"/>
      <c r="IRC176" s="146"/>
      <c r="IRD176" s="146"/>
      <c r="IRE176" s="146"/>
      <c r="IRF176" s="146"/>
      <c r="IRG176" s="146"/>
      <c r="IRH176" s="146"/>
      <c r="IRI176" s="146"/>
      <c r="IRJ176" s="146"/>
      <c r="IRK176" s="146"/>
      <c r="IRL176" s="146"/>
      <c r="IRM176" s="146"/>
      <c r="IRN176" s="146"/>
      <c r="IRO176" s="146"/>
      <c r="IRP176" s="146"/>
      <c r="IRQ176" s="146"/>
      <c r="IRR176" s="146"/>
      <c r="IRS176" s="146"/>
      <c r="IRT176" s="146"/>
      <c r="IRU176" s="146"/>
      <c r="IRV176" s="146"/>
      <c r="IRW176" s="146"/>
      <c r="IRX176" s="146"/>
      <c r="IRY176" s="146"/>
      <c r="IRZ176" s="146"/>
      <c r="ISA176" s="146"/>
      <c r="ISB176" s="146"/>
      <c r="ISC176" s="146"/>
      <c r="ISD176" s="146"/>
      <c r="ISE176" s="146"/>
      <c r="ISF176" s="146"/>
      <c r="ISG176" s="146"/>
      <c r="ISH176" s="146"/>
      <c r="ISI176" s="146"/>
      <c r="ISJ176" s="146"/>
      <c r="ISK176" s="146"/>
      <c r="ISL176" s="146"/>
      <c r="ISM176" s="146"/>
      <c r="ISN176" s="146"/>
      <c r="ISO176" s="146"/>
      <c r="ISP176" s="146"/>
      <c r="ISQ176" s="146"/>
      <c r="ISR176" s="146"/>
      <c r="ISS176" s="146"/>
      <c r="IST176" s="146"/>
      <c r="ISU176" s="146"/>
      <c r="ISV176" s="146"/>
      <c r="ISW176" s="146"/>
      <c r="ISX176" s="146"/>
      <c r="ISY176" s="146"/>
      <c r="ISZ176" s="146"/>
      <c r="ITA176" s="146"/>
      <c r="ITB176" s="146"/>
      <c r="ITC176" s="146"/>
      <c r="ITD176" s="146"/>
      <c r="ITE176" s="146"/>
      <c r="ITF176" s="146"/>
      <c r="ITG176" s="146"/>
      <c r="ITH176" s="146"/>
      <c r="ITI176" s="146"/>
      <c r="ITJ176" s="146"/>
      <c r="ITK176" s="146"/>
      <c r="ITL176" s="146"/>
      <c r="ITM176" s="146"/>
      <c r="ITN176" s="146"/>
      <c r="ITO176" s="146"/>
      <c r="ITP176" s="146"/>
      <c r="ITQ176" s="146"/>
      <c r="ITR176" s="146"/>
      <c r="ITS176" s="146"/>
      <c r="ITT176" s="146"/>
      <c r="ITU176" s="146"/>
      <c r="ITV176" s="146"/>
      <c r="ITW176" s="146"/>
      <c r="ITX176" s="146"/>
      <c r="ITY176" s="146"/>
      <c r="ITZ176" s="146"/>
      <c r="IUA176" s="146"/>
      <c r="IUB176" s="146"/>
      <c r="IUC176" s="146"/>
      <c r="IUD176" s="146"/>
      <c r="IUE176" s="146"/>
      <c r="IUF176" s="146"/>
      <c r="IUG176" s="146"/>
      <c r="IUH176" s="146"/>
      <c r="IUI176" s="146"/>
      <c r="IUJ176" s="146"/>
      <c r="IUK176" s="146"/>
      <c r="IUL176" s="146"/>
      <c r="IUM176" s="146"/>
      <c r="IUN176" s="146"/>
      <c r="IUO176" s="146"/>
      <c r="IUP176" s="146"/>
      <c r="IUQ176" s="146"/>
      <c r="IUR176" s="146"/>
      <c r="IUS176" s="146"/>
      <c r="IUT176" s="146"/>
      <c r="IUU176" s="146"/>
      <c r="IUV176" s="146"/>
      <c r="IUW176" s="146"/>
      <c r="IUX176" s="146"/>
      <c r="IUY176" s="146"/>
      <c r="IUZ176" s="146"/>
      <c r="IVA176" s="146"/>
      <c r="IVB176" s="146"/>
      <c r="IVC176" s="146"/>
      <c r="IVD176" s="146"/>
      <c r="IVE176" s="146"/>
      <c r="IVF176" s="146"/>
      <c r="IVG176" s="146"/>
      <c r="IVH176" s="146"/>
      <c r="IVI176" s="146"/>
      <c r="IVJ176" s="146"/>
      <c r="IVK176" s="146"/>
      <c r="IVL176" s="146"/>
      <c r="IVM176" s="146"/>
      <c r="IVN176" s="146"/>
      <c r="IVO176" s="146"/>
      <c r="IVP176" s="146"/>
      <c r="IVQ176" s="146"/>
      <c r="IVR176" s="146"/>
      <c r="IVS176" s="146"/>
      <c r="IVT176" s="146"/>
      <c r="IVU176" s="146"/>
      <c r="IVV176" s="146"/>
      <c r="IVW176" s="146"/>
      <c r="IVX176" s="146"/>
      <c r="IVY176" s="146"/>
      <c r="IVZ176" s="146"/>
      <c r="IWA176" s="146"/>
      <c r="IWB176" s="146"/>
      <c r="IWC176" s="146"/>
      <c r="IWD176" s="146"/>
      <c r="IWE176" s="146"/>
      <c r="IWF176" s="146"/>
      <c r="IWG176" s="146"/>
      <c r="IWH176" s="146"/>
      <c r="IWI176" s="146"/>
      <c r="IWJ176" s="146"/>
      <c r="IWK176" s="146"/>
      <c r="IWL176" s="146"/>
      <c r="IWM176" s="146"/>
      <c r="IWN176" s="146"/>
      <c r="IWO176" s="146"/>
      <c r="IWP176" s="146"/>
      <c r="IWQ176" s="146"/>
      <c r="IWR176" s="146"/>
      <c r="IWS176" s="146"/>
      <c r="IWT176" s="146"/>
      <c r="IWU176" s="146"/>
      <c r="IWV176" s="146"/>
      <c r="IWW176" s="146"/>
      <c r="IWX176" s="146"/>
      <c r="IWY176" s="146"/>
      <c r="IWZ176" s="146"/>
      <c r="IXA176" s="146"/>
      <c r="IXB176" s="146"/>
      <c r="IXC176" s="146"/>
      <c r="IXD176" s="146"/>
      <c r="IXE176" s="146"/>
      <c r="IXF176" s="146"/>
      <c r="IXG176" s="146"/>
      <c r="IXH176" s="146"/>
      <c r="IXI176" s="146"/>
      <c r="IXJ176" s="146"/>
      <c r="IXK176" s="146"/>
      <c r="IXL176" s="146"/>
      <c r="IXM176" s="146"/>
      <c r="IXN176" s="146"/>
      <c r="IXO176" s="146"/>
      <c r="IXP176" s="146"/>
      <c r="IXQ176" s="146"/>
      <c r="IXR176" s="146"/>
      <c r="IXS176" s="146"/>
      <c r="IXT176" s="146"/>
      <c r="IXU176" s="146"/>
      <c r="IXV176" s="146"/>
      <c r="IXW176" s="146"/>
      <c r="IXX176" s="146"/>
      <c r="IXY176" s="146"/>
      <c r="IXZ176" s="146"/>
      <c r="IYA176" s="146"/>
      <c r="IYB176" s="146"/>
      <c r="IYC176" s="146"/>
      <c r="IYD176" s="146"/>
      <c r="IYE176" s="146"/>
      <c r="IYF176" s="146"/>
      <c r="IYG176" s="146"/>
      <c r="IYH176" s="146"/>
      <c r="IYI176" s="146"/>
      <c r="IYJ176" s="146"/>
      <c r="IYK176" s="146"/>
      <c r="IYL176" s="146"/>
      <c r="IYM176" s="146"/>
      <c r="IYN176" s="146"/>
      <c r="IYO176" s="146"/>
      <c r="IYP176" s="146"/>
      <c r="IYQ176" s="146"/>
      <c r="IYR176" s="146"/>
      <c r="IYS176" s="146"/>
      <c r="IYT176" s="146"/>
      <c r="IYU176" s="146"/>
      <c r="IYV176" s="146"/>
      <c r="IYW176" s="146"/>
      <c r="IYX176" s="146"/>
      <c r="IYY176" s="146"/>
      <c r="IYZ176" s="146"/>
      <c r="IZA176" s="146"/>
      <c r="IZB176" s="146"/>
      <c r="IZC176" s="146"/>
      <c r="IZD176" s="146"/>
      <c r="IZE176" s="146"/>
      <c r="IZF176" s="146"/>
      <c r="IZG176" s="146"/>
      <c r="IZH176" s="146"/>
      <c r="IZI176" s="146"/>
      <c r="IZJ176" s="146"/>
      <c r="IZK176" s="146"/>
      <c r="IZL176" s="146"/>
      <c r="IZM176" s="146"/>
      <c r="IZN176" s="146"/>
      <c r="IZO176" s="146"/>
      <c r="IZP176" s="146"/>
      <c r="IZQ176" s="146"/>
      <c r="IZR176" s="146"/>
      <c r="IZS176" s="146"/>
      <c r="IZT176" s="146"/>
      <c r="IZU176" s="146"/>
      <c r="IZV176" s="146"/>
      <c r="IZW176" s="146"/>
      <c r="IZX176" s="146"/>
      <c r="IZY176" s="146"/>
      <c r="IZZ176" s="146"/>
      <c r="JAA176" s="146"/>
      <c r="JAB176" s="146"/>
      <c r="JAC176" s="146"/>
      <c r="JAD176" s="146"/>
      <c r="JAE176" s="146"/>
      <c r="JAF176" s="146"/>
      <c r="JAG176" s="146"/>
      <c r="JAH176" s="146"/>
      <c r="JAI176" s="146"/>
      <c r="JAJ176" s="146"/>
      <c r="JAK176" s="146"/>
      <c r="JAL176" s="146"/>
      <c r="JAM176" s="146"/>
      <c r="JAN176" s="146"/>
      <c r="JAO176" s="146"/>
      <c r="JAP176" s="146"/>
      <c r="JAQ176" s="146"/>
      <c r="JAR176" s="146"/>
      <c r="JAS176" s="146"/>
      <c r="JAT176" s="146"/>
      <c r="JAU176" s="146"/>
      <c r="JAV176" s="146"/>
      <c r="JAW176" s="146"/>
      <c r="JAX176" s="146"/>
      <c r="JAY176" s="146"/>
      <c r="JAZ176" s="146"/>
      <c r="JBA176" s="146"/>
      <c r="JBB176" s="146"/>
      <c r="JBC176" s="146"/>
      <c r="JBD176" s="146"/>
      <c r="JBE176" s="146"/>
      <c r="JBF176" s="146"/>
      <c r="JBG176" s="146"/>
      <c r="JBH176" s="146"/>
      <c r="JBI176" s="146"/>
      <c r="JBJ176" s="146"/>
      <c r="JBK176" s="146"/>
      <c r="JBL176" s="146"/>
      <c r="JBM176" s="146"/>
      <c r="JBN176" s="146"/>
      <c r="JBO176" s="146"/>
      <c r="JBP176" s="146"/>
      <c r="JBQ176" s="146"/>
      <c r="JBR176" s="146"/>
      <c r="JBS176" s="146"/>
      <c r="JBT176" s="146"/>
      <c r="JBU176" s="146"/>
      <c r="JBV176" s="146"/>
      <c r="JBW176" s="146"/>
      <c r="JBX176" s="146"/>
      <c r="JBY176" s="146"/>
      <c r="JBZ176" s="146"/>
      <c r="JCA176" s="146"/>
      <c r="JCB176" s="146"/>
      <c r="JCC176" s="146"/>
      <c r="JCD176" s="146"/>
      <c r="JCE176" s="146"/>
      <c r="JCF176" s="146"/>
      <c r="JCG176" s="146"/>
      <c r="JCH176" s="146"/>
      <c r="JCI176" s="146"/>
      <c r="JCJ176" s="146"/>
      <c r="JCK176" s="146"/>
      <c r="JCL176" s="146"/>
      <c r="JCM176" s="146"/>
      <c r="JCN176" s="146"/>
      <c r="JCO176" s="146"/>
      <c r="JCP176" s="146"/>
      <c r="JCQ176" s="146"/>
      <c r="JCR176" s="146"/>
      <c r="JCS176" s="146"/>
      <c r="JCT176" s="146"/>
      <c r="JCU176" s="146"/>
      <c r="JCV176" s="146"/>
      <c r="JCW176" s="146"/>
      <c r="JCX176" s="146"/>
      <c r="JCY176" s="146"/>
      <c r="JCZ176" s="146"/>
      <c r="JDA176" s="146"/>
      <c r="JDB176" s="146"/>
      <c r="JDC176" s="146"/>
      <c r="JDD176" s="146"/>
      <c r="JDE176" s="146"/>
      <c r="JDF176" s="146"/>
      <c r="JDG176" s="146"/>
      <c r="JDH176" s="146"/>
      <c r="JDI176" s="146"/>
      <c r="JDJ176" s="146"/>
      <c r="JDK176" s="146"/>
      <c r="JDL176" s="146"/>
      <c r="JDM176" s="146"/>
      <c r="JDN176" s="146"/>
      <c r="JDO176" s="146"/>
      <c r="JDP176" s="146"/>
      <c r="JDQ176" s="146"/>
      <c r="JDR176" s="146"/>
      <c r="JDS176" s="146"/>
      <c r="JDT176" s="146"/>
      <c r="JDU176" s="146"/>
      <c r="JDV176" s="146"/>
      <c r="JDW176" s="146"/>
      <c r="JDX176" s="146"/>
      <c r="JDY176" s="146"/>
      <c r="JDZ176" s="146"/>
      <c r="JEA176" s="146"/>
      <c r="JEB176" s="146"/>
      <c r="JEC176" s="146"/>
      <c r="JED176" s="146"/>
      <c r="JEE176" s="146"/>
      <c r="JEF176" s="146"/>
      <c r="JEG176" s="146"/>
      <c r="JEH176" s="146"/>
      <c r="JEI176" s="146"/>
      <c r="JEJ176" s="146"/>
      <c r="JEK176" s="146"/>
      <c r="JEL176" s="146"/>
      <c r="JEM176" s="146"/>
      <c r="JEN176" s="146"/>
      <c r="JEO176" s="146"/>
      <c r="JEP176" s="146"/>
      <c r="JEQ176" s="146"/>
      <c r="JER176" s="146"/>
      <c r="JES176" s="146"/>
      <c r="JET176" s="146"/>
      <c r="JEU176" s="146"/>
      <c r="JEV176" s="146"/>
      <c r="JEW176" s="146"/>
      <c r="JEX176" s="146"/>
      <c r="JEY176" s="146"/>
      <c r="JEZ176" s="146"/>
      <c r="JFA176" s="146"/>
      <c r="JFB176" s="146"/>
      <c r="JFC176" s="146"/>
      <c r="JFD176" s="146"/>
      <c r="JFE176" s="146"/>
      <c r="JFF176" s="146"/>
      <c r="JFG176" s="146"/>
      <c r="JFH176" s="146"/>
      <c r="JFI176" s="146"/>
      <c r="JFJ176" s="146"/>
      <c r="JFK176" s="146"/>
      <c r="JFL176" s="146"/>
      <c r="JFM176" s="146"/>
      <c r="JFN176" s="146"/>
      <c r="JFO176" s="146"/>
      <c r="JFP176" s="146"/>
      <c r="JFQ176" s="146"/>
      <c r="JFR176" s="146"/>
      <c r="JFS176" s="146"/>
      <c r="JFT176" s="146"/>
      <c r="JFU176" s="146"/>
      <c r="JFV176" s="146"/>
      <c r="JFW176" s="146"/>
      <c r="JFX176" s="146"/>
      <c r="JFY176" s="146"/>
      <c r="JFZ176" s="146"/>
      <c r="JGA176" s="146"/>
      <c r="JGB176" s="146"/>
      <c r="JGC176" s="146"/>
      <c r="JGD176" s="146"/>
      <c r="JGE176" s="146"/>
      <c r="JGF176" s="146"/>
      <c r="JGG176" s="146"/>
      <c r="JGH176" s="146"/>
      <c r="JGI176" s="146"/>
      <c r="JGJ176" s="146"/>
      <c r="JGK176" s="146"/>
      <c r="JGL176" s="146"/>
      <c r="JGM176" s="146"/>
      <c r="JGN176" s="146"/>
      <c r="JGO176" s="146"/>
      <c r="JGP176" s="146"/>
      <c r="JGQ176" s="146"/>
      <c r="JGR176" s="146"/>
      <c r="JGS176" s="146"/>
      <c r="JGT176" s="146"/>
      <c r="JGU176" s="146"/>
      <c r="JGV176" s="146"/>
      <c r="JGW176" s="146"/>
      <c r="JGX176" s="146"/>
      <c r="JGY176" s="146"/>
      <c r="JGZ176" s="146"/>
      <c r="JHA176" s="146"/>
      <c r="JHB176" s="146"/>
      <c r="JHC176" s="146"/>
      <c r="JHD176" s="146"/>
      <c r="JHE176" s="146"/>
      <c r="JHF176" s="146"/>
      <c r="JHG176" s="146"/>
      <c r="JHH176" s="146"/>
      <c r="JHI176" s="146"/>
      <c r="JHJ176" s="146"/>
      <c r="JHK176" s="146"/>
      <c r="JHL176" s="146"/>
      <c r="JHM176" s="146"/>
      <c r="JHN176" s="146"/>
      <c r="JHO176" s="146"/>
      <c r="JHP176" s="146"/>
      <c r="JHQ176" s="146"/>
      <c r="JHR176" s="146"/>
      <c r="JHS176" s="146"/>
      <c r="JHT176" s="146"/>
      <c r="JHU176" s="146"/>
      <c r="JHV176" s="146"/>
      <c r="JHW176" s="146"/>
      <c r="JHX176" s="146"/>
      <c r="JHY176" s="146"/>
      <c r="JHZ176" s="146"/>
      <c r="JIA176" s="146"/>
      <c r="JIB176" s="146"/>
      <c r="JIC176" s="146"/>
      <c r="JID176" s="146"/>
      <c r="JIE176" s="146"/>
      <c r="JIF176" s="146"/>
      <c r="JIG176" s="146"/>
      <c r="JIH176" s="146"/>
      <c r="JII176" s="146"/>
      <c r="JIJ176" s="146"/>
      <c r="JIK176" s="146"/>
      <c r="JIL176" s="146"/>
      <c r="JIM176" s="146"/>
      <c r="JIN176" s="146"/>
      <c r="JIO176" s="146"/>
      <c r="JIP176" s="146"/>
      <c r="JIQ176" s="146"/>
      <c r="JIR176" s="146"/>
      <c r="JIS176" s="146"/>
      <c r="JIT176" s="146"/>
      <c r="JIU176" s="146"/>
      <c r="JIV176" s="146"/>
      <c r="JIW176" s="146"/>
      <c r="JIX176" s="146"/>
      <c r="JIY176" s="146"/>
      <c r="JIZ176" s="146"/>
      <c r="JJA176" s="146"/>
      <c r="JJB176" s="146"/>
      <c r="JJC176" s="146"/>
      <c r="JJD176" s="146"/>
      <c r="JJE176" s="146"/>
      <c r="JJF176" s="146"/>
      <c r="JJG176" s="146"/>
      <c r="JJH176" s="146"/>
      <c r="JJI176" s="146"/>
      <c r="JJJ176" s="146"/>
      <c r="JJK176" s="146"/>
      <c r="JJL176" s="146"/>
      <c r="JJM176" s="146"/>
      <c r="JJN176" s="146"/>
      <c r="JJO176" s="146"/>
      <c r="JJP176" s="146"/>
      <c r="JJQ176" s="146"/>
      <c r="JJR176" s="146"/>
      <c r="JJS176" s="146"/>
      <c r="JJT176" s="146"/>
      <c r="JJU176" s="146"/>
      <c r="JJV176" s="146"/>
      <c r="JJW176" s="146"/>
      <c r="JJX176" s="146"/>
      <c r="JJY176" s="146"/>
      <c r="JJZ176" s="146"/>
      <c r="JKA176" s="146"/>
      <c r="JKB176" s="146"/>
      <c r="JKC176" s="146"/>
      <c r="JKD176" s="146"/>
      <c r="JKE176" s="146"/>
      <c r="JKF176" s="146"/>
      <c r="JKG176" s="146"/>
      <c r="JKH176" s="146"/>
      <c r="JKI176" s="146"/>
      <c r="JKJ176" s="146"/>
      <c r="JKK176" s="146"/>
      <c r="JKL176" s="146"/>
      <c r="JKM176" s="146"/>
      <c r="JKN176" s="146"/>
      <c r="JKO176" s="146"/>
      <c r="JKP176" s="146"/>
      <c r="JKQ176" s="146"/>
      <c r="JKR176" s="146"/>
      <c r="JKS176" s="146"/>
      <c r="JKT176" s="146"/>
      <c r="JKU176" s="146"/>
      <c r="JKV176" s="146"/>
      <c r="JKW176" s="146"/>
      <c r="JKX176" s="146"/>
      <c r="JKY176" s="146"/>
      <c r="JKZ176" s="146"/>
      <c r="JLA176" s="146"/>
      <c r="JLB176" s="146"/>
      <c r="JLC176" s="146"/>
      <c r="JLD176" s="146"/>
      <c r="JLE176" s="146"/>
      <c r="JLF176" s="146"/>
      <c r="JLG176" s="146"/>
      <c r="JLH176" s="146"/>
      <c r="JLI176" s="146"/>
      <c r="JLJ176" s="146"/>
      <c r="JLK176" s="146"/>
      <c r="JLL176" s="146"/>
      <c r="JLM176" s="146"/>
      <c r="JLN176" s="146"/>
      <c r="JLO176" s="146"/>
      <c r="JLP176" s="146"/>
      <c r="JLQ176" s="146"/>
      <c r="JLR176" s="146"/>
      <c r="JLS176" s="146"/>
      <c r="JLT176" s="146"/>
      <c r="JLU176" s="146"/>
      <c r="JLV176" s="146"/>
      <c r="JLW176" s="146"/>
      <c r="JLX176" s="146"/>
      <c r="JLY176" s="146"/>
      <c r="JLZ176" s="146"/>
      <c r="JMA176" s="146"/>
      <c r="JMB176" s="146"/>
      <c r="JMC176" s="146"/>
      <c r="JMD176" s="146"/>
      <c r="JME176" s="146"/>
      <c r="JMF176" s="146"/>
      <c r="JMG176" s="146"/>
      <c r="JMH176" s="146"/>
      <c r="JMI176" s="146"/>
      <c r="JMJ176" s="146"/>
      <c r="JMK176" s="146"/>
      <c r="JML176" s="146"/>
      <c r="JMM176" s="146"/>
      <c r="JMN176" s="146"/>
      <c r="JMO176" s="146"/>
      <c r="JMP176" s="146"/>
      <c r="JMQ176" s="146"/>
      <c r="JMR176" s="146"/>
      <c r="JMS176" s="146"/>
      <c r="JMT176" s="146"/>
      <c r="JMU176" s="146"/>
      <c r="JMV176" s="146"/>
      <c r="JMW176" s="146"/>
      <c r="JMX176" s="146"/>
      <c r="JMY176" s="146"/>
      <c r="JMZ176" s="146"/>
      <c r="JNA176" s="146"/>
      <c r="JNB176" s="146"/>
      <c r="JNC176" s="146"/>
      <c r="JND176" s="146"/>
      <c r="JNE176" s="146"/>
      <c r="JNF176" s="146"/>
      <c r="JNG176" s="146"/>
      <c r="JNH176" s="146"/>
      <c r="JNI176" s="146"/>
      <c r="JNJ176" s="146"/>
      <c r="JNK176" s="146"/>
      <c r="JNL176" s="146"/>
      <c r="JNM176" s="146"/>
      <c r="JNN176" s="146"/>
      <c r="JNO176" s="146"/>
      <c r="JNP176" s="146"/>
      <c r="JNQ176" s="146"/>
      <c r="JNR176" s="146"/>
      <c r="JNS176" s="146"/>
      <c r="JNT176" s="146"/>
      <c r="JNU176" s="146"/>
      <c r="JNV176" s="146"/>
      <c r="JNW176" s="146"/>
      <c r="JNX176" s="146"/>
      <c r="JNY176" s="146"/>
      <c r="JNZ176" s="146"/>
      <c r="JOA176" s="146"/>
      <c r="JOB176" s="146"/>
      <c r="JOC176" s="146"/>
      <c r="JOD176" s="146"/>
      <c r="JOE176" s="146"/>
      <c r="JOF176" s="146"/>
      <c r="JOG176" s="146"/>
      <c r="JOH176" s="146"/>
      <c r="JOI176" s="146"/>
      <c r="JOJ176" s="146"/>
      <c r="JOK176" s="146"/>
      <c r="JOL176" s="146"/>
      <c r="JOM176" s="146"/>
      <c r="JON176" s="146"/>
      <c r="JOO176" s="146"/>
      <c r="JOP176" s="146"/>
      <c r="JOQ176" s="146"/>
      <c r="JOR176" s="146"/>
      <c r="JOS176" s="146"/>
      <c r="JOT176" s="146"/>
      <c r="JOU176" s="146"/>
      <c r="JOV176" s="146"/>
      <c r="JOW176" s="146"/>
      <c r="JOX176" s="146"/>
      <c r="JOY176" s="146"/>
      <c r="JOZ176" s="146"/>
      <c r="JPA176" s="146"/>
      <c r="JPB176" s="146"/>
      <c r="JPC176" s="146"/>
      <c r="JPD176" s="146"/>
      <c r="JPE176" s="146"/>
      <c r="JPF176" s="146"/>
      <c r="JPG176" s="146"/>
      <c r="JPH176" s="146"/>
      <c r="JPI176" s="146"/>
      <c r="JPJ176" s="146"/>
      <c r="JPK176" s="146"/>
      <c r="JPL176" s="146"/>
      <c r="JPM176" s="146"/>
      <c r="JPN176" s="146"/>
      <c r="JPO176" s="146"/>
      <c r="JPP176" s="146"/>
      <c r="JPQ176" s="146"/>
      <c r="JPR176" s="146"/>
      <c r="JPS176" s="146"/>
      <c r="JPT176" s="146"/>
      <c r="JPU176" s="146"/>
      <c r="JPV176" s="146"/>
      <c r="JPW176" s="146"/>
      <c r="JPX176" s="146"/>
      <c r="JPY176" s="146"/>
      <c r="JPZ176" s="146"/>
      <c r="JQA176" s="146"/>
      <c r="JQB176" s="146"/>
      <c r="JQC176" s="146"/>
      <c r="JQD176" s="146"/>
      <c r="JQE176" s="146"/>
      <c r="JQF176" s="146"/>
      <c r="JQG176" s="146"/>
      <c r="JQH176" s="146"/>
      <c r="JQI176" s="146"/>
      <c r="JQJ176" s="146"/>
      <c r="JQK176" s="146"/>
      <c r="JQL176" s="146"/>
      <c r="JQM176" s="146"/>
      <c r="JQN176" s="146"/>
      <c r="JQO176" s="146"/>
      <c r="JQP176" s="146"/>
      <c r="JQQ176" s="146"/>
      <c r="JQR176" s="146"/>
      <c r="JQS176" s="146"/>
      <c r="JQT176" s="146"/>
      <c r="JQU176" s="146"/>
      <c r="JQV176" s="146"/>
      <c r="JQW176" s="146"/>
      <c r="JQX176" s="146"/>
      <c r="JQY176" s="146"/>
      <c r="JQZ176" s="146"/>
      <c r="JRA176" s="146"/>
      <c r="JRB176" s="146"/>
      <c r="JRC176" s="146"/>
      <c r="JRD176" s="146"/>
      <c r="JRE176" s="146"/>
      <c r="JRF176" s="146"/>
      <c r="JRG176" s="146"/>
      <c r="JRH176" s="146"/>
      <c r="JRI176" s="146"/>
      <c r="JRJ176" s="146"/>
      <c r="JRK176" s="146"/>
      <c r="JRL176" s="146"/>
      <c r="JRM176" s="146"/>
      <c r="JRN176" s="146"/>
      <c r="JRO176" s="146"/>
      <c r="JRP176" s="146"/>
      <c r="JRQ176" s="146"/>
      <c r="JRR176" s="146"/>
      <c r="JRS176" s="146"/>
      <c r="JRT176" s="146"/>
      <c r="JRU176" s="146"/>
      <c r="JRV176" s="146"/>
      <c r="JRW176" s="146"/>
      <c r="JRX176" s="146"/>
      <c r="JRY176" s="146"/>
      <c r="JRZ176" s="146"/>
      <c r="JSA176" s="146"/>
      <c r="JSB176" s="146"/>
      <c r="JSC176" s="146"/>
      <c r="JSD176" s="146"/>
      <c r="JSE176" s="146"/>
      <c r="JSF176" s="146"/>
      <c r="JSG176" s="146"/>
      <c r="JSH176" s="146"/>
      <c r="JSI176" s="146"/>
      <c r="JSJ176" s="146"/>
      <c r="JSK176" s="146"/>
      <c r="JSL176" s="146"/>
      <c r="JSM176" s="146"/>
      <c r="JSN176" s="146"/>
      <c r="JSO176" s="146"/>
      <c r="JSP176" s="146"/>
      <c r="JSQ176" s="146"/>
      <c r="JSR176" s="146"/>
      <c r="JSS176" s="146"/>
      <c r="JST176" s="146"/>
      <c r="JSU176" s="146"/>
      <c r="JSV176" s="146"/>
      <c r="JSW176" s="146"/>
      <c r="JSX176" s="146"/>
      <c r="JSY176" s="146"/>
      <c r="JSZ176" s="146"/>
      <c r="JTA176" s="146"/>
      <c r="JTB176" s="146"/>
      <c r="JTC176" s="146"/>
      <c r="JTD176" s="146"/>
      <c r="JTE176" s="146"/>
      <c r="JTF176" s="146"/>
      <c r="JTG176" s="146"/>
      <c r="JTH176" s="146"/>
      <c r="JTI176" s="146"/>
      <c r="JTJ176" s="146"/>
      <c r="JTK176" s="146"/>
      <c r="JTL176" s="146"/>
      <c r="JTM176" s="146"/>
      <c r="JTN176" s="146"/>
      <c r="JTO176" s="146"/>
      <c r="JTP176" s="146"/>
      <c r="JTQ176" s="146"/>
      <c r="JTR176" s="146"/>
      <c r="JTS176" s="146"/>
      <c r="JTT176" s="146"/>
      <c r="JTU176" s="146"/>
      <c r="JTV176" s="146"/>
      <c r="JTW176" s="146"/>
      <c r="JTX176" s="146"/>
      <c r="JTY176" s="146"/>
      <c r="JTZ176" s="146"/>
      <c r="JUA176" s="146"/>
      <c r="JUB176" s="146"/>
      <c r="JUC176" s="146"/>
      <c r="JUD176" s="146"/>
      <c r="JUE176" s="146"/>
      <c r="JUF176" s="146"/>
      <c r="JUG176" s="146"/>
      <c r="JUH176" s="146"/>
      <c r="JUI176" s="146"/>
      <c r="JUJ176" s="146"/>
      <c r="JUK176" s="146"/>
      <c r="JUL176" s="146"/>
      <c r="JUM176" s="146"/>
      <c r="JUN176" s="146"/>
      <c r="JUO176" s="146"/>
      <c r="JUP176" s="146"/>
      <c r="JUQ176" s="146"/>
      <c r="JUR176" s="146"/>
      <c r="JUS176" s="146"/>
      <c r="JUT176" s="146"/>
      <c r="JUU176" s="146"/>
      <c r="JUV176" s="146"/>
      <c r="JUW176" s="146"/>
      <c r="JUX176" s="146"/>
      <c r="JUY176" s="146"/>
      <c r="JUZ176" s="146"/>
      <c r="JVA176" s="146"/>
      <c r="JVB176" s="146"/>
      <c r="JVC176" s="146"/>
      <c r="JVD176" s="146"/>
      <c r="JVE176" s="146"/>
      <c r="JVF176" s="146"/>
      <c r="JVG176" s="146"/>
      <c r="JVH176" s="146"/>
      <c r="JVI176" s="146"/>
      <c r="JVJ176" s="146"/>
      <c r="JVK176" s="146"/>
      <c r="JVL176" s="146"/>
      <c r="JVM176" s="146"/>
      <c r="JVN176" s="146"/>
      <c r="JVO176" s="146"/>
      <c r="JVP176" s="146"/>
      <c r="JVQ176" s="146"/>
      <c r="JVR176" s="146"/>
      <c r="JVS176" s="146"/>
      <c r="JVT176" s="146"/>
      <c r="JVU176" s="146"/>
      <c r="JVV176" s="146"/>
      <c r="JVW176" s="146"/>
      <c r="JVX176" s="146"/>
      <c r="JVY176" s="146"/>
      <c r="JVZ176" s="146"/>
      <c r="JWA176" s="146"/>
      <c r="JWB176" s="146"/>
      <c r="JWC176" s="146"/>
      <c r="JWD176" s="146"/>
      <c r="JWE176" s="146"/>
      <c r="JWF176" s="146"/>
      <c r="JWG176" s="146"/>
      <c r="JWH176" s="146"/>
      <c r="JWI176" s="146"/>
      <c r="JWJ176" s="146"/>
      <c r="JWK176" s="146"/>
      <c r="JWL176" s="146"/>
      <c r="JWM176" s="146"/>
      <c r="JWN176" s="146"/>
      <c r="JWO176" s="146"/>
      <c r="JWP176" s="146"/>
      <c r="JWQ176" s="146"/>
      <c r="JWR176" s="146"/>
      <c r="JWS176" s="146"/>
      <c r="JWT176" s="146"/>
      <c r="JWU176" s="146"/>
      <c r="JWV176" s="146"/>
      <c r="JWW176" s="146"/>
      <c r="JWX176" s="146"/>
      <c r="JWY176" s="146"/>
      <c r="JWZ176" s="146"/>
      <c r="JXA176" s="146"/>
      <c r="JXB176" s="146"/>
      <c r="JXC176" s="146"/>
      <c r="JXD176" s="146"/>
      <c r="JXE176" s="146"/>
      <c r="JXF176" s="146"/>
      <c r="JXG176" s="146"/>
      <c r="JXH176" s="146"/>
      <c r="JXI176" s="146"/>
      <c r="JXJ176" s="146"/>
      <c r="JXK176" s="146"/>
      <c r="JXL176" s="146"/>
      <c r="JXM176" s="146"/>
      <c r="JXN176" s="146"/>
      <c r="JXO176" s="146"/>
      <c r="JXP176" s="146"/>
      <c r="JXQ176" s="146"/>
      <c r="JXR176" s="146"/>
      <c r="JXS176" s="146"/>
      <c r="JXT176" s="146"/>
      <c r="JXU176" s="146"/>
      <c r="JXV176" s="146"/>
      <c r="JXW176" s="146"/>
      <c r="JXX176" s="146"/>
      <c r="JXY176" s="146"/>
      <c r="JXZ176" s="146"/>
      <c r="JYA176" s="146"/>
      <c r="JYB176" s="146"/>
      <c r="JYC176" s="146"/>
      <c r="JYD176" s="146"/>
      <c r="JYE176" s="146"/>
      <c r="JYF176" s="146"/>
      <c r="JYG176" s="146"/>
      <c r="JYH176" s="146"/>
      <c r="JYI176" s="146"/>
      <c r="JYJ176" s="146"/>
      <c r="JYK176" s="146"/>
      <c r="JYL176" s="146"/>
      <c r="JYM176" s="146"/>
      <c r="JYN176" s="146"/>
      <c r="JYO176" s="146"/>
      <c r="JYP176" s="146"/>
      <c r="JYQ176" s="146"/>
      <c r="JYR176" s="146"/>
      <c r="JYS176" s="146"/>
      <c r="JYT176" s="146"/>
      <c r="JYU176" s="146"/>
      <c r="JYV176" s="146"/>
      <c r="JYW176" s="146"/>
      <c r="JYX176" s="146"/>
      <c r="JYY176" s="146"/>
      <c r="JYZ176" s="146"/>
      <c r="JZA176" s="146"/>
      <c r="JZB176" s="146"/>
      <c r="JZC176" s="146"/>
      <c r="JZD176" s="146"/>
      <c r="JZE176" s="146"/>
      <c r="JZF176" s="146"/>
      <c r="JZG176" s="146"/>
      <c r="JZH176" s="146"/>
      <c r="JZI176" s="146"/>
      <c r="JZJ176" s="146"/>
      <c r="JZK176" s="146"/>
      <c r="JZL176" s="146"/>
      <c r="JZM176" s="146"/>
      <c r="JZN176" s="146"/>
      <c r="JZO176" s="146"/>
      <c r="JZP176" s="146"/>
      <c r="JZQ176" s="146"/>
      <c r="JZR176" s="146"/>
      <c r="JZS176" s="146"/>
      <c r="JZT176" s="146"/>
      <c r="JZU176" s="146"/>
      <c r="JZV176" s="146"/>
      <c r="JZW176" s="146"/>
      <c r="JZX176" s="146"/>
      <c r="JZY176" s="146"/>
      <c r="JZZ176" s="146"/>
      <c r="KAA176" s="146"/>
      <c r="KAB176" s="146"/>
      <c r="KAC176" s="146"/>
      <c r="KAD176" s="146"/>
      <c r="KAE176" s="146"/>
      <c r="KAF176" s="146"/>
      <c r="KAG176" s="146"/>
      <c r="KAH176" s="146"/>
      <c r="KAI176" s="146"/>
      <c r="KAJ176" s="146"/>
      <c r="KAK176" s="146"/>
      <c r="KAL176" s="146"/>
      <c r="KAM176" s="146"/>
      <c r="KAN176" s="146"/>
      <c r="KAO176" s="146"/>
      <c r="KAP176" s="146"/>
      <c r="KAQ176" s="146"/>
      <c r="KAR176" s="146"/>
      <c r="KAS176" s="146"/>
      <c r="KAT176" s="146"/>
      <c r="KAU176" s="146"/>
      <c r="KAV176" s="146"/>
      <c r="KAW176" s="146"/>
      <c r="KAX176" s="146"/>
      <c r="KAY176" s="146"/>
      <c r="KAZ176" s="146"/>
      <c r="KBA176" s="146"/>
      <c r="KBB176" s="146"/>
      <c r="KBC176" s="146"/>
      <c r="KBD176" s="146"/>
      <c r="KBE176" s="146"/>
      <c r="KBF176" s="146"/>
      <c r="KBG176" s="146"/>
      <c r="KBH176" s="146"/>
      <c r="KBI176" s="146"/>
      <c r="KBJ176" s="146"/>
      <c r="KBK176" s="146"/>
      <c r="KBL176" s="146"/>
      <c r="KBM176" s="146"/>
      <c r="KBN176" s="146"/>
      <c r="KBO176" s="146"/>
      <c r="KBP176" s="146"/>
      <c r="KBQ176" s="146"/>
      <c r="KBR176" s="146"/>
      <c r="KBS176" s="146"/>
      <c r="KBT176" s="146"/>
      <c r="KBU176" s="146"/>
      <c r="KBV176" s="146"/>
      <c r="KBW176" s="146"/>
      <c r="KBX176" s="146"/>
      <c r="KBY176" s="146"/>
      <c r="KBZ176" s="146"/>
      <c r="KCA176" s="146"/>
      <c r="KCB176" s="146"/>
      <c r="KCC176" s="146"/>
      <c r="KCD176" s="146"/>
      <c r="KCE176" s="146"/>
      <c r="KCF176" s="146"/>
      <c r="KCG176" s="146"/>
      <c r="KCH176" s="146"/>
      <c r="KCI176" s="146"/>
      <c r="KCJ176" s="146"/>
      <c r="KCK176" s="146"/>
      <c r="KCL176" s="146"/>
      <c r="KCM176" s="146"/>
      <c r="KCN176" s="146"/>
      <c r="KCO176" s="146"/>
      <c r="KCP176" s="146"/>
      <c r="KCQ176" s="146"/>
      <c r="KCR176" s="146"/>
      <c r="KCS176" s="146"/>
      <c r="KCT176" s="146"/>
      <c r="KCU176" s="146"/>
      <c r="KCV176" s="146"/>
      <c r="KCW176" s="146"/>
      <c r="KCX176" s="146"/>
      <c r="KCY176" s="146"/>
      <c r="KCZ176" s="146"/>
      <c r="KDA176" s="146"/>
      <c r="KDB176" s="146"/>
      <c r="KDC176" s="146"/>
      <c r="KDD176" s="146"/>
      <c r="KDE176" s="146"/>
      <c r="KDF176" s="146"/>
      <c r="KDG176" s="146"/>
      <c r="KDH176" s="146"/>
      <c r="KDI176" s="146"/>
      <c r="KDJ176" s="146"/>
      <c r="KDK176" s="146"/>
      <c r="KDL176" s="146"/>
      <c r="KDM176" s="146"/>
      <c r="KDN176" s="146"/>
      <c r="KDO176" s="146"/>
      <c r="KDP176" s="146"/>
      <c r="KDQ176" s="146"/>
      <c r="KDR176" s="146"/>
      <c r="KDS176" s="146"/>
      <c r="KDT176" s="146"/>
      <c r="KDU176" s="146"/>
      <c r="KDV176" s="146"/>
      <c r="KDW176" s="146"/>
      <c r="KDX176" s="146"/>
      <c r="KDY176" s="146"/>
      <c r="KDZ176" s="146"/>
      <c r="KEA176" s="146"/>
      <c r="KEB176" s="146"/>
      <c r="KEC176" s="146"/>
      <c r="KED176" s="146"/>
      <c r="KEE176" s="146"/>
      <c r="KEF176" s="146"/>
      <c r="KEG176" s="146"/>
      <c r="KEH176" s="146"/>
      <c r="KEI176" s="146"/>
      <c r="KEJ176" s="146"/>
      <c r="KEK176" s="146"/>
      <c r="KEL176" s="146"/>
      <c r="KEM176" s="146"/>
      <c r="KEN176" s="146"/>
      <c r="KEO176" s="146"/>
      <c r="KEP176" s="146"/>
      <c r="KEQ176" s="146"/>
      <c r="KER176" s="146"/>
      <c r="KES176" s="146"/>
      <c r="KET176" s="146"/>
      <c r="KEU176" s="146"/>
      <c r="KEV176" s="146"/>
      <c r="KEW176" s="146"/>
      <c r="KEX176" s="146"/>
      <c r="KEY176" s="146"/>
      <c r="KEZ176" s="146"/>
      <c r="KFA176" s="146"/>
      <c r="KFB176" s="146"/>
      <c r="KFC176" s="146"/>
      <c r="KFD176" s="146"/>
      <c r="KFE176" s="146"/>
      <c r="KFF176" s="146"/>
      <c r="KFG176" s="146"/>
      <c r="KFH176" s="146"/>
      <c r="KFI176" s="146"/>
      <c r="KFJ176" s="146"/>
      <c r="KFK176" s="146"/>
      <c r="KFL176" s="146"/>
      <c r="KFM176" s="146"/>
      <c r="KFN176" s="146"/>
      <c r="KFO176" s="146"/>
      <c r="KFP176" s="146"/>
      <c r="KFQ176" s="146"/>
      <c r="KFR176" s="146"/>
      <c r="KFS176" s="146"/>
      <c r="KFT176" s="146"/>
      <c r="KFU176" s="146"/>
      <c r="KFV176" s="146"/>
      <c r="KFW176" s="146"/>
      <c r="KFX176" s="146"/>
      <c r="KFY176" s="146"/>
      <c r="KFZ176" s="146"/>
      <c r="KGA176" s="146"/>
      <c r="KGB176" s="146"/>
      <c r="KGC176" s="146"/>
      <c r="KGD176" s="146"/>
      <c r="KGE176" s="146"/>
      <c r="KGF176" s="146"/>
      <c r="KGG176" s="146"/>
      <c r="KGH176" s="146"/>
      <c r="KGI176" s="146"/>
      <c r="KGJ176" s="146"/>
      <c r="KGK176" s="146"/>
      <c r="KGL176" s="146"/>
      <c r="KGM176" s="146"/>
      <c r="KGN176" s="146"/>
      <c r="KGO176" s="146"/>
      <c r="KGP176" s="146"/>
      <c r="KGQ176" s="146"/>
      <c r="KGR176" s="146"/>
      <c r="KGS176" s="146"/>
      <c r="KGT176" s="146"/>
      <c r="KGU176" s="146"/>
      <c r="KGV176" s="146"/>
      <c r="KGW176" s="146"/>
      <c r="KGX176" s="146"/>
      <c r="KGY176" s="146"/>
      <c r="KGZ176" s="146"/>
      <c r="KHA176" s="146"/>
      <c r="KHB176" s="146"/>
      <c r="KHC176" s="146"/>
      <c r="KHD176" s="146"/>
      <c r="KHE176" s="146"/>
      <c r="KHF176" s="146"/>
      <c r="KHG176" s="146"/>
      <c r="KHH176" s="146"/>
      <c r="KHI176" s="146"/>
      <c r="KHJ176" s="146"/>
      <c r="KHK176" s="146"/>
      <c r="KHL176" s="146"/>
      <c r="KHM176" s="146"/>
      <c r="KHN176" s="146"/>
      <c r="KHO176" s="146"/>
      <c r="KHP176" s="146"/>
      <c r="KHQ176" s="146"/>
      <c r="KHR176" s="146"/>
      <c r="KHS176" s="146"/>
      <c r="KHT176" s="146"/>
      <c r="KHU176" s="146"/>
      <c r="KHV176" s="146"/>
      <c r="KHW176" s="146"/>
      <c r="KHX176" s="146"/>
      <c r="KHY176" s="146"/>
      <c r="KHZ176" s="146"/>
      <c r="KIA176" s="146"/>
      <c r="KIB176" s="146"/>
      <c r="KIC176" s="146"/>
      <c r="KID176" s="146"/>
      <c r="KIE176" s="146"/>
      <c r="KIF176" s="146"/>
      <c r="KIG176" s="146"/>
      <c r="KIH176" s="146"/>
      <c r="KII176" s="146"/>
      <c r="KIJ176" s="146"/>
      <c r="KIK176" s="146"/>
      <c r="KIL176" s="146"/>
      <c r="KIM176" s="146"/>
      <c r="KIN176" s="146"/>
      <c r="KIO176" s="146"/>
      <c r="KIP176" s="146"/>
      <c r="KIQ176" s="146"/>
      <c r="KIR176" s="146"/>
      <c r="KIS176" s="146"/>
      <c r="KIT176" s="146"/>
      <c r="KIU176" s="146"/>
      <c r="KIV176" s="146"/>
      <c r="KIW176" s="146"/>
      <c r="KIX176" s="146"/>
      <c r="KIY176" s="146"/>
      <c r="KIZ176" s="146"/>
      <c r="KJA176" s="146"/>
      <c r="KJB176" s="146"/>
      <c r="KJC176" s="146"/>
      <c r="KJD176" s="146"/>
      <c r="KJE176" s="146"/>
      <c r="KJF176" s="146"/>
      <c r="KJG176" s="146"/>
      <c r="KJH176" s="146"/>
      <c r="KJI176" s="146"/>
      <c r="KJJ176" s="146"/>
      <c r="KJK176" s="146"/>
      <c r="KJL176" s="146"/>
      <c r="KJM176" s="146"/>
      <c r="KJN176" s="146"/>
      <c r="KJO176" s="146"/>
      <c r="KJP176" s="146"/>
      <c r="KJQ176" s="146"/>
      <c r="KJR176" s="146"/>
      <c r="KJS176" s="146"/>
      <c r="KJT176" s="146"/>
      <c r="KJU176" s="146"/>
      <c r="KJV176" s="146"/>
      <c r="KJW176" s="146"/>
      <c r="KJX176" s="146"/>
      <c r="KJY176" s="146"/>
      <c r="KJZ176" s="146"/>
      <c r="KKA176" s="146"/>
      <c r="KKB176" s="146"/>
      <c r="KKC176" s="146"/>
      <c r="KKD176" s="146"/>
      <c r="KKE176" s="146"/>
      <c r="KKF176" s="146"/>
      <c r="KKG176" s="146"/>
      <c r="KKH176" s="146"/>
      <c r="KKI176" s="146"/>
      <c r="KKJ176" s="146"/>
      <c r="KKK176" s="146"/>
      <c r="KKL176" s="146"/>
      <c r="KKM176" s="146"/>
      <c r="KKN176" s="146"/>
      <c r="KKO176" s="146"/>
      <c r="KKP176" s="146"/>
      <c r="KKQ176" s="146"/>
      <c r="KKR176" s="146"/>
      <c r="KKS176" s="146"/>
      <c r="KKT176" s="146"/>
      <c r="KKU176" s="146"/>
      <c r="KKV176" s="146"/>
      <c r="KKW176" s="146"/>
      <c r="KKX176" s="146"/>
      <c r="KKY176" s="146"/>
      <c r="KKZ176" s="146"/>
      <c r="KLA176" s="146"/>
      <c r="KLB176" s="146"/>
      <c r="KLC176" s="146"/>
      <c r="KLD176" s="146"/>
      <c r="KLE176" s="146"/>
      <c r="KLF176" s="146"/>
      <c r="KLG176" s="146"/>
      <c r="KLH176" s="146"/>
      <c r="KLI176" s="146"/>
      <c r="KLJ176" s="146"/>
      <c r="KLK176" s="146"/>
      <c r="KLL176" s="146"/>
      <c r="KLM176" s="146"/>
      <c r="KLN176" s="146"/>
      <c r="KLO176" s="146"/>
      <c r="KLP176" s="146"/>
      <c r="KLQ176" s="146"/>
      <c r="KLR176" s="146"/>
      <c r="KLS176" s="146"/>
      <c r="KLT176" s="146"/>
      <c r="KLU176" s="146"/>
      <c r="KLV176" s="146"/>
      <c r="KLW176" s="146"/>
      <c r="KLX176" s="146"/>
      <c r="KLY176" s="146"/>
      <c r="KLZ176" s="146"/>
      <c r="KMA176" s="146"/>
      <c r="KMB176" s="146"/>
      <c r="KMC176" s="146"/>
      <c r="KMD176" s="146"/>
      <c r="KME176" s="146"/>
      <c r="KMF176" s="146"/>
      <c r="KMG176" s="146"/>
      <c r="KMH176" s="146"/>
      <c r="KMI176" s="146"/>
      <c r="KMJ176" s="146"/>
      <c r="KMK176" s="146"/>
      <c r="KML176" s="146"/>
      <c r="KMM176" s="146"/>
      <c r="KMN176" s="146"/>
      <c r="KMO176" s="146"/>
      <c r="KMP176" s="146"/>
      <c r="KMQ176" s="146"/>
      <c r="KMR176" s="146"/>
      <c r="KMS176" s="146"/>
      <c r="KMT176" s="146"/>
      <c r="KMU176" s="146"/>
      <c r="KMV176" s="146"/>
      <c r="KMW176" s="146"/>
      <c r="KMX176" s="146"/>
      <c r="KMY176" s="146"/>
      <c r="KMZ176" s="146"/>
      <c r="KNA176" s="146"/>
      <c r="KNB176" s="146"/>
      <c r="KNC176" s="146"/>
      <c r="KND176" s="146"/>
      <c r="KNE176" s="146"/>
      <c r="KNF176" s="146"/>
      <c r="KNG176" s="146"/>
      <c r="KNH176" s="146"/>
      <c r="KNI176" s="146"/>
      <c r="KNJ176" s="146"/>
      <c r="KNK176" s="146"/>
      <c r="KNL176" s="146"/>
      <c r="KNM176" s="146"/>
      <c r="KNN176" s="146"/>
      <c r="KNO176" s="146"/>
      <c r="KNP176" s="146"/>
      <c r="KNQ176" s="146"/>
      <c r="KNR176" s="146"/>
      <c r="KNS176" s="146"/>
      <c r="KNT176" s="146"/>
      <c r="KNU176" s="146"/>
      <c r="KNV176" s="146"/>
      <c r="KNW176" s="146"/>
      <c r="KNX176" s="146"/>
      <c r="KNY176" s="146"/>
      <c r="KNZ176" s="146"/>
      <c r="KOA176" s="146"/>
      <c r="KOB176" s="146"/>
      <c r="KOC176" s="146"/>
      <c r="KOD176" s="146"/>
      <c r="KOE176" s="146"/>
      <c r="KOF176" s="146"/>
      <c r="KOG176" s="146"/>
      <c r="KOH176" s="146"/>
      <c r="KOI176" s="146"/>
      <c r="KOJ176" s="146"/>
      <c r="KOK176" s="146"/>
      <c r="KOL176" s="146"/>
      <c r="KOM176" s="146"/>
      <c r="KON176" s="146"/>
      <c r="KOO176" s="146"/>
      <c r="KOP176" s="146"/>
      <c r="KOQ176" s="146"/>
      <c r="KOR176" s="146"/>
      <c r="KOS176" s="146"/>
      <c r="KOT176" s="146"/>
      <c r="KOU176" s="146"/>
      <c r="KOV176" s="146"/>
      <c r="KOW176" s="146"/>
      <c r="KOX176" s="146"/>
      <c r="KOY176" s="146"/>
      <c r="KOZ176" s="146"/>
      <c r="KPA176" s="146"/>
      <c r="KPB176" s="146"/>
      <c r="KPC176" s="146"/>
      <c r="KPD176" s="146"/>
      <c r="KPE176" s="146"/>
      <c r="KPF176" s="146"/>
      <c r="KPG176" s="146"/>
      <c r="KPH176" s="146"/>
      <c r="KPI176" s="146"/>
      <c r="KPJ176" s="146"/>
      <c r="KPK176" s="146"/>
      <c r="KPL176" s="146"/>
      <c r="KPM176" s="146"/>
      <c r="KPN176" s="146"/>
      <c r="KPO176" s="146"/>
      <c r="KPP176" s="146"/>
      <c r="KPQ176" s="146"/>
      <c r="KPR176" s="146"/>
      <c r="KPS176" s="146"/>
      <c r="KPT176" s="146"/>
      <c r="KPU176" s="146"/>
      <c r="KPV176" s="146"/>
      <c r="KPW176" s="146"/>
      <c r="KPX176" s="146"/>
      <c r="KPY176" s="146"/>
      <c r="KPZ176" s="146"/>
      <c r="KQA176" s="146"/>
      <c r="KQB176" s="146"/>
      <c r="KQC176" s="146"/>
      <c r="KQD176" s="146"/>
      <c r="KQE176" s="146"/>
      <c r="KQF176" s="146"/>
      <c r="KQG176" s="146"/>
      <c r="KQH176" s="146"/>
      <c r="KQI176" s="146"/>
      <c r="KQJ176" s="146"/>
      <c r="KQK176" s="146"/>
      <c r="KQL176" s="146"/>
      <c r="KQM176" s="146"/>
      <c r="KQN176" s="146"/>
      <c r="KQO176" s="146"/>
      <c r="KQP176" s="146"/>
      <c r="KQQ176" s="146"/>
      <c r="KQR176" s="146"/>
      <c r="KQS176" s="146"/>
      <c r="KQT176" s="146"/>
      <c r="KQU176" s="146"/>
      <c r="KQV176" s="146"/>
      <c r="KQW176" s="146"/>
      <c r="KQX176" s="146"/>
      <c r="KQY176" s="146"/>
      <c r="KQZ176" s="146"/>
      <c r="KRA176" s="146"/>
      <c r="KRB176" s="146"/>
      <c r="KRC176" s="146"/>
      <c r="KRD176" s="146"/>
      <c r="KRE176" s="146"/>
      <c r="KRF176" s="146"/>
      <c r="KRG176" s="146"/>
      <c r="KRH176" s="146"/>
      <c r="KRI176" s="146"/>
      <c r="KRJ176" s="146"/>
      <c r="KRK176" s="146"/>
      <c r="KRL176" s="146"/>
      <c r="KRM176" s="146"/>
      <c r="KRN176" s="146"/>
      <c r="KRO176" s="146"/>
      <c r="KRP176" s="146"/>
      <c r="KRQ176" s="146"/>
      <c r="KRR176" s="146"/>
      <c r="KRS176" s="146"/>
      <c r="KRT176" s="146"/>
      <c r="KRU176" s="146"/>
      <c r="KRV176" s="146"/>
      <c r="KRW176" s="146"/>
      <c r="KRX176" s="146"/>
      <c r="KRY176" s="146"/>
      <c r="KRZ176" s="146"/>
      <c r="KSA176" s="146"/>
      <c r="KSB176" s="146"/>
      <c r="KSC176" s="146"/>
      <c r="KSD176" s="146"/>
      <c r="KSE176" s="146"/>
      <c r="KSF176" s="146"/>
      <c r="KSG176" s="146"/>
      <c r="KSH176" s="146"/>
      <c r="KSI176" s="146"/>
      <c r="KSJ176" s="146"/>
      <c r="KSK176" s="146"/>
      <c r="KSL176" s="146"/>
      <c r="KSM176" s="146"/>
      <c r="KSN176" s="146"/>
      <c r="KSO176" s="146"/>
      <c r="KSP176" s="146"/>
      <c r="KSQ176" s="146"/>
      <c r="KSR176" s="146"/>
      <c r="KSS176" s="146"/>
      <c r="KST176" s="146"/>
      <c r="KSU176" s="146"/>
      <c r="KSV176" s="146"/>
      <c r="KSW176" s="146"/>
      <c r="KSX176" s="146"/>
      <c r="KSY176" s="146"/>
      <c r="KSZ176" s="146"/>
      <c r="KTA176" s="146"/>
      <c r="KTB176" s="146"/>
      <c r="KTC176" s="146"/>
      <c r="KTD176" s="146"/>
      <c r="KTE176" s="146"/>
      <c r="KTF176" s="146"/>
      <c r="KTG176" s="146"/>
      <c r="KTH176" s="146"/>
      <c r="KTI176" s="146"/>
      <c r="KTJ176" s="146"/>
      <c r="KTK176" s="146"/>
      <c r="KTL176" s="146"/>
      <c r="KTM176" s="146"/>
      <c r="KTN176" s="146"/>
      <c r="KTO176" s="146"/>
      <c r="KTP176" s="146"/>
      <c r="KTQ176" s="146"/>
      <c r="KTR176" s="146"/>
      <c r="KTS176" s="146"/>
      <c r="KTT176" s="146"/>
      <c r="KTU176" s="146"/>
      <c r="KTV176" s="146"/>
      <c r="KTW176" s="146"/>
      <c r="KTX176" s="146"/>
      <c r="KTY176" s="146"/>
      <c r="KTZ176" s="146"/>
      <c r="KUA176" s="146"/>
      <c r="KUB176" s="146"/>
      <c r="KUC176" s="146"/>
      <c r="KUD176" s="146"/>
      <c r="KUE176" s="146"/>
      <c r="KUF176" s="146"/>
      <c r="KUG176" s="146"/>
      <c r="KUH176" s="146"/>
      <c r="KUI176" s="146"/>
      <c r="KUJ176" s="146"/>
      <c r="KUK176" s="146"/>
      <c r="KUL176" s="146"/>
      <c r="KUM176" s="146"/>
      <c r="KUN176" s="146"/>
      <c r="KUO176" s="146"/>
      <c r="KUP176" s="146"/>
      <c r="KUQ176" s="146"/>
      <c r="KUR176" s="146"/>
      <c r="KUS176" s="146"/>
      <c r="KUT176" s="146"/>
      <c r="KUU176" s="146"/>
      <c r="KUV176" s="146"/>
      <c r="KUW176" s="146"/>
      <c r="KUX176" s="146"/>
      <c r="KUY176" s="146"/>
      <c r="KUZ176" s="146"/>
      <c r="KVA176" s="146"/>
      <c r="KVB176" s="146"/>
      <c r="KVC176" s="146"/>
      <c r="KVD176" s="146"/>
      <c r="KVE176" s="146"/>
      <c r="KVF176" s="146"/>
      <c r="KVG176" s="146"/>
      <c r="KVH176" s="146"/>
      <c r="KVI176" s="146"/>
      <c r="KVJ176" s="146"/>
      <c r="KVK176" s="146"/>
      <c r="KVL176" s="146"/>
      <c r="KVM176" s="146"/>
      <c r="KVN176" s="146"/>
      <c r="KVO176" s="146"/>
      <c r="KVP176" s="146"/>
      <c r="KVQ176" s="146"/>
      <c r="KVR176" s="146"/>
      <c r="KVS176" s="146"/>
      <c r="KVT176" s="146"/>
      <c r="KVU176" s="146"/>
      <c r="KVV176" s="146"/>
      <c r="KVW176" s="146"/>
      <c r="KVX176" s="146"/>
      <c r="KVY176" s="146"/>
      <c r="KVZ176" s="146"/>
      <c r="KWA176" s="146"/>
      <c r="KWB176" s="146"/>
      <c r="KWC176" s="146"/>
      <c r="KWD176" s="146"/>
      <c r="KWE176" s="146"/>
      <c r="KWF176" s="146"/>
      <c r="KWG176" s="146"/>
      <c r="KWH176" s="146"/>
      <c r="KWI176" s="146"/>
      <c r="KWJ176" s="146"/>
      <c r="KWK176" s="146"/>
      <c r="KWL176" s="146"/>
      <c r="KWM176" s="146"/>
      <c r="KWN176" s="146"/>
      <c r="KWO176" s="146"/>
      <c r="KWP176" s="146"/>
      <c r="KWQ176" s="146"/>
      <c r="KWR176" s="146"/>
      <c r="KWS176" s="146"/>
      <c r="KWT176" s="146"/>
      <c r="KWU176" s="146"/>
      <c r="KWV176" s="146"/>
      <c r="KWW176" s="146"/>
      <c r="KWX176" s="146"/>
      <c r="KWY176" s="146"/>
      <c r="KWZ176" s="146"/>
      <c r="KXA176" s="146"/>
      <c r="KXB176" s="146"/>
      <c r="KXC176" s="146"/>
      <c r="KXD176" s="146"/>
      <c r="KXE176" s="146"/>
      <c r="KXF176" s="146"/>
      <c r="KXG176" s="146"/>
      <c r="KXH176" s="146"/>
      <c r="KXI176" s="146"/>
      <c r="KXJ176" s="146"/>
      <c r="KXK176" s="146"/>
      <c r="KXL176" s="146"/>
      <c r="KXM176" s="146"/>
      <c r="KXN176" s="146"/>
      <c r="KXO176" s="146"/>
      <c r="KXP176" s="146"/>
      <c r="KXQ176" s="146"/>
      <c r="KXR176" s="146"/>
      <c r="KXS176" s="146"/>
      <c r="KXT176" s="146"/>
      <c r="KXU176" s="146"/>
      <c r="KXV176" s="146"/>
      <c r="KXW176" s="146"/>
      <c r="KXX176" s="146"/>
      <c r="KXY176" s="146"/>
      <c r="KXZ176" s="146"/>
      <c r="KYA176" s="146"/>
      <c r="KYB176" s="146"/>
      <c r="KYC176" s="146"/>
      <c r="KYD176" s="146"/>
      <c r="KYE176" s="146"/>
      <c r="KYF176" s="146"/>
      <c r="KYG176" s="146"/>
      <c r="KYH176" s="146"/>
      <c r="KYI176" s="146"/>
      <c r="KYJ176" s="146"/>
      <c r="KYK176" s="146"/>
      <c r="KYL176" s="146"/>
      <c r="KYM176" s="146"/>
      <c r="KYN176" s="146"/>
      <c r="KYO176" s="146"/>
      <c r="KYP176" s="146"/>
      <c r="KYQ176" s="146"/>
      <c r="KYR176" s="146"/>
      <c r="KYS176" s="146"/>
      <c r="KYT176" s="146"/>
      <c r="KYU176" s="146"/>
      <c r="KYV176" s="146"/>
      <c r="KYW176" s="146"/>
      <c r="KYX176" s="146"/>
      <c r="KYY176" s="146"/>
      <c r="KYZ176" s="146"/>
      <c r="KZA176" s="146"/>
      <c r="KZB176" s="146"/>
      <c r="KZC176" s="146"/>
      <c r="KZD176" s="146"/>
      <c r="KZE176" s="146"/>
      <c r="KZF176" s="146"/>
      <c r="KZG176" s="146"/>
      <c r="KZH176" s="146"/>
      <c r="KZI176" s="146"/>
      <c r="KZJ176" s="146"/>
      <c r="KZK176" s="146"/>
      <c r="KZL176" s="146"/>
      <c r="KZM176" s="146"/>
      <c r="KZN176" s="146"/>
      <c r="KZO176" s="146"/>
      <c r="KZP176" s="146"/>
      <c r="KZQ176" s="146"/>
      <c r="KZR176" s="146"/>
      <c r="KZS176" s="146"/>
      <c r="KZT176" s="146"/>
      <c r="KZU176" s="146"/>
      <c r="KZV176" s="146"/>
      <c r="KZW176" s="146"/>
      <c r="KZX176" s="146"/>
      <c r="KZY176" s="146"/>
      <c r="KZZ176" s="146"/>
      <c r="LAA176" s="146"/>
      <c r="LAB176" s="146"/>
      <c r="LAC176" s="146"/>
      <c r="LAD176" s="146"/>
      <c r="LAE176" s="146"/>
      <c r="LAF176" s="146"/>
      <c r="LAG176" s="146"/>
      <c r="LAH176" s="146"/>
      <c r="LAI176" s="146"/>
      <c r="LAJ176" s="146"/>
      <c r="LAK176" s="146"/>
      <c r="LAL176" s="146"/>
      <c r="LAM176" s="146"/>
      <c r="LAN176" s="146"/>
      <c r="LAO176" s="146"/>
      <c r="LAP176" s="146"/>
      <c r="LAQ176" s="146"/>
      <c r="LAR176" s="146"/>
      <c r="LAS176" s="146"/>
      <c r="LAT176" s="146"/>
      <c r="LAU176" s="146"/>
      <c r="LAV176" s="146"/>
      <c r="LAW176" s="146"/>
      <c r="LAX176" s="146"/>
      <c r="LAY176" s="146"/>
      <c r="LAZ176" s="146"/>
      <c r="LBA176" s="146"/>
      <c r="LBB176" s="146"/>
      <c r="LBC176" s="146"/>
      <c r="LBD176" s="146"/>
      <c r="LBE176" s="146"/>
      <c r="LBF176" s="146"/>
      <c r="LBG176" s="146"/>
      <c r="LBH176" s="146"/>
      <c r="LBI176" s="146"/>
      <c r="LBJ176" s="146"/>
      <c r="LBK176" s="146"/>
      <c r="LBL176" s="146"/>
      <c r="LBM176" s="146"/>
      <c r="LBN176" s="146"/>
      <c r="LBO176" s="146"/>
      <c r="LBP176" s="146"/>
      <c r="LBQ176" s="146"/>
      <c r="LBR176" s="146"/>
      <c r="LBS176" s="146"/>
      <c r="LBT176" s="146"/>
      <c r="LBU176" s="146"/>
      <c r="LBV176" s="146"/>
      <c r="LBW176" s="146"/>
      <c r="LBX176" s="146"/>
      <c r="LBY176" s="146"/>
      <c r="LBZ176" s="146"/>
      <c r="LCA176" s="146"/>
      <c r="LCB176" s="146"/>
      <c r="LCC176" s="146"/>
      <c r="LCD176" s="146"/>
      <c r="LCE176" s="146"/>
      <c r="LCF176" s="146"/>
      <c r="LCG176" s="146"/>
      <c r="LCH176" s="146"/>
      <c r="LCI176" s="146"/>
      <c r="LCJ176" s="146"/>
      <c r="LCK176" s="146"/>
      <c r="LCL176" s="146"/>
      <c r="LCM176" s="146"/>
      <c r="LCN176" s="146"/>
      <c r="LCO176" s="146"/>
      <c r="LCP176" s="146"/>
      <c r="LCQ176" s="146"/>
      <c r="LCR176" s="146"/>
      <c r="LCS176" s="146"/>
      <c r="LCT176" s="146"/>
      <c r="LCU176" s="146"/>
      <c r="LCV176" s="146"/>
      <c r="LCW176" s="146"/>
      <c r="LCX176" s="146"/>
      <c r="LCY176" s="146"/>
      <c r="LCZ176" s="146"/>
      <c r="LDA176" s="146"/>
      <c r="LDB176" s="146"/>
      <c r="LDC176" s="146"/>
      <c r="LDD176" s="146"/>
      <c r="LDE176" s="146"/>
      <c r="LDF176" s="146"/>
      <c r="LDG176" s="146"/>
      <c r="LDH176" s="146"/>
      <c r="LDI176" s="146"/>
      <c r="LDJ176" s="146"/>
      <c r="LDK176" s="146"/>
      <c r="LDL176" s="146"/>
      <c r="LDM176" s="146"/>
      <c r="LDN176" s="146"/>
      <c r="LDO176" s="146"/>
      <c r="LDP176" s="146"/>
      <c r="LDQ176" s="146"/>
      <c r="LDR176" s="146"/>
      <c r="LDS176" s="146"/>
      <c r="LDT176" s="146"/>
      <c r="LDU176" s="146"/>
      <c r="LDV176" s="146"/>
      <c r="LDW176" s="146"/>
      <c r="LDX176" s="146"/>
      <c r="LDY176" s="146"/>
      <c r="LDZ176" s="146"/>
      <c r="LEA176" s="146"/>
      <c r="LEB176" s="146"/>
      <c r="LEC176" s="146"/>
      <c r="LED176" s="146"/>
      <c r="LEE176" s="146"/>
      <c r="LEF176" s="146"/>
      <c r="LEG176" s="146"/>
      <c r="LEH176" s="146"/>
      <c r="LEI176" s="146"/>
      <c r="LEJ176" s="146"/>
      <c r="LEK176" s="146"/>
      <c r="LEL176" s="146"/>
      <c r="LEM176" s="146"/>
      <c r="LEN176" s="146"/>
      <c r="LEO176" s="146"/>
      <c r="LEP176" s="146"/>
      <c r="LEQ176" s="146"/>
      <c r="LER176" s="146"/>
      <c r="LES176" s="146"/>
      <c r="LET176" s="146"/>
      <c r="LEU176" s="146"/>
      <c r="LEV176" s="146"/>
      <c r="LEW176" s="146"/>
      <c r="LEX176" s="146"/>
      <c r="LEY176" s="146"/>
      <c r="LEZ176" s="146"/>
      <c r="LFA176" s="146"/>
      <c r="LFB176" s="146"/>
      <c r="LFC176" s="146"/>
      <c r="LFD176" s="146"/>
      <c r="LFE176" s="146"/>
      <c r="LFF176" s="146"/>
      <c r="LFG176" s="146"/>
      <c r="LFH176" s="146"/>
      <c r="LFI176" s="146"/>
      <c r="LFJ176" s="146"/>
      <c r="LFK176" s="146"/>
      <c r="LFL176" s="146"/>
      <c r="LFM176" s="146"/>
      <c r="LFN176" s="146"/>
      <c r="LFO176" s="146"/>
      <c r="LFP176" s="146"/>
      <c r="LFQ176" s="146"/>
      <c r="LFR176" s="146"/>
      <c r="LFS176" s="146"/>
      <c r="LFT176" s="146"/>
      <c r="LFU176" s="146"/>
      <c r="LFV176" s="146"/>
      <c r="LFW176" s="146"/>
      <c r="LFX176" s="146"/>
      <c r="LFY176" s="146"/>
      <c r="LFZ176" s="146"/>
      <c r="LGA176" s="146"/>
      <c r="LGB176" s="146"/>
      <c r="LGC176" s="146"/>
      <c r="LGD176" s="146"/>
      <c r="LGE176" s="146"/>
      <c r="LGF176" s="146"/>
      <c r="LGG176" s="146"/>
      <c r="LGH176" s="146"/>
      <c r="LGI176" s="146"/>
      <c r="LGJ176" s="146"/>
      <c r="LGK176" s="146"/>
      <c r="LGL176" s="146"/>
      <c r="LGM176" s="146"/>
      <c r="LGN176" s="146"/>
      <c r="LGO176" s="146"/>
      <c r="LGP176" s="146"/>
      <c r="LGQ176" s="146"/>
      <c r="LGR176" s="146"/>
      <c r="LGS176" s="146"/>
      <c r="LGT176" s="146"/>
      <c r="LGU176" s="146"/>
      <c r="LGV176" s="146"/>
      <c r="LGW176" s="146"/>
      <c r="LGX176" s="146"/>
      <c r="LGY176" s="146"/>
      <c r="LGZ176" s="146"/>
      <c r="LHA176" s="146"/>
      <c r="LHB176" s="146"/>
      <c r="LHC176" s="146"/>
      <c r="LHD176" s="146"/>
      <c r="LHE176" s="146"/>
      <c r="LHF176" s="146"/>
      <c r="LHG176" s="146"/>
      <c r="LHH176" s="146"/>
      <c r="LHI176" s="146"/>
      <c r="LHJ176" s="146"/>
      <c r="LHK176" s="146"/>
      <c r="LHL176" s="146"/>
      <c r="LHM176" s="146"/>
      <c r="LHN176" s="146"/>
      <c r="LHO176" s="146"/>
      <c r="LHP176" s="146"/>
      <c r="LHQ176" s="146"/>
      <c r="LHR176" s="146"/>
      <c r="LHS176" s="146"/>
      <c r="LHT176" s="146"/>
      <c r="LHU176" s="146"/>
      <c r="LHV176" s="146"/>
      <c r="LHW176" s="146"/>
      <c r="LHX176" s="146"/>
      <c r="LHY176" s="146"/>
      <c r="LHZ176" s="146"/>
      <c r="LIA176" s="146"/>
      <c r="LIB176" s="146"/>
      <c r="LIC176" s="146"/>
      <c r="LID176" s="146"/>
      <c r="LIE176" s="146"/>
      <c r="LIF176" s="146"/>
      <c r="LIG176" s="146"/>
      <c r="LIH176" s="146"/>
      <c r="LII176" s="146"/>
      <c r="LIJ176" s="146"/>
      <c r="LIK176" s="146"/>
      <c r="LIL176" s="146"/>
      <c r="LIM176" s="146"/>
      <c r="LIN176" s="146"/>
      <c r="LIO176" s="146"/>
      <c r="LIP176" s="146"/>
      <c r="LIQ176" s="146"/>
      <c r="LIR176" s="146"/>
      <c r="LIS176" s="146"/>
      <c r="LIT176" s="146"/>
      <c r="LIU176" s="146"/>
      <c r="LIV176" s="146"/>
      <c r="LIW176" s="146"/>
      <c r="LIX176" s="146"/>
      <c r="LIY176" s="146"/>
      <c r="LIZ176" s="146"/>
      <c r="LJA176" s="146"/>
      <c r="LJB176" s="146"/>
      <c r="LJC176" s="146"/>
      <c r="LJD176" s="146"/>
      <c r="LJE176" s="146"/>
      <c r="LJF176" s="146"/>
      <c r="LJG176" s="146"/>
      <c r="LJH176" s="146"/>
      <c r="LJI176" s="146"/>
      <c r="LJJ176" s="146"/>
      <c r="LJK176" s="146"/>
      <c r="LJL176" s="146"/>
      <c r="LJM176" s="146"/>
      <c r="LJN176" s="146"/>
      <c r="LJO176" s="146"/>
      <c r="LJP176" s="146"/>
      <c r="LJQ176" s="146"/>
      <c r="LJR176" s="146"/>
      <c r="LJS176" s="146"/>
      <c r="LJT176" s="146"/>
      <c r="LJU176" s="146"/>
      <c r="LJV176" s="146"/>
      <c r="LJW176" s="146"/>
      <c r="LJX176" s="146"/>
      <c r="LJY176" s="146"/>
      <c r="LJZ176" s="146"/>
      <c r="LKA176" s="146"/>
      <c r="LKB176" s="146"/>
      <c r="LKC176" s="146"/>
      <c r="LKD176" s="146"/>
      <c r="LKE176" s="146"/>
      <c r="LKF176" s="146"/>
      <c r="LKG176" s="146"/>
      <c r="LKH176" s="146"/>
      <c r="LKI176" s="146"/>
      <c r="LKJ176" s="146"/>
      <c r="LKK176" s="146"/>
      <c r="LKL176" s="146"/>
      <c r="LKM176" s="146"/>
      <c r="LKN176" s="146"/>
      <c r="LKO176" s="146"/>
      <c r="LKP176" s="146"/>
      <c r="LKQ176" s="146"/>
      <c r="LKR176" s="146"/>
      <c r="LKS176" s="146"/>
      <c r="LKT176" s="146"/>
      <c r="LKU176" s="146"/>
      <c r="LKV176" s="146"/>
      <c r="LKW176" s="146"/>
      <c r="LKX176" s="146"/>
      <c r="LKY176" s="146"/>
      <c r="LKZ176" s="146"/>
      <c r="LLA176" s="146"/>
      <c r="LLB176" s="146"/>
      <c r="LLC176" s="146"/>
      <c r="LLD176" s="146"/>
      <c r="LLE176" s="146"/>
      <c r="LLF176" s="146"/>
      <c r="LLG176" s="146"/>
      <c r="LLH176" s="146"/>
      <c r="LLI176" s="146"/>
      <c r="LLJ176" s="146"/>
      <c r="LLK176" s="146"/>
      <c r="LLL176" s="146"/>
      <c r="LLM176" s="146"/>
      <c r="LLN176" s="146"/>
      <c r="LLO176" s="146"/>
      <c r="LLP176" s="146"/>
      <c r="LLQ176" s="146"/>
      <c r="LLR176" s="146"/>
      <c r="LLS176" s="146"/>
      <c r="LLT176" s="146"/>
      <c r="LLU176" s="146"/>
      <c r="LLV176" s="146"/>
      <c r="LLW176" s="146"/>
      <c r="LLX176" s="146"/>
      <c r="LLY176" s="146"/>
      <c r="LLZ176" s="146"/>
      <c r="LMA176" s="146"/>
      <c r="LMB176" s="146"/>
      <c r="LMC176" s="146"/>
      <c r="LMD176" s="146"/>
      <c r="LME176" s="146"/>
      <c r="LMF176" s="146"/>
      <c r="LMG176" s="146"/>
      <c r="LMH176" s="146"/>
      <c r="LMI176" s="146"/>
      <c r="LMJ176" s="146"/>
      <c r="LMK176" s="146"/>
      <c r="LML176" s="146"/>
      <c r="LMM176" s="146"/>
      <c r="LMN176" s="146"/>
      <c r="LMO176" s="146"/>
      <c r="LMP176" s="146"/>
      <c r="LMQ176" s="146"/>
      <c r="LMR176" s="146"/>
      <c r="LMS176" s="146"/>
      <c r="LMT176" s="146"/>
      <c r="LMU176" s="146"/>
      <c r="LMV176" s="146"/>
      <c r="LMW176" s="146"/>
      <c r="LMX176" s="146"/>
      <c r="LMY176" s="146"/>
      <c r="LMZ176" s="146"/>
      <c r="LNA176" s="146"/>
      <c r="LNB176" s="146"/>
      <c r="LNC176" s="146"/>
      <c r="LND176" s="146"/>
      <c r="LNE176" s="146"/>
      <c r="LNF176" s="146"/>
      <c r="LNG176" s="146"/>
      <c r="LNH176" s="146"/>
      <c r="LNI176" s="146"/>
      <c r="LNJ176" s="146"/>
      <c r="LNK176" s="146"/>
      <c r="LNL176" s="146"/>
      <c r="LNM176" s="146"/>
      <c r="LNN176" s="146"/>
      <c r="LNO176" s="146"/>
      <c r="LNP176" s="146"/>
      <c r="LNQ176" s="146"/>
      <c r="LNR176" s="146"/>
      <c r="LNS176" s="146"/>
      <c r="LNT176" s="146"/>
      <c r="LNU176" s="146"/>
      <c r="LNV176" s="146"/>
      <c r="LNW176" s="146"/>
      <c r="LNX176" s="146"/>
      <c r="LNY176" s="146"/>
      <c r="LNZ176" s="146"/>
      <c r="LOA176" s="146"/>
      <c r="LOB176" s="146"/>
      <c r="LOC176" s="146"/>
      <c r="LOD176" s="146"/>
      <c r="LOE176" s="146"/>
      <c r="LOF176" s="146"/>
      <c r="LOG176" s="146"/>
      <c r="LOH176" s="146"/>
      <c r="LOI176" s="146"/>
      <c r="LOJ176" s="146"/>
      <c r="LOK176" s="146"/>
      <c r="LOL176" s="146"/>
      <c r="LOM176" s="146"/>
      <c r="LON176" s="146"/>
      <c r="LOO176" s="146"/>
      <c r="LOP176" s="146"/>
      <c r="LOQ176" s="146"/>
      <c r="LOR176" s="146"/>
      <c r="LOS176" s="146"/>
      <c r="LOT176" s="146"/>
      <c r="LOU176" s="146"/>
      <c r="LOV176" s="146"/>
      <c r="LOW176" s="146"/>
      <c r="LOX176" s="146"/>
      <c r="LOY176" s="146"/>
      <c r="LOZ176" s="146"/>
      <c r="LPA176" s="146"/>
      <c r="LPB176" s="146"/>
      <c r="LPC176" s="146"/>
      <c r="LPD176" s="146"/>
      <c r="LPE176" s="146"/>
      <c r="LPF176" s="146"/>
      <c r="LPG176" s="146"/>
      <c r="LPH176" s="146"/>
      <c r="LPI176" s="146"/>
      <c r="LPJ176" s="146"/>
      <c r="LPK176" s="146"/>
      <c r="LPL176" s="146"/>
      <c r="LPM176" s="146"/>
      <c r="LPN176" s="146"/>
      <c r="LPO176" s="146"/>
      <c r="LPP176" s="146"/>
      <c r="LPQ176" s="146"/>
      <c r="LPR176" s="146"/>
      <c r="LPS176" s="146"/>
      <c r="LPT176" s="146"/>
      <c r="LPU176" s="146"/>
      <c r="LPV176" s="146"/>
      <c r="LPW176" s="146"/>
      <c r="LPX176" s="146"/>
      <c r="LPY176" s="146"/>
      <c r="LPZ176" s="146"/>
      <c r="LQA176" s="146"/>
      <c r="LQB176" s="146"/>
      <c r="LQC176" s="146"/>
      <c r="LQD176" s="146"/>
      <c r="LQE176" s="146"/>
      <c r="LQF176" s="146"/>
      <c r="LQG176" s="146"/>
      <c r="LQH176" s="146"/>
      <c r="LQI176" s="146"/>
      <c r="LQJ176" s="146"/>
      <c r="LQK176" s="146"/>
      <c r="LQL176" s="146"/>
      <c r="LQM176" s="146"/>
      <c r="LQN176" s="146"/>
      <c r="LQO176" s="146"/>
      <c r="LQP176" s="146"/>
      <c r="LQQ176" s="146"/>
      <c r="LQR176" s="146"/>
      <c r="LQS176" s="146"/>
      <c r="LQT176" s="146"/>
      <c r="LQU176" s="146"/>
      <c r="LQV176" s="146"/>
      <c r="LQW176" s="146"/>
      <c r="LQX176" s="146"/>
      <c r="LQY176" s="146"/>
      <c r="LQZ176" s="146"/>
      <c r="LRA176" s="146"/>
      <c r="LRB176" s="146"/>
      <c r="LRC176" s="146"/>
      <c r="LRD176" s="146"/>
      <c r="LRE176" s="146"/>
      <c r="LRF176" s="146"/>
      <c r="LRG176" s="146"/>
      <c r="LRH176" s="146"/>
      <c r="LRI176" s="146"/>
      <c r="LRJ176" s="146"/>
      <c r="LRK176" s="146"/>
      <c r="LRL176" s="146"/>
      <c r="LRM176" s="146"/>
      <c r="LRN176" s="146"/>
      <c r="LRO176" s="146"/>
      <c r="LRP176" s="146"/>
      <c r="LRQ176" s="146"/>
      <c r="LRR176" s="146"/>
      <c r="LRS176" s="146"/>
      <c r="LRT176" s="146"/>
      <c r="LRU176" s="146"/>
      <c r="LRV176" s="146"/>
      <c r="LRW176" s="146"/>
      <c r="LRX176" s="146"/>
      <c r="LRY176" s="146"/>
      <c r="LRZ176" s="146"/>
      <c r="LSA176" s="146"/>
      <c r="LSB176" s="146"/>
      <c r="LSC176" s="146"/>
      <c r="LSD176" s="146"/>
      <c r="LSE176" s="146"/>
      <c r="LSF176" s="146"/>
      <c r="LSG176" s="146"/>
      <c r="LSH176" s="146"/>
      <c r="LSI176" s="146"/>
      <c r="LSJ176" s="146"/>
      <c r="LSK176" s="146"/>
      <c r="LSL176" s="146"/>
      <c r="LSM176" s="146"/>
      <c r="LSN176" s="146"/>
      <c r="LSO176" s="146"/>
      <c r="LSP176" s="146"/>
      <c r="LSQ176" s="146"/>
      <c r="LSR176" s="146"/>
      <c r="LSS176" s="146"/>
      <c r="LST176" s="146"/>
      <c r="LSU176" s="146"/>
      <c r="LSV176" s="146"/>
      <c r="LSW176" s="146"/>
      <c r="LSX176" s="146"/>
      <c r="LSY176" s="146"/>
      <c r="LSZ176" s="146"/>
      <c r="LTA176" s="146"/>
      <c r="LTB176" s="146"/>
      <c r="LTC176" s="146"/>
      <c r="LTD176" s="146"/>
      <c r="LTE176" s="146"/>
      <c r="LTF176" s="146"/>
      <c r="LTG176" s="146"/>
      <c r="LTH176" s="146"/>
      <c r="LTI176" s="146"/>
      <c r="LTJ176" s="146"/>
      <c r="LTK176" s="146"/>
      <c r="LTL176" s="146"/>
      <c r="LTM176" s="146"/>
      <c r="LTN176" s="146"/>
      <c r="LTO176" s="146"/>
      <c r="LTP176" s="146"/>
      <c r="LTQ176" s="146"/>
      <c r="LTR176" s="146"/>
      <c r="LTS176" s="146"/>
      <c r="LTT176" s="146"/>
      <c r="LTU176" s="146"/>
      <c r="LTV176" s="146"/>
      <c r="LTW176" s="146"/>
      <c r="LTX176" s="146"/>
      <c r="LTY176" s="146"/>
      <c r="LTZ176" s="146"/>
      <c r="LUA176" s="146"/>
      <c r="LUB176" s="146"/>
      <c r="LUC176" s="146"/>
      <c r="LUD176" s="146"/>
      <c r="LUE176" s="146"/>
      <c r="LUF176" s="146"/>
      <c r="LUG176" s="146"/>
      <c r="LUH176" s="146"/>
      <c r="LUI176" s="146"/>
      <c r="LUJ176" s="146"/>
      <c r="LUK176" s="146"/>
      <c r="LUL176" s="146"/>
      <c r="LUM176" s="146"/>
      <c r="LUN176" s="146"/>
      <c r="LUO176" s="146"/>
      <c r="LUP176" s="146"/>
      <c r="LUQ176" s="146"/>
      <c r="LUR176" s="146"/>
      <c r="LUS176" s="146"/>
      <c r="LUT176" s="146"/>
      <c r="LUU176" s="146"/>
      <c r="LUV176" s="146"/>
      <c r="LUW176" s="146"/>
      <c r="LUX176" s="146"/>
      <c r="LUY176" s="146"/>
      <c r="LUZ176" s="146"/>
      <c r="LVA176" s="146"/>
      <c r="LVB176" s="146"/>
      <c r="LVC176" s="146"/>
      <c r="LVD176" s="146"/>
      <c r="LVE176" s="146"/>
      <c r="LVF176" s="146"/>
      <c r="LVG176" s="146"/>
      <c r="LVH176" s="146"/>
      <c r="LVI176" s="146"/>
      <c r="LVJ176" s="146"/>
      <c r="LVK176" s="146"/>
      <c r="LVL176" s="146"/>
      <c r="LVM176" s="146"/>
      <c r="LVN176" s="146"/>
      <c r="LVO176" s="146"/>
      <c r="LVP176" s="146"/>
      <c r="LVQ176" s="146"/>
      <c r="LVR176" s="146"/>
      <c r="LVS176" s="146"/>
      <c r="LVT176" s="146"/>
      <c r="LVU176" s="146"/>
      <c r="LVV176" s="146"/>
      <c r="LVW176" s="146"/>
      <c r="LVX176" s="146"/>
      <c r="LVY176" s="146"/>
      <c r="LVZ176" s="146"/>
      <c r="LWA176" s="146"/>
      <c r="LWB176" s="146"/>
      <c r="LWC176" s="146"/>
      <c r="LWD176" s="146"/>
      <c r="LWE176" s="146"/>
      <c r="LWF176" s="146"/>
      <c r="LWG176" s="146"/>
      <c r="LWH176" s="146"/>
      <c r="LWI176" s="146"/>
      <c r="LWJ176" s="146"/>
      <c r="LWK176" s="146"/>
      <c r="LWL176" s="146"/>
      <c r="LWM176" s="146"/>
      <c r="LWN176" s="146"/>
      <c r="LWO176" s="146"/>
      <c r="LWP176" s="146"/>
      <c r="LWQ176" s="146"/>
      <c r="LWR176" s="146"/>
      <c r="LWS176" s="146"/>
      <c r="LWT176" s="146"/>
      <c r="LWU176" s="146"/>
      <c r="LWV176" s="146"/>
      <c r="LWW176" s="146"/>
      <c r="LWX176" s="146"/>
      <c r="LWY176" s="146"/>
      <c r="LWZ176" s="146"/>
      <c r="LXA176" s="146"/>
      <c r="LXB176" s="146"/>
      <c r="LXC176" s="146"/>
      <c r="LXD176" s="146"/>
      <c r="LXE176" s="146"/>
      <c r="LXF176" s="146"/>
      <c r="LXG176" s="146"/>
      <c r="LXH176" s="146"/>
      <c r="LXI176" s="146"/>
      <c r="LXJ176" s="146"/>
      <c r="LXK176" s="146"/>
      <c r="LXL176" s="146"/>
      <c r="LXM176" s="146"/>
      <c r="LXN176" s="146"/>
      <c r="LXO176" s="146"/>
      <c r="LXP176" s="146"/>
      <c r="LXQ176" s="146"/>
      <c r="LXR176" s="146"/>
      <c r="LXS176" s="146"/>
      <c r="LXT176" s="146"/>
      <c r="LXU176" s="146"/>
      <c r="LXV176" s="146"/>
      <c r="LXW176" s="146"/>
      <c r="LXX176" s="146"/>
      <c r="LXY176" s="146"/>
      <c r="LXZ176" s="146"/>
      <c r="LYA176" s="146"/>
      <c r="LYB176" s="146"/>
      <c r="LYC176" s="146"/>
      <c r="LYD176" s="146"/>
      <c r="LYE176" s="146"/>
      <c r="LYF176" s="146"/>
      <c r="LYG176" s="146"/>
      <c r="LYH176" s="146"/>
      <c r="LYI176" s="146"/>
      <c r="LYJ176" s="146"/>
      <c r="LYK176" s="146"/>
      <c r="LYL176" s="146"/>
      <c r="LYM176" s="146"/>
      <c r="LYN176" s="146"/>
      <c r="LYO176" s="146"/>
      <c r="LYP176" s="146"/>
      <c r="LYQ176" s="146"/>
      <c r="LYR176" s="146"/>
      <c r="LYS176" s="146"/>
      <c r="LYT176" s="146"/>
      <c r="LYU176" s="146"/>
      <c r="LYV176" s="146"/>
      <c r="LYW176" s="146"/>
      <c r="LYX176" s="146"/>
      <c r="LYY176" s="146"/>
      <c r="LYZ176" s="146"/>
      <c r="LZA176" s="146"/>
      <c r="LZB176" s="146"/>
      <c r="LZC176" s="146"/>
      <c r="LZD176" s="146"/>
      <c r="LZE176" s="146"/>
      <c r="LZF176" s="146"/>
      <c r="LZG176" s="146"/>
      <c r="LZH176" s="146"/>
      <c r="LZI176" s="146"/>
      <c r="LZJ176" s="146"/>
      <c r="LZK176" s="146"/>
      <c r="LZL176" s="146"/>
      <c r="LZM176" s="146"/>
      <c r="LZN176" s="146"/>
      <c r="LZO176" s="146"/>
      <c r="LZP176" s="146"/>
      <c r="LZQ176" s="146"/>
      <c r="LZR176" s="146"/>
      <c r="LZS176" s="146"/>
      <c r="LZT176" s="146"/>
      <c r="LZU176" s="146"/>
      <c r="LZV176" s="146"/>
      <c r="LZW176" s="146"/>
      <c r="LZX176" s="146"/>
      <c r="LZY176" s="146"/>
      <c r="LZZ176" s="146"/>
      <c r="MAA176" s="146"/>
      <c r="MAB176" s="146"/>
      <c r="MAC176" s="146"/>
      <c r="MAD176" s="146"/>
      <c r="MAE176" s="146"/>
      <c r="MAF176" s="146"/>
      <c r="MAG176" s="146"/>
      <c r="MAH176" s="146"/>
      <c r="MAI176" s="146"/>
      <c r="MAJ176" s="146"/>
      <c r="MAK176" s="146"/>
      <c r="MAL176" s="146"/>
      <c r="MAM176" s="146"/>
      <c r="MAN176" s="146"/>
      <c r="MAO176" s="146"/>
      <c r="MAP176" s="146"/>
      <c r="MAQ176" s="146"/>
      <c r="MAR176" s="146"/>
      <c r="MAS176" s="146"/>
      <c r="MAT176" s="146"/>
      <c r="MAU176" s="146"/>
      <c r="MAV176" s="146"/>
      <c r="MAW176" s="146"/>
      <c r="MAX176" s="146"/>
      <c r="MAY176" s="146"/>
      <c r="MAZ176" s="146"/>
      <c r="MBA176" s="146"/>
      <c r="MBB176" s="146"/>
      <c r="MBC176" s="146"/>
      <c r="MBD176" s="146"/>
      <c r="MBE176" s="146"/>
      <c r="MBF176" s="146"/>
      <c r="MBG176" s="146"/>
      <c r="MBH176" s="146"/>
      <c r="MBI176" s="146"/>
      <c r="MBJ176" s="146"/>
      <c r="MBK176" s="146"/>
      <c r="MBL176" s="146"/>
      <c r="MBM176" s="146"/>
      <c r="MBN176" s="146"/>
      <c r="MBO176" s="146"/>
      <c r="MBP176" s="146"/>
      <c r="MBQ176" s="146"/>
      <c r="MBR176" s="146"/>
      <c r="MBS176" s="146"/>
      <c r="MBT176" s="146"/>
      <c r="MBU176" s="146"/>
      <c r="MBV176" s="146"/>
      <c r="MBW176" s="146"/>
      <c r="MBX176" s="146"/>
      <c r="MBY176" s="146"/>
      <c r="MBZ176" s="146"/>
      <c r="MCA176" s="146"/>
      <c r="MCB176" s="146"/>
      <c r="MCC176" s="146"/>
      <c r="MCD176" s="146"/>
      <c r="MCE176" s="146"/>
      <c r="MCF176" s="146"/>
      <c r="MCG176" s="146"/>
      <c r="MCH176" s="146"/>
      <c r="MCI176" s="146"/>
      <c r="MCJ176" s="146"/>
      <c r="MCK176" s="146"/>
      <c r="MCL176" s="146"/>
      <c r="MCM176" s="146"/>
      <c r="MCN176" s="146"/>
      <c r="MCO176" s="146"/>
      <c r="MCP176" s="146"/>
      <c r="MCQ176" s="146"/>
      <c r="MCR176" s="146"/>
      <c r="MCS176" s="146"/>
      <c r="MCT176" s="146"/>
      <c r="MCU176" s="146"/>
      <c r="MCV176" s="146"/>
      <c r="MCW176" s="146"/>
      <c r="MCX176" s="146"/>
      <c r="MCY176" s="146"/>
      <c r="MCZ176" s="146"/>
      <c r="MDA176" s="146"/>
      <c r="MDB176" s="146"/>
      <c r="MDC176" s="146"/>
      <c r="MDD176" s="146"/>
      <c r="MDE176" s="146"/>
      <c r="MDF176" s="146"/>
      <c r="MDG176" s="146"/>
      <c r="MDH176" s="146"/>
      <c r="MDI176" s="146"/>
      <c r="MDJ176" s="146"/>
      <c r="MDK176" s="146"/>
      <c r="MDL176" s="146"/>
      <c r="MDM176" s="146"/>
      <c r="MDN176" s="146"/>
      <c r="MDO176" s="146"/>
      <c r="MDP176" s="146"/>
      <c r="MDQ176" s="146"/>
      <c r="MDR176" s="146"/>
      <c r="MDS176" s="146"/>
      <c r="MDT176" s="146"/>
      <c r="MDU176" s="146"/>
      <c r="MDV176" s="146"/>
      <c r="MDW176" s="146"/>
      <c r="MDX176" s="146"/>
      <c r="MDY176" s="146"/>
      <c r="MDZ176" s="146"/>
      <c r="MEA176" s="146"/>
      <c r="MEB176" s="146"/>
      <c r="MEC176" s="146"/>
      <c r="MED176" s="146"/>
      <c r="MEE176" s="146"/>
      <c r="MEF176" s="146"/>
      <c r="MEG176" s="146"/>
      <c r="MEH176" s="146"/>
      <c r="MEI176" s="146"/>
      <c r="MEJ176" s="146"/>
      <c r="MEK176" s="146"/>
      <c r="MEL176" s="146"/>
      <c r="MEM176" s="146"/>
      <c r="MEN176" s="146"/>
      <c r="MEO176" s="146"/>
      <c r="MEP176" s="146"/>
      <c r="MEQ176" s="146"/>
      <c r="MER176" s="146"/>
      <c r="MES176" s="146"/>
      <c r="MET176" s="146"/>
      <c r="MEU176" s="146"/>
      <c r="MEV176" s="146"/>
      <c r="MEW176" s="146"/>
      <c r="MEX176" s="146"/>
      <c r="MEY176" s="146"/>
      <c r="MEZ176" s="146"/>
      <c r="MFA176" s="146"/>
      <c r="MFB176" s="146"/>
      <c r="MFC176" s="146"/>
      <c r="MFD176" s="146"/>
      <c r="MFE176" s="146"/>
      <c r="MFF176" s="146"/>
      <c r="MFG176" s="146"/>
      <c r="MFH176" s="146"/>
      <c r="MFI176" s="146"/>
      <c r="MFJ176" s="146"/>
      <c r="MFK176" s="146"/>
      <c r="MFL176" s="146"/>
      <c r="MFM176" s="146"/>
      <c r="MFN176" s="146"/>
      <c r="MFO176" s="146"/>
      <c r="MFP176" s="146"/>
      <c r="MFQ176" s="146"/>
      <c r="MFR176" s="146"/>
      <c r="MFS176" s="146"/>
      <c r="MFT176" s="146"/>
      <c r="MFU176" s="146"/>
      <c r="MFV176" s="146"/>
      <c r="MFW176" s="146"/>
      <c r="MFX176" s="146"/>
      <c r="MFY176" s="146"/>
      <c r="MFZ176" s="146"/>
      <c r="MGA176" s="146"/>
      <c r="MGB176" s="146"/>
      <c r="MGC176" s="146"/>
      <c r="MGD176" s="146"/>
      <c r="MGE176" s="146"/>
      <c r="MGF176" s="146"/>
      <c r="MGG176" s="146"/>
      <c r="MGH176" s="146"/>
      <c r="MGI176" s="146"/>
      <c r="MGJ176" s="146"/>
      <c r="MGK176" s="146"/>
      <c r="MGL176" s="146"/>
      <c r="MGM176" s="146"/>
      <c r="MGN176" s="146"/>
      <c r="MGO176" s="146"/>
      <c r="MGP176" s="146"/>
      <c r="MGQ176" s="146"/>
      <c r="MGR176" s="146"/>
      <c r="MGS176" s="146"/>
      <c r="MGT176" s="146"/>
      <c r="MGU176" s="146"/>
      <c r="MGV176" s="146"/>
      <c r="MGW176" s="146"/>
      <c r="MGX176" s="146"/>
      <c r="MGY176" s="146"/>
      <c r="MGZ176" s="146"/>
      <c r="MHA176" s="146"/>
      <c r="MHB176" s="146"/>
      <c r="MHC176" s="146"/>
      <c r="MHD176" s="146"/>
      <c r="MHE176" s="146"/>
      <c r="MHF176" s="146"/>
      <c r="MHG176" s="146"/>
      <c r="MHH176" s="146"/>
      <c r="MHI176" s="146"/>
      <c r="MHJ176" s="146"/>
      <c r="MHK176" s="146"/>
      <c r="MHL176" s="146"/>
      <c r="MHM176" s="146"/>
      <c r="MHN176" s="146"/>
      <c r="MHO176" s="146"/>
      <c r="MHP176" s="146"/>
      <c r="MHQ176" s="146"/>
      <c r="MHR176" s="146"/>
      <c r="MHS176" s="146"/>
      <c r="MHT176" s="146"/>
      <c r="MHU176" s="146"/>
      <c r="MHV176" s="146"/>
      <c r="MHW176" s="146"/>
      <c r="MHX176" s="146"/>
      <c r="MHY176" s="146"/>
      <c r="MHZ176" s="146"/>
      <c r="MIA176" s="146"/>
      <c r="MIB176" s="146"/>
      <c r="MIC176" s="146"/>
      <c r="MID176" s="146"/>
      <c r="MIE176" s="146"/>
      <c r="MIF176" s="146"/>
      <c r="MIG176" s="146"/>
      <c r="MIH176" s="146"/>
      <c r="MII176" s="146"/>
      <c r="MIJ176" s="146"/>
      <c r="MIK176" s="146"/>
      <c r="MIL176" s="146"/>
      <c r="MIM176" s="146"/>
      <c r="MIN176" s="146"/>
      <c r="MIO176" s="146"/>
      <c r="MIP176" s="146"/>
      <c r="MIQ176" s="146"/>
      <c r="MIR176" s="146"/>
      <c r="MIS176" s="146"/>
      <c r="MIT176" s="146"/>
      <c r="MIU176" s="146"/>
      <c r="MIV176" s="146"/>
      <c r="MIW176" s="146"/>
      <c r="MIX176" s="146"/>
      <c r="MIY176" s="146"/>
      <c r="MIZ176" s="146"/>
      <c r="MJA176" s="146"/>
      <c r="MJB176" s="146"/>
      <c r="MJC176" s="146"/>
      <c r="MJD176" s="146"/>
      <c r="MJE176" s="146"/>
      <c r="MJF176" s="146"/>
      <c r="MJG176" s="146"/>
      <c r="MJH176" s="146"/>
      <c r="MJI176" s="146"/>
      <c r="MJJ176" s="146"/>
      <c r="MJK176" s="146"/>
      <c r="MJL176" s="146"/>
      <c r="MJM176" s="146"/>
      <c r="MJN176" s="146"/>
      <c r="MJO176" s="146"/>
      <c r="MJP176" s="146"/>
      <c r="MJQ176" s="146"/>
      <c r="MJR176" s="146"/>
      <c r="MJS176" s="146"/>
      <c r="MJT176" s="146"/>
      <c r="MJU176" s="146"/>
      <c r="MJV176" s="146"/>
      <c r="MJW176" s="146"/>
      <c r="MJX176" s="146"/>
      <c r="MJY176" s="146"/>
      <c r="MJZ176" s="146"/>
      <c r="MKA176" s="146"/>
      <c r="MKB176" s="146"/>
      <c r="MKC176" s="146"/>
      <c r="MKD176" s="146"/>
      <c r="MKE176" s="146"/>
      <c r="MKF176" s="146"/>
      <c r="MKG176" s="146"/>
      <c r="MKH176" s="146"/>
      <c r="MKI176" s="146"/>
      <c r="MKJ176" s="146"/>
      <c r="MKK176" s="146"/>
      <c r="MKL176" s="146"/>
      <c r="MKM176" s="146"/>
      <c r="MKN176" s="146"/>
      <c r="MKO176" s="146"/>
      <c r="MKP176" s="146"/>
      <c r="MKQ176" s="146"/>
      <c r="MKR176" s="146"/>
      <c r="MKS176" s="146"/>
      <c r="MKT176" s="146"/>
      <c r="MKU176" s="146"/>
      <c r="MKV176" s="146"/>
      <c r="MKW176" s="146"/>
      <c r="MKX176" s="146"/>
      <c r="MKY176" s="146"/>
      <c r="MKZ176" s="146"/>
      <c r="MLA176" s="146"/>
      <c r="MLB176" s="146"/>
      <c r="MLC176" s="146"/>
      <c r="MLD176" s="146"/>
      <c r="MLE176" s="146"/>
      <c r="MLF176" s="146"/>
      <c r="MLG176" s="146"/>
      <c r="MLH176" s="146"/>
      <c r="MLI176" s="146"/>
      <c r="MLJ176" s="146"/>
      <c r="MLK176" s="146"/>
      <c r="MLL176" s="146"/>
      <c r="MLM176" s="146"/>
      <c r="MLN176" s="146"/>
      <c r="MLO176" s="146"/>
      <c r="MLP176" s="146"/>
      <c r="MLQ176" s="146"/>
      <c r="MLR176" s="146"/>
      <c r="MLS176" s="146"/>
      <c r="MLT176" s="146"/>
      <c r="MLU176" s="146"/>
      <c r="MLV176" s="146"/>
      <c r="MLW176" s="146"/>
      <c r="MLX176" s="146"/>
      <c r="MLY176" s="146"/>
      <c r="MLZ176" s="146"/>
      <c r="MMA176" s="146"/>
      <c r="MMB176" s="146"/>
      <c r="MMC176" s="146"/>
      <c r="MMD176" s="146"/>
      <c r="MME176" s="146"/>
      <c r="MMF176" s="146"/>
      <c r="MMG176" s="146"/>
      <c r="MMH176" s="146"/>
      <c r="MMI176" s="146"/>
      <c r="MMJ176" s="146"/>
      <c r="MMK176" s="146"/>
      <c r="MML176" s="146"/>
      <c r="MMM176" s="146"/>
      <c r="MMN176" s="146"/>
      <c r="MMO176" s="146"/>
      <c r="MMP176" s="146"/>
      <c r="MMQ176" s="146"/>
      <c r="MMR176" s="146"/>
      <c r="MMS176" s="146"/>
      <c r="MMT176" s="146"/>
      <c r="MMU176" s="146"/>
      <c r="MMV176" s="146"/>
      <c r="MMW176" s="146"/>
      <c r="MMX176" s="146"/>
      <c r="MMY176" s="146"/>
      <c r="MMZ176" s="146"/>
      <c r="MNA176" s="146"/>
      <c r="MNB176" s="146"/>
      <c r="MNC176" s="146"/>
      <c r="MND176" s="146"/>
      <c r="MNE176" s="146"/>
      <c r="MNF176" s="146"/>
      <c r="MNG176" s="146"/>
      <c r="MNH176" s="146"/>
      <c r="MNI176" s="146"/>
      <c r="MNJ176" s="146"/>
      <c r="MNK176" s="146"/>
      <c r="MNL176" s="146"/>
      <c r="MNM176" s="146"/>
      <c r="MNN176" s="146"/>
      <c r="MNO176" s="146"/>
      <c r="MNP176" s="146"/>
      <c r="MNQ176" s="146"/>
      <c r="MNR176" s="146"/>
      <c r="MNS176" s="146"/>
      <c r="MNT176" s="146"/>
      <c r="MNU176" s="146"/>
      <c r="MNV176" s="146"/>
      <c r="MNW176" s="146"/>
      <c r="MNX176" s="146"/>
      <c r="MNY176" s="146"/>
      <c r="MNZ176" s="146"/>
      <c r="MOA176" s="146"/>
      <c r="MOB176" s="146"/>
      <c r="MOC176" s="146"/>
      <c r="MOD176" s="146"/>
      <c r="MOE176" s="146"/>
      <c r="MOF176" s="146"/>
      <c r="MOG176" s="146"/>
      <c r="MOH176" s="146"/>
      <c r="MOI176" s="146"/>
      <c r="MOJ176" s="146"/>
      <c r="MOK176" s="146"/>
      <c r="MOL176" s="146"/>
      <c r="MOM176" s="146"/>
      <c r="MON176" s="146"/>
      <c r="MOO176" s="146"/>
      <c r="MOP176" s="146"/>
      <c r="MOQ176" s="146"/>
      <c r="MOR176" s="146"/>
      <c r="MOS176" s="146"/>
      <c r="MOT176" s="146"/>
      <c r="MOU176" s="146"/>
      <c r="MOV176" s="146"/>
      <c r="MOW176" s="146"/>
      <c r="MOX176" s="146"/>
      <c r="MOY176" s="146"/>
      <c r="MOZ176" s="146"/>
      <c r="MPA176" s="146"/>
      <c r="MPB176" s="146"/>
      <c r="MPC176" s="146"/>
      <c r="MPD176" s="146"/>
      <c r="MPE176" s="146"/>
      <c r="MPF176" s="146"/>
      <c r="MPG176" s="146"/>
      <c r="MPH176" s="146"/>
      <c r="MPI176" s="146"/>
      <c r="MPJ176" s="146"/>
      <c r="MPK176" s="146"/>
      <c r="MPL176" s="146"/>
      <c r="MPM176" s="146"/>
      <c r="MPN176" s="146"/>
      <c r="MPO176" s="146"/>
      <c r="MPP176" s="146"/>
      <c r="MPQ176" s="146"/>
      <c r="MPR176" s="146"/>
      <c r="MPS176" s="146"/>
      <c r="MPT176" s="146"/>
      <c r="MPU176" s="146"/>
      <c r="MPV176" s="146"/>
      <c r="MPW176" s="146"/>
      <c r="MPX176" s="146"/>
      <c r="MPY176" s="146"/>
      <c r="MPZ176" s="146"/>
      <c r="MQA176" s="146"/>
      <c r="MQB176" s="146"/>
      <c r="MQC176" s="146"/>
      <c r="MQD176" s="146"/>
      <c r="MQE176" s="146"/>
      <c r="MQF176" s="146"/>
      <c r="MQG176" s="146"/>
      <c r="MQH176" s="146"/>
      <c r="MQI176" s="146"/>
      <c r="MQJ176" s="146"/>
      <c r="MQK176" s="146"/>
      <c r="MQL176" s="146"/>
      <c r="MQM176" s="146"/>
      <c r="MQN176" s="146"/>
      <c r="MQO176" s="146"/>
      <c r="MQP176" s="146"/>
      <c r="MQQ176" s="146"/>
      <c r="MQR176" s="146"/>
      <c r="MQS176" s="146"/>
      <c r="MQT176" s="146"/>
      <c r="MQU176" s="146"/>
      <c r="MQV176" s="146"/>
      <c r="MQW176" s="146"/>
      <c r="MQX176" s="146"/>
      <c r="MQY176" s="146"/>
      <c r="MQZ176" s="146"/>
      <c r="MRA176" s="146"/>
      <c r="MRB176" s="146"/>
      <c r="MRC176" s="146"/>
      <c r="MRD176" s="146"/>
      <c r="MRE176" s="146"/>
      <c r="MRF176" s="146"/>
      <c r="MRG176" s="146"/>
      <c r="MRH176" s="146"/>
      <c r="MRI176" s="146"/>
      <c r="MRJ176" s="146"/>
      <c r="MRK176" s="146"/>
      <c r="MRL176" s="146"/>
      <c r="MRM176" s="146"/>
      <c r="MRN176" s="146"/>
      <c r="MRO176" s="146"/>
      <c r="MRP176" s="146"/>
      <c r="MRQ176" s="146"/>
      <c r="MRR176" s="146"/>
      <c r="MRS176" s="146"/>
      <c r="MRT176" s="146"/>
      <c r="MRU176" s="146"/>
      <c r="MRV176" s="146"/>
      <c r="MRW176" s="146"/>
      <c r="MRX176" s="146"/>
      <c r="MRY176" s="146"/>
      <c r="MRZ176" s="146"/>
      <c r="MSA176" s="146"/>
      <c r="MSB176" s="146"/>
      <c r="MSC176" s="146"/>
      <c r="MSD176" s="146"/>
      <c r="MSE176" s="146"/>
      <c r="MSF176" s="146"/>
      <c r="MSG176" s="146"/>
      <c r="MSH176" s="146"/>
      <c r="MSI176" s="146"/>
      <c r="MSJ176" s="146"/>
      <c r="MSK176" s="146"/>
      <c r="MSL176" s="146"/>
      <c r="MSM176" s="146"/>
      <c r="MSN176" s="146"/>
      <c r="MSO176" s="146"/>
      <c r="MSP176" s="146"/>
      <c r="MSQ176" s="146"/>
      <c r="MSR176" s="146"/>
      <c r="MSS176" s="146"/>
      <c r="MST176" s="146"/>
      <c r="MSU176" s="146"/>
      <c r="MSV176" s="146"/>
      <c r="MSW176" s="146"/>
      <c r="MSX176" s="146"/>
      <c r="MSY176" s="146"/>
      <c r="MSZ176" s="146"/>
      <c r="MTA176" s="146"/>
      <c r="MTB176" s="146"/>
      <c r="MTC176" s="146"/>
      <c r="MTD176" s="146"/>
      <c r="MTE176" s="146"/>
      <c r="MTF176" s="146"/>
      <c r="MTG176" s="146"/>
      <c r="MTH176" s="146"/>
      <c r="MTI176" s="146"/>
      <c r="MTJ176" s="146"/>
      <c r="MTK176" s="146"/>
      <c r="MTL176" s="146"/>
      <c r="MTM176" s="146"/>
      <c r="MTN176" s="146"/>
      <c r="MTO176" s="146"/>
      <c r="MTP176" s="146"/>
      <c r="MTQ176" s="146"/>
      <c r="MTR176" s="146"/>
      <c r="MTS176" s="146"/>
      <c r="MTT176" s="146"/>
      <c r="MTU176" s="146"/>
      <c r="MTV176" s="146"/>
      <c r="MTW176" s="146"/>
      <c r="MTX176" s="146"/>
      <c r="MTY176" s="146"/>
      <c r="MTZ176" s="146"/>
      <c r="MUA176" s="146"/>
      <c r="MUB176" s="146"/>
      <c r="MUC176" s="146"/>
      <c r="MUD176" s="146"/>
      <c r="MUE176" s="146"/>
      <c r="MUF176" s="146"/>
      <c r="MUG176" s="146"/>
      <c r="MUH176" s="146"/>
      <c r="MUI176" s="146"/>
      <c r="MUJ176" s="146"/>
      <c r="MUK176" s="146"/>
      <c r="MUL176" s="146"/>
      <c r="MUM176" s="146"/>
      <c r="MUN176" s="146"/>
      <c r="MUO176" s="146"/>
      <c r="MUP176" s="146"/>
      <c r="MUQ176" s="146"/>
      <c r="MUR176" s="146"/>
      <c r="MUS176" s="146"/>
      <c r="MUT176" s="146"/>
      <c r="MUU176" s="146"/>
      <c r="MUV176" s="146"/>
      <c r="MUW176" s="146"/>
      <c r="MUX176" s="146"/>
      <c r="MUY176" s="146"/>
      <c r="MUZ176" s="146"/>
      <c r="MVA176" s="146"/>
      <c r="MVB176" s="146"/>
      <c r="MVC176" s="146"/>
      <c r="MVD176" s="146"/>
      <c r="MVE176" s="146"/>
      <c r="MVF176" s="146"/>
      <c r="MVG176" s="146"/>
      <c r="MVH176" s="146"/>
      <c r="MVI176" s="146"/>
      <c r="MVJ176" s="146"/>
      <c r="MVK176" s="146"/>
      <c r="MVL176" s="146"/>
      <c r="MVM176" s="146"/>
      <c r="MVN176" s="146"/>
      <c r="MVO176" s="146"/>
      <c r="MVP176" s="146"/>
      <c r="MVQ176" s="146"/>
      <c r="MVR176" s="146"/>
      <c r="MVS176" s="146"/>
      <c r="MVT176" s="146"/>
      <c r="MVU176" s="146"/>
      <c r="MVV176" s="146"/>
      <c r="MVW176" s="146"/>
      <c r="MVX176" s="146"/>
      <c r="MVY176" s="146"/>
      <c r="MVZ176" s="146"/>
      <c r="MWA176" s="146"/>
      <c r="MWB176" s="146"/>
      <c r="MWC176" s="146"/>
      <c r="MWD176" s="146"/>
      <c r="MWE176" s="146"/>
      <c r="MWF176" s="146"/>
      <c r="MWG176" s="146"/>
      <c r="MWH176" s="146"/>
      <c r="MWI176" s="146"/>
      <c r="MWJ176" s="146"/>
      <c r="MWK176" s="146"/>
      <c r="MWL176" s="146"/>
      <c r="MWM176" s="146"/>
      <c r="MWN176" s="146"/>
      <c r="MWO176" s="146"/>
      <c r="MWP176" s="146"/>
      <c r="MWQ176" s="146"/>
      <c r="MWR176" s="146"/>
      <c r="MWS176" s="146"/>
      <c r="MWT176" s="146"/>
      <c r="MWU176" s="146"/>
      <c r="MWV176" s="146"/>
      <c r="MWW176" s="146"/>
      <c r="MWX176" s="146"/>
      <c r="MWY176" s="146"/>
      <c r="MWZ176" s="146"/>
      <c r="MXA176" s="146"/>
      <c r="MXB176" s="146"/>
      <c r="MXC176" s="146"/>
      <c r="MXD176" s="146"/>
      <c r="MXE176" s="146"/>
      <c r="MXF176" s="146"/>
      <c r="MXG176" s="146"/>
      <c r="MXH176" s="146"/>
      <c r="MXI176" s="146"/>
      <c r="MXJ176" s="146"/>
      <c r="MXK176" s="146"/>
      <c r="MXL176" s="146"/>
      <c r="MXM176" s="146"/>
      <c r="MXN176" s="146"/>
      <c r="MXO176" s="146"/>
      <c r="MXP176" s="146"/>
      <c r="MXQ176" s="146"/>
      <c r="MXR176" s="146"/>
      <c r="MXS176" s="146"/>
      <c r="MXT176" s="146"/>
      <c r="MXU176" s="146"/>
      <c r="MXV176" s="146"/>
      <c r="MXW176" s="146"/>
      <c r="MXX176" s="146"/>
      <c r="MXY176" s="146"/>
      <c r="MXZ176" s="146"/>
      <c r="MYA176" s="146"/>
      <c r="MYB176" s="146"/>
      <c r="MYC176" s="146"/>
      <c r="MYD176" s="146"/>
      <c r="MYE176" s="146"/>
      <c r="MYF176" s="146"/>
      <c r="MYG176" s="146"/>
      <c r="MYH176" s="146"/>
      <c r="MYI176" s="146"/>
      <c r="MYJ176" s="146"/>
      <c r="MYK176" s="146"/>
      <c r="MYL176" s="146"/>
      <c r="MYM176" s="146"/>
      <c r="MYN176" s="146"/>
      <c r="MYO176" s="146"/>
      <c r="MYP176" s="146"/>
      <c r="MYQ176" s="146"/>
      <c r="MYR176" s="146"/>
      <c r="MYS176" s="146"/>
      <c r="MYT176" s="146"/>
      <c r="MYU176" s="146"/>
      <c r="MYV176" s="146"/>
      <c r="MYW176" s="146"/>
      <c r="MYX176" s="146"/>
      <c r="MYY176" s="146"/>
      <c r="MYZ176" s="146"/>
      <c r="MZA176" s="146"/>
      <c r="MZB176" s="146"/>
      <c r="MZC176" s="146"/>
      <c r="MZD176" s="146"/>
      <c r="MZE176" s="146"/>
      <c r="MZF176" s="146"/>
      <c r="MZG176" s="146"/>
      <c r="MZH176" s="146"/>
      <c r="MZI176" s="146"/>
      <c r="MZJ176" s="146"/>
      <c r="MZK176" s="146"/>
      <c r="MZL176" s="146"/>
      <c r="MZM176" s="146"/>
      <c r="MZN176" s="146"/>
      <c r="MZO176" s="146"/>
      <c r="MZP176" s="146"/>
      <c r="MZQ176" s="146"/>
      <c r="MZR176" s="146"/>
      <c r="MZS176" s="146"/>
      <c r="MZT176" s="146"/>
      <c r="MZU176" s="146"/>
      <c r="MZV176" s="146"/>
      <c r="MZW176" s="146"/>
      <c r="MZX176" s="146"/>
      <c r="MZY176" s="146"/>
      <c r="MZZ176" s="146"/>
      <c r="NAA176" s="146"/>
      <c r="NAB176" s="146"/>
      <c r="NAC176" s="146"/>
      <c r="NAD176" s="146"/>
      <c r="NAE176" s="146"/>
      <c r="NAF176" s="146"/>
      <c r="NAG176" s="146"/>
      <c r="NAH176" s="146"/>
      <c r="NAI176" s="146"/>
      <c r="NAJ176" s="146"/>
      <c r="NAK176" s="146"/>
      <c r="NAL176" s="146"/>
      <c r="NAM176" s="146"/>
      <c r="NAN176" s="146"/>
      <c r="NAO176" s="146"/>
      <c r="NAP176" s="146"/>
      <c r="NAQ176" s="146"/>
      <c r="NAR176" s="146"/>
      <c r="NAS176" s="146"/>
      <c r="NAT176" s="146"/>
      <c r="NAU176" s="146"/>
      <c r="NAV176" s="146"/>
      <c r="NAW176" s="146"/>
      <c r="NAX176" s="146"/>
      <c r="NAY176" s="146"/>
      <c r="NAZ176" s="146"/>
      <c r="NBA176" s="146"/>
      <c r="NBB176" s="146"/>
      <c r="NBC176" s="146"/>
      <c r="NBD176" s="146"/>
      <c r="NBE176" s="146"/>
      <c r="NBF176" s="146"/>
      <c r="NBG176" s="146"/>
      <c r="NBH176" s="146"/>
      <c r="NBI176" s="146"/>
      <c r="NBJ176" s="146"/>
      <c r="NBK176" s="146"/>
      <c r="NBL176" s="146"/>
      <c r="NBM176" s="146"/>
      <c r="NBN176" s="146"/>
      <c r="NBO176" s="146"/>
      <c r="NBP176" s="146"/>
      <c r="NBQ176" s="146"/>
      <c r="NBR176" s="146"/>
      <c r="NBS176" s="146"/>
      <c r="NBT176" s="146"/>
      <c r="NBU176" s="146"/>
      <c r="NBV176" s="146"/>
      <c r="NBW176" s="146"/>
      <c r="NBX176" s="146"/>
      <c r="NBY176" s="146"/>
      <c r="NBZ176" s="146"/>
      <c r="NCA176" s="146"/>
      <c r="NCB176" s="146"/>
      <c r="NCC176" s="146"/>
      <c r="NCD176" s="146"/>
      <c r="NCE176" s="146"/>
      <c r="NCF176" s="146"/>
      <c r="NCG176" s="146"/>
      <c r="NCH176" s="146"/>
      <c r="NCI176" s="146"/>
      <c r="NCJ176" s="146"/>
      <c r="NCK176" s="146"/>
      <c r="NCL176" s="146"/>
      <c r="NCM176" s="146"/>
      <c r="NCN176" s="146"/>
      <c r="NCO176" s="146"/>
      <c r="NCP176" s="146"/>
      <c r="NCQ176" s="146"/>
      <c r="NCR176" s="146"/>
      <c r="NCS176" s="146"/>
      <c r="NCT176" s="146"/>
      <c r="NCU176" s="146"/>
      <c r="NCV176" s="146"/>
      <c r="NCW176" s="146"/>
      <c r="NCX176" s="146"/>
      <c r="NCY176" s="146"/>
      <c r="NCZ176" s="146"/>
      <c r="NDA176" s="146"/>
      <c r="NDB176" s="146"/>
      <c r="NDC176" s="146"/>
      <c r="NDD176" s="146"/>
      <c r="NDE176" s="146"/>
      <c r="NDF176" s="146"/>
      <c r="NDG176" s="146"/>
      <c r="NDH176" s="146"/>
      <c r="NDI176" s="146"/>
      <c r="NDJ176" s="146"/>
      <c r="NDK176" s="146"/>
      <c r="NDL176" s="146"/>
      <c r="NDM176" s="146"/>
      <c r="NDN176" s="146"/>
      <c r="NDO176" s="146"/>
      <c r="NDP176" s="146"/>
      <c r="NDQ176" s="146"/>
      <c r="NDR176" s="146"/>
      <c r="NDS176" s="146"/>
      <c r="NDT176" s="146"/>
      <c r="NDU176" s="146"/>
      <c r="NDV176" s="146"/>
      <c r="NDW176" s="146"/>
      <c r="NDX176" s="146"/>
      <c r="NDY176" s="146"/>
      <c r="NDZ176" s="146"/>
      <c r="NEA176" s="146"/>
      <c r="NEB176" s="146"/>
      <c r="NEC176" s="146"/>
      <c r="NED176" s="146"/>
      <c r="NEE176" s="146"/>
      <c r="NEF176" s="146"/>
      <c r="NEG176" s="146"/>
      <c r="NEH176" s="146"/>
      <c r="NEI176" s="146"/>
      <c r="NEJ176" s="146"/>
      <c r="NEK176" s="146"/>
      <c r="NEL176" s="146"/>
      <c r="NEM176" s="146"/>
      <c r="NEN176" s="146"/>
      <c r="NEO176" s="146"/>
      <c r="NEP176" s="146"/>
      <c r="NEQ176" s="146"/>
      <c r="NER176" s="146"/>
      <c r="NES176" s="146"/>
      <c r="NET176" s="146"/>
      <c r="NEU176" s="146"/>
      <c r="NEV176" s="146"/>
      <c r="NEW176" s="146"/>
      <c r="NEX176" s="146"/>
      <c r="NEY176" s="146"/>
      <c r="NEZ176" s="146"/>
      <c r="NFA176" s="146"/>
      <c r="NFB176" s="146"/>
      <c r="NFC176" s="146"/>
      <c r="NFD176" s="146"/>
      <c r="NFE176" s="146"/>
      <c r="NFF176" s="146"/>
      <c r="NFG176" s="146"/>
      <c r="NFH176" s="146"/>
      <c r="NFI176" s="146"/>
      <c r="NFJ176" s="146"/>
      <c r="NFK176" s="146"/>
      <c r="NFL176" s="146"/>
      <c r="NFM176" s="146"/>
      <c r="NFN176" s="146"/>
      <c r="NFO176" s="146"/>
      <c r="NFP176" s="146"/>
      <c r="NFQ176" s="146"/>
      <c r="NFR176" s="146"/>
      <c r="NFS176" s="146"/>
      <c r="NFT176" s="146"/>
      <c r="NFU176" s="146"/>
      <c r="NFV176" s="146"/>
      <c r="NFW176" s="146"/>
      <c r="NFX176" s="146"/>
      <c r="NFY176" s="146"/>
      <c r="NFZ176" s="146"/>
      <c r="NGA176" s="146"/>
      <c r="NGB176" s="146"/>
      <c r="NGC176" s="146"/>
      <c r="NGD176" s="146"/>
      <c r="NGE176" s="146"/>
      <c r="NGF176" s="146"/>
      <c r="NGG176" s="146"/>
      <c r="NGH176" s="146"/>
      <c r="NGI176" s="146"/>
      <c r="NGJ176" s="146"/>
      <c r="NGK176" s="146"/>
      <c r="NGL176" s="146"/>
      <c r="NGM176" s="146"/>
      <c r="NGN176" s="146"/>
      <c r="NGO176" s="146"/>
      <c r="NGP176" s="146"/>
      <c r="NGQ176" s="146"/>
      <c r="NGR176" s="146"/>
      <c r="NGS176" s="146"/>
      <c r="NGT176" s="146"/>
      <c r="NGU176" s="146"/>
      <c r="NGV176" s="146"/>
      <c r="NGW176" s="146"/>
      <c r="NGX176" s="146"/>
      <c r="NGY176" s="146"/>
      <c r="NGZ176" s="146"/>
      <c r="NHA176" s="146"/>
      <c r="NHB176" s="146"/>
      <c r="NHC176" s="146"/>
      <c r="NHD176" s="146"/>
      <c r="NHE176" s="146"/>
      <c r="NHF176" s="146"/>
      <c r="NHG176" s="146"/>
      <c r="NHH176" s="146"/>
      <c r="NHI176" s="146"/>
      <c r="NHJ176" s="146"/>
      <c r="NHK176" s="146"/>
      <c r="NHL176" s="146"/>
      <c r="NHM176" s="146"/>
      <c r="NHN176" s="146"/>
      <c r="NHO176" s="146"/>
      <c r="NHP176" s="146"/>
      <c r="NHQ176" s="146"/>
      <c r="NHR176" s="146"/>
      <c r="NHS176" s="146"/>
      <c r="NHT176" s="146"/>
      <c r="NHU176" s="146"/>
      <c r="NHV176" s="146"/>
      <c r="NHW176" s="146"/>
      <c r="NHX176" s="146"/>
      <c r="NHY176" s="146"/>
      <c r="NHZ176" s="146"/>
      <c r="NIA176" s="146"/>
      <c r="NIB176" s="146"/>
      <c r="NIC176" s="146"/>
      <c r="NID176" s="146"/>
      <c r="NIE176" s="146"/>
      <c r="NIF176" s="146"/>
      <c r="NIG176" s="146"/>
      <c r="NIH176" s="146"/>
      <c r="NII176" s="146"/>
      <c r="NIJ176" s="146"/>
      <c r="NIK176" s="146"/>
      <c r="NIL176" s="146"/>
      <c r="NIM176" s="146"/>
      <c r="NIN176" s="146"/>
      <c r="NIO176" s="146"/>
      <c r="NIP176" s="146"/>
      <c r="NIQ176" s="146"/>
      <c r="NIR176" s="146"/>
      <c r="NIS176" s="146"/>
      <c r="NIT176" s="146"/>
      <c r="NIU176" s="146"/>
      <c r="NIV176" s="146"/>
      <c r="NIW176" s="146"/>
      <c r="NIX176" s="146"/>
      <c r="NIY176" s="146"/>
      <c r="NIZ176" s="146"/>
      <c r="NJA176" s="146"/>
      <c r="NJB176" s="146"/>
      <c r="NJC176" s="146"/>
      <c r="NJD176" s="146"/>
      <c r="NJE176" s="146"/>
      <c r="NJF176" s="146"/>
      <c r="NJG176" s="146"/>
      <c r="NJH176" s="146"/>
      <c r="NJI176" s="146"/>
      <c r="NJJ176" s="146"/>
      <c r="NJK176" s="146"/>
      <c r="NJL176" s="146"/>
      <c r="NJM176" s="146"/>
      <c r="NJN176" s="146"/>
      <c r="NJO176" s="146"/>
      <c r="NJP176" s="146"/>
      <c r="NJQ176" s="146"/>
      <c r="NJR176" s="146"/>
      <c r="NJS176" s="146"/>
      <c r="NJT176" s="146"/>
      <c r="NJU176" s="146"/>
      <c r="NJV176" s="146"/>
      <c r="NJW176" s="146"/>
      <c r="NJX176" s="146"/>
      <c r="NJY176" s="146"/>
      <c r="NJZ176" s="146"/>
      <c r="NKA176" s="146"/>
      <c r="NKB176" s="146"/>
      <c r="NKC176" s="146"/>
      <c r="NKD176" s="146"/>
      <c r="NKE176" s="146"/>
      <c r="NKF176" s="146"/>
      <c r="NKG176" s="146"/>
      <c r="NKH176" s="146"/>
      <c r="NKI176" s="146"/>
      <c r="NKJ176" s="146"/>
      <c r="NKK176" s="146"/>
      <c r="NKL176" s="146"/>
      <c r="NKM176" s="146"/>
      <c r="NKN176" s="146"/>
      <c r="NKO176" s="146"/>
      <c r="NKP176" s="146"/>
      <c r="NKQ176" s="146"/>
      <c r="NKR176" s="146"/>
      <c r="NKS176" s="146"/>
      <c r="NKT176" s="146"/>
      <c r="NKU176" s="146"/>
      <c r="NKV176" s="146"/>
      <c r="NKW176" s="146"/>
      <c r="NKX176" s="146"/>
      <c r="NKY176" s="146"/>
      <c r="NKZ176" s="146"/>
      <c r="NLA176" s="146"/>
      <c r="NLB176" s="146"/>
      <c r="NLC176" s="146"/>
      <c r="NLD176" s="146"/>
      <c r="NLE176" s="146"/>
      <c r="NLF176" s="146"/>
      <c r="NLG176" s="146"/>
      <c r="NLH176" s="146"/>
      <c r="NLI176" s="146"/>
      <c r="NLJ176" s="146"/>
      <c r="NLK176" s="146"/>
      <c r="NLL176" s="146"/>
      <c r="NLM176" s="146"/>
      <c r="NLN176" s="146"/>
      <c r="NLO176" s="146"/>
      <c r="NLP176" s="146"/>
      <c r="NLQ176" s="146"/>
      <c r="NLR176" s="146"/>
      <c r="NLS176" s="146"/>
      <c r="NLT176" s="146"/>
      <c r="NLU176" s="146"/>
      <c r="NLV176" s="146"/>
      <c r="NLW176" s="146"/>
      <c r="NLX176" s="146"/>
      <c r="NLY176" s="146"/>
      <c r="NLZ176" s="146"/>
      <c r="NMA176" s="146"/>
      <c r="NMB176" s="146"/>
      <c r="NMC176" s="146"/>
      <c r="NMD176" s="146"/>
      <c r="NME176" s="146"/>
      <c r="NMF176" s="146"/>
      <c r="NMG176" s="146"/>
      <c r="NMH176" s="146"/>
      <c r="NMI176" s="146"/>
      <c r="NMJ176" s="146"/>
      <c r="NMK176" s="146"/>
      <c r="NML176" s="146"/>
      <c r="NMM176" s="146"/>
      <c r="NMN176" s="146"/>
      <c r="NMO176" s="146"/>
      <c r="NMP176" s="146"/>
      <c r="NMQ176" s="146"/>
      <c r="NMR176" s="146"/>
      <c r="NMS176" s="146"/>
      <c r="NMT176" s="146"/>
      <c r="NMU176" s="146"/>
      <c r="NMV176" s="146"/>
      <c r="NMW176" s="146"/>
      <c r="NMX176" s="146"/>
      <c r="NMY176" s="146"/>
      <c r="NMZ176" s="146"/>
      <c r="NNA176" s="146"/>
      <c r="NNB176" s="146"/>
      <c r="NNC176" s="146"/>
      <c r="NND176" s="146"/>
      <c r="NNE176" s="146"/>
      <c r="NNF176" s="146"/>
      <c r="NNG176" s="146"/>
      <c r="NNH176" s="146"/>
      <c r="NNI176" s="146"/>
      <c r="NNJ176" s="146"/>
      <c r="NNK176" s="146"/>
      <c r="NNL176" s="146"/>
      <c r="NNM176" s="146"/>
      <c r="NNN176" s="146"/>
      <c r="NNO176" s="146"/>
      <c r="NNP176" s="146"/>
      <c r="NNQ176" s="146"/>
      <c r="NNR176" s="146"/>
      <c r="NNS176" s="146"/>
      <c r="NNT176" s="146"/>
      <c r="NNU176" s="146"/>
      <c r="NNV176" s="146"/>
      <c r="NNW176" s="146"/>
      <c r="NNX176" s="146"/>
      <c r="NNY176" s="146"/>
      <c r="NNZ176" s="146"/>
      <c r="NOA176" s="146"/>
      <c r="NOB176" s="146"/>
      <c r="NOC176" s="146"/>
      <c r="NOD176" s="146"/>
      <c r="NOE176" s="146"/>
      <c r="NOF176" s="146"/>
      <c r="NOG176" s="146"/>
      <c r="NOH176" s="146"/>
      <c r="NOI176" s="146"/>
      <c r="NOJ176" s="146"/>
      <c r="NOK176" s="146"/>
      <c r="NOL176" s="146"/>
      <c r="NOM176" s="146"/>
      <c r="NON176" s="146"/>
      <c r="NOO176" s="146"/>
      <c r="NOP176" s="146"/>
      <c r="NOQ176" s="146"/>
      <c r="NOR176" s="146"/>
      <c r="NOS176" s="146"/>
      <c r="NOT176" s="146"/>
      <c r="NOU176" s="146"/>
      <c r="NOV176" s="146"/>
      <c r="NOW176" s="146"/>
      <c r="NOX176" s="146"/>
      <c r="NOY176" s="146"/>
      <c r="NOZ176" s="146"/>
      <c r="NPA176" s="146"/>
      <c r="NPB176" s="146"/>
      <c r="NPC176" s="146"/>
      <c r="NPD176" s="146"/>
      <c r="NPE176" s="146"/>
      <c r="NPF176" s="146"/>
      <c r="NPG176" s="146"/>
      <c r="NPH176" s="146"/>
      <c r="NPI176" s="146"/>
      <c r="NPJ176" s="146"/>
      <c r="NPK176" s="146"/>
      <c r="NPL176" s="146"/>
      <c r="NPM176" s="146"/>
      <c r="NPN176" s="146"/>
      <c r="NPO176" s="146"/>
      <c r="NPP176" s="146"/>
      <c r="NPQ176" s="146"/>
      <c r="NPR176" s="146"/>
      <c r="NPS176" s="146"/>
      <c r="NPT176" s="146"/>
      <c r="NPU176" s="146"/>
      <c r="NPV176" s="146"/>
      <c r="NPW176" s="146"/>
      <c r="NPX176" s="146"/>
      <c r="NPY176" s="146"/>
      <c r="NPZ176" s="146"/>
      <c r="NQA176" s="146"/>
      <c r="NQB176" s="146"/>
      <c r="NQC176" s="146"/>
      <c r="NQD176" s="146"/>
      <c r="NQE176" s="146"/>
      <c r="NQF176" s="146"/>
      <c r="NQG176" s="146"/>
      <c r="NQH176" s="146"/>
      <c r="NQI176" s="146"/>
      <c r="NQJ176" s="146"/>
      <c r="NQK176" s="146"/>
      <c r="NQL176" s="146"/>
      <c r="NQM176" s="146"/>
      <c r="NQN176" s="146"/>
      <c r="NQO176" s="146"/>
      <c r="NQP176" s="146"/>
      <c r="NQQ176" s="146"/>
      <c r="NQR176" s="146"/>
      <c r="NQS176" s="146"/>
      <c r="NQT176" s="146"/>
      <c r="NQU176" s="146"/>
      <c r="NQV176" s="146"/>
      <c r="NQW176" s="146"/>
      <c r="NQX176" s="146"/>
      <c r="NQY176" s="146"/>
      <c r="NQZ176" s="146"/>
      <c r="NRA176" s="146"/>
      <c r="NRB176" s="146"/>
      <c r="NRC176" s="146"/>
      <c r="NRD176" s="146"/>
      <c r="NRE176" s="146"/>
      <c r="NRF176" s="146"/>
      <c r="NRG176" s="146"/>
      <c r="NRH176" s="146"/>
      <c r="NRI176" s="146"/>
      <c r="NRJ176" s="146"/>
      <c r="NRK176" s="146"/>
      <c r="NRL176" s="146"/>
      <c r="NRM176" s="146"/>
      <c r="NRN176" s="146"/>
      <c r="NRO176" s="146"/>
      <c r="NRP176" s="146"/>
      <c r="NRQ176" s="146"/>
      <c r="NRR176" s="146"/>
      <c r="NRS176" s="146"/>
      <c r="NRT176" s="146"/>
      <c r="NRU176" s="146"/>
      <c r="NRV176" s="146"/>
      <c r="NRW176" s="146"/>
      <c r="NRX176" s="146"/>
      <c r="NRY176" s="146"/>
      <c r="NRZ176" s="146"/>
      <c r="NSA176" s="146"/>
      <c r="NSB176" s="146"/>
      <c r="NSC176" s="146"/>
      <c r="NSD176" s="146"/>
      <c r="NSE176" s="146"/>
      <c r="NSF176" s="146"/>
      <c r="NSG176" s="146"/>
      <c r="NSH176" s="146"/>
      <c r="NSI176" s="146"/>
      <c r="NSJ176" s="146"/>
      <c r="NSK176" s="146"/>
      <c r="NSL176" s="146"/>
      <c r="NSM176" s="146"/>
      <c r="NSN176" s="146"/>
      <c r="NSO176" s="146"/>
      <c r="NSP176" s="146"/>
      <c r="NSQ176" s="146"/>
      <c r="NSR176" s="146"/>
      <c r="NSS176" s="146"/>
      <c r="NST176" s="146"/>
      <c r="NSU176" s="146"/>
      <c r="NSV176" s="146"/>
      <c r="NSW176" s="146"/>
      <c r="NSX176" s="146"/>
      <c r="NSY176" s="146"/>
      <c r="NSZ176" s="146"/>
      <c r="NTA176" s="146"/>
      <c r="NTB176" s="146"/>
      <c r="NTC176" s="146"/>
      <c r="NTD176" s="146"/>
      <c r="NTE176" s="146"/>
      <c r="NTF176" s="146"/>
      <c r="NTG176" s="146"/>
      <c r="NTH176" s="146"/>
      <c r="NTI176" s="146"/>
      <c r="NTJ176" s="146"/>
      <c r="NTK176" s="146"/>
      <c r="NTL176" s="146"/>
      <c r="NTM176" s="146"/>
      <c r="NTN176" s="146"/>
      <c r="NTO176" s="146"/>
      <c r="NTP176" s="146"/>
      <c r="NTQ176" s="146"/>
      <c r="NTR176" s="146"/>
      <c r="NTS176" s="146"/>
      <c r="NTT176" s="146"/>
      <c r="NTU176" s="146"/>
      <c r="NTV176" s="146"/>
      <c r="NTW176" s="146"/>
      <c r="NTX176" s="146"/>
      <c r="NTY176" s="146"/>
      <c r="NTZ176" s="146"/>
      <c r="NUA176" s="146"/>
      <c r="NUB176" s="146"/>
      <c r="NUC176" s="146"/>
      <c r="NUD176" s="146"/>
      <c r="NUE176" s="146"/>
      <c r="NUF176" s="146"/>
      <c r="NUG176" s="146"/>
      <c r="NUH176" s="146"/>
      <c r="NUI176" s="146"/>
      <c r="NUJ176" s="146"/>
      <c r="NUK176" s="146"/>
      <c r="NUL176" s="146"/>
      <c r="NUM176" s="146"/>
      <c r="NUN176" s="146"/>
      <c r="NUO176" s="146"/>
      <c r="NUP176" s="146"/>
      <c r="NUQ176" s="146"/>
      <c r="NUR176" s="146"/>
      <c r="NUS176" s="146"/>
      <c r="NUT176" s="146"/>
      <c r="NUU176" s="146"/>
      <c r="NUV176" s="146"/>
      <c r="NUW176" s="146"/>
      <c r="NUX176" s="146"/>
      <c r="NUY176" s="146"/>
      <c r="NUZ176" s="146"/>
      <c r="NVA176" s="146"/>
      <c r="NVB176" s="146"/>
      <c r="NVC176" s="146"/>
      <c r="NVD176" s="146"/>
      <c r="NVE176" s="146"/>
      <c r="NVF176" s="146"/>
      <c r="NVG176" s="146"/>
      <c r="NVH176" s="146"/>
      <c r="NVI176" s="146"/>
      <c r="NVJ176" s="146"/>
      <c r="NVK176" s="146"/>
      <c r="NVL176" s="146"/>
      <c r="NVM176" s="146"/>
      <c r="NVN176" s="146"/>
      <c r="NVO176" s="146"/>
      <c r="NVP176" s="146"/>
      <c r="NVQ176" s="146"/>
      <c r="NVR176" s="146"/>
      <c r="NVS176" s="146"/>
      <c r="NVT176" s="146"/>
      <c r="NVU176" s="146"/>
      <c r="NVV176" s="146"/>
      <c r="NVW176" s="146"/>
      <c r="NVX176" s="146"/>
      <c r="NVY176" s="146"/>
      <c r="NVZ176" s="146"/>
      <c r="NWA176" s="146"/>
      <c r="NWB176" s="146"/>
      <c r="NWC176" s="146"/>
      <c r="NWD176" s="146"/>
      <c r="NWE176" s="146"/>
      <c r="NWF176" s="146"/>
      <c r="NWG176" s="146"/>
      <c r="NWH176" s="146"/>
      <c r="NWI176" s="146"/>
      <c r="NWJ176" s="146"/>
      <c r="NWK176" s="146"/>
      <c r="NWL176" s="146"/>
      <c r="NWM176" s="146"/>
      <c r="NWN176" s="146"/>
      <c r="NWO176" s="146"/>
      <c r="NWP176" s="146"/>
      <c r="NWQ176" s="146"/>
      <c r="NWR176" s="146"/>
      <c r="NWS176" s="146"/>
      <c r="NWT176" s="146"/>
      <c r="NWU176" s="146"/>
      <c r="NWV176" s="146"/>
      <c r="NWW176" s="146"/>
      <c r="NWX176" s="146"/>
      <c r="NWY176" s="146"/>
      <c r="NWZ176" s="146"/>
      <c r="NXA176" s="146"/>
      <c r="NXB176" s="146"/>
      <c r="NXC176" s="146"/>
      <c r="NXD176" s="146"/>
      <c r="NXE176" s="146"/>
      <c r="NXF176" s="146"/>
      <c r="NXG176" s="146"/>
      <c r="NXH176" s="146"/>
      <c r="NXI176" s="146"/>
      <c r="NXJ176" s="146"/>
      <c r="NXK176" s="146"/>
      <c r="NXL176" s="146"/>
      <c r="NXM176" s="146"/>
      <c r="NXN176" s="146"/>
      <c r="NXO176" s="146"/>
      <c r="NXP176" s="146"/>
      <c r="NXQ176" s="146"/>
      <c r="NXR176" s="146"/>
      <c r="NXS176" s="146"/>
      <c r="NXT176" s="146"/>
      <c r="NXU176" s="146"/>
      <c r="NXV176" s="146"/>
      <c r="NXW176" s="146"/>
      <c r="NXX176" s="146"/>
      <c r="NXY176" s="146"/>
      <c r="NXZ176" s="146"/>
      <c r="NYA176" s="146"/>
      <c r="NYB176" s="146"/>
      <c r="NYC176" s="146"/>
      <c r="NYD176" s="146"/>
      <c r="NYE176" s="146"/>
      <c r="NYF176" s="146"/>
      <c r="NYG176" s="146"/>
      <c r="NYH176" s="146"/>
      <c r="NYI176" s="146"/>
      <c r="NYJ176" s="146"/>
      <c r="NYK176" s="146"/>
      <c r="NYL176" s="146"/>
      <c r="NYM176" s="146"/>
      <c r="NYN176" s="146"/>
      <c r="NYO176" s="146"/>
      <c r="NYP176" s="146"/>
      <c r="NYQ176" s="146"/>
      <c r="NYR176" s="146"/>
      <c r="NYS176" s="146"/>
      <c r="NYT176" s="146"/>
      <c r="NYU176" s="146"/>
      <c r="NYV176" s="146"/>
      <c r="NYW176" s="146"/>
      <c r="NYX176" s="146"/>
      <c r="NYY176" s="146"/>
      <c r="NYZ176" s="146"/>
      <c r="NZA176" s="146"/>
      <c r="NZB176" s="146"/>
      <c r="NZC176" s="146"/>
      <c r="NZD176" s="146"/>
      <c r="NZE176" s="146"/>
      <c r="NZF176" s="146"/>
      <c r="NZG176" s="146"/>
      <c r="NZH176" s="146"/>
      <c r="NZI176" s="146"/>
      <c r="NZJ176" s="146"/>
      <c r="NZK176" s="146"/>
      <c r="NZL176" s="146"/>
      <c r="NZM176" s="146"/>
      <c r="NZN176" s="146"/>
      <c r="NZO176" s="146"/>
      <c r="NZP176" s="146"/>
      <c r="NZQ176" s="146"/>
      <c r="NZR176" s="146"/>
      <c r="NZS176" s="146"/>
      <c r="NZT176" s="146"/>
      <c r="NZU176" s="146"/>
      <c r="NZV176" s="146"/>
      <c r="NZW176" s="146"/>
      <c r="NZX176" s="146"/>
      <c r="NZY176" s="146"/>
      <c r="NZZ176" s="146"/>
      <c r="OAA176" s="146"/>
      <c r="OAB176" s="146"/>
      <c r="OAC176" s="146"/>
      <c r="OAD176" s="146"/>
      <c r="OAE176" s="146"/>
      <c r="OAF176" s="146"/>
      <c r="OAG176" s="146"/>
      <c r="OAH176" s="146"/>
      <c r="OAI176" s="146"/>
      <c r="OAJ176" s="146"/>
      <c r="OAK176" s="146"/>
      <c r="OAL176" s="146"/>
      <c r="OAM176" s="146"/>
      <c r="OAN176" s="146"/>
      <c r="OAO176" s="146"/>
      <c r="OAP176" s="146"/>
      <c r="OAQ176" s="146"/>
      <c r="OAR176" s="146"/>
      <c r="OAS176" s="146"/>
      <c r="OAT176" s="146"/>
      <c r="OAU176" s="146"/>
      <c r="OAV176" s="146"/>
      <c r="OAW176" s="146"/>
      <c r="OAX176" s="146"/>
      <c r="OAY176" s="146"/>
      <c r="OAZ176" s="146"/>
      <c r="OBA176" s="146"/>
      <c r="OBB176" s="146"/>
      <c r="OBC176" s="146"/>
      <c r="OBD176" s="146"/>
      <c r="OBE176" s="146"/>
      <c r="OBF176" s="146"/>
      <c r="OBG176" s="146"/>
      <c r="OBH176" s="146"/>
      <c r="OBI176" s="146"/>
      <c r="OBJ176" s="146"/>
      <c r="OBK176" s="146"/>
      <c r="OBL176" s="146"/>
      <c r="OBM176" s="146"/>
      <c r="OBN176" s="146"/>
      <c r="OBO176" s="146"/>
      <c r="OBP176" s="146"/>
      <c r="OBQ176" s="146"/>
      <c r="OBR176" s="146"/>
      <c r="OBS176" s="146"/>
      <c r="OBT176" s="146"/>
      <c r="OBU176" s="146"/>
      <c r="OBV176" s="146"/>
      <c r="OBW176" s="146"/>
      <c r="OBX176" s="146"/>
      <c r="OBY176" s="146"/>
      <c r="OBZ176" s="146"/>
      <c r="OCA176" s="146"/>
      <c r="OCB176" s="146"/>
      <c r="OCC176" s="146"/>
      <c r="OCD176" s="146"/>
      <c r="OCE176" s="146"/>
      <c r="OCF176" s="146"/>
      <c r="OCG176" s="146"/>
      <c r="OCH176" s="146"/>
      <c r="OCI176" s="146"/>
      <c r="OCJ176" s="146"/>
      <c r="OCK176" s="146"/>
      <c r="OCL176" s="146"/>
      <c r="OCM176" s="146"/>
      <c r="OCN176" s="146"/>
      <c r="OCO176" s="146"/>
      <c r="OCP176" s="146"/>
      <c r="OCQ176" s="146"/>
      <c r="OCR176" s="146"/>
      <c r="OCS176" s="146"/>
      <c r="OCT176" s="146"/>
      <c r="OCU176" s="146"/>
      <c r="OCV176" s="146"/>
      <c r="OCW176" s="146"/>
      <c r="OCX176" s="146"/>
      <c r="OCY176" s="146"/>
      <c r="OCZ176" s="146"/>
      <c r="ODA176" s="146"/>
      <c r="ODB176" s="146"/>
      <c r="ODC176" s="146"/>
      <c r="ODD176" s="146"/>
      <c r="ODE176" s="146"/>
      <c r="ODF176" s="146"/>
      <c r="ODG176" s="146"/>
      <c r="ODH176" s="146"/>
      <c r="ODI176" s="146"/>
      <c r="ODJ176" s="146"/>
      <c r="ODK176" s="146"/>
      <c r="ODL176" s="146"/>
      <c r="ODM176" s="146"/>
      <c r="ODN176" s="146"/>
      <c r="ODO176" s="146"/>
      <c r="ODP176" s="146"/>
      <c r="ODQ176" s="146"/>
      <c r="ODR176" s="146"/>
      <c r="ODS176" s="146"/>
      <c r="ODT176" s="146"/>
      <c r="ODU176" s="146"/>
      <c r="ODV176" s="146"/>
      <c r="ODW176" s="146"/>
      <c r="ODX176" s="146"/>
      <c r="ODY176" s="146"/>
      <c r="ODZ176" s="146"/>
      <c r="OEA176" s="146"/>
      <c r="OEB176" s="146"/>
      <c r="OEC176" s="146"/>
      <c r="OED176" s="146"/>
      <c r="OEE176" s="146"/>
      <c r="OEF176" s="146"/>
      <c r="OEG176" s="146"/>
      <c r="OEH176" s="146"/>
      <c r="OEI176" s="146"/>
      <c r="OEJ176" s="146"/>
      <c r="OEK176" s="146"/>
      <c r="OEL176" s="146"/>
      <c r="OEM176" s="146"/>
      <c r="OEN176" s="146"/>
      <c r="OEO176" s="146"/>
      <c r="OEP176" s="146"/>
      <c r="OEQ176" s="146"/>
      <c r="OER176" s="146"/>
      <c r="OES176" s="146"/>
      <c r="OET176" s="146"/>
      <c r="OEU176" s="146"/>
      <c r="OEV176" s="146"/>
      <c r="OEW176" s="146"/>
      <c r="OEX176" s="146"/>
      <c r="OEY176" s="146"/>
      <c r="OEZ176" s="146"/>
      <c r="OFA176" s="146"/>
      <c r="OFB176" s="146"/>
      <c r="OFC176" s="146"/>
      <c r="OFD176" s="146"/>
      <c r="OFE176" s="146"/>
      <c r="OFF176" s="146"/>
      <c r="OFG176" s="146"/>
      <c r="OFH176" s="146"/>
      <c r="OFI176" s="146"/>
      <c r="OFJ176" s="146"/>
      <c r="OFK176" s="146"/>
      <c r="OFL176" s="146"/>
      <c r="OFM176" s="146"/>
      <c r="OFN176" s="146"/>
      <c r="OFO176" s="146"/>
      <c r="OFP176" s="146"/>
      <c r="OFQ176" s="146"/>
      <c r="OFR176" s="146"/>
      <c r="OFS176" s="146"/>
      <c r="OFT176" s="146"/>
      <c r="OFU176" s="146"/>
      <c r="OFV176" s="146"/>
      <c r="OFW176" s="146"/>
      <c r="OFX176" s="146"/>
      <c r="OFY176" s="146"/>
      <c r="OFZ176" s="146"/>
      <c r="OGA176" s="146"/>
      <c r="OGB176" s="146"/>
      <c r="OGC176" s="146"/>
      <c r="OGD176" s="146"/>
      <c r="OGE176" s="146"/>
      <c r="OGF176" s="146"/>
      <c r="OGG176" s="146"/>
      <c r="OGH176" s="146"/>
      <c r="OGI176" s="146"/>
      <c r="OGJ176" s="146"/>
      <c r="OGK176" s="146"/>
      <c r="OGL176" s="146"/>
      <c r="OGM176" s="146"/>
      <c r="OGN176" s="146"/>
      <c r="OGO176" s="146"/>
      <c r="OGP176" s="146"/>
      <c r="OGQ176" s="146"/>
      <c r="OGR176" s="146"/>
      <c r="OGS176" s="146"/>
      <c r="OGT176" s="146"/>
      <c r="OGU176" s="146"/>
      <c r="OGV176" s="146"/>
      <c r="OGW176" s="146"/>
      <c r="OGX176" s="146"/>
      <c r="OGY176" s="146"/>
      <c r="OGZ176" s="146"/>
      <c r="OHA176" s="146"/>
      <c r="OHB176" s="146"/>
      <c r="OHC176" s="146"/>
      <c r="OHD176" s="146"/>
      <c r="OHE176" s="146"/>
      <c r="OHF176" s="146"/>
      <c r="OHG176" s="146"/>
      <c r="OHH176" s="146"/>
      <c r="OHI176" s="146"/>
      <c r="OHJ176" s="146"/>
      <c r="OHK176" s="146"/>
      <c r="OHL176" s="146"/>
      <c r="OHM176" s="146"/>
      <c r="OHN176" s="146"/>
      <c r="OHO176" s="146"/>
      <c r="OHP176" s="146"/>
      <c r="OHQ176" s="146"/>
      <c r="OHR176" s="146"/>
      <c r="OHS176" s="146"/>
      <c r="OHT176" s="146"/>
      <c r="OHU176" s="146"/>
      <c r="OHV176" s="146"/>
      <c r="OHW176" s="146"/>
      <c r="OHX176" s="146"/>
      <c r="OHY176" s="146"/>
      <c r="OHZ176" s="146"/>
      <c r="OIA176" s="146"/>
      <c r="OIB176" s="146"/>
      <c r="OIC176" s="146"/>
      <c r="OID176" s="146"/>
      <c r="OIE176" s="146"/>
      <c r="OIF176" s="146"/>
      <c r="OIG176" s="146"/>
      <c r="OIH176" s="146"/>
      <c r="OII176" s="146"/>
      <c r="OIJ176" s="146"/>
      <c r="OIK176" s="146"/>
      <c r="OIL176" s="146"/>
      <c r="OIM176" s="146"/>
      <c r="OIN176" s="146"/>
      <c r="OIO176" s="146"/>
      <c r="OIP176" s="146"/>
      <c r="OIQ176" s="146"/>
      <c r="OIR176" s="146"/>
      <c r="OIS176" s="146"/>
      <c r="OIT176" s="146"/>
      <c r="OIU176" s="146"/>
      <c r="OIV176" s="146"/>
      <c r="OIW176" s="146"/>
      <c r="OIX176" s="146"/>
      <c r="OIY176" s="146"/>
      <c r="OIZ176" s="146"/>
      <c r="OJA176" s="146"/>
      <c r="OJB176" s="146"/>
      <c r="OJC176" s="146"/>
      <c r="OJD176" s="146"/>
      <c r="OJE176" s="146"/>
      <c r="OJF176" s="146"/>
      <c r="OJG176" s="146"/>
      <c r="OJH176" s="146"/>
      <c r="OJI176" s="146"/>
      <c r="OJJ176" s="146"/>
      <c r="OJK176" s="146"/>
      <c r="OJL176" s="146"/>
      <c r="OJM176" s="146"/>
      <c r="OJN176" s="146"/>
      <c r="OJO176" s="146"/>
      <c r="OJP176" s="146"/>
      <c r="OJQ176" s="146"/>
      <c r="OJR176" s="146"/>
      <c r="OJS176" s="146"/>
      <c r="OJT176" s="146"/>
      <c r="OJU176" s="146"/>
      <c r="OJV176" s="146"/>
      <c r="OJW176" s="146"/>
      <c r="OJX176" s="146"/>
      <c r="OJY176" s="146"/>
      <c r="OJZ176" s="146"/>
      <c r="OKA176" s="146"/>
      <c r="OKB176" s="146"/>
      <c r="OKC176" s="146"/>
      <c r="OKD176" s="146"/>
      <c r="OKE176" s="146"/>
      <c r="OKF176" s="146"/>
      <c r="OKG176" s="146"/>
      <c r="OKH176" s="146"/>
      <c r="OKI176" s="146"/>
      <c r="OKJ176" s="146"/>
      <c r="OKK176" s="146"/>
      <c r="OKL176" s="146"/>
      <c r="OKM176" s="146"/>
      <c r="OKN176" s="146"/>
      <c r="OKO176" s="146"/>
      <c r="OKP176" s="146"/>
      <c r="OKQ176" s="146"/>
      <c r="OKR176" s="146"/>
      <c r="OKS176" s="146"/>
      <c r="OKT176" s="146"/>
      <c r="OKU176" s="146"/>
      <c r="OKV176" s="146"/>
      <c r="OKW176" s="146"/>
      <c r="OKX176" s="146"/>
      <c r="OKY176" s="146"/>
      <c r="OKZ176" s="146"/>
      <c r="OLA176" s="146"/>
      <c r="OLB176" s="146"/>
      <c r="OLC176" s="146"/>
      <c r="OLD176" s="146"/>
      <c r="OLE176" s="146"/>
      <c r="OLF176" s="146"/>
      <c r="OLG176" s="146"/>
      <c r="OLH176" s="146"/>
      <c r="OLI176" s="146"/>
      <c r="OLJ176" s="146"/>
      <c r="OLK176" s="146"/>
      <c r="OLL176" s="146"/>
      <c r="OLM176" s="146"/>
      <c r="OLN176" s="146"/>
      <c r="OLO176" s="146"/>
      <c r="OLP176" s="146"/>
      <c r="OLQ176" s="146"/>
      <c r="OLR176" s="146"/>
      <c r="OLS176" s="146"/>
      <c r="OLT176" s="146"/>
      <c r="OLU176" s="146"/>
      <c r="OLV176" s="146"/>
      <c r="OLW176" s="146"/>
      <c r="OLX176" s="146"/>
      <c r="OLY176" s="146"/>
      <c r="OLZ176" s="146"/>
      <c r="OMA176" s="146"/>
      <c r="OMB176" s="146"/>
      <c r="OMC176" s="146"/>
      <c r="OMD176" s="146"/>
      <c r="OME176" s="146"/>
      <c r="OMF176" s="146"/>
      <c r="OMG176" s="146"/>
      <c r="OMH176" s="146"/>
      <c r="OMI176" s="146"/>
      <c r="OMJ176" s="146"/>
      <c r="OMK176" s="146"/>
      <c r="OML176" s="146"/>
      <c r="OMM176" s="146"/>
      <c r="OMN176" s="146"/>
      <c r="OMO176" s="146"/>
      <c r="OMP176" s="146"/>
      <c r="OMQ176" s="146"/>
      <c r="OMR176" s="146"/>
      <c r="OMS176" s="146"/>
      <c r="OMT176" s="146"/>
      <c r="OMU176" s="146"/>
      <c r="OMV176" s="146"/>
      <c r="OMW176" s="146"/>
      <c r="OMX176" s="146"/>
      <c r="OMY176" s="146"/>
      <c r="OMZ176" s="146"/>
      <c r="ONA176" s="146"/>
      <c r="ONB176" s="146"/>
      <c r="ONC176" s="146"/>
      <c r="OND176" s="146"/>
      <c r="ONE176" s="146"/>
      <c r="ONF176" s="146"/>
      <c r="ONG176" s="146"/>
      <c r="ONH176" s="146"/>
      <c r="ONI176" s="146"/>
      <c r="ONJ176" s="146"/>
      <c r="ONK176" s="146"/>
      <c r="ONL176" s="146"/>
      <c r="ONM176" s="146"/>
      <c r="ONN176" s="146"/>
      <c r="ONO176" s="146"/>
      <c r="ONP176" s="146"/>
      <c r="ONQ176" s="146"/>
      <c r="ONR176" s="146"/>
      <c r="ONS176" s="146"/>
      <c r="ONT176" s="146"/>
      <c r="ONU176" s="146"/>
      <c r="ONV176" s="146"/>
      <c r="ONW176" s="146"/>
      <c r="ONX176" s="146"/>
      <c r="ONY176" s="146"/>
      <c r="ONZ176" s="146"/>
      <c r="OOA176" s="146"/>
      <c r="OOB176" s="146"/>
      <c r="OOC176" s="146"/>
      <c r="OOD176" s="146"/>
      <c r="OOE176" s="146"/>
      <c r="OOF176" s="146"/>
      <c r="OOG176" s="146"/>
      <c r="OOH176" s="146"/>
      <c r="OOI176" s="146"/>
      <c r="OOJ176" s="146"/>
      <c r="OOK176" s="146"/>
      <c r="OOL176" s="146"/>
      <c r="OOM176" s="146"/>
      <c r="OON176" s="146"/>
      <c r="OOO176" s="146"/>
      <c r="OOP176" s="146"/>
      <c r="OOQ176" s="146"/>
      <c r="OOR176" s="146"/>
      <c r="OOS176" s="146"/>
      <c r="OOT176" s="146"/>
      <c r="OOU176" s="146"/>
      <c r="OOV176" s="146"/>
      <c r="OOW176" s="146"/>
      <c r="OOX176" s="146"/>
      <c r="OOY176" s="146"/>
      <c r="OOZ176" s="146"/>
      <c r="OPA176" s="146"/>
      <c r="OPB176" s="146"/>
      <c r="OPC176" s="146"/>
      <c r="OPD176" s="146"/>
      <c r="OPE176" s="146"/>
      <c r="OPF176" s="146"/>
      <c r="OPG176" s="146"/>
      <c r="OPH176" s="146"/>
      <c r="OPI176" s="146"/>
      <c r="OPJ176" s="146"/>
      <c r="OPK176" s="146"/>
      <c r="OPL176" s="146"/>
      <c r="OPM176" s="146"/>
      <c r="OPN176" s="146"/>
      <c r="OPO176" s="146"/>
      <c r="OPP176" s="146"/>
      <c r="OPQ176" s="146"/>
      <c r="OPR176" s="146"/>
      <c r="OPS176" s="146"/>
      <c r="OPT176" s="146"/>
      <c r="OPU176" s="146"/>
      <c r="OPV176" s="146"/>
      <c r="OPW176" s="146"/>
      <c r="OPX176" s="146"/>
      <c r="OPY176" s="146"/>
      <c r="OPZ176" s="146"/>
      <c r="OQA176" s="146"/>
      <c r="OQB176" s="146"/>
      <c r="OQC176" s="146"/>
      <c r="OQD176" s="146"/>
      <c r="OQE176" s="146"/>
      <c r="OQF176" s="146"/>
      <c r="OQG176" s="146"/>
      <c r="OQH176" s="146"/>
      <c r="OQI176" s="146"/>
      <c r="OQJ176" s="146"/>
      <c r="OQK176" s="146"/>
      <c r="OQL176" s="146"/>
      <c r="OQM176" s="146"/>
      <c r="OQN176" s="146"/>
      <c r="OQO176" s="146"/>
      <c r="OQP176" s="146"/>
      <c r="OQQ176" s="146"/>
      <c r="OQR176" s="146"/>
      <c r="OQS176" s="146"/>
      <c r="OQT176" s="146"/>
      <c r="OQU176" s="146"/>
      <c r="OQV176" s="146"/>
      <c r="OQW176" s="146"/>
      <c r="OQX176" s="146"/>
      <c r="OQY176" s="146"/>
      <c r="OQZ176" s="146"/>
      <c r="ORA176" s="146"/>
      <c r="ORB176" s="146"/>
      <c r="ORC176" s="146"/>
      <c r="ORD176" s="146"/>
      <c r="ORE176" s="146"/>
      <c r="ORF176" s="146"/>
      <c r="ORG176" s="146"/>
      <c r="ORH176" s="146"/>
      <c r="ORI176" s="146"/>
      <c r="ORJ176" s="146"/>
      <c r="ORK176" s="146"/>
      <c r="ORL176" s="146"/>
      <c r="ORM176" s="146"/>
      <c r="ORN176" s="146"/>
      <c r="ORO176" s="146"/>
      <c r="ORP176" s="146"/>
      <c r="ORQ176" s="146"/>
      <c r="ORR176" s="146"/>
      <c r="ORS176" s="146"/>
      <c r="ORT176" s="146"/>
      <c r="ORU176" s="146"/>
      <c r="ORV176" s="146"/>
      <c r="ORW176" s="146"/>
      <c r="ORX176" s="146"/>
      <c r="ORY176" s="146"/>
      <c r="ORZ176" s="146"/>
      <c r="OSA176" s="146"/>
      <c r="OSB176" s="146"/>
      <c r="OSC176" s="146"/>
      <c r="OSD176" s="146"/>
      <c r="OSE176" s="146"/>
      <c r="OSF176" s="146"/>
      <c r="OSG176" s="146"/>
      <c r="OSH176" s="146"/>
      <c r="OSI176" s="146"/>
      <c r="OSJ176" s="146"/>
      <c r="OSK176" s="146"/>
      <c r="OSL176" s="146"/>
      <c r="OSM176" s="146"/>
      <c r="OSN176" s="146"/>
      <c r="OSO176" s="146"/>
      <c r="OSP176" s="146"/>
      <c r="OSQ176" s="146"/>
      <c r="OSR176" s="146"/>
      <c r="OSS176" s="146"/>
      <c r="OST176" s="146"/>
      <c r="OSU176" s="146"/>
      <c r="OSV176" s="146"/>
      <c r="OSW176" s="146"/>
      <c r="OSX176" s="146"/>
      <c r="OSY176" s="146"/>
      <c r="OSZ176" s="146"/>
      <c r="OTA176" s="146"/>
      <c r="OTB176" s="146"/>
      <c r="OTC176" s="146"/>
      <c r="OTD176" s="146"/>
      <c r="OTE176" s="146"/>
      <c r="OTF176" s="146"/>
      <c r="OTG176" s="146"/>
      <c r="OTH176" s="146"/>
      <c r="OTI176" s="146"/>
      <c r="OTJ176" s="146"/>
      <c r="OTK176" s="146"/>
      <c r="OTL176" s="146"/>
      <c r="OTM176" s="146"/>
      <c r="OTN176" s="146"/>
      <c r="OTO176" s="146"/>
      <c r="OTP176" s="146"/>
      <c r="OTQ176" s="146"/>
      <c r="OTR176" s="146"/>
      <c r="OTS176" s="146"/>
      <c r="OTT176" s="146"/>
      <c r="OTU176" s="146"/>
      <c r="OTV176" s="146"/>
      <c r="OTW176" s="146"/>
      <c r="OTX176" s="146"/>
      <c r="OTY176" s="146"/>
      <c r="OTZ176" s="146"/>
      <c r="OUA176" s="146"/>
      <c r="OUB176" s="146"/>
      <c r="OUC176" s="146"/>
      <c r="OUD176" s="146"/>
      <c r="OUE176" s="146"/>
      <c r="OUF176" s="146"/>
      <c r="OUG176" s="146"/>
      <c r="OUH176" s="146"/>
      <c r="OUI176" s="146"/>
      <c r="OUJ176" s="146"/>
      <c r="OUK176" s="146"/>
      <c r="OUL176" s="146"/>
      <c r="OUM176" s="146"/>
      <c r="OUN176" s="146"/>
      <c r="OUO176" s="146"/>
      <c r="OUP176" s="146"/>
      <c r="OUQ176" s="146"/>
      <c r="OUR176" s="146"/>
      <c r="OUS176" s="146"/>
      <c r="OUT176" s="146"/>
      <c r="OUU176" s="146"/>
      <c r="OUV176" s="146"/>
      <c r="OUW176" s="146"/>
      <c r="OUX176" s="146"/>
      <c r="OUY176" s="146"/>
      <c r="OUZ176" s="146"/>
      <c r="OVA176" s="146"/>
      <c r="OVB176" s="146"/>
      <c r="OVC176" s="146"/>
      <c r="OVD176" s="146"/>
      <c r="OVE176" s="146"/>
      <c r="OVF176" s="146"/>
      <c r="OVG176" s="146"/>
      <c r="OVH176" s="146"/>
      <c r="OVI176" s="146"/>
      <c r="OVJ176" s="146"/>
      <c r="OVK176" s="146"/>
      <c r="OVL176" s="146"/>
      <c r="OVM176" s="146"/>
      <c r="OVN176" s="146"/>
      <c r="OVO176" s="146"/>
      <c r="OVP176" s="146"/>
      <c r="OVQ176" s="146"/>
      <c r="OVR176" s="146"/>
      <c r="OVS176" s="146"/>
      <c r="OVT176" s="146"/>
      <c r="OVU176" s="146"/>
      <c r="OVV176" s="146"/>
      <c r="OVW176" s="146"/>
      <c r="OVX176" s="146"/>
      <c r="OVY176" s="146"/>
      <c r="OVZ176" s="146"/>
      <c r="OWA176" s="146"/>
      <c r="OWB176" s="146"/>
      <c r="OWC176" s="146"/>
      <c r="OWD176" s="146"/>
      <c r="OWE176" s="146"/>
      <c r="OWF176" s="146"/>
      <c r="OWG176" s="146"/>
      <c r="OWH176" s="146"/>
      <c r="OWI176" s="146"/>
      <c r="OWJ176" s="146"/>
      <c r="OWK176" s="146"/>
      <c r="OWL176" s="146"/>
      <c r="OWM176" s="146"/>
      <c r="OWN176" s="146"/>
      <c r="OWO176" s="146"/>
      <c r="OWP176" s="146"/>
      <c r="OWQ176" s="146"/>
      <c r="OWR176" s="146"/>
      <c r="OWS176" s="146"/>
      <c r="OWT176" s="146"/>
      <c r="OWU176" s="146"/>
      <c r="OWV176" s="146"/>
      <c r="OWW176" s="146"/>
      <c r="OWX176" s="146"/>
      <c r="OWY176" s="146"/>
      <c r="OWZ176" s="146"/>
      <c r="OXA176" s="146"/>
      <c r="OXB176" s="146"/>
      <c r="OXC176" s="146"/>
      <c r="OXD176" s="146"/>
      <c r="OXE176" s="146"/>
      <c r="OXF176" s="146"/>
      <c r="OXG176" s="146"/>
      <c r="OXH176" s="146"/>
      <c r="OXI176" s="146"/>
      <c r="OXJ176" s="146"/>
      <c r="OXK176" s="146"/>
      <c r="OXL176" s="146"/>
      <c r="OXM176" s="146"/>
      <c r="OXN176" s="146"/>
      <c r="OXO176" s="146"/>
      <c r="OXP176" s="146"/>
      <c r="OXQ176" s="146"/>
      <c r="OXR176" s="146"/>
      <c r="OXS176" s="146"/>
      <c r="OXT176" s="146"/>
      <c r="OXU176" s="146"/>
      <c r="OXV176" s="146"/>
      <c r="OXW176" s="146"/>
      <c r="OXX176" s="146"/>
      <c r="OXY176" s="146"/>
      <c r="OXZ176" s="146"/>
      <c r="OYA176" s="146"/>
      <c r="OYB176" s="146"/>
      <c r="OYC176" s="146"/>
      <c r="OYD176" s="146"/>
      <c r="OYE176" s="146"/>
      <c r="OYF176" s="146"/>
      <c r="OYG176" s="146"/>
      <c r="OYH176" s="146"/>
      <c r="OYI176" s="146"/>
      <c r="OYJ176" s="146"/>
      <c r="OYK176" s="146"/>
      <c r="OYL176" s="146"/>
      <c r="OYM176" s="146"/>
      <c r="OYN176" s="146"/>
      <c r="OYO176" s="146"/>
      <c r="OYP176" s="146"/>
      <c r="OYQ176" s="146"/>
      <c r="OYR176" s="146"/>
      <c r="OYS176" s="146"/>
      <c r="OYT176" s="146"/>
      <c r="OYU176" s="146"/>
      <c r="OYV176" s="146"/>
      <c r="OYW176" s="146"/>
      <c r="OYX176" s="146"/>
      <c r="OYY176" s="146"/>
      <c r="OYZ176" s="146"/>
      <c r="OZA176" s="146"/>
      <c r="OZB176" s="146"/>
      <c r="OZC176" s="146"/>
      <c r="OZD176" s="146"/>
      <c r="OZE176" s="146"/>
      <c r="OZF176" s="146"/>
      <c r="OZG176" s="146"/>
      <c r="OZH176" s="146"/>
      <c r="OZI176" s="146"/>
      <c r="OZJ176" s="146"/>
      <c r="OZK176" s="146"/>
      <c r="OZL176" s="146"/>
      <c r="OZM176" s="146"/>
      <c r="OZN176" s="146"/>
      <c r="OZO176" s="146"/>
      <c r="OZP176" s="146"/>
      <c r="OZQ176" s="146"/>
      <c r="OZR176" s="146"/>
      <c r="OZS176" s="146"/>
      <c r="OZT176" s="146"/>
      <c r="OZU176" s="146"/>
      <c r="OZV176" s="146"/>
      <c r="OZW176" s="146"/>
      <c r="OZX176" s="146"/>
      <c r="OZY176" s="146"/>
      <c r="OZZ176" s="146"/>
      <c r="PAA176" s="146"/>
      <c r="PAB176" s="146"/>
      <c r="PAC176" s="146"/>
      <c r="PAD176" s="146"/>
      <c r="PAE176" s="146"/>
      <c r="PAF176" s="146"/>
      <c r="PAG176" s="146"/>
      <c r="PAH176" s="146"/>
      <c r="PAI176" s="146"/>
      <c r="PAJ176" s="146"/>
      <c r="PAK176" s="146"/>
      <c r="PAL176" s="146"/>
      <c r="PAM176" s="146"/>
      <c r="PAN176" s="146"/>
      <c r="PAO176" s="146"/>
      <c r="PAP176" s="146"/>
      <c r="PAQ176" s="146"/>
      <c r="PAR176" s="146"/>
      <c r="PAS176" s="146"/>
      <c r="PAT176" s="146"/>
      <c r="PAU176" s="146"/>
      <c r="PAV176" s="146"/>
      <c r="PAW176" s="146"/>
      <c r="PAX176" s="146"/>
      <c r="PAY176" s="146"/>
      <c r="PAZ176" s="146"/>
      <c r="PBA176" s="146"/>
      <c r="PBB176" s="146"/>
      <c r="PBC176" s="146"/>
      <c r="PBD176" s="146"/>
      <c r="PBE176" s="146"/>
      <c r="PBF176" s="146"/>
      <c r="PBG176" s="146"/>
      <c r="PBH176" s="146"/>
      <c r="PBI176" s="146"/>
      <c r="PBJ176" s="146"/>
      <c r="PBK176" s="146"/>
      <c r="PBL176" s="146"/>
      <c r="PBM176" s="146"/>
      <c r="PBN176" s="146"/>
      <c r="PBO176" s="146"/>
      <c r="PBP176" s="146"/>
      <c r="PBQ176" s="146"/>
      <c r="PBR176" s="146"/>
      <c r="PBS176" s="146"/>
      <c r="PBT176" s="146"/>
      <c r="PBU176" s="146"/>
      <c r="PBV176" s="146"/>
      <c r="PBW176" s="146"/>
      <c r="PBX176" s="146"/>
      <c r="PBY176" s="146"/>
      <c r="PBZ176" s="146"/>
      <c r="PCA176" s="146"/>
      <c r="PCB176" s="146"/>
      <c r="PCC176" s="146"/>
      <c r="PCD176" s="146"/>
      <c r="PCE176" s="146"/>
      <c r="PCF176" s="146"/>
      <c r="PCG176" s="146"/>
      <c r="PCH176" s="146"/>
      <c r="PCI176" s="146"/>
      <c r="PCJ176" s="146"/>
      <c r="PCK176" s="146"/>
      <c r="PCL176" s="146"/>
      <c r="PCM176" s="146"/>
      <c r="PCN176" s="146"/>
      <c r="PCO176" s="146"/>
      <c r="PCP176" s="146"/>
      <c r="PCQ176" s="146"/>
      <c r="PCR176" s="146"/>
      <c r="PCS176" s="146"/>
      <c r="PCT176" s="146"/>
      <c r="PCU176" s="146"/>
      <c r="PCV176" s="146"/>
      <c r="PCW176" s="146"/>
      <c r="PCX176" s="146"/>
      <c r="PCY176" s="146"/>
      <c r="PCZ176" s="146"/>
      <c r="PDA176" s="146"/>
      <c r="PDB176" s="146"/>
      <c r="PDC176" s="146"/>
      <c r="PDD176" s="146"/>
      <c r="PDE176" s="146"/>
      <c r="PDF176" s="146"/>
      <c r="PDG176" s="146"/>
      <c r="PDH176" s="146"/>
      <c r="PDI176" s="146"/>
      <c r="PDJ176" s="146"/>
      <c r="PDK176" s="146"/>
      <c r="PDL176" s="146"/>
      <c r="PDM176" s="146"/>
      <c r="PDN176" s="146"/>
      <c r="PDO176" s="146"/>
      <c r="PDP176" s="146"/>
      <c r="PDQ176" s="146"/>
      <c r="PDR176" s="146"/>
      <c r="PDS176" s="146"/>
      <c r="PDT176" s="146"/>
      <c r="PDU176" s="146"/>
      <c r="PDV176" s="146"/>
      <c r="PDW176" s="146"/>
      <c r="PDX176" s="146"/>
      <c r="PDY176" s="146"/>
      <c r="PDZ176" s="146"/>
      <c r="PEA176" s="146"/>
      <c r="PEB176" s="146"/>
      <c r="PEC176" s="146"/>
      <c r="PED176" s="146"/>
      <c r="PEE176" s="146"/>
      <c r="PEF176" s="146"/>
      <c r="PEG176" s="146"/>
      <c r="PEH176" s="146"/>
      <c r="PEI176" s="146"/>
      <c r="PEJ176" s="146"/>
      <c r="PEK176" s="146"/>
      <c r="PEL176" s="146"/>
      <c r="PEM176" s="146"/>
      <c r="PEN176" s="146"/>
      <c r="PEO176" s="146"/>
      <c r="PEP176" s="146"/>
      <c r="PEQ176" s="146"/>
      <c r="PER176" s="146"/>
      <c r="PES176" s="146"/>
      <c r="PET176" s="146"/>
      <c r="PEU176" s="146"/>
      <c r="PEV176" s="146"/>
      <c r="PEW176" s="146"/>
      <c r="PEX176" s="146"/>
      <c r="PEY176" s="146"/>
      <c r="PEZ176" s="146"/>
      <c r="PFA176" s="146"/>
      <c r="PFB176" s="146"/>
      <c r="PFC176" s="146"/>
      <c r="PFD176" s="146"/>
      <c r="PFE176" s="146"/>
      <c r="PFF176" s="146"/>
      <c r="PFG176" s="146"/>
      <c r="PFH176" s="146"/>
      <c r="PFI176" s="146"/>
      <c r="PFJ176" s="146"/>
      <c r="PFK176" s="146"/>
      <c r="PFL176" s="146"/>
      <c r="PFM176" s="146"/>
      <c r="PFN176" s="146"/>
      <c r="PFO176" s="146"/>
      <c r="PFP176" s="146"/>
      <c r="PFQ176" s="146"/>
      <c r="PFR176" s="146"/>
      <c r="PFS176" s="146"/>
      <c r="PFT176" s="146"/>
      <c r="PFU176" s="146"/>
      <c r="PFV176" s="146"/>
      <c r="PFW176" s="146"/>
      <c r="PFX176" s="146"/>
      <c r="PFY176" s="146"/>
      <c r="PFZ176" s="146"/>
      <c r="PGA176" s="146"/>
      <c r="PGB176" s="146"/>
      <c r="PGC176" s="146"/>
      <c r="PGD176" s="146"/>
      <c r="PGE176" s="146"/>
      <c r="PGF176" s="146"/>
      <c r="PGG176" s="146"/>
      <c r="PGH176" s="146"/>
      <c r="PGI176" s="146"/>
      <c r="PGJ176" s="146"/>
      <c r="PGK176" s="146"/>
      <c r="PGL176" s="146"/>
      <c r="PGM176" s="146"/>
      <c r="PGN176" s="146"/>
      <c r="PGO176" s="146"/>
      <c r="PGP176" s="146"/>
      <c r="PGQ176" s="146"/>
      <c r="PGR176" s="146"/>
      <c r="PGS176" s="146"/>
      <c r="PGT176" s="146"/>
      <c r="PGU176" s="146"/>
      <c r="PGV176" s="146"/>
      <c r="PGW176" s="146"/>
      <c r="PGX176" s="146"/>
      <c r="PGY176" s="146"/>
      <c r="PGZ176" s="146"/>
      <c r="PHA176" s="146"/>
      <c r="PHB176" s="146"/>
      <c r="PHC176" s="146"/>
      <c r="PHD176" s="146"/>
      <c r="PHE176" s="146"/>
      <c r="PHF176" s="146"/>
      <c r="PHG176" s="146"/>
      <c r="PHH176" s="146"/>
      <c r="PHI176" s="146"/>
      <c r="PHJ176" s="146"/>
      <c r="PHK176" s="146"/>
      <c r="PHL176" s="146"/>
      <c r="PHM176" s="146"/>
      <c r="PHN176" s="146"/>
      <c r="PHO176" s="146"/>
      <c r="PHP176" s="146"/>
      <c r="PHQ176" s="146"/>
      <c r="PHR176" s="146"/>
      <c r="PHS176" s="146"/>
      <c r="PHT176" s="146"/>
      <c r="PHU176" s="146"/>
      <c r="PHV176" s="146"/>
      <c r="PHW176" s="146"/>
      <c r="PHX176" s="146"/>
      <c r="PHY176" s="146"/>
      <c r="PHZ176" s="146"/>
      <c r="PIA176" s="146"/>
      <c r="PIB176" s="146"/>
      <c r="PIC176" s="146"/>
      <c r="PID176" s="146"/>
      <c r="PIE176" s="146"/>
      <c r="PIF176" s="146"/>
      <c r="PIG176" s="146"/>
      <c r="PIH176" s="146"/>
      <c r="PII176" s="146"/>
      <c r="PIJ176" s="146"/>
      <c r="PIK176" s="146"/>
      <c r="PIL176" s="146"/>
      <c r="PIM176" s="146"/>
      <c r="PIN176" s="146"/>
      <c r="PIO176" s="146"/>
      <c r="PIP176" s="146"/>
      <c r="PIQ176" s="146"/>
      <c r="PIR176" s="146"/>
      <c r="PIS176" s="146"/>
      <c r="PIT176" s="146"/>
      <c r="PIU176" s="146"/>
      <c r="PIV176" s="146"/>
      <c r="PIW176" s="146"/>
      <c r="PIX176" s="146"/>
      <c r="PIY176" s="146"/>
      <c r="PIZ176" s="146"/>
      <c r="PJA176" s="146"/>
      <c r="PJB176" s="146"/>
      <c r="PJC176" s="146"/>
      <c r="PJD176" s="146"/>
      <c r="PJE176" s="146"/>
      <c r="PJF176" s="146"/>
      <c r="PJG176" s="146"/>
      <c r="PJH176" s="146"/>
      <c r="PJI176" s="146"/>
      <c r="PJJ176" s="146"/>
      <c r="PJK176" s="146"/>
      <c r="PJL176" s="146"/>
      <c r="PJM176" s="146"/>
      <c r="PJN176" s="146"/>
      <c r="PJO176" s="146"/>
      <c r="PJP176" s="146"/>
      <c r="PJQ176" s="146"/>
      <c r="PJR176" s="146"/>
      <c r="PJS176" s="146"/>
      <c r="PJT176" s="146"/>
      <c r="PJU176" s="146"/>
      <c r="PJV176" s="146"/>
      <c r="PJW176" s="146"/>
      <c r="PJX176" s="146"/>
      <c r="PJY176" s="146"/>
      <c r="PJZ176" s="146"/>
      <c r="PKA176" s="146"/>
      <c r="PKB176" s="146"/>
      <c r="PKC176" s="146"/>
      <c r="PKD176" s="146"/>
      <c r="PKE176" s="146"/>
      <c r="PKF176" s="146"/>
      <c r="PKG176" s="146"/>
      <c r="PKH176" s="146"/>
      <c r="PKI176" s="146"/>
      <c r="PKJ176" s="146"/>
      <c r="PKK176" s="146"/>
      <c r="PKL176" s="146"/>
      <c r="PKM176" s="146"/>
      <c r="PKN176" s="146"/>
      <c r="PKO176" s="146"/>
      <c r="PKP176" s="146"/>
      <c r="PKQ176" s="146"/>
      <c r="PKR176" s="146"/>
      <c r="PKS176" s="146"/>
      <c r="PKT176" s="146"/>
      <c r="PKU176" s="146"/>
      <c r="PKV176" s="146"/>
      <c r="PKW176" s="146"/>
      <c r="PKX176" s="146"/>
      <c r="PKY176" s="146"/>
      <c r="PKZ176" s="146"/>
      <c r="PLA176" s="146"/>
      <c r="PLB176" s="146"/>
      <c r="PLC176" s="146"/>
      <c r="PLD176" s="146"/>
      <c r="PLE176" s="146"/>
      <c r="PLF176" s="146"/>
      <c r="PLG176" s="146"/>
      <c r="PLH176" s="146"/>
      <c r="PLI176" s="146"/>
      <c r="PLJ176" s="146"/>
      <c r="PLK176" s="146"/>
      <c r="PLL176" s="146"/>
      <c r="PLM176" s="146"/>
      <c r="PLN176" s="146"/>
      <c r="PLO176" s="146"/>
      <c r="PLP176" s="146"/>
      <c r="PLQ176" s="146"/>
      <c r="PLR176" s="146"/>
      <c r="PLS176" s="146"/>
      <c r="PLT176" s="146"/>
      <c r="PLU176" s="146"/>
      <c r="PLV176" s="146"/>
      <c r="PLW176" s="146"/>
      <c r="PLX176" s="146"/>
      <c r="PLY176" s="146"/>
      <c r="PLZ176" s="146"/>
      <c r="PMA176" s="146"/>
      <c r="PMB176" s="146"/>
      <c r="PMC176" s="146"/>
      <c r="PMD176" s="146"/>
      <c r="PME176" s="146"/>
      <c r="PMF176" s="146"/>
      <c r="PMG176" s="146"/>
      <c r="PMH176" s="146"/>
      <c r="PMI176" s="146"/>
      <c r="PMJ176" s="146"/>
      <c r="PMK176" s="146"/>
      <c r="PML176" s="146"/>
      <c r="PMM176" s="146"/>
      <c r="PMN176" s="146"/>
      <c r="PMO176" s="146"/>
      <c r="PMP176" s="146"/>
      <c r="PMQ176" s="146"/>
      <c r="PMR176" s="146"/>
      <c r="PMS176" s="146"/>
      <c r="PMT176" s="146"/>
      <c r="PMU176" s="146"/>
      <c r="PMV176" s="146"/>
      <c r="PMW176" s="146"/>
      <c r="PMX176" s="146"/>
      <c r="PMY176" s="146"/>
      <c r="PMZ176" s="146"/>
      <c r="PNA176" s="146"/>
      <c r="PNB176" s="146"/>
      <c r="PNC176" s="146"/>
      <c r="PND176" s="146"/>
      <c r="PNE176" s="146"/>
      <c r="PNF176" s="146"/>
      <c r="PNG176" s="146"/>
      <c r="PNH176" s="146"/>
      <c r="PNI176" s="146"/>
      <c r="PNJ176" s="146"/>
      <c r="PNK176" s="146"/>
      <c r="PNL176" s="146"/>
      <c r="PNM176" s="146"/>
      <c r="PNN176" s="146"/>
      <c r="PNO176" s="146"/>
      <c r="PNP176" s="146"/>
      <c r="PNQ176" s="146"/>
      <c r="PNR176" s="146"/>
      <c r="PNS176" s="146"/>
      <c r="PNT176" s="146"/>
      <c r="PNU176" s="146"/>
      <c r="PNV176" s="146"/>
      <c r="PNW176" s="146"/>
      <c r="PNX176" s="146"/>
      <c r="PNY176" s="146"/>
      <c r="PNZ176" s="146"/>
      <c r="POA176" s="146"/>
      <c r="POB176" s="146"/>
      <c r="POC176" s="146"/>
      <c r="POD176" s="146"/>
      <c r="POE176" s="146"/>
      <c r="POF176" s="146"/>
      <c r="POG176" s="146"/>
      <c r="POH176" s="146"/>
      <c r="POI176" s="146"/>
      <c r="POJ176" s="146"/>
      <c r="POK176" s="146"/>
      <c r="POL176" s="146"/>
      <c r="POM176" s="146"/>
      <c r="PON176" s="146"/>
      <c r="POO176" s="146"/>
      <c r="POP176" s="146"/>
      <c r="POQ176" s="146"/>
      <c r="POR176" s="146"/>
      <c r="POS176" s="146"/>
      <c r="POT176" s="146"/>
      <c r="POU176" s="146"/>
      <c r="POV176" s="146"/>
      <c r="POW176" s="146"/>
      <c r="POX176" s="146"/>
      <c r="POY176" s="146"/>
      <c r="POZ176" s="146"/>
      <c r="PPA176" s="146"/>
      <c r="PPB176" s="146"/>
      <c r="PPC176" s="146"/>
      <c r="PPD176" s="146"/>
      <c r="PPE176" s="146"/>
      <c r="PPF176" s="146"/>
      <c r="PPG176" s="146"/>
      <c r="PPH176" s="146"/>
      <c r="PPI176" s="146"/>
      <c r="PPJ176" s="146"/>
      <c r="PPK176" s="146"/>
      <c r="PPL176" s="146"/>
      <c r="PPM176" s="146"/>
      <c r="PPN176" s="146"/>
      <c r="PPO176" s="146"/>
      <c r="PPP176" s="146"/>
      <c r="PPQ176" s="146"/>
      <c r="PPR176" s="146"/>
      <c r="PPS176" s="146"/>
      <c r="PPT176" s="146"/>
      <c r="PPU176" s="146"/>
      <c r="PPV176" s="146"/>
      <c r="PPW176" s="146"/>
      <c r="PPX176" s="146"/>
      <c r="PPY176" s="146"/>
      <c r="PPZ176" s="146"/>
      <c r="PQA176" s="146"/>
      <c r="PQB176" s="146"/>
      <c r="PQC176" s="146"/>
      <c r="PQD176" s="146"/>
      <c r="PQE176" s="146"/>
      <c r="PQF176" s="146"/>
      <c r="PQG176" s="146"/>
      <c r="PQH176" s="146"/>
      <c r="PQI176" s="146"/>
      <c r="PQJ176" s="146"/>
      <c r="PQK176" s="146"/>
      <c r="PQL176" s="146"/>
      <c r="PQM176" s="146"/>
      <c r="PQN176" s="146"/>
      <c r="PQO176" s="146"/>
      <c r="PQP176" s="146"/>
      <c r="PQQ176" s="146"/>
      <c r="PQR176" s="146"/>
      <c r="PQS176" s="146"/>
      <c r="PQT176" s="146"/>
      <c r="PQU176" s="146"/>
      <c r="PQV176" s="146"/>
      <c r="PQW176" s="146"/>
      <c r="PQX176" s="146"/>
      <c r="PQY176" s="146"/>
      <c r="PQZ176" s="146"/>
      <c r="PRA176" s="146"/>
      <c r="PRB176" s="146"/>
      <c r="PRC176" s="146"/>
      <c r="PRD176" s="146"/>
      <c r="PRE176" s="146"/>
      <c r="PRF176" s="146"/>
      <c r="PRG176" s="146"/>
      <c r="PRH176" s="146"/>
      <c r="PRI176" s="146"/>
      <c r="PRJ176" s="146"/>
      <c r="PRK176" s="146"/>
      <c r="PRL176" s="146"/>
      <c r="PRM176" s="146"/>
      <c r="PRN176" s="146"/>
      <c r="PRO176" s="146"/>
      <c r="PRP176" s="146"/>
      <c r="PRQ176" s="146"/>
      <c r="PRR176" s="146"/>
      <c r="PRS176" s="146"/>
      <c r="PRT176" s="146"/>
      <c r="PRU176" s="146"/>
      <c r="PRV176" s="146"/>
      <c r="PRW176" s="146"/>
      <c r="PRX176" s="146"/>
      <c r="PRY176" s="146"/>
      <c r="PRZ176" s="146"/>
      <c r="PSA176" s="146"/>
      <c r="PSB176" s="146"/>
      <c r="PSC176" s="146"/>
      <c r="PSD176" s="146"/>
      <c r="PSE176" s="146"/>
      <c r="PSF176" s="146"/>
      <c r="PSG176" s="146"/>
      <c r="PSH176" s="146"/>
      <c r="PSI176" s="146"/>
      <c r="PSJ176" s="146"/>
      <c r="PSK176" s="146"/>
      <c r="PSL176" s="146"/>
      <c r="PSM176" s="146"/>
      <c r="PSN176" s="146"/>
      <c r="PSO176" s="146"/>
      <c r="PSP176" s="146"/>
      <c r="PSQ176" s="146"/>
      <c r="PSR176" s="146"/>
      <c r="PSS176" s="146"/>
      <c r="PST176" s="146"/>
      <c r="PSU176" s="146"/>
      <c r="PSV176" s="146"/>
      <c r="PSW176" s="146"/>
      <c r="PSX176" s="146"/>
      <c r="PSY176" s="146"/>
      <c r="PSZ176" s="146"/>
      <c r="PTA176" s="146"/>
      <c r="PTB176" s="146"/>
      <c r="PTC176" s="146"/>
      <c r="PTD176" s="146"/>
      <c r="PTE176" s="146"/>
      <c r="PTF176" s="146"/>
      <c r="PTG176" s="146"/>
      <c r="PTH176" s="146"/>
      <c r="PTI176" s="146"/>
      <c r="PTJ176" s="146"/>
      <c r="PTK176" s="146"/>
      <c r="PTL176" s="146"/>
      <c r="PTM176" s="146"/>
      <c r="PTN176" s="146"/>
      <c r="PTO176" s="146"/>
      <c r="PTP176" s="146"/>
      <c r="PTQ176" s="146"/>
      <c r="PTR176" s="146"/>
      <c r="PTS176" s="146"/>
      <c r="PTT176" s="146"/>
      <c r="PTU176" s="146"/>
      <c r="PTV176" s="146"/>
      <c r="PTW176" s="146"/>
      <c r="PTX176" s="146"/>
      <c r="PTY176" s="146"/>
      <c r="PTZ176" s="146"/>
      <c r="PUA176" s="146"/>
      <c r="PUB176" s="146"/>
      <c r="PUC176" s="146"/>
      <c r="PUD176" s="146"/>
      <c r="PUE176" s="146"/>
      <c r="PUF176" s="146"/>
      <c r="PUG176" s="146"/>
      <c r="PUH176" s="146"/>
      <c r="PUI176" s="146"/>
      <c r="PUJ176" s="146"/>
      <c r="PUK176" s="146"/>
      <c r="PUL176" s="146"/>
      <c r="PUM176" s="146"/>
      <c r="PUN176" s="146"/>
      <c r="PUO176" s="146"/>
      <c r="PUP176" s="146"/>
      <c r="PUQ176" s="146"/>
      <c r="PUR176" s="146"/>
      <c r="PUS176" s="146"/>
      <c r="PUT176" s="146"/>
      <c r="PUU176" s="146"/>
      <c r="PUV176" s="146"/>
      <c r="PUW176" s="146"/>
      <c r="PUX176" s="146"/>
      <c r="PUY176" s="146"/>
      <c r="PUZ176" s="146"/>
      <c r="PVA176" s="146"/>
      <c r="PVB176" s="146"/>
      <c r="PVC176" s="146"/>
      <c r="PVD176" s="146"/>
      <c r="PVE176" s="146"/>
      <c r="PVF176" s="146"/>
      <c r="PVG176" s="146"/>
      <c r="PVH176" s="146"/>
      <c r="PVI176" s="146"/>
      <c r="PVJ176" s="146"/>
      <c r="PVK176" s="146"/>
      <c r="PVL176" s="146"/>
      <c r="PVM176" s="146"/>
      <c r="PVN176" s="146"/>
      <c r="PVO176" s="146"/>
      <c r="PVP176" s="146"/>
      <c r="PVQ176" s="146"/>
      <c r="PVR176" s="146"/>
      <c r="PVS176" s="146"/>
      <c r="PVT176" s="146"/>
      <c r="PVU176" s="146"/>
      <c r="PVV176" s="146"/>
      <c r="PVW176" s="146"/>
      <c r="PVX176" s="146"/>
      <c r="PVY176" s="146"/>
      <c r="PVZ176" s="146"/>
      <c r="PWA176" s="146"/>
      <c r="PWB176" s="146"/>
      <c r="PWC176" s="146"/>
      <c r="PWD176" s="146"/>
      <c r="PWE176" s="146"/>
      <c r="PWF176" s="146"/>
      <c r="PWG176" s="146"/>
      <c r="PWH176" s="146"/>
      <c r="PWI176" s="146"/>
      <c r="PWJ176" s="146"/>
      <c r="PWK176" s="146"/>
      <c r="PWL176" s="146"/>
      <c r="PWM176" s="146"/>
      <c r="PWN176" s="146"/>
      <c r="PWO176" s="146"/>
      <c r="PWP176" s="146"/>
      <c r="PWQ176" s="146"/>
      <c r="PWR176" s="146"/>
      <c r="PWS176" s="146"/>
      <c r="PWT176" s="146"/>
      <c r="PWU176" s="146"/>
      <c r="PWV176" s="146"/>
      <c r="PWW176" s="146"/>
      <c r="PWX176" s="146"/>
      <c r="PWY176" s="146"/>
      <c r="PWZ176" s="146"/>
      <c r="PXA176" s="146"/>
      <c r="PXB176" s="146"/>
      <c r="PXC176" s="146"/>
      <c r="PXD176" s="146"/>
      <c r="PXE176" s="146"/>
      <c r="PXF176" s="146"/>
      <c r="PXG176" s="146"/>
      <c r="PXH176" s="146"/>
      <c r="PXI176" s="146"/>
      <c r="PXJ176" s="146"/>
      <c r="PXK176" s="146"/>
      <c r="PXL176" s="146"/>
      <c r="PXM176" s="146"/>
      <c r="PXN176" s="146"/>
      <c r="PXO176" s="146"/>
      <c r="PXP176" s="146"/>
      <c r="PXQ176" s="146"/>
      <c r="PXR176" s="146"/>
      <c r="PXS176" s="146"/>
      <c r="PXT176" s="146"/>
      <c r="PXU176" s="146"/>
      <c r="PXV176" s="146"/>
      <c r="PXW176" s="146"/>
      <c r="PXX176" s="146"/>
      <c r="PXY176" s="146"/>
      <c r="PXZ176" s="146"/>
      <c r="PYA176" s="146"/>
      <c r="PYB176" s="146"/>
      <c r="PYC176" s="146"/>
      <c r="PYD176" s="146"/>
      <c r="PYE176" s="146"/>
      <c r="PYF176" s="146"/>
      <c r="PYG176" s="146"/>
      <c r="PYH176" s="146"/>
      <c r="PYI176" s="146"/>
      <c r="PYJ176" s="146"/>
      <c r="PYK176" s="146"/>
      <c r="PYL176" s="146"/>
      <c r="PYM176" s="146"/>
      <c r="PYN176" s="146"/>
      <c r="PYO176" s="146"/>
      <c r="PYP176" s="146"/>
      <c r="PYQ176" s="146"/>
      <c r="PYR176" s="146"/>
      <c r="PYS176" s="146"/>
      <c r="PYT176" s="146"/>
      <c r="PYU176" s="146"/>
      <c r="PYV176" s="146"/>
      <c r="PYW176" s="146"/>
      <c r="PYX176" s="146"/>
      <c r="PYY176" s="146"/>
      <c r="PYZ176" s="146"/>
      <c r="PZA176" s="146"/>
      <c r="PZB176" s="146"/>
      <c r="PZC176" s="146"/>
      <c r="PZD176" s="146"/>
      <c r="PZE176" s="146"/>
      <c r="PZF176" s="146"/>
      <c r="PZG176" s="146"/>
      <c r="PZH176" s="146"/>
      <c r="PZI176" s="146"/>
      <c r="PZJ176" s="146"/>
      <c r="PZK176" s="146"/>
      <c r="PZL176" s="146"/>
      <c r="PZM176" s="146"/>
      <c r="PZN176" s="146"/>
      <c r="PZO176" s="146"/>
      <c r="PZP176" s="146"/>
      <c r="PZQ176" s="146"/>
      <c r="PZR176" s="146"/>
      <c r="PZS176" s="146"/>
      <c r="PZT176" s="146"/>
      <c r="PZU176" s="146"/>
      <c r="PZV176" s="146"/>
      <c r="PZW176" s="146"/>
      <c r="PZX176" s="146"/>
      <c r="PZY176" s="146"/>
      <c r="PZZ176" s="146"/>
      <c r="QAA176" s="146"/>
      <c r="QAB176" s="146"/>
      <c r="QAC176" s="146"/>
      <c r="QAD176" s="146"/>
      <c r="QAE176" s="146"/>
      <c r="QAF176" s="146"/>
      <c r="QAG176" s="146"/>
      <c r="QAH176" s="146"/>
      <c r="QAI176" s="146"/>
      <c r="QAJ176" s="146"/>
      <c r="QAK176" s="146"/>
      <c r="QAL176" s="146"/>
      <c r="QAM176" s="146"/>
      <c r="QAN176" s="146"/>
      <c r="QAO176" s="146"/>
      <c r="QAP176" s="146"/>
      <c r="QAQ176" s="146"/>
      <c r="QAR176" s="146"/>
      <c r="QAS176" s="146"/>
      <c r="QAT176" s="146"/>
      <c r="QAU176" s="146"/>
      <c r="QAV176" s="146"/>
      <c r="QAW176" s="146"/>
      <c r="QAX176" s="146"/>
      <c r="QAY176" s="146"/>
      <c r="QAZ176" s="146"/>
      <c r="QBA176" s="146"/>
      <c r="QBB176" s="146"/>
      <c r="QBC176" s="146"/>
      <c r="QBD176" s="146"/>
      <c r="QBE176" s="146"/>
      <c r="QBF176" s="146"/>
      <c r="QBG176" s="146"/>
      <c r="QBH176" s="146"/>
      <c r="QBI176" s="146"/>
      <c r="QBJ176" s="146"/>
      <c r="QBK176" s="146"/>
      <c r="QBL176" s="146"/>
      <c r="QBM176" s="146"/>
      <c r="QBN176" s="146"/>
      <c r="QBO176" s="146"/>
      <c r="QBP176" s="146"/>
      <c r="QBQ176" s="146"/>
      <c r="QBR176" s="146"/>
      <c r="QBS176" s="146"/>
      <c r="QBT176" s="146"/>
      <c r="QBU176" s="146"/>
      <c r="QBV176" s="146"/>
      <c r="QBW176" s="146"/>
      <c r="QBX176" s="146"/>
      <c r="QBY176" s="146"/>
      <c r="QBZ176" s="146"/>
      <c r="QCA176" s="146"/>
      <c r="QCB176" s="146"/>
      <c r="QCC176" s="146"/>
      <c r="QCD176" s="146"/>
      <c r="QCE176" s="146"/>
      <c r="QCF176" s="146"/>
      <c r="QCG176" s="146"/>
      <c r="QCH176" s="146"/>
      <c r="QCI176" s="146"/>
      <c r="QCJ176" s="146"/>
      <c r="QCK176" s="146"/>
      <c r="QCL176" s="146"/>
      <c r="QCM176" s="146"/>
      <c r="QCN176" s="146"/>
      <c r="QCO176" s="146"/>
      <c r="QCP176" s="146"/>
      <c r="QCQ176" s="146"/>
      <c r="QCR176" s="146"/>
      <c r="QCS176" s="146"/>
      <c r="QCT176" s="146"/>
      <c r="QCU176" s="146"/>
      <c r="QCV176" s="146"/>
      <c r="QCW176" s="146"/>
      <c r="QCX176" s="146"/>
      <c r="QCY176" s="146"/>
      <c r="QCZ176" s="146"/>
      <c r="QDA176" s="146"/>
      <c r="QDB176" s="146"/>
      <c r="QDC176" s="146"/>
      <c r="QDD176" s="146"/>
      <c r="QDE176" s="146"/>
      <c r="QDF176" s="146"/>
      <c r="QDG176" s="146"/>
      <c r="QDH176" s="146"/>
      <c r="QDI176" s="146"/>
      <c r="QDJ176" s="146"/>
      <c r="QDK176" s="146"/>
      <c r="QDL176" s="146"/>
      <c r="QDM176" s="146"/>
      <c r="QDN176" s="146"/>
      <c r="QDO176" s="146"/>
      <c r="QDP176" s="146"/>
      <c r="QDQ176" s="146"/>
      <c r="QDR176" s="146"/>
      <c r="QDS176" s="146"/>
      <c r="QDT176" s="146"/>
      <c r="QDU176" s="146"/>
      <c r="QDV176" s="146"/>
      <c r="QDW176" s="146"/>
      <c r="QDX176" s="146"/>
      <c r="QDY176" s="146"/>
      <c r="QDZ176" s="146"/>
      <c r="QEA176" s="146"/>
      <c r="QEB176" s="146"/>
      <c r="QEC176" s="146"/>
      <c r="QED176" s="146"/>
      <c r="QEE176" s="146"/>
      <c r="QEF176" s="146"/>
      <c r="QEG176" s="146"/>
      <c r="QEH176" s="146"/>
      <c r="QEI176" s="146"/>
      <c r="QEJ176" s="146"/>
      <c r="QEK176" s="146"/>
      <c r="QEL176" s="146"/>
      <c r="QEM176" s="146"/>
      <c r="QEN176" s="146"/>
      <c r="QEO176" s="146"/>
      <c r="QEP176" s="146"/>
      <c r="QEQ176" s="146"/>
      <c r="QER176" s="146"/>
      <c r="QES176" s="146"/>
      <c r="QET176" s="146"/>
      <c r="QEU176" s="146"/>
      <c r="QEV176" s="146"/>
      <c r="QEW176" s="146"/>
      <c r="QEX176" s="146"/>
      <c r="QEY176" s="146"/>
      <c r="QEZ176" s="146"/>
      <c r="QFA176" s="146"/>
      <c r="QFB176" s="146"/>
      <c r="QFC176" s="146"/>
      <c r="QFD176" s="146"/>
      <c r="QFE176" s="146"/>
      <c r="QFF176" s="146"/>
      <c r="QFG176" s="146"/>
      <c r="QFH176" s="146"/>
      <c r="QFI176" s="146"/>
      <c r="QFJ176" s="146"/>
      <c r="QFK176" s="146"/>
      <c r="QFL176" s="146"/>
      <c r="QFM176" s="146"/>
      <c r="QFN176" s="146"/>
      <c r="QFO176" s="146"/>
      <c r="QFP176" s="146"/>
      <c r="QFQ176" s="146"/>
      <c r="QFR176" s="146"/>
      <c r="QFS176" s="146"/>
      <c r="QFT176" s="146"/>
      <c r="QFU176" s="146"/>
      <c r="QFV176" s="146"/>
      <c r="QFW176" s="146"/>
      <c r="QFX176" s="146"/>
      <c r="QFY176" s="146"/>
      <c r="QFZ176" s="146"/>
      <c r="QGA176" s="146"/>
      <c r="QGB176" s="146"/>
      <c r="QGC176" s="146"/>
      <c r="QGD176" s="146"/>
      <c r="QGE176" s="146"/>
      <c r="QGF176" s="146"/>
      <c r="QGG176" s="146"/>
      <c r="QGH176" s="146"/>
      <c r="QGI176" s="146"/>
      <c r="QGJ176" s="146"/>
      <c r="QGK176" s="146"/>
      <c r="QGL176" s="146"/>
      <c r="QGM176" s="146"/>
      <c r="QGN176" s="146"/>
      <c r="QGO176" s="146"/>
      <c r="QGP176" s="146"/>
      <c r="QGQ176" s="146"/>
      <c r="QGR176" s="146"/>
      <c r="QGS176" s="146"/>
      <c r="QGT176" s="146"/>
      <c r="QGU176" s="146"/>
      <c r="QGV176" s="146"/>
      <c r="QGW176" s="146"/>
      <c r="QGX176" s="146"/>
      <c r="QGY176" s="146"/>
      <c r="QGZ176" s="146"/>
      <c r="QHA176" s="146"/>
      <c r="QHB176" s="146"/>
      <c r="QHC176" s="146"/>
      <c r="QHD176" s="146"/>
      <c r="QHE176" s="146"/>
      <c r="QHF176" s="146"/>
      <c r="QHG176" s="146"/>
      <c r="QHH176" s="146"/>
      <c r="QHI176" s="146"/>
      <c r="QHJ176" s="146"/>
      <c r="QHK176" s="146"/>
      <c r="QHL176" s="146"/>
      <c r="QHM176" s="146"/>
      <c r="QHN176" s="146"/>
      <c r="QHO176" s="146"/>
      <c r="QHP176" s="146"/>
      <c r="QHQ176" s="146"/>
      <c r="QHR176" s="146"/>
      <c r="QHS176" s="146"/>
      <c r="QHT176" s="146"/>
      <c r="QHU176" s="146"/>
      <c r="QHV176" s="146"/>
      <c r="QHW176" s="146"/>
      <c r="QHX176" s="146"/>
      <c r="QHY176" s="146"/>
      <c r="QHZ176" s="146"/>
      <c r="QIA176" s="146"/>
      <c r="QIB176" s="146"/>
      <c r="QIC176" s="146"/>
      <c r="QID176" s="146"/>
      <c r="QIE176" s="146"/>
      <c r="QIF176" s="146"/>
      <c r="QIG176" s="146"/>
      <c r="QIH176" s="146"/>
      <c r="QII176" s="146"/>
      <c r="QIJ176" s="146"/>
      <c r="QIK176" s="146"/>
      <c r="QIL176" s="146"/>
      <c r="QIM176" s="146"/>
      <c r="QIN176" s="146"/>
      <c r="QIO176" s="146"/>
      <c r="QIP176" s="146"/>
      <c r="QIQ176" s="146"/>
      <c r="QIR176" s="146"/>
      <c r="QIS176" s="146"/>
      <c r="QIT176" s="146"/>
      <c r="QIU176" s="146"/>
      <c r="QIV176" s="146"/>
      <c r="QIW176" s="146"/>
      <c r="QIX176" s="146"/>
      <c r="QIY176" s="146"/>
      <c r="QIZ176" s="146"/>
      <c r="QJA176" s="146"/>
      <c r="QJB176" s="146"/>
      <c r="QJC176" s="146"/>
      <c r="QJD176" s="146"/>
      <c r="QJE176" s="146"/>
      <c r="QJF176" s="146"/>
      <c r="QJG176" s="146"/>
      <c r="QJH176" s="146"/>
      <c r="QJI176" s="146"/>
      <c r="QJJ176" s="146"/>
      <c r="QJK176" s="146"/>
      <c r="QJL176" s="146"/>
      <c r="QJM176" s="146"/>
      <c r="QJN176" s="146"/>
      <c r="QJO176" s="146"/>
      <c r="QJP176" s="146"/>
      <c r="QJQ176" s="146"/>
      <c r="QJR176" s="146"/>
      <c r="QJS176" s="146"/>
      <c r="QJT176" s="146"/>
      <c r="QJU176" s="146"/>
      <c r="QJV176" s="146"/>
      <c r="QJW176" s="146"/>
      <c r="QJX176" s="146"/>
      <c r="QJY176" s="146"/>
      <c r="QJZ176" s="146"/>
      <c r="QKA176" s="146"/>
      <c r="QKB176" s="146"/>
      <c r="QKC176" s="146"/>
      <c r="QKD176" s="146"/>
      <c r="QKE176" s="146"/>
      <c r="QKF176" s="146"/>
      <c r="QKG176" s="146"/>
      <c r="QKH176" s="146"/>
      <c r="QKI176" s="146"/>
      <c r="QKJ176" s="146"/>
      <c r="QKK176" s="146"/>
      <c r="QKL176" s="146"/>
      <c r="QKM176" s="146"/>
      <c r="QKN176" s="146"/>
      <c r="QKO176" s="146"/>
      <c r="QKP176" s="146"/>
      <c r="QKQ176" s="146"/>
      <c r="QKR176" s="146"/>
      <c r="QKS176" s="146"/>
      <c r="QKT176" s="146"/>
      <c r="QKU176" s="146"/>
      <c r="QKV176" s="146"/>
      <c r="QKW176" s="146"/>
      <c r="QKX176" s="146"/>
      <c r="QKY176" s="146"/>
      <c r="QKZ176" s="146"/>
      <c r="QLA176" s="146"/>
      <c r="QLB176" s="146"/>
      <c r="QLC176" s="146"/>
      <c r="QLD176" s="146"/>
      <c r="QLE176" s="146"/>
      <c r="QLF176" s="146"/>
      <c r="QLG176" s="146"/>
      <c r="QLH176" s="146"/>
      <c r="QLI176" s="146"/>
      <c r="QLJ176" s="146"/>
      <c r="QLK176" s="146"/>
      <c r="QLL176" s="146"/>
      <c r="QLM176" s="146"/>
      <c r="QLN176" s="146"/>
      <c r="QLO176" s="146"/>
      <c r="QLP176" s="146"/>
      <c r="QLQ176" s="146"/>
      <c r="QLR176" s="146"/>
      <c r="QLS176" s="146"/>
      <c r="QLT176" s="146"/>
      <c r="QLU176" s="146"/>
      <c r="QLV176" s="146"/>
      <c r="QLW176" s="146"/>
      <c r="QLX176" s="146"/>
      <c r="QLY176" s="146"/>
      <c r="QLZ176" s="146"/>
      <c r="QMA176" s="146"/>
      <c r="QMB176" s="146"/>
      <c r="QMC176" s="146"/>
      <c r="QMD176" s="146"/>
      <c r="QME176" s="146"/>
      <c r="QMF176" s="146"/>
      <c r="QMG176" s="146"/>
      <c r="QMH176" s="146"/>
      <c r="QMI176" s="146"/>
      <c r="QMJ176" s="146"/>
      <c r="QMK176" s="146"/>
      <c r="QML176" s="146"/>
      <c r="QMM176" s="146"/>
      <c r="QMN176" s="146"/>
      <c r="QMO176" s="146"/>
      <c r="QMP176" s="146"/>
      <c r="QMQ176" s="146"/>
      <c r="QMR176" s="146"/>
      <c r="QMS176" s="146"/>
      <c r="QMT176" s="146"/>
      <c r="QMU176" s="146"/>
      <c r="QMV176" s="146"/>
      <c r="QMW176" s="146"/>
      <c r="QMX176" s="146"/>
      <c r="QMY176" s="146"/>
      <c r="QMZ176" s="146"/>
      <c r="QNA176" s="146"/>
      <c r="QNB176" s="146"/>
      <c r="QNC176" s="146"/>
      <c r="QND176" s="146"/>
      <c r="QNE176" s="146"/>
      <c r="QNF176" s="146"/>
      <c r="QNG176" s="146"/>
      <c r="QNH176" s="146"/>
      <c r="QNI176" s="146"/>
      <c r="QNJ176" s="146"/>
      <c r="QNK176" s="146"/>
      <c r="QNL176" s="146"/>
      <c r="QNM176" s="146"/>
      <c r="QNN176" s="146"/>
      <c r="QNO176" s="146"/>
      <c r="QNP176" s="146"/>
      <c r="QNQ176" s="146"/>
      <c r="QNR176" s="146"/>
      <c r="QNS176" s="146"/>
      <c r="QNT176" s="146"/>
      <c r="QNU176" s="146"/>
      <c r="QNV176" s="146"/>
      <c r="QNW176" s="146"/>
      <c r="QNX176" s="146"/>
      <c r="QNY176" s="146"/>
      <c r="QNZ176" s="146"/>
      <c r="QOA176" s="146"/>
      <c r="QOB176" s="146"/>
      <c r="QOC176" s="146"/>
      <c r="QOD176" s="146"/>
      <c r="QOE176" s="146"/>
      <c r="QOF176" s="146"/>
      <c r="QOG176" s="146"/>
      <c r="QOH176" s="146"/>
      <c r="QOI176" s="146"/>
      <c r="QOJ176" s="146"/>
      <c r="QOK176" s="146"/>
      <c r="QOL176" s="146"/>
      <c r="QOM176" s="146"/>
      <c r="QON176" s="146"/>
      <c r="QOO176" s="146"/>
      <c r="QOP176" s="146"/>
      <c r="QOQ176" s="146"/>
      <c r="QOR176" s="146"/>
      <c r="QOS176" s="146"/>
      <c r="QOT176" s="146"/>
      <c r="QOU176" s="146"/>
      <c r="QOV176" s="146"/>
      <c r="QOW176" s="146"/>
      <c r="QOX176" s="146"/>
      <c r="QOY176" s="146"/>
      <c r="QOZ176" s="146"/>
      <c r="QPA176" s="146"/>
      <c r="QPB176" s="146"/>
      <c r="QPC176" s="146"/>
      <c r="QPD176" s="146"/>
      <c r="QPE176" s="146"/>
      <c r="QPF176" s="146"/>
      <c r="QPG176" s="146"/>
      <c r="QPH176" s="146"/>
      <c r="QPI176" s="146"/>
      <c r="QPJ176" s="146"/>
      <c r="QPK176" s="146"/>
      <c r="QPL176" s="146"/>
      <c r="QPM176" s="146"/>
      <c r="QPN176" s="146"/>
      <c r="QPO176" s="146"/>
      <c r="QPP176" s="146"/>
      <c r="QPQ176" s="146"/>
      <c r="QPR176" s="146"/>
      <c r="QPS176" s="146"/>
      <c r="QPT176" s="146"/>
      <c r="QPU176" s="146"/>
      <c r="QPV176" s="146"/>
      <c r="QPW176" s="146"/>
      <c r="QPX176" s="146"/>
      <c r="QPY176" s="146"/>
      <c r="QPZ176" s="146"/>
      <c r="QQA176" s="146"/>
      <c r="QQB176" s="146"/>
      <c r="QQC176" s="146"/>
      <c r="QQD176" s="146"/>
      <c r="QQE176" s="146"/>
      <c r="QQF176" s="146"/>
      <c r="QQG176" s="146"/>
      <c r="QQH176" s="146"/>
      <c r="QQI176" s="146"/>
      <c r="QQJ176" s="146"/>
      <c r="QQK176" s="146"/>
      <c r="QQL176" s="146"/>
      <c r="QQM176" s="146"/>
      <c r="QQN176" s="146"/>
      <c r="QQO176" s="146"/>
      <c r="QQP176" s="146"/>
      <c r="QQQ176" s="146"/>
      <c r="QQR176" s="146"/>
      <c r="QQS176" s="146"/>
      <c r="QQT176" s="146"/>
      <c r="QQU176" s="146"/>
      <c r="QQV176" s="146"/>
      <c r="QQW176" s="146"/>
      <c r="QQX176" s="146"/>
      <c r="QQY176" s="146"/>
      <c r="QQZ176" s="146"/>
      <c r="QRA176" s="146"/>
      <c r="QRB176" s="146"/>
      <c r="QRC176" s="146"/>
      <c r="QRD176" s="146"/>
      <c r="QRE176" s="146"/>
      <c r="QRF176" s="146"/>
      <c r="QRG176" s="146"/>
      <c r="QRH176" s="146"/>
      <c r="QRI176" s="146"/>
      <c r="QRJ176" s="146"/>
      <c r="QRK176" s="146"/>
      <c r="QRL176" s="146"/>
      <c r="QRM176" s="146"/>
      <c r="QRN176" s="146"/>
      <c r="QRO176" s="146"/>
      <c r="QRP176" s="146"/>
      <c r="QRQ176" s="146"/>
      <c r="QRR176" s="146"/>
      <c r="QRS176" s="146"/>
      <c r="QRT176" s="146"/>
      <c r="QRU176" s="146"/>
      <c r="QRV176" s="146"/>
      <c r="QRW176" s="146"/>
      <c r="QRX176" s="146"/>
      <c r="QRY176" s="146"/>
      <c r="QRZ176" s="146"/>
      <c r="QSA176" s="146"/>
      <c r="QSB176" s="146"/>
      <c r="QSC176" s="146"/>
      <c r="QSD176" s="146"/>
      <c r="QSE176" s="146"/>
      <c r="QSF176" s="146"/>
      <c r="QSG176" s="146"/>
      <c r="QSH176" s="146"/>
      <c r="QSI176" s="146"/>
      <c r="QSJ176" s="146"/>
      <c r="QSK176" s="146"/>
      <c r="QSL176" s="146"/>
      <c r="QSM176" s="146"/>
      <c r="QSN176" s="146"/>
      <c r="QSO176" s="146"/>
      <c r="QSP176" s="146"/>
      <c r="QSQ176" s="146"/>
      <c r="QSR176" s="146"/>
      <c r="QSS176" s="146"/>
      <c r="QST176" s="146"/>
      <c r="QSU176" s="146"/>
      <c r="QSV176" s="146"/>
      <c r="QSW176" s="146"/>
      <c r="QSX176" s="146"/>
      <c r="QSY176" s="146"/>
      <c r="QSZ176" s="146"/>
      <c r="QTA176" s="146"/>
      <c r="QTB176" s="146"/>
      <c r="QTC176" s="146"/>
      <c r="QTD176" s="146"/>
      <c r="QTE176" s="146"/>
      <c r="QTF176" s="146"/>
      <c r="QTG176" s="146"/>
      <c r="QTH176" s="146"/>
      <c r="QTI176" s="146"/>
      <c r="QTJ176" s="146"/>
      <c r="QTK176" s="146"/>
      <c r="QTL176" s="146"/>
      <c r="QTM176" s="146"/>
      <c r="QTN176" s="146"/>
      <c r="QTO176" s="146"/>
      <c r="QTP176" s="146"/>
      <c r="QTQ176" s="146"/>
      <c r="QTR176" s="146"/>
      <c r="QTS176" s="146"/>
      <c r="QTT176" s="146"/>
      <c r="QTU176" s="146"/>
      <c r="QTV176" s="146"/>
      <c r="QTW176" s="146"/>
      <c r="QTX176" s="146"/>
      <c r="QTY176" s="146"/>
      <c r="QTZ176" s="146"/>
      <c r="QUA176" s="146"/>
      <c r="QUB176" s="146"/>
      <c r="QUC176" s="146"/>
      <c r="QUD176" s="146"/>
      <c r="QUE176" s="146"/>
      <c r="QUF176" s="146"/>
      <c r="QUG176" s="146"/>
      <c r="QUH176" s="146"/>
      <c r="QUI176" s="146"/>
      <c r="QUJ176" s="146"/>
      <c r="QUK176" s="146"/>
      <c r="QUL176" s="146"/>
      <c r="QUM176" s="146"/>
      <c r="QUN176" s="146"/>
      <c r="QUO176" s="146"/>
      <c r="QUP176" s="146"/>
      <c r="QUQ176" s="146"/>
      <c r="QUR176" s="146"/>
      <c r="QUS176" s="146"/>
      <c r="QUT176" s="146"/>
      <c r="QUU176" s="146"/>
      <c r="QUV176" s="146"/>
      <c r="QUW176" s="146"/>
      <c r="QUX176" s="146"/>
      <c r="QUY176" s="146"/>
      <c r="QUZ176" s="146"/>
      <c r="QVA176" s="146"/>
      <c r="QVB176" s="146"/>
      <c r="QVC176" s="146"/>
      <c r="QVD176" s="146"/>
      <c r="QVE176" s="146"/>
      <c r="QVF176" s="146"/>
      <c r="QVG176" s="146"/>
      <c r="QVH176" s="146"/>
      <c r="QVI176" s="146"/>
      <c r="QVJ176" s="146"/>
      <c r="QVK176" s="146"/>
      <c r="QVL176" s="146"/>
      <c r="QVM176" s="146"/>
      <c r="QVN176" s="146"/>
      <c r="QVO176" s="146"/>
      <c r="QVP176" s="146"/>
      <c r="QVQ176" s="146"/>
      <c r="QVR176" s="146"/>
      <c r="QVS176" s="146"/>
      <c r="QVT176" s="146"/>
      <c r="QVU176" s="146"/>
      <c r="QVV176" s="146"/>
      <c r="QVW176" s="146"/>
      <c r="QVX176" s="146"/>
      <c r="QVY176" s="146"/>
      <c r="QVZ176" s="146"/>
      <c r="QWA176" s="146"/>
      <c r="QWB176" s="146"/>
      <c r="QWC176" s="146"/>
      <c r="QWD176" s="146"/>
      <c r="QWE176" s="146"/>
      <c r="QWF176" s="146"/>
      <c r="QWG176" s="146"/>
      <c r="QWH176" s="146"/>
      <c r="QWI176" s="146"/>
      <c r="QWJ176" s="146"/>
      <c r="QWK176" s="146"/>
      <c r="QWL176" s="146"/>
      <c r="QWM176" s="146"/>
      <c r="QWN176" s="146"/>
      <c r="QWO176" s="146"/>
      <c r="QWP176" s="146"/>
      <c r="QWQ176" s="146"/>
      <c r="QWR176" s="146"/>
      <c r="QWS176" s="146"/>
      <c r="QWT176" s="146"/>
      <c r="QWU176" s="146"/>
      <c r="QWV176" s="146"/>
      <c r="QWW176" s="146"/>
      <c r="QWX176" s="146"/>
      <c r="QWY176" s="146"/>
      <c r="QWZ176" s="146"/>
      <c r="QXA176" s="146"/>
      <c r="QXB176" s="146"/>
      <c r="QXC176" s="146"/>
      <c r="QXD176" s="146"/>
      <c r="QXE176" s="146"/>
      <c r="QXF176" s="146"/>
      <c r="QXG176" s="146"/>
      <c r="QXH176" s="146"/>
      <c r="QXI176" s="146"/>
      <c r="QXJ176" s="146"/>
      <c r="QXK176" s="146"/>
      <c r="QXL176" s="146"/>
      <c r="QXM176" s="146"/>
      <c r="QXN176" s="146"/>
      <c r="QXO176" s="146"/>
      <c r="QXP176" s="146"/>
      <c r="QXQ176" s="146"/>
      <c r="QXR176" s="146"/>
      <c r="QXS176" s="146"/>
      <c r="QXT176" s="146"/>
      <c r="QXU176" s="146"/>
      <c r="QXV176" s="146"/>
      <c r="QXW176" s="146"/>
      <c r="QXX176" s="146"/>
      <c r="QXY176" s="146"/>
      <c r="QXZ176" s="146"/>
      <c r="QYA176" s="146"/>
      <c r="QYB176" s="146"/>
      <c r="QYC176" s="146"/>
      <c r="QYD176" s="146"/>
      <c r="QYE176" s="146"/>
      <c r="QYF176" s="146"/>
      <c r="QYG176" s="146"/>
      <c r="QYH176" s="146"/>
      <c r="QYI176" s="146"/>
      <c r="QYJ176" s="146"/>
      <c r="QYK176" s="146"/>
      <c r="QYL176" s="146"/>
      <c r="QYM176" s="146"/>
      <c r="QYN176" s="146"/>
      <c r="QYO176" s="146"/>
      <c r="QYP176" s="146"/>
      <c r="QYQ176" s="146"/>
      <c r="QYR176" s="146"/>
      <c r="QYS176" s="146"/>
      <c r="QYT176" s="146"/>
      <c r="QYU176" s="146"/>
      <c r="QYV176" s="146"/>
      <c r="QYW176" s="146"/>
      <c r="QYX176" s="146"/>
      <c r="QYY176" s="146"/>
      <c r="QYZ176" s="146"/>
      <c r="QZA176" s="146"/>
      <c r="QZB176" s="146"/>
      <c r="QZC176" s="146"/>
      <c r="QZD176" s="146"/>
      <c r="QZE176" s="146"/>
      <c r="QZF176" s="146"/>
      <c r="QZG176" s="146"/>
      <c r="QZH176" s="146"/>
      <c r="QZI176" s="146"/>
      <c r="QZJ176" s="146"/>
      <c r="QZK176" s="146"/>
      <c r="QZL176" s="146"/>
      <c r="QZM176" s="146"/>
      <c r="QZN176" s="146"/>
      <c r="QZO176" s="146"/>
      <c r="QZP176" s="146"/>
      <c r="QZQ176" s="146"/>
      <c r="QZR176" s="146"/>
      <c r="QZS176" s="146"/>
      <c r="QZT176" s="146"/>
      <c r="QZU176" s="146"/>
      <c r="QZV176" s="146"/>
      <c r="QZW176" s="146"/>
      <c r="QZX176" s="146"/>
      <c r="QZY176" s="146"/>
      <c r="QZZ176" s="146"/>
      <c r="RAA176" s="146"/>
      <c r="RAB176" s="146"/>
      <c r="RAC176" s="146"/>
      <c r="RAD176" s="146"/>
      <c r="RAE176" s="146"/>
      <c r="RAF176" s="146"/>
      <c r="RAG176" s="146"/>
      <c r="RAH176" s="146"/>
      <c r="RAI176" s="146"/>
      <c r="RAJ176" s="146"/>
      <c r="RAK176" s="146"/>
      <c r="RAL176" s="146"/>
      <c r="RAM176" s="146"/>
      <c r="RAN176" s="146"/>
      <c r="RAO176" s="146"/>
      <c r="RAP176" s="146"/>
      <c r="RAQ176" s="146"/>
      <c r="RAR176" s="146"/>
      <c r="RAS176" s="146"/>
      <c r="RAT176" s="146"/>
      <c r="RAU176" s="146"/>
      <c r="RAV176" s="146"/>
      <c r="RAW176" s="146"/>
      <c r="RAX176" s="146"/>
      <c r="RAY176" s="146"/>
      <c r="RAZ176" s="146"/>
      <c r="RBA176" s="146"/>
      <c r="RBB176" s="146"/>
      <c r="RBC176" s="146"/>
      <c r="RBD176" s="146"/>
      <c r="RBE176" s="146"/>
      <c r="RBF176" s="146"/>
      <c r="RBG176" s="146"/>
      <c r="RBH176" s="146"/>
      <c r="RBI176" s="146"/>
      <c r="RBJ176" s="146"/>
      <c r="RBK176" s="146"/>
      <c r="RBL176" s="146"/>
      <c r="RBM176" s="146"/>
      <c r="RBN176" s="146"/>
      <c r="RBO176" s="146"/>
      <c r="RBP176" s="146"/>
      <c r="RBQ176" s="146"/>
      <c r="RBR176" s="146"/>
      <c r="RBS176" s="146"/>
      <c r="RBT176" s="146"/>
      <c r="RBU176" s="146"/>
      <c r="RBV176" s="146"/>
      <c r="RBW176" s="146"/>
      <c r="RBX176" s="146"/>
      <c r="RBY176" s="146"/>
      <c r="RBZ176" s="146"/>
      <c r="RCA176" s="146"/>
      <c r="RCB176" s="146"/>
      <c r="RCC176" s="146"/>
      <c r="RCD176" s="146"/>
      <c r="RCE176" s="146"/>
      <c r="RCF176" s="146"/>
      <c r="RCG176" s="146"/>
      <c r="RCH176" s="146"/>
      <c r="RCI176" s="146"/>
      <c r="RCJ176" s="146"/>
      <c r="RCK176" s="146"/>
      <c r="RCL176" s="146"/>
      <c r="RCM176" s="146"/>
      <c r="RCN176" s="146"/>
      <c r="RCO176" s="146"/>
      <c r="RCP176" s="146"/>
      <c r="RCQ176" s="146"/>
      <c r="RCR176" s="146"/>
      <c r="RCS176" s="146"/>
      <c r="RCT176" s="146"/>
      <c r="RCU176" s="146"/>
      <c r="RCV176" s="146"/>
      <c r="RCW176" s="146"/>
      <c r="RCX176" s="146"/>
      <c r="RCY176" s="146"/>
      <c r="RCZ176" s="146"/>
      <c r="RDA176" s="146"/>
      <c r="RDB176" s="146"/>
      <c r="RDC176" s="146"/>
      <c r="RDD176" s="146"/>
      <c r="RDE176" s="146"/>
      <c r="RDF176" s="146"/>
      <c r="RDG176" s="146"/>
      <c r="RDH176" s="146"/>
      <c r="RDI176" s="146"/>
      <c r="RDJ176" s="146"/>
      <c r="RDK176" s="146"/>
      <c r="RDL176" s="146"/>
      <c r="RDM176" s="146"/>
      <c r="RDN176" s="146"/>
      <c r="RDO176" s="146"/>
      <c r="RDP176" s="146"/>
      <c r="RDQ176" s="146"/>
      <c r="RDR176" s="146"/>
      <c r="RDS176" s="146"/>
      <c r="RDT176" s="146"/>
      <c r="RDU176" s="146"/>
      <c r="RDV176" s="146"/>
      <c r="RDW176" s="146"/>
      <c r="RDX176" s="146"/>
      <c r="RDY176" s="146"/>
      <c r="RDZ176" s="146"/>
      <c r="REA176" s="146"/>
      <c r="REB176" s="146"/>
      <c r="REC176" s="146"/>
      <c r="RED176" s="146"/>
      <c r="REE176" s="146"/>
      <c r="REF176" s="146"/>
      <c r="REG176" s="146"/>
      <c r="REH176" s="146"/>
      <c r="REI176" s="146"/>
      <c r="REJ176" s="146"/>
      <c r="REK176" s="146"/>
      <c r="REL176" s="146"/>
      <c r="REM176" s="146"/>
      <c r="REN176" s="146"/>
      <c r="REO176" s="146"/>
      <c r="REP176" s="146"/>
      <c r="REQ176" s="146"/>
      <c r="RER176" s="146"/>
      <c r="RES176" s="146"/>
      <c r="RET176" s="146"/>
      <c r="REU176" s="146"/>
      <c r="REV176" s="146"/>
      <c r="REW176" s="146"/>
      <c r="REX176" s="146"/>
      <c r="REY176" s="146"/>
      <c r="REZ176" s="146"/>
      <c r="RFA176" s="146"/>
      <c r="RFB176" s="146"/>
      <c r="RFC176" s="146"/>
      <c r="RFD176" s="146"/>
      <c r="RFE176" s="146"/>
      <c r="RFF176" s="146"/>
      <c r="RFG176" s="146"/>
      <c r="RFH176" s="146"/>
      <c r="RFI176" s="146"/>
      <c r="RFJ176" s="146"/>
      <c r="RFK176" s="146"/>
      <c r="RFL176" s="146"/>
      <c r="RFM176" s="146"/>
      <c r="RFN176" s="146"/>
      <c r="RFO176" s="146"/>
      <c r="RFP176" s="146"/>
      <c r="RFQ176" s="146"/>
      <c r="RFR176" s="146"/>
      <c r="RFS176" s="146"/>
      <c r="RFT176" s="146"/>
      <c r="RFU176" s="146"/>
      <c r="RFV176" s="146"/>
      <c r="RFW176" s="146"/>
      <c r="RFX176" s="146"/>
      <c r="RFY176" s="146"/>
      <c r="RFZ176" s="146"/>
      <c r="RGA176" s="146"/>
      <c r="RGB176" s="146"/>
      <c r="RGC176" s="146"/>
      <c r="RGD176" s="146"/>
      <c r="RGE176" s="146"/>
      <c r="RGF176" s="146"/>
      <c r="RGG176" s="146"/>
      <c r="RGH176" s="146"/>
      <c r="RGI176" s="146"/>
      <c r="RGJ176" s="146"/>
      <c r="RGK176" s="146"/>
      <c r="RGL176" s="146"/>
      <c r="RGM176" s="146"/>
      <c r="RGN176" s="146"/>
      <c r="RGO176" s="146"/>
      <c r="RGP176" s="146"/>
      <c r="RGQ176" s="146"/>
      <c r="RGR176" s="146"/>
      <c r="RGS176" s="146"/>
      <c r="RGT176" s="146"/>
      <c r="RGU176" s="146"/>
      <c r="RGV176" s="146"/>
      <c r="RGW176" s="146"/>
      <c r="RGX176" s="146"/>
      <c r="RGY176" s="146"/>
      <c r="RGZ176" s="146"/>
      <c r="RHA176" s="146"/>
      <c r="RHB176" s="146"/>
      <c r="RHC176" s="146"/>
      <c r="RHD176" s="146"/>
      <c r="RHE176" s="146"/>
      <c r="RHF176" s="146"/>
      <c r="RHG176" s="146"/>
      <c r="RHH176" s="146"/>
      <c r="RHI176" s="146"/>
      <c r="RHJ176" s="146"/>
      <c r="RHK176" s="146"/>
      <c r="RHL176" s="146"/>
      <c r="RHM176" s="146"/>
      <c r="RHN176" s="146"/>
      <c r="RHO176" s="146"/>
      <c r="RHP176" s="146"/>
      <c r="RHQ176" s="146"/>
      <c r="RHR176" s="146"/>
      <c r="RHS176" s="146"/>
      <c r="RHT176" s="146"/>
      <c r="RHU176" s="146"/>
      <c r="RHV176" s="146"/>
      <c r="RHW176" s="146"/>
      <c r="RHX176" s="146"/>
      <c r="RHY176" s="146"/>
      <c r="RHZ176" s="146"/>
      <c r="RIA176" s="146"/>
      <c r="RIB176" s="146"/>
      <c r="RIC176" s="146"/>
      <c r="RID176" s="146"/>
      <c r="RIE176" s="146"/>
      <c r="RIF176" s="146"/>
      <c r="RIG176" s="146"/>
      <c r="RIH176" s="146"/>
      <c r="RII176" s="146"/>
      <c r="RIJ176" s="146"/>
      <c r="RIK176" s="146"/>
      <c r="RIL176" s="146"/>
      <c r="RIM176" s="146"/>
      <c r="RIN176" s="146"/>
      <c r="RIO176" s="146"/>
      <c r="RIP176" s="146"/>
      <c r="RIQ176" s="146"/>
      <c r="RIR176" s="146"/>
      <c r="RIS176" s="146"/>
      <c r="RIT176" s="146"/>
      <c r="RIU176" s="146"/>
      <c r="RIV176" s="146"/>
      <c r="RIW176" s="146"/>
      <c r="RIX176" s="146"/>
      <c r="RIY176" s="146"/>
      <c r="RIZ176" s="146"/>
      <c r="RJA176" s="146"/>
      <c r="RJB176" s="146"/>
      <c r="RJC176" s="146"/>
      <c r="RJD176" s="146"/>
      <c r="RJE176" s="146"/>
      <c r="RJF176" s="146"/>
      <c r="RJG176" s="146"/>
      <c r="RJH176" s="146"/>
      <c r="RJI176" s="146"/>
      <c r="RJJ176" s="146"/>
      <c r="RJK176" s="146"/>
      <c r="RJL176" s="146"/>
      <c r="RJM176" s="146"/>
      <c r="RJN176" s="146"/>
      <c r="RJO176" s="146"/>
      <c r="RJP176" s="146"/>
      <c r="RJQ176" s="146"/>
      <c r="RJR176" s="146"/>
      <c r="RJS176" s="146"/>
      <c r="RJT176" s="146"/>
      <c r="RJU176" s="146"/>
      <c r="RJV176" s="146"/>
      <c r="RJW176" s="146"/>
      <c r="RJX176" s="146"/>
      <c r="RJY176" s="146"/>
      <c r="RJZ176" s="146"/>
      <c r="RKA176" s="146"/>
      <c r="RKB176" s="146"/>
      <c r="RKC176" s="146"/>
      <c r="RKD176" s="146"/>
      <c r="RKE176" s="146"/>
      <c r="RKF176" s="146"/>
      <c r="RKG176" s="146"/>
      <c r="RKH176" s="146"/>
      <c r="RKI176" s="146"/>
      <c r="RKJ176" s="146"/>
      <c r="RKK176" s="146"/>
      <c r="RKL176" s="146"/>
      <c r="RKM176" s="146"/>
      <c r="RKN176" s="146"/>
      <c r="RKO176" s="146"/>
      <c r="RKP176" s="146"/>
      <c r="RKQ176" s="146"/>
      <c r="RKR176" s="146"/>
      <c r="RKS176" s="146"/>
      <c r="RKT176" s="146"/>
      <c r="RKU176" s="146"/>
      <c r="RKV176" s="146"/>
      <c r="RKW176" s="146"/>
      <c r="RKX176" s="146"/>
      <c r="RKY176" s="146"/>
      <c r="RKZ176" s="146"/>
      <c r="RLA176" s="146"/>
      <c r="RLB176" s="146"/>
      <c r="RLC176" s="146"/>
      <c r="RLD176" s="146"/>
      <c r="RLE176" s="146"/>
      <c r="RLF176" s="146"/>
      <c r="RLG176" s="146"/>
      <c r="RLH176" s="146"/>
      <c r="RLI176" s="146"/>
      <c r="RLJ176" s="146"/>
      <c r="RLK176" s="146"/>
      <c r="RLL176" s="146"/>
      <c r="RLM176" s="146"/>
      <c r="RLN176" s="146"/>
      <c r="RLO176" s="146"/>
      <c r="RLP176" s="146"/>
      <c r="RLQ176" s="146"/>
      <c r="RLR176" s="146"/>
      <c r="RLS176" s="146"/>
      <c r="RLT176" s="146"/>
      <c r="RLU176" s="146"/>
      <c r="RLV176" s="146"/>
      <c r="RLW176" s="146"/>
      <c r="RLX176" s="146"/>
      <c r="RLY176" s="146"/>
      <c r="RLZ176" s="146"/>
      <c r="RMA176" s="146"/>
      <c r="RMB176" s="146"/>
      <c r="RMC176" s="146"/>
      <c r="RMD176" s="146"/>
      <c r="RME176" s="146"/>
      <c r="RMF176" s="146"/>
      <c r="RMG176" s="146"/>
      <c r="RMH176" s="146"/>
      <c r="RMI176" s="146"/>
      <c r="RMJ176" s="146"/>
      <c r="RMK176" s="146"/>
      <c r="RML176" s="146"/>
      <c r="RMM176" s="146"/>
      <c r="RMN176" s="146"/>
      <c r="RMO176" s="146"/>
      <c r="RMP176" s="146"/>
      <c r="RMQ176" s="146"/>
      <c r="RMR176" s="146"/>
      <c r="RMS176" s="146"/>
      <c r="RMT176" s="146"/>
      <c r="RMU176" s="146"/>
      <c r="RMV176" s="146"/>
      <c r="RMW176" s="146"/>
      <c r="RMX176" s="146"/>
      <c r="RMY176" s="146"/>
      <c r="RMZ176" s="146"/>
      <c r="RNA176" s="146"/>
      <c r="RNB176" s="146"/>
      <c r="RNC176" s="146"/>
      <c r="RND176" s="146"/>
      <c r="RNE176" s="146"/>
      <c r="RNF176" s="146"/>
      <c r="RNG176" s="146"/>
      <c r="RNH176" s="146"/>
      <c r="RNI176" s="146"/>
      <c r="RNJ176" s="146"/>
      <c r="RNK176" s="146"/>
      <c r="RNL176" s="146"/>
      <c r="RNM176" s="146"/>
      <c r="RNN176" s="146"/>
      <c r="RNO176" s="146"/>
      <c r="RNP176" s="146"/>
      <c r="RNQ176" s="146"/>
      <c r="RNR176" s="146"/>
      <c r="RNS176" s="146"/>
      <c r="RNT176" s="146"/>
      <c r="RNU176" s="146"/>
      <c r="RNV176" s="146"/>
      <c r="RNW176" s="146"/>
      <c r="RNX176" s="146"/>
      <c r="RNY176" s="146"/>
      <c r="RNZ176" s="146"/>
      <c r="ROA176" s="146"/>
      <c r="ROB176" s="146"/>
      <c r="ROC176" s="146"/>
      <c r="ROD176" s="146"/>
      <c r="ROE176" s="146"/>
      <c r="ROF176" s="146"/>
      <c r="ROG176" s="146"/>
      <c r="ROH176" s="146"/>
      <c r="ROI176" s="146"/>
      <c r="ROJ176" s="146"/>
      <c r="ROK176" s="146"/>
      <c r="ROL176" s="146"/>
      <c r="ROM176" s="146"/>
      <c r="RON176" s="146"/>
      <c r="ROO176" s="146"/>
      <c r="ROP176" s="146"/>
      <c r="ROQ176" s="146"/>
      <c r="ROR176" s="146"/>
      <c r="ROS176" s="146"/>
      <c r="ROT176" s="146"/>
      <c r="ROU176" s="146"/>
      <c r="ROV176" s="146"/>
      <c r="ROW176" s="146"/>
      <c r="ROX176" s="146"/>
      <c r="ROY176" s="146"/>
      <c r="ROZ176" s="146"/>
      <c r="RPA176" s="146"/>
      <c r="RPB176" s="146"/>
      <c r="RPC176" s="146"/>
      <c r="RPD176" s="146"/>
      <c r="RPE176" s="146"/>
      <c r="RPF176" s="146"/>
      <c r="RPG176" s="146"/>
      <c r="RPH176" s="146"/>
      <c r="RPI176" s="146"/>
      <c r="RPJ176" s="146"/>
      <c r="RPK176" s="146"/>
      <c r="RPL176" s="146"/>
      <c r="RPM176" s="146"/>
      <c r="RPN176" s="146"/>
      <c r="RPO176" s="146"/>
      <c r="RPP176" s="146"/>
      <c r="RPQ176" s="146"/>
      <c r="RPR176" s="146"/>
      <c r="RPS176" s="146"/>
      <c r="RPT176" s="146"/>
      <c r="RPU176" s="146"/>
      <c r="RPV176" s="146"/>
      <c r="RPW176" s="146"/>
      <c r="RPX176" s="146"/>
      <c r="RPY176" s="146"/>
      <c r="RPZ176" s="146"/>
      <c r="RQA176" s="146"/>
      <c r="RQB176" s="146"/>
      <c r="RQC176" s="146"/>
      <c r="RQD176" s="146"/>
      <c r="RQE176" s="146"/>
      <c r="RQF176" s="146"/>
      <c r="RQG176" s="146"/>
      <c r="RQH176" s="146"/>
      <c r="RQI176" s="146"/>
      <c r="RQJ176" s="146"/>
      <c r="RQK176" s="146"/>
      <c r="RQL176" s="146"/>
      <c r="RQM176" s="146"/>
      <c r="RQN176" s="146"/>
      <c r="RQO176" s="146"/>
      <c r="RQP176" s="146"/>
      <c r="RQQ176" s="146"/>
      <c r="RQR176" s="146"/>
      <c r="RQS176" s="146"/>
      <c r="RQT176" s="146"/>
      <c r="RQU176" s="146"/>
      <c r="RQV176" s="146"/>
      <c r="RQW176" s="146"/>
      <c r="RQX176" s="146"/>
      <c r="RQY176" s="146"/>
      <c r="RQZ176" s="146"/>
      <c r="RRA176" s="146"/>
      <c r="RRB176" s="146"/>
      <c r="RRC176" s="146"/>
      <c r="RRD176" s="146"/>
      <c r="RRE176" s="146"/>
      <c r="RRF176" s="146"/>
      <c r="RRG176" s="146"/>
      <c r="RRH176" s="146"/>
      <c r="RRI176" s="146"/>
      <c r="RRJ176" s="146"/>
      <c r="RRK176" s="146"/>
      <c r="RRL176" s="146"/>
      <c r="RRM176" s="146"/>
      <c r="RRN176" s="146"/>
      <c r="RRO176" s="146"/>
      <c r="RRP176" s="146"/>
      <c r="RRQ176" s="146"/>
      <c r="RRR176" s="146"/>
      <c r="RRS176" s="146"/>
      <c r="RRT176" s="146"/>
      <c r="RRU176" s="146"/>
      <c r="RRV176" s="146"/>
      <c r="RRW176" s="146"/>
      <c r="RRX176" s="146"/>
      <c r="RRY176" s="146"/>
      <c r="RRZ176" s="146"/>
      <c r="RSA176" s="146"/>
      <c r="RSB176" s="146"/>
      <c r="RSC176" s="146"/>
      <c r="RSD176" s="146"/>
      <c r="RSE176" s="146"/>
      <c r="RSF176" s="146"/>
      <c r="RSG176" s="146"/>
      <c r="RSH176" s="146"/>
      <c r="RSI176" s="146"/>
      <c r="RSJ176" s="146"/>
      <c r="RSK176" s="146"/>
      <c r="RSL176" s="146"/>
      <c r="RSM176" s="146"/>
      <c r="RSN176" s="146"/>
      <c r="RSO176" s="146"/>
      <c r="RSP176" s="146"/>
      <c r="RSQ176" s="146"/>
      <c r="RSR176" s="146"/>
      <c r="RSS176" s="146"/>
      <c r="RST176" s="146"/>
      <c r="RSU176" s="146"/>
      <c r="RSV176" s="146"/>
      <c r="RSW176" s="146"/>
      <c r="RSX176" s="146"/>
      <c r="RSY176" s="146"/>
      <c r="RSZ176" s="146"/>
      <c r="RTA176" s="146"/>
      <c r="RTB176" s="146"/>
      <c r="RTC176" s="146"/>
      <c r="RTD176" s="146"/>
      <c r="RTE176" s="146"/>
      <c r="RTF176" s="146"/>
      <c r="RTG176" s="146"/>
      <c r="RTH176" s="146"/>
      <c r="RTI176" s="146"/>
      <c r="RTJ176" s="146"/>
      <c r="RTK176" s="146"/>
      <c r="RTL176" s="146"/>
      <c r="RTM176" s="146"/>
      <c r="RTN176" s="146"/>
      <c r="RTO176" s="146"/>
      <c r="RTP176" s="146"/>
      <c r="RTQ176" s="146"/>
      <c r="RTR176" s="146"/>
      <c r="RTS176" s="146"/>
      <c r="RTT176" s="146"/>
      <c r="RTU176" s="146"/>
      <c r="RTV176" s="146"/>
      <c r="RTW176" s="146"/>
      <c r="RTX176" s="146"/>
      <c r="RTY176" s="146"/>
      <c r="RTZ176" s="146"/>
      <c r="RUA176" s="146"/>
      <c r="RUB176" s="146"/>
      <c r="RUC176" s="146"/>
      <c r="RUD176" s="146"/>
      <c r="RUE176" s="146"/>
      <c r="RUF176" s="146"/>
      <c r="RUG176" s="146"/>
      <c r="RUH176" s="146"/>
      <c r="RUI176" s="146"/>
      <c r="RUJ176" s="146"/>
      <c r="RUK176" s="146"/>
      <c r="RUL176" s="146"/>
      <c r="RUM176" s="146"/>
      <c r="RUN176" s="146"/>
      <c r="RUO176" s="146"/>
      <c r="RUP176" s="146"/>
      <c r="RUQ176" s="146"/>
      <c r="RUR176" s="146"/>
      <c r="RUS176" s="146"/>
      <c r="RUT176" s="146"/>
      <c r="RUU176" s="146"/>
      <c r="RUV176" s="146"/>
      <c r="RUW176" s="146"/>
      <c r="RUX176" s="146"/>
      <c r="RUY176" s="146"/>
      <c r="RUZ176" s="146"/>
      <c r="RVA176" s="146"/>
      <c r="RVB176" s="146"/>
      <c r="RVC176" s="146"/>
      <c r="RVD176" s="146"/>
      <c r="RVE176" s="146"/>
      <c r="RVF176" s="146"/>
      <c r="RVG176" s="146"/>
      <c r="RVH176" s="146"/>
      <c r="RVI176" s="146"/>
      <c r="RVJ176" s="146"/>
      <c r="RVK176" s="146"/>
      <c r="RVL176" s="146"/>
      <c r="RVM176" s="146"/>
      <c r="RVN176" s="146"/>
      <c r="RVO176" s="146"/>
      <c r="RVP176" s="146"/>
      <c r="RVQ176" s="146"/>
      <c r="RVR176" s="146"/>
      <c r="RVS176" s="146"/>
      <c r="RVT176" s="146"/>
      <c r="RVU176" s="146"/>
      <c r="RVV176" s="146"/>
      <c r="RVW176" s="146"/>
      <c r="RVX176" s="146"/>
      <c r="RVY176" s="146"/>
      <c r="RVZ176" s="146"/>
      <c r="RWA176" s="146"/>
      <c r="RWB176" s="146"/>
      <c r="RWC176" s="146"/>
      <c r="RWD176" s="146"/>
      <c r="RWE176" s="146"/>
      <c r="RWF176" s="146"/>
      <c r="RWG176" s="146"/>
      <c r="RWH176" s="146"/>
      <c r="RWI176" s="146"/>
      <c r="RWJ176" s="146"/>
      <c r="RWK176" s="146"/>
      <c r="RWL176" s="146"/>
      <c r="RWM176" s="146"/>
      <c r="RWN176" s="146"/>
      <c r="RWO176" s="146"/>
      <c r="RWP176" s="146"/>
      <c r="RWQ176" s="146"/>
      <c r="RWR176" s="146"/>
      <c r="RWS176" s="146"/>
      <c r="RWT176" s="146"/>
      <c r="RWU176" s="146"/>
      <c r="RWV176" s="146"/>
      <c r="RWW176" s="146"/>
      <c r="RWX176" s="146"/>
      <c r="RWY176" s="146"/>
      <c r="RWZ176" s="146"/>
      <c r="RXA176" s="146"/>
      <c r="RXB176" s="146"/>
      <c r="RXC176" s="146"/>
      <c r="RXD176" s="146"/>
      <c r="RXE176" s="146"/>
      <c r="RXF176" s="146"/>
      <c r="RXG176" s="146"/>
      <c r="RXH176" s="146"/>
      <c r="RXI176" s="146"/>
      <c r="RXJ176" s="146"/>
      <c r="RXK176" s="146"/>
      <c r="RXL176" s="146"/>
      <c r="RXM176" s="146"/>
      <c r="RXN176" s="146"/>
      <c r="RXO176" s="146"/>
      <c r="RXP176" s="146"/>
      <c r="RXQ176" s="146"/>
      <c r="RXR176" s="146"/>
      <c r="RXS176" s="146"/>
      <c r="RXT176" s="146"/>
      <c r="RXU176" s="146"/>
      <c r="RXV176" s="146"/>
      <c r="RXW176" s="146"/>
      <c r="RXX176" s="146"/>
      <c r="RXY176" s="146"/>
      <c r="RXZ176" s="146"/>
      <c r="RYA176" s="146"/>
      <c r="RYB176" s="146"/>
      <c r="RYC176" s="146"/>
      <c r="RYD176" s="146"/>
      <c r="RYE176" s="146"/>
      <c r="RYF176" s="146"/>
      <c r="RYG176" s="146"/>
      <c r="RYH176" s="146"/>
      <c r="RYI176" s="146"/>
      <c r="RYJ176" s="146"/>
      <c r="RYK176" s="146"/>
      <c r="RYL176" s="146"/>
      <c r="RYM176" s="146"/>
      <c r="RYN176" s="146"/>
      <c r="RYO176" s="146"/>
      <c r="RYP176" s="146"/>
      <c r="RYQ176" s="146"/>
      <c r="RYR176" s="146"/>
      <c r="RYS176" s="146"/>
      <c r="RYT176" s="146"/>
      <c r="RYU176" s="146"/>
      <c r="RYV176" s="146"/>
      <c r="RYW176" s="146"/>
      <c r="RYX176" s="146"/>
      <c r="RYY176" s="146"/>
      <c r="RYZ176" s="146"/>
      <c r="RZA176" s="146"/>
      <c r="RZB176" s="146"/>
      <c r="RZC176" s="146"/>
      <c r="RZD176" s="146"/>
      <c r="RZE176" s="146"/>
      <c r="RZF176" s="146"/>
      <c r="RZG176" s="146"/>
      <c r="RZH176" s="146"/>
      <c r="RZI176" s="146"/>
      <c r="RZJ176" s="146"/>
      <c r="RZK176" s="146"/>
      <c r="RZL176" s="146"/>
      <c r="RZM176" s="146"/>
      <c r="RZN176" s="146"/>
      <c r="RZO176" s="146"/>
      <c r="RZP176" s="146"/>
      <c r="RZQ176" s="146"/>
      <c r="RZR176" s="146"/>
      <c r="RZS176" s="146"/>
      <c r="RZT176" s="146"/>
      <c r="RZU176" s="146"/>
      <c r="RZV176" s="146"/>
      <c r="RZW176" s="146"/>
      <c r="RZX176" s="146"/>
      <c r="RZY176" s="146"/>
      <c r="RZZ176" s="146"/>
      <c r="SAA176" s="146"/>
      <c r="SAB176" s="146"/>
      <c r="SAC176" s="146"/>
      <c r="SAD176" s="146"/>
      <c r="SAE176" s="146"/>
      <c r="SAF176" s="146"/>
      <c r="SAG176" s="146"/>
      <c r="SAH176" s="146"/>
      <c r="SAI176" s="146"/>
      <c r="SAJ176" s="146"/>
      <c r="SAK176" s="146"/>
      <c r="SAL176" s="146"/>
      <c r="SAM176" s="146"/>
      <c r="SAN176" s="146"/>
      <c r="SAO176" s="146"/>
      <c r="SAP176" s="146"/>
      <c r="SAQ176" s="146"/>
      <c r="SAR176" s="146"/>
      <c r="SAS176" s="146"/>
      <c r="SAT176" s="146"/>
      <c r="SAU176" s="146"/>
      <c r="SAV176" s="146"/>
      <c r="SAW176" s="146"/>
      <c r="SAX176" s="146"/>
      <c r="SAY176" s="146"/>
      <c r="SAZ176" s="146"/>
      <c r="SBA176" s="146"/>
      <c r="SBB176" s="146"/>
      <c r="SBC176" s="146"/>
      <c r="SBD176" s="146"/>
      <c r="SBE176" s="146"/>
      <c r="SBF176" s="146"/>
      <c r="SBG176" s="146"/>
      <c r="SBH176" s="146"/>
      <c r="SBI176" s="146"/>
      <c r="SBJ176" s="146"/>
      <c r="SBK176" s="146"/>
      <c r="SBL176" s="146"/>
      <c r="SBM176" s="146"/>
      <c r="SBN176" s="146"/>
      <c r="SBO176" s="146"/>
      <c r="SBP176" s="146"/>
      <c r="SBQ176" s="146"/>
      <c r="SBR176" s="146"/>
      <c r="SBS176" s="146"/>
      <c r="SBT176" s="146"/>
      <c r="SBU176" s="146"/>
      <c r="SBV176" s="146"/>
      <c r="SBW176" s="146"/>
      <c r="SBX176" s="146"/>
      <c r="SBY176" s="146"/>
      <c r="SBZ176" s="146"/>
      <c r="SCA176" s="146"/>
      <c r="SCB176" s="146"/>
      <c r="SCC176" s="146"/>
      <c r="SCD176" s="146"/>
      <c r="SCE176" s="146"/>
      <c r="SCF176" s="146"/>
      <c r="SCG176" s="146"/>
      <c r="SCH176" s="146"/>
      <c r="SCI176" s="146"/>
      <c r="SCJ176" s="146"/>
      <c r="SCK176" s="146"/>
      <c r="SCL176" s="146"/>
      <c r="SCM176" s="146"/>
      <c r="SCN176" s="146"/>
      <c r="SCO176" s="146"/>
      <c r="SCP176" s="146"/>
      <c r="SCQ176" s="146"/>
      <c r="SCR176" s="146"/>
      <c r="SCS176" s="146"/>
      <c r="SCT176" s="146"/>
      <c r="SCU176" s="146"/>
      <c r="SCV176" s="146"/>
      <c r="SCW176" s="146"/>
      <c r="SCX176" s="146"/>
      <c r="SCY176" s="146"/>
      <c r="SCZ176" s="146"/>
      <c r="SDA176" s="146"/>
      <c r="SDB176" s="146"/>
      <c r="SDC176" s="146"/>
      <c r="SDD176" s="146"/>
      <c r="SDE176" s="146"/>
      <c r="SDF176" s="146"/>
      <c r="SDG176" s="146"/>
      <c r="SDH176" s="146"/>
      <c r="SDI176" s="146"/>
      <c r="SDJ176" s="146"/>
      <c r="SDK176" s="146"/>
      <c r="SDL176" s="146"/>
      <c r="SDM176" s="146"/>
      <c r="SDN176" s="146"/>
      <c r="SDO176" s="146"/>
      <c r="SDP176" s="146"/>
      <c r="SDQ176" s="146"/>
      <c r="SDR176" s="146"/>
      <c r="SDS176" s="146"/>
      <c r="SDT176" s="146"/>
      <c r="SDU176" s="146"/>
      <c r="SDV176" s="146"/>
      <c r="SDW176" s="146"/>
      <c r="SDX176" s="146"/>
      <c r="SDY176" s="146"/>
      <c r="SDZ176" s="146"/>
      <c r="SEA176" s="146"/>
      <c r="SEB176" s="146"/>
      <c r="SEC176" s="146"/>
      <c r="SED176" s="146"/>
      <c r="SEE176" s="146"/>
      <c r="SEF176" s="146"/>
      <c r="SEG176" s="146"/>
      <c r="SEH176" s="146"/>
      <c r="SEI176" s="146"/>
      <c r="SEJ176" s="146"/>
      <c r="SEK176" s="146"/>
      <c r="SEL176" s="146"/>
      <c r="SEM176" s="146"/>
      <c r="SEN176" s="146"/>
      <c r="SEO176" s="146"/>
      <c r="SEP176" s="146"/>
      <c r="SEQ176" s="146"/>
      <c r="SER176" s="146"/>
      <c r="SES176" s="146"/>
      <c r="SET176" s="146"/>
      <c r="SEU176" s="146"/>
      <c r="SEV176" s="146"/>
      <c r="SEW176" s="146"/>
      <c r="SEX176" s="146"/>
      <c r="SEY176" s="146"/>
      <c r="SEZ176" s="146"/>
      <c r="SFA176" s="146"/>
      <c r="SFB176" s="146"/>
      <c r="SFC176" s="146"/>
      <c r="SFD176" s="146"/>
      <c r="SFE176" s="146"/>
      <c r="SFF176" s="146"/>
      <c r="SFG176" s="146"/>
      <c r="SFH176" s="146"/>
      <c r="SFI176" s="146"/>
      <c r="SFJ176" s="146"/>
      <c r="SFK176" s="146"/>
      <c r="SFL176" s="146"/>
      <c r="SFM176" s="146"/>
      <c r="SFN176" s="146"/>
      <c r="SFO176" s="146"/>
      <c r="SFP176" s="146"/>
      <c r="SFQ176" s="146"/>
      <c r="SFR176" s="146"/>
      <c r="SFS176" s="146"/>
      <c r="SFT176" s="146"/>
      <c r="SFU176" s="146"/>
      <c r="SFV176" s="146"/>
      <c r="SFW176" s="146"/>
      <c r="SFX176" s="146"/>
      <c r="SFY176" s="146"/>
      <c r="SFZ176" s="146"/>
      <c r="SGA176" s="146"/>
      <c r="SGB176" s="146"/>
      <c r="SGC176" s="146"/>
      <c r="SGD176" s="146"/>
      <c r="SGE176" s="146"/>
      <c r="SGF176" s="146"/>
      <c r="SGG176" s="146"/>
      <c r="SGH176" s="146"/>
      <c r="SGI176" s="146"/>
      <c r="SGJ176" s="146"/>
      <c r="SGK176" s="146"/>
      <c r="SGL176" s="146"/>
      <c r="SGM176" s="146"/>
      <c r="SGN176" s="146"/>
      <c r="SGO176" s="146"/>
      <c r="SGP176" s="146"/>
      <c r="SGQ176" s="146"/>
      <c r="SGR176" s="146"/>
      <c r="SGS176" s="146"/>
      <c r="SGT176" s="146"/>
      <c r="SGU176" s="146"/>
      <c r="SGV176" s="146"/>
      <c r="SGW176" s="146"/>
      <c r="SGX176" s="146"/>
      <c r="SGY176" s="146"/>
      <c r="SGZ176" s="146"/>
      <c r="SHA176" s="146"/>
      <c r="SHB176" s="146"/>
      <c r="SHC176" s="146"/>
      <c r="SHD176" s="146"/>
      <c r="SHE176" s="146"/>
      <c r="SHF176" s="146"/>
      <c r="SHG176" s="146"/>
      <c r="SHH176" s="146"/>
      <c r="SHI176" s="146"/>
      <c r="SHJ176" s="146"/>
      <c r="SHK176" s="146"/>
      <c r="SHL176" s="146"/>
      <c r="SHM176" s="146"/>
      <c r="SHN176" s="146"/>
      <c r="SHO176" s="146"/>
      <c r="SHP176" s="146"/>
      <c r="SHQ176" s="146"/>
      <c r="SHR176" s="146"/>
      <c r="SHS176" s="146"/>
      <c r="SHT176" s="146"/>
      <c r="SHU176" s="146"/>
      <c r="SHV176" s="146"/>
      <c r="SHW176" s="146"/>
      <c r="SHX176" s="146"/>
      <c r="SHY176" s="146"/>
      <c r="SHZ176" s="146"/>
      <c r="SIA176" s="146"/>
      <c r="SIB176" s="146"/>
      <c r="SIC176" s="146"/>
      <c r="SID176" s="146"/>
      <c r="SIE176" s="146"/>
      <c r="SIF176" s="146"/>
      <c r="SIG176" s="146"/>
      <c r="SIH176" s="146"/>
      <c r="SII176" s="146"/>
      <c r="SIJ176" s="146"/>
      <c r="SIK176" s="146"/>
      <c r="SIL176" s="146"/>
      <c r="SIM176" s="146"/>
      <c r="SIN176" s="146"/>
      <c r="SIO176" s="146"/>
      <c r="SIP176" s="146"/>
      <c r="SIQ176" s="146"/>
      <c r="SIR176" s="146"/>
      <c r="SIS176" s="146"/>
      <c r="SIT176" s="146"/>
      <c r="SIU176" s="146"/>
      <c r="SIV176" s="146"/>
      <c r="SIW176" s="146"/>
      <c r="SIX176" s="146"/>
      <c r="SIY176" s="146"/>
      <c r="SIZ176" s="146"/>
      <c r="SJA176" s="146"/>
      <c r="SJB176" s="146"/>
      <c r="SJC176" s="146"/>
      <c r="SJD176" s="146"/>
      <c r="SJE176" s="146"/>
      <c r="SJF176" s="146"/>
      <c r="SJG176" s="146"/>
      <c r="SJH176" s="146"/>
      <c r="SJI176" s="146"/>
      <c r="SJJ176" s="146"/>
      <c r="SJK176" s="146"/>
      <c r="SJL176" s="146"/>
      <c r="SJM176" s="146"/>
      <c r="SJN176" s="146"/>
      <c r="SJO176" s="146"/>
      <c r="SJP176" s="146"/>
      <c r="SJQ176" s="146"/>
      <c r="SJR176" s="146"/>
      <c r="SJS176" s="146"/>
      <c r="SJT176" s="146"/>
      <c r="SJU176" s="146"/>
      <c r="SJV176" s="146"/>
      <c r="SJW176" s="146"/>
      <c r="SJX176" s="146"/>
      <c r="SJY176" s="146"/>
      <c r="SJZ176" s="146"/>
      <c r="SKA176" s="146"/>
      <c r="SKB176" s="146"/>
      <c r="SKC176" s="146"/>
      <c r="SKD176" s="146"/>
      <c r="SKE176" s="146"/>
      <c r="SKF176" s="146"/>
      <c r="SKG176" s="146"/>
      <c r="SKH176" s="146"/>
      <c r="SKI176" s="146"/>
      <c r="SKJ176" s="146"/>
      <c r="SKK176" s="146"/>
      <c r="SKL176" s="146"/>
      <c r="SKM176" s="146"/>
      <c r="SKN176" s="146"/>
      <c r="SKO176" s="146"/>
      <c r="SKP176" s="146"/>
      <c r="SKQ176" s="146"/>
      <c r="SKR176" s="146"/>
      <c r="SKS176" s="146"/>
      <c r="SKT176" s="146"/>
      <c r="SKU176" s="146"/>
      <c r="SKV176" s="146"/>
      <c r="SKW176" s="146"/>
      <c r="SKX176" s="146"/>
      <c r="SKY176" s="146"/>
      <c r="SKZ176" s="146"/>
      <c r="SLA176" s="146"/>
      <c r="SLB176" s="146"/>
      <c r="SLC176" s="146"/>
      <c r="SLD176" s="146"/>
      <c r="SLE176" s="146"/>
      <c r="SLF176" s="146"/>
      <c r="SLG176" s="146"/>
      <c r="SLH176" s="146"/>
      <c r="SLI176" s="146"/>
      <c r="SLJ176" s="146"/>
      <c r="SLK176" s="146"/>
      <c r="SLL176" s="146"/>
      <c r="SLM176" s="146"/>
      <c r="SLN176" s="146"/>
      <c r="SLO176" s="146"/>
      <c r="SLP176" s="146"/>
      <c r="SLQ176" s="146"/>
      <c r="SLR176" s="146"/>
      <c r="SLS176" s="146"/>
      <c r="SLT176" s="146"/>
      <c r="SLU176" s="146"/>
      <c r="SLV176" s="146"/>
      <c r="SLW176" s="146"/>
      <c r="SLX176" s="146"/>
      <c r="SLY176" s="146"/>
      <c r="SLZ176" s="146"/>
      <c r="SMA176" s="146"/>
      <c r="SMB176" s="146"/>
      <c r="SMC176" s="146"/>
      <c r="SMD176" s="146"/>
      <c r="SME176" s="146"/>
      <c r="SMF176" s="146"/>
      <c r="SMG176" s="146"/>
      <c r="SMH176" s="146"/>
      <c r="SMI176" s="146"/>
      <c r="SMJ176" s="146"/>
      <c r="SMK176" s="146"/>
      <c r="SML176" s="146"/>
      <c r="SMM176" s="146"/>
      <c r="SMN176" s="146"/>
      <c r="SMO176" s="146"/>
      <c r="SMP176" s="146"/>
      <c r="SMQ176" s="146"/>
      <c r="SMR176" s="146"/>
      <c r="SMS176" s="146"/>
      <c r="SMT176" s="146"/>
      <c r="SMU176" s="146"/>
      <c r="SMV176" s="146"/>
      <c r="SMW176" s="146"/>
      <c r="SMX176" s="146"/>
      <c r="SMY176" s="146"/>
      <c r="SMZ176" s="146"/>
      <c r="SNA176" s="146"/>
      <c r="SNB176" s="146"/>
      <c r="SNC176" s="146"/>
      <c r="SND176" s="146"/>
      <c r="SNE176" s="146"/>
      <c r="SNF176" s="146"/>
      <c r="SNG176" s="146"/>
      <c r="SNH176" s="146"/>
      <c r="SNI176" s="146"/>
      <c r="SNJ176" s="146"/>
      <c r="SNK176" s="146"/>
      <c r="SNL176" s="146"/>
      <c r="SNM176" s="146"/>
      <c r="SNN176" s="146"/>
      <c r="SNO176" s="146"/>
      <c r="SNP176" s="146"/>
      <c r="SNQ176" s="146"/>
      <c r="SNR176" s="146"/>
      <c r="SNS176" s="146"/>
      <c r="SNT176" s="146"/>
      <c r="SNU176" s="146"/>
      <c r="SNV176" s="146"/>
      <c r="SNW176" s="146"/>
      <c r="SNX176" s="146"/>
      <c r="SNY176" s="146"/>
      <c r="SNZ176" s="146"/>
      <c r="SOA176" s="146"/>
      <c r="SOB176" s="146"/>
      <c r="SOC176" s="146"/>
      <c r="SOD176" s="146"/>
      <c r="SOE176" s="146"/>
      <c r="SOF176" s="146"/>
      <c r="SOG176" s="146"/>
      <c r="SOH176" s="146"/>
      <c r="SOI176" s="146"/>
      <c r="SOJ176" s="146"/>
      <c r="SOK176" s="146"/>
      <c r="SOL176" s="146"/>
      <c r="SOM176" s="146"/>
      <c r="SON176" s="146"/>
      <c r="SOO176" s="146"/>
      <c r="SOP176" s="146"/>
      <c r="SOQ176" s="146"/>
      <c r="SOR176" s="146"/>
      <c r="SOS176" s="146"/>
      <c r="SOT176" s="146"/>
      <c r="SOU176" s="146"/>
      <c r="SOV176" s="146"/>
      <c r="SOW176" s="146"/>
      <c r="SOX176" s="146"/>
      <c r="SOY176" s="146"/>
      <c r="SOZ176" s="146"/>
      <c r="SPA176" s="146"/>
      <c r="SPB176" s="146"/>
      <c r="SPC176" s="146"/>
      <c r="SPD176" s="146"/>
      <c r="SPE176" s="146"/>
      <c r="SPF176" s="146"/>
      <c r="SPG176" s="146"/>
      <c r="SPH176" s="146"/>
      <c r="SPI176" s="146"/>
      <c r="SPJ176" s="146"/>
      <c r="SPK176" s="146"/>
      <c r="SPL176" s="146"/>
      <c r="SPM176" s="146"/>
      <c r="SPN176" s="146"/>
      <c r="SPO176" s="146"/>
      <c r="SPP176" s="146"/>
      <c r="SPQ176" s="146"/>
      <c r="SPR176" s="146"/>
      <c r="SPS176" s="146"/>
      <c r="SPT176" s="146"/>
      <c r="SPU176" s="146"/>
      <c r="SPV176" s="146"/>
      <c r="SPW176" s="146"/>
      <c r="SPX176" s="146"/>
      <c r="SPY176" s="146"/>
      <c r="SPZ176" s="146"/>
      <c r="SQA176" s="146"/>
      <c r="SQB176" s="146"/>
      <c r="SQC176" s="146"/>
      <c r="SQD176" s="146"/>
      <c r="SQE176" s="146"/>
      <c r="SQF176" s="146"/>
      <c r="SQG176" s="146"/>
      <c r="SQH176" s="146"/>
      <c r="SQI176" s="146"/>
      <c r="SQJ176" s="146"/>
      <c r="SQK176" s="146"/>
      <c r="SQL176" s="146"/>
      <c r="SQM176" s="146"/>
      <c r="SQN176" s="146"/>
      <c r="SQO176" s="146"/>
      <c r="SQP176" s="146"/>
      <c r="SQQ176" s="146"/>
      <c r="SQR176" s="146"/>
      <c r="SQS176" s="146"/>
      <c r="SQT176" s="146"/>
      <c r="SQU176" s="146"/>
      <c r="SQV176" s="146"/>
      <c r="SQW176" s="146"/>
      <c r="SQX176" s="146"/>
      <c r="SQY176" s="146"/>
      <c r="SQZ176" s="146"/>
      <c r="SRA176" s="146"/>
      <c r="SRB176" s="146"/>
      <c r="SRC176" s="146"/>
      <c r="SRD176" s="146"/>
      <c r="SRE176" s="146"/>
      <c r="SRF176" s="146"/>
      <c r="SRG176" s="146"/>
      <c r="SRH176" s="146"/>
      <c r="SRI176" s="146"/>
      <c r="SRJ176" s="146"/>
      <c r="SRK176" s="146"/>
      <c r="SRL176" s="146"/>
      <c r="SRM176" s="146"/>
      <c r="SRN176" s="146"/>
      <c r="SRO176" s="146"/>
      <c r="SRP176" s="146"/>
      <c r="SRQ176" s="146"/>
      <c r="SRR176" s="146"/>
      <c r="SRS176" s="146"/>
      <c r="SRT176" s="146"/>
      <c r="SRU176" s="146"/>
      <c r="SRV176" s="146"/>
      <c r="SRW176" s="146"/>
      <c r="SRX176" s="146"/>
      <c r="SRY176" s="146"/>
      <c r="SRZ176" s="146"/>
      <c r="SSA176" s="146"/>
      <c r="SSB176" s="146"/>
      <c r="SSC176" s="146"/>
      <c r="SSD176" s="146"/>
      <c r="SSE176" s="146"/>
      <c r="SSF176" s="146"/>
      <c r="SSG176" s="146"/>
      <c r="SSH176" s="146"/>
      <c r="SSI176" s="146"/>
      <c r="SSJ176" s="146"/>
      <c r="SSK176" s="146"/>
      <c r="SSL176" s="146"/>
      <c r="SSM176" s="146"/>
      <c r="SSN176" s="146"/>
      <c r="SSO176" s="146"/>
      <c r="SSP176" s="146"/>
      <c r="SSQ176" s="146"/>
      <c r="SSR176" s="146"/>
      <c r="SSS176" s="146"/>
      <c r="SST176" s="146"/>
      <c r="SSU176" s="146"/>
      <c r="SSV176" s="146"/>
      <c r="SSW176" s="146"/>
      <c r="SSX176" s="146"/>
      <c r="SSY176" s="146"/>
      <c r="SSZ176" s="146"/>
      <c r="STA176" s="146"/>
      <c r="STB176" s="146"/>
      <c r="STC176" s="146"/>
      <c r="STD176" s="146"/>
      <c r="STE176" s="146"/>
      <c r="STF176" s="146"/>
      <c r="STG176" s="146"/>
      <c r="STH176" s="146"/>
      <c r="STI176" s="146"/>
      <c r="STJ176" s="146"/>
      <c r="STK176" s="146"/>
      <c r="STL176" s="146"/>
      <c r="STM176" s="146"/>
      <c r="STN176" s="146"/>
      <c r="STO176" s="146"/>
      <c r="STP176" s="146"/>
      <c r="STQ176" s="146"/>
      <c r="STR176" s="146"/>
      <c r="STS176" s="146"/>
      <c r="STT176" s="146"/>
      <c r="STU176" s="146"/>
      <c r="STV176" s="146"/>
      <c r="STW176" s="146"/>
      <c r="STX176" s="146"/>
      <c r="STY176" s="146"/>
      <c r="STZ176" s="146"/>
      <c r="SUA176" s="146"/>
      <c r="SUB176" s="146"/>
      <c r="SUC176" s="146"/>
      <c r="SUD176" s="146"/>
      <c r="SUE176" s="146"/>
      <c r="SUF176" s="146"/>
      <c r="SUG176" s="146"/>
      <c r="SUH176" s="146"/>
      <c r="SUI176" s="146"/>
      <c r="SUJ176" s="146"/>
      <c r="SUK176" s="146"/>
      <c r="SUL176" s="146"/>
      <c r="SUM176" s="146"/>
      <c r="SUN176" s="146"/>
      <c r="SUO176" s="146"/>
      <c r="SUP176" s="146"/>
      <c r="SUQ176" s="146"/>
      <c r="SUR176" s="146"/>
      <c r="SUS176" s="146"/>
      <c r="SUT176" s="146"/>
      <c r="SUU176" s="146"/>
      <c r="SUV176" s="146"/>
      <c r="SUW176" s="146"/>
      <c r="SUX176" s="146"/>
      <c r="SUY176" s="146"/>
      <c r="SUZ176" s="146"/>
      <c r="SVA176" s="146"/>
      <c r="SVB176" s="146"/>
      <c r="SVC176" s="146"/>
      <c r="SVD176" s="146"/>
      <c r="SVE176" s="146"/>
      <c r="SVF176" s="146"/>
      <c r="SVG176" s="146"/>
      <c r="SVH176" s="146"/>
      <c r="SVI176" s="146"/>
      <c r="SVJ176" s="146"/>
      <c r="SVK176" s="146"/>
      <c r="SVL176" s="146"/>
      <c r="SVM176" s="146"/>
      <c r="SVN176" s="146"/>
      <c r="SVO176" s="146"/>
      <c r="SVP176" s="146"/>
      <c r="SVQ176" s="146"/>
      <c r="SVR176" s="146"/>
      <c r="SVS176" s="146"/>
      <c r="SVT176" s="146"/>
      <c r="SVU176" s="146"/>
      <c r="SVV176" s="146"/>
      <c r="SVW176" s="146"/>
      <c r="SVX176" s="146"/>
      <c r="SVY176" s="146"/>
      <c r="SVZ176" s="146"/>
      <c r="SWA176" s="146"/>
      <c r="SWB176" s="146"/>
      <c r="SWC176" s="146"/>
      <c r="SWD176" s="146"/>
      <c r="SWE176" s="146"/>
      <c r="SWF176" s="146"/>
      <c r="SWG176" s="146"/>
      <c r="SWH176" s="146"/>
      <c r="SWI176" s="146"/>
      <c r="SWJ176" s="146"/>
      <c r="SWK176" s="146"/>
      <c r="SWL176" s="146"/>
      <c r="SWM176" s="146"/>
      <c r="SWN176" s="146"/>
      <c r="SWO176" s="146"/>
      <c r="SWP176" s="146"/>
      <c r="SWQ176" s="146"/>
      <c r="SWR176" s="146"/>
      <c r="SWS176" s="146"/>
      <c r="SWT176" s="146"/>
      <c r="SWU176" s="146"/>
      <c r="SWV176" s="146"/>
      <c r="SWW176" s="146"/>
      <c r="SWX176" s="146"/>
      <c r="SWY176" s="146"/>
      <c r="SWZ176" s="146"/>
      <c r="SXA176" s="146"/>
      <c r="SXB176" s="146"/>
      <c r="SXC176" s="146"/>
      <c r="SXD176" s="146"/>
      <c r="SXE176" s="146"/>
      <c r="SXF176" s="146"/>
      <c r="SXG176" s="146"/>
      <c r="SXH176" s="146"/>
      <c r="SXI176" s="146"/>
      <c r="SXJ176" s="146"/>
      <c r="SXK176" s="146"/>
      <c r="SXL176" s="146"/>
      <c r="SXM176" s="146"/>
      <c r="SXN176" s="146"/>
      <c r="SXO176" s="146"/>
      <c r="SXP176" s="146"/>
      <c r="SXQ176" s="146"/>
      <c r="SXR176" s="146"/>
      <c r="SXS176" s="146"/>
      <c r="SXT176" s="146"/>
      <c r="SXU176" s="146"/>
      <c r="SXV176" s="146"/>
      <c r="SXW176" s="146"/>
      <c r="SXX176" s="146"/>
      <c r="SXY176" s="146"/>
      <c r="SXZ176" s="146"/>
      <c r="SYA176" s="146"/>
      <c r="SYB176" s="146"/>
      <c r="SYC176" s="146"/>
      <c r="SYD176" s="146"/>
      <c r="SYE176" s="146"/>
      <c r="SYF176" s="146"/>
      <c r="SYG176" s="146"/>
      <c r="SYH176" s="146"/>
      <c r="SYI176" s="146"/>
      <c r="SYJ176" s="146"/>
      <c r="SYK176" s="146"/>
      <c r="SYL176" s="146"/>
      <c r="SYM176" s="146"/>
      <c r="SYN176" s="146"/>
      <c r="SYO176" s="146"/>
      <c r="SYP176" s="146"/>
      <c r="SYQ176" s="146"/>
      <c r="SYR176" s="146"/>
      <c r="SYS176" s="146"/>
      <c r="SYT176" s="146"/>
      <c r="SYU176" s="146"/>
      <c r="SYV176" s="146"/>
      <c r="SYW176" s="146"/>
      <c r="SYX176" s="146"/>
      <c r="SYY176" s="146"/>
      <c r="SYZ176" s="146"/>
      <c r="SZA176" s="146"/>
      <c r="SZB176" s="146"/>
      <c r="SZC176" s="146"/>
      <c r="SZD176" s="146"/>
      <c r="SZE176" s="146"/>
      <c r="SZF176" s="146"/>
      <c r="SZG176" s="146"/>
      <c r="SZH176" s="146"/>
      <c r="SZI176" s="146"/>
      <c r="SZJ176" s="146"/>
      <c r="SZK176" s="146"/>
      <c r="SZL176" s="146"/>
      <c r="SZM176" s="146"/>
      <c r="SZN176" s="146"/>
      <c r="SZO176" s="146"/>
      <c r="SZP176" s="146"/>
      <c r="SZQ176" s="146"/>
      <c r="SZR176" s="146"/>
      <c r="SZS176" s="146"/>
      <c r="SZT176" s="146"/>
      <c r="SZU176" s="146"/>
      <c r="SZV176" s="146"/>
      <c r="SZW176" s="146"/>
      <c r="SZX176" s="146"/>
      <c r="SZY176" s="146"/>
      <c r="SZZ176" s="146"/>
      <c r="TAA176" s="146"/>
      <c r="TAB176" s="146"/>
      <c r="TAC176" s="146"/>
      <c r="TAD176" s="146"/>
      <c r="TAE176" s="146"/>
      <c r="TAF176" s="146"/>
      <c r="TAG176" s="146"/>
      <c r="TAH176" s="146"/>
      <c r="TAI176" s="146"/>
      <c r="TAJ176" s="146"/>
      <c r="TAK176" s="146"/>
      <c r="TAL176" s="146"/>
      <c r="TAM176" s="146"/>
      <c r="TAN176" s="146"/>
      <c r="TAO176" s="146"/>
      <c r="TAP176" s="146"/>
      <c r="TAQ176" s="146"/>
      <c r="TAR176" s="146"/>
      <c r="TAS176" s="146"/>
      <c r="TAT176" s="146"/>
      <c r="TAU176" s="146"/>
      <c r="TAV176" s="146"/>
      <c r="TAW176" s="146"/>
      <c r="TAX176" s="146"/>
      <c r="TAY176" s="146"/>
      <c r="TAZ176" s="146"/>
      <c r="TBA176" s="146"/>
      <c r="TBB176" s="146"/>
      <c r="TBC176" s="146"/>
      <c r="TBD176" s="146"/>
      <c r="TBE176" s="146"/>
      <c r="TBF176" s="146"/>
      <c r="TBG176" s="146"/>
      <c r="TBH176" s="146"/>
      <c r="TBI176" s="146"/>
      <c r="TBJ176" s="146"/>
      <c r="TBK176" s="146"/>
      <c r="TBL176" s="146"/>
      <c r="TBM176" s="146"/>
      <c r="TBN176" s="146"/>
      <c r="TBO176" s="146"/>
      <c r="TBP176" s="146"/>
      <c r="TBQ176" s="146"/>
      <c r="TBR176" s="146"/>
      <c r="TBS176" s="146"/>
      <c r="TBT176" s="146"/>
      <c r="TBU176" s="146"/>
      <c r="TBV176" s="146"/>
      <c r="TBW176" s="146"/>
      <c r="TBX176" s="146"/>
      <c r="TBY176" s="146"/>
      <c r="TBZ176" s="146"/>
      <c r="TCA176" s="146"/>
      <c r="TCB176" s="146"/>
      <c r="TCC176" s="146"/>
      <c r="TCD176" s="146"/>
      <c r="TCE176" s="146"/>
      <c r="TCF176" s="146"/>
      <c r="TCG176" s="146"/>
      <c r="TCH176" s="146"/>
      <c r="TCI176" s="146"/>
      <c r="TCJ176" s="146"/>
      <c r="TCK176" s="146"/>
      <c r="TCL176" s="146"/>
      <c r="TCM176" s="146"/>
      <c r="TCN176" s="146"/>
      <c r="TCO176" s="146"/>
      <c r="TCP176" s="146"/>
      <c r="TCQ176" s="146"/>
      <c r="TCR176" s="146"/>
      <c r="TCS176" s="146"/>
      <c r="TCT176" s="146"/>
      <c r="TCU176" s="146"/>
      <c r="TCV176" s="146"/>
      <c r="TCW176" s="146"/>
      <c r="TCX176" s="146"/>
      <c r="TCY176" s="146"/>
      <c r="TCZ176" s="146"/>
      <c r="TDA176" s="146"/>
      <c r="TDB176" s="146"/>
      <c r="TDC176" s="146"/>
      <c r="TDD176" s="146"/>
      <c r="TDE176" s="146"/>
      <c r="TDF176" s="146"/>
      <c r="TDG176" s="146"/>
      <c r="TDH176" s="146"/>
      <c r="TDI176" s="146"/>
      <c r="TDJ176" s="146"/>
      <c r="TDK176" s="146"/>
      <c r="TDL176" s="146"/>
      <c r="TDM176" s="146"/>
      <c r="TDN176" s="146"/>
      <c r="TDO176" s="146"/>
      <c r="TDP176" s="146"/>
      <c r="TDQ176" s="146"/>
      <c r="TDR176" s="146"/>
      <c r="TDS176" s="146"/>
      <c r="TDT176" s="146"/>
      <c r="TDU176" s="146"/>
      <c r="TDV176" s="146"/>
      <c r="TDW176" s="146"/>
      <c r="TDX176" s="146"/>
      <c r="TDY176" s="146"/>
      <c r="TDZ176" s="146"/>
      <c r="TEA176" s="146"/>
      <c r="TEB176" s="146"/>
      <c r="TEC176" s="146"/>
      <c r="TED176" s="146"/>
      <c r="TEE176" s="146"/>
      <c r="TEF176" s="146"/>
      <c r="TEG176" s="146"/>
      <c r="TEH176" s="146"/>
      <c r="TEI176" s="146"/>
      <c r="TEJ176" s="146"/>
      <c r="TEK176" s="146"/>
      <c r="TEL176" s="146"/>
      <c r="TEM176" s="146"/>
      <c r="TEN176" s="146"/>
      <c r="TEO176" s="146"/>
      <c r="TEP176" s="146"/>
      <c r="TEQ176" s="146"/>
      <c r="TER176" s="146"/>
      <c r="TES176" s="146"/>
      <c r="TET176" s="146"/>
      <c r="TEU176" s="146"/>
      <c r="TEV176" s="146"/>
      <c r="TEW176" s="146"/>
      <c r="TEX176" s="146"/>
      <c r="TEY176" s="146"/>
      <c r="TEZ176" s="146"/>
      <c r="TFA176" s="146"/>
      <c r="TFB176" s="146"/>
      <c r="TFC176" s="146"/>
      <c r="TFD176" s="146"/>
      <c r="TFE176" s="146"/>
      <c r="TFF176" s="146"/>
      <c r="TFG176" s="146"/>
      <c r="TFH176" s="146"/>
      <c r="TFI176" s="146"/>
      <c r="TFJ176" s="146"/>
      <c r="TFK176" s="146"/>
      <c r="TFL176" s="146"/>
      <c r="TFM176" s="146"/>
      <c r="TFN176" s="146"/>
      <c r="TFO176" s="146"/>
      <c r="TFP176" s="146"/>
      <c r="TFQ176" s="146"/>
      <c r="TFR176" s="146"/>
      <c r="TFS176" s="146"/>
      <c r="TFT176" s="146"/>
      <c r="TFU176" s="146"/>
      <c r="TFV176" s="146"/>
      <c r="TFW176" s="146"/>
      <c r="TFX176" s="146"/>
      <c r="TFY176" s="146"/>
      <c r="TFZ176" s="146"/>
      <c r="TGA176" s="146"/>
      <c r="TGB176" s="146"/>
      <c r="TGC176" s="146"/>
      <c r="TGD176" s="146"/>
      <c r="TGE176" s="146"/>
      <c r="TGF176" s="146"/>
      <c r="TGG176" s="146"/>
      <c r="TGH176" s="146"/>
      <c r="TGI176" s="146"/>
      <c r="TGJ176" s="146"/>
      <c r="TGK176" s="146"/>
      <c r="TGL176" s="146"/>
      <c r="TGM176" s="146"/>
      <c r="TGN176" s="146"/>
      <c r="TGO176" s="146"/>
      <c r="TGP176" s="146"/>
      <c r="TGQ176" s="146"/>
      <c r="TGR176" s="146"/>
      <c r="TGS176" s="146"/>
      <c r="TGT176" s="146"/>
      <c r="TGU176" s="146"/>
      <c r="TGV176" s="146"/>
      <c r="TGW176" s="146"/>
      <c r="TGX176" s="146"/>
      <c r="TGY176" s="146"/>
      <c r="TGZ176" s="146"/>
      <c r="THA176" s="146"/>
      <c r="THB176" s="146"/>
      <c r="THC176" s="146"/>
      <c r="THD176" s="146"/>
      <c r="THE176" s="146"/>
      <c r="THF176" s="146"/>
      <c r="THG176" s="146"/>
      <c r="THH176" s="146"/>
      <c r="THI176" s="146"/>
      <c r="THJ176" s="146"/>
      <c r="THK176" s="146"/>
      <c r="THL176" s="146"/>
      <c r="THM176" s="146"/>
      <c r="THN176" s="146"/>
      <c r="THO176" s="146"/>
      <c r="THP176" s="146"/>
      <c r="THQ176" s="146"/>
      <c r="THR176" s="146"/>
      <c r="THS176" s="146"/>
      <c r="THT176" s="146"/>
      <c r="THU176" s="146"/>
      <c r="THV176" s="146"/>
      <c r="THW176" s="146"/>
      <c r="THX176" s="146"/>
      <c r="THY176" s="146"/>
      <c r="THZ176" s="146"/>
      <c r="TIA176" s="146"/>
      <c r="TIB176" s="146"/>
      <c r="TIC176" s="146"/>
      <c r="TID176" s="146"/>
      <c r="TIE176" s="146"/>
      <c r="TIF176" s="146"/>
      <c r="TIG176" s="146"/>
      <c r="TIH176" s="146"/>
      <c r="TII176" s="146"/>
      <c r="TIJ176" s="146"/>
      <c r="TIK176" s="146"/>
      <c r="TIL176" s="146"/>
      <c r="TIM176" s="146"/>
      <c r="TIN176" s="146"/>
      <c r="TIO176" s="146"/>
      <c r="TIP176" s="146"/>
      <c r="TIQ176" s="146"/>
      <c r="TIR176" s="146"/>
      <c r="TIS176" s="146"/>
      <c r="TIT176" s="146"/>
      <c r="TIU176" s="146"/>
      <c r="TIV176" s="146"/>
      <c r="TIW176" s="146"/>
      <c r="TIX176" s="146"/>
      <c r="TIY176" s="146"/>
      <c r="TIZ176" s="146"/>
      <c r="TJA176" s="146"/>
      <c r="TJB176" s="146"/>
      <c r="TJC176" s="146"/>
      <c r="TJD176" s="146"/>
      <c r="TJE176" s="146"/>
      <c r="TJF176" s="146"/>
      <c r="TJG176" s="146"/>
      <c r="TJH176" s="146"/>
      <c r="TJI176" s="146"/>
      <c r="TJJ176" s="146"/>
      <c r="TJK176" s="146"/>
      <c r="TJL176" s="146"/>
      <c r="TJM176" s="146"/>
      <c r="TJN176" s="146"/>
      <c r="TJO176" s="146"/>
      <c r="TJP176" s="146"/>
      <c r="TJQ176" s="146"/>
      <c r="TJR176" s="146"/>
      <c r="TJS176" s="146"/>
      <c r="TJT176" s="146"/>
      <c r="TJU176" s="146"/>
      <c r="TJV176" s="146"/>
      <c r="TJW176" s="146"/>
      <c r="TJX176" s="146"/>
      <c r="TJY176" s="146"/>
      <c r="TJZ176" s="146"/>
      <c r="TKA176" s="146"/>
      <c r="TKB176" s="146"/>
      <c r="TKC176" s="146"/>
      <c r="TKD176" s="146"/>
      <c r="TKE176" s="146"/>
      <c r="TKF176" s="146"/>
      <c r="TKG176" s="146"/>
      <c r="TKH176" s="146"/>
      <c r="TKI176" s="146"/>
      <c r="TKJ176" s="146"/>
      <c r="TKK176" s="146"/>
      <c r="TKL176" s="146"/>
      <c r="TKM176" s="146"/>
      <c r="TKN176" s="146"/>
      <c r="TKO176" s="146"/>
      <c r="TKP176" s="146"/>
      <c r="TKQ176" s="146"/>
      <c r="TKR176" s="146"/>
      <c r="TKS176" s="146"/>
      <c r="TKT176" s="146"/>
      <c r="TKU176" s="146"/>
      <c r="TKV176" s="146"/>
      <c r="TKW176" s="146"/>
      <c r="TKX176" s="146"/>
      <c r="TKY176" s="146"/>
      <c r="TKZ176" s="146"/>
      <c r="TLA176" s="146"/>
      <c r="TLB176" s="146"/>
      <c r="TLC176" s="146"/>
      <c r="TLD176" s="146"/>
      <c r="TLE176" s="146"/>
      <c r="TLF176" s="146"/>
      <c r="TLG176" s="146"/>
      <c r="TLH176" s="146"/>
      <c r="TLI176" s="146"/>
      <c r="TLJ176" s="146"/>
      <c r="TLK176" s="146"/>
      <c r="TLL176" s="146"/>
      <c r="TLM176" s="146"/>
      <c r="TLN176" s="146"/>
      <c r="TLO176" s="146"/>
      <c r="TLP176" s="146"/>
      <c r="TLQ176" s="146"/>
      <c r="TLR176" s="146"/>
      <c r="TLS176" s="146"/>
      <c r="TLT176" s="146"/>
      <c r="TLU176" s="146"/>
      <c r="TLV176" s="146"/>
      <c r="TLW176" s="146"/>
      <c r="TLX176" s="146"/>
      <c r="TLY176" s="146"/>
      <c r="TLZ176" s="146"/>
      <c r="TMA176" s="146"/>
      <c r="TMB176" s="146"/>
      <c r="TMC176" s="146"/>
      <c r="TMD176" s="146"/>
      <c r="TME176" s="146"/>
      <c r="TMF176" s="146"/>
      <c r="TMG176" s="146"/>
      <c r="TMH176" s="146"/>
      <c r="TMI176" s="146"/>
      <c r="TMJ176" s="146"/>
      <c r="TMK176" s="146"/>
      <c r="TML176" s="146"/>
      <c r="TMM176" s="146"/>
      <c r="TMN176" s="146"/>
      <c r="TMO176" s="146"/>
      <c r="TMP176" s="146"/>
      <c r="TMQ176" s="146"/>
      <c r="TMR176" s="146"/>
      <c r="TMS176" s="146"/>
      <c r="TMT176" s="146"/>
      <c r="TMU176" s="146"/>
      <c r="TMV176" s="146"/>
      <c r="TMW176" s="146"/>
      <c r="TMX176" s="146"/>
      <c r="TMY176" s="146"/>
      <c r="TMZ176" s="146"/>
      <c r="TNA176" s="146"/>
      <c r="TNB176" s="146"/>
      <c r="TNC176" s="146"/>
      <c r="TND176" s="146"/>
      <c r="TNE176" s="146"/>
      <c r="TNF176" s="146"/>
      <c r="TNG176" s="146"/>
      <c r="TNH176" s="146"/>
      <c r="TNI176" s="146"/>
      <c r="TNJ176" s="146"/>
      <c r="TNK176" s="146"/>
      <c r="TNL176" s="146"/>
      <c r="TNM176" s="146"/>
      <c r="TNN176" s="146"/>
      <c r="TNO176" s="146"/>
      <c r="TNP176" s="146"/>
      <c r="TNQ176" s="146"/>
      <c r="TNR176" s="146"/>
      <c r="TNS176" s="146"/>
      <c r="TNT176" s="146"/>
      <c r="TNU176" s="146"/>
      <c r="TNV176" s="146"/>
      <c r="TNW176" s="146"/>
      <c r="TNX176" s="146"/>
      <c r="TNY176" s="146"/>
      <c r="TNZ176" s="146"/>
      <c r="TOA176" s="146"/>
      <c r="TOB176" s="146"/>
      <c r="TOC176" s="146"/>
      <c r="TOD176" s="146"/>
      <c r="TOE176" s="146"/>
      <c r="TOF176" s="146"/>
      <c r="TOG176" s="146"/>
      <c r="TOH176" s="146"/>
      <c r="TOI176" s="146"/>
      <c r="TOJ176" s="146"/>
      <c r="TOK176" s="146"/>
      <c r="TOL176" s="146"/>
      <c r="TOM176" s="146"/>
      <c r="TON176" s="146"/>
      <c r="TOO176" s="146"/>
      <c r="TOP176" s="146"/>
      <c r="TOQ176" s="146"/>
      <c r="TOR176" s="146"/>
      <c r="TOS176" s="146"/>
      <c r="TOT176" s="146"/>
      <c r="TOU176" s="146"/>
      <c r="TOV176" s="146"/>
      <c r="TOW176" s="146"/>
      <c r="TOX176" s="146"/>
      <c r="TOY176" s="146"/>
      <c r="TOZ176" s="146"/>
      <c r="TPA176" s="146"/>
      <c r="TPB176" s="146"/>
      <c r="TPC176" s="146"/>
      <c r="TPD176" s="146"/>
      <c r="TPE176" s="146"/>
      <c r="TPF176" s="146"/>
      <c r="TPG176" s="146"/>
      <c r="TPH176" s="146"/>
      <c r="TPI176" s="146"/>
      <c r="TPJ176" s="146"/>
      <c r="TPK176" s="146"/>
      <c r="TPL176" s="146"/>
      <c r="TPM176" s="146"/>
      <c r="TPN176" s="146"/>
      <c r="TPO176" s="146"/>
      <c r="TPP176" s="146"/>
      <c r="TPQ176" s="146"/>
      <c r="TPR176" s="146"/>
      <c r="TPS176" s="146"/>
      <c r="TPT176" s="146"/>
      <c r="TPU176" s="146"/>
      <c r="TPV176" s="146"/>
      <c r="TPW176" s="146"/>
      <c r="TPX176" s="146"/>
      <c r="TPY176" s="146"/>
      <c r="TPZ176" s="146"/>
      <c r="TQA176" s="146"/>
      <c r="TQB176" s="146"/>
      <c r="TQC176" s="146"/>
      <c r="TQD176" s="146"/>
      <c r="TQE176" s="146"/>
      <c r="TQF176" s="146"/>
      <c r="TQG176" s="146"/>
      <c r="TQH176" s="146"/>
      <c r="TQI176" s="146"/>
      <c r="TQJ176" s="146"/>
      <c r="TQK176" s="146"/>
      <c r="TQL176" s="146"/>
      <c r="TQM176" s="146"/>
      <c r="TQN176" s="146"/>
      <c r="TQO176" s="146"/>
      <c r="TQP176" s="146"/>
      <c r="TQQ176" s="146"/>
      <c r="TQR176" s="146"/>
      <c r="TQS176" s="146"/>
      <c r="TQT176" s="146"/>
      <c r="TQU176" s="146"/>
      <c r="TQV176" s="146"/>
      <c r="TQW176" s="146"/>
      <c r="TQX176" s="146"/>
      <c r="TQY176" s="146"/>
      <c r="TQZ176" s="146"/>
      <c r="TRA176" s="146"/>
      <c r="TRB176" s="146"/>
      <c r="TRC176" s="146"/>
      <c r="TRD176" s="146"/>
      <c r="TRE176" s="146"/>
      <c r="TRF176" s="146"/>
      <c r="TRG176" s="146"/>
      <c r="TRH176" s="146"/>
      <c r="TRI176" s="146"/>
      <c r="TRJ176" s="146"/>
      <c r="TRK176" s="146"/>
      <c r="TRL176" s="146"/>
      <c r="TRM176" s="146"/>
      <c r="TRN176" s="146"/>
      <c r="TRO176" s="146"/>
      <c r="TRP176" s="146"/>
      <c r="TRQ176" s="146"/>
      <c r="TRR176" s="146"/>
      <c r="TRS176" s="146"/>
      <c r="TRT176" s="146"/>
      <c r="TRU176" s="146"/>
      <c r="TRV176" s="146"/>
      <c r="TRW176" s="146"/>
      <c r="TRX176" s="146"/>
      <c r="TRY176" s="146"/>
      <c r="TRZ176" s="146"/>
      <c r="TSA176" s="146"/>
      <c r="TSB176" s="146"/>
      <c r="TSC176" s="146"/>
      <c r="TSD176" s="146"/>
      <c r="TSE176" s="146"/>
      <c r="TSF176" s="146"/>
      <c r="TSG176" s="146"/>
      <c r="TSH176" s="146"/>
      <c r="TSI176" s="146"/>
      <c r="TSJ176" s="146"/>
      <c r="TSK176" s="146"/>
      <c r="TSL176" s="146"/>
      <c r="TSM176" s="146"/>
      <c r="TSN176" s="146"/>
      <c r="TSO176" s="146"/>
      <c r="TSP176" s="146"/>
      <c r="TSQ176" s="146"/>
      <c r="TSR176" s="146"/>
      <c r="TSS176" s="146"/>
      <c r="TST176" s="146"/>
      <c r="TSU176" s="146"/>
      <c r="TSV176" s="146"/>
      <c r="TSW176" s="146"/>
      <c r="TSX176" s="146"/>
      <c r="TSY176" s="146"/>
      <c r="TSZ176" s="146"/>
      <c r="TTA176" s="146"/>
      <c r="TTB176" s="146"/>
      <c r="TTC176" s="146"/>
      <c r="TTD176" s="146"/>
      <c r="TTE176" s="146"/>
      <c r="TTF176" s="146"/>
      <c r="TTG176" s="146"/>
      <c r="TTH176" s="146"/>
      <c r="TTI176" s="146"/>
      <c r="TTJ176" s="146"/>
      <c r="TTK176" s="146"/>
      <c r="TTL176" s="146"/>
      <c r="TTM176" s="146"/>
      <c r="TTN176" s="146"/>
      <c r="TTO176" s="146"/>
      <c r="TTP176" s="146"/>
      <c r="TTQ176" s="146"/>
      <c r="TTR176" s="146"/>
      <c r="TTS176" s="146"/>
      <c r="TTT176" s="146"/>
      <c r="TTU176" s="146"/>
      <c r="TTV176" s="146"/>
      <c r="TTW176" s="146"/>
      <c r="TTX176" s="146"/>
      <c r="TTY176" s="146"/>
      <c r="TTZ176" s="146"/>
      <c r="TUA176" s="146"/>
      <c r="TUB176" s="146"/>
      <c r="TUC176" s="146"/>
      <c r="TUD176" s="146"/>
      <c r="TUE176" s="146"/>
      <c r="TUF176" s="146"/>
      <c r="TUG176" s="146"/>
      <c r="TUH176" s="146"/>
      <c r="TUI176" s="146"/>
      <c r="TUJ176" s="146"/>
      <c r="TUK176" s="146"/>
      <c r="TUL176" s="146"/>
      <c r="TUM176" s="146"/>
      <c r="TUN176" s="146"/>
      <c r="TUO176" s="146"/>
      <c r="TUP176" s="146"/>
      <c r="TUQ176" s="146"/>
      <c r="TUR176" s="146"/>
      <c r="TUS176" s="146"/>
      <c r="TUT176" s="146"/>
      <c r="TUU176" s="146"/>
      <c r="TUV176" s="146"/>
      <c r="TUW176" s="146"/>
      <c r="TUX176" s="146"/>
      <c r="TUY176" s="146"/>
      <c r="TUZ176" s="146"/>
      <c r="TVA176" s="146"/>
      <c r="TVB176" s="146"/>
      <c r="TVC176" s="146"/>
      <c r="TVD176" s="146"/>
      <c r="TVE176" s="146"/>
      <c r="TVF176" s="146"/>
      <c r="TVG176" s="146"/>
      <c r="TVH176" s="146"/>
      <c r="TVI176" s="146"/>
      <c r="TVJ176" s="146"/>
      <c r="TVK176" s="146"/>
      <c r="TVL176" s="146"/>
      <c r="TVM176" s="146"/>
      <c r="TVN176" s="146"/>
      <c r="TVO176" s="146"/>
      <c r="TVP176" s="146"/>
      <c r="TVQ176" s="146"/>
      <c r="TVR176" s="146"/>
      <c r="TVS176" s="146"/>
      <c r="TVT176" s="146"/>
      <c r="TVU176" s="146"/>
      <c r="TVV176" s="146"/>
      <c r="TVW176" s="146"/>
      <c r="TVX176" s="146"/>
      <c r="TVY176" s="146"/>
      <c r="TVZ176" s="146"/>
      <c r="TWA176" s="146"/>
      <c r="TWB176" s="146"/>
      <c r="TWC176" s="146"/>
      <c r="TWD176" s="146"/>
      <c r="TWE176" s="146"/>
      <c r="TWF176" s="146"/>
      <c r="TWG176" s="146"/>
      <c r="TWH176" s="146"/>
      <c r="TWI176" s="146"/>
      <c r="TWJ176" s="146"/>
      <c r="TWK176" s="146"/>
      <c r="TWL176" s="146"/>
      <c r="TWM176" s="146"/>
      <c r="TWN176" s="146"/>
      <c r="TWO176" s="146"/>
      <c r="TWP176" s="146"/>
      <c r="TWQ176" s="146"/>
      <c r="TWR176" s="146"/>
      <c r="TWS176" s="146"/>
      <c r="TWT176" s="146"/>
      <c r="TWU176" s="146"/>
      <c r="TWV176" s="146"/>
      <c r="TWW176" s="146"/>
      <c r="TWX176" s="146"/>
      <c r="TWY176" s="146"/>
      <c r="TWZ176" s="146"/>
      <c r="TXA176" s="146"/>
      <c r="TXB176" s="146"/>
      <c r="TXC176" s="146"/>
      <c r="TXD176" s="146"/>
      <c r="TXE176" s="146"/>
      <c r="TXF176" s="146"/>
      <c r="TXG176" s="146"/>
      <c r="TXH176" s="146"/>
      <c r="TXI176" s="146"/>
      <c r="TXJ176" s="146"/>
      <c r="TXK176" s="146"/>
      <c r="TXL176" s="146"/>
      <c r="TXM176" s="146"/>
      <c r="TXN176" s="146"/>
      <c r="TXO176" s="146"/>
      <c r="TXP176" s="146"/>
      <c r="TXQ176" s="146"/>
      <c r="TXR176" s="146"/>
      <c r="TXS176" s="146"/>
      <c r="TXT176" s="146"/>
      <c r="TXU176" s="146"/>
      <c r="TXV176" s="146"/>
      <c r="TXW176" s="146"/>
      <c r="TXX176" s="146"/>
      <c r="TXY176" s="146"/>
      <c r="TXZ176" s="146"/>
      <c r="TYA176" s="146"/>
      <c r="TYB176" s="146"/>
      <c r="TYC176" s="146"/>
      <c r="TYD176" s="146"/>
      <c r="TYE176" s="146"/>
      <c r="TYF176" s="146"/>
      <c r="TYG176" s="146"/>
      <c r="TYH176" s="146"/>
      <c r="TYI176" s="146"/>
      <c r="TYJ176" s="146"/>
      <c r="TYK176" s="146"/>
      <c r="TYL176" s="146"/>
      <c r="TYM176" s="146"/>
      <c r="TYN176" s="146"/>
      <c r="TYO176" s="146"/>
      <c r="TYP176" s="146"/>
      <c r="TYQ176" s="146"/>
      <c r="TYR176" s="146"/>
      <c r="TYS176" s="146"/>
      <c r="TYT176" s="146"/>
      <c r="TYU176" s="146"/>
      <c r="TYV176" s="146"/>
      <c r="TYW176" s="146"/>
      <c r="TYX176" s="146"/>
      <c r="TYY176" s="146"/>
      <c r="TYZ176" s="146"/>
      <c r="TZA176" s="146"/>
      <c r="TZB176" s="146"/>
      <c r="TZC176" s="146"/>
      <c r="TZD176" s="146"/>
      <c r="TZE176" s="146"/>
      <c r="TZF176" s="146"/>
      <c r="TZG176" s="146"/>
      <c r="TZH176" s="146"/>
      <c r="TZI176" s="146"/>
      <c r="TZJ176" s="146"/>
      <c r="TZK176" s="146"/>
      <c r="TZL176" s="146"/>
      <c r="TZM176" s="146"/>
      <c r="TZN176" s="146"/>
      <c r="TZO176" s="146"/>
      <c r="TZP176" s="146"/>
      <c r="TZQ176" s="146"/>
      <c r="TZR176" s="146"/>
      <c r="TZS176" s="146"/>
      <c r="TZT176" s="146"/>
      <c r="TZU176" s="146"/>
      <c r="TZV176" s="146"/>
      <c r="TZW176" s="146"/>
      <c r="TZX176" s="146"/>
      <c r="TZY176" s="146"/>
      <c r="TZZ176" s="146"/>
      <c r="UAA176" s="146"/>
      <c r="UAB176" s="146"/>
      <c r="UAC176" s="146"/>
      <c r="UAD176" s="146"/>
      <c r="UAE176" s="146"/>
      <c r="UAF176" s="146"/>
      <c r="UAG176" s="146"/>
      <c r="UAH176" s="146"/>
      <c r="UAI176" s="146"/>
      <c r="UAJ176" s="146"/>
      <c r="UAK176" s="146"/>
      <c r="UAL176" s="146"/>
      <c r="UAM176" s="146"/>
      <c r="UAN176" s="146"/>
      <c r="UAO176" s="146"/>
      <c r="UAP176" s="146"/>
      <c r="UAQ176" s="146"/>
      <c r="UAR176" s="146"/>
      <c r="UAS176" s="146"/>
      <c r="UAT176" s="146"/>
      <c r="UAU176" s="146"/>
      <c r="UAV176" s="146"/>
      <c r="UAW176" s="146"/>
      <c r="UAX176" s="146"/>
      <c r="UAY176" s="146"/>
      <c r="UAZ176" s="146"/>
      <c r="UBA176" s="146"/>
      <c r="UBB176" s="146"/>
      <c r="UBC176" s="146"/>
      <c r="UBD176" s="146"/>
      <c r="UBE176" s="146"/>
      <c r="UBF176" s="146"/>
      <c r="UBG176" s="146"/>
      <c r="UBH176" s="146"/>
      <c r="UBI176" s="146"/>
      <c r="UBJ176" s="146"/>
      <c r="UBK176" s="146"/>
      <c r="UBL176" s="146"/>
      <c r="UBM176" s="146"/>
      <c r="UBN176" s="146"/>
      <c r="UBO176" s="146"/>
      <c r="UBP176" s="146"/>
      <c r="UBQ176" s="146"/>
      <c r="UBR176" s="146"/>
      <c r="UBS176" s="146"/>
      <c r="UBT176" s="146"/>
      <c r="UBU176" s="146"/>
      <c r="UBV176" s="146"/>
      <c r="UBW176" s="146"/>
      <c r="UBX176" s="146"/>
      <c r="UBY176" s="146"/>
      <c r="UBZ176" s="146"/>
      <c r="UCA176" s="146"/>
      <c r="UCB176" s="146"/>
      <c r="UCC176" s="146"/>
      <c r="UCD176" s="146"/>
      <c r="UCE176" s="146"/>
      <c r="UCF176" s="146"/>
      <c r="UCG176" s="146"/>
      <c r="UCH176" s="146"/>
      <c r="UCI176" s="146"/>
      <c r="UCJ176" s="146"/>
      <c r="UCK176" s="146"/>
      <c r="UCL176" s="146"/>
      <c r="UCM176" s="146"/>
      <c r="UCN176" s="146"/>
      <c r="UCO176" s="146"/>
      <c r="UCP176" s="146"/>
      <c r="UCQ176" s="146"/>
      <c r="UCR176" s="146"/>
      <c r="UCS176" s="146"/>
      <c r="UCT176" s="146"/>
      <c r="UCU176" s="146"/>
      <c r="UCV176" s="146"/>
      <c r="UCW176" s="146"/>
      <c r="UCX176" s="146"/>
      <c r="UCY176" s="146"/>
      <c r="UCZ176" s="146"/>
      <c r="UDA176" s="146"/>
      <c r="UDB176" s="146"/>
      <c r="UDC176" s="146"/>
      <c r="UDD176" s="146"/>
      <c r="UDE176" s="146"/>
      <c r="UDF176" s="146"/>
      <c r="UDG176" s="146"/>
      <c r="UDH176" s="146"/>
      <c r="UDI176" s="146"/>
      <c r="UDJ176" s="146"/>
      <c r="UDK176" s="146"/>
      <c r="UDL176" s="146"/>
      <c r="UDM176" s="146"/>
      <c r="UDN176" s="146"/>
      <c r="UDO176" s="146"/>
      <c r="UDP176" s="146"/>
      <c r="UDQ176" s="146"/>
      <c r="UDR176" s="146"/>
      <c r="UDS176" s="146"/>
      <c r="UDT176" s="146"/>
      <c r="UDU176" s="146"/>
      <c r="UDV176" s="146"/>
      <c r="UDW176" s="146"/>
      <c r="UDX176" s="146"/>
      <c r="UDY176" s="146"/>
      <c r="UDZ176" s="146"/>
      <c r="UEA176" s="146"/>
      <c r="UEB176" s="146"/>
      <c r="UEC176" s="146"/>
      <c r="UED176" s="146"/>
      <c r="UEE176" s="146"/>
      <c r="UEF176" s="146"/>
      <c r="UEG176" s="146"/>
      <c r="UEH176" s="146"/>
      <c r="UEI176" s="146"/>
      <c r="UEJ176" s="146"/>
      <c r="UEK176" s="146"/>
      <c r="UEL176" s="146"/>
      <c r="UEM176" s="146"/>
      <c r="UEN176" s="146"/>
      <c r="UEO176" s="146"/>
      <c r="UEP176" s="146"/>
      <c r="UEQ176" s="146"/>
      <c r="UER176" s="146"/>
      <c r="UES176" s="146"/>
      <c r="UET176" s="146"/>
      <c r="UEU176" s="146"/>
      <c r="UEV176" s="146"/>
      <c r="UEW176" s="146"/>
      <c r="UEX176" s="146"/>
      <c r="UEY176" s="146"/>
      <c r="UEZ176" s="146"/>
      <c r="UFA176" s="146"/>
      <c r="UFB176" s="146"/>
      <c r="UFC176" s="146"/>
      <c r="UFD176" s="146"/>
      <c r="UFE176" s="146"/>
      <c r="UFF176" s="146"/>
      <c r="UFG176" s="146"/>
      <c r="UFH176" s="146"/>
      <c r="UFI176" s="146"/>
      <c r="UFJ176" s="146"/>
      <c r="UFK176" s="146"/>
      <c r="UFL176" s="146"/>
      <c r="UFM176" s="146"/>
      <c r="UFN176" s="146"/>
      <c r="UFO176" s="146"/>
      <c r="UFP176" s="146"/>
      <c r="UFQ176" s="146"/>
      <c r="UFR176" s="146"/>
      <c r="UFS176" s="146"/>
      <c r="UFT176" s="146"/>
      <c r="UFU176" s="146"/>
      <c r="UFV176" s="146"/>
      <c r="UFW176" s="146"/>
      <c r="UFX176" s="146"/>
      <c r="UFY176" s="146"/>
      <c r="UFZ176" s="146"/>
      <c r="UGA176" s="146"/>
      <c r="UGB176" s="146"/>
      <c r="UGC176" s="146"/>
      <c r="UGD176" s="146"/>
      <c r="UGE176" s="146"/>
      <c r="UGF176" s="146"/>
      <c r="UGG176" s="146"/>
      <c r="UGH176" s="146"/>
      <c r="UGI176" s="146"/>
      <c r="UGJ176" s="146"/>
      <c r="UGK176" s="146"/>
      <c r="UGL176" s="146"/>
      <c r="UGM176" s="146"/>
      <c r="UGN176" s="146"/>
      <c r="UGO176" s="146"/>
      <c r="UGP176" s="146"/>
      <c r="UGQ176" s="146"/>
      <c r="UGR176" s="146"/>
      <c r="UGS176" s="146"/>
      <c r="UGT176" s="146"/>
      <c r="UGU176" s="146"/>
      <c r="UGV176" s="146"/>
      <c r="UGW176" s="146"/>
      <c r="UGX176" s="146"/>
      <c r="UGY176" s="146"/>
      <c r="UGZ176" s="146"/>
      <c r="UHA176" s="146"/>
      <c r="UHB176" s="146"/>
      <c r="UHC176" s="146"/>
      <c r="UHD176" s="146"/>
      <c r="UHE176" s="146"/>
      <c r="UHF176" s="146"/>
      <c r="UHG176" s="146"/>
      <c r="UHH176" s="146"/>
      <c r="UHI176" s="146"/>
      <c r="UHJ176" s="146"/>
      <c r="UHK176" s="146"/>
      <c r="UHL176" s="146"/>
      <c r="UHM176" s="146"/>
      <c r="UHN176" s="146"/>
      <c r="UHO176" s="146"/>
      <c r="UHP176" s="146"/>
      <c r="UHQ176" s="146"/>
      <c r="UHR176" s="146"/>
      <c r="UHS176" s="146"/>
      <c r="UHT176" s="146"/>
      <c r="UHU176" s="146"/>
      <c r="UHV176" s="146"/>
      <c r="UHW176" s="146"/>
      <c r="UHX176" s="146"/>
      <c r="UHY176" s="146"/>
      <c r="UHZ176" s="146"/>
      <c r="UIA176" s="146"/>
      <c r="UIB176" s="146"/>
      <c r="UIC176" s="146"/>
      <c r="UID176" s="146"/>
      <c r="UIE176" s="146"/>
      <c r="UIF176" s="146"/>
      <c r="UIG176" s="146"/>
      <c r="UIH176" s="146"/>
      <c r="UII176" s="146"/>
      <c r="UIJ176" s="146"/>
      <c r="UIK176" s="146"/>
      <c r="UIL176" s="146"/>
      <c r="UIM176" s="146"/>
      <c r="UIN176" s="146"/>
      <c r="UIO176" s="146"/>
      <c r="UIP176" s="146"/>
      <c r="UIQ176" s="146"/>
      <c r="UIR176" s="146"/>
      <c r="UIS176" s="146"/>
      <c r="UIT176" s="146"/>
      <c r="UIU176" s="146"/>
      <c r="UIV176" s="146"/>
      <c r="UIW176" s="146"/>
      <c r="UIX176" s="146"/>
      <c r="UIY176" s="146"/>
      <c r="UIZ176" s="146"/>
      <c r="UJA176" s="146"/>
      <c r="UJB176" s="146"/>
      <c r="UJC176" s="146"/>
      <c r="UJD176" s="146"/>
      <c r="UJE176" s="146"/>
      <c r="UJF176" s="146"/>
      <c r="UJG176" s="146"/>
      <c r="UJH176" s="146"/>
      <c r="UJI176" s="146"/>
      <c r="UJJ176" s="146"/>
      <c r="UJK176" s="146"/>
      <c r="UJL176" s="146"/>
      <c r="UJM176" s="146"/>
      <c r="UJN176" s="146"/>
      <c r="UJO176" s="146"/>
      <c r="UJP176" s="146"/>
      <c r="UJQ176" s="146"/>
      <c r="UJR176" s="146"/>
      <c r="UJS176" s="146"/>
      <c r="UJT176" s="146"/>
      <c r="UJU176" s="146"/>
      <c r="UJV176" s="146"/>
      <c r="UJW176" s="146"/>
      <c r="UJX176" s="146"/>
      <c r="UJY176" s="146"/>
      <c r="UJZ176" s="146"/>
      <c r="UKA176" s="146"/>
      <c r="UKB176" s="146"/>
      <c r="UKC176" s="146"/>
      <c r="UKD176" s="146"/>
      <c r="UKE176" s="146"/>
      <c r="UKF176" s="146"/>
      <c r="UKG176" s="146"/>
      <c r="UKH176" s="146"/>
      <c r="UKI176" s="146"/>
      <c r="UKJ176" s="146"/>
      <c r="UKK176" s="146"/>
      <c r="UKL176" s="146"/>
      <c r="UKM176" s="146"/>
      <c r="UKN176" s="146"/>
      <c r="UKO176" s="146"/>
      <c r="UKP176" s="146"/>
      <c r="UKQ176" s="146"/>
      <c r="UKR176" s="146"/>
      <c r="UKS176" s="146"/>
      <c r="UKT176" s="146"/>
      <c r="UKU176" s="146"/>
      <c r="UKV176" s="146"/>
      <c r="UKW176" s="146"/>
      <c r="UKX176" s="146"/>
      <c r="UKY176" s="146"/>
      <c r="UKZ176" s="146"/>
      <c r="ULA176" s="146"/>
      <c r="ULB176" s="146"/>
      <c r="ULC176" s="146"/>
      <c r="ULD176" s="146"/>
      <c r="ULE176" s="146"/>
      <c r="ULF176" s="146"/>
      <c r="ULG176" s="146"/>
      <c r="ULH176" s="146"/>
      <c r="ULI176" s="146"/>
      <c r="ULJ176" s="146"/>
      <c r="ULK176" s="146"/>
      <c r="ULL176" s="146"/>
      <c r="ULM176" s="146"/>
      <c r="ULN176" s="146"/>
      <c r="ULO176" s="146"/>
      <c r="ULP176" s="146"/>
      <c r="ULQ176" s="146"/>
      <c r="ULR176" s="146"/>
      <c r="ULS176" s="146"/>
      <c r="ULT176" s="146"/>
      <c r="ULU176" s="146"/>
      <c r="ULV176" s="146"/>
      <c r="ULW176" s="146"/>
      <c r="ULX176" s="146"/>
      <c r="ULY176" s="146"/>
      <c r="ULZ176" s="146"/>
      <c r="UMA176" s="146"/>
      <c r="UMB176" s="146"/>
      <c r="UMC176" s="146"/>
      <c r="UMD176" s="146"/>
      <c r="UME176" s="146"/>
      <c r="UMF176" s="146"/>
      <c r="UMG176" s="146"/>
      <c r="UMH176" s="146"/>
      <c r="UMI176" s="146"/>
      <c r="UMJ176" s="146"/>
      <c r="UMK176" s="146"/>
      <c r="UML176" s="146"/>
      <c r="UMM176" s="146"/>
      <c r="UMN176" s="146"/>
      <c r="UMO176" s="146"/>
      <c r="UMP176" s="146"/>
      <c r="UMQ176" s="146"/>
      <c r="UMR176" s="146"/>
      <c r="UMS176" s="146"/>
      <c r="UMT176" s="146"/>
      <c r="UMU176" s="146"/>
      <c r="UMV176" s="146"/>
      <c r="UMW176" s="146"/>
      <c r="UMX176" s="146"/>
      <c r="UMY176" s="146"/>
      <c r="UMZ176" s="146"/>
      <c r="UNA176" s="146"/>
      <c r="UNB176" s="146"/>
      <c r="UNC176" s="146"/>
      <c r="UND176" s="146"/>
      <c r="UNE176" s="146"/>
      <c r="UNF176" s="146"/>
      <c r="UNG176" s="146"/>
      <c r="UNH176" s="146"/>
      <c r="UNI176" s="146"/>
      <c r="UNJ176" s="146"/>
      <c r="UNK176" s="146"/>
      <c r="UNL176" s="146"/>
      <c r="UNM176" s="146"/>
      <c r="UNN176" s="146"/>
      <c r="UNO176" s="146"/>
      <c r="UNP176" s="146"/>
      <c r="UNQ176" s="146"/>
      <c r="UNR176" s="146"/>
      <c r="UNS176" s="146"/>
      <c r="UNT176" s="146"/>
      <c r="UNU176" s="146"/>
      <c r="UNV176" s="146"/>
      <c r="UNW176" s="146"/>
      <c r="UNX176" s="146"/>
      <c r="UNY176" s="146"/>
      <c r="UNZ176" s="146"/>
      <c r="UOA176" s="146"/>
      <c r="UOB176" s="146"/>
      <c r="UOC176" s="146"/>
      <c r="UOD176" s="146"/>
      <c r="UOE176" s="146"/>
      <c r="UOF176" s="146"/>
      <c r="UOG176" s="146"/>
      <c r="UOH176" s="146"/>
      <c r="UOI176" s="146"/>
      <c r="UOJ176" s="146"/>
      <c r="UOK176" s="146"/>
      <c r="UOL176" s="146"/>
      <c r="UOM176" s="146"/>
      <c r="UON176" s="146"/>
      <c r="UOO176" s="146"/>
      <c r="UOP176" s="146"/>
      <c r="UOQ176" s="146"/>
      <c r="UOR176" s="146"/>
      <c r="UOS176" s="146"/>
      <c r="UOT176" s="146"/>
      <c r="UOU176" s="146"/>
      <c r="UOV176" s="146"/>
      <c r="UOW176" s="146"/>
      <c r="UOX176" s="146"/>
      <c r="UOY176" s="146"/>
      <c r="UOZ176" s="146"/>
      <c r="UPA176" s="146"/>
      <c r="UPB176" s="146"/>
      <c r="UPC176" s="146"/>
      <c r="UPD176" s="146"/>
      <c r="UPE176" s="146"/>
      <c r="UPF176" s="146"/>
      <c r="UPG176" s="146"/>
      <c r="UPH176" s="146"/>
      <c r="UPI176" s="146"/>
      <c r="UPJ176" s="146"/>
      <c r="UPK176" s="146"/>
      <c r="UPL176" s="146"/>
      <c r="UPM176" s="146"/>
      <c r="UPN176" s="146"/>
      <c r="UPO176" s="146"/>
      <c r="UPP176" s="146"/>
      <c r="UPQ176" s="146"/>
      <c r="UPR176" s="146"/>
      <c r="UPS176" s="146"/>
      <c r="UPT176" s="146"/>
      <c r="UPU176" s="146"/>
      <c r="UPV176" s="146"/>
      <c r="UPW176" s="146"/>
      <c r="UPX176" s="146"/>
      <c r="UPY176" s="146"/>
      <c r="UPZ176" s="146"/>
      <c r="UQA176" s="146"/>
      <c r="UQB176" s="146"/>
      <c r="UQC176" s="146"/>
      <c r="UQD176" s="146"/>
      <c r="UQE176" s="146"/>
      <c r="UQF176" s="146"/>
      <c r="UQG176" s="146"/>
      <c r="UQH176" s="146"/>
      <c r="UQI176" s="146"/>
      <c r="UQJ176" s="146"/>
      <c r="UQK176" s="146"/>
      <c r="UQL176" s="146"/>
      <c r="UQM176" s="146"/>
      <c r="UQN176" s="146"/>
      <c r="UQO176" s="146"/>
      <c r="UQP176" s="146"/>
      <c r="UQQ176" s="146"/>
      <c r="UQR176" s="146"/>
      <c r="UQS176" s="146"/>
      <c r="UQT176" s="146"/>
      <c r="UQU176" s="146"/>
      <c r="UQV176" s="146"/>
      <c r="UQW176" s="146"/>
      <c r="UQX176" s="146"/>
      <c r="UQY176" s="146"/>
      <c r="UQZ176" s="146"/>
      <c r="URA176" s="146"/>
      <c r="URB176" s="146"/>
      <c r="URC176" s="146"/>
      <c r="URD176" s="146"/>
      <c r="URE176" s="146"/>
      <c r="URF176" s="146"/>
      <c r="URG176" s="146"/>
      <c r="URH176" s="146"/>
      <c r="URI176" s="146"/>
      <c r="URJ176" s="146"/>
      <c r="URK176" s="146"/>
      <c r="URL176" s="146"/>
      <c r="URM176" s="146"/>
      <c r="URN176" s="146"/>
      <c r="URO176" s="146"/>
      <c r="URP176" s="146"/>
      <c r="URQ176" s="146"/>
      <c r="URR176" s="146"/>
      <c r="URS176" s="146"/>
      <c r="URT176" s="146"/>
      <c r="URU176" s="146"/>
      <c r="URV176" s="146"/>
      <c r="URW176" s="146"/>
      <c r="URX176" s="146"/>
      <c r="URY176" s="146"/>
      <c r="URZ176" s="146"/>
      <c r="USA176" s="146"/>
      <c r="USB176" s="146"/>
      <c r="USC176" s="146"/>
      <c r="USD176" s="146"/>
      <c r="USE176" s="146"/>
      <c r="USF176" s="146"/>
      <c r="USG176" s="146"/>
      <c r="USH176" s="146"/>
      <c r="USI176" s="146"/>
      <c r="USJ176" s="146"/>
      <c r="USK176" s="146"/>
      <c r="USL176" s="146"/>
      <c r="USM176" s="146"/>
      <c r="USN176" s="146"/>
      <c r="USO176" s="146"/>
      <c r="USP176" s="146"/>
      <c r="USQ176" s="146"/>
      <c r="USR176" s="146"/>
      <c r="USS176" s="146"/>
      <c r="UST176" s="146"/>
      <c r="USU176" s="146"/>
      <c r="USV176" s="146"/>
      <c r="USW176" s="146"/>
      <c r="USX176" s="146"/>
      <c r="USY176" s="146"/>
      <c r="USZ176" s="146"/>
      <c r="UTA176" s="146"/>
      <c r="UTB176" s="146"/>
      <c r="UTC176" s="146"/>
      <c r="UTD176" s="146"/>
      <c r="UTE176" s="146"/>
      <c r="UTF176" s="146"/>
      <c r="UTG176" s="146"/>
      <c r="UTH176" s="146"/>
      <c r="UTI176" s="146"/>
      <c r="UTJ176" s="146"/>
      <c r="UTK176" s="146"/>
      <c r="UTL176" s="146"/>
      <c r="UTM176" s="146"/>
      <c r="UTN176" s="146"/>
      <c r="UTO176" s="146"/>
      <c r="UTP176" s="146"/>
      <c r="UTQ176" s="146"/>
      <c r="UTR176" s="146"/>
      <c r="UTS176" s="146"/>
      <c r="UTT176" s="146"/>
      <c r="UTU176" s="146"/>
      <c r="UTV176" s="146"/>
      <c r="UTW176" s="146"/>
      <c r="UTX176" s="146"/>
      <c r="UTY176" s="146"/>
      <c r="UTZ176" s="146"/>
      <c r="UUA176" s="146"/>
      <c r="UUB176" s="146"/>
      <c r="UUC176" s="146"/>
      <c r="UUD176" s="146"/>
      <c r="UUE176" s="146"/>
      <c r="UUF176" s="146"/>
      <c r="UUG176" s="146"/>
      <c r="UUH176" s="146"/>
      <c r="UUI176" s="146"/>
      <c r="UUJ176" s="146"/>
      <c r="UUK176" s="146"/>
      <c r="UUL176" s="146"/>
      <c r="UUM176" s="146"/>
      <c r="UUN176" s="146"/>
      <c r="UUO176" s="146"/>
      <c r="UUP176" s="146"/>
      <c r="UUQ176" s="146"/>
      <c r="UUR176" s="146"/>
      <c r="UUS176" s="146"/>
      <c r="UUT176" s="146"/>
      <c r="UUU176" s="146"/>
      <c r="UUV176" s="146"/>
      <c r="UUW176" s="146"/>
      <c r="UUX176" s="146"/>
      <c r="UUY176" s="146"/>
      <c r="UUZ176" s="146"/>
      <c r="UVA176" s="146"/>
      <c r="UVB176" s="146"/>
      <c r="UVC176" s="146"/>
      <c r="UVD176" s="146"/>
      <c r="UVE176" s="146"/>
      <c r="UVF176" s="146"/>
      <c r="UVG176" s="146"/>
      <c r="UVH176" s="146"/>
      <c r="UVI176" s="146"/>
      <c r="UVJ176" s="146"/>
      <c r="UVK176" s="146"/>
      <c r="UVL176" s="146"/>
      <c r="UVM176" s="146"/>
      <c r="UVN176" s="146"/>
      <c r="UVO176" s="146"/>
      <c r="UVP176" s="146"/>
      <c r="UVQ176" s="146"/>
      <c r="UVR176" s="146"/>
      <c r="UVS176" s="146"/>
      <c r="UVT176" s="146"/>
      <c r="UVU176" s="146"/>
      <c r="UVV176" s="146"/>
      <c r="UVW176" s="146"/>
      <c r="UVX176" s="146"/>
      <c r="UVY176" s="146"/>
      <c r="UVZ176" s="146"/>
      <c r="UWA176" s="146"/>
      <c r="UWB176" s="146"/>
      <c r="UWC176" s="146"/>
      <c r="UWD176" s="146"/>
      <c r="UWE176" s="146"/>
      <c r="UWF176" s="146"/>
      <c r="UWG176" s="146"/>
      <c r="UWH176" s="146"/>
      <c r="UWI176" s="146"/>
      <c r="UWJ176" s="146"/>
      <c r="UWK176" s="146"/>
      <c r="UWL176" s="146"/>
      <c r="UWM176" s="146"/>
      <c r="UWN176" s="146"/>
      <c r="UWO176" s="146"/>
      <c r="UWP176" s="146"/>
      <c r="UWQ176" s="146"/>
      <c r="UWR176" s="146"/>
      <c r="UWS176" s="146"/>
      <c r="UWT176" s="146"/>
      <c r="UWU176" s="146"/>
      <c r="UWV176" s="146"/>
      <c r="UWW176" s="146"/>
      <c r="UWX176" s="146"/>
      <c r="UWY176" s="146"/>
      <c r="UWZ176" s="146"/>
      <c r="UXA176" s="146"/>
      <c r="UXB176" s="146"/>
      <c r="UXC176" s="146"/>
      <c r="UXD176" s="146"/>
      <c r="UXE176" s="146"/>
      <c r="UXF176" s="146"/>
      <c r="UXG176" s="146"/>
      <c r="UXH176" s="146"/>
      <c r="UXI176" s="146"/>
      <c r="UXJ176" s="146"/>
      <c r="UXK176" s="146"/>
      <c r="UXL176" s="146"/>
      <c r="UXM176" s="146"/>
      <c r="UXN176" s="146"/>
      <c r="UXO176" s="146"/>
      <c r="UXP176" s="146"/>
      <c r="UXQ176" s="146"/>
      <c r="UXR176" s="146"/>
      <c r="UXS176" s="146"/>
      <c r="UXT176" s="146"/>
      <c r="UXU176" s="146"/>
      <c r="UXV176" s="146"/>
      <c r="UXW176" s="146"/>
      <c r="UXX176" s="146"/>
      <c r="UXY176" s="146"/>
      <c r="UXZ176" s="146"/>
      <c r="UYA176" s="146"/>
      <c r="UYB176" s="146"/>
      <c r="UYC176" s="146"/>
      <c r="UYD176" s="146"/>
      <c r="UYE176" s="146"/>
      <c r="UYF176" s="146"/>
      <c r="UYG176" s="146"/>
      <c r="UYH176" s="146"/>
      <c r="UYI176" s="146"/>
      <c r="UYJ176" s="146"/>
      <c r="UYK176" s="146"/>
      <c r="UYL176" s="146"/>
      <c r="UYM176" s="146"/>
      <c r="UYN176" s="146"/>
      <c r="UYO176" s="146"/>
      <c r="UYP176" s="146"/>
      <c r="UYQ176" s="146"/>
      <c r="UYR176" s="146"/>
      <c r="UYS176" s="146"/>
      <c r="UYT176" s="146"/>
      <c r="UYU176" s="146"/>
      <c r="UYV176" s="146"/>
      <c r="UYW176" s="146"/>
      <c r="UYX176" s="146"/>
      <c r="UYY176" s="146"/>
      <c r="UYZ176" s="146"/>
      <c r="UZA176" s="146"/>
      <c r="UZB176" s="146"/>
      <c r="UZC176" s="146"/>
      <c r="UZD176" s="146"/>
      <c r="UZE176" s="146"/>
      <c r="UZF176" s="146"/>
      <c r="UZG176" s="146"/>
      <c r="UZH176" s="146"/>
      <c r="UZI176" s="146"/>
      <c r="UZJ176" s="146"/>
      <c r="UZK176" s="146"/>
      <c r="UZL176" s="146"/>
      <c r="UZM176" s="146"/>
      <c r="UZN176" s="146"/>
      <c r="UZO176" s="146"/>
      <c r="UZP176" s="146"/>
      <c r="UZQ176" s="146"/>
      <c r="UZR176" s="146"/>
      <c r="UZS176" s="146"/>
      <c r="UZT176" s="146"/>
      <c r="UZU176" s="146"/>
      <c r="UZV176" s="146"/>
      <c r="UZW176" s="146"/>
      <c r="UZX176" s="146"/>
      <c r="UZY176" s="146"/>
      <c r="UZZ176" s="146"/>
      <c r="VAA176" s="146"/>
      <c r="VAB176" s="146"/>
      <c r="VAC176" s="146"/>
      <c r="VAD176" s="146"/>
      <c r="VAE176" s="146"/>
      <c r="VAF176" s="146"/>
      <c r="VAG176" s="146"/>
      <c r="VAH176" s="146"/>
      <c r="VAI176" s="146"/>
      <c r="VAJ176" s="146"/>
      <c r="VAK176" s="146"/>
      <c r="VAL176" s="146"/>
      <c r="VAM176" s="146"/>
      <c r="VAN176" s="146"/>
      <c r="VAO176" s="146"/>
      <c r="VAP176" s="146"/>
      <c r="VAQ176" s="146"/>
      <c r="VAR176" s="146"/>
      <c r="VAS176" s="146"/>
      <c r="VAT176" s="146"/>
      <c r="VAU176" s="146"/>
      <c r="VAV176" s="146"/>
      <c r="VAW176" s="146"/>
      <c r="VAX176" s="146"/>
      <c r="VAY176" s="146"/>
      <c r="VAZ176" s="146"/>
      <c r="VBA176" s="146"/>
      <c r="VBB176" s="146"/>
      <c r="VBC176" s="146"/>
      <c r="VBD176" s="146"/>
      <c r="VBE176" s="146"/>
      <c r="VBF176" s="146"/>
      <c r="VBG176" s="146"/>
      <c r="VBH176" s="146"/>
      <c r="VBI176" s="146"/>
      <c r="VBJ176" s="146"/>
      <c r="VBK176" s="146"/>
      <c r="VBL176" s="146"/>
      <c r="VBM176" s="146"/>
      <c r="VBN176" s="146"/>
      <c r="VBO176" s="146"/>
      <c r="VBP176" s="146"/>
      <c r="VBQ176" s="146"/>
      <c r="VBR176" s="146"/>
      <c r="VBS176" s="146"/>
      <c r="VBT176" s="146"/>
      <c r="VBU176" s="146"/>
      <c r="VBV176" s="146"/>
      <c r="VBW176" s="146"/>
      <c r="VBX176" s="146"/>
      <c r="VBY176" s="146"/>
      <c r="VBZ176" s="146"/>
      <c r="VCA176" s="146"/>
      <c r="VCB176" s="146"/>
      <c r="VCC176" s="146"/>
      <c r="VCD176" s="146"/>
      <c r="VCE176" s="146"/>
      <c r="VCF176" s="146"/>
      <c r="VCG176" s="146"/>
      <c r="VCH176" s="146"/>
      <c r="VCI176" s="146"/>
      <c r="VCJ176" s="146"/>
      <c r="VCK176" s="146"/>
      <c r="VCL176" s="146"/>
      <c r="VCM176" s="146"/>
      <c r="VCN176" s="146"/>
      <c r="VCO176" s="146"/>
      <c r="VCP176" s="146"/>
      <c r="VCQ176" s="146"/>
      <c r="VCR176" s="146"/>
      <c r="VCS176" s="146"/>
      <c r="VCT176" s="146"/>
      <c r="VCU176" s="146"/>
      <c r="VCV176" s="146"/>
      <c r="VCW176" s="146"/>
      <c r="VCX176" s="146"/>
      <c r="VCY176" s="146"/>
      <c r="VCZ176" s="146"/>
      <c r="VDA176" s="146"/>
      <c r="VDB176" s="146"/>
      <c r="VDC176" s="146"/>
      <c r="VDD176" s="146"/>
      <c r="VDE176" s="146"/>
      <c r="VDF176" s="146"/>
      <c r="VDG176" s="146"/>
      <c r="VDH176" s="146"/>
      <c r="VDI176" s="146"/>
      <c r="VDJ176" s="146"/>
      <c r="VDK176" s="146"/>
      <c r="VDL176" s="146"/>
      <c r="VDM176" s="146"/>
      <c r="VDN176" s="146"/>
      <c r="VDO176" s="146"/>
      <c r="VDP176" s="146"/>
      <c r="VDQ176" s="146"/>
      <c r="VDR176" s="146"/>
      <c r="VDS176" s="146"/>
      <c r="VDT176" s="146"/>
      <c r="VDU176" s="146"/>
      <c r="VDV176" s="146"/>
      <c r="VDW176" s="146"/>
      <c r="VDX176" s="146"/>
      <c r="VDY176" s="146"/>
      <c r="VDZ176" s="146"/>
      <c r="VEA176" s="146"/>
      <c r="VEB176" s="146"/>
      <c r="VEC176" s="146"/>
      <c r="VED176" s="146"/>
      <c r="VEE176" s="146"/>
      <c r="VEF176" s="146"/>
      <c r="VEG176" s="146"/>
      <c r="VEH176" s="146"/>
      <c r="VEI176" s="146"/>
      <c r="VEJ176" s="146"/>
      <c r="VEK176" s="146"/>
      <c r="VEL176" s="146"/>
      <c r="VEM176" s="146"/>
      <c r="VEN176" s="146"/>
      <c r="VEO176" s="146"/>
      <c r="VEP176" s="146"/>
      <c r="VEQ176" s="146"/>
      <c r="VER176" s="146"/>
      <c r="VES176" s="146"/>
      <c r="VET176" s="146"/>
      <c r="VEU176" s="146"/>
      <c r="VEV176" s="146"/>
      <c r="VEW176" s="146"/>
      <c r="VEX176" s="146"/>
      <c r="VEY176" s="146"/>
      <c r="VEZ176" s="146"/>
      <c r="VFA176" s="146"/>
      <c r="VFB176" s="146"/>
      <c r="VFC176" s="146"/>
      <c r="VFD176" s="146"/>
      <c r="VFE176" s="146"/>
      <c r="VFF176" s="146"/>
      <c r="VFG176" s="146"/>
      <c r="VFH176" s="146"/>
      <c r="VFI176" s="146"/>
      <c r="VFJ176" s="146"/>
      <c r="VFK176" s="146"/>
      <c r="VFL176" s="146"/>
      <c r="VFM176" s="146"/>
      <c r="VFN176" s="146"/>
      <c r="VFO176" s="146"/>
      <c r="VFP176" s="146"/>
      <c r="VFQ176" s="146"/>
      <c r="VFR176" s="146"/>
      <c r="VFS176" s="146"/>
      <c r="VFT176" s="146"/>
      <c r="VFU176" s="146"/>
      <c r="VFV176" s="146"/>
      <c r="VFW176" s="146"/>
      <c r="VFX176" s="146"/>
      <c r="VFY176" s="146"/>
      <c r="VFZ176" s="146"/>
      <c r="VGA176" s="146"/>
      <c r="VGB176" s="146"/>
      <c r="VGC176" s="146"/>
      <c r="VGD176" s="146"/>
      <c r="VGE176" s="146"/>
      <c r="VGF176" s="146"/>
      <c r="VGG176" s="146"/>
      <c r="VGH176" s="146"/>
      <c r="VGI176" s="146"/>
      <c r="VGJ176" s="146"/>
      <c r="VGK176" s="146"/>
      <c r="VGL176" s="146"/>
      <c r="VGM176" s="146"/>
      <c r="VGN176" s="146"/>
      <c r="VGO176" s="146"/>
      <c r="VGP176" s="146"/>
      <c r="VGQ176" s="146"/>
      <c r="VGR176" s="146"/>
      <c r="VGS176" s="146"/>
      <c r="VGT176" s="146"/>
      <c r="VGU176" s="146"/>
      <c r="VGV176" s="146"/>
      <c r="VGW176" s="146"/>
      <c r="VGX176" s="146"/>
      <c r="VGY176" s="146"/>
      <c r="VGZ176" s="146"/>
      <c r="VHA176" s="146"/>
      <c r="VHB176" s="146"/>
      <c r="VHC176" s="146"/>
      <c r="VHD176" s="146"/>
      <c r="VHE176" s="146"/>
      <c r="VHF176" s="146"/>
      <c r="VHG176" s="146"/>
      <c r="VHH176" s="146"/>
      <c r="VHI176" s="146"/>
      <c r="VHJ176" s="146"/>
      <c r="VHK176" s="146"/>
      <c r="VHL176" s="146"/>
      <c r="VHM176" s="146"/>
      <c r="VHN176" s="146"/>
      <c r="VHO176" s="146"/>
      <c r="VHP176" s="146"/>
      <c r="VHQ176" s="146"/>
      <c r="VHR176" s="146"/>
      <c r="VHS176" s="146"/>
      <c r="VHT176" s="146"/>
      <c r="VHU176" s="146"/>
      <c r="VHV176" s="146"/>
      <c r="VHW176" s="146"/>
      <c r="VHX176" s="146"/>
      <c r="VHY176" s="146"/>
      <c r="VHZ176" s="146"/>
      <c r="VIA176" s="146"/>
      <c r="VIB176" s="146"/>
      <c r="VIC176" s="146"/>
      <c r="VID176" s="146"/>
      <c r="VIE176" s="146"/>
      <c r="VIF176" s="146"/>
      <c r="VIG176" s="146"/>
      <c r="VIH176" s="146"/>
      <c r="VII176" s="146"/>
      <c r="VIJ176" s="146"/>
      <c r="VIK176" s="146"/>
      <c r="VIL176" s="146"/>
      <c r="VIM176" s="146"/>
      <c r="VIN176" s="146"/>
      <c r="VIO176" s="146"/>
      <c r="VIP176" s="146"/>
      <c r="VIQ176" s="146"/>
      <c r="VIR176" s="146"/>
      <c r="VIS176" s="146"/>
      <c r="VIT176" s="146"/>
      <c r="VIU176" s="146"/>
      <c r="VIV176" s="146"/>
      <c r="VIW176" s="146"/>
      <c r="VIX176" s="146"/>
      <c r="VIY176" s="146"/>
      <c r="VIZ176" s="146"/>
      <c r="VJA176" s="146"/>
      <c r="VJB176" s="146"/>
      <c r="VJC176" s="146"/>
      <c r="VJD176" s="146"/>
      <c r="VJE176" s="146"/>
      <c r="VJF176" s="146"/>
      <c r="VJG176" s="146"/>
      <c r="VJH176" s="146"/>
      <c r="VJI176" s="146"/>
      <c r="VJJ176" s="146"/>
      <c r="VJK176" s="146"/>
      <c r="VJL176" s="146"/>
      <c r="VJM176" s="146"/>
      <c r="VJN176" s="146"/>
      <c r="VJO176" s="146"/>
      <c r="VJP176" s="146"/>
      <c r="VJQ176" s="146"/>
      <c r="VJR176" s="146"/>
      <c r="VJS176" s="146"/>
      <c r="VJT176" s="146"/>
      <c r="VJU176" s="146"/>
      <c r="VJV176" s="146"/>
      <c r="VJW176" s="146"/>
      <c r="VJX176" s="146"/>
      <c r="VJY176" s="146"/>
      <c r="VJZ176" s="146"/>
      <c r="VKA176" s="146"/>
      <c r="VKB176" s="146"/>
      <c r="VKC176" s="146"/>
      <c r="VKD176" s="146"/>
      <c r="VKE176" s="146"/>
      <c r="VKF176" s="146"/>
      <c r="VKG176" s="146"/>
      <c r="VKH176" s="146"/>
      <c r="VKI176" s="146"/>
      <c r="VKJ176" s="146"/>
      <c r="VKK176" s="146"/>
      <c r="VKL176" s="146"/>
      <c r="VKM176" s="146"/>
      <c r="VKN176" s="146"/>
      <c r="VKO176" s="146"/>
      <c r="VKP176" s="146"/>
      <c r="VKQ176" s="146"/>
      <c r="VKR176" s="146"/>
      <c r="VKS176" s="146"/>
      <c r="VKT176" s="146"/>
      <c r="VKU176" s="146"/>
      <c r="VKV176" s="146"/>
      <c r="VKW176" s="146"/>
      <c r="VKX176" s="146"/>
      <c r="VKY176" s="146"/>
      <c r="VKZ176" s="146"/>
      <c r="VLA176" s="146"/>
      <c r="VLB176" s="146"/>
      <c r="VLC176" s="146"/>
      <c r="VLD176" s="146"/>
      <c r="VLE176" s="146"/>
      <c r="VLF176" s="146"/>
      <c r="VLG176" s="146"/>
      <c r="VLH176" s="146"/>
      <c r="VLI176" s="146"/>
      <c r="VLJ176" s="146"/>
      <c r="VLK176" s="146"/>
      <c r="VLL176" s="146"/>
      <c r="VLM176" s="146"/>
      <c r="VLN176" s="146"/>
      <c r="VLO176" s="146"/>
      <c r="VLP176" s="146"/>
      <c r="VLQ176" s="146"/>
      <c r="VLR176" s="146"/>
      <c r="VLS176" s="146"/>
      <c r="VLT176" s="146"/>
      <c r="VLU176" s="146"/>
      <c r="VLV176" s="146"/>
      <c r="VLW176" s="146"/>
      <c r="VLX176" s="146"/>
      <c r="VLY176" s="146"/>
      <c r="VLZ176" s="146"/>
      <c r="VMA176" s="146"/>
      <c r="VMB176" s="146"/>
      <c r="VMC176" s="146"/>
      <c r="VMD176" s="146"/>
      <c r="VME176" s="146"/>
      <c r="VMF176" s="146"/>
      <c r="VMG176" s="146"/>
      <c r="VMH176" s="146"/>
      <c r="VMI176" s="146"/>
      <c r="VMJ176" s="146"/>
      <c r="VMK176" s="146"/>
      <c r="VML176" s="146"/>
      <c r="VMM176" s="146"/>
      <c r="VMN176" s="146"/>
      <c r="VMO176" s="146"/>
      <c r="VMP176" s="146"/>
      <c r="VMQ176" s="146"/>
      <c r="VMR176" s="146"/>
      <c r="VMS176" s="146"/>
      <c r="VMT176" s="146"/>
      <c r="VMU176" s="146"/>
      <c r="VMV176" s="146"/>
      <c r="VMW176" s="146"/>
      <c r="VMX176" s="146"/>
      <c r="VMY176" s="146"/>
      <c r="VMZ176" s="146"/>
      <c r="VNA176" s="146"/>
      <c r="VNB176" s="146"/>
      <c r="VNC176" s="146"/>
      <c r="VND176" s="146"/>
      <c r="VNE176" s="146"/>
      <c r="VNF176" s="146"/>
      <c r="VNG176" s="146"/>
      <c r="VNH176" s="146"/>
      <c r="VNI176" s="146"/>
      <c r="VNJ176" s="146"/>
      <c r="VNK176" s="146"/>
      <c r="VNL176" s="146"/>
      <c r="VNM176" s="146"/>
      <c r="VNN176" s="146"/>
      <c r="VNO176" s="146"/>
      <c r="VNP176" s="146"/>
      <c r="VNQ176" s="146"/>
      <c r="VNR176" s="146"/>
      <c r="VNS176" s="146"/>
      <c r="VNT176" s="146"/>
      <c r="VNU176" s="146"/>
      <c r="VNV176" s="146"/>
      <c r="VNW176" s="146"/>
      <c r="VNX176" s="146"/>
      <c r="VNY176" s="146"/>
      <c r="VNZ176" s="146"/>
      <c r="VOA176" s="146"/>
      <c r="VOB176" s="146"/>
      <c r="VOC176" s="146"/>
      <c r="VOD176" s="146"/>
      <c r="VOE176" s="146"/>
      <c r="VOF176" s="146"/>
      <c r="VOG176" s="146"/>
      <c r="VOH176" s="146"/>
      <c r="VOI176" s="146"/>
      <c r="VOJ176" s="146"/>
      <c r="VOK176" s="146"/>
      <c r="VOL176" s="146"/>
      <c r="VOM176" s="146"/>
      <c r="VON176" s="146"/>
      <c r="VOO176" s="146"/>
      <c r="VOP176" s="146"/>
      <c r="VOQ176" s="146"/>
      <c r="VOR176" s="146"/>
      <c r="VOS176" s="146"/>
      <c r="VOT176" s="146"/>
      <c r="VOU176" s="146"/>
      <c r="VOV176" s="146"/>
      <c r="VOW176" s="146"/>
      <c r="VOX176" s="146"/>
      <c r="VOY176" s="146"/>
      <c r="VOZ176" s="146"/>
      <c r="VPA176" s="146"/>
      <c r="VPB176" s="146"/>
      <c r="VPC176" s="146"/>
      <c r="VPD176" s="146"/>
      <c r="VPE176" s="146"/>
      <c r="VPF176" s="146"/>
      <c r="VPG176" s="146"/>
      <c r="VPH176" s="146"/>
      <c r="VPI176" s="146"/>
      <c r="VPJ176" s="146"/>
      <c r="VPK176" s="146"/>
      <c r="VPL176" s="146"/>
      <c r="VPM176" s="146"/>
      <c r="VPN176" s="146"/>
      <c r="VPO176" s="146"/>
      <c r="VPP176" s="146"/>
      <c r="VPQ176" s="146"/>
      <c r="VPR176" s="146"/>
      <c r="VPS176" s="146"/>
      <c r="VPT176" s="146"/>
      <c r="VPU176" s="146"/>
      <c r="VPV176" s="146"/>
      <c r="VPW176" s="146"/>
      <c r="VPX176" s="146"/>
      <c r="VPY176" s="146"/>
      <c r="VPZ176" s="146"/>
      <c r="VQA176" s="146"/>
      <c r="VQB176" s="146"/>
      <c r="VQC176" s="146"/>
      <c r="VQD176" s="146"/>
      <c r="VQE176" s="146"/>
      <c r="VQF176" s="146"/>
      <c r="VQG176" s="146"/>
      <c r="VQH176" s="146"/>
      <c r="VQI176" s="146"/>
      <c r="VQJ176" s="146"/>
      <c r="VQK176" s="146"/>
      <c r="VQL176" s="146"/>
      <c r="VQM176" s="146"/>
      <c r="VQN176" s="146"/>
      <c r="VQO176" s="146"/>
      <c r="VQP176" s="146"/>
      <c r="VQQ176" s="146"/>
      <c r="VQR176" s="146"/>
      <c r="VQS176" s="146"/>
      <c r="VQT176" s="146"/>
      <c r="VQU176" s="146"/>
      <c r="VQV176" s="146"/>
      <c r="VQW176" s="146"/>
      <c r="VQX176" s="146"/>
      <c r="VQY176" s="146"/>
      <c r="VQZ176" s="146"/>
      <c r="VRA176" s="146"/>
      <c r="VRB176" s="146"/>
      <c r="VRC176" s="146"/>
      <c r="VRD176" s="146"/>
      <c r="VRE176" s="146"/>
      <c r="VRF176" s="146"/>
      <c r="VRG176" s="146"/>
      <c r="VRH176" s="146"/>
      <c r="VRI176" s="146"/>
      <c r="VRJ176" s="146"/>
      <c r="VRK176" s="146"/>
      <c r="VRL176" s="146"/>
      <c r="VRM176" s="146"/>
      <c r="VRN176" s="146"/>
      <c r="VRO176" s="146"/>
      <c r="VRP176" s="146"/>
      <c r="VRQ176" s="146"/>
      <c r="VRR176" s="146"/>
      <c r="VRS176" s="146"/>
      <c r="VRT176" s="146"/>
      <c r="VRU176" s="146"/>
      <c r="VRV176" s="146"/>
      <c r="VRW176" s="146"/>
      <c r="VRX176" s="146"/>
      <c r="VRY176" s="146"/>
      <c r="VRZ176" s="146"/>
      <c r="VSA176" s="146"/>
      <c r="VSB176" s="146"/>
      <c r="VSC176" s="146"/>
      <c r="VSD176" s="146"/>
      <c r="VSE176" s="146"/>
      <c r="VSF176" s="146"/>
      <c r="VSG176" s="146"/>
      <c r="VSH176" s="146"/>
      <c r="VSI176" s="146"/>
      <c r="VSJ176" s="146"/>
      <c r="VSK176" s="146"/>
      <c r="VSL176" s="146"/>
      <c r="VSM176" s="146"/>
      <c r="VSN176" s="146"/>
      <c r="VSO176" s="146"/>
      <c r="VSP176" s="146"/>
      <c r="VSQ176" s="146"/>
      <c r="VSR176" s="146"/>
      <c r="VSS176" s="146"/>
      <c r="VST176" s="146"/>
      <c r="VSU176" s="146"/>
      <c r="VSV176" s="146"/>
      <c r="VSW176" s="146"/>
      <c r="VSX176" s="146"/>
      <c r="VSY176" s="146"/>
      <c r="VSZ176" s="146"/>
      <c r="VTA176" s="146"/>
      <c r="VTB176" s="146"/>
      <c r="VTC176" s="146"/>
      <c r="VTD176" s="146"/>
      <c r="VTE176" s="146"/>
      <c r="VTF176" s="146"/>
      <c r="VTG176" s="146"/>
      <c r="VTH176" s="146"/>
      <c r="VTI176" s="146"/>
      <c r="VTJ176" s="146"/>
      <c r="VTK176" s="146"/>
      <c r="VTL176" s="146"/>
      <c r="VTM176" s="146"/>
      <c r="VTN176" s="146"/>
      <c r="VTO176" s="146"/>
      <c r="VTP176" s="146"/>
      <c r="VTQ176" s="146"/>
      <c r="VTR176" s="146"/>
      <c r="VTS176" s="146"/>
      <c r="VTT176" s="146"/>
      <c r="VTU176" s="146"/>
      <c r="VTV176" s="146"/>
      <c r="VTW176" s="146"/>
      <c r="VTX176" s="146"/>
      <c r="VTY176" s="146"/>
      <c r="VTZ176" s="146"/>
      <c r="VUA176" s="146"/>
      <c r="VUB176" s="146"/>
      <c r="VUC176" s="146"/>
      <c r="VUD176" s="146"/>
      <c r="VUE176" s="146"/>
      <c r="VUF176" s="146"/>
      <c r="VUG176" s="146"/>
      <c r="VUH176" s="146"/>
      <c r="VUI176" s="146"/>
      <c r="VUJ176" s="146"/>
      <c r="VUK176" s="146"/>
      <c r="VUL176" s="146"/>
      <c r="VUM176" s="146"/>
      <c r="VUN176" s="146"/>
      <c r="VUO176" s="146"/>
      <c r="VUP176" s="146"/>
      <c r="VUQ176" s="146"/>
      <c r="VUR176" s="146"/>
      <c r="VUS176" s="146"/>
      <c r="VUT176" s="146"/>
      <c r="VUU176" s="146"/>
      <c r="VUV176" s="146"/>
      <c r="VUW176" s="146"/>
      <c r="VUX176" s="146"/>
      <c r="VUY176" s="146"/>
      <c r="VUZ176" s="146"/>
      <c r="VVA176" s="146"/>
      <c r="VVB176" s="146"/>
      <c r="VVC176" s="146"/>
      <c r="VVD176" s="146"/>
      <c r="VVE176" s="146"/>
      <c r="VVF176" s="146"/>
      <c r="VVG176" s="146"/>
      <c r="VVH176" s="146"/>
      <c r="VVI176" s="146"/>
      <c r="VVJ176" s="146"/>
      <c r="VVK176" s="146"/>
      <c r="VVL176" s="146"/>
      <c r="VVM176" s="146"/>
      <c r="VVN176" s="146"/>
      <c r="VVO176" s="146"/>
      <c r="VVP176" s="146"/>
      <c r="VVQ176" s="146"/>
      <c r="VVR176" s="146"/>
      <c r="VVS176" s="146"/>
      <c r="VVT176" s="146"/>
      <c r="VVU176" s="146"/>
      <c r="VVV176" s="146"/>
      <c r="VVW176" s="146"/>
      <c r="VVX176" s="146"/>
      <c r="VVY176" s="146"/>
      <c r="VVZ176" s="146"/>
      <c r="VWA176" s="146"/>
      <c r="VWB176" s="146"/>
      <c r="VWC176" s="146"/>
      <c r="VWD176" s="146"/>
      <c r="VWE176" s="146"/>
      <c r="VWF176" s="146"/>
      <c r="VWG176" s="146"/>
      <c r="VWH176" s="146"/>
      <c r="VWI176" s="146"/>
      <c r="VWJ176" s="146"/>
      <c r="VWK176" s="146"/>
      <c r="VWL176" s="146"/>
      <c r="VWM176" s="146"/>
      <c r="VWN176" s="146"/>
      <c r="VWO176" s="146"/>
      <c r="VWP176" s="146"/>
      <c r="VWQ176" s="146"/>
      <c r="VWR176" s="146"/>
      <c r="VWS176" s="146"/>
      <c r="VWT176" s="146"/>
      <c r="VWU176" s="146"/>
      <c r="VWV176" s="146"/>
      <c r="VWW176" s="146"/>
      <c r="VWX176" s="146"/>
      <c r="VWY176" s="146"/>
      <c r="VWZ176" s="146"/>
      <c r="VXA176" s="146"/>
      <c r="VXB176" s="146"/>
      <c r="VXC176" s="146"/>
      <c r="VXD176" s="146"/>
      <c r="VXE176" s="146"/>
      <c r="VXF176" s="146"/>
      <c r="VXG176" s="146"/>
      <c r="VXH176" s="146"/>
      <c r="VXI176" s="146"/>
      <c r="VXJ176" s="146"/>
      <c r="VXK176" s="146"/>
      <c r="VXL176" s="146"/>
      <c r="VXM176" s="146"/>
      <c r="VXN176" s="146"/>
      <c r="VXO176" s="146"/>
      <c r="VXP176" s="146"/>
      <c r="VXQ176" s="146"/>
      <c r="VXR176" s="146"/>
      <c r="VXS176" s="146"/>
      <c r="VXT176" s="146"/>
      <c r="VXU176" s="146"/>
      <c r="VXV176" s="146"/>
      <c r="VXW176" s="146"/>
      <c r="VXX176" s="146"/>
      <c r="VXY176" s="146"/>
      <c r="VXZ176" s="146"/>
      <c r="VYA176" s="146"/>
      <c r="VYB176" s="146"/>
      <c r="VYC176" s="146"/>
      <c r="VYD176" s="146"/>
      <c r="VYE176" s="146"/>
      <c r="VYF176" s="146"/>
      <c r="VYG176" s="146"/>
      <c r="VYH176" s="146"/>
      <c r="VYI176" s="146"/>
      <c r="VYJ176" s="146"/>
      <c r="VYK176" s="146"/>
      <c r="VYL176" s="146"/>
      <c r="VYM176" s="146"/>
      <c r="VYN176" s="146"/>
      <c r="VYO176" s="146"/>
      <c r="VYP176" s="146"/>
      <c r="VYQ176" s="146"/>
      <c r="VYR176" s="146"/>
      <c r="VYS176" s="146"/>
      <c r="VYT176" s="146"/>
      <c r="VYU176" s="146"/>
      <c r="VYV176" s="146"/>
      <c r="VYW176" s="146"/>
      <c r="VYX176" s="146"/>
      <c r="VYY176" s="146"/>
      <c r="VYZ176" s="146"/>
      <c r="VZA176" s="146"/>
      <c r="VZB176" s="146"/>
      <c r="VZC176" s="146"/>
      <c r="VZD176" s="146"/>
      <c r="VZE176" s="146"/>
      <c r="VZF176" s="146"/>
      <c r="VZG176" s="146"/>
      <c r="VZH176" s="146"/>
      <c r="VZI176" s="146"/>
      <c r="VZJ176" s="146"/>
      <c r="VZK176" s="146"/>
      <c r="VZL176" s="146"/>
      <c r="VZM176" s="146"/>
      <c r="VZN176" s="146"/>
      <c r="VZO176" s="146"/>
      <c r="VZP176" s="146"/>
      <c r="VZQ176" s="146"/>
      <c r="VZR176" s="146"/>
      <c r="VZS176" s="146"/>
      <c r="VZT176" s="146"/>
      <c r="VZU176" s="146"/>
      <c r="VZV176" s="146"/>
      <c r="VZW176" s="146"/>
      <c r="VZX176" s="146"/>
      <c r="VZY176" s="146"/>
      <c r="VZZ176" s="146"/>
      <c r="WAA176" s="146"/>
      <c r="WAB176" s="146"/>
      <c r="WAC176" s="146"/>
      <c r="WAD176" s="146"/>
      <c r="WAE176" s="146"/>
      <c r="WAF176" s="146"/>
      <c r="WAG176" s="146"/>
      <c r="WAH176" s="146"/>
      <c r="WAI176" s="146"/>
      <c r="WAJ176" s="146"/>
      <c r="WAK176" s="146"/>
      <c r="WAL176" s="146"/>
      <c r="WAM176" s="146"/>
      <c r="WAN176" s="146"/>
      <c r="WAO176" s="146"/>
      <c r="WAP176" s="146"/>
      <c r="WAQ176" s="146"/>
      <c r="WAR176" s="146"/>
      <c r="WAS176" s="146"/>
      <c r="WAT176" s="146"/>
      <c r="WAU176" s="146"/>
      <c r="WAV176" s="146"/>
      <c r="WAW176" s="146"/>
      <c r="WAX176" s="146"/>
      <c r="WAY176" s="146"/>
      <c r="WAZ176" s="146"/>
      <c r="WBA176" s="146"/>
      <c r="WBB176" s="146"/>
      <c r="WBC176" s="146"/>
      <c r="WBD176" s="146"/>
      <c r="WBE176" s="146"/>
      <c r="WBF176" s="146"/>
      <c r="WBG176" s="146"/>
      <c r="WBH176" s="146"/>
      <c r="WBI176" s="146"/>
      <c r="WBJ176" s="146"/>
      <c r="WBK176" s="146"/>
      <c r="WBL176" s="146"/>
      <c r="WBM176" s="146"/>
      <c r="WBN176" s="146"/>
      <c r="WBO176" s="146"/>
      <c r="WBP176" s="146"/>
      <c r="WBQ176" s="146"/>
      <c r="WBR176" s="146"/>
      <c r="WBS176" s="146"/>
      <c r="WBT176" s="146"/>
      <c r="WBU176" s="146"/>
      <c r="WBV176" s="146"/>
      <c r="WBW176" s="146"/>
      <c r="WBX176" s="146"/>
      <c r="WBY176" s="146"/>
      <c r="WBZ176" s="146"/>
      <c r="WCA176" s="146"/>
      <c r="WCB176" s="146"/>
      <c r="WCC176" s="146"/>
      <c r="WCD176" s="146"/>
      <c r="WCE176" s="146"/>
      <c r="WCF176" s="146"/>
      <c r="WCG176" s="146"/>
      <c r="WCH176" s="146"/>
      <c r="WCI176" s="146"/>
      <c r="WCJ176" s="146"/>
      <c r="WCK176" s="146"/>
      <c r="WCL176" s="146"/>
      <c r="WCM176" s="146"/>
      <c r="WCN176" s="146"/>
      <c r="WCO176" s="146"/>
      <c r="WCP176" s="146"/>
      <c r="WCQ176" s="146"/>
      <c r="WCR176" s="146"/>
      <c r="WCS176" s="146"/>
      <c r="WCT176" s="146"/>
      <c r="WCU176" s="146"/>
      <c r="WCV176" s="146"/>
      <c r="WCW176" s="146"/>
      <c r="WCX176" s="146"/>
      <c r="WCY176" s="146"/>
      <c r="WCZ176" s="146"/>
      <c r="WDA176" s="146"/>
      <c r="WDB176" s="146"/>
      <c r="WDC176" s="146"/>
      <c r="WDD176" s="146"/>
      <c r="WDE176" s="146"/>
      <c r="WDF176" s="146"/>
      <c r="WDG176" s="146"/>
      <c r="WDH176" s="146"/>
      <c r="WDI176" s="146"/>
      <c r="WDJ176" s="146"/>
      <c r="WDK176" s="146"/>
      <c r="WDL176" s="146"/>
      <c r="WDM176" s="146"/>
      <c r="WDN176" s="146"/>
      <c r="WDO176" s="146"/>
      <c r="WDP176" s="146"/>
      <c r="WDQ176" s="146"/>
      <c r="WDR176" s="146"/>
      <c r="WDS176" s="146"/>
      <c r="WDT176" s="146"/>
      <c r="WDU176" s="146"/>
      <c r="WDV176" s="146"/>
      <c r="WDW176" s="146"/>
      <c r="WDX176" s="146"/>
      <c r="WDY176" s="146"/>
      <c r="WDZ176" s="146"/>
      <c r="WEA176" s="146"/>
      <c r="WEB176" s="146"/>
      <c r="WEC176" s="146"/>
      <c r="WED176" s="146"/>
      <c r="WEE176" s="146"/>
      <c r="WEF176" s="146"/>
      <c r="WEG176" s="146"/>
      <c r="WEH176" s="146"/>
      <c r="WEI176" s="146"/>
      <c r="WEJ176" s="146"/>
      <c r="WEK176" s="146"/>
      <c r="WEL176" s="146"/>
      <c r="WEM176" s="146"/>
      <c r="WEN176" s="146"/>
      <c r="WEO176" s="146"/>
      <c r="WEP176" s="146"/>
      <c r="WEQ176" s="146"/>
      <c r="WER176" s="146"/>
      <c r="WES176" s="146"/>
      <c r="WET176" s="146"/>
      <c r="WEU176" s="146"/>
      <c r="WEV176" s="146"/>
      <c r="WEW176" s="146"/>
      <c r="WEX176" s="146"/>
      <c r="WEY176" s="146"/>
      <c r="WEZ176" s="146"/>
      <c r="WFA176" s="146"/>
      <c r="WFB176" s="146"/>
      <c r="WFC176" s="146"/>
      <c r="WFD176" s="146"/>
      <c r="WFE176" s="146"/>
      <c r="WFF176" s="146"/>
      <c r="WFG176" s="146"/>
      <c r="WFH176" s="146"/>
      <c r="WFI176" s="146"/>
      <c r="WFJ176" s="146"/>
      <c r="WFK176" s="146"/>
      <c r="WFL176" s="146"/>
      <c r="WFM176" s="146"/>
      <c r="WFN176" s="146"/>
      <c r="WFO176" s="146"/>
      <c r="WFP176" s="146"/>
      <c r="WFQ176" s="146"/>
      <c r="WFR176" s="146"/>
      <c r="WFS176" s="146"/>
      <c r="WFT176" s="146"/>
      <c r="WFU176" s="146"/>
      <c r="WFV176" s="146"/>
      <c r="WFW176" s="146"/>
      <c r="WFX176" s="146"/>
      <c r="WFY176" s="146"/>
      <c r="WFZ176" s="146"/>
      <c r="WGA176" s="146"/>
      <c r="WGB176" s="146"/>
      <c r="WGC176" s="146"/>
      <c r="WGD176" s="146"/>
      <c r="WGE176" s="146"/>
      <c r="WGF176" s="146"/>
      <c r="WGG176" s="146"/>
      <c r="WGH176" s="146"/>
      <c r="WGI176" s="146"/>
      <c r="WGJ176" s="146"/>
      <c r="WGK176" s="146"/>
      <c r="WGL176" s="146"/>
      <c r="WGM176" s="146"/>
      <c r="WGN176" s="146"/>
      <c r="WGO176" s="146"/>
      <c r="WGP176" s="146"/>
      <c r="WGQ176" s="146"/>
      <c r="WGR176" s="146"/>
      <c r="WGS176" s="146"/>
      <c r="WGT176" s="146"/>
      <c r="WGU176" s="146"/>
      <c r="WGV176" s="146"/>
      <c r="WGW176" s="146"/>
      <c r="WGX176" s="146"/>
      <c r="WGY176" s="146"/>
      <c r="WGZ176" s="146"/>
      <c r="WHA176" s="146"/>
      <c r="WHB176" s="146"/>
      <c r="WHC176" s="146"/>
      <c r="WHD176" s="146"/>
      <c r="WHE176" s="146"/>
      <c r="WHF176" s="146"/>
      <c r="WHG176" s="146"/>
      <c r="WHH176" s="146"/>
      <c r="WHI176" s="146"/>
      <c r="WHJ176" s="146"/>
      <c r="WHK176" s="146"/>
      <c r="WHL176" s="146"/>
      <c r="WHM176" s="146"/>
      <c r="WHN176" s="146"/>
      <c r="WHO176" s="146"/>
      <c r="WHP176" s="146"/>
      <c r="WHQ176" s="146"/>
      <c r="WHR176" s="146"/>
      <c r="WHS176" s="146"/>
      <c r="WHT176" s="146"/>
      <c r="WHU176" s="146"/>
      <c r="WHV176" s="146"/>
      <c r="WHW176" s="146"/>
      <c r="WHX176" s="146"/>
      <c r="WHY176" s="146"/>
      <c r="WHZ176" s="146"/>
      <c r="WIA176" s="146"/>
      <c r="WIB176" s="146"/>
      <c r="WIC176" s="146"/>
      <c r="WID176" s="146"/>
      <c r="WIE176" s="146"/>
      <c r="WIF176" s="146"/>
      <c r="WIG176" s="146"/>
      <c r="WIH176" s="146"/>
      <c r="WII176" s="146"/>
      <c r="WIJ176" s="146"/>
      <c r="WIK176" s="146"/>
      <c r="WIL176" s="146"/>
      <c r="WIM176" s="146"/>
      <c r="WIN176" s="146"/>
      <c r="WIO176" s="146"/>
      <c r="WIP176" s="146"/>
      <c r="WIQ176" s="146"/>
      <c r="WIR176" s="146"/>
      <c r="WIS176" s="146"/>
      <c r="WIT176" s="146"/>
      <c r="WIU176" s="146"/>
      <c r="WIV176" s="146"/>
      <c r="WIW176" s="146"/>
      <c r="WIX176" s="146"/>
      <c r="WIY176" s="146"/>
      <c r="WIZ176" s="146"/>
      <c r="WJA176" s="146"/>
      <c r="WJB176" s="146"/>
      <c r="WJC176" s="146"/>
      <c r="WJD176" s="146"/>
      <c r="WJE176" s="146"/>
      <c r="WJF176" s="146"/>
      <c r="WJG176" s="146"/>
      <c r="WJH176" s="146"/>
      <c r="WJI176" s="146"/>
      <c r="WJJ176" s="146"/>
      <c r="WJK176" s="146"/>
      <c r="WJL176" s="146"/>
      <c r="WJM176" s="146"/>
      <c r="WJN176" s="146"/>
      <c r="WJO176" s="146"/>
      <c r="WJP176" s="146"/>
      <c r="WJQ176" s="146"/>
      <c r="WJR176" s="146"/>
      <c r="WJS176" s="146"/>
      <c r="WJT176" s="146"/>
      <c r="WJU176" s="146"/>
      <c r="WJV176" s="146"/>
      <c r="WJW176" s="146"/>
      <c r="WJX176" s="146"/>
      <c r="WJY176" s="146"/>
      <c r="WJZ176" s="146"/>
      <c r="WKA176" s="146"/>
      <c r="WKB176" s="146"/>
      <c r="WKC176" s="146"/>
      <c r="WKD176" s="146"/>
      <c r="WKE176" s="146"/>
      <c r="WKF176" s="146"/>
      <c r="WKG176" s="146"/>
      <c r="WKH176" s="146"/>
      <c r="WKI176" s="146"/>
      <c r="WKJ176" s="146"/>
      <c r="WKK176" s="146"/>
      <c r="WKL176" s="146"/>
      <c r="WKM176" s="146"/>
      <c r="WKN176" s="146"/>
      <c r="WKO176" s="146"/>
      <c r="WKP176" s="146"/>
      <c r="WKQ176" s="146"/>
      <c r="WKR176" s="146"/>
      <c r="WKS176" s="146"/>
      <c r="WKT176" s="146"/>
      <c r="WKU176" s="146"/>
      <c r="WKV176" s="146"/>
      <c r="WKW176" s="146"/>
      <c r="WKX176" s="146"/>
      <c r="WKY176" s="146"/>
      <c r="WKZ176" s="146"/>
      <c r="WLA176" s="146"/>
      <c r="WLB176" s="146"/>
      <c r="WLC176" s="146"/>
      <c r="WLD176" s="146"/>
      <c r="WLE176" s="146"/>
      <c r="WLF176" s="146"/>
      <c r="WLG176" s="146"/>
      <c r="WLH176" s="146"/>
      <c r="WLI176" s="146"/>
      <c r="WLJ176" s="146"/>
      <c r="WLK176" s="146"/>
      <c r="WLL176" s="146"/>
      <c r="WLM176" s="146"/>
      <c r="WLN176" s="146"/>
      <c r="WLO176" s="146"/>
      <c r="WLP176" s="146"/>
      <c r="WLQ176" s="146"/>
      <c r="WLR176" s="146"/>
      <c r="WLS176" s="146"/>
      <c r="WLT176" s="146"/>
      <c r="WLU176" s="146"/>
      <c r="WLV176" s="146"/>
      <c r="WLW176" s="146"/>
      <c r="WLX176" s="146"/>
      <c r="WLY176" s="146"/>
      <c r="WLZ176" s="146"/>
      <c r="WMA176" s="146"/>
      <c r="WMB176" s="146"/>
      <c r="WMC176" s="146"/>
      <c r="WMD176" s="146"/>
      <c r="WME176" s="146"/>
      <c r="WMF176" s="146"/>
      <c r="WMG176" s="146"/>
      <c r="WMH176" s="146"/>
      <c r="WMI176" s="146"/>
      <c r="WMJ176" s="146"/>
      <c r="WMK176" s="146"/>
      <c r="WML176" s="146"/>
      <c r="WMM176" s="146"/>
      <c r="WMN176" s="146"/>
      <c r="WMO176" s="146"/>
      <c r="WMP176" s="146"/>
      <c r="WMQ176" s="146"/>
      <c r="WMR176" s="146"/>
      <c r="WMS176" s="146"/>
      <c r="WMT176" s="146"/>
      <c r="WMU176" s="146"/>
      <c r="WMV176" s="146"/>
      <c r="WMW176" s="146"/>
      <c r="WMX176" s="146"/>
      <c r="WMY176" s="146"/>
      <c r="WMZ176" s="146"/>
      <c r="WNA176" s="146"/>
      <c r="WNB176" s="146"/>
      <c r="WNC176" s="146"/>
      <c r="WND176" s="146"/>
      <c r="WNE176" s="146"/>
      <c r="WNF176" s="146"/>
      <c r="WNG176" s="146"/>
      <c r="WNH176" s="146"/>
      <c r="WNI176" s="146"/>
      <c r="WNJ176" s="146"/>
      <c r="WNK176" s="146"/>
      <c r="WNL176" s="146"/>
      <c r="WNM176" s="146"/>
      <c r="WNN176" s="146"/>
      <c r="WNO176" s="146"/>
      <c r="WNP176" s="146"/>
      <c r="WNQ176" s="146"/>
      <c r="WNR176" s="146"/>
      <c r="WNS176" s="146"/>
      <c r="WNT176" s="146"/>
      <c r="WNU176" s="146"/>
      <c r="WNV176" s="146"/>
      <c r="WNW176" s="146"/>
      <c r="WNX176" s="146"/>
      <c r="WNY176" s="146"/>
      <c r="WNZ176" s="146"/>
      <c r="WOA176" s="146"/>
      <c r="WOB176" s="146"/>
      <c r="WOC176" s="146"/>
      <c r="WOD176" s="146"/>
      <c r="WOE176" s="146"/>
      <c r="WOF176" s="146"/>
      <c r="WOG176" s="146"/>
      <c r="WOH176" s="146"/>
      <c r="WOI176" s="146"/>
      <c r="WOJ176" s="146"/>
      <c r="WOK176" s="146"/>
      <c r="WOL176" s="146"/>
      <c r="WOM176" s="146"/>
      <c r="WON176" s="146"/>
      <c r="WOO176" s="146"/>
      <c r="WOP176" s="146"/>
      <c r="WOQ176" s="146"/>
      <c r="WOR176" s="146"/>
      <c r="WOS176" s="146"/>
      <c r="WOT176" s="146"/>
      <c r="WOU176" s="146"/>
      <c r="WOV176" s="146"/>
      <c r="WOW176" s="146"/>
      <c r="WOX176" s="146"/>
      <c r="WOY176" s="146"/>
      <c r="WOZ176" s="146"/>
      <c r="WPA176" s="146"/>
      <c r="WPB176" s="146"/>
      <c r="WPC176" s="146"/>
      <c r="WPD176" s="146"/>
      <c r="WPE176" s="146"/>
      <c r="WPF176" s="146"/>
      <c r="WPG176" s="146"/>
      <c r="WPH176" s="146"/>
      <c r="WPI176" s="146"/>
      <c r="WPJ176" s="146"/>
      <c r="WPK176" s="146"/>
      <c r="WPL176" s="146"/>
      <c r="WPM176" s="146"/>
      <c r="WPN176" s="146"/>
      <c r="WPO176" s="146"/>
      <c r="WPP176" s="146"/>
      <c r="WPQ176" s="146"/>
      <c r="WPR176" s="146"/>
      <c r="WPS176" s="146"/>
      <c r="WPT176" s="146"/>
      <c r="WPU176" s="146"/>
      <c r="WPV176" s="146"/>
      <c r="WPW176" s="146"/>
      <c r="WPX176" s="146"/>
      <c r="WPY176" s="146"/>
      <c r="WPZ176" s="146"/>
      <c r="WQA176" s="146"/>
      <c r="WQB176" s="146"/>
      <c r="WQC176" s="146"/>
      <c r="WQD176" s="146"/>
      <c r="WQE176" s="146"/>
      <c r="WQF176" s="146"/>
      <c r="WQG176" s="146"/>
      <c r="WQH176" s="146"/>
      <c r="WQI176" s="146"/>
      <c r="WQJ176" s="146"/>
      <c r="WQK176" s="146"/>
      <c r="WQL176" s="146"/>
      <c r="WQM176" s="146"/>
      <c r="WQN176" s="146"/>
      <c r="WQO176" s="146"/>
      <c r="WQP176" s="146"/>
      <c r="WQQ176" s="146"/>
      <c r="WQR176" s="146"/>
      <c r="WQS176" s="146"/>
      <c r="WQT176" s="146"/>
      <c r="WQU176" s="146"/>
      <c r="WQV176" s="146"/>
      <c r="WQW176" s="146"/>
      <c r="WQX176" s="146"/>
      <c r="WQY176" s="146"/>
      <c r="WQZ176" s="146"/>
      <c r="WRA176" s="146"/>
      <c r="WRB176" s="146"/>
      <c r="WRC176" s="146"/>
      <c r="WRD176" s="146"/>
      <c r="WRE176" s="146"/>
      <c r="WRF176" s="146"/>
      <c r="WRG176" s="146"/>
      <c r="WRH176" s="146"/>
      <c r="WRI176" s="146"/>
      <c r="WRJ176" s="146"/>
      <c r="WRK176" s="146"/>
      <c r="WRL176" s="146"/>
      <c r="WRM176" s="146"/>
      <c r="WRN176" s="146"/>
      <c r="WRO176" s="146"/>
      <c r="WRP176" s="146"/>
      <c r="WRQ176" s="146"/>
      <c r="WRR176" s="146"/>
      <c r="WRS176" s="146"/>
      <c r="WRT176" s="146"/>
      <c r="WRU176" s="146"/>
      <c r="WRV176" s="146"/>
      <c r="WRW176" s="146"/>
      <c r="WRX176" s="146"/>
      <c r="WRY176" s="146"/>
      <c r="WRZ176" s="146"/>
      <c r="WSA176" s="146"/>
      <c r="WSB176" s="146"/>
      <c r="WSC176" s="146"/>
      <c r="WSD176" s="146"/>
      <c r="WSE176" s="146"/>
      <c r="WSF176" s="146"/>
      <c r="WSG176" s="146"/>
      <c r="WSH176" s="146"/>
      <c r="WSI176" s="146"/>
      <c r="WSJ176" s="146"/>
      <c r="WSK176" s="146"/>
      <c r="WSL176" s="146"/>
      <c r="WSM176" s="146"/>
      <c r="WSN176" s="146"/>
      <c r="WSO176" s="146"/>
      <c r="WSP176" s="146"/>
      <c r="WSQ176" s="146"/>
      <c r="WSR176" s="146"/>
      <c r="WSS176" s="146"/>
      <c r="WST176" s="146"/>
      <c r="WSU176" s="146"/>
      <c r="WSV176" s="146"/>
      <c r="WSW176" s="146"/>
      <c r="WSX176" s="146"/>
      <c r="WSY176" s="146"/>
      <c r="WSZ176" s="146"/>
      <c r="WTA176" s="146"/>
      <c r="WTB176" s="146"/>
      <c r="WTC176" s="146"/>
      <c r="WTD176" s="146"/>
      <c r="WTE176" s="146"/>
      <c r="WTF176" s="146"/>
      <c r="WTG176" s="146"/>
      <c r="WTH176" s="146"/>
      <c r="WTI176" s="146"/>
      <c r="WTJ176" s="146"/>
      <c r="WTK176" s="146"/>
      <c r="WTL176" s="146"/>
      <c r="WTM176" s="146"/>
      <c r="WTN176" s="146"/>
      <c r="WTO176" s="146"/>
      <c r="WTP176" s="146"/>
      <c r="WTQ176" s="146"/>
      <c r="WTR176" s="146"/>
      <c r="WTS176" s="146"/>
      <c r="WTT176" s="146"/>
      <c r="WTU176" s="146"/>
      <c r="WTV176" s="146"/>
      <c r="WTW176" s="146"/>
      <c r="WTX176" s="146"/>
      <c r="WTY176" s="146"/>
      <c r="WTZ176" s="146"/>
      <c r="WUA176" s="146"/>
      <c r="WUB176" s="146"/>
      <c r="WUC176" s="146"/>
      <c r="WUD176" s="146"/>
      <c r="WUE176" s="146"/>
      <c r="WUF176" s="146"/>
      <c r="WUG176" s="146"/>
      <c r="WUH176" s="146"/>
      <c r="WUI176" s="146"/>
      <c r="WUJ176" s="146"/>
      <c r="WUK176" s="146"/>
      <c r="WUL176" s="146"/>
      <c r="WUM176" s="146"/>
      <c r="WUN176" s="146"/>
      <c r="WUO176" s="146"/>
      <c r="WUP176" s="146"/>
      <c r="WUQ176" s="146"/>
      <c r="WUR176" s="146"/>
      <c r="WUS176" s="146"/>
      <c r="WUT176" s="146"/>
      <c r="WUU176" s="146"/>
      <c r="WUV176" s="146"/>
      <c r="WUW176" s="146"/>
      <c r="WUX176" s="146"/>
      <c r="WUY176" s="146"/>
      <c r="WUZ176" s="146"/>
      <c r="WVA176" s="146"/>
      <c r="WVB176" s="146"/>
      <c r="WVC176" s="146"/>
      <c r="WVD176" s="146"/>
      <c r="WVE176" s="146"/>
      <c r="WVF176" s="146"/>
      <c r="WVG176" s="146"/>
      <c r="WVH176" s="146"/>
      <c r="WVI176" s="146"/>
      <c r="WVJ176" s="146"/>
      <c r="WVK176" s="146"/>
      <c r="WVL176" s="146"/>
      <c r="WVM176" s="146"/>
      <c r="WVN176" s="146"/>
      <c r="WVO176" s="146"/>
      <c r="WVP176" s="146"/>
      <c r="WVQ176" s="146"/>
      <c r="WVR176" s="146"/>
      <c r="WVS176" s="146"/>
      <c r="WVT176" s="146"/>
      <c r="WVU176" s="146"/>
      <c r="WVV176" s="146"/>
      <c r="WVW176" s="146"/>
      <c r="WVX176" s="146"/>
      <c r="WVY176" s="146"/>
      <c r="WVZ176" s="146"/>
      <c r="WWA176" s="146"/>
      <c r="WWB176" s="146"/>
      <c r="WWC176" s="146"/>
      <c r="WWD176" s="146"/>
      <c r="WWE176" s="146"/>
      <c r="WWF176" s="146"/>
      <c r="WWG176" s="146"/>
      <c r="WWH176" s="146"/>
      <c r="WWI176" s="146"/>
      <c r="WWJ176" s="146"/>
      <c r="WWK176" s="146"/>
      <c r="WWL176" s="146"/>
      <c r="WWM176" s="146"/>
      <c r="WWN176" s="146"/>
      <c r="WWO176" s="146"/>
      <c r="WWP176" s="146"/>
      <c r="WWQ176" s="146"/>
      <c r="WWR176" s="146"/>
      <c r="WWS176" s="146"/>
      <c r="WWT176" s="146"/>
      <c r="WWU176" s="146"/>
      <c r="WWV176" s="146"/>
      <c r="WWW176" s="146"/>
      <c r="WWX176" s="146"/>
      <c r="WWY176" s="146"/>
      <c r="WWZ176" s="146"/>
      <c r="WXA176" s="146"/>
      <c r="WXB176" s="146"/>
      <c r="WXC176" s="146"/>
      <c r="WXD176" s="146"/>
      <c r="WXE176" s="146"/>
      <c r="WXF176" s="146"/>
      <c r="WXG176" s="146"/>
      <c r="WXH176" s="146"/>
      <c r="WXI176" s="146"/>
      <c r="WXJ176" s="146"/>
      <c r="WXK176" s="146"/>
      <c r="WXL176" s="146"/>
      <c r="WXM176" s="146"/>
      <c r="WXN176" s="146"/>
      <c r="WXO176" s="146"/>
      <c r="WXP176" s="146"/>
      <c r="WXQ176" s="146"/>
      <c r="WXR176" s="146"/>
      <c r="WXS176" s="146"/>
      <c r="WXT176" s="146"/>
      <c r="WXU176" s="146"/>
      <c r="WXV176" s="146"/>
      <c r="WXW176" s="146"/>
      <c r="WXX176" s="146"/>
      <c r="WXY176" s="146"/>
      <c r="WXZ176" s="146"/>
      <c r="WYA176" s="146"/>
      <c r="WYB176" s="146"/>
      <c r="WYC176" s="146"/>
      <c r="WYD176" s="146"/>
      <c r="WYE176" s="146"/>
      <c r="WYF176" s="146"/>
      <c r="WYG176" s="146"/>
      <c r="WYH176" s="146"/>
      <c r="WYI176" s="146"/>
      <c r="WYJ176" s="146"/>
      <c r="WYK176" s="146"/>
      <c r="WYL176" s="146"/>
      <c r="WYM176" s="146"/>
      <c r="WYN176" s="146"/>
      <c r="WYO176" s="146"/>
      <c r="WYP176" s="146"/>
      <c r="WYQ176" s="146"/>
      <c r="WYR176" s="146"/>
      <c r="WYS176" s="146"/>
      <c r="WYT176" s="146"/>
      <c r="WYU176" s="146"/>
      <c r="WYV176" s="146"/>
      <c r="WYW176" s="146"/>
      <c r="WYX176" s="146"/>
      <c r="WYY176" s="146"/>
      <c r="WYZ176" s="146"/>
      <c r="WZA176" s="146"/>
      <c r="WZB176" s="146"/>
      <c r="WZC176" s="146"/>
      <c r="WZD176" s="146"/>
      <c r="WZE176" s="146"/>
      <c r="WZF176" s="146"/>
      <c r="WZG176" s="146"/>
      <c r="WZH176" s="146"/>
      <c r="WZI176" s="146"/>
      <c r="WZJ176" s="146"/>
      <c r="WZK176" s="146"/>
      <c r="WZL176" s="146"/>
      <c r="WZM176" s="146"/>
      <c r="WZN176" s="146"/>
      <c r="WZO176" s="146"/>
      <c r="WZP176" s="146"/>
      <c r="WZQ176" s="146"/>
      <c r="WZR176" s="146"/>
      <c r="WZS176" s="146"/>
      <c r="WZT176" s="146"/>
      <c r="WZU176" s="146"/>
      <c r="WZV176" s="146"/>
      <c r="WZW176" s="146"/>
      <c r="WZX176" s="146"/>
      <c r="WZY176" s="146"/>
      <c r="WZZ176" s="146"/>
      <c r="XAA176" s="146"/>
      <c r="XAB176" s="146"/>
      <c r="XAC176" s="146"/>
      <c r="XAD176" s="146"/>
      <c r="XAE176" s="146"/>
      <c r="XAF176" s="146"/>
      <c r="XAG176" s="146"/>
      <c r="XAH176" s="146"/>
      <c r="XAI176" s="146"/>
      <c r="XAJ176" s="146"/>
      <c r="XAK176" s="146"/>
      <c r="XAL176" s="146"/>
      <c r="XAM176" s="146"/>
      <c r="XAN176" s="146"/>
      <c r="XAO176" s="146"/>
      <c r="XAP176" s="146"/>
      <c r="XAQ176" s="146"/>
      <c r="XAR176" s="146"/>
      <c r="XAS176" s="146"/>
      <c r="XAT176" s="146"/>
      <c r="XAU176" s="146"/>
      <c r="XAV176" s="146"/>
      <c r="XAW176" s="146"/>
      <c r="XAX176" s="146"/>
      <c r="XAY176" s="146"/>
      <c r="XAZ176" s="146"/>
      <c r="XBA176" s="146"/>
      <c r="XBB176" s="146"/>
      <c r="XBC176" s="146"/>
      <c r="XBD176" s="146"/>
      <c r="XBE176" s="146"/>
      <c r="XBF176" s="146"/>
      <c r="XBG176" s="146"/>
      <c r="XBH176" s="146"/>
      <c r="XBI176" s="146"/>
      <c r="XBJ176" s="146"/>
      <c r="XBK176" s="146"/>
      <c r="XBL176" s="146"/>
      <c r="XBM176" s="146"/>
      <c r="XBN176" s="146"/>
      <c r="XBO176" s="146"/>
      <c r="XBP176" s="146"/>
      <c r="XBQ176" s="146"/>
      <c r="XBR176" s="146"/>
      <c r="XBS176" s="146"/>
      <c r="XBT176" s="146"/>
      <c r="XBU176" s="146"/>
      <c r="XBV176" s="146"/>
      <c r="XBW176" s="146"/>
      <c r="XBX176" s="146"/>
      <c r="XBY176" s="146"/>
      <c r="XBZ176" s="146"/>
      <c r="XCA176" s="146"/>
      <c r="XCB176" s="146"/>
      <c r="XCC176" s="146"/>
      <c r="XCD176" s="146"/>
      <c r="XCE176" s="146"/>
      <c r="XCF176" s="146"/>
      <c r="XCG176" s="146"/>
      <c r="XCH176" s="146"/>
      <c r="XCI176" s="146"/>
      <c r="XCJ176" s="146"/>
      <c r="XCK176" s="146"/>
      <c r="XCL176" s="146"/>
      <c r="XCM176" s="146"/>
      <c r="XCN176" s="146"/>
      <c r="XCO176" s="146"/>
      <c r="XCP176" s="146"/>
      <c r="XCQ176" s="146"/>
      <c r="XCR176" s="146"/>
      <c r="XCS176" s="146"/>
      <c r="XCT176" s="146"/>
      <c r="XCU176" s="146"/>
      <c r="XCV176" s="146"/>
      <c r="XCW176" s="146"/>
      <c r="XCX176" s="146"/>
      <c r="XCY176" s="146"/>
      <c r="XCZ176" s="146"/>
      <c r="XDA176" s="146"/>
      <c r="XDB176" s="146"/>
      <c r="XDC176" s="146"/>
      <c r="XDD176" s="146"/>
      <c r="XDE176" s="146"/>
      <c r="XDF176" s="146"/>
      <c r="XDG176" s="146"/>
      <c r="XDH176" s="146"/>
      <c r="XDI176" s="146"/>
      <c r="XDJ176" s="146"/>
      <c r="XDK176" s="146"/>
      <c r="XDL176" s="146"/>
      <c r="XDM176" s="146"/>
      <c r="XDN176" s="146"/>
      <c r="XDO176" s="146"/>
      <c r="XDP176" s="146"/>
      <c r="XDQ176" s="146"/>
      <c r="XDR176" s="146"/>
      <c r="XDS176" s="146"/>
      <c r="XDT176" s="146"/>
      <c r="XDU176" s="146"/>
      <c r="XDV176" s="146"/>
      <c r="XDW176" s="146"/>
      <c r="XDX176" s="146"/>
      <c r="XDY176" s="146"/>
      <c r="XDZ176" s="146"/>
      <c r="XEA176" s="146"/>
      <c r="XEB176" s="146"/>
      <c r="XEC176" s="146"/>
      <c r="XED176" s="146"/>
      <c r="XEE176" s="146"/>
      <c r="XEF176" s="146"/>
      <c r="XEG176" s="146"/>
      <c r="XEH176" s="146"/>
      <c r="XEI176" s="146"/>
      <c r="XEJ176" s="146"/>
      <c r="XEK176" s="146"/>
      <c r="XEL176" s="146"/>
      <c r="XEM176" s="146"/>
      <c r="XEN176" s="146"/>
      <c r="XEO176" s="146"/>
      <c r="XEP176" s="146"/>
      <c r="XEQ176" s="146"/>
      <c r="XER176" s="146"/>
      <c r="XES176" s="146"/>
      <c r="XET176" s="146"/>
      <c r="XEU176" s="146"/>
      <c r="XEV176" s="146"/>
      <c r="XEW176" s="146"/>
      <c r="XEX176" s="146"/>
      <c r="XEY176" s="146"/>
      <c r="XEZ176" s="146"/>
      <c r="XFA176" s="146"/>
      <c r="XFB176" s="146"/>
    </row>
    <row r="177" spans="1:26" s="106" customFormat="1" x14ac:dyDescent="0.25">
      <c r="A177" s="78" t="s">
        <v>887</v>
      </c>
      <c r="B177" s="78" t="s">
        <v>891</v>
      </c>
      <c r="C177" s="78" t="s">
        <v>1892</v>
      </c>
      <c r="D177" s="81" t="str">
        <f>IF(MouserListTable[[#This Row],[Vendor]]=FilterSpecs!$A$8,MouserListTable[[#This Row],[Mouser SKU]], MouserListTable[[#This Row],[Supplier SKU]])</f>
        <v>474-SEN-14348</v>
      </c>
      <c r="E177" s="94">
        <f>MouserListTable[[#This Row],[Tot '#]]-MouserListTable[[#This Row],['# Initial]]</f>
        <v>1</v>
      </c>
      <c r="F177" s="94">
        <f>IF(AND(MouserListTable[[#This Row],[Tag]]&lt;&gt;FilterSpecs!$F$12, MouserListTable[[#This Row],[Tag]]&lt;&gt;FilterSpecs!$F$9), MouserListTable[[#This Row],['#/Unit]]*FilterSpecs!$B$3+MouserListTable[[#This Row],[Extra Initial]],0)</f>
        <v>0</v>
      </c>
      <c r="G177" s="78" t="s">
        <v>677</v>
      </c>
      <c r="H177" s="150" t="s">
        <v>678</v>
      </c>
      <c r="I177" s="78" t="s">
        <v>679</v>
      </c>
      <c r="J177" s="78">
        <v>1</v>
      </c>
      <c r="K177" s="117">
        <v>34.950000000000003</v>
      </c>
      <c r="L177" s="78" t="s">
        <v>1896</v>
      </c>
      <c r="M177" s="81"/>
      <c r="N177" s="154">
        <f>MouserListTable[[#This Row],['# Initial]]*MouserListTable[[#This Row],[Price (USD)]]</f>
        <v>0</v>
      </c>
      <c r="O177" s="81" t="s">
        <v>676</v>
      </c>
      <c r="P177" s="150">
        <f t="shared" si="2"/>
        <v>164</v>
      </c>
      <c r="Q177" s="78" t="s">
        <v>5</v>
      </c>
      <c r="R177"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474-SEN-14348</v>
      </c>
      <c r="S177" s="133" t="str">
        <f>HYPERLINK("https://www.mouser.com/ProductDetail/" &amp;MouserListTable[[#This Row],[Mouser SKU]])</f>
        <v>https://www.mouser.com/ProductDetail/474-SEN-14348</v>
      </c>
      <c r="T177" s="94">
        <v>0</v>
      </c>
      <c r="U177" s="94">
        <v>1</v>
      </c>
      <c r="V177" s="94">
        <v>0</v>
      </c>
      <c r="W177" s="94">
        <f>MouserListTable[[#This Row],['#/Unit]]*FilterSpecs!$C$3+MouserListTable[[#This Row],[Extra]]</f>
        <v>1</v>
      </c>
      <c r="X177" s="94">
        <f>IF(MouserListTable[[#This Row],[Tag]]=FilterSpecs!$F$7,MouserListTable[[#This Row],['#/Unit]]*MouserListTable[[#This Row],[Price (USD)]],0)</f>
        <v>0</v>
      </c>
      <c r="Y177" s="94">
        <f>MouserListTable[[#This Row],[Tot '#]]*MouserListTable[[#This Row],[Price (USD)]]</f>
        <v>34.950000000000003</v>
      </c>
      <c r="Z177"/>
    </row>
    <row r="178" spans="1:26" s="106" customFormat="1" x14ac:dyDescent="0.25">
      <c r="A178" s="78" t="s">
        <v>887</v>
      </c>
      <c r="B178" s="78" t="s">
        <v>891</v>
      </c>
      <c r="C178" s="78" t="s">
        <v>1892</v>
      </c>
      <c r="D178" s="81" t="str">
        <f>IF(MouserListTable[[#This Row],[Vendor]]=FilterSpecs!$A$8,MouserListTable[[#This Row],[Mouser SKU]], MouserListTable[[#This Row],[Supplier SKU]])</f>
        <v>474-SEN-14045</v>
      </c>
      <c r="E178" s="94">
        <f>MouserListTable[[#This Row],[Tot '#]]-MouserListTable[[#This Row],['# Initial]]</f>
        <v>1</v>
      </c>
      <c r="F178" s="94">
        <f>IF(AND(MouserListTable[[#This Row],[Tag]]&lt;&gt;FilterSpecs!$F$12, MouserListTable[[#This Row],[Tag]]&lt;&gt;FilterSpecs!$F$9), MouserListTable[[#This Row],['#/Unit]]*FilterSpecs!$B$3+MouserListTable[[#This Row],[Extra Initial]],0)</f>
        <v>0</v>
      </c>
      <c r="G178" s="78" t="s">
        <v>681</v>
      </c>
      <c r="H178" s="150" t="s">
        <v>682</v>
      </c>
      <c r="I178" s="78" t="s">
        <v>683</v>
      </c>
      <c r="J178" s="78"/>
      <c r="K178" s="117">
        <v>12.95</v>
      </c>
      <c r="L178" s="78" t="s">
        <v>1896</v>
      </c>
      <c r="M178" s="81"/>
      <c r="N178" s="154">
        <f>MouserListTable[[#This Row],['# Initial]]*MouserListTable[[#This Row],[Price (USD)]]</f>
        <v>0</v>
      </c>
      <c r="O178" s="81" t="s">
        <v>680</v>
      </c>
      <c r="P178" s="150">
        <f t="shared" si="2"/>
        <v>165</v>
      </c>
      <c r="Q178" s="78" t="s">
        <v>5</v>
      </c>
      <c r="R178"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474-SEN-14045</v>
      </c>
      <c r="S178" s="133" t="str">
        <f>HYPERLINK("https://www.mouser.com/ProductDetail/" &amp;MouserListTable[[#This Row],[Mouser SKU]])</f>
        <v>https://www.mouser.com/ProductDetail/474-SEN-14045</v>
      </c>
      <c r="T178" s="94">
        <v>0</v>
      </c>
      <c r="U178" s="94">
        <v>1</v>
      </c>
      <c r="V178" s="94">
        <v>0</v>
      </c>
      <c r="W178" s="94">
        <f>MouserListTable[[#This Row],['#/Unit]]*FilterSpecs!$C$3+MouserListTable[[#This Row],[Extra]]</f>
        <v>1</v>
      </c>
      <c r="X178" s="94">
        <f>IF(MouserListTable[[#This Row],[Tag]]=FilterSpecs!$F$7,MouserListTable[[#This Row],['#/Unit]]*MouserListTable[[#This Row],[Price (USD)]],0)</f>
        <v>0</v>
      </c>
      <c r="Y178" s="94">
        <f>MouserListTable[[#This Row],[Tot '#]]*MouserListTable[[#This Row],[Price (USD)]]</f>
        <v>12.95</v>
      </c>
      <c r="Z178"/>
    </row>
    <row r="179" spans="1:26" s="106" customFormat="1" x14ac:dyDescent="0.25">
      <c r="A179" s="78" t="s">
        <v>887</v>
      </c>
      <c r="B179" s="78" t="s">
        <v>891</v>
      </c>
      <c r="C179" s="78" t="s">
        <v>1892</v>
      </c>
      <c r="D179" s="81" t="str">
        <f>IF(MouserListTable[[#This Row],[Vendor]]=FilterSpecs!$A$8,MouserListTable[[#This Row],[Mouser SKU]], MouserListTable[[#This Row],[Supplier SKU]])</f>
        <v>474-BOB-08891</v>
      </c>
      <c r="E179" s="94">
        <f>MouserListTable[[#This Row],[Tot '#]]-MouserListTable[[#This Row],['# Initial]]</f>
        <v>1</v>
      </c>
      <c r="F179" s="94">
        <f>IF(AND(MouserListTable[[#This Row],[Tag]]&lt;&gt;FilterSpecs!$F$12, MouserListTable[[#This Row],[Tag]]&lt;&gt;FilterSpecs!$F$9), MouserListTable[[#This Row],['#/Unit]]*FilterSpecs!$B$3+MouserListTable[[#This Row],[Extra Initial]],0)</f>
        <v>0</v>
      </c>
      <c r="G179" s="78" t="s">
        <v>685</v>
      </c>
      <c r="H179" s="150" t="s">
        <v>686</v>
      </c>
      <c r="I179" s="78" t="s">
        <v>687</v>
      </c>
      <c r="J179" s="78">
        <v>1</v>
      </c>
      <c r="K179" s="117">
        <v>0.95</v>
      </c>
      <c r="L179" s="78" t="s">
        <v>1896</v>
      </c>
      <c r="M179" s="81"/>
      <c r="N179" s="154">
        <f>MouserListTable[[#This Row],['# Initial]]*MouserListTable[[#This Row],[Price (USD)]]</f>
        <v>0</v>
      </c>
      <c r="O179" s="81" t="s">
        <v>684</v>
      </c>
      <c r="P179" s="150">
        <f t="shared" si="2"/>
        <v>166</v>
      </c>
      <c r="Q179" s="78" t="s">
        <v>5</v>
      </c>
      <c r="R179"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474-BOB-08891</v>
      </c>
      <c r="S179" s="133" t="str">
        <f>HYPERLINK("https://www.mouser.com/ProductDetail/" &amp;MouserListTable[[#This Row],[Mouser SKU]])</f>
        <v>https://www.mouser.com/ProductDetail/474-BOB-08891</v>
      </c>
      <c r="T179" s="94">
        <v>0</v>
      </c>
      <c r="U179" s="94">
        <v>1</v>
      </c>
      <c r="V179" s="94">
        <v>0</v>
      </c>
      <c r="W179" s="94">
        <f>MouserListTable[[#This Row],['#/Unit]]*FilterSpecs!$C$3+MouserListTable[[#This Row],[Extra]]</f>
        <v>1</v>
      </c>
      <c r="X179" s="94">
        <f>IF(MouserListTable[[#This Row],[Tag]]=FilterSpecs!$F$7,MouserListTable[[#This Row],['#/Unit]]*MouserListTable[[#This Row],[Price (USD)]],0)</f>
        <v>0</v>
      </c>
      <c r="Y179" s="94">
        <f>MouserListTable[[#This Row],[Tot '#]]*MouserListTable[[#This Row],[Price (USD)]]</f>
        <v>0.95</v>
      </c>
      <c r="Z179"/>
    </row>
    <row r="180" spans="1:26" s="106" customFormat="1" x14ac:dyDescent="0.25">
      <c r="A180" s="78" t="s">
        <v>887</v>
      </c>
      <c r="B180" s="78" t="s">
        <v>891</v>
      </c>
      <c r="C180" s="78" t="s">
        <v>1892</v>
      </c>
      <c r="D180" s="81" t="str">
        <f>IF(MouserListTable[[#This Row],[Vendor]]=FilterSpecs!$A$8,MouserListTable[[#This Row],[Mouser SKU]], MouserListTable[[#This Row],[Supplier SKU]])</f>
        <v>474-SEN-09403</v>
      </c>
      <c r="E180" s="94">
        <f>MouserListTable[[#This Row],[Tot '#]]-MouserListTable[[#This Row],['# Initial]]</f>
        <v>1</v>
      </c>
      <c r="F180" s="94">
        <f>IF(AND(MouserListTable[[#This Row],[Tag]]&lt;&gt;FilterSpecs!$F$12, MouserListTable[[#This Row],[Tag]]&lt;&gt;FilterSpecs!$F$9), MouserListTable[[#This Row],['#/Unit]]*FilterSpecs!$B$3+MouserListTable[[#This Row],[Extra Initial]],0)</f>
        <v>0</v>
      </c>
      <c r="G180" s="78" t="s">
        <v>689</v>
      </c>
      <c r="H180" s="150" t="s">
        <v>690</v>
      </c>
      <c r="I180" s="78" t="s">
        <v>691</v>
      </c>
      <c r="J180" s="78">
        <v>1</v>
      </c>
      <c r="K180" s="117">
        <v>7.25</v>
      </c>
      <c r="L180" s="78" t="s">
        <v>1896</v>
      </c>
      <c r="M180" s="81"/>
      <c r="N180" s="154">
        <f>MouserListTable[[#This Row],['# Initial]]*MouserListTable[[#This Row],[Price (USD)]]</f>
        <v>0</v>
      </c>
      <c r="O180" s="81" t="s">
        <v>688</v>
      </c>
      <c r="P180" s="150">
        <f t="shared" si="2"/>
        <v>167</v>
      </c>
      <c r="Q180" s="78" t="s">
        <v>5</v>
      </c>
      <c r="R180"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474-SEN-09403</v>
      </c>
      <c r="S180" s="133" t="str">
        <f>HYPERLINK("https://www.mouser.com/ProductDetail/" &amp;MouserListTable[[#This Row],[Mouser SKU]])</f>
        <v>https://www.mouser.com/ProductDetail/474-SEN-09403</v>
      </c>
      <c r="T180" s="94">
        <v>0</v>
      </c>
      <c r="U180" s="94">
        <v>1</v>
      </c>
      <c r="V180" s="94">
        <v>0</v>
      </c>
      <c r="W180" s="94">
        <f>MouserListTable[[#This Row],['#/Unit]]*FilterSpecs!$C$3+MouserListTable[[#This Row],[Extra]]</f>
        <v>1</v>
      </c>
      <c r="X180" s="94">
        <f>IF(MouserListTable[[#This Row],[Tag]]=FilterSpecs!$F$7,MouserListTable[[#This Row],['#/Unit]]*MouserListTable[[#This Row],[Price (USD)]],0)</f>
        <v>0</v>
      </c>
      <c r="Y180" s="94">
        <f>MouserListTable[[#This Row],[Tot '#]]*MouserListTable[[#This Row],[Price (USD)]]</f>
        <v>7.25</v>
      </c>
      <c r="Z180"/>
    </row>
    <row r="181" spans="1:26" s="106" customFormat="1" x14ac:dyDescent="0.25">
      <c r="A181" s="97" t="s">
        <v>887</v>
      </c>
      <c r="B181" s="97" t="s">
        <v>891</v>
      </c>
      <c r="C181" s="78" t="s">
        <v>1892</v>
      </c>
      <c r="D181" s="81" t="str">
        <f>IF(MouserListTable[[#This Row],[Vendor]]=FilterSpecs!$A$8,MouserListTable[[#This Row],[Mouser SKU]], MouserListTable[[#This Row],[Supplier SKU]])</f>
        <v>474-SEN-12055</v>
      </c>
      <c r="E181" s="94">
        <f>MouserListTable[[#This Row],[Tot '#]]-MouserListTable[[#This Row],['# Initial]]</f>
        <v>0</v>
      </c>
      <c r="F181" s="94">
        <f>IF(AND(MouserListTable[[#This Row],[Tag]]&lt;&gt;FilterSpecs!$F$12, MouserListTable[[#This Row],[Tag]]&lt;&gt;FilterSpecs!$F$9), MouserListTable[[#This Row],['#/Unit]]*FilterSpecs!$B$3+MouserListTable[[#This Row],[Extra Initial]],0)</f>
        <v>0</v>
      </c>
      <c r="G181" s="78" t="s">
        <v>821</v>
      </c>
      <c r="H181" s="150" t="s">
        <v>822</v>
      </c>
      <c r="I181" s="78" t="s">
        <v>205</v>
      </c>
      <c r="J181" s="78">
        <v>1</v>
      </c>
      <c r="K181" s="117">
        <v>5.95</v>
      </c>
      <c r="L181" s="78" t="s">
        <v>2461</v>
      </c>
      <c r="N181" s="154">
        <f>MouserListTable[[#This Row],['# Initial]]*MouserListTable[[#This Row],[Price (USD)]]</f>
        <v>0</v>
      </c>
      <c r="O181" s="81" t="s">
        <v>820</v>
      </c>
      <c r="P181" s="150">
        <f t="shared" si="2"/>
        <v>168</v>
      </c>
      <c r="Q181" s="78" t="s">
        <v>5</v>
      </c>
      <c r="R181"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474-SEN-12055</v>
      </c>
      <c r="S181" s="133" t="str">
        <f>HYPERLINK("https://www.mouser.com/ProductDetail/" &amp;MouserListTable[[#This Row],[Mouser SKU]])</f>
        <v>https://www.mouser.com/ProductDetail/474-SEN-12055</v>
      </c>
      <c r="T181" s="94">
        <v>0</v>
      </c>
      <c r="U181" s="94">
        <v>0</v>
      </c>
      <c r="V181" s="94">
        <v>0</v>
      </c>
      <c r="W181" s="94">
        <f>MouserListTable[[#This Row],['#/Unit]]*FilterSpecs!$C$3+MouserListTable[[#This Row],[Extra]]</f>
        <v>0</v>
      </c>
      <c r="X181" s="94">
        <f>IF(MouserListTable[[#This Row],[Tag]]=FilterSpecs!$F$7,MouserListTable[[#This Row],['#/Unit]]*MouserListTable[[#This Row],[Price (USD)]],0)</f>
        <v>0</v>
      </c>
      <c r="Y181" s="94">
        <f>MouserListTable[[#This Row],[Tot '#]]*MouserListTable[[#This Row],[Price (USD)]]</f>
        <v>0</v>
      </c>
      <c r="Z181"/>
    </row>
    <row r="182" spans="1:26" s="106" customFormat="1" x14ac:dyDescent="0.25">
      <c r="A182" s="78" t="s">
        <v>887</v>
      </c>
      <c r="B182" s="78" t="s">
        <v>891</v>
      </c>
      <c r="C182" s="78" t="s">
        <v>1892</v>
      </c>
      <c r="D182" s="81" t="str">
        <f>IF(MouserListTable[[#This Row],[Vendor]]=FilterSpecs!$A$8,MouserListTable[[#This Row],[Mouser SKU]], MouserListTable[[#This Row],[Supplier SKU]])</f>
        <v>474-BOB-08688</v>
      </c>
      <c r="E182" s="94">
        <f>MouserListTable[[#This Row],[Tot '#]]-MouserListTable[[#This Row],['# Initial]]</f>
        <v>2</v>
      </c>
      <c r="F182" s="94">
        <f>IF(AND(MouserListTable[[#This Row],[Tag]]&lt;&gt;FilterSpecs!$F$12, MouserListTable[[#This Row],[Tag]]&lt;&gt;FilterSpecs!$F$9), MouserListTable[[#This Row],['#/Unit]]*FilterSpecs!$B$3+MouserListTable[[#This Row],[Extra Initial]],0)</f>
        <v>0</v>
      </c>
      <c r="G182" s="78" t="s">
        <v>824</v>
      </c>
      <c r="H182" s="150" t="s">
        <v>825</v>
      </c>
      <c r="I182" s="78" t="s">
        <v>213</v>
      </c>
      <c r="J182" s="78">
        <v>1</v>
      </c>
      <c r="K182" s="117">
        <v>3.95</v>
      </c>
      <c r="L182" s="78" t="s">
        <v>1896</v>
      </c>
      <c r="M182" s="81"/>
      <c r="N182" s="154">
        <f>MouserListTable[[#This Row],['# Initial]]*MouserListTable[[#This Row],[Price (USD)]]</f>
        <v>0</v>
      </c>
      <c r="O182" s="81" t="s">
        <v>823</v>
      </c>
      <c r="P182" s="150">
        <f t="shared" si="2"/>
        <v>169</v>
      </c>
      <c r="Q182" s="78" t="s">
        <v>5</v>
      </c>
      <c r="R182"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474-BOB-08688</v>
      </c>
      <c r="S182" s="133" t="str">
        <f>HYPERLINK("https://www.mouser.com/ProductDetail/" &amp;MouserListTable[[#This Row],[Mouser SKU]])</f>
        <v>https://www.mouser.com/ProductDetail/474-BOB-08688</v>
      </c>
      <c r="T182" s="94">
        <v>0</v>
      </c>
      <c r="U182" s="94">
        <v>2</v>
      </c>
      <c r="V182" s="94">
        <v>0</v>
      </c>
      <c r="W182" s="94">
        <f>MouserListTable[[#This Row],['#/Unit]]*FilterSpecs!$C$3+MouserListTable[[#This Row],[Extra]]</f>
        <v>2</v>
      </c>
      <c r="X182" s="94">
        <f>IF(MouserListTable[[#This Row],[Tag]]=FilterSpecs!$F$7,MouserListTable[[#This Row],['#/Unit]]*MouserListTable[[#This Row],[Price (USD)]],0)</f>
        <v>0</v>
      </c>
      <c r="Y182" s="94">
        <f>MouserListTable[[#This Row],[Tot '#]]*MouserListTable[[#This Row],[Price (USD)]]</f>
        <v>7.9</v>
      </c>
      <c r="Z182"/>
    </row>
    <row r="183" spans="1:26" s="106" customFormat="1" x14ac:dyDescent="0.25">
      <c r="A183" s="78" t="s">
        <v>887</v>
      </c>
      <c r="B183" s="78" t="s">
        <v>9</v>
      </c>
      <c r="C183" s="78" t="s">
        <v>1892</v>
      </c>
      <c r="D183" s="81" t="str">
        <f>IF(MouserListTable[[#This Row],[Vendor]]=FilterSpecs!$A$8,MouserListTable[[#This Row],[Mouser SKU]], MouserListTable[[#This Row],[Supplier SKU]])</f>
        <v>474-WRL-13677</v>
      </c>
      <c r="E183" s="94">
        <f>MouserListTable[[#This Row],[Tot '#]]-MouserListTable[[#This Row],['# Initial]]</f>
        <v>3</v>
      </c>
      <c r="F183" s="94">
        <f>IF(AND(MouserListTable[[#This Row],[Tag]]&lt;&gt;FilterSpecs!$F$12, MouserListTable[[#This Row],[Tag]]&lt;&gt;FilterSpecs!$F$9), MouserListTable[[#This Row],['#/Unit]]*FilterSpecs!$B$3+MouserListTable[[#This Row],[Extra Initial]],0)</f>
        <v>0</v>
      </c>
      <c r="G183" s="78" t="s">
        <v>250</v>
      </c>
      <c r="H183" s="150" t="s">
        <v>251</v>
      </c>
      <c r="I183" s="78" t="s">
        <v>252</v>
      </c>
      <c r="J183" s="78">
        <v>1</v>
      </c>
      <c r="K183" s="117">
        <v>14.95</v>
      </c>
      <c r="L183" s="78" t="s">
        <v>1896</v>
      </c>
      <c r="M183" s="81"/>
      <c r="N183" s="154">
        <f>MouserListTable[[#This Row],['# Initial]]*MouserListTable[[#This Row],[Price (USD)]]</f>
        <v>0</v>
      </c>
      <c r="O183" s="81" t="s">
        <v>249</v>
      </c>
      <c r="P183" s="150">
        <f t="shared" si="2"/>
        <v>170</v>
      </c>
      <c r="Q183" s="78" t="s">
        <v>5</v>
      </c>
      <c r="R183"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474-WRL-13677</v>
      </c>
      <c r="S183" s="133" t="str">
        <f>HYPERLINK("https://www.mouser.com/ProductDetail/" &amp;MouserListTable[[#This Row],[Mouser SKU]])</f>
        <v>https://www.mouser.com/ProductDetail/474-WRL-13677</v>
      </c>
      <c r="T183" s="94">
        <v>0</v>
      </c>
      <c r="U183" s="94">
        <v>3</v>
      </c>
      <c r="V183" s="94">
        <v>0</v>
      </c>
      <c r="W183" s="94">
        <f>MouserListTable[[#This Row],['#/Unit]]*FilterSpecs!$C$3+MouserListTable[[#This Row],[Extra]]</f>
        <v>3</v>
      </c>
      <c r="X183" s="94">
        <f>IF(MouserListTable[[#This Row],[Tag]]=FilterSpecs!$F$7,MouserListTable[[#This Row],['#/Unit]]*MouserListTable[[#This Row],[Price (USD)]],0)</f>
        <v>0</v>
      </c>
      <c r="Y183" s="94">
        <f>MouserListTable[[#This Row],[Tot '#]]*MouserListTable[[#This Row],[Price (USD)]]</f>
        <v>44.849999999999994</v>
      </c>
      <c r="Z183"/>
    </row>
    <row r="184" spans="1:26" s="106" customFormat="1" x14ac:dyDescent="0.25">
      <c r="A184" s="97" t="s">
        <v>887</v>
      </c>
      <c r="B184" s="78" t="s">
        <v>9</v>
      </c>
      <c r="C184" s="78" t="s">
        <v>1892</v>
      </c>
      <c r="D184" s="81" t="str">
        <f>IF(MouserListTable[[#This Row],[Vendor]]=FilterSpecs!$A$8,MouserListTable[[#This Row],[Mouser SKU]], MouserListTable[[#This Row],[Supplier SKU]])</f>
        <v>474-WRL-13678</v>
      </c>
      <c r="E184" s="94">
        <f>MouserListTable[[#This Row],[Tot '#]]-MouserListTable[[#This Row],['# Initial]]</f>
        <v>0</v>
      </c>
      <c r="F184" s="94">
        <f>IF(AND(MouserListTable[[#This Row],[Tag]]&lt;&gt;FilterSpecs!$F$12, MouserListTable[[#This Row],[Tag]]&lt;&gt;FilterSpecs!$F$9), MouserListTable[[#This Row],['#/Unit]]*FilterSpecs!$B$3+MouserListTable[[#This Row],[Extra Initial]],0)</f>
        <v>0</v>
      </c>
      <c r="G184" s="78" t="s">
        <v>254</v>
      </c>
      <c r="H184" s="150" t="s">
        <v>255</v>
      </c>
      <c r="I184" s="78" t="s">
        <v>256</v>
      </c>
      <c r="J184" s="78">
        <v>1</v>
      </c>
      <c r="K184" s="117">
        <v>6.95</v>
      </c>
      <c r="L184" s="78" t="s">
        <v>1899</v>
      </c>
      <c r="N184" s="154">
        <f>MouserListTable[[#This Row],['# Initial]]*MouserListTable[[#This Row],[Price (USD)]]</f>
        <v>0</v>
      </c>
      <c r="O184" s="81" t="s">
        <v>253</v>
      </c>
      <c r="P184" s="150">
        <f t="shared" si="2"/>
        <v>171</v>
      </c>
      <c r="Q184" s="78" t="s">
        <v>5</v>
      </c>
      <c r="R184"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474-WRL-13678</v>
      </c>
      <c r="S184" s="133" t="str">
        <f>HYPERLINK("https://www.mouser.com/ProductDetail/" &amp;MouserListTable[[#This Row],[Mouser SKU]])</f>
        <v>https://www.mouser.com/ProductDetail/474-WRL-13678</v>
      </c>
      <c r="T184" s="94">
        <v>0</v>
      </c>
      <c r="U184" s="94">
        <v>0</v>
      </c>
      <c r="V184" s="94">
        <v>0</v>
      </c>
      <c r="W184" s="94">
        <f>MouserListTable[[#This Row],['#/Unit]]*FilterSpecs!$C$3+MouserListTable[[#This Row],[Extra]]</f>
        <v>0</v>
      </c>
      <c r="X184" s="94">
        <f>IF(MouserListTable[[#This Row],[Tag]]=FilterSpecs!$F$7,MouserListTable[[#This Row],['#/Unit]]*MouserListTable[[#This Row],[Price (USD)]],0)</f>
        <v>0</v>
      </c>
      <c r="Y184" s="94">
        <f>MouserListTable[[#This Row],[Tot '#]]*MouserListTable[[#This Row],[Price (USD)]]</f>
        <v>0</v>
      </c>
      <c r="Z184"/>
    </row>
    <row r="185" spans="1:26" s="106" customFormat="1" x14ac:dyDescent="0.25">
      <c r="A185" s="97" t="s">
        <v>887</v>
      </c>
      <c r="B185" s="78" t="s">
        <v>9</v>
      </c>
      <c r="C185" s="78" t="s">
        <v>1892</v>
      </c>
      <c r="D185" s="120" t="str">
        <f>IF(MouserListTable[[#This Row],[Vendor]]=FilterSpecs!$A$8,MouserListTable[[#This Row],[Mouser SKU]], MouserListTable[[#This Row],[Supplier SKU]])</f>
        <v>409-OPT-UP-WF-002</v>
      </c>
      <c r="E185" s="94">
        <f>MouserListTable[[#This Row],[Tot '#]]-MouserListTable[[#This Row],['# Initial]]</f>
        <v>0</v>
      </c>
      <c r="F185" s="94">
        <f>IF(AND(MouserListTable[[#This Row],[Tag]]&lt;&gt;FilterSpecs!$F$12, MouserListTable[[#This Row],[Tag]]&lt;&gt;FilterSpecs!$F$9), MouserListTable[[#This Row],['#/Unit]]*FilterSpecs!$B$3+MouserListTable[[#This Row],[Extra Initial]],0)</f>
        <v>0</v>
      </c>
      <c r="G185" s="78"/>
      <c r="H185" s="150"/>
      <c r="I185" s="78" t="s">
        <v>2542</v>
      </c>
      <c r="J185" s="78"/>
      <c r="K185" s="117">
        <v>9.99</v>
      </c>
      <c r="L185" s="94" t="s">
        <v>1896</v>
      </c>
      <c r="M185" s="78" t="s">
        <v>2546</v>
      </c>
      <c r="N185" s="154">
        <f>MouserListTable[[#This Row],['# Initial]]*MouserListTable[[#This Row],[Price (USD)]]</f>
        <v>0</v>
      </c>
      <c r="O185" s="81" t="s">
        <v>2544</v>
      </c>
      <c r="P185" s="150">
        <f t="shared" si="2"/>
        <v>172</v>
      </c>
      <c r="Q185" s="78" t="s">
        <v>2543</v>
      </c>
      <c r="R185"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409-OPT-UP-WF-002</v>
      </c>
      <c r="S185" s="133" t="str">
        <f>HYPERLINK("https://www.mouser.com/ProductDetail/" &amp;MouserListTable[[#This Row],[Mouser SKU]])</f>
        <v>https://www.mouser.com/ProductDetail/409-OPT-UP-WF-002</v>
      </c>
      <c r="T185" s="94">
        <v>0</v>
      </c>
      <c r="U185" s="94">
        <v>0</v>
      </c>
      <c r="V185" s="94">
        <v>0</v>
      </c>
      <c r="W185" s="94">
        <f>MouserListTable[[#This Row],['#/Unit]]*FilterSpecs!$C$3+MouserListTable[[#This Row],[Extra]]</f>
        <v>0</v>
      </c>
      <c r="X185" s="94">
        <f>IF(MouserListTable[[#This Row],[Tag]]=FilterSpecs!$F$7,MouserListTable[[#This Row],['#/Unit]]*MouserListTable[[#This Row],[Price (USD)]],0)</f>
        <v>0</v>
      </c>
      <c r="Y185" s="94">
        <f>MouserListTable[[#This Row],[Tot '#]]*MouserListTable[[#This Row],[Price (USD)]]</f>
        <v>0</v>
      </c>
      <c r="Z185"/>
    </row>
    <row r="186" spans="1:26" s="106" customFormat="1" x14ac:dyDescent="0.25">
      <c r="A186" s="97" t="s">
        <v>887</v>
      </c>
      <c r="B186" s="97" t="s">
        <v>9</v>
      </c>
      <c r="C186" s="78" t="s">
        <v>1892</v>
      </c>
      <c r="D186" s="120" t="str">
        <f>IF(MouserListTable[[#This Row],[Vendor]]=FilterSpecs!$A$8,MouserListTable[[#This Row],[Mouser SKU]], MouserListTable[[#This Row],[Supplier SKU]])</f>
        <v>485-2810</v>
      </c>
      <c r="E186" s="94">
        <f>MouserListTable[[#This Row],[Tot '#]]-MouserListTable[[#This Row],['# Initial]]</f>
        <v>0</v>
      </c>
      <c r="F186" s="94">
        <f>IF(AND(MouserListTable[[#This Row],[Tag]]&lt;&gt;FilterSpecs!$F$12, MouserListTable[[#This Row],[Tag]]&lt;&gt;FilterSpecs!$F$9), MouserListTable[[#This Row],['#/Unit]]*FilterSpecs!$B$3+MouserListTable[[#This Row],[Extra Initial]],0)</f>
        <v>0</v>
      </c>
      <c r="G186" s="78"/>
      <c r="H186" s="150"/>
      <c r="I186" s="78" t="s">
        <v>2540</v>
      </c>
      <c r="J186" s="78"/>
      <c r="K186" s="117">
        <v>11.99</v>
      </c>
      <c r="L186" s="94" t="s">
        <v>1896</v>
      </c>
      <c r="M186" s="78" t="s">
        <v>2547</v>
      </c>
      <c r="N186" s="154">
        <f>MouserListTable[[#This Row],['# Initial]]*MouserListTable[[#This Row],[Price (USD)]]</f>
        <v>0</v>
      </c>
      <c r="O186" s="81">
        <v>2810</v>
      </c>
      <c r="P186" s="150">
        <f t="shared" si="2"/>
        <v>173</v>
      </c>
      <c r="Q186" s="78" t="s">
        <v>1884</v>
      </c>
      <c r="R186"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485-2810</v>
      </c>
      <c r="S186" s="133" t="str">
        <f>HYPERLINK("https://www.mouser.com/ProductDetail/" &amp;MouserListTable[[#This Row],[Mouser SKU]])</f>
        <v>https://www.mouser.com/ProductDetail/485-2810</v>
      </c>
      <c r="T186" s="94">
        <v>0</v>
      </c>
      <c r="U186" s="94">
        <v>0</v>
      </c>
      <c r="V186" s="94">
        <v>0</v>
      </c>
      <c r="W186" s="94">
        <f>MouserListTable[[#This Row],['#/Unit]]*FilterSpecs!$C$3+MouserListTable[[#This Row],[Extra]]</f>
        <v>0</v>
      </c>
      <c r="X186" s="94">
        <f>IF(MouserListTable[[#This Row],[Tag]]=FilterSpecs!$F$7,MouserListTable[[#This Row],['#/Unit]]*MouserListTable[[#This Row],[Price (USD)]],0)</f>
        <v>0</v>
      </c>
      <c r="Y186" s="94">
        <f>MouserListTable[[#This Row],[Tot '#]]*MouserListTable[[#This Row],[Price (USD)]]</f>
        <v>0</v>
      </c>
      <c r="Z186"/>
    </row>
    <row r="187" spans="1:26" s="106" customFormat="1" x14ac:dyDescent="0.25">
      <c r="A187" s="97" t="s">
        <v>887</v>
      </c>
      <c r="B187" s="97" t="s">
        <v>9</v>
      </c>
      <c r="C187" s="78" t="s">
        <v>1892</v>
      </c>
      <c r="D187" s="120" t="str">
        <f>IF(MouserListTable[[#This Row],[Vendor]]=FilterSpecs!$A$8,MouserListTable[[#This Row],[Mouser SKU]], MouserListTable[[#This Row],[Supplier SKU]])</f>
        <v>485-2649</v>
      </c>
      <c r="E187" s="94">
        <f>MouserListTable[[#This Row],[Tot '#]]-MouserListTable[[#This Row],['# Initial]]</f>
        <v>0</v>
      </c>
      <c r="F187" s="94">
        <f>IF(AND(MouserListTable[[#This Row],[Tag]]&lt;&gt;FilterSpecs!$F$12, MouserListTable[[#This Row],[Tag]]&lt;&gt;FilterSpecs!$F$9), MouserListTable[[#This Row],['#/Unit]]*FilterSpecs!$B$3+MouserListTable[[#This Row],[Extra Initial]],0)</f>
        <v>5</v>
      </c>
      <c r="G187" s="78"/>
      <c r="H187" s="150"/>
      <c r="I187" s="78" t="s">
        <v>2541</v>
      </c>
      <c r="J187" s="78"/>
      <c r="K187" s="117">
        <v>19.95</v>
      </c>
      <c r="L187" s="94" t="s">
        <v>1897</v>
      </c>
      <c r="M187" s="78" t="s">
        <v>2548</v>
      </c>
      <c r="N187" s="154">
        <f>MouserListTable[[#This Row],['# Initial]]*MouserListTable[[#This Row],[Price (USD)]]</f>
        <v>99.75</v>
      </c>
      <c r="O187" s="81">
        <v>2649</v>
      </c>
      <c r="P187" s="150">
        <f t="shared" si="2"/>
        <v>174</v>
      </c>
      <c r="Q187" s="78" t="s">
        <v>1884</v>
      </c>
      <c r="R187"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485-2649</v>
      </c>
      <c r="S187" s="133" t="str">
        <f>HYPERLINK("https://www.mouser.com/ProductDetail/" &amp;MouserListTable[[#This Row],[Mouser SKU]])</f>
        <v>https://www.mouser.com/ProductDetail/485-2649</v>
      </c>
      <c r="T187" s="94">
        <v>1</v>
      </c>
      <c r="U187" s="94">
        <v>0</v>
      </c>
      <c r="V187" s="94">
        <v>0</v>
      </c>
      <c r="W187" s="94">
        <f>MouserListTable[[#This Row],['#/Unit]]*FilterSpecs!$C$3+MouserListTable[[#This Row],[Extra]]</f>
        <v>5</v>
      </c>
      <c r="X187" s="94">
        <f>IF(MouserListTable[[#This Row],[Tag]]=FilterSpecs!$F$7,MouserListTable[[#This Row],['#/Unit]]*MouserListTable[[#This Row],[Price (USD)]],0)</f>
        <v>19.95</v>
      </c>
      <c r="Y187" s="94">
        <f>MouserListTable[[#This Row],[Tot '#]]*MouserListTable[[#This Row],[Price (USD)]]</f>
        <v>99.75</v>
      </c>
      <c r="Z187"/>
    </row>
    <row r="188" spans="1:26" s="104" customFormat="1" x14ac:dyDescent="0.25">
      <c r="A188" s="97" t="s">
        <v>887</v>
      </c>
      <c r="B188" s="97" t="s">
        <v>9</v>
      </c>
      <c r="C188" s="78" t="s">
        <v>1892</v>
      </c>
      <c r="D188" s="81" t="str">
        <f>IF(MouserListTable[[#This Row],[Vendor]]=FilterSpecs!$A$8,MouserListTable[[#This Row],[Mouser SKU]], MouserListTable[[#This Row],[Supplier SKU]])</f>
        <v>474-WRL-12579</v>
      </c>
      <c r="E188" s="94">
        <f>MouserListTable[[#This Row],[Tot '#]]-MouserListTable[[#This Row],['# Initial]]</f>
        <v>0</v>
      </c>
      <c r="F188" s="94">
        <f>IF(AND(MouserListTable[[#This Row],[Tag]]&lt;&gt;FilterSpecs!$F$12, MouserListTable[[#This Row],[Tag]]&lt;&gt;FilterSpecs!$F$9), MouserListTable[[#This Row],['#/Unit]]*FilterSpecs!$B$3+MouserListTable[[#This Row],[Extra Initial]],0)</f>
        <v>0</v>
      </c>
      <c r="G188" s="78" t="s">
        <v>2504</v>
      </c>
      <c r="H188" s="150" t="s">
        <v>2505</v>
      </c>
      <c r="I188" s="78" t="s">
        <v>2506</v>
      </c>
      <c r="J188" s="81">
        <v>1</v>
      </c>
      <c r="K188" s="117">
        <v>34.950000000000003</v>
      </c>
      <c r="L188" s="78" t="s">
        <v>1896</v>
      </c>
      <c r="M188" s="78"/>
      <c r="N188" s="154">
        <f>MouserListTable[[#This Row],['# Initial]]*MouserListTable[[#This Row],[Price (USD)]]</f>
        <v>0</v>
      </c>
      <c r="O188" s="81" t="s">
        <v>2503</v>
      </c>
      <c r="P188" s="150">
        <f t="shared" si="2"/>
        <v>175</v>
      </c>
      <c r="Q188" s="78" t="s">
        <v>5</v>
      </c>
      <c r="R188"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474-WRL-12579</v>
      </c>
      <c r="S188" s="133" t="str">
        <f>HYPERLINK("https://www.mouser.com/ProductDetail/" &amp;MouserListTable[[#This Row],[Mouser SKU]])</f>
        <v>https://www.mouser.com/ProductDetail/474-WRL-12579</v>
      </c>
      <c r="T188" s="94">
        <v>0</v>
      </c>
      <c r="U188" s="94">
        <v>0</v>
      </c>
      <c r="V188" s="94">
        <v>0</v>
      </c>
      <c r="W188" s="94">
        <f>MouserListTable[[#This Row],['#/Unit]]*FilterSpecs!$C$3+MouserListTable[[#This Row],[Extra]]</f>
        <v>0</v>
      </c>
      <c r="X188" s="94">
        <f>IF(MouserListTable[[#This Row],[Tag]]=FilterSpecs!$F$7,MouserListTable[[#This Row],['#/Unit]]*MouserListTable[[#This Row],[Price (USD)]],0)</f>
        <v>0</v>
      </c>
      <c r="Y188" s="94">
        <f>MouserListTable[[#This Row],[Tot '#]]*MouserListTable[[#This Row],[Price (USD)]]</f>
        <v>0</v>
      </c>
      <c r="Z188"/>
    </row>
    <row r="189" spans="1:26" s="104" customFormat="1" x14ac:dyDescent="0.25">
      <c r="A189" s="97" t="s">
        <v>887</v>
      </c>
      <c r="B189" s="97" t="s">
        <v>9</v>
      </c>
      <c r="C189" s="78" t="s">
        <v>1892</v>
      </c>
      <c r="D189" s="81" t="str">
        <f>IF(MouserListTable[[#This Row],[Vendor]]=FilterSpecs!$A$8,MouserListTable[[#This Row],[Mouser SKU]], MouserListTable[[#This Row],[Supplier SKU]])</f>
        <v>474-WRL-11048</v>
      </c>
      <c r="E189" s="94">
        <f>MouserListTable[[#This Row],[Tot '#]]-MouserListTable[[#This Row],['# Initial]]</f>
        <v>0</v>
      </c>
      <c r="F189" s="94">
        <f>IF(AND(MouserListTable[[#This Row],[Tag]]&lt;&gt;FilterSpecs!$F$12, MouserListTable[[#This Row],[Tag]]&lt;&gt;FilterSpecs!$F$9), MouserListTable[[#This Row],['#/Unit]]*FilterSpecs!$B$3+MouserListTable[[#This Row],[Extra Initial]],0)</f>
        <v>0</v>
      </c>
      <c r="G189" s="78" t="s">
        <v>2508</v>
      </c>
      <c r="H189" s="150" t="s">
        <v>2509</v>
      </c>
      <c r="I189" s="78" t="s">
        <v>2510</v>
      </c>
      <c r="J189" s="81">
        <v>1</v>
      </c>
      <c r="K189" s="117">
        <v>34.950000000000003</v>
      </c>
      <c r="L189" s="78" t="s">
        <v>1896</v>
      </c>
      <c r="M189" s="78"/>
      <c r="N189" s="154">
        <f>MouserListTable[[#This Row],['# Initial]]*MouserListTable[[#This Row],[Price (USD)]]</f>
        <v>0</v>
      </c>
      <c r="O189" s="81" t="s">
        <v>2507</v>
      </c>
      <c r="P189" s="150">
        <f t="shared" si="2"/>
        <v>176</v>
      </c>
      <c r="Q189" s="78" t="s">
        <v>5</v>
      </c>
      <c r="R189"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474-WRL-11048</v>
      </c>
      <c r="S189" s="133" t="str">
        <f>HYPERLINK("https://www.mouser.com/ProductDetail/" &amp;MouserListTable[[#This Row],[Mouser SKU]])</f>
        <v>https://www.mouser.com/ProductDetail/474-WRL-11048</v>
      </c>
      <c r="T189" s="94">
        <v>0</v>
      </c>
      <c r="U189" s="94">
        <v>0</v>
      </c>
      <c r="V189" s="94">
        <v>0</v>
      </c>
      <c r="W189" s="94">
        <f>MouserListTable[[#This Row],['#/Unit]]*FilterSpecs!$C$3+MouserListTable[[#This Row],[Extra]]</f>
        <v>0</v>
      </c>
      <c r="X189" s="94">
        <f>IF(MouserListTable[[#This Row],[Tag]]=FilterSpecs!$F$7,MouserListTable[[#This Row],['#/Unit]]*MouserListTable[[#This Row],[Price (USD)]],0)</f>
        <v>0</v>
      </c>
      <c r="Y189" s="94">
        <f>MouserListTable[[#This Row],[Tot '#]]*MouserListTable[[#This Row],[Price (USD)]]</f>
        <v>0</v>
      </c>
      <c r="Z189"/>
    </row>
    <row r="190" spans="1:26" s="104" customFormat="1" x14ac:dyDescent="0.25">
      <c r="A190" s="78" t="s">
        <v>887</v>
      </c>
      <c r="B190" s="78" t="s">
        <v>9</v>
      </c>
      <c r="C190" s="78" t="s">
        <v>1892</v>
      </c>
      <c r="D190" s="81" t="str">
        <f>IF(MouserListTable[[#This Row],[Vendor]]=FilterSpecs!$A$8,MouserListTable[[#This Row],[Mouser SKU]], MouserListTable[[#This Row],[Supplier SKU]])</f>
        <v>474-WRL-11320</v>
      </c>
      <c r="E190" s="94">
        <f>MouserListTable[[#This Row],[Tot '#]]-MouserListTable[[#This Row],['# Initial]]</f>
        <v>0</v>
      </c>
      <c r="F190" s="94">
        <f>IF(AND(MouserListTable[[#This Row],[Tag]]&lt;&gt;FilterSpecs!$F$12, MouserListTable[[#This Row],[Tag]]&lt;&gt;FilterSpecs!$F$9), MouserListTable[[#This Row],['#/Unit]]*FilterSpecs!$B$3+MouserListTable[[#This Row],[Extra Initial]],0)</f>
        <v>5</v>
      </c>
      <c r="G190" s="78" t="s">
        <v>2512</v>
      </c>
      <c r="H190" s="150" t="s">
        <v>2513</v>
      </c>
      <c r="I190" s="78" t="s">
        <v>2514</v>
      </c>
      <c r="J190" s="81"/>
      <c r="K190" s="117">
        <v>5</v>
      </c>
      <c r="L190" s="78" t="s">
        <v>1897</v>
      </c>
      <c r="M190" s="81"/>
      <c r="N190" s="154">
        <f>MouserListTable[[#This Row],['# Initial]]*MouserListTable[[#This Row],[Price (USD)]]</f>
        <v>25</v>
      </c>
      <c r="O190" s="81" t="s">
        <v>2511</v>
      </c>
      <c r="P190" s="150">
        <f t="shared" si="2"/>
        <v>177</v>
      </c>
      <c r="Q190" s="78" t="s">
        <v>5</v>
      </c>
      <c r="R190"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474-WRL-11320</v>
      </c>
      <c r="S190" s="133" t="str">
        <f>HYPERLINK("https://www.mouser.com/ProductDetail/" &amp;MouserListTable[[#This Row],[Mouser SKU]])</f>
        <v>https://www.mouser.com/ProductDetail/474-WRL-11320</v>
      </c>
      <c r="T190" s="94">
        <v>1</v>
      </c>
      <c r="U190" s="94">
        <v>0</v>
      </c>
      <c r="V190" s="94">
        <v>0</v>
      </c>
      <c r="W190" s="94">
        <f>MouserListTable[[#This Row],['#/Unit]]*FilterSpecs!$C$3+MouserListTable[[#This Row],[Extra]]</f>
        <v>5</v>
      </c>
      <c r="X190" s="94">
        <f>IF(MouserListTable[[#This Row],[Tag]]=FilterSpecs!$F$7,MouserListTable[[#This Row],['#/Unit]]*MouserListTable[[#This Row],[Price (USD)]],0)</f>
        <v>5</v>
      </c>
      <c r="Y190" s="94">
        <f>MouserListTable[[#This Row],[Tot '#]]*MouserListTable[[#This Row],[Price (USD)]]</f>
        <v>25</v>
      </c>
      <c r="Z190"/>
    </row>
    <row r="191" spans="1:26" s="104" customFormat="1" x14ac:dyDescent="0.25">
      <c r="A191" s="78" t="s">
        <v>887</v>
      </c>
      <c r="B191" s="78" t="s">
        <v>9</v>
      </c>
      <c r="C191" s="78" t="s">
        <v>1892</v>
      </c>
      <c r="D191" s="81" t="str">
        <f>IF(MouserListTable[[#This Row],[Vendor]]=FilterSpecs!$A$8,MouserListTable[[#This Row],[Mouser SKU]], MouserListTable[[#This Row],[Supplier SKU]])</f>
        <v>474-WRL-13287</v>
      </c>
      <c r="E191" s="94">
        <f>MouserListTable[[#This Row],[Tot '#]]-MouserListTable[[#This Row],['# Initial]]</f>
        <v>0</v>
      </c>
      <c r="F191" s="94">
        <f>IF(AND(MouserListTable[[#This Row],[Tag]]&lt;&gt;FilterSpecs!$F$12, MouserListTable[[#This Row],[Tag]]&lt;&gt;FilterSpecs!$F$9), MouserListTable[[#This Row],['#/Unit]]*FilterSpecs!$B$3+MouserListTable[[#This Row],[Extra Initial]],0)</f>
        <v>5</v>
      </c>
      <c r="G191" s="78" t="s">
        <v>2516</v>
      </c>
      <c r="H191" s="150" t="s">
        <v>2517</v>
      </c>
      <c r="I191" s="81" t="s">
        <v>2518</v>
      </c>
      <c r="J191" s="81">
        <v>1</v>
      </c>
      <c r="K191" s="117">
        <v>14.95</v>
      </c>
      <c r="L191" s="78" t="s">
        <v>1897</v>
      </c>
      <c r="M191" s="81"/>
      <c r="N191" s="154">
        <f>MouserListTable[[#This Row],['# Initial]]*MouserListTable[[#This Row],[Price (USD)]]</f>
        <v>74.75</v>
      </c>
      <c r="O191" s="81" t="s">
        <v>2515</v>
      </c>
      <c r="P191" s="150">
        <f t="shared" si="2"/>
        <v>178</v>
      </c>
      <c r="Q191" s="78" t="s">
        <v>5</v>
      </c>
      <c r="R191"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474-WRL-13287</v>
      </c>
      <c r="S191" s="133" t="str">
        <f>HYPERLINK("https://www.mouser.com/ProductDetail/" &amp;MouserListTable[[#This Row],[Mouser SKU]])</f>
        <v>https://www.mouser.com/ProductDetail/474-WRL-13287</v>
      </c>
      <c r="T191" s="94">
        <v>1</v>
      </c>
      <c r="U191" s="94">
        <v>0</v>
      </c>
      <c r="V191" s="94">
        <v>0</v>
      </c>
      <c r="W191" s="94">
        <f>MouserListTable[[#This Row],['#/Unit]]*FilterSpecs!$C$3+MouserListTable[[#This Row],[Extra]]</f>
        <v>5</v>
      </c>
      <c r="X191" s="94">
        <f>IF(MouserListTable[[#This Row],[Tag]]=FilterSpecs!$F$7,MouserListTable[[#This Row],['#/Unit]]*MouserListTable[[#This Row],[Price (USD)]],0)</f>
        <v>14.95</v>
      </c>
      <c r="Y191" s="94">
        <f>MouserListTable[[#This Row],[Tot '#]]*MouserListTable[[#This Row],[Price (USD)]]</f>
        <v>74.75</v>
      </c>
      <c r="Z191"/>
    </row>
    <row r="192" spans="1:26" s="106" customFormat="1" x14ac:dyDescent="0.25">
      <c r="A192" s="78" t="s">
        <v>888</v>
      </c>
      <c r="B192" s="78" t="s">
        <v>1592</v>
      </c>
      <c r="C192" s="78" t="s">
        <v>1892</v>
      </c>
      <c r="D192" s="81" t="str">
        <f>IF(MouserListTable[[#This Row],[Vendor]]=FilterSpecs!$A$8,MouserListTable[[#This Row],[Mouser SKU]], MouserListTable[[#This Row],[Supplier SKU]])</f>
        <v>474-KIT-11591</v>
      </c>
      <c r="E192" s="94">
        <f>MouserListTable[[#This Row],[Tot '#]]-MouserListTable[[#This Row],['# Initial]]</f>
        <v>1</v>
      </c>
      <c r="F192" s="94">
        <f>IF(AND(MouserListTable[[#This Row],[Tag]]&lt;&gt;FilterSpecs!$F$12, MouserListTable[[#This Row],[Tag]]&lt;&gt;FilterSpecs!$F$9), MouserListTable[[#This Row],['#/Unit]]*FilterSpecs!$B$3+MouserListTable[[#This Row],[Extra Initial]],0)</f>
        <v>0</v>
      </c>
      <c r="G192" s="78" t="s">
        <v>1534</v>
      </c>
      <c r="H192" s="150" t="s">
        <v>1535</v>
      </c>
      <c r="I192" s="78" t="s">
        <v>1536</v>
      </c>
      <c r="J192" s="78">
        <v>1</v>
      </c>
      <c r="K192" s="117">
        <v>9.9499999999999993</v>
      </c>
      <c r="L192" s="78" t="s">
        <v>2461</v>
      </c>
      <c r="M192" s="81"/>
      <c r="N192" s="154">
        <f>MouserListTable[[#This Row],['# Initial]]*MouserListTable[[#This Row],[Price (USD)]]</f>
        <v>0</v>
      </c>
      <c r="O192" s="81" t="s">
        <v>1533</v>
      </c>
      <c r="P192" s="150">
        <f t="shared" si="2"/>
        <v>179</v>
      </c>
      <c r="Q192" s="78" t="s">
        <v>5</v>
      </c>
      <c r="R192"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474-KIT-11591</v>
      </c>
      <c r="S192" s="133" t="str">
        <f>HYPERLINK("https://www.mouser.com/ProductDetail/" &amp;MouserListTable[[#This Row],[Mouser SKU]])</f>
        <v>https://www.mouser.com/ProductDetail/474-KIT-11591</v>
      </c>
      <c r="T192" s="94">
        <v>0</v>
      </c>
      <c r="U192" s="94">
        <v>1</v>
      </c>
      <c r="V192" s="94">
        <v>0</v>
      </c>
      <c r="W192" s="94">
        <f>MouserListTable[[#This Row],['#/Unit]]*FilterSpecs!$C$3+MouserListTable[[#This Row],[Extra]]</f>
        <v>1</v>
      </c>
      <c r="X192" s="94">
        <f>IF(MouserListTable[[#This Row],[Tag]]=FilterSpecs!$F$7,MouserListTable[[#This Row],['#/Unit]]*MouserListTable[[#This Row],[Price (USD)]],0)</f>
        <v>0</v>
      </c>
      <c r="Y192" s="94">
        <f>MouserListTable[[#This Row],[Tot '#]]*MouserListTable[[#This Row],[Price (USD)]]</f>
        <v>9.9499999999999993</v>
      </c>
      <c r="Z192"/>
    </row>
    <row r="193" spans="1:26" s="106" customFormat="1" x14ac:dyDescent="0.25">
      <c r="A193" s="78" t="s">
        <v>888</v>
      </c>
      <c r="B193" s="78" t="s">
        <v>1592</v>
      </c>
      <c r="C193" s="78" t="s">
        <v>1892</v>
      </c>
      <c r="D193" s="81" t="str">
        <f>IF(MouserListTable[[#This Row],[Vendor]]=FilterSpecs!$A$8,MouserListTable[[#This Row],[Mouser SKU]], MouserListTable[[#This Row],[Supplier SKU]])</f>
        <v>474-DEV-09215</v>
      </c>
      <c r="E193" s="94">
        <f>MouserListTable[[#This Row],[Tot '#]]-MouserListTable[[#This Row],['# Initial]]</f>
        <v>1</v>
      </c>
      <c r="F193" s="94">
        <f>IF(AND(MouserListTable[[#This Row],[Tag]]&lt;&gt;FilterSpecs!$F$12, MouserListTable[[#This Row],[Tag]]&lt;&gt;FilterSpecs!$F$9), MouserListTable[[#This Row],['#/Unit]]*FilterSpecs!$B$3+MouserListTable[[#This Row],[Extra Initial]],0)</f>
        <v>0</v>
      </c>
      <c r="G193" s="78" t="s">
        <v>1530</v>
      </c>
      <c r="H193" s="150" t="s">
        <v>1531</v>
      </c>
      <c r="I193" s="78" t="s">
        <v>1532</v>
      </c>
      <c r="J193" s="78">
        <v>1</v>
      </c>
      <c r="K193" s="117">
        <v>1.95</v>
      </c>
      <c r="L193" s="78" t="s">
        <v>1896</v>
      </c>
      <c r="M193" s="81"/>
      <c r="N193" s="154">
        <f>MouserListTable[[#This Row],['# Initial]]*MouserListTable[[#This Row],[Price (USD)]]</f>
        <v>0</v>
      </c>
      <c r="O193" s="81" t="s">
        <v>1529</v>
      </c>
      <c r="P193" s="150">
        <f t="shared" si="2"/>
        <v>180</v>
      </c>
      <c r="Q193" s="78" t="s">
        <v>5</v>
      </c>
      <c r="R193"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474-DEV-09215</v>
      </c>
      <c r="S193" s="133" t="str">
        <f>HYPERLINK("https://www.mouser.com/ProductDetail/" &amp;MouserListTable[[#This Row],[Mouser SKU]])</f>
        <v>https://www.mouser.com/ProductDetail/474-DEV-09215</v>
      </c>
      <c r="T193" s="94">
        <v>0</v>
      </c>
      <c r="U193" s="94">
        <v>1</v>
      </c>
      <c r="V193" s="94">
        <v>0</v>
      </c>
      <c r="W193" s="94">
        <f>MouserListTable[[#This Row],['#/Unit]]*FilterSpecs!$C$3+MouserListTable[[#This Row],[Extra]]</f>
        <v>1</v>
      </c>
      <c r="X193" s="94">
        <f>IF(MouserListTable[[#This Row],[Tag]]=FilterSpecs!$F$7,MouserListTable[[#This Row],['#/Unit]]*MouserListTable[[#This Row],[Price (USD)]],0)</f>
        <v>0</v>
      </c>
      <c r="Y193" s="94">
        <f>MouserListTable[[#This Row],[Tot '#]]*MouserListTable[[#This Row],[Price (USD)]]</f>
        <v>1.95</v>
      </c>
      <c r="Z193"/>
    </row>
    <row r="194" spans="1:26" s="106" customFormat="1" x14ac:dyDescent="0.25">
      <c r="A194" s="78" t="s">
        <v>888</v>
      </c>
      <c r="B194" s="78" t="s">
        <v>12</v>
      </c>
      <c r="C194" s="78" t="s">
        <v>1892</v>
      </c>
      <c r="D194" s="81" t="str">
        <f>IF(MouserListTable[[#This Row],[Vendor]]=FilterSpecs!$A$8,MouserListTable[[#This Row],[Mouser SKU]], MouserListTable[[#This Row],[Supplier SKU]])</f>
        <v>474-BOB-12009</v>
      </c>
      <c r="E194" s="94">
        <f>MouserListTable[[#This Row],[Tot '#]]-MouserListTable[[#This Row],['# Initial]]</f>
        <v>0</v>
      </c>
      <c r="F194" s="94">
        <f>IF(AND(MouserListTable[[#This Row],[Tag]]&lt;&gt;FilterSpecs!$F$12, MouserListTable[[#This Row],[Tag]]&lt;&gt;FilterSpecs!$F$9), MouserListTable[[#This Row],['#/Unit]]*FilterSpecs!$B$3+MouserListTable[[#This Row],[Extra Initial]],0)</f>
        <v>15</v>
      </c>
      <c r="G194" s="78" t="s">
        <v>258</v>
      </c>
      <c r="H194" s="150" t="s">
        <v>259</v>
      </c>
      <c r="I194" s="78" t="s">
        <v>260</v>
      </c>
      <c r="J194" s="78">
        <v>1</v>
      </c>
      <c r="K194" s="117">
        <v>2.95</v>
      </c>
      <c r="L194" s="78" t="s">
        <v>1897</v>
      </c>
      <c r="M194" s="78"/>
      <c r="N194" s="154">
        <f>MouserListTable[[#This Row],['# Initial]]*MouserListTable[[#This Row],[Price (USD)]]</f>
        <v>44.25</v>
      </c>
      <c r="O194" s="81" t="s">
        <v>257</v>
      </c>
      <c r="P194" s="150">
        <f t="shared" si="2"/>
        <v>181</v>
      </c>
      <c r="Q194" s="78" t="s">
        <v>5</v>
      </c>
      <c r="R194"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474-BOB-12009</v>
      </c>
      <c r="S194" s="133" t="str">
        <f>HYPERLINK("https://www.mouser.com/ProductDetail/" &amp;MouserListTable[[#This Row],[Mouser SKU]])</f>
        <v>https://www.mouser.com/ProductDetail/474-BOB-12009</v>
      </c>
      <c r="T194" s="94">
        <v>3</v>
      </c>
      <c r="U194" s="94">
        <v>0</v>
      </c>
      <c r="V194" s="94">
        <v>0</v>
      </c>
      <c r="W194" s="94">
        <f>MouserListTable[[#This Row],['#/Unit]]*FilterSpecs!$C$3+MouserListTable[[#This Row],[Extra]]</f>
        <v>15</v>
      </c>
      <c r="X194" s="94">
        <f>IF(MouserListTable[[#This Row],[Tag]]=FilterSpecs!$F$7,MouserListTable[[#This Row],['#/Unit]]*MouserListTable[[#This Row],[Price (USD)]],0)</f>
        <v>8.8500000000000014</v>
      </c>
      <c r="Y194" s="94">
        <f>MouserListTable[[#This Row],[Tot '#]]*MouserListTable[[#This Row],[Price (USD)]]</f>
        <v>44.25</v>
      </c>
      <c r="Z194"/>
    </row>
    <row r="195" spans="1:26" s="106" customFormat="1" x14ac:dyDescent="0.25">
      <c r="A195" s="78" t="s">
        <v>888</v>
      </c>
      <c r="B195" s="78" t="s">
        <v>12</v>
      </c>
      <c r="C195" s="78" t="s">
        <v>1892</v>
      </c>
      <c r="D195" s="81" t="str">
        <f>IF(MouserListTable[[#This Row],[Vendor]]=FilterSpecs!$A$8,MouserListTable[[#This Row],[Mouser SKU]], MouserListTable[[#This Row],[Supplier SKU]])</f>
        <v>474-BOB-11955</v>
      </c>
      <c r="E195" s="94">
        <f>MouserListTable[[#This Row],[Tot '#]]-MouserListTable[[#This Row],['# Initial]]</f>
        <v>0</v>
      </c>
      <c r="F195" s="94">
        <f>IF(AND(MouserListTable[[#This Row],[Tag]]&lt;&gt;FilterSpecs!$F$12, MouserListTable[[#This Row],[Tag]]&lt;&gt;FilterSpecs!$F$9), MouserListTable[[#This Row],['#/Unit]]*FilterSpecs!$B$3+MouserListTable[[#This Row],[Extra Initial]],0)</f>
        <v>5</v>
      </c>
      <c r="G195" s="78" t="s">
        <v>287</v>
      </c>
      <c r="H195" s="150" t="s">
        <v>288</v>
      </c>
      <c r="I195" s="78" t="s">
        <v>289</v>
      </c>
      <c r="J195" s="78">
        <v>1</v>
      </c>
      <c r="K195" s="117">
        <v>6.95</v>
      </c>
      <c r="L195" s="78" t="s">
        <v>1897</v>
      </c>
      <c r="M195" s="78"/>
      <c r="N195" s="154">
        <f>MouserListTable[[#This Row],['# Initial]]*MouserListTable[[#This Row],[Price (USD)]]</f>
        <v>34.75</v>
      </c>
      <c r="O195" s="81" t="s">
        <v>286</v>
      </c>
      <c r="P195" s="150">
        <f t="shared" si="2"/>
        <v>182</v>
      </c>
      <c r="Q195" s="78" t="s">
        <v>5</v>
      </c>
      <c r="R195"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474-BOB-11955</v>
      </c>
      <c r="S195" s="133" t="str">
        <f>HYPERLINK("https://www.mouser.com/ProductDetail/" &amp;MouserListTable[[#This Row],[Mouser SKU]])</f>
        <v>https://www.mouser.com/ProductDetail/474-BOB-11955</v>
      </c>
      <c r="T195" s="94">
        <v>1</v>
      </c>
      <c r="U195" s="94">
        <v>0</v>
      </c>
      <c r="V195" s="94">
        <v>0</v>
      </c>
      <c r="W195" s="94">
        <f>MouserListTable[[#This Row],['#/Unit]]*FilterSpecs!$C$3+MouserListTable[[#This Row],[Extra]]</f>
        <v>5</v>
      </c>
      <c r="X195" s="94">
        <f>IF(MouserListTable[[#This Row],[Tag]]=FilterSpecs!$F$7,MouserListTable[[#This Row],['#/Unit]]*MouserListTable[[#This Row],[Price (USD)]],0)</f>
        <v>6.95</v>
      </c>
      <c r="Y195" s="94">
        <f>MouserListTable[[#This Row],[Tot '#]]*MouserListTable[[#This Row],[Price (USD)]]</f>
        <v>34.75</v>
      </c>
      <c r="Z195"/>
    </row>
    <row r="196" spans="1:26" s="106" customFormat="1" x14ac:dyDescent="0.25">
      <c r="A196" s="78" t="s">
        <v>888</v>
      </c>
      <c r="B196" s="78" t="s">
        <v>12</v>
      </c>
      <c r="C196" s="78" t="s">
        <v>1892</v>
      </c>
      <c r="D196" s="81" t="str">
        <f>IF(MouserListTable[[#This Row],[Vendor]]=FilterSpecs!$A$8,MouserListTable[[#This Row],[Mouser SKU]], MouserListTable[[#This Row],[Supplier SKU]])</f>
        <v>474-BOB-11771</v>
      </c>
      <c r="E196" s="94">
        <f>MouserListTable[[#This Row],[Tot '#]]-MouserListTable[[#This Row],['# Initial]]</f>
        <v>0</v>
      </c>
      <c r="F196" s="94">
        <f>IF(AND(MouserListTable[[#This Row],[Tag]]&lt;&gt;FilterSpecs!$F$12, MouserListTable[[#This Row],[Tag]]&lt;&gt;FilterSpecs!$F$9), MouserListTable[[#This Row],['#/Unit]]*FilterSpecs!$B$3+MouserListTable[[#This Row],[Extra Initial]],0)</f>
        <v>5</v>
      </c>
      <c r="G196" s="78" t="s">
        <v>291</v>
      </c>
      <c r="H196" s="150" t="s">
        <v>292</v>
      </c>
      <c r="I196" s="78" t="s">
        <v>209</v>
      </c>
      <c r="J196" s="78">
        <v>1</v>
      </c>
      <c r="K196" s="117">
        <v>3.95</v>
      </c>
      <c r="L196" s="78" t="s">
        <v>1897</v>
      </c>
      <c r="M196" s="78"/>
      <c r="N196" s="154">
        <f>MouserListTable[[#This Row],['# Initial]]*MouserListTable[[#This Row],[Price (USD)]]</f>
        <v>19.75</v>
      </c>
      <c r="O196" s="81" t="s">
        <v>290</v>
      </c>
      <c r="P196" s="150">
        <f t="shared" si="2"/>
        <v>183</v>
      </c>
      <c r="Q196" s="78" t="s">
        <v>5</v>
      </c>
      <c r="R196"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474-BOB-11771</v>
      </c>
      <c r="S196" s="133" t="str">
        <f>HYPERLINK("https://www.mouser.com/ProductDetail/" &amp;MouserListTable[[#This Row],[Mouser SKU]])</f>
        <v>https://www.mouser.com/ProductDetail/474-BOB-11771</v>
      </c>
      <c r="T196" s="94">
        <v>1</v>
      </c>
      <c r="U196" s="94">
        <v>0</v>
      </c>
      <c r="V196" s="94">
        <v>0</v>
      </c>
      <c r="W196" s="94">
        <f>MouserListTable[[#This Row],['#/Unit]]*FilterSpecs!$C$3+MouserListTable[[#This Row],[Extra]]</f>
        <v>5</v>
      </c>
      <c r="X196" s="94">
        <f>IF(MouserListTable[[#This Row],[Tag]]=FilterSpecs!$F$7,MouserListTable[[#This Row],['#/Unit]]*MouserListTable[[#This Row],[Price (USD)]],0)</f>
        <v>3.95</v>
      </c>
      <c r="Y196" s="94">
        <f>MouserListTable[[#This Row],[Tot '#]]*MouserListTable[[#This Row],[Price (USD)]]</f>
        <v>19.75</v>
      </c>
      <c r="Z196"/>
    </row>
    <row r="197" spans="1:26" s="106" customFormat="1" x14ac:dyDescent="0.25">
      <c r="A197" s="78" t="s">
        <v>888</v>
      </c>
      <c r="B197" s="78" t="s">
        <v>12</v>
      </c>
      <c r="C197" s="78" t="s">
        <v>1892</v>
      </c>
      <c r="D197" s="81" t="str">
        <f>IF(MouserListTable[[#This Row],[Vendor]]=FilterSpecs!$A$8,MouserListTable[[#This Row],[Mouser SKU]], MouserListTable[[#This Row],[Supplier SKU]])</f>
        <v>474-BOB-12918</v>
      </c>
      <c r="E197" s="94">
        <f>MouserListTable[[#This Row],[Tot '#]]-MouserListTable[[#This Row],['# Initial]]</f>
        <v>0</v>
      </c>
      <c r="F197" s="94">
        <f>IF(AND(MouserListTable[[#This Row],[Tag]]&lt;&gt;FilterSpecs!$F$12, MouserListTable[[#This Row],[Tag]]&lt;&gt;FilterSpecs!$F$9), MouserListTable[[#This Row],['#/Unit]]*FilterSpecs!$B$3+MouserListTable[[#This Row],[Extra Initial]],0)</f>
        <v>5</v>
      </c>
      <c r="G197" s="78" t="s">
        <v>338</v>
      </c>
      <c r="H197" s="150" t="s">
        <v>339</v>
      </c>
      <c r="I197" s="78" t="s">
        <v>206</v>
      </c>
      <c r="J197" s="78">
        <v>1</v>
      </c>
      <c r="K197" s="117">
        <v>4.95</v>
      </c>
      <c r="L197" s="78" t="s">
        <v>1897</v>
      </c>
      <c r="M197" s="78"/>
      <c r="N197" s="154">
        <f>MouserListTable[[#This Row],['# Initial]]*MouserListTable[[#This Row],[Price (USD)]]</f>
        <v>24.75</v>
      </c>
      <c r="O197" s="81" t="s">
        <v>337</v>
      </c>
      <c r="P197" s="150">
        <f t="shared" si="2"/>
        <v>184</v>
      </c>
      <c r="Q197" s="78" t="s">
        <v>5</v>
      </c>
      <c r="R197"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474-BOB-12918</v>
      </c>
      <c r="S197" s="133" t="str">
        <f>HYPERLINK("https://www.mouser.com/ProductDetail/" &amp;MouserListTable[[#This Row],[Mouser SKU]])</f>
        <v>https://www.mouser.com/ProductDetail/474-BOB-12918</v>
      </c>
      <c r="T197" s="94">
        <v>1</v>
      </c>
      <c r="U197" s="94">
        <v>0</v>
      </c>
      <c r="V197" s="94">
        <v>0</v>
      </c>
      <c r="W197" s="94">
        <f>MouserListTable[[#This Row],['#/Unit]]*FilterSpecs!$C$3+MouserListTable[[#This Row],[Extra]]</f>
        <v>5</v>
      </c>
      <c r="X197" s="94">
        <f>IF(MouserListTable[[#This Row],[Tag]]=FilterSpecs!$F$7,MouserListTable[[#This Row],['#/Unit]]*MouserListTable[[#This Row],[Price (USD)]],0)</f>
        <v>4.95</v>
      </c>
      <c r="Y197" s="94">
        <f>MouserListTable[[#This Row],[Tot '#]]*MouserListTable[[#This Row],[Price (USD)]]</f>
        <v>24.75</v>
      </c>
      <c r="Z197"/>
    </row>
    <row r="198" spans="1:26" s="106" customFormat="1" x14ac:dyDescent="0.25">
      <c r="A198" s="97" t="s">
        <v>888</v>
      </c>
      <c r="B198" s="97" t="s">
        <v>12</v>
      </c>
      <c r="C198" s="78" t="s">
        <v>1892</v>
      </c>
      <c r="D198" s="81" t="str">
        <f>IF(MouserListTable[[#This Row],[Vendor]]=FilterSpecs!$A$8,MouserListTable[[#This Row],[Mouser SKU]], MouserListTable[[#This Row],[Supplier SKU]])</f>
        <v>485-935</v>
      </c>
      <c r="E198" s="94">
        <f>MouserListTable[[#This Row],[Tot '#]]-MouserListTable[[#This Row],['# Initial]]</f>
        <v>0</v>
      </c>
      <c r="F198" s="94">
        <f>IF(AND(MouserListTable[[#This Row],[Tag]]&lt;&gt;FilterSpecs!$F$12, MouserListTable[[#This Row],[Tag]]&lt;&gt;FilterSpecs!$F$9), MouserListTable[[#This Row],['#/Unit]]*FilterSpecs!$B$3+MouserListTable[[#This Row],[Extra Initial]],0)</f>
        <v>0</v>
      </c>
      <c r="G198" s="78"/>
      <c r="H198" s="150"/>
      <c r="I198" s="106" t="s">
        <v>2131</v>
      </c>
      <c r="K198" s="118">
        <v>4.95</v>
      </c>
      <c r="L198" s="106" t="s">
        <v>1896</v>
      </c>
      <c r="N198" s="154">
        <f>MouserListTable[[#This Row],['# Initial]]*MouserListTable[[#This Row],[Price (USD)]]</f>
        <v>0</v>
      </c>
      <c r="O198" s="81" t="s">
        <v>2130</v>
      </c>
      <c r="P198" s="150">
        <f t="shared" si="2"/>
        <v>185</v>
      </c>
      <c r="Q198" s="78" t="s">
        <v>1884</v>
      </c>
      <c r="R198"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485-935</v>
      </c>
      <c r="S198" s="133" t="str">
        <f>HYPERLINK("https://www.mouser.com/ProductDetail/" &amp;MouserListTable[[#This Row],[Mouser SKU]])</f>
        <v>https://www.mouser.com/ProductDetail/485-935</v>
      </c>
      <c r="T198" s="94">
        <v>0</v>
      </c>
      <c r="U198" s="94">
        <v>0</v>
      </c>
      <c r="V198" s="94">
        <v>0</v>
      </c>
      <c r="W198" s="94">
        <f>MouserListTable[[#This Row],['#/Unit]]*FilterSpecs!$C$3+MouserListTable[[#This Row],[Extra]]</f>
        <v>0</v>
      </c>
      <c r="X198" s="94">
        <f>IF(MouserListTable[[#This Row],[Tag]]=FilterSpecs!$F$7,MouserListTable[[#This Row],['#/Unit]]*MouserListTable[[#This Row],[Price (USD)]],0)</f>
        <v>0</v>
      </c>
      <c r="Y198" s="94">
        <f>MouserListTable[[#This Row],[Tot '#]]*MouserListTable[[#This Row],[Price (USD)]]</f>
        <v>0</v>
      </c>
      <c r="Z198"/>
    </row>
    <row r="199" spans="1:26" s="104" customFormat="1" x14ac:dyDescent="0.25">
      <c r="A199" s="78" t="s">
        <v>888</v>
      </c>
      <c r="B199" s="97" t="s">
        <v>12</v>
      </c>
      <c r="C199" s="78" t="s">
        <v>1892</v>
      </c>
      <c r="D199" s="81" t="str">
        <f>IF(MouserListTable[[#This Row],[Vendor]]=FilterSpecs!$A$8,MouserListTable[[#This Row],[Mouser SKU]], MouserListTable[[#This Row],[Supplier SKU]])</f>
        <v>485-1895</v>
      </c>
      <c r="E199" s="94">
        <f>MouserListTable[[#This Row],[Tot '#]]-MouserListTable[[#This Row],['# Initial]]</f>
        <v>0</v>
      </c>
      <c r="F199" s="94">
        <f>IF(AND(MouserListTable[[#This Row],[Tag]]&lt;&gt;FilterSpecs!$F$12, MouserListTable[[#This Row],[Tag]]&lt;&gt;FilterSpecs!$F$9), MouserListTable[[#This Row],['#/Unit]]*FilterSpecs!$B$3+MouserListTable[[#This Row],[Extra Initial]],0)</f>
        <v>0</v>
      </c>
      <c r="G199" s="78"/>
      <c r="H199" s="150"/>
      <c r="I199" s="97" t="s">
        <v>2331</v>
      </c>
      <c r="J199" s="106"/>
      <c r="K199" s="118">
        <v>9.9499999999999993</v>
      </c>
      <c r="L199" s="97" t="s">
        <v>1896</v>
      </c>
      <c r="M199" s="106"/>
      <c r="N199" s="154">
        <f>MouserListTable[[#This Row],['# Initial]]*MouserListTable[[#This Row],[Price (USD)]]</f>
        <v>0</v>
      </c>
      <c r="O199" s="81" t="s">
        <v>2330</v>
      </c>
      <c r="P199" s="150">
        <f t="shared" si="2"/>
        <v>186</v>
      </c>
      <c r="Q199" s="78" t="s">
        <v>1884</v>
      </c>
      <c r="R199"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485-1895</v>
      </c>
      <c r="S199" s="133" t="str">
        <f>HYPERLINK("https://www.mouser.com/ProductDetail/" &amp;MouserListTable[[#This Row],[Mouser SKU]])</f>
        <v>https://www.mouser.com/ProductDetail/485-1895</v>
      </c>
      <c r="T199" s="94">
        <v>0</v>
      </c>
      <c r="U199" s="94">
        <v>0</v>
      </c>
      <c r="V199" s="94">
        <v>0</v>
      </c>
      <c r="W199" s="94">
        <f>MouserListTable[[#This Row],['#/Unit]]*FilterSpecs!$C$3+MouserListTable[[#This Row],[Extra]]</f>
        <v>0</v>
      </c>
      <c r="X199" s="94">
        <f>IF(MouserListTable[[#This Row],[Tag]]=FilterSpecs!$F$7,MouserListTable[[#This Row],['#/Unit]]*MouserListTable[[#This Row],[Price (USD)]],0)</f>
        <v>0</v>
      </c>
      <c r="Y199" s="94">
        <f>MouserListTable[[#This Row],[Tot '#]]*MouserListTable[[#This Row],[Price (USD)]]</f>
        <v>0</v>
      </c>
      <c r="Z199"/>
    </row>
    <row r="200" spans="1:26" s="104" customFormat="1" x14ac:dyDescent="0.25">
      <c r="A200" s="78" t="s">
        <v>888</v>
      </c>
      <c r="B200" s="97" t="s">
        <v>12</v>
      </c>
      <c r="C200" s="78" t="s">
        <v>1892</v>
      </c>
      <c r="D200" s="81" t="str">
        <f>IF(MouserListTable[[#This Row],[Vendor]]=FilterSpecs!$A$8,MouserListTable[[#This Row],[Mouser SKU]], MouserListTable[[#This Row],[Supplier SKU]])</f>
        <v>485-1897</v>
      </c>
      <c r="E200" s="94">
        <f>MouserListTable[[#This Row],[Tot '#]]-MouserListTable[[#This Row],['# Initial]]</f>
        <v>0</v>
      </c>
      <c r="F200" s="94">
        <f>IF(AND(MouserListTable[[#This Row],[Tag]]&lt;&gt;FilterSpecs!$F$12, MouserListTable[[#This Row],[Tag]]&lt;&gt;FilterSpecs!$F$9), MouserListTable[[#This Row],['#/Unit]]*FilterSpecs!$B$3+MouserListTable[[#This Row],[Extra Initial]],0)</f>
        <v>0</v>
      </c>
      <c r="G200" s="78"/>
      <c r="H200" s="150"/>
      <c r="I200" s="97" t="s">
        <v>2333</v>
      </c>
      <c r="J200" s="106"/>
      <c r="K200" s="118">
        <v>5.95</v>
      </c>
      <c r="L200" s="97" t="s">
        <v>1896</v>
      </c>
      <c r="M200" s="106"/>
      <c r="N200" s="154">
        <f>MouserListTable[[#This Row],['# Initial]]*MouserListTable[[#This Row],[Price (USD)]]</f>
        <v>0</v>
      </c>
      <c r="O200" s="81" t="s">
        <v>2332</v>
      </c>
      <c r="P200" s="150">
        <f t="shared" si="2"/>
        <v>187</v>
      </c>
      <c r="Q200" s="78" t="s">
        <v>1884</v>
      </c>
      <c r="R200"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485-1897</v>
      </c>
      <c r="S200" s="133" t="str">
        <f>HYPERLINK("https://www.mouser.com/ProductDetail/" &amp;MouserListTable[[#This Row],[Mouser SKU]])</f>
        <v>https://www.mouser.com/ProductDetail/485-1897</v>
      </c>
      <c r="T200" s="94">
        <v>0</v>
      </c>
      <c r="U200" s="94">
        <v>0</v>
      </c>
      <c r="V200" s="94">
        <v>0</v>
      </c>
      <c r="W200" s="94">
        <f>MouserListTable[[#This Row],['#/Unit]]*FilterSpecs!$C$3+MouserListTable[[#This Row],[Extra]]</f>
        <v>0</v>
      </c>
      <c r="X200" s="94">
        <f>IF(MouserListTable[[#This Row],[Tag]]=FilterSpecs!$F$7,MouserListTable[[#This Row],['#/Unit]]*MouserListTable[[#This Row],[Price (USD)]],0)</f>
        <v>0</v>
      </c>
      <c r="Y200" s="94">
        <f>MouserListTable[[#This Row],[Tot '#]]*MouserListTable[[#This Row],[Price (USD)]]</f>
        <v>0</v>
      </c>
      <c r="Z200"/>
    </row>
    <row r="201" spans="1:26" s="146" customFormat="1" x14ac:dyDescent="0.25">
      <c r="A201" s="150" t="s">
        <v>888</v>
      </c>
      <c r="B201" s="97" t="s">
        <v>12</v>
      </c>
      <c r="C201" s="150" t="s">
        <v>1892</v>
      </c>
      <c r="D201" s="151" t="str">
        <f>IF(MouserListTable[[#This Row],[Vendor]]=FilterSpecs!$A$8,MouserListTable[[#This Row],[Mouser SKU]], MouserListTable[[#This Row],[Supplier SKU]])</f>
        <v>474-BOB-00717</v>
      </c>
      <c r="E201" s="152">
        <f>MouserListTable[[#This Row],[Tot '#]]-MouserListTable[[#This Row],['# Initial]]</f>
        <v>0</v>
      </c>
      <c r="F201" s="152">
        <f>IF(AND(MouserListTable[[#This Row],[Tag]]&lt;&gt;FilterSpecs!$F$12, MouserListTable[[#This Row],[Tag]]&lt;&gt;FilterSpecs!$F$9), MouserListTable[[#This Row],['#/Unit]]*FilterSpecs!$B$3+MouserListTable[[#This Row],[Extra Initial]],0)</f>
        <v>0</v>
      </c>
      <c r="G201" s="147" t="s">
        <v>1269</v>
      </c>
      <c r="H201" s="150" t="s">
        <v>1270</v>
      </c>
      <c r="I201" s="97" t="s">
        <v>1271</v>
      </c>
      <c r="J201" s="153">
        <v>1</v>
      </c>
      <c r="K201" s="118">
        <v>0.95</v>
      </c>
      <c r="L201" s="97" t="s">
        <v>1896</v>
      </c>
      <c r="M201" s="153"/>
      <c r="N201" s="154">
        <f>MouserListTable[[#This Row],['# Initial]]*MouserListTable[[#This Row],[Price (USD)]]</f>
        <v>0</v>
      </c>
      <c r="O201" s="151" t="s">
        <v>1268</v>
      </c>
      <c r="P201" s="150">
        <f t="shared" si="2"/>
        <v>188</v>
      </c>
      <c r="Q201" s="150" t="s">
        <v>5</v>
      </c>
      <c r="R20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474-BOB-00717</v>
      </c>
      <c r="S201" s="157" t="str">
        <f>HYPERLINK("https://www.mouser.com/ProductDetail/" &amp;MouserListTable[[#This Row],[Mouser SKU]])</f>
        <v>https://www.mouser.com/ProductDetail/474-BOB-00717</v>
      </c>
      <c r="T201" s="152">
        <v>0</v>
      </c>
      <c r="U201" s="152">
        <v>0</v>
      </c>
      <c r="V201" s="152">
        <v>0</v>
      </c>
      <c r="W201" s="152">
        <f>MouserListTable[[#This Row],['#/Unit]]*FilterSpecs!$C$3+MouserListTable[[#This Row],[Extra]]</f>
        <v>0</v>
      </c>
      <c r="X201" s="152">
        <f>IF(MouserListTable[[#This Row],[Tag]]=FilterSpecs!$F$7,MouserListTable[[#This Row],['#/Unit]]*MouserListTable[[#This Row],[Price (USD)]],0)</f>
        <v>0</v>
      </c>
      <c r="Y201" s="152">
        <f>MouserListTable[[#This Row],[Tot '#]]*MouserListTable[[#This Row],[Price (USD)]]</f>
        <v>0</v>
      </c>
    </row>
    <row r="202" spans="1:26" s="146" customFormat="1" x14ac:dyDescent="0.25">
      <c r="A202" s="150" t="s">
        <v>888</v>
      </c>
      <c r="B202" s="97" t="s">
        <v>12</v>
      </c>
      <c r="C202" s="150" t="s">
        <v>1892</v>
      </c>
      <c r="D202" s="151" t="str">
        <f>IF(MouserListTable[[#This Row],[Vendor]]=FilterSpecs!$A$8,MouserListTable[[#This Row],[Mouser SKU]], MouserListTable[[#This Row],[Supplier SKU]])</f>
        <v>474-BOB-13655</v>
      </c>
      <c r="E202" s="152">
        <f>MouserListTable[[#This Row],[Tot '#]]-MouserListTable[[#This Row],['# Initial]]</f>
        <v>0</v>
      </c>
      <c r="F202" s="152">
        <f>IF(AND(MouserListTable[[#This Row],[Tag]]&lt;&gt;FilterSpecs!$F$12, MouserListTable[[#This Row],[Tag]]&lt;&gt;FilterSpecs!$F$9), MouserListTable[[#This Row],['#/Unit]]*FilterSpecs!$B$3+MouserListTable[[#This Row],[Extra Initial]],0)</f>
        <v>0</v>
      </c>
      <c r="G202" s="147" t="s">
        <v>1445</v>
      </c>
      <c r="H202" s="150" t="s">
        <v>1446</v>
      </c>
      <c r="I202" s="97" t="s">
        <v>1447</v>
      </c>
      <c r="J202" s="153">
        <v>1</v>
      </c>
      <c r="K202" s="118">
        <v>2.95</v>
      </c>
      <c r="L202" s="97" t="s">
        <v>1896</v>
      </c>
      <c r="M202" s="153"/>
      <c r="N202" s="154">
        <f>MouserListTable[[#This Row],['# Initial]]*MouserListTable[[#This Row],[Price (USD)]]</f>
        <v>0</v>
      </c>
      <c r="O202" s="151" t="s">
        <v>1444</v>
      </c>
      <c r="P202" s="150">
        <f t="shared" si="2"/>
        <v>189</v>
      </c>
      <c r="Q202" s="150" t="s">
        <v>5</v>
      </c>
      <c r="R20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474-BOB-13655</v>
      </c>
      <c r="S202" s="157" t="str">
        <f>HYPERLINK("https://www.mouser.com/ProductDetail/" &amp;MouserListTable[[#This Row],[Mouser SKU]])</f>
        <v>https://www.mouser.com/ProductDetail/474-BOB-13655</v>
      </c>
      <c r="T202" s="152">
        <v>0</v>
      </c>
      <c r="U202" s="152">
        <v>0</v>
      </c>
      <c r="V202" s="152">
        <v>0</v>
      </c>
      <c r="W202" s="152">
        <f>MouserListTable[[#This Row],['#/Unit]]*FilterSpecs!$C$3+MouserListTable[[#This Row],[Extra]]</f>
        <v>0</v>
      </c>
      <c r="X202" s="152">
        <f>IF(MouserListTable[[#This Row],[Tag]]=FilterSpecs!$F$7,MouserListTable[[#This Row],['#/Unit]]*MouserListTable[[#This Row],[Price (USD)]],0)</f>
        <v>0</v>
      </c>
      <c r="Y202" s="152">
        <f>MouserListTable[[#This Row],[Tot '#]]*MouserListTable[[#This Row],[Price (USD)]]</f>
        <v>0</v>
      </c>
    </row>
    <row r="203" spans="1:26" s="146" customFormat="1" x14ac:dyDescent="0.25">
      <c r="A203" s="150" t="s">
        <v>888</v>
      </c>
      <c r="B203" s="97" t="s">
        <v>12</v>
      </c>
      <c r="C203" s="150" t="s">
        <v>1892</v>
      </c>
      <c r="D203" s="151" t="str">
        <f>IF(MouserListTable[[#This Row],[Vendor]]=FilterSpecs!$A$8,MouserListTable[[#This Row],[Mouser SKU]], MouserListTable[[#This Row],[Supplier SKU]])</f>
        <v>474-BOB-00497</v>
      </c>
      <c r="E203" s="152">
        <f>MouserListTable[[#This Row],[Tot '#]]-MouserListTable[[#This Row],['# Initial]]</f>
        <v>0</v>
      </c>
      <c r="F203" s="152">
        <f>IF(AND(MouserListTable[[#This Row],[Tag]]&lt;&gt;FilterSpecs!$F$12, MouserListTable[[#This Row],[Tag]]&lt;&gt;FilterSpecs!$F$9), MouserListTable[[#This Row],['#/Unit]]*FilterSpecs!$B$3+MouserListTable[[#This Row],[Extra Initial]],0)</f>
        <v>0</v>
      </c>
      <c r="G203" s="147" t="s">
        <v>1457</v>
      </c>
      <c r="H203" s="150" t="s">
        <v>1458</v>
      </c>
      <c r="I203" s="97" t="s">
        <v>1459</v>
      </c>
      <c r="J203" s="153">
        <v>1</v>
      </c>
      <c r="K203" s="118">
        <v>2.95</v>
      </c>
      <c r="L203" s="97" t="s">
        <v>1896</v>
      </c>
      <c r="M203" s="153"/>
      <c r="N203" s="154">
        <f>MouserListTable[[#This Row],['# Initial]]*MouserListTable[[#This Row],[Price (USD)]]</f>
        <v>0</v>
      </c>
      <c r="O203" s="151" t="s">
        <v>1456</v>
      </c>
      <c r="P203" s="150">
        <f t="shared" si="2"/>
        <v>190</v>
      </c>
      <c r="Q203" s="150" t="s">
        <v>5</v>
      </c>
      <c r="R20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474-BOB-00497</v>
      </c>
      <c r="S203" s="157" t="str">
        <f>HYPERLINK("https://www.mouser.com/ProductDetail/" &amp;MouserListTable[[#This Row],[Mouser SKU]])</f>
        <v>https://www.mouser.com/ProductDetail/474-BOB-00497</v>
      </c>
      <c r="T203" s="152">
        <v>0</v>
      </c>
      <c r="U203" s="152">
        <v>0</v>
      </c>
      <c r="V203" s="152">
        <v>0</v>
      </c>
      <c r="W203" s="152">
        <f>MouserListTable[[#This Row],['#/Unit]]*FilterSpecs!$C$3+MouserListTable[[#This Row],[Extra]]</f>
        <v>0</v>
      </c>
      <c r="X203" s="152">
        <f>IF(MouserListTable[[#This Row],[Tag]]=FilterSpecs!$F$7,MouserListTable[[#This Row],['#/Unit]]*MouserListTable[[#This Row],[Price (USD)]],0)</f>
        <v>0</v>
      </c>
      <c r="Y203" s="152">
        <f>MouserListTable[[#This Row],[Tot '#]]*MouserListTable[[#This Row],[Price (USD)]]</f>
        <v>0</v>
      </c>
    </row>
    <row r="204" spans="1:26" s="146" customFormat="1" x14ac:dyDescent="0.25">
      <c r="A204" s="150" t="s">
        <v>888</v>
      </c>
      <c r="B204" s="97" t="s">
        <v>12</v>
      </c>
      <c r="C204" s="150" t="s">
        <v>1892</v>
      </c>
      <c r="D204" s="151" t="str">
        <f>IF(MouserListTable[[#This Row],[Vendor]]=FilterSpecs!$A$8,MouserListTable[[#This Row],[Mouser SKU]], MouserListTable[[#This Row],[Supplier SKU]])</f>
        <v>474-BOB-13994</v>
      </c>
      <c r="E204" s="152">
        <f>MouserListTable[[#This Row],[Tot '#]]-MouserListTable[[#This Row],['# Initial]]</f>
        <v>0</v>
      </c>
      <c r="F204" s="152">
        <f>IF(AND(MouserListTable[[#This Row],[Tag]]&lt;&gt;FilterSpecs!$F$12, MouserListTable[[#This Row],[Tag]]&lt;&gt;FilterSpecs!$F$9), MouserListTable[[#This Row],['#/Unit]]*FilterSpecs!$B$3+MouserListTable[[#This Row],[Extra Initial]],0)</f>
        <v>0</v>
      </c>
      <c r="G204" s="147" t="s">
        <v>1453</v>
      </c>
      <c r="H204" s="150" t="s">
        <v>1454</v>
      </c>
      <c r="I204" s="97" t="s">
        <v>1455</v>
      </c>
      <c r="J204" s="153">
        <v>1</v>
      </c>
      <c r="K204" s="118">
        <v>2.95</v>
      </c>
      <c r="L204" s="97" t="s">
        <v>1896</v>
      </c>
      <c r="M204" s="153"/>
      <c r="N204" s="154">
        <f>MouserListTable[[#This Row],['# Initial]]*MouserListTable[[#This Row],[Price (USD)]]</f>
        <v>0</v>
      </c>
      <c r="O204" s="151" t="s">
        <v>1452</v>
      </c>
      <c r="P204" s="150">
        <f t="shared" si="2"/>
        <v>191</v>
      </c>
      <c r="Q204" s="150" t="s">
        <v>5</v>
      </c>
      <c r="R20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474-BOB-13994</v>
      </c>
      <c r="S204" s="157" t="str">
        <f>HYPERLINK("https://www.mouser.com/ProductDetail/" &amp;MouserListTable[[#This Row],[Mouser SKU]])</f>
        <v>https://www.mouser.com/ProductDetail/474-BOB-13994</v>
      </c>
      <c r="T204" s="152">
        <v>0</v>
      </c>
      <c r="U204" s="152">
        <v>0</v>
      </c>
      <c r="V204" s="152">
        <v>0</v>
      </c>
      <c r="W204" s="152">
        <f>MouserListTable[[#This Row],['#/Unit]]*FilterSpecs!$C$3+MouserListTable[[#This Row],[Extra]]</f>
        <v>0</v>
      </c>
      <c r="X204" s="152">
        <f>IF(MouserListTable[[#This Row],[Tag]]=FilterSpecs!$F$7,MouserListTable[[#This Row],['#/Unit]]*MouserListTable[[#This Row],[Price (USD)]],0)</f>
        <v>0</v>
      </c>
      <c r="Y204" s="152">
        <f>MouserListTable[[#This Row],[Tot '#]]*MouserListTable[[#This Row],[Price (USD)]]</f>
        <v>0</v>
      </c>
    </row>
    <row r="205" spans="1:26" s="146" customFormat="1" x14ac:dyDescent="0.25">
      <c r="A205" s="150" t="s">
        <v>888</v>
      </c>
      <c r="B205" s="97" t="s">
        <v>12</v>
      </c>
      <c r="C205" s="150" t="s">
        <v>1892</v>
      </c>
      <c r="D205" s="151" t="str">
        <f>IF(MouserListTable[[#This Row],[Vendor]]=FilterSpecs!$A$8,MouserListTable[[#This Row],[Mouser SKU]], MouserListTable[[#This Row],[Supplier SKU]])</f>
        <v>474-BOB-00495</v>
      </c>
      <c r="E205" s="152">
        <f>MouserListTable[[#This Row],[Tot '#]]-MouserListTable[[#This Row],['# Initial]]</f>
        <v>0</v>
      </c>
      <c r="F205" s="152">
        <f>IF(AND(MouserListTable[[#This Row],[Tag]]&lt;&gt;FilterSpecs!$F$12, MouserListTable[[#This Row],[Tag]]&lt;&gt;FilterSpecs!$F$9), MouserListTable[[#This Row],['#/Unit]]*FilterSpecs!$B$3+MouserListTable[[#This Row],[Extra Initial]],0)</f>
        <v>0</v>
      </c>
      <c r="G205" s="147" t="s">
        <v>1449</v>
      </c>
      <c r="H205" s="150" t="s">
        <v>1450</v>
      </c>
      <c r="I205" s="97" t="s">
        <v>1451</v>
      </c>
      <c r="J205" s="153">
        <v>1</v>
      </c>
      <c r="K205" s="118">
        <v>3.95</v>
      </c>
      <c r="L205" s="97" t="s">
        <v>1896</v>
      </c>
      <c r="M205" s="153"/>
      <c r="N205" s="154">
        <f>MouserListTable[[#This Row],['# Initial]]*MouserListTable[[#This Row],[Price (USD)]]</f>
        <v>0</v>
      </c>
      <c r="O205" s="151" t="s">
        <v>1448</v>
      </c>
      <c r="P205" s="150">
        <f t="shared" si="2"/>
        <v>192</v>
      </c>
      <c r="Q205" s="150" t="s">
        <v>5</v>
      </c>
      <c r="R20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474-BOB-00495</v>
      </c>
      <c r="S205" s="157" t="str">
        <f>HYPERLINK("https://www.mouser.com/ProductDetail/" &amp;MouserListTable[[#This Row],[Mouser SKU]])</f>
        <v>https://www.mouser.com/ProductDetail/474-BOB-00495</v>
      </c>
      <c r="T205" s="152">
        <v>0</v>
      </c>
      <c r="U205" s="152">
        <v>0</v>
      </c>
      <c r="V205" s="152">
        <v>0</v>
      </c>
      <c r="W205" s="152">
        <f>MouserListTable[[#This Row],['#/Unit]]*FilterSpecs!$C$3+MouserListTable[[#This Row],[Extra]]</f>
        <v>0</v>
      </c>
      <c r="X205" s="152">
        <f>IF(MouserListTable[[#This Row],[Tag]]=FilterSpecs!$F$7,MouserListTable[[#This Row],['#/Unit]]*MouserListTable[[#This Row],[Price (USD)]],0)</f>
        <v>0</v>
      </c>
      <c r="Y205" s="152">
        <f>MouserListTable[[#This Row],[Tot '#]]*MouserListTable[[#This Row],[Price (USD)]]</f>
        <v>0</v>
      </c>
    </row>
    <row r="206" spans="1:26" s="146" customFormat="1" x14ac:dyDescent="0.25">
      <c r="A206" s="150" t="s">
        <v>888</v>
      </c>
      <c r="B206" s="97" t="s">
        <v>12</v>
      </c>
      <c r="C206" s="150" t="s">
        <v>1892</v>
      </c>
      <c r="D206" s="151" t="str">
        <f>IF(MouserListTable[[#This Row],[Vendor]]=FilterSpecs!$A$8,MouserListTable[[#This Row],[Mouser SKU]], MouserListTable[[#This Row],[Supplier SKU]])</f>
        <v>474-BOB-00499</v>
      </c>
      <c r="E206" s="152">
        <f>MouserListTable[[#This Row],[Tot '#]]-MouserListTable[[#This Row],['# Initial]]</f>
        <v>0</v>
      </c>
      <c r="F206" s="152">
        <f>IF(AND(MouserListTable[[#This Row],[Tag]]&lt;&gt;FilterSpecs!$F$12, MouserListTable[[#This Row],[Tag]]&lt;&gt;FilterSpecs!$F$9), MouserListTable[[#This Row],['#/Unit]]*FilterSpecs!$B$3+MouserListTable[[#This Row],[Extra Initial]],0)</f>
        <v>0</v>
      </c>
      <c r="G206" s="147" t="s">
        <v>1473</v>
      </c>
      <c r="H206" s="150" t="s">
        <v>1474</v>
      </c>
      <c r="I206" s="97" t="s">
        <v>1475</v>
      </c>
      <c r="J206" s="153">
        <v>1</v>
      </c>
      <c r="K206" s="118">
        <v>3.95</v>
      </c>
      <c r="L206" s="97" t="s">
        <v>1896</v>
      </c>
      <c r="M206" s="153"/>
      <c r="N206" s="154">
        <f>MouserListTable[[#This Row],['# Initial]]*MouserListTable[[#This Row],[Price (USD)]]</f>
        <v>0</v>
      </c>
      <c r="O206" s="151" t="s">
        <v>1472</v>
      </c>
      <c r="P206" s="150">
        <f t="shared" si="2"/>
        <v>193</v>
      </c>
      <c r="Q206" s="150" t="s">
        <v>5</v>
      </c>
      <c r="R20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474-BOB-00499</v>
      </c>
      <c r="S206" s="157" t="str">
        <f>HYPERLINK("https://www.mouser.com/ProductDetail/" &amp;MouserListTable[[#This Row],[Mouser SKU]])</f>
        <v>https://www.mouser.com/ProductDetail/474-BOB-00499</v>
      </c>
      <c r="T206" s="152">
        <v>0</v>
      </c>
      <c r="U206" s="152">
        <v>0</v>
      </c>
      <c r="V206" s="152">
        <v>0</v>
      </c>
      <c r="W206" s="152">
        <f>MouserListTable[[#This Row],['#/Unit]]*FilterSpecs!$C$3+MouserListTable[[#This Row],[Extra]]</f>
        <v>0</v>
      </c>
      <c r="X206" s="152">
        <f>IF(MouserListTable[[#This Row],[Tag]]=FilterSpecs!$F$7,MouserListTable[[#This Row],['#/Unit]]*MouserListTable[[#This Row],[Price (USD)]],0)</f>
        <v>0</v>
      </c>
      <c r="Y206" s="152">
        <f>MouserListTable[[#This Row],[Tot '#]]*MouserListTable[[#This Row],[Price (USD)]]</f>
        <v>0</v>
      </c>
    </row>
    <row r="207" spans="1:26" s="146" customFormat="1" x14ac:dyDescent="0.25">
      <c r="A207" s="150" t="s">
        <v>888</v>
      </c>
      <c r="B207" s="97" t="s">
        <v>12</v>
      </c>
      <c r="C207" s="150" t="s">
        <v>1892</v>
      </c>
      <c r="D207" s="151" t="str">
        <f>IF(MouserListTable[[#This Row],[Vendor]]=FilterSpecs!$A$8,MouserListTable[[#This Row],[Mouser SKU]], MouserListTable[[#This Row],[Supplier SKU]])</f>
        <v>474-BOB-00496</v>
      </c>
      <c r="E207" s="152">
        <f>MouserListTable[[#This Row],[Tot '#]]-MouserListTable[[#This Row],['# Initial]]</f>
        <v>0</v>
      </c>
      <c r="F207" s="152">
        <f>IF(AND(MouserListTable[[#This Row],[Tag]]&lt;&gt;FilterSpecs!$F$12, MouserListTable[[#This Row],[Tag]]&lt;&gt;FilterSpecs!$F$9), MouserListTable[[#This Row],['#/Unit]]*FilterSpecs!$B$3+MouserListTable[[#This Row],[Extra Initial]],0)</f>
        <v>0</v>
      </c>
      <c r="G207" s="147" t="s">
        <v>1465</v>
      </c>
      <c r="H207" s="150" t="s">
        <v>1466</v>
      </c>
      <c r="I207" s="97" t="s">
        <v>1467</v>
      </c>
      <c r="J207" s="153">
        <v>1</v>
      </c>
      <c r="K207" s="118">
        <v>3.95</v>
      </c>
      <c r="L207" s="97" t="s">
        <v>1896</v>
      </c>
      <c r="M207" s="153"/>
      <c r="N207" s="154">
        <f>MouserListTable[[#This Row],['# Initial]]*MouserListTable[[#This Row],[Price (USD)]]</f>
        <v>0</v>
      </c>
      <c r="O207" s="151" t="s">
        <v>1464</v>
      </c>
      <c r="P207" s="150">
        <f t="shared" si="2"/>
        <v>194</v>
      </c>
      <c r="Q207" s="150" t="s">
        <v>5</v>
      </c>
      <c r="R20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474-BOB-00496</v>
      </c>
      <c r="S207" s="157" t="str">
        <f>HYPERLINK("https://www.mouser.com/ProductDetail/" &amp;MouserListTable[[#This Row],[Mouser SKU]])</f>
        <v>https://www.mouser.com/ProductDetail/474-BOB-00496</v>
      </c>
      <c r="T207" s="152">
        <v>0</v>
      </c>
      <c r="U207" s="152">
        <v>0</v>
      </c>
      <c r="V207" s="152">
        <v>0</v>
      </c>
      <c r="W207" s="152">
        <f>MouserListTable[[#This Row],['#/Unit]]*FilterSpecs!$C$3+MouserListTable[[#This Row],[Extra]]</f>
        <v>0</v>
      </c>
      <c r="X207" s="152">
        <f>IF(MouserListTable[[#This Row],[Tag]]=FilterSpecs!$F$7,MouserListTable[[#This Row],['#/Unit]]*MouserListTable[[#This Row],[Price (USD)]],0)</f>
        <v>0</v>
      </c>
      <c r="Y207" s="152">
        <f>MouserListTable[[#This Row],[Tot '#]]*MouserListTable[[#This Row],[Price (USD)]]</f>
        <v>0</v>
      </c>
    </row>
    <row r="208" spans="1:26" s="146" customFormat="1" x14ac:dyDescent="0.25">
      <c r="A208" s="150" t="s">
        <v>888</v>
      </c>
      <c r="B208" s="97" t="s">
        <v>12</v>
      </c>
      <c r="C208" s="150" t="s">
        <v>1892</v>
      </c>
      <c r="D208" s="151" t="str">
        <f>IF(MouserListTable[[#This Row],[Vendor]]=FilterSpecs!$A$8,MouserListTable[[#This Row],[Mouser SKU]], MouserListTable[[#This Row],[Supplier SKU]])</f>
        <v>474-BOB-00500</v>
      </c>
      <c r="E208" s="152">
        <f>MouserListTable[[#This Row],[Tot '#]]-MouserListTable[[#This Row],['# Initial]]</f>
        <v>0</v>
      </c>
      <c r="F208" s="152">
        <f>IF(AND(MouserListTable[[#This Row],[Tag]]&lt;&gt;FilterSpecs!$F$12, MouserListTable[[#This Row],[Tag]]&lt;&gt;FilterSpecs!$F$9), MouserListTable[[#This Row],['#/Unit]]*FilterSpecs!$B$3+MouserListTable[[#This Row],[Extra Initial]],0)</f>
        <v>0</v>
      </c>
      <c r="G208" s="147" t="s">
        <v>1461</v>
      </c>
      <c r="H208" s="150" t="s">
        <v>1462</v>
      </c>
      <c r="I208" s="97" t="s">
        <v>1463</v>
      </c>
      <c r="J208" s="153">
        <v>1</v>
      </c>
      <c r="K208" s="118">
        <v>3.95</v>
      </c>
      <c r="L208" s="97" t="s">
        <v>1896</v>
      </c>
      <c r="M208" s="153"/>
      <c r="N208" s="154">
        <f>MouserListTable[[#This Row],['# Initial]]*MouserListTable[[#This Row],[Price (USD)]]</f>
        <v>0</v>
      </c>
      <c r="O208" s="151" t="s">
        <v>1460</v>
      </c>
      <c r="P208" s="150">
        <f t="shared" si="2"/>
        <v>195</v>
      </c>
      <c r="Q208" s="150" t="s">
        <v>5</v>
      </c>
      <c r="R20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474-BOB-00500</v>
      </c>
      <c r="S208" s="157" t="str">
        <f>HYPERLINK("https://www.mouser.com/ProductDetail/" &amp;MouserListTable[[#This Row],[Mouser SKU]])</f>
        <v>https://www.mouser.com/ProductDetail/474-BOB-00500</v>
      </c>
      <c r="T208" s="152">
        <v>0</v>
      </c>
      <c r="U208" s="152">
        <v>0</v>
      </c>
      <c r="V208" s="152">
        <v>0</v>
      </c>
      <c r="W208" s="152">
        <f>MouserListTable[[#This Row],['#/Unit]]*FilterSpecs!$C$3+MouserListTable[[#This Row],[Extra]]</f>
        <v>0</v>
      </c>
      <c r="X208" s="152">
        <f>IF(MouserListTable[[#This Row],[Tag]]=FilterSpecs!$F$7,MouserListTable[[#This Row],['#/Unit]]*MouserListTable[[#This Row],[Price (USD)]],0)</f>
        <v>0</v>
      </c>
      <c r="Y208" s="152">
        <f>MouserListTable[[#This Row],[Tot '#]]*MouserListTable[[#This Row],[Price (USD)]]</f>
        <v>0</v>
      </c>
    </row>
    <row r="209" spans="1:26" s="106" customFormat="1" x14ac:dyDescent="0.25">
      <c r="A209" s="78" t="s">
        <v>888</v>
      </c>
      <c r="B209" s="78" t="s">
        <v>892</v>
      </c>
      <c r="C209" s="78" t="s">
        <v>1892</v>
      </c>
      <c r="D209" s="81" t="str">
        <f>IF(MouserListTable[[#This Row],[Vendor]]=FilterSpecs!$A$8,MouserListTable[[#This Row],[Mouser SKU]], MouserListTable[[#This Row],[Supplier SKU]])</f>
        <v>474-PRT-14425</v>
      </c>
      <c r="E209" s="94">
        <f>MouserListTable[[#This Row],[Tot '#]]-MouserListTable[[#This Row],['# Initial]]</f>
        <v>0</v>
      </c>
      <c r="F209" s="94">
        <f>IF(AND(MouserListTable[[#This Row],[Tag]]&lt;&gt;FilterSpecs!$F$12, MouserListTable[[#This Row],[Tag]]&lt;&gt;FilterSpecs!$F$9), MouserListTable[[#This Row],['#/Unit]]*FilterSpecs!$B$3+MouserListTable[[#This Row],[Extra Initial]],0)</f>
        <v>0</v>
      </c>
      <c r="G209" s="78" t="s">
        <v>230</v>
      </c>
      <c r="H209" s="150" t="s">
        <v>231</v>
      </c>
      <c r="I209" s="78" t="s">
        <v>232</v>
      </c>
      <c r="J209" s="78"/>
      <c r="K209" s="117">
        <v>1.5</v>
      </c>
      <c r="L209" s="78" t="s">
        <v>1897</v>
      </c>
      <c r="M209" s="78"/>
      <c r="N209" s="154">
        <f>MouserListTable[[#This Row],['# Initial]]*MouserListTable[[#This Row],[Price (USD)]]</f>
        <v>0</v>
      </c>
      <c r="O209" s="81" t="s">
        <v>229</v>
      </c>
      <c r="P209" s="150">
        <f t="shared" si="2"/>
        <v>196</v>
      </c>
      <c r="Q209" s="78" t="s">
        <v>5</v>
      </c>
      <c r="R209"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474-PRT-14425</v>
      </c>
      <c r="S209" s="133" t="str">
        <f>HYPERLINK("https://www.mouser.com/ProductDetail/" &amp;MouserListTable[[#This Row],[Mouser SKU]])</f>
        <v>https://www.mouser.com/ProductDetail/474-PRT-14425</v>
      </c>
      <c r="T209" s="94">
        <v>0</v>
      </c>
      <c r="U209" s="94">
        <v>0</v>
      </c>
      <c r="V209" s="94">
        <v>0</v>
      </c>
      <c r="W209" s="94">
        <f>MouserListTable[[#This Row],['#/Unit]]*FilterSpecs!$C$3+MouserListTable[[#This Row],[Extra]]</f>
        <v>0</v>
      </c>
      <c r="X209" s="94">
        <f>IF(MouserListTable[[#This Row],[Tag]]=FilterSpecs!$F$7,MouserListTable[[#This Row],['#/Unit]]*MouserListTable[[#This Row],[Price (USD)]],0)</f>
        <v>0</v>
      </c>
      <c r="Y209" s="94">
        <f>MouserListTable[[#This Row],[Tot '#]]*MouserListTable[[#This Row],[Price (USD)]]</f>
        <v>0</v>
      </c>
      <c r="Z209"/>
    </row>
    <row r="210" spans="1:26" s="106" customFormat="1" x14ac:dyDescent="0.25">
      <c r="A210" s="78" t="s">
        <v>888</v>
      </c>
      <c r="B210" s="78" t="s">
        <v>892</v>
      </c>
      <c r="C210" s="78" t="s">
        <v>1892</v>
      </c>
      <c r="D210" s="81" t="str">
        <f>IF(MouserListTable[[#This Row],[Vendor]]=FilterSpecs!$A$8,MouserListTable[[#This Row],[Mouser SKU]], MouserListTable[[#This Row],[Supplier SKU]])</f>
        <v>474-SPX-14291</v>
      </c>
      <c r="E210" s="94">
        <f>MouserListTable[[#This Row],[Tot '#]]-MouserListTable[[#This Row],['# Initial]]</f>
        <v>1</v>
      </c>
      <c r="F210" s="94">
        <f>IF(AND(MouserListTable[[#This Row],[Tag]]&lt;&gt;FilterSpecs!$F$12, MouserListTable[[#This Row],[Tag]]&lt;&gt;FilterSpecs!$F$9), MouserListTable[[#This Row],['#/Unit]]*FilterSpecs!$B$3+MouserListTable[[#This Row],[Extra Initial]],0)</f>
        <v>0</v>
      </c>
      <c r="G210" s="78" t="s">
        <v>234</v>
      </c>
      <c r="H210" s="150" t="s">
        <v>235</v>
      </c>
      <c r="I210" s="78" t="s">
        <v>236</v>
      </c>
      <c r="J210" s="78">
        <v>1</v>
      </c>
      <c r="K210" s="117">
        <v>14.95</v>
      </c>
      <c r="L210" s="78" t="s">
        <v>1898</v>
      </c>
      <c r="M210" s="78"/>
      <c r="N210" s="154">
        <f>MouserListTable[[#This Row],['# Initial]]*MouserListTable[[#This Row],[Price (USD)]]</f>
        <v>0</v>
      </c>
      <c r="O210" s="81" t="s">
        <v>233</v>
      </c>
      <c r="P210" s="150">
        <f t="shared" si="2"/>
        <v>197</v>
      </c>
      <c r="Q210" s="78" t="s">
        <v>5</v>
      </c>
      <c r="R210"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474-SPX-14291</v>
      </c>
      <c r="S210" s="133" t="str">
        <f>HYPERLINK("https://www.mouser.com/ProductDetail/" &amp;MouserListTable[[#This Row],[Mouser SKU]])</f>
        <v>https://www.mouser.com/ProductDetail/474-SPX-14291</v>
      </c>
      <c r="T210" s="94">
        <v>0</v>
      </c>
      <c r="U210" s="94">
        <v>1</v>
      </c>
      <c r="V210" s="94">
        <v>0</v>
      </c>
      <c r="W210" s="94">
        <f>MouserListTable[[#This Row],['#/Unit]]*FilterSpecs!$C$3+MouserListTable[[#This Row],[Extra]]</f>
        <v>1</v>
      </c>
      <c r="X210" s="94">
        <f>IF(MouserListTable[[#This Row],[Tag]]=FilterSpecs!$F$7,MouserListTable[[#This Row],['#/Unit]]*MouserListTable[[#This Row],[Price (USD)]],0)</f>
        <v>0</v>
      </c>
      <c r="Y210" s="94">
        <f>MouserListTable[[#This Row],[Tot '#]]*MouserListTable[[#This Row],[Price (USD)]]</f>
        <v>14.95</v>
      </c>
      <c r="Z210"/>
    </row>
    <row r="211" spans="1:26" s="106" customFormat="1" x14ac:dyDescent="0.25">
      <c r="A211" s="97" t="s">
        <v>888</v>
      </c>
      <c r="B211" s="97" t="s">
        <v>892</v>
      </c>
      <c r="C211" s="78" t="s">
        <v>1892</v>
      </c>
      <c r="D211" s="81" t="str">
        <f>IF(MouserListTable[[#This Row],[Vendor]]=FilterSpecs!$A$8,MouserListTable[[#This Row],[Mouser SKU]], MouserListTable[[#This Row],[Supplier SKU]])</f>
        <v>474-SPX-14286</v>
      </c>
      <c r="E211" s="94">
        <f>MouserListTable[[#This Row],[Tot '#]]-MouserListTable[[#This Row],['# Initial]]</f>
        <v>0</v>
      </c>
      <c r="F211" s="94">
        <f>IF(AND(MouserListTable[[#This Row],[Tag]]&lt;&gt;FilterSpecs!$F$12, MouserListTable[[#This Row],[Tag]]&lt;&gt;FilterSpecs!$F$9), MouserListTable[[#This Row],['#/Unit]]*FilterSpecs!$B$3+MouserListTable[[#This Row],[Extra Initial]],0)</f>
        <v>0</v>
      </c>
      <c r="G211" s="78" t="s">
        <v>357</v>
      </c>
      <c r="H211" s="150" t="s">
        <v>358</v>
      </c>
      <c r="I211" s="78" t="s">
        <v>359</v>
      </c>
      <c r="J211" s="78">
        <v>1</v>
      </c>
      <c r="K211" s="117">
        <v>2.95</v>
      </c>
      <c r="L211" s="78" t="s">
        <v>2461</v>
      </c>
      <c r="M211" s="78"/>
      <c r="N211" s="154">
        <f>MouserListTable[[#This Row],['# Initial]]*MouserListTable[[#This Row],[Price (USD)]]</f>
        <v>0</v>
      </c>
      <c r="O211" s="81" t="s">
        <v>356</v>
      </c>
      <c r="P211" s="150">
        <f t="shared" si="2"/>
        <v>198</v>
      </c>
      <c r="Q211" s="78" t="s">
        <v>5</v>
      </c>
      <c r="R211"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474-SPX-14286</v>
      </c>
      <c r="S211" s="133" t="str">
        <f>HYPERLINK("https://www.mouser.com/ProductDetail/" &amp;MouserListTable[[#This Row],[Mouser SKU]])</f>
        <v>https://www.mouser.com/ProductDetail/474-SPX-14286</v>
      </c>
      <c r="T211" s="94">
        <v>0</v>
      </c>
      <c r="U211" s="94">
        <v>0</v>
      </c>
      <c r="V211" s="94">
        <v>0</v>
      </c>
      <c r="W211" s="94">
        <f>MouserListTable[[#This Row],['#/Unit]]*FilterSpecs!$C$3+MouserListTable[[#This Row],[Extra]]</f>
        <v>0</v>
      </c>
      <c r="X211" s="94">
        <f>IF(MouserListTable[[#This Row],[Tag]]=FilterSpecs!$F$7,MouserListTable[[#This Row],['#/Unit]]*MouserListTable[[#This Row],[Price (USD)]],0)</f>
        <v>0</v>
      </c>
      <c r="Y211" s="94">
        <f>MouserListTable[[#This Row],[Tot '#]]*MouserListTable[[#This Row],[Price (USD)]]</f>
        <v>0</v>
      </c>
      <c r="Z211"/>
    </row>
    <row r="212" spans="1:26" s="106" customFormat="1" x14ac:dyDescent="0.25">
      <c r="A212" s="97" t="s">
        <v>888</v>
      </c>
      <c r="B212" s="97" t="s">
        <v>892</v>
      </c>
      <c r="C212" s="78" t="s">
        <v>1892</v>
      </c>
      <c r="D212" s="81" t="str">
        <f>IF(MouserListTable[[#This Row],[Vendor]]=FilterSpecs!$A$8,MouserListTable[[#This Row],[Mouser SKU]], MouserListTable[[#This Row],[Supplier SKU]])</f>
        <v>474-SPX-14257</v>
      </c>
      <c r="E212" s="94">
        <f>MouserListTable[[#This Row],[Tot '#]]-MouserListTable[[#This Row],['# Initial]]</f>
        <v>0</v>
      </c>
      <c r="F212" s="94">
        <f>IF(AND(MouserListTable[[#This Row],[Tag]]&lt;&gt;FilterSpecs!$F$12, MouserListTable[[#This Row],[Tag]]&lt;&gt;FilterSpecs!$F$9), MouserListTable[[#This Row],['#/Unit]]*FilterSpecs!$B$3+MouserListTable[[#This Row],[Extra Initial]],0)</f>
        <v>0</v>
      </c>
      <c r="G212" s="78" t="s">
        <v>1174</v>
      </c>
      <c r="H212" s="150" t="s">
        <v>1175</v>
      </c>
      <c r="I212" s="78" t="s">
        <v>1176</v>
      </c>
      <c r="J212" s="78">
        <v>1</v>
      </c>
      <c r="K212" s="117">
        <v>9.9499999999999993</v>
      </c>
      <c r="L212" s="78" t="s">
        <v>2461</v>
      </c>
      <c r="N212" s="154">
        <f>MouserListTable[[#This Row],['# Initial]]*MouserListTable[[#This Row],[Price (USD)]]</f>
        <v>0</v>
      </c>
      <c r="O212" s="81" t="s">
        <v>1173</v>
      </c>
      <c r="P212" s="150">
        <f t="shared" si="2"/>
        <v>199</v>
      </c>
      <c r="Q212" s="78" t="s">
        <v>5</v>
      </c>
      <c r="R212"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474-SPX-14257</v>
      </c>
      <c r="S212" s="133" t="str">
        <f>HYPERLINK("https://www.mouser.com/ProductDetail/" &amp;MouserListTable[[#This Row],[Mouser SKU]])</f>
        <v>https://www.mouser.com/ProductDetail/474-SPX-14257</v>
      </c>
      <c r="T212" s="94">
        <v>0</v>
      </c>
      <c r="U212" s="94">
        <v>0</v>
      </c>
      <c r="V212" s="94">
        <v>0</v>
      </c>
      <c r="W212" s="94">
        <f>MouserListTable[[#This Row],['#/Unit]]*FilterSpecs!$C$3+MouserListTable[[#This Row],[Extra]]</f>
        <v>0</v>
      </c>
      <c r="X212" s="94">
        <f>IF(MouserListTable[[#This Row],[Tag]]=FilterSpecs!$F$7,MouserListTable[[#This Row],['#/Unit]]*MouserListTable[[#This Row],[Price (USD)]],0)</f>
        <v>0</v>
      </c>
      <c r="Y212" s="94">
        <f>MouserListTable[[#This Row],[Tot '#]]*MouserListTable[[#This Row],[Price (USD)]]</f>
        <v>0</v>
      </c>
      <c r="Z212"/>
    </row>
    <row r="213" spans="1:26" s="106" customFormat="1" x14ac:dyDescent="0.25">
      <c r="A213" s="78" t="s">
        <v>888</v>
      </c>
      <c r="B213" s="78" t="s">
        <v>892</v>
      </c>
      <c r="C213" s="78" t="s">
        <v>1892</v>
      </c>
      <c r="D213" s="81" t="str">
        <f>IF(MouserListTable[[#This Row],[Vendor]]=FilterSpecs!$A$8,MouserListTable[[#This Row],[Mouser SKU]], MouserListTable[[#This Row],[Supplier SKU]])</f>
        <v>474-SPX-14293</v>
      </c>
      <c r="E213" s="94">
        <f>MouserListTable[[#This Row],[Tot '#]]-MouserListTable[[#This Row],['# Initial]]</f>
        <v>1</v>
      </c>
      <c r="F213" s="94">
        <f>IF(AND(MouserListTable[[#This Row],[Tag]]&lt;&gt;FilterSpecs!$F$12, MouserListTable[[#This Row],[Tag]]&lt;&gt;FilterSpecs!$F$9), MouserListTable[[#This Row],['#/Unit]]*FilterSpecs!$B$3+MouserListTable[[#This Row],[Extra Initial]],0)</f>
        <v>0</v>
      </c>
      <c r="G213" s="78" t="s">
        <v>1178</v>
      </c>
      <c r="H213" s="150" t="s">
        <v>1179</v>
      </c>
      <c r="I213" s="78" t="s">
        <v>1180</v>
      </c>
      <c r="J213" s="78">
        <v>1</v>
      </c>
      <c r="K213" s="117">
        <v>14.95</v>
      </c>
      <c r="L213" s="78" t="s">
        <v>1898</v>
      </c>
      <c r="M213" s="81"/>
      <c r="N213" s="154">
        <f>MouserListTable[[#This Row],['# Initial]]*MouserListTable[[#This Row],[Price (USD)]]</f>
        <v>0</v>
      </c>
      <c r="O213" s="81" t="s">
        <v>1177</v>
      </c>
      <c r="P213" s="150">
        <f t="shared" si="2"/>
        <v>200</v>
      </c>
      <c r="Q213" s="78" t="s">
        <v>5</v>
      </c>
      <c r="R213"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474-SPX-14293</v>
      </c>
      <c r="S213" s="133" t="str">
        <f>HYPERLINK("https://www.mouser.com/ProductDetail/" &amp;MouserListTable[[#This Row],[Mouser SKU]])</f>
        <v>https://www.mouser.com/ProductDetail/474-SPX-14293</v>
      </c>
      <c r="T213" s="94">
        <v>0</v>
      </c>
      <c r="U213" s="94">
        <v>1</v>
      </c>
      <c r="V213" s="94">
        <v>0</v>
      </c>
      <c r="W213" s="94">
        <f>MouserListTable[[#This Row],['#/Unit]]*FilterSpecs!$C$3+MouserListTable[[#This Row],[Extra]]</f>
        <v>1</v>
      </c>
      <c r="X213" s="94">
        <f>IF(MouserListTable[[#This Row],[Tag]]=FilterSpecs!$F$7,MouserListTable[[#This Row],['#/Unit]]*MouserListTable[[#This Row],[Price (USD)]],0)</f>
        <v>0</v>
      </c>
      <c r="Y213" s="94">
        <f>MouserListTable[[#This Row],[Tot '#]]*MouserListTable[[#This Row],[Price (USD)]]</f>
        <v>14.95</v>
      </c>
      <c r="Z213"/>
    </row>
    <row r="214" spans="1:26" s="106" customFormat="1" x14ac:dyDescent="0.25">
      <c r="A214" s="97" t="s">
        <v>888</v>
      </c>
      <c r="B214" s="97" t="s">
        <v>892</v>
      </c>
      <c r="C214" s="78" t="s">
        <v>1892</v>
      </c>
      <c r="D214" s="81" t="str">
        <f>IF(MouserListTable[[#This Row],[Vendor]]=FilterSpecs!$A$8,MouserListTable[[#This Row],[Mouser SKU]], MouserListTable[[#This Row],[Supplier SKU]])</f>
        <v>474-SPX-14289</v>
      </c>
      <c r="E214" s="94">
        <f>MouserListTable[[#This Row],[Tot '#]]-MouserListTable[[#This Row],['# Initial]]</f>
        <v>0</v>
      </c>
      <c r="F214" s="94">
        <f>IF(AND(MouserListTable[[#This Row],[Tag]]&lt;&gt;FilterSpecs!$F$12, MouserListTable[[#This Row],[Tag]]&lt;&gt;FilterSpecs!$F$9), MouserListTable[[#This Row],['#/Unit]]*FilterSpecs!$B$3+MouserListTable[[#This Row],[Extra Initial]],0)</f>
        <v>0</v>
      </c>
      <c r="G214" s="78" t="s">
        <v>1814</v>
      </c>
      <c r="H214" s="150" t="s">
        <v>1815</v>
      </c>
      <c r="I214" s="78" t="s">
        <v>1816</v>
      </c>
      <c r="J214" s="78">
        <v>1</v>
      </c>
      <c r="K214" s="117">
        <v>39.950000000000003</v>
      </c>
      <c r="L214" s="78" t="s">
        <v>2461</v>
      </c>
      <c r="N214" s="154">
        <f>MouserListTable[[#This Row],['# Initial]]*MouserListTable[[#This Row],[Price (USD)]]</f>
        <v>0</v>
      </c>
      <c r="O214" s="81" t="s">
        <v>1813</v>
      </c>
      <c r="P214" s="150">
        <f t="shared" si="2"/>
        <v>201</v>
      </c>
      <c r="Q214" s="78" t="s">
        <v>5</v>
      </c>
      <c r="R214"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474-SPX-14289</v>
      </c>
      <c r="S214" s="133" t="str">
        <f>HYPERLINK("https://www.mouser.com/ProductDetail/" &amp;MouserListTable[[#This Row],[Mouser SKU]])</f>
        <v>https://www.mouser.com/ProductDetail/474-SPX-14289</v>
      </c>
      <c r="T214" s="94">
        <v>0</v>
      </c>
      <c r="U214" s="94">
        <v>0</v>
      </c>
      <c r="V214" s="94">
        <v>0</v>
      </c>
      <c r="W214" s="94">
        <f>MouserListTable[[#This Row],['#/Unit]]*FilterSpecs!$C$3+MouserListTable[[#This Row],[Extra]]</f>
        <v>0</v>
      </c>
      <c r="X214" s="94">
        <f>IF(MouserListTable[[#This Row],[Tag]]=FilterSpecs!$F$7,MouserListTable[[#This Row],['#/Unit]]*MouserListTable[[#This Row],[Price (USD)]],0)</f>
        <v>0</v>
      </c>
      <c r="Y214" s="94">
        <f>MouserListTable[[#This Row],[Tot '#]]*MouserListTable[[#This Row],[Price (USD)]]</f>
        <v>0</v>
      </c>
      <c r="Z214"/>
    </row>
    <row r="215" spans="1:26" s="106" customFormat="1" x14ac:dyDescent="0.25">
      <c r="A215" s="97" t="s">
        <v>888</v>
      </c>
      <c r="B215" s="97" t="s">
        <v>892</v>
      </c>
      <c r="C215" s="78" t="s">
        <v>1892</v>
      </c>
      <c r="D215" s="81" t="str">
        <f>IF(MouserListTable[[#This Row],[Vendor]]=FilterSpecs!$A$8,MouserListTable[[#This Row],[Mouser SKU]], MouserListTable[[#This Row],[Supplier SKU]])</f>
        <v>474-SPX-14269</v>
      </c>
      <c r="E215" s="94">
        <f>MouserListTable[[#This Row],[Tot '#]]-MouserListTable[[#This Row],['# Initial]]</f>
        <v>0</v>
      </c>
      <c r="F215" s="94">
        <f>IF(AND(MouserListTable[[#This Row],[Tag]]&lt;&gt;FilterSpecs!$F$12, MouserListTable[[#This Row],[Tag]]&lt;&gt;FilterSpecs!$F$9), MouserListTable[[#This Row],['#/Unit]]*FilterSpecs!$B$3+MouserListTable[[#This Row],[Extra Initial]],0)</f>
        <v>0</v>
      </c>
      <c r="G215" s="78" t="s">
        <v>1774</v>
      </c>
      <c r="H215" s="150" t="s">
        <v>1775</v>
      </c>
      <c r="I215" s="78" t="s">
        <v>1776</v>
      </c>
      <c r="J215" s="78">
        <v>1</v>
      </c>
      <c r="K215" s="117">
        <v>14.95</v>
      </c>
      <c r="L215" s="78" t="s">
        <v>2461</v>
      </c>
      <c r="N215" s="154">
        <f>MouserListTable[[#This Row],['# Initial]]*MouserListTable[[#This Row],[Price (USD)]]</f>
        <v>0</v>
      </c>
      <c r="O215" s="81" t="s">
        <v>1773</v>
      </c>
      <c r="P215" s="150">
        <f t="shared" si="2"/>
        <v>202</v>
      </c>
      <c r="Q215" s="78" t="s">
        <v>5</v>
      </c>
      <c r="R215"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474-SPX-14269</v>
      </c>
      <c r="S215" s="133" t="str">
        <f>HYPERLINK("https://www.mouser.com/ProductDetail/" &amp;MouserListTable[[#This Row],[Mouser SKU]])</f>
        <v>https://www.mouser.com/ProductDetail/474-SPX-14269</v>
      </c>
      <c r="T215" s="94">
        <v>0</v>
      </c>
      <c r="U215" s="94">
        <v>0</v>
      </c>
      <c r="V215" s="94">
        <v>0</v>
      </c>
      <c r="W215" s="94">
        <f>MouserListTable[[#This Row],['#/Unit]]*FilterSpecs!$C$3+MouserListTable[[#This Row],[Extra]]</f>
        <v>0</v>
      </c>
      <c r="X215" s="94">
        <f>IF(MouserListTable[[#This Row],[Tag]]=FilterSpecs!$F$7,MouserListTable[[#This Row],['#/Unit]]*MouserListTable[[#This Row],[Price (USD)]],0)</f>
        <v>0</v>
      </c>
      <c r="Y215" s="94">
        <f>MouserListTable[[#This Row],[Tot '#]]*MouserListTable[[#This Row],[Price (USD)]]</f>
        <v>0</v>
      </c>
      <c r="Z215"/>
    </row>
    <row r="216" spans="1:26" s="106" customFormat="1" x14ac:dyDescent="0.25">
      <c r="A216" s="78" t="s">
        <v>888</v>
      </c>
      <c r="B216" s="78" t="s">
        <v>892</v>
      </c>
      <c r="C216" s="78" t="s">
        <v>1892</v>
      </c>
      <c r="D216" s="81" t="str">
        <f>IF(MouserListTable[[#This Row],[Vendor]]=FilterSpecs!$A$8,MouserListTable[[#This Row],[Mouser SKU]], MouserListTable[[#This Row],[Supplier SKU]])</f>
        <v>474-PRT-14426</v>
      </c>
      <c r="E216" s="94">
        <f>MouserListTable[[#This Row],[Tot '#]]-MouserListTable[[#This Row],['# Initial]]</f>
        <v>0</v>
      </c>
      <c r="F216" s="94">
        <f>IF(AND(MouserListTable[[#This Row],[Tag]]&lt;&gt;FilterSpecs!$F$12, MouserListTable[[#This Row],[Tag]]&lt;&gt;FilterSpecs!$F$9), MouserListTable[[#This Row],['#/Unit]]*FilterSpecs!$B$3+MouserListTable[[#This Row],[Extra Initial]],0)</f>
        <v>0</v>
      </c>
      <c r="G216" s="78" t="s">
        <v>266</v>
      </c>
      <c r="H216" s="150" t="s">
        <v>267</v>
      </c>
      <c r="I216" s="78" t="s">
        <v>268</v>
      </c>
      <c r="J216" s="78"/>
      <c r="K216" s="117">
        <v>0.95</v>
      </c>
      <c r="L216" s="78" t="s">
        <v>1897</v>
      </c>
      <c r="M216" s="78"/>
      <c r="N216" s="154">
        <f>MouserListTable[[#This Row],['# Initial]]*MouserListTable[[#This Row],[Price (USD)]]</f>
        <v>0</v>
      </c>
      <c r="O216" s="81" t="s">
        <v>265</v>
      </c>
      <c r="P216" s="150">
        <f t="shared" si="2"/>
        <v>203</v>
      </c>
      <c r="Q216" s="78" t="s">
        <v>5</v>
      </c>
      <c r="R216"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474-PRT-14426</v>
      </c>
      <c r="S216" s="133" t="str">
        <f>HYPERLINK("https://www.mouser.com/ProductDetail/" &amp;MouserListTable[[#This Row],[Mouser SKU]])</f>
        <v>https://www.mouser.com/ProductDetail/474-PRT-14426</v>
      </c>
      <c r="T216" s="94">
        <v>0</v>
      </c>
      <c r="U216" s="94">
        <v>0</v>
      </c>
      <c r="V216" s="94">
        <v>0</v>
      </c>
      <c r="W216" s="94">
        <f>MouserListTable[[#This Row],['#/Unit]]*FilterSpecs!$C$3+MouserListTable[[#This Row],[Extra]]</f>
        <v>0</v>
      </c>
      <c r="X216" s="94">
        <f>IF(MouserListTable[[#This Row],[Tag]]=FilterSpecs!$F$7,MouserListTable[[#This Row],['#/Unit]]*MouserListTable[[#This Row],[Price (USD)]],0)</f>
        <v>0</v>
      </c>
      <c r="Y216" s="94">
        <f>MouserListTable[[#This Row],[Tot '#]]*MouserListTable[[#This Row],[Price (USD)]]</f>
        <v>0</v>
      </c>
      <c r="Z216"/>
    </row>
    <row r="217" spans="1:26" s="106" customFormat="1" x14ac:dyDescent="0.25">
      <c r="A217" s="78" t="s">
        <v>888</v>
      </c>
      <c r="B217" s="78" t="s">
        <v>892</v>
      </c>
      <c r="C217" s="78" t="s">
        <v>1892</v>
      </c>
      <c r="D217" s="81" t="str">
        <f>IF(MouserListTable[[#This Row],[Vendor]]=FilterSpecs!$A$8,MouserListTable[[#This Row],[Mouser SKU]], MouserListTable[[#This Row],[Supplier SKU]])</f>
        <v>474-PRT-14427</v>
      </c>
      <c r="E217" s="94">
        <f>MouserListTable[[#This Row],[Tot '#]]-MouserListTable[[#This Row],['# Initial]]</f>
        <v>0</v>
      </c>
      <c r="F217" s="94">
        <f>IF(AND(MouserListTable[[#This Row],[Tag]]&lt;&gt;FilterSpecs!$F$12, MouserListTable[[#This Row],[Tag]]&lt;&gt;FilterSpecs!$F$9), MouserListTable[[#This Row],['#/Unit]]*FilterSpecs!$B$3+MouserListTable[[#This Row],[Extra Initial]],0)</f>
        <v>0</v>
      </c>
      <c r="G217" s="78" t="s">
        <v>270</v>
      </c>
      <c r="H217" s="150" t="s">
        <v>271</v>
      </c>
      <c r="I217" s="78" t="s">
        <v>272</v>
      </c>
      <c r="J217" s="78"/>
      <c r="K217" s="117">
        <v>1.5</v>
      </c>
      <c r="L217" s="78" t="s">
        <v>1897</v>
      </c>
      <c r="M217" s="78"/>
      <c r="N217" s="154">
        <f>MouserListTable[[#This Row],['# Initial]]*MouserListTable[[#This Row],[Price (USD)]]</f>
        <v>0</v>
      </c>
      <c r="O217" s="81" t="s">
        <v>269</v>
      </c>
      <c r="P217" s="150">
        <f t="shared" si="2"/>
        <v>204</v>
      </c>
      <c r="Q217" s="78" t="s">
        <v>5</v>
      </c>
      <c r="R217"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474-PRT-14427</v>
      </c>
      <c r="S217" s="133" t="str">
        <f>HYPERLINK("https://www.mouser.com/ProductDetail/" &amp;MouserListTable[[#This Row],[Mouser SKU]])</f>
        <v>https://www.mouser.com/ProductDetail/474-PRT-14427</v>
      </c>
      <c r="T217" s="94">
        <v>0</v>
      </c>
      <c r="U217" s="94">
        <v>0</v>
      </c>
      <c r="V217" s="94">
        <v>0</v>
      </c>
      <c r="W217" s="94">
        <f>MouserListTable[[#This Row],['#/Unit]]*FilterSpecs!$C$3+MouserListTable[[#This Row],[Extra]]</f>
        <v>0</v>
      </c>
      <c r="X217" s="94">
        <f>IF(MouserListTable[[#This Row],[Tag]]=FilterSpecs!$F$7,MouserListTable[[#This Row],['#/Unit]]*MouserListTable[[#This Row],[Price (USD)]],0)</f>
        <v>0</v>
      </c>
      <c r="Y217" s="94">
        <f>MouserListTable[[#This Row],[Tot '#]]*MouserListTable[[#This Row],[Price (USD)]]</f>
        <v>0</v>
      </c>
      <c r="Z217"/>
    </row>
    <row r="218" spans="1:26" s="106" customFormat="1" x14ac:dyDescent="0.25">
      <c r="A218" s="78" t="s">
        <v>888</v>
      </c>
      <c r="B218" s="78" t="s">
        <v>892</v>
      </c>
      <c r="C218" s="78" t="s">
        <v>1892</v>
      </c>
      <c r="D218" s="81" t="str">
        <f>IF(MouserListTable[[#This Row],[Vendor]]=FilterSpecs!$A$8,MouserListTable[[#This Row],[Mouser SKU]], MouserListTable[[#This Row],[Supplier SKU]])</f>
        <v>474-PRT-14428</v>
      </c>
      <c r="E218" s="94">
        <f>MouserListTable[[#This Row],[Tot '#]]-MouserListTable[[#This Row],['# Initial]]</f>
        <v>0</v>
      </c>
      <c r="F218" s="94">
        <f>IF(AND(MouserListTable[[#This Row],[Tag]]&lt;&gt;FilterSpecs!$F$12, MouserListTable[[#This Row],[Tag]]&lt;&gt;FilterSpecs!$F$9), MouserListTable[[#This Row],['#/Unit]]*FilterSpecs!$B$3+MouserListTable[[#This Row],[Extra Initial]],0)</f>
        <v>0</v>
      </c>
      <c r="G218" s="78" t="s">
        <v>262</v>
      </c>
      <c r="H218" s="150" t="s">
        <v>263</v>
      </c>
      <c r="I218" s="78" t="s">
        <v>264</v>
      </c>
      <c r="J218" s="78"/>
      <c r="K218" s="117">
        <v>1.5</v>
      </c>
      <c r="L218" s="78" t="s">
        <v>1897</v>
      </c>
      <c r="M218" s="78"/>
      <c r="N218" s="154">
        <f>MouserListTable[[#This Row],['# Initial]]*MouserListTable[[#This Row],[Price (USD)]]</f>
        <v>0</v>
      </c>
      <c r="O218" s="81" t="s">
        <v>261</v>
      </c>
      <c r="P218" s="150">
        <f t="shared" ref="P218:P281" si="3">IF($P217="List #",1,$P217+1)</f>
        <v>205</v>
      </c>
      <c r="Q218" s="78" t="s">
        <v>5</v>
      </c>
      <c r="R218"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474-PRT-14428</v>
      </c>
      <c r="S218" s="133" t="str">
        <f>HYPERLINK("https://www.mouser.com/ProductDetail/" &amp;MouserListTable[[#This Row],[Mouser SKU]])</f>
        <v>https://www.mouser.com/ProductDetail/474-PRT-14428</v>
      </c>
      <c r="T218" s="94">
        <v>0</v>
      </c>
      <c r="U218" s="94">
        <v>0</v>
      </c>
      <c r="V218" s="94">
        <v>0</v>
      </c>
      <c r="W218" s="94">
        <f>MouserListTable[[#This Row],['#/Unit]]*FilterSpecs!$C$3+MouserListTable[[#This Row],[Extra]]</f>
        <v>0</v>
      </c>
      <c r="X218" s="94">
        <f>IF(MouserListTable[[#This Row],[Tag]]=FilterSpecs!$F$7,MouserListTable[[#This Row],['#/Unit]]*MouserListTable[[#This Row],[Price (USD)]],0)</f>
        <v>0</v>
      </c>
      <c r="Y218" s="94">
        <f>MouserListTable[[#This Row],[Tot '#]]*MouserListTable[[#This Row],[Price (USD)]]</f>
        <v>0</v>
      </c>
      <c r="Z218"/>
    </row>
    <row r="219" spans="1:26" s="106" customFormat="1" x14ac:dyDescent="0.25">
      <c r="A219" s="78" t="s">
        <v>888</v>
      </c>
      <c r="B219" s="78" t="s">
        <v>892</v>
      </c>
      <c r="C219" s="78" t="s">
        <v>1892</v>
      </c>
      <c r="D219" s="81" t="str">
        <f>IF(MouserListTable[[#This Row],[Vendor]]=FilterSpecs!$A$8,MouserListTable[[#This Row],[Mouser SKU]], MouserListTable[[#This Row],[Supplier SKU]])</f>
        <v>474-PRT-14429</v>
      </c>
      <c r="E219" s="94">
        <f>MouserListTable[[#This Row],[Tot '#]]-MouserListTable[[#This Row],['# Initial]]</f>
        <v>1</v>
      </c>
      <c r="F219" s="94">
        <f>IF(AND(MouserListTable[[#This Row],[Tag]]&lt;&gt;FilterSpecs!$F$12, MouserListTable[[#This Row],[Tag]]&lt;&gt;FilterSpecs!$F$9), MouserListTable[[#This Row],['#/Unit]]*FilterSpecs!$B$3+MouserListTable[[#This Row],[Extra Initial]],0)</f>
        <v>0</v>
      </c>
      <c r="G219" s="78" t="s">
        <v>1810</v>
      </c>
      <c r="H219" s="150" t="s">
        <v>1811</v>
      </c>
      <c r="I219" s="78" t="s">
        <v>1812</v>
      </c>
      <c r="J219" s="78"/>
      <c r="K219" s="117">
        <v>1.95</v>
      </c>
      <c r="L219" s="78" t="s">
        <v>1896</v>
      </c>
      <c r="M219" s="81"/>
      <c r="N219" s="154">
        <f>MouserListTable[[#This Row],['# Initial]]*MouserListTable[[#This Row],[Price (USD)]]</f>
        <v>0</v>
      </c>
      <c r="O219" s="81" t="s">
        <v>1809</v>
      </c>
      <c r="P219" s="150">
        <f t="shared" si="3"/>
        <v>206</v>
      </c>
      <c r="Q219" s="78" t="s">
        <v>5</v>
      </c>
      <c r="R219"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474-PRT-14429</v>
      </c>
      <c r="S219" s="133" t="str">
        <f>HYPERLINK("https://www.mouser.com/ProductDetail/" &amp;MouserListTable[[#This Row],[Mouser SKU]])</f>
        <v>https://www.mouser.com/ProductDetail/474-PRT-14429</v>
      </c>
      <c r="T219" s="94">
        <v>0</v>
      </c>
      <c r="U219" s="94">
        <v>1</v>
      </c>
      <c r="V219" s="94">
        <v>0</v>
      </c>
      <c r="W219" s="94">
        <f>MouserListTable[[#This Row],['#/Unit]]*FilterSpecs!$C$3+MouserListTable[[#This Row],[Extra]]</f>
        <v>1</v>
      </c>
      <c r="X219" s="94">
        <f>IF(MouserListTable[[#This Row],[Tag]]=FilterSpecs!$F$7,MouserListTable[[#This Row],['#/Unit]]*MouserListTable[[#This Row],[Price (USD)]],0)</f>
        <v>0</v>
      </c>
      <c r="Y219" s="94">
        <f>MouserListTable[[#This Row],[Tot '#]]*MouserListTable[[#This Row],[Price (USD)]]</f>
        <v>1.95</v>
      </c>
      <c r="Z219"/>
    </row>
    <row r="220" spans="1:26" s="106" customFormat="1" x14ac:dyDescent="0.25">
      <c r="A220" s="78" t="s">
        <v>888</v>
      </c>
      <c r="B220" s="78" t="s">
        <v>892</v>
      </c>
      <c r="C220" s="78" t="s">
        <v>1892</v>
      </c>
      <c r="D220" s="81" t="str">
        <f>IF(MouserListTable[[#This Row],[Vendor]]=FilterSpecs!$A$8,MouserListTable[[#This Row],[Mouser SKU]], MouserListTable[[#This Row],[Supplier SKU]])</f>
        <v>474-SPX-14323</v>
      </c>
      <c r="E220" s="94">
        <f>MouserListTable[[#This Row],[Tot '#]]-MouserListTable[[#This Row],['# Initial]]</f>
        <v>2</v>
      </c>
      <c r="F220" s="94">
        <f>IF(AND(MouserListTable[[#This Row],[Tag]]&lt;&gt;FilterSpecs!$F$12, MouserListTable[[#This Row],[Tag]]&lt;&gt;FilterSpecs!$F$9), MouserListTable[[#This Row],['#/Unit]]*FilterSpecs!$B$3+MouserListTable[[#This Row],[Extra Initial]],0)</f>
        <v>0</v>
      </c>
      <c r="G220" s="78" t="s">
        <v>729</v>
      </c>
      <c r="H220" s="150" t="s">
        <v>730</v>
      </c>
      <c r="I220" s="78" t="s">
        <v>731</v>
      </c>
      <c r="J220" s="78"/>
      <c r="K220" s="117">
        <v>2.95</v>
      </c>
      <c r="L220" s="78" t="s">
        <v>2461</v>
      </c>
      <c r="M220" s="78"/>
      <c r="N220" s="154">
        <f>MouserListTable[[#This Row],['# Initial]]*MouserListTable[[#This Row],[Price (USD)]]</f>
        <v>0</v>
      </c>
      <c r="O220" s="81" t="s">
        <v>728</v>
      </c>
      <c r="P220" s="150">
        <f t="shared" si="3"/>
        <v>207</v>
      </c>
      <c r="Q220" s="78" t="s">
        <v>5</v>
      </c>
      <c r="R220"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474-SPX-14323</v>
      </c>
      <c r="S220" s="133" t="str">
        <f>HYPERLINK("https://www.mouser.com/ProductDetail/" &amp;MouserListTable[[#This Row],[Mouser SKU]])</f>
        <v>https://www.mouser.com/ProductDetail/474-SPX-14323</v>
      </c>
      <c r="T220" s="94">
        <v>0</v>
      </c>
      <c r="U220" s="94">
        <v>2</v>
      </c>
      <c r="V220" s="94">
        <v>0</v>
      </c>
      <c r="W220" s="94">
        <f>MouserListTable[[#This Row],['#/Unit]]*FilterSpecs!$C$3+MouserListTable[[#This Row],[Extra]]</f>
        <v>2</v>
      </c>
      <c r="X220" s="94">
        <f>IF(MouserListTable[[#This Row],[Tag]]=FilterSpecs!$F$7,MouserListTable[[#This Row],['#/Unit]]*MouserListTable[[#This Row],[Price (USD)]],0)</f>
        <v>0</v>
      </c>
      <c r="Y220" s="94">
        <f>MouserListTable[[#This Row],[Tot '#]]*MouserListTable[[#This Row],[Price (USD)]]</f>
        <v>5.9</v>
      </c>
      <c r="Z220"/>
    </row>
    <row r="221" spans="1:26" s="104" customFormat="1" x14ac:dyDescent="0.25">
      <c r="A221" s="78" t="s">
        <v>888</v>
      </c>
      <c r="B221" s="78" t="s">
        <v>892</v>
      </c>
      <c r="C221" s="78" t="s">
        <v>1892</v>
      </c>
      <c r="D221" s="81" t="str">
        <f>IF(MouserListTable[[#This Row],[Vendor]]=FilterSpecs!$A$8,MouserListTable[[#This Row],[Mouser SKU]], MouserListTable[[#This Row],[Supplier SKU]])</f>
        <v>474-SPX-14324</v>
      </c>
      <c r="E221" s="94">
        <f>MouserListTable[[#This Row],[Tot '#]]-MouserListTable[[#This Row],['# Initial]]</f>
        <v>1</v>
      </c>
      <c r="F221" s="94">
        <f>IF(AND(MouserListTable[[#This Row],[Tag]]&lt;&gt;FilterSpecs!$F$12, MouserListTable[[#This Row],[Tag]]&lt;&gt;FilterSpecs!$F$9), MouserListTable[[#This Row],['#/Unit]]*FilterSpecs!$B$3+MouserListTable[[#This Row],[Extra Initial]],0)</f>
        <v>0</v>
      </c>
      <c r="G221" s="78" t="s">
        <v>1794</v>
      </c>
      <c r="H221" s="150" t="s">
        <v>1795</v>
      </c>
      <c r="I221" s="78" t="s">
        <v>1796</v>
      </c>
      <c r="J221" s="78"/>
      <c r="K221" s="117">
        <v>2.95</v>
      </c>
      <c r="L221" s="78" t="s">
        <v>1896</v>
      </c>
      <c r="M221" s="81"/>
      <c r="N221" s="154">
        <f>MouserListTable[[#This Row],['# Initial]]*MouserListTable[[#This Row],[Price (USD)]]</f>
        <v>0</v>
      </c>
      <c r="O221" s="81" t="s">
        <v>1793</v>
      </c>
      <c r="P221" s="150">
        <f t="shared" si="3"/>
        <v>208</v>
      </c>
      <c r="Q221" s="78" t="s">
        <v>5</v>
      </c>
      <c r="R221"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474-SPX-14324</v>
      </c>
      <c r="S221" s="133" t="str">
        <f>HYPERLINK("https://www.mouser.com/ProductDetail/" &amp;MouserListTable[[#This Row],[Mouser SKU]])</f>
        <v>https://www.mouser.com/ProductDetail/474-SPX-14324</v>
      </c>
      <c r="T221" s="94">
        <v>0</v>
      </c>
      <c r="U221" s="94">
        <v>1</v>
      </c>
      <c r="V221" s="94">
        <v>0</v>
      </c>
      <c r="W221" s="94">
        <f>MouserListTable[[#This Row],['#/Unit]]*FilterSpecs!$C$3+MouserListTable[[#This Row],[Extra]]</f>
        <v>1</v>
      </c>
      <c r="X221" s="94">
        <f>IF(MouserListTable[[#This Row],[Tag]]=FilterSpecs!$F$7,MouserListTable[[#This Row],['#/Unit]]*MouserListTable[[#This Row],[Price (USD)]],0)</f>
        <v>0</v>
      </c>
      <c r="Y221" s="94">
        <f>MouserListTable[[#This Row],[Tot '#]]*MouserListTable[[#This Row],[Price (USD)]]</f>
        <v>2.95</v>
      </c>
      <c r="Z221"/>
    </row>
    <row r="222" spans="1:26" s="104" customFormat="1" x14ac:dyDescent="0.25">
      <c r="A222" s="78" t="s">
        <v>888</v>
      </c>
      <c r="B222" s="78" t="s">
        <v>1593</v>
      </c>
      <c r="C222" s="78" t="s">
        <v>1892</v>
      </c>
      <c r="D222" s="81" t="str">
        <f>IF(MouserListTable[[#This Row],[Vendor]]=FilterSpecs!$A$8,MouserListTable[[#This Row],[Mouser SKU]], MouserListTable[[#This Row],[Supplier SKU]])</f>
        <v>474-DEV-11723</v>
      </c>
      <c r="E222" s="94">
        <f>MouserListTable[[#This Row],[Tot '#]]-MouserListTable[[#This Row],['# Initial]]</f>
        <v>1</v>
      </c>
      <c r="F222" s="94">
        <f>IF(AND(MouserListTable[[#This Row],[Tag]]&lt;&gt;FilterSpecs!$F$12, MouserListTable[[#This Row],[Tag]]&lt;&gt;FilterSpecs!$F$9), MouserListTable[[#This Row],['#/Unit]]*FilterSpecs!$B$3+MouserListTable[[#This Row],[Extra Initial]],0)</f>
        <v>0</v>
      </c>
      <c r="G222" s="78" t="s">
        <v>1097</v>
      </c>
      <c r="H222" s="150" t="s">
        <v>1098</v>
      </c>
      <c r="I222" s="78" t="s">
        <v>1099</v>
      </c>
      <c r="J222" s="78"/>
      <c r="K222" s="117">
        <v>24.95</v>
      </c>
      <c r="L222" s="78" t="s">
        <v>1896</v>
      </c>
      <c r="M222" s="81"/>
      <c r="N222" s="154">
        <f>MouserListTable[[#This Row],['# Initial]]*MouserListTable[[#This Row],[Price (USD)]]</f>
        <v>0</v>
      </c>
      <c r="O222" s="81" t="s">
        <v>1096</v>
      </c>
      <c r="P222" s="150">
        <f t="shared" si="3"/>
        <v>209</v>
      </c>
      <c r="Q222" s="78" t="s">
        <v>5</v>
      </c>
      <c r="R222"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474-DEV-11723</v>
      </c>
      <c r="S222" s="133" t="str">
        <f>HYPERLINK("https://www.mouser.com/ProductDetail/" &amp;MouserListTable[[#This Row],[Mouser SKU]])</f>
        <v>https://www.mouser.com/ProductDetail/474-DEV-11723</v>
      </c>
      <c r="T222" s="94">
        <v>0</v>
      </c>
      <c r="U222" s="94">
        <v>1</v>
      </c>
      <c r="V222" s="94">
        <v>0</v>
      </c>
      <c r="W222" s="94">
        <f>MouserListTable[[#This Row],['#/Unit]]*FilterSpecs!$C$3+MouserListTable[[#This Row],[Extra]]</f>
        <v>1</v>
      </c>
      <c r="X222" s="94">
        <f>IF(MouserListTable[[#This Row],[Tag]]=FilterSpecs!$F$7,MouserListTable[[#This Row],['#/Unit]]*MouserListTable[[#This Row],[Price (USD)]],0)</f>
        <v>0</v>
      </c>
      <c r="Y222" s="94">
        <f>MouserListTable[[#This Row],[Tot '#]]*MouserListTable[[#This Row],[Price (USD)]]</f>
        <v>24.95</v>
      </c>
      <c r="Z222"/>
    </row>
    <row r="223" spans="1:26" s="104" customFormat="1" x14ac:dyDescent="0.25">
      <c r="A223" s="78" t="s">
        <v>888</v>
      </c>
      <c r="B223" s="78" t="s">
        <v>1593</v>
      </c>
      <c r="C223" s="78" t="s">
        <v>1892</v>
      </c>
      <c r="D223" s="81" t="str">
        <f>IF(MouserListTable[[#This Row],[Vendor]]=FilterSpecs!$A$8,MouserListTable[[#This Row],[Mouser SKU]], MouserListTable[[#This Row],[Supplier SKU]])</f>
        <v>474-BOB-09056</v>
      </c>
      <c r="E223" s="94">
        <f>MouserListTable[[#This Row],[Tot '#]]-MouserListTable[[#This Row],['# Initial]]</f>
        <v>1</v>
      </c>
      <c r="F223" s="94">
        <f>IF(AND(MouserListTable[[#This Row],[Tag]]&lt;&gt;FilterSpecs!$F$12, MouserListTable[[#This Row],[Tag]]&lt;&gt;FilterSpecs!$F$9), MouserListTable[[#This Row],['#/Unit]]*FilterSpecs!$B$3+MouserListTable[[#This Row],[Extra Initial]],0)</f>
        <v>5</v>
      </c>
      <c r="G223" s="78" t="s">
        <v>487</v>
      </c>
      <c r="H223" s="150" t="s">
        <v>488</v>
      </c>
      <c r="I223" s="78" t="s">
        <v>211</v>
      </c>
      <c r="J223" s="78">
        <v>1</v>
      </c>
      <c r="K223" s="117">
        <v>4.95</v>
      </c>
      <c r="L223" s="78" t="s">
        <v>1897</v>
      </c>
      <c r="M223" s="78"/>
      <c r="N223" s="154">
        <f>MouserListTable[[#This Row],['# Initial]]*MouserListTable[[#This Row],[Price (USD)]]</f>
        <v>24.75</v>
      </c>
      <c r="O223" s="81" t="s">
        <v>486</v>
      </c>
      <c r="P223" s="150">
        <f t="shared" si="3"/>
        <v>210</v>
      </c>
      <c r="Q223" s="78" t="s">
        <v>5</v>
      </c>
      <c r="R223"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474-BOB-09056</v>
      </c>
      <c r="S223" s="133" t="str">
        <f>HYPERLINK("https://www.mouser.com/ProductDetail/" &amp;MouserListTable[[#This Row],[Mouser SKU]])</f>
        <v>https://www.mouser.com/ProductDetail/474-BOB-09056</v>
      </c>
      <c r="T223" s="94">
        <v>1</v>
      </c>
      <c r="U223" s="94">
        <v>1</v>
      </c>
      <c r="V223" s="94">
        <v>0</v>
      </c>
      <c r="W223" s="94">
        <f>MouserListTable[[#This Row],['#/Unit]]*FilterSpecs!$C$3+MouserListTable[[#This Row],[Extra]]</f>
        <v>6</v>
      </c>
      <c r="X223" s="94">
        <f>IF(MouserListTable[[#This Row],[Tag]]=FilterSpecs!$F$7,MouserListTable[[#This Row],['#/Unit]]*MouserListTable[[#This Row],[Price (USD)]],0)</f>
        <v>4.95</v>
      </c>
      <c r="Y223" s="94">
        <f>MouserListTable[[#This Row],[Tot '#]]*MouserListTable[[#This Row],[Price (USD)]]</f>
        <v>29.700000000000003</v>
      </c>
      <c r="Z223"/>
    </row>
    <row r="224" spans="1:26" s="104" customFormat="1" x14ac:dyDescent="0.25">
      <c r="A224" s="78" t="s">
        <v>888</v>
      </c>
      <c r="B224" s="78" t="s">
        <v>1593</v>
      </c>
      <c r="C224" s="78" t="s">
        <v>1892</v>
      </c>
      <c r="D224" s="81" t="str">
        <f>IF(MouserListTable[[#This Row],[Vendor]]=FilterSpecs!$A$8,MouserListTable[[#This Row],[Mouser SKU]], MouserListTable[[#This Row],[Supplier SKU]])</f>
        <v>485-2717</v>
      </c>
      <c r="E224" s="94">
        <f>MouserListTable[[#This Row],[Tot '#]]-MouserListTable[[#This Row],['# Initial]]</f>
        <v>0</v>
      </c>
      <c r="F224" s="94">
        <f>IF(AND(MouserListTable[[#This Row],[Tag]]&lt;&gt;FilterSpecs!$F$12, MouserListTable[[#This Row],[Tag]]&lt;&gt;FilterSpecs!$F$9), MouserListTable[[#This Row],['#/Unit]]*FilterSpecs!$B$3+MouserListTable[[#This Row],[Extra Initial]],0)</f>
        <v>0</v>
      </c>
      <c r="G224" s="78"/>
      <c r="H224" s="150"/>
      <c r="I224" s="97" t="s">
        <v>2339</v>
      </c>
      <c r="J224" s="106"/>
      <c r="K224" s="118">
        <v>6.95</v>
      </c>
      <c r="L224" s="97" t="s">
        <v>1896</v>
      </c>
      <c r="M224" s="106"/>
      <c r="N224" s="154">
        <f>MouserListTable[[#This Row],['# Initial]]*MouserListTable[[#This Row],[Price (USD)]]</f>
        <v>0</v>
      </c>
      <c r="O224" s="81" t="s">
        <v>2338</v>
      </c>
      <c r="P224" s="150">
        <f t="shared" si="3"/>
        <v>211</v>
      </c>
      <c r="Q224" s="78" t="s">
        <v>1884</v>
      </c>
      <c r="R224"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485-2717</v>
      </c>
      <c r="S224" s="133" t="str">
        <f>HYPERLINK("https://www.mouser.com/ProductDetail/" &amp;MouserListTable[[#This Row],[Mouser SKU]])</f>
        <v>https://www.mouser.com/ProductDetail/485-2717</v>
      </c>
      <c r="T224" s="94">
        <v>0</v>
      </c>
      <c r="U224" s="94">
        <v>0</v>
      </c>
      <c r="V224" s="94">
        <v>0</v>
      </c>
      <c r="W224" s="94">
        <f>MouserListTable[[#This Row],['#/Unit]]*FilterSpecs!$C$3+MouserListTable[[#This Row],[Extra]]</f>
        <v>0</v>
      </c>
      <c r="X224" s="94">
        <f>IF(MouserListTable[[#This Row],[Tag]]=FilterSpecs!$F$7,MouserListTable[[#This Row],['#/Unit]]*MouserListTable[[#This Row],[Price (USD)]],0)</f>
        <v>0</v>
      </c>
      <c r="Y224" s="94">
        <f>MouserListTable[[#This Row],[Tot '#]]*MouserListTable[[#This Row],[Price (USD)]]</f>
        <v>0</v>
      </c>
      <c r="Z224"/>
    </row>
    <row r="225" spans="1:26" s="104" customFormat="1" x14ac:dyDescent="0.25">
      <c r="A225" s="78" t="s">
        <v>888</v>
      </c>
      <c r="B225" s="78" t="s">
        <v>1593</v>
      </c>
      <c r="C225" s="78" t="s">
        <v>1892</v>
      </c>
      <c r="D225" s="81" t="str">
        <f>IF(MouserListTable[[#This Row],[Vendor]]=FilterSpecs!$A$8,MouserListTable[[#This Row],[Mouser SKU]], MouserListTable[[#This Row],[Supplier SKU]])</f>
        <v>474-BOB-09118</v>
      </c>
      <c r="E225" s="94">
        <f>MouserListTable[[#This Row],[Tot '#]]-MouserListTable[[#This Row],['# Initial]]</f>
        <v>3</v>
      </c>
      <c r="F225" s="94">
        <f>IF(AND(MouserListTable[[#This Row],[Tag]]&lt;&gt;FilterSpecs!$F$12, MouserListTable[[#This Row],[Tag]]&lt;&gt;FilterSpecs!$F$9), MouserListTable[[#This Row],['#/Unit]]*FilterSpecs!$B$3+MouserListTable[[#This Row],[Extra Initial]],0)</f>
        <v>5</v>
      </c>
      <c r="G225" s="78" t="s">
        <v>490</v>
      </c>
      <c r="H225" s="150" t="s">
        <v>491</v>
      </c>
      <c r="I225" s="78" t="s">
        <v>207</v>
      </c>
      <c r="J225" s="78">
        <v>1</v>
      </c>
      <c r="K225" s="117">
        <v>4.95</v>
      </c>
      <c r="L225" s="78" t="s">
        <v>1897</v>
      </c>
      <c r="M225" s="78"/>
      <c r="N225" s="154">
        <f>MouserListTable[[#This Row],['# Initial]]*MouserListTable[[#This Row],[Price (USD)]]</f>
        <v>24.75</v>
      </c>
      <c r="O225" s="81" t="s">
        <v>489</v>
      </c>
      <c r="P225" s="150">
        <f t="shared" si="3"/>
        <v>212</v>
      </c>
      <c r="Q225" s="78" t="s">
        <v>5</v>
      </c>
      <c r="R225"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474-BOB-09118</v>
      </c>
      <c r="S225" s="133" t="str">
        <f>HYPERLINK("https://www.mouser.com/ProductDetail/" &amp;MouserListTable[[#This Row],[Mouser SKU]])</f>
        <v>https://www.mouser.com/ProductDetail/474-BOB-09118</v>
      </c>
      <c r="T225" s="94">
        <v>1</v>
      </c>
      <c r="U225" s="94">
        <v>3</v>
      </c>
      <c r="V225" s="94">
        <v>0</v>
      </c>
      <c r="W225" s="94">
        <f>MouserListTable[[#This Row],['#/Unit]]*FilterSpecs!$C$3+MouserListTable[[#This Row],[Extra]]</f>
        <v>8</v>
      </c>
      <c r="X225" s="94">
        <f>IF(MouserListTable[[#This Row],[Tag]]=FilterSpecs!$F$7,MouserListTable[[#This Row],['#/Unit]]*MouserListTable[[#This Row],[Price (USD)]],0)</f>
        <v>4.95</v>
      </c>
      <c r="Y225" s="94">
        <f>MouserListTable[[#This Row],[Tot '#]]*MouserListTable[[#This Row],[Price (USD)]]</f>
        <v>39.6</v>
      </c>
      <c r="Z225"/>
    </row>
    <row r="226" spans="1:26" s="104" customFormat="1" x14ac:dyDescent="0.25">
      <c r="A226" s="78" t="s">
        <v>888</v>
      </c>
      <c r="B226" s="78" t="s">
        <v>1593</v>
      </c>
      <c r="C226" s="78" t="s">
        <v>1892</v>
      </c>
      <c r="D226" s="81" t="str">
        <f>IF(MouserListTable[[#This Row],[Vendor]]=FilterSpecs!$A$8,MouserListTable[[#This Row],[Mouser SKU]], MouserListTable[[#This Row],[Supplier SKU]])</f>
        <v>485-1085</v>
      </c>
      <c r="E226" s="94">
        <f>MouserListTable[[#This Row],[Tot '#]]-MouserListTable[[#This Row],['# Initial]]</f>
        <v>0</v>
      </c>
      <c r="F226" s="94">
        <f>IF(AND(MouserListTable[[#This Row],[Tag]]&lt;&gt;FilterSpecs!$F$12, MouserListTable[[#This Row],[Tag]]&lt;&gt;FilterSpecs!$F$9), MouserListTable[[#This Row],['#/Unit]]*FilterSpecs!$B$3+MouserListTable[[#This Row],[Extra Initial]],0)</f>
        <v>0</v>
      </c>
      <c r="G226" s="78"/>
      <c r="H226" s="150"/>
      <c r="I226" s="97" t="s">
        <v>2335</v>
      </c>
      <c r="J226" s="106"/>
      <c r="K226" s="118">
        <v>14.95</v>
      </c>
      <c r="L226" s="97" t="s">
        <v>1896</v>
      </c>
      <c r="M226" s="106"/>
      <c r="N226" s="154">
        <f>MouserListTable[[#This Row],['# Initial]]*MouserListTable[[#This Row],[Price (USD)]]</f>
        <v>0</v>
      </c>
      <c r="O226" s="81" t="s">
        <v>2334</v>
      </c>
      <c r="P226" s="150">
        <f t="shared" si="3"/>
        <v>213</v>
      </c>
      <c r="Q226" s="78" t="s">
        <v>1884</v>
      </c>
      <c r="R226"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485-1085</v>
      </c>
      <c r="S226" s="133" t="str">
        <f>HYPERLINK("https://www.mouser.com/ProductDetail/" &amp;MouserListTable[[#This Row],[Mouser SKU]])</f>
        <v>https://www.mouser.com/ProductDetail/485-1085</v>
      </c>
      <c r="T226" s="94">
        <v>0</v>
      </c>
      <c r="U226" s="94">
        <v>0</v>
      </c>
      <c r="V226" s="94">
        <v>0</v>
      </c>
      <c r="W226" s="94">
        <f>MouserListTable[[#This Row],['#/Unit]]*FilterSpecs!$C$3+MouserListTable[[#This Row],[Extra]]</f>
        <v>0</v>
      </c>
      <c r="X226" s="94">
        <f>IF(MouserListTable[[#This Row],[Tag]]=FilterSpecs!$F$7,MouserListTable[[#This Row],['#/Unit]]*MouserListTable[[#This Row],[Price (USD)]],0)</f>
        <v>0</v>
      </c>
      <c r="Y226" s="94">
        <f>MouserListTable[[#This Row],[Tot '#]]*MouserListTable[[#This Row],[Price (USD)]]</f>
        <v>0</v>
      </c>
      <c r="Z226"/>
    </row>
    <row r="227" spans="1:26" s="104" customFormat="1" x14ac:dyDescent="0.25">
      <c r="A227" s="78" t="s">
        <v>888</v>
      </c>
      <c r="B227" s="78" t="s">
        <v>1593</v>
      </c>
      <c r="C227" s="78" t="s">
        <v>1892</v>
      </c>
      <c r="D227" s="81" t="str">
        <f>IF(MouserListTable[[#This Row],[Vendor]]=FilterSpecs!$A$8,MouserListTable[[#This Row],[Mouser SKU]], MouserListTable[[#This Row],[Supplier SKU]])</f>
        <v>485-856</v>
      </c>
      <c r="E227" s="94">
        <f>MouserListTable[[#This Row],[Tot '#]]-MouserListTable[[#This Row],['# Initial]]</f>
        <v>0</v>
      </c>
      <c r="F227" s="94">
        <f>IF(AND(MouserListTable[[#This Row],[Tag]]&lt;&gt;FilterSpecs!$F$12, MouserListTable[[#This Row],[Tag]]&lt;&gt;FilterSpecs!$F$9), MouserListTable[[#This Row],['#/Unit]]*FilterSpecs!$B$3+MouserListTable[[#This Row],[Extra Initial]],0)</f>
        <v>0</v>
      </c>
      <c r="G227" s="78"/>
      <c r="H227" s="150"/>
      <c r="I227" s="97" t="s">
        <v>2337</v>
      </c>
      <c r="J227" s="106"/>
      <c r="K227" s="118">
        <v>3.75</v>
      </c>
      <c r="L227" s="97" t="s">
        <v>1896</v>
      </c>
      <c r="M227" s="106"/>
      <c r="N227" s="154">
        <f>MouserListTable[[#This Row],['# Initial]]*MouserListTable[[#This Row],[Price (USD)]]</f>
        <v>0</v>
      </c>
      <c r="O227" s="81" t="s">
        <v>2336</v>
      </c>
      <c r="P227" s="150">
        <f t="shared" si="3"/>
        <v>214</v>
      </c>
      <c r="Q227" s="78" t="s">
        <v>1884</v>
      </c>
      <c r="R227"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485-856</v>
      </c>
      <c r="S227" s="133" t="str">
        <f>HYPERLINK("https://www.mouser.com/ProductDetail/" &amp;MouserListTable[[#This Row],[Mouser SKU]])</f>
        <v>https://www.mouser.com/ProductDetail/485-856</v>
      </c>
      <c r="T227" s="94">
        <v>0</v>
      </c>
      <c r="U227" s="94">
        <v>0</v>
      </c>
      <c r="V227" s="94">
        <v>0</v>
      </c>
      <c r="W227" s="94">
        <f>MouserListTable[[#This Row],['#/Unit]]*FilterSpecs!$C$3+MouserListTable[[#This Row],[Extra]]</f>
        <v>0</v>
      </c>
      <c r="X227" s="94">
        <f>IF(MouserListTable[[#This Row],[Tag]]=FilterSpecs!$F$7,MouserListTable[[#This Row],['#/Unit]]*MouserListTable[[#This Row],[Price (USD)]],0)</f>
        <v>0</v>
      </c>
      <c r="Y227" s="94">
        <f>MouserListTable[[#This Row],[Tot '#]]*MouserListTable[[#This Row],[Price (USD)]]</f>
        <v>0</v>
      </c>
      <c r="Z227"/>
    </row>
    <row r="228" spans="1:26" s="104" customFormat="1" x14ac:dyDescent="0.25">
      <c r="A228" s="97" t="s">
        <v>888</v>
      </c>
      <c r="B228" s="97" t="s">
        <v>2017</v>
      </c>
      <c r="C228" s="78" t="s">
        <v>1892</v>
      </c>
      <c r="D228" s="81" t="str">
        <f>IF(MouserListTable[[#This Row],[Vendor]]=FilterSpecs!$A$8,MouserListTable[[#This Row],[Mouser SKU]], MouserListTable[[#This Row],[Supplier SKU]])</f>
        <v>474-CAB-11604</v>
      </c>
      <c r="E228" s="94">
        <f>MouserListTable[[#This Row],[Tot '#]]-MouserListTable[[#This Row],['# Initial]]</f>
        <v>0</v>
      </c>
      <c r="F228" s="94">
        <f>IF(AND(MouserListTable[[#This Row],[Tag]]&lt;&gt;FilterSpecs!$F$12, MouserListTable[[#This Row],[Tag]]&lt;&gt;FilterSpecs!$F$9), MouserListTable[[#This Row],['#/Unit]]*FilterSpecs!$B$3+MouserListTable[[#This Row],[Extra Initial]],0)</f>
        <v>0</v>
      </c>
      <c r="G228" s="78" t="s">
        <v>1490</v>
      </c>
      <c r="H228" s="150" t="s">
        <v>1491</v>
      </c>
      <c r="I228" s="78" t="s">
        <v>1492</v>
      </c>
      <c r="J228" s="78">
        <v>1</v>
      </c>
      <c r="K228" s="117">
        <v>2.95</v>
      </c>
      <c r="L228" s="78" t="s">
        <v>1896</v>
      </c>
      <c r="M228" s="106"/>
      <c r="N228" s="154">
        <f>MouserListTable[[#This Row],['# Initial]]*MouserListTable[[#This Row],[Price (USD)]]</f>
        <v>0</v>
      </c>
      <c r="O228" s="81" t="s">
        <v>1489</v>
      </c>
      <c r="P228" s="150">
        <f t="shared" si="3"/>
        <v>215</v>
      </c>
      <c r="Q228" s="78" t="s">
        <v>5</v>
      </c>
      <c r="R228"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474-CAB-11604</v>
      </c>
      <c r="S228" s="133" t="str">
        <f>HYPERLINK("https://www.mouser.com/ProductDetail/" &amp;MouserListTable[[#This Row],[Mouser SKU]])</f>
        <v>https://www.mouser.com/ProductDetail/474-CAB-11604</v>
      </c>
      <c r="T228" s="94">
        <v>0</v>
      </c>
      <c r="U228" s="94">
        <v>0</v>
      </c>
      <c r="V228" s="94">
        <v>0</v>
      </c>
      <c r="W228" s="94">
        <f>MouserListTable[[#This Row],['#/Unit]]*FilterSpecs!$C$3+MouserListTable[[#This Row],[Extra]]</f>
        <v>0</v>
      </c>
      <c r="X228" s="94">
        <f>IF(MouserListTable[[#This Row],[Tag]]=FilterSpecs!$F$7,MouserListTable[[#This Row],['#/Unit]]*MouserListTable[[#This Row],[Price (USD)]],0)</f>
        <v>0</v>
      </c>
      <c r="Y228" s="94">
        <f>MouserListTable[[#This Row],[Tot '#]]*MouserListTable[[#This Row],[Price (USD)]]</f>
        <v>0</v>
      </c>
      <c r="Z228"/>
    </row>
    <row r="229" spans="1:26" s="104" customFormat="1" x14ac:dyDescent="0.25">
      <c r="A229" s="97" t="s">
        <v>888</v>
      </c>
      <c r="B229" s="97" t="s">
        <v>2017</v>
      </c>
      <c r="C229" s="78" t="s">
        <v>1892</v>
      </c>
      <c r="D229" s="81" t="str">
        <f>IF(MouserListTable[[#This Row],[Vendor]]=FilterSpecs!$A$8,MouserListTable[[#This Row],[Mouser SKU]], MouserListTable[[#This Row],[Supplier SKU]])</f>
        <v>474-CAB-14276</v>
      </c>
      <c r="E229" s="94">
        <f>MouserListTable[[#This Row],[Tot '#]]-MouserListTable[[#This Row],['# Initial]]</f>
        <v>0</v>
      </c>
      <c r="F229" s="94">
        <f>IF(AND(MouserListTable[[#This Row],[Tag]]&lt;&gt;FilterSpecs!$F$12, MouserListTable[[#This Row],[Tag]]&lt;&gt;FilterSpecs!$F$9), MouserListTable[[#This Row],['#/Unit]]*FilterSpecs!$B$3+MouserListTable[[#This Row],[Extra Initial]],0)</f>
        <v>0</v>
      </c>
      <c r="G229" s="78" t="s">
        <v>1502</v>
      </c>
      <c r="H229" s="150" t="s">
        <v>1503</v>
      </c>
      <c r="I229" s="78" t="s">
        <v>1504</v>
      </c>
      <c r="J229" s="78"/>
      <c r="K229" s="117">
        <v>2.95</v>
      </c>
      <c r="L229" s="78" t="s">
        <v>1896</v>
      </c>
      <c r="M229" s="106"/>
      <c r="N229" s="154">
        <f>MouserListTable[[#This Row],['# Initial]]*MouserListTable[[#This Row],[Price (USD)]]</f>
        <v>0</v>
      </c>
      <c r="O229" s="81" t="s">
        <v>1501</v>
      </c>
      <c r="P229" s="150">
        <f t="shared" si="3"/>
        <v>216</v>
      </c>
      <c r="Q229" s="78" t="s">
        <v>5</v>
      </c>
      <c r="R229"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474-CAB-14276</v>
      </c>
      <c r="S229" s="133" t="str">
        <f>HYPERLINK("https://www.mouser.com/ProductDetail/" &amp;MouserListTable[[#This Row],[Mouser SKU]])</f>
        <v>https://www.mouser.com/ProductDetail/474-CAB-14276</v>
      </c>
      <c r="T229" s="94">
        <v>0</v>
      </c>
      <c r="U229" s="94">
        <v>0</v>
      </c>
      <c r="V229" s="94">
        <v>0</v>
      </c>
      <c r="W229" s="94">
        <f>MouserListTable[[#This Row],['#/Unit]]*FilterSpecs!$C$3+MouserListTable[[#This Row],[Extra]]</f>
        <v>0</v>
      </c>
      <c r="X229" s="94">
        <f>IF(MouserListTable[[#This Row],[Tag]]=FilterSpecs!$F$7,MouserListTable[[#This Row],['#/Unit]]*MouserListTable[[#This Row],[Price (USD)]],0)</f>
        <v>0</v>
      </c>
      <c r="Y229" s="94">
        <f>MouserListTable[[#This Row],[Tot '#]]*MouserListTable[[#This Row],[Price (USD)]]</f>
        <v>0</v>
      </c>
      <c r="Z229"/>
    </row>
    <row r="230" spans="1:26" s="104" customFormat="1" x14ac:dyDescent="0.25">
      <c r="A230" s="97" t="s">
        <v>888</v>
      </c>
      <c r="B230" s="97" t="s">
        <v>2017</v>
      </c>
      <c r="C230" s="78" t="s">
        <v>1892</v>
      </c>
      <c r="D230" s="81" t="str">
        <f>IF(MouserListTable[[#This Row],[Vendor]]=FilterSpecs!$A$8,MouserListTable[[#This Row],[Mouser SKU]], MouserListTable[[#This Row],[Supplier SKU]])</f>
        <v>485-1099</v>
      </c>
      <c r="E230" s="94">
        <f>MouserListTable[[#This Row],[Tot '#]]-MouserListTable[[#This Row],['# Initial]]</f>
        <v>0</v>
      </c>
      <c r="F230" s="94">
        <f>IF(AND(MouserListTable[[#This Row],[Tag]]&lt;&gt;FilterSpecs!$F$12, MouserListTable[[#This Row],[Tag]]&lt;&gt;FilterSpecs!$F$9), MouserListTable[[#This Row],['#/Unit]]*FilterSpecs!$B$3+MouserListTable[[#This Row],[Extra Initial]],0)</f>
        <v>0</v>
      </c>
      <c r="G230" s="78"/>
      <c r="H230" s="150"/>
      <c r="I230" s="78" t="s">
        <v>2345</v>
      </c>
      <c r="J230" s="78"/>
      <c r="K230" s="117">
        <v>2.5</v>
      </c>
      <c r="L230" s="78" t="s">
        <v>1896</v>
      </c>
      <c r="M230" s="106"/>
      <c r="N230" s="154">
        <f>MouserListTable[[#This Row],['# Initial]]*MouserListTable[[#This Row],[Price (USD)]]</f>
        <v>0</v>
      </c>
      <c r="O230" s="81" t="s">
        <v>2344</v>
      </c>
      <c r="P230" s="150">
        <f t="shared" si="3"/>
        <v>217</v>
      </c>
      <c r="Q230" s="78" t="s">
        <v>1884</v>
      </c>
      <c r="R230"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485-1099</v>
      </c>
      <c r="S230" s="133" t="str">
        <f>HYPERLINK("https://www.mouser.com/ProductDetail/" &amp;MouserListTable[[#This Row],[Mouser SKU]])</f>
        <v>https://www.mouser.com/ProductDetail/485-1099</v>
      </c>
      <c r="T230" s="94">
        <v>0</v>
      </c>
      <c r="U230" s="94">
        <v>0</v>
      </c>
      <c r="V230" s="94">
        <v>0</v>
      </c>
      <c r="W230" s="94">
        <f>MouserListTable[[#This Row],['#/Unit]]*FilterSpecs!$C$3+MouserListTable[[#This Row],[Extra]]</f>
        <v>0</v>
      </c>
      <c r="X230" s="94">
        <f>IF(MouserListTable[[#This Row],[Tag]]=FilterSpecs!$F$7,MouserListTable[[#This Row],['#/Unit]]*MouserListTable[[#This Row],[Price (USD)]],0)</f>
        <v>0</v>
      </c>
      <c r="Y230" s="94">
        <f>MouserListTable[[#This Row],[Tot '#]]*MouserListTable[[#This Row],[Price (USD)]]</f>
        <v>0</v>
      </c>
      <c r="Z230"/>
    </row>
    <row r="231" spans="1:26" s="104" customFormat="1" x14ac:dyDescent="0.25">
      <c r="A231" s="78" t="s">
        <v>888</v>
      </c>
      <c r="B231" s="78" t="s">
        <v>2017</v>
      </c>
      <c r="C231" s="78" t="s">
        <v>1892</v>
      </c>
      <c r="D231" s="81" t="str">
        <f>IF(MouserListTable[[#This Row],[Vendor]]=FilterSpecs!$A$8,MouserListTable[[#This Row],[Mouser SKU]], MouserListTable[[#This Row],[Supplier SKU]])</f>
        <v>485-2910</v>
      </c>
      <c r="E231" s="94">
        <f>MouserListTable[[#This Row],[Tot '#]]-MouserListTable[[#This Row],['# Initial]]</f>
        <v>0</v>
      </c>
      <c r="F231" s="94">
        <f>IF(AND(MouserListTable[[#This Row],[Tag]]&lt;&gt;FilterSpecs!$F$12, MouserListTable[[#This Row],[Tag]]&lt;&gt;FilterSpecs!$F$9), MouserListTable[[#This Row],['#/Unit]]*FilterSpecs!$B$3+MouserListTable[[#This Row],[Extra Initial]],0)</f>
        <v>5</v>
      </c>
      <c r="G231" s="78"/>
      <c r="H231" s="150"/>
      <c r="I231" s="78" t="s">
        <v>2341</v>
      </c>
      <c r="J231" s="78"/>
      <c r="K231" s="117">
        <v>2.95</v>
      </c>
      <c r="L231" s="78" t="s">
        <v>1897</v>
      </c>
      <c r="M231" s="81"/>
      <c r="N231" s="154">
        <f>MouserListTable[[#This Row],['# Initial]]*MouserListTable[[#This Row],[Price (USD)]]</f>
        <v>14.75</v>
      </c>
      <c r="O231" s="81" t="s">
        <v>2340</v>
      </c>
      <c r="P231" s="150">
        <f t="shared" si="3"/>
        <v>218</v>
      </c>
      <c r="Q231" s="78" t="s">
        <v>1884</v>
      </c>
      <c r="R231"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485-2910</v>
      </c>
      <c r="S231" s="133" t="str">
        <f>HYPERLINK("https://www.mouser.com/ProductDetail/" &amp;MouserListTable[[#This Row],[Mouser SKU]])</f>
        <v>https://www.mouser.com/ProductDetail/485-2910</v>
      </c>
      <c r="T231" s="94">
        <v>1</v>
      </c>
      <c r="U231" s="94">
        <v>0</v>
      </c>
      <c r="V231" s="94">
        <v>0</v>
      </c>
      <c r="W231" s="94">
        <f>MouserListTable[[#This Row],['#/Unit]]*FilterSpecs!$C$3+MouserListTable[[#This Row],[Extra]]</f>
        <v>5</v>
      </c>
      <c r="X231" s="94">
        <f>IF(MouserListTable[[#This Row],[Tag]]=FilterSpecs!$F$7,MouserListTable[[#This Row],['#/Unit]]*MouserListTable[[#This Row],[Price (USD)]],0)</f>
        <v>2.95</v>
      </c>
      <c r="Y231" s="94">
        <f>MouserListTable[[#This Row],[Tot '#]]*MouserListTable[[#This Row],[Price (USD)]]</f>
        <v>14.75</v>
      </c>
      <c r="Z231"/>
    </row>
    <row r="232" spans="1:26" s="104" customFormat="1" x14ac:dyDescent="0.25">
      <c r="A232" s="78" t="s">
        <v>888</v>
      </c>
      <c r="B232" s="78" t="s">
        <v>2017</v>
      </c>
      <c r="C232" s="78" t="s">
        <v>1892</v>
      </c>
      <c r="D232" s="81" t="str">
        <f>IF(MouserListTable[[#This Row],[Vendor]]=FilterSpecs!$A$8,MouserListTable[[#This Row],[Mouser SKU]], MouserListTable[[#This Row],[Supplier SKU]])</f>
        <v>474-CAB-12977</v>
      </c>
      <c r="E232" s="94">
        <f>MouserListTable[[#This Row],[Tot '#]]-MouserListTable[[#This Row],['# Initial]]</f>
        <v>1</v>
      </c>
      <c r="F232" s="94">
        <f>IF(AND(MouserListTable[[#This Row],[Tag]]&lt;&gt;FilterSpecs!$F$12, MouserListTable[[#This Row],[Tag]]&lt;&gt;FilterSpecs!$F$9), MouserListTable[[#This Row],['#/Unit]]*FilterSpecs!$B$3+MouserListTable[[#This Row],[Extra Initial]],0)</f>
        <v>0</v>
      </c>
      <c r="G232" s="78" t="s">
        <v>238</v>
      </c>
      <c r="H232" s="150" t="s">
        <v>239</v>
      </c>
      <c r="I232" s="78" t="s">
        <v>240</v>
      </c>
      <c r="J232" s="78"/>
      <c r="K232" s="117">
        <v>9.9499999999999993</v>
      </c>
      <c r="L232" s="78" t="s">
        <v>1896</v>
      </c>
      <c r="M232" s="78"/>
      <c r="N232" s="154">
        <f>MouserListTable[[#This Row],['# Initial]]*MouserListTable[[#This Row],[Price (USD)]]</f>
        <v>0</v>
      </c>
      <c r="O232" s="81" t="s">
        <v>237</v>
      </c>
      <c r="P232" s="150">
        <f t="shared" si="3"/>
        <v>219</v>
      </c>
      <c r="Q232" s="78" t="s">
        <v>5</v>
      </c>
      <c r="R232"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474-CAB-12977</v>
      </c>
      <c r="S232" s="133" t="str">
        <f>HYPERLINK("https://www.mouser.com/ProductDetail/" &amp;MouserListTable[[#This Row],[Mouser SKU]])</f>
        <v>https://www.mouser.com/ProductDetail/474-CAB-12977</v>
      </c>
      <c r="T232" s="94">
        <v>0</v>
      </c>
      <c r="U232" s="94">
        <v>1</v>
      </c>
      <c r="V232" s="94">
        <v>0</v>
      </c>
      <c r="W232" s="94">
        <f>MouserListTable[[#This Row],['#/Unit]]*FilterSpecs!$C$3+MouserListTable[[#This Row],[Extra]]</f>
        <v>1</v>
      </c>
      <c r="X232" s="94">
        <f>IF(MouserListTable[[#This Row],[Tag]]=FilterSpecs!$F$7,MouserListTable[[#This Row],['#/Unit]]*MouserListTable[[#This Row],[Price (USD)]],0)</f>
        <v>0</v>
      </c>
      <c r="Y232" s="94">
        <f>MouserListTable[[#This Row],[Tot '#]]*MouserListTable[[#This Row],[Price (USD)]]</f>
        <v>9.9499999999999993</v>
      </c>
      <c r="Z232"/>
    </row>
    <row r="233" spans="1:26" s="104" customFormat="1" x14ac:dyDescent="0.25">
      <c r="A233" s="78" t="s">
        <v>888</v>
      </c>
      <c r="B233" s="78" t="s">
        <v>2017</v>
      </c>
      <c r="C233" s="78" t="s">
        <v>1892</v>
      </c>
      <c r="D233" s="81" t="str">
        <f>IF(MouserListTable[[#This Row],[Vendor]]=FilterSpecs!$A$8,MouserListTable[[#This Row],[Mouser SKU]], MouserListTable[[#This Row],[Supplier SKU]])</f>
        <v>485-1620</v>
      </c>
      <c r="E233" s="94">
        <f>MouserListTable[[#This Row],[Tot '#]]-MouserListTable[[#This Row],['# Initial]]</f>
        <v>0</v>
      </c>
      <c r="F233" s="94">
        <f>IF(AND(MouserListTable[[#This Row],[Tag]]&lt;&gt;FilterSpecs!$F$12, MouserListTable[[#This Row],[Tag]]&lt;&gt;FilterSpecs!$F$9), MouserListTable[[#This Row],['#/Unit]]*FilterSpecs!$B$3+MouserListTable[[#This Row],[Extra Initial]],0)</f>
        <v>0</v>
      </c>
      <c r="G233" s="78"/>
      <c r="H233" s="150"/>
      <c r="I233" s="97" t="s">
        <v>2343</v>
      </c>
      <c r="J233" s="106"/>
      <c r="K233" s="118">
        <v>2.95</v>
      </c>
      <c r="L233" s="97" t="s">
        <v>1896</v>
      </c>
      <c r="M233" s="106"/>
      <c r="N233" s="154">
        <f>MouserListTable[[#This Row],['# Initial]]*MouserListTable[[#This Row],[Price (USD)]]</f>
        <v>0</v>
      </c>
      <c r="O233" s="81" t="s">
        <v>2342</v>
      </c>
      <c r="P233" s="150">
        <f t="shared" si="3"/>
        <v>220</v>
      </c>
      <c r="Q233" s="78" t="s">
        <v>1884</v>
      </c>
      <c r="R233"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485-1620</v>
      </c>
      <c r="S233" s="133" t="str">
        <f>HYPERLINK("https://www.mouser.com/ProductDetail/" &amp;MouserListTable[[#This Row],[Mouser SKU]])</f>
        <v>https://www.mouser.com/ProductDetail/485-1620</v>
      </c>
      <c r="T233" s="94">
        <v>0</v>
      </c>
      <c r="U233" s="94">
        <v>0</v>
      </c>
      <c r="V233" s="94">
        <v>0</v>
      </c>
      <c r="W233" s="94">
        <f>MouserListTable[[#This Row],['#/Unit]]*FilterSpecs!$C$3+MouserListTable[[#This Row],[Extra]]</f>
        <v>0</v>
      </c>
      <c r="X233" s="94">
        <f>IF(MouserListTable[[#This Row],[Tag]]=FilterSpecs!$F$7,MouserListTable[[#This Row],['#/Unit]]*MouserListTable[[#This Row],[Price (USD)]],0)</f>
        <v>0</v>
      </c>
      <c r="Y233" s="94">
        <f>MouserListTable[[#This Row],[Tot '#]]*MouserListTable[[#This Row],[Price (USD)]]</f>
        <v>0</v>
      </c>
      <c r="Z233"/>
    </row>
    <row r="234" spans="1:26" s="106" customFormat="1" x14ac:dyDescent="0.25">
      <c r="A234" s="78" t="s">
        <v>888</v>
      </c>
      <c r="B234" s="78" t="s">
        <v>2017</v>
      </c>
      <c r="C234" s="78" t="s">
        <v>1892</v>
      </c>
      <c r="D234" s="81" t="str">
        <f>IF(MouserListTable[[#This Row],[Vendor]]=FilterSpecs!$A$8,MouserListTable[[#This Row],[Mouser SKU]], MouserListTable[[#This Row],[Supplier SKU]])</f>
        <v>474-CAB-12016</v>
      </c>
      <c r="E234" s="94">
        <f>MouserListTable[[#This Row],[Tot '#]]-MouserListTable[[#This Row],['# Initial]]</f>
        <v>0</v>
      </c>
      <c r="F234" s="94">
        <f>IF(AND(MouserListTable[[#This Row],[Tag]]&lt;&gt;FilterSpecs!$F$12, MouserListTable[[#This Row],[Tag]]&lt;&gt;FilterSpecs!$F$9), MouserListTable[[#This Row],['#/Unit]]*FilterSpecs!$B$3+MouserListTable[[#This Row],[Extra Initial]],0)</f>
        <v>1</v>
      </c>
      <c r="G234" s="78" t="s">
        <v>246</v>
      </c>
      <c r="H234" s="150" t="s">
        <v>247</v>
      </c>
      <c r="I234" s="78" t="s">
        <v>248</v>
      </c>
      <c r="K234" s="117">
        <v>6.97</v>
      </c>
      <c r="L234" s="78" t="s">
        <v>1896</v>
      </c>
      <c r="M234" s="81"/>
      <c r="N234" s="154">
        <f>MouserListTable[[#This Row],['# Initial]]*MouserListTable[[#This Row],[Price (USD)]]</f>
        <v>6.97</v>
      </c>
      <c r="O234" s="81" t="s">
        <v>245</v>
      </c>
      <c r="P234" s="150">
        <f t="shared" si="3"/>
        <v>221</v>
      </c>
      <c r="Q234" s="78" t="s">
        <v>5</v>
      </c>
      <c r="R234"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474-CAB-12016</v>
      </c>
      <c r="S234" s="133" t="str">
        <f>HYPERLINK("https://www.mouser.com/ProductDetail/" &amp;MouserListTable[[#This Row],[Mouser SKU]])</f>
        <v>https://www.mouser.com/ProductDetail/474-CAB-12016</v>
      </c>
      <c r="T234" s="94">
        <v>0</v>
      </c>
      <c r="U234" s="94">
        <v>1</v>
      </c>
      <c r="V234" s="94">
        <v>1</v>
      </c>
      <c r="W234" s="94">
        <f>MouserListTable[[#This Row],['#/Unit]]*FilterSpecs!$C$3+MouserListTable[[#This Row],[Extra]]</f>
        <v>1</v>
      </c>
      <c r="X234" s="94">
        <f>IF(MouserListTable[[#This Row],[Tag]]=FilterSpecs!$F$7,MouserListTable[[#This Row],['#/Unit]]*MouserListTable[[#This Row],[Price (USD)]],0)</f>
        <v>0</v>
      </c>
      <c r="Y234" s="94">
        <f>MouserListTable[[#This Row],[Tot '#]]*MouserListTable[[#This Row],[Price (USD)]]</f>
        <v>6.97</v>
      </c>
      <c r="Z234"/>
    </row>
    <row r="235" spans="1:26" s="106" customFormat="1" x14ac:dyDescent="0.25">
      <c r="A235" s="78" t="s">
        <v>888</v>
      </c>
      <c r="B235" s="78" t="s">
        <v>1590</v>
      </c>
      <c r="C235" s="78" t="s">
        <v>1892</v>
      </c>
      <c r="D235" s="81" t="str">
        <f>IF(MouserListTable[[#This Row],[Vendor]]=FilterSpecs!$A$8,MouserListTable[[#This Row],[Mouser SKU]], MouserListTable[[#This Row],[Supplier SKU]])</f>
        <v>474-DEV-14050</v>
      </c>
      <c r="E235" s="94">
        <f>MouserListTable[[#This Row],[Tot '#]]-MouserListTable[[#This Row],['# Initial]]</f>
        <v>0</v>
      </c>
      <c r="F235" s="94">
        <f>IF(AND(MouserListTable[[#This Row],[Tag]]&lt;&gt;FilterSpecs!$F$12, MouserListTable[[#This Row],[Tag]]&lt;&gt;FilterSpecs!$F$9), MouserListTable[[#This Row],['#/Unit]]*FilterSpecs!$B$3+MouserListTable[[#This Row],[Extra Initial]],0)</f>
        <v>5</v>
      </c>
      <c r="G235" s="78" t="s">
        <v>274</v>
      </c>
      <c r="H235" s="150" t="s">
        <v>275</v>
      </c>
      <c r="I235" s="78" t="s">
        <v>217</v>
      </c>
      <c r="J235" s="78"/>
      <c r="K235" s="117">
        <v>7.95</v>
      </c>
      <c r="L235" s="78" t="s">
        <v>1897</v>
      </c>
      <c r="M235" s="78"/>
      <c r="N235" s="154">
        <f>MouserListTable[[#This Row],['# Initial]]*MouserListTable[[#This Row],[Price (USD)]]</f>
        <v>39.75</v>
      </c>
      <c r="O235" s="81" t="s">
        <v>273</v>
      </c>
      <c r="P235" s="150">
        <f t="shared" si="3"/>
        <v>222</v>
      </c>
      <c r="Q235" s="78" t="s">
        <v>5</v>
      </c>
      <c r="R235"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474-DEV-14050</v>
      </c>
      <c r="S235" s="133" t="str">
        <f>HYPERLINK("https://www.mouser.com/ProductDetail/" &amp;MouserListTable[[#This Row],[Mouser SKU]])</f>
        <v>https://www.mouser.com/ProductDetail/474-DEV-14050</v>
      </c>
      <c r="T235" s="94">
        <v>1</v>
      </c>
      <c r="U235" s="94">
        <v>0</v>
      </c>
      <c r="V235" s="94">
        <v>0</v>
      </c>
      <c r="W235" s="94">
        <f>MouserListTable[[#This Row],['#/Unit]]*FilterSpecs!$C$3+MouserListTable[[#This Row],[Extra]]</f>
        <v>5</v>
      </c>
      <c r="X235" s="94">
        <f>IF(MouserListTable[[#This Row],[Tag]]=FilterSpecs!$F$7,MouserListTable[[#This Row],['#/Unit]]*MouserListTable[[#This Row],[Price (USD)]],0)</f>
        <v>7.95</v>
      </c>
      <c r="Y235" s="94">
        <f>MouserListTable[[#This Row],[Tot '#]]*MouserListTable[[#This Row],[Price (USD)]]</f>
        <v>39.75</v>
      </c>
      <c r="Z235"/>
    </row>
    <row r="236" spans="1:26" s="106" customFormat="1" x14ac:dyDescent="0.25">
      <c r="A236" s="78" t="s">
        <v>888</v>
      </c>
      <c r="B236" s="78" t="s">
        <v>1590</v>
      </c>
      <c r="C236" s="78" t="s">
        <v>1892</v>
      </c>
      <c r="D236" s="81" t="str">
        <f>IF(MouserListTable[[#This Row],[Vendor]]=FilterSpecs!$A$8,MouserListTable[[#This Row],[Mouser SKU]], MouserListTable[[#This Row],[Supplier SKU]])</f>
        <v>474-BOB-13830</v>
      </c>
      <c r="E236" s="94">
        <f>MouserListTable[[#This Row],[Tot '#]]-MouserListTable[[#This Row],['# Initial]]</f>
        <v>0</v>
      </c>
      <c r="F236" s="94">
        <f>IF(AND(MouserListTable[[#This Row],[Tag]]&lt;&gt;FilterSpecs!$F$12, MouserListTable[[#This Row],[Tag]]&lt;&gt;FilterSpecs!$F$9), MouserListTable[[#This Row],['#/Unit]]*FilterSpecs!$B$3+MouserListTable[[#This Row],[Extra Initial]],0)</f>
        <v>5</v>
      </c>
      <c r="G236" s="78" t="s">
        <v>277</v>
      </c>
      <c r="H236" s="150" t="s">
        <v>278</v>
      </c>
      <c r="I236" s="78" t="s">
        <v>203</v>
      </c>
      <c r="J236" s="78">
        <v>1</v>
      </c>
      <c r="K236" s="117">
        <v>12.95</v>
      </c>
      <c r="L236" s="78" t="s">
        <v>1897</v>
      </c>
      <c r="M236" s="78"/>
      <c r="N236" s="154">
        <f>MouserListTable[[#This Row],['# Initial]]*MouserListTable[[#This Row],[Price (USD)]]</f>
        <v>64.75</v>
      </c>
      <c r="O236" s="81" t="s">
        <v>276</v>
      </c>
      <c r="P236" s="150">
        <f t="shared" si="3"/>
        <v>223</v>
      </c>
      <c r="Q236" s="78" t="s">
        <v>5</v>
      </c>
      <c r="R236"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474-BOB-13830</v>
      </c>
      <c r="S236" s="133" t="str">
        <f>HYPERLINK("https://www.mouser.com/ProductDetail/" &amp;MouserListTable[[#This Row],[Mouser SKU]])</f>
        <v>https://www.mouser.com/ProductDetail/474-BOB-13830</v>
      </c>
      <c r="T236" s="94">
        <v>1</v>
      </c>
      <c r="U236" s="94">
        <v>0</v>
      </c>
      <c r="V236" s="94">
        <v>0</v>
      </c>
      <c r="W236" s="94">
        <f>MouserListTable[[#This Row],['#/Unit]]*FilterSpecs!$C$3+MouserListTable[[#This Row],[Extra]]</f>
        <v>5</v>
      </c>
      <c r="X236" s="94">
        <f>IF(MouserListTable[[#This Row],[Tag]]=FilterSpecs!$F$7,MouserListTable[[#This Row],['#/Unit]]*MouserListTable[[#This Row],[Price (USD)]],0)</f>
        <v>12.95</v>
      </c>
      <c r="Y236" s="94">
        <f>MouserListTable[[#This Row],[Tot '#]]*MouserListTable[[#This Row],[Price (USD)]]</f>
        <v>64.75</v>
      </c>
      <c r="Z236"/>
    </row>
    <row r="237" spans="1:26" s="106" customFormat="1" x14ac:dyDescent="0.25">
      <c r="A237" s="97" t="s">
        <v>888</v>
      </c>
      <c r="B237" s="97" t="s">
        <v>1590</v>
      </c>
      <c r="C237" s="78" t="s">
        <v>1892</v>
      </c>
      <c r="D237" s="81" t="str">
        <f>IF(MouserListTable[[#This Row],[Vendor]]=FilterSpecs!$A$8,MouserListTable[[#This Row],[Mouser SKU]], MouserListTable[[#This Row],[Supplier SKU]])</f>
        <v>474-BOB-12731</v>
      </c>
      <c r="E237" s="94">
        <f>MouserListTable[[#This Row],[Tot '#]]-MouserListTable[[#This Row],['# Initial]]</f>
        <v>0</v>
      </c>
      <c r="F237" s="94">
        <f>IF(AND(MouserListTable[[#This Row],[Tag]]&lt;&gt;FilterSpecs!$F$12, MouserListTable[[#This Row],[Tag]]&lt;&gt;FilterSpecs!$F$9), MouserListTable[[#This Row],['#/Unit]]*FilterSpecs!$B$3+MouserListTable[[#This Row],[Extra Initial]],0)</f>
        <v>0</v>
      </c>
      <c r="G237" s="78" t="s">
        <v>922</v>
      </c>
      <c r="H237" s="150" t="s">
        <v>923</v>
      </c>
      <c r="I237" s="78" t="s">
        <v>924</v>
      </c>
      <c r="J237" s="78">
        <v>1</v>
      </c>
      <c r="K237" s="117">
        <v>14.95</v>
      </c>
      <c r="L237" s="78" t="s">
        <v>1896</v>
      </c>
      <c r="M237" s="78"/>
      <c r="N237" s="154">
        <f>MouserListTable[[#This Row],['# Initial]]*MouserListTable[[#This Row],[Price (USD)]]</f>
        <v>0</v>
      </c>
      <c r="O237" s="81" t="s">
        <v>921</v>
      </c>
      <c r="P237" s="150">
        <f t="shared" si="3"/>
        <v>224</v>
      </c>
      <c r="Q237" s="78" t="s">
        <v>5</v>
      </c>
      <c r="R237"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474-BOB-12731</v>
      </c>
      <c r="S237" s="133" t="str">
        <f>HYPERLINK("https://www.mouser.com/ProductDetail/" &amp;MouserListTable[[#This Row],[Mouser SKU]])</f>
        <v>https://www.mouser.com/ProductDetail/474-BOB-12731</v>
      </c>
      <c r="T237" s="94">
        <v>0</v>
      </c>
      <c r="U237" s="94">
        <v>0</v>
      </c>
      <c r="V237" s="94">
        <v>0</v>
      </c>
      <c r="W237" s="94">
        <f>MouserListTable[[#This Row],['#/Unit]]*FilterSpecs!$C$3+MouserListTable[[#This Row],[Extra]]</f>
        <v>0</v>
      </c>
      <c r="X237" s="94">
        <f>IF(MouserListTable[[#This Row],[Tag]]=FilterSpecs!$F$7,MouserListTable[[#This Row],['#/Unit]]*MouserListTable[[#This Row],[Price (USD)]],0)</f>
        <v>0</v>
      </c>
      <c r="Y237" s="94">
        <f>MouserListTable[[#This Row],[Tot '#]]*MouserListTable[[#This Row],[Price (USD)]]</f>
        <v>0</v>
      </c>
      <c r="Z237"/>
    </row>
    <row r="238" spans="1:26" s="106" customFormat="1" x14ac:dyDescent="0.25">
      <c r="A238" s="78" t="s">
        <v>888</v>
      </c>
      <c r="B238" s="78" t="s">
        <v>1590</v>
      </c>
      <c r="C238" s="78" t="s">
        <v>1892</v>
      </c>
      <c r="D238" s="81" t="str">
        <f>IF(MouserListTable[[#This Row],[Vendor]]=FilterSpecs!$A$8,MouserListTable[[#This Row],[Mouser SKU]], MouserListTable[[#This Row],[Supplier SKU]])</f>
        <v>474-BOB-13263</v>
      </c>
      <c r="E238" s="94">
        <f>MouserListTable[[#This Row],[Tot '#]]-MouserListTable[[#This Row],['# Initial]]</f>
        <v>0</v>
      </c>
      <c r="F238" s="94">
        <f>IF(AND(MouserListTable[[#This Row],[Tag]]&lt;&gt;FilterSpecs!$F$12, MouserListTable[[#This Row],[Tag]]&lt;&gt;FilterSpecs!$F$9), MouserListTable[[#This Row],['#/Unit]]*FilterSpecs!$B$3+MouserListTable[[#This Row],[Extra Initial]],0)</f>
        <v>1</v>
      </c>
      <c r="G238" s="78" t="s">
        <v>1008</v>
      </c>
      <c r="H238" s="150" t="s">
        <v>1009</v>
      </c>
      <c r="I238" s="78" t="s">
        <v>1010</v>
      </c>
      <c r="J238" s="78">
        <v>1</v>
      </c>
      <c r="K238" s="117">
        <v>11.95</v>
      </c>
      <c r="L238" s="78" t="s">
        <v>1896</v>
      </c>
      <c r="M238" s="78"/>
      <c r="N238" s="154">
        <f>MouserListTable[[#This Row],['# Initial]]*MouserListTable[[#This Row],[Price (USD)]]</f>
        <v>11.95</v>
      </c>
      <c r="O238" s="81" t="s">
        <v>1007</v>
      </c>
      <c r="P238" s="150">
        <f t="shared" si="3"/>
        <v>225</v>
      </c>
      <c r="Q238" s="78" t="s">
        <v>5</v>
      </c>
      <c r="R238"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474-BOB-13263</v>
      </c>
      <c r="S238" s="133" t="str">
        <f>HYPERLINK("https://www.mouser.com/ProductDetail/" &amp;MouserListTable[[#This Row],[Mouser SKU]])</f>
        <v>https://www.mouser.com/ProductDetail/474-BOB-13263</v>
      </c>
      <c r="T238" s="94">
        <v>0</v>
      </c>
      <c r="U238" s="94">
        <v>1</v>
      </c>
      <c r="V238" s="94">
        <v>1</v>
      </c>
      <c r="W238" s="94">
        <f>MouserListTable[[#This Row],['#/Unit]]*FilterSpecs!$C$3+MouserListTable[[#This Row],[Extra]]</f>
        <v>1</v>
      </c>
      <c r="X238" s="94">
        <f>IF(MouserListTable[[#This Row],[Tag]]=FilterSpecs!$F$7,MouserListTable[[#This Row],['#/Unit]]*MouserListTable[[#This Row],[Price (USD)]],0)</f>
        <v>0</v>
      </c>
      <c r="Y238" s="94">
        <f>MouserListTable[[#This Row],[Tot '#]]*MouserListTable[[#This Row],[Price (USD)]]</f>
        <v>11.95</v>
      </c>
      <c r="Z238"/>
    </row>
    <row r="239" spans="1:26" s="106" customFormat="1" x14ac:dyDescent="0.25">
      <c r="A239" s="78" t="s">
        <v>888</v>
      </c>
      <c r="B239" s="78" t="s">
        <v>1590</v>
      </c>
      <c r="C239" s="78" t="s">
        <v>1892</v>
      </c>
      <c r="D239" s="81" t="str">
        <f>IF(MouserListTable[[#This Row],[Vendor]]=FilterSpecs!$A$8,MouserListTable[[#This Row],[Mouser SKU]], MouserListTable[[#This Row],[Supplier SKU]])</f>
        <v>474-DEV-12935</v>
      </c>
      <c r="E239" s="94">
        <f>MouserListTable[[#This Row],[Tot '#]]-MouserListTable[[#This Row],['# Initial]]</f>
        <v>0</v>
      </c>
      <c r="F239" s="94">
        <f>IF(AND(MouserListTable[[#This Row],[Tag]]&lt;&gt;FilterSpecs!$F$12, MouserListTable[[#This Row],[Tag]]&lt;&gt;FilterSpecs!$F$9), MouserListTable[[#This Row],['#/Unit]]*FilterSpecs!$B$3+MouserListTable[[#This Row],[Extra Initial]],0)</f>
        <v>1</v>
      </c>
      <c r="G239" s="78" t="s">
        <v>1012</v>
      </c>
      <c r="H239" s="150" t="s">
        <v>1013</v>
      </c>
      <c r="I239" s="78" t="s">
        <v>1014</v>
      </c>
      <c r="J239" s="78">
        <v>1</v>
      </c>
      <c r="K239" s="117">
        <v>19.95</v>
      </c>
      <c r="L239" s="78" t="s">
        <v>1896</v>
      </c>
      <c r="M239" s="78"/>
      <c r="N239" s="154">
        <f>MouserListTable[[#This Row],['# Initial]]*MouserListTable[[#This Row],[Price (USD)]]</f>
        <v>19.95</v>
      </c>
      <c r="O239" s="81" t="s">
        <v>1011</v>
      </c>
      <c r="P239" s="150">
        <f t="shared" si="3"/>
        <v>226</v>
      </c>
      <c r="Q239" s="78" t="s">
        <v>5</v>
      </c>
      <c r="R239"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474-DEV-12935</v>
      </c>
      <c r="S239" s="133" t="str">
        <f>HYPERLINK("https://www.mouser.com/ProductDetail/" &amp;MouserListTable[[#This Row],[Mouser SKU]])</f>
        <v>https://www.mouser.com/ProductDetail/474-DEV-12935</v>
      </c>
      <c r="T239" s="94">
        <v>0</v>
      </c>
      <c r="U239" s="94">
        <v>1</v>
      </c>
      <c r="V239" s="94">
        <v>1</v>
      </c>
      <c r="W239" s="94">
        <f>MouserListTable[[#This Row],['#/Unit]]*FilterSpecs!$C$3+MouserListTable[[#This Row],[Extra]]</f>
        <v>1</v>
      </c>
      <c r="X239" s="94">
        <f>IF(MouserListTable[[#This Row],[Tag]]=FilterSpecs!$F$7,MouserListTable[[#This Row],['#/Unit]]*MouserListTable[[#This Row],[Price (USD)]],0)</f>
        <v>0</v>
      </c>
      <c r="Y239" s="94">
        <f>MouserListTable[[#This Row],[Tot '#]]*MouserListTable[[#This Row],[Price (USD)]]</f>
        <v>19.95</v>
      </c>
      <c r="Z239"/>
    </row>
    <row r="240" spans="1:26" s="106" customFormat="1" x14ac:dyDescent="0.25">
      <c r="A240" s="78" t="s">
        <v>1058</v>
      </c>
      <c r="B240" s="78" t="s">
        <v>1589</v>
      </c>
      <c r="C240" s="78" t="s">
        <v>1892</v>
      </c>
      <c r="D240" s="81" t="str">
        <f>IF(MouserListTable[[#This Row],[Vendor]]=FilterSpecs!$A$8,MouserListTable[[#This Row],[Mouser SKU]], MouserListTable[[#This Row],[Supplier SKU]])</f>
        <v>474-PRT-12885</v>
      </c>
      <c r="E240" s="94">
        <f>MouserListTable[[#This Row],[Tot '#]]-MouserListTable[[#This Row],['# Initial]]</f>
        <v>1</v>
      </c>
      <c r="F240" s="94">
        <f>IF(AND(MouserListTable[[#This Row],[Tag]]&lt;&gt;FilterSpecs!$F$12, MouserListTable[[#This Row],[Tag]]&lt;&gt;FilterSpecs!$F$9), MouserListTable[[#This Row],['#/Unit]]*FilterSpecs!$B$3+MouserListTable[[#This Row],[Extra Initial]],0)</f>
        <v>0</v>
      </c>
      <c r="G240" s="78" t="s">
        <v>1514</v>
      </c>
      <c r="H240" s="150" t="s">
        <v>1515</v>
      </c>
      <c r="I240" s="78" t="s">
        <v>1516</v>
      </c>
      <c r="J240" s="78">
        <v>1</v>
      </c>
      <c r="K240" s="117">
        <v>24.95</v>
      </c>
      <c r="L240" s="78" t="s">
        <v>1900</v>
      </c>
      <c r="M240" s="81"/>
      <c r="N240" s="154">
        <f>MouserListTable[[#This Row],['# Initial]]*MouserListTable[[#This Row],[Price (USD)]]</f>
        <v>0</v>
      </c>
      <c r="O240" s="81" t="s">
        <v>1513</v>
      </c>
      <c r="P240" s="150">
        <f t="shared" si="3"/>
        <v>227</v>
      </c>
      <c r="Q240" s="78" t="s">
        <v>5</v>
      </c>
      <c r="R240"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474-PRT-12885</v>
      </c>
      <c r="S240" s="133" t="str">
        <f>HYPERLINK("https://www.mouser.com/ProductDetail/" &amp;MouserListTable[[#This Row],[Mouser SKU]])</f>
        <v>https://www.mouser.com/ProductDetail/474-PRT-12885</v>
      </c>
      <c r="T240" s="94">
        <v>0</v>
      </c>
      <c r="U240" s="94">
        <v>1</v>
      </c>
      <c r="V240" s="94">
        <v>0</v>
      </c>
      <c r="W240" s="94">
        <f>MouserListTable[[#This Row],['#/Unit]]*FilterSpecs!$C$3+MouserListTable[[#This Row],[Extra]]</f>
        <v>1</v>
      </c>
      <c r="X240" s="94">
        <f>IF(MouserListTable[[#This Row],[Tag]]=FilterSpecs!$F$7,MouserListTable[[#This Row],['#/Unit]]*MouserListTable[[#This Row],[Price (USD)]],0)</f>
        <v>0</v>
      </c>
      <c r="Y240" s="94">
        <f>MouserListTable[[#This Row],[Tot '#]]*MouserListTable[[#This Row],[Price (USD)]]</f>
        <v>24.95</v>
      </c>
      <c r="Z240"/>
    </row>
    <row r="241" spans="1:26" s="106" customFormat="1" x14ac:dyDescent="0.25">
      <c r="A241" s="78" t="s">
        <v>1058</v>
      </c>
      <c r="B241" s="78" t="s">
        <v>1005</v>
      </c>
      <c r="C241" s="78" t="s">
        <v>1892</v>
      </c>
      <c r="D241" s="81" t="str">
        <f>IF(MouserListTable[[#This Row],[Vendor]]=FilterSpecs!$A$8,MouserListTable[[#This Row],[Mouser SKU]], MouserListTable[[#This Row],[Supplier SKU]])</f>
        <v>474-GPS-00177</v>
      </c>
      <c r="E241" s="94">
        <f>MouserListTable[[#This Row],[Tot '#]]-MouserListTable[[#This Row],['# Initial]]</f>
        <v>1</v>
      </c>
      <c r="F241" s="94">
        <f>IF(AND(MouserListTable[[#This Row],[Tag]]&lt;&gt;FilterSpecs!$F$12, MouserListTable[[#This Row],[Tag]]&lt;&gt;FilterSpecs!$F$9), MouserListTable[[#This Row],['#/Unit]]*FilterSpecs!$B$3+MouserListTable[[#This Row],[Extra Initial]],0)</f>
        <v>0</v>
      </c>
      <c r="G241" s="78" t="s">
        <v>942</v>
      </c>
      <c r="H241" s="150" t="s">
        <v>943</v>
      </c>
      <c r="I241" s="78" t="s">
        <v>944</v>
      </c>
      <c r="J241" s="78"/>
      <c r="K241" s="117">
        <v>11.95</v>
      </c>
      <c r="L241" s="78" t="s">
        <v>1900</v>
      </c>
      <c r="M241" s="78" t="s">
        <v>1052</v>
      </c>
      <c r="N241" s="154">
        <f>MouserListTable[[#This Row],['# Initial]]*MouserListTable[[#This Row],[Price (USD)]]</f>
        <v>0</v>
      </c>
      <c r="O241" s="81" t="s">
        <v>941</v>
      </c>
      <c r="P241" s="150">
        <f t="shared" si="3"/>
        <v>228</v>
      </c>
      <c r="Q241" s="78" t="s">
        <v>5</v>
      </c>
      <c r="R241"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474-GPS-00177</v>
      </c>
      <c r="S241" s="133" t="str">
        <f>HYPERLINK("https://www.mouser.com/ProductDetail/" &amp;MouserListTable[[#This Row],[Mouser SKU]])</f>
        <v>https://www.mouser.com/ProductDetail/474-GPS-00177</v>
      </c>
      <c r="T241" s="94">
        <v>0</v>
      </c>
      <c r="U241" s="94">
        <v>1</v>
      </c>
      <c r="V241" s="94">
        <v>0</v>
      </c>
      <c r="W241" s="94">
        <f>MouserListTable[[#This Row],['#/Unit]]*FilterSpecs!$C$3+MouserListTable[[#This Row],[Extra]]</f>
        <v>1</v>
      </c>
      <c r="X241" s="94">
        <f>IF(MouserListTable[[#This Row],[Tag]]=FilterSpecs!$F$7,MouserListTable[[#This Row],['#/Unit]]*MouserListTable[[#This Row],[Price (USD)]],0)</f>
        <v>0</v>
      </c>
      <c r="Y241" s="94">
        <f>MouserListTable[[#This Row],[Tot '#]]*MouserListTable[[#This Row],[Price (USD)]]</f>
        <v>11.95</v>
      </c>
      <c r="Z241"/>
    </row>
    <row r="242" spans="1:26" s="111" customFormat="1" x14ac:dyDescent="0.25">
      <c r="A242" s="78" t="s">
        <v>1058</v>
      </c>
      <c r="B242" s="78" t="s">
        <v>1005</v>
      </c>
      <c r="C242" s="78" t="s">
        <v>1892</v>
      </c>
      <c r="D242" s="81" t="str">
        <f>IF(MouserListTable[[#This Row],[Vendor]]=FilterSpecs!$A$8,MouserListTable[[#This Row],[Mouser SKU]], MouserListTable[[#This Row],[Supplier SKU]])</f>
        <v>474-SPX-14416</v>
      </c>
      <c r="E242" s="94">
        <f>MouserListTable[[#This Row],[Tot '#]]-MouserListTable[[#This Row],['# Initial]]</f>
        <v>1</v>
      </c>
      <c r="F242" s="94">
        <f>IF(AND(MouserListTable[[#This Row],[Tag]]&lt;&gt;FilterSpecs!$F$12, MouserListTable[[#This Row],[Tag]]&lt;&gt;FilterSpecs!$F$9), MouserListTable[[#This Row],['#/Unit]]*FilterSpecs!$B$3+MouserListTable[[#This Row],[Extra Initial]],0)</f>
        <v>0</v>
      </c>
      <c r="G242" s="78" t="s">
        <v>962</v>
      </c>
      <c r="H242" s="150" t="s">
        <v>963</v>
      </c>
      <c r="I242" s="78" t="s">
        <v>964</v>
      </c>
      <c r="J242" s="78">
        <v>1</v>
      </c>
      <c r="K242" s="117">
        <v>49.95</v>
      </c>
      <c r="L242" s="78" t="s">
        <v>1900</v>
      </c>
      <c r="M242" s="78" t="s">
        <v>1045</v>
      </c>
      <c r="N242" s="154">
        <f>MouserListTable[[#This Row],['# Initial]]*MouserListTable[[#This Row],[Price (USD)]]</f>
        <v>0</v>
      </c>
      <c r="O242" s="81" t="s">
        <v>961</v>
      </c>
      <c r="P242" s="150">
        <f t="shared" si="3"/>
        <v>229</v>
      </c>
      <c r="Q242" s="78" t="s">
        <v>5</v>
      </c>
      <c r="R242"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474-SPX-14416</v>
      </c>
      <c r="S242" s="133" t="str">
        <f>HYPERLINK("https://www.mouser.com/ProductDetail/" &amp;MouserListTable[[#This Row],[Mouser SKU]])</f>
        <v>https://www.mouser.com/ProductDetail/474-SPX-14416</v>
      </c>
      <c r="T242" s="94">
        <v>0</v>
      </c>
      <c r="U242" s="94">
        <v>1</v>
      </c>
      <c r="V242" s="94">
        <v>0</v>
      </c>
      <c r="W242" s="94">
        <f>MouserListTable[[#This Row],['#/Unit]]*FilterSpecs!$C$3+MouserListTable[[#This Row],[Extra]]</f>
        <v>1</v>
      </c>
      <c r="X242" s="94">
        <f>IF(MouserListTable[[#This Row],[Tag]]=FilterSpecs!$F$7,MouserListTable[[#This Row],['#/Unit]]*MouserListTable[[#This Row],[Price (USD)]],0)</f>
        <v>0</v>
      </c>
      <c r="Y242" s="94">
        <f>MouserListTable[[#This Row],[Tot '#]]*MouserListTable[[#This Row],[Price (USD)]]</f>
        <v>49.95</v>
      </c>
      <c r="Z242"/>
    </row>
    <row r="243" spans="1:26" s="111" customFormat="1" x14ac:dyDescent="0.25">
      <c r="A243" s="97" t="s">
        <v>1058</v>
      </c>
      <c r="B243" s="115" t="s">
        <v>1005</v>
      </c>
      <c r="C243" s="78" t="s">
        <v>1892</v>
      </c>
      <c r="D243" s="81" t="str">
        <f>IF(MouserListTable[[#This Row],[Vendor]]=FilterSpecs!$A$8,MouserListTable[[#This Row],[Mouser SKU]], MouserListTable[[#This Row],[Supplier SKU]])</f>
        <v>474-GPS-13750</v>
      </c>
      <c r="E243" s="94">
        <f>MouserListTable[[#This Row],[Tot '#]]-MouserListTable[[#This Row],['# Initial]]</f>
        <v>0</v>
      </c>
      <c r="F243" s="94">
        <f>IF(AND(MouserListTable[[#This Row],[Tag]]&lt;&gt;FilterSpecs!$F$12, MouserListTable[[#This Row],[Tag]]&lt;&gt;FilterSpecs!$F$9), MouserListTable[[#This Row],['#/Unit]]*FilterSpecs!$B$3+MouserListTable[[#This Row],[Extra Initial]],0)</f>
        <v>0</v>
      </c>
      <c r="G243" s="78" t="s">
        <v>982</v>
      </c>
      <c r="H243" s="150" t="s">
        <v>983</v>
      </c>
      <c r="I243" s="78" t="s">
        <v>984</v>
      </c>
      <c r="J243" s="78">
        <v>1</v>
      </c>
      <c r="K243" s="117">
        <v>44.95</v>
      </c>
      <c r="L243" s="78" t="s">
        <v>1900</v>
      </c>
      <c r="M243" s="78" t="s">
        <v>1046</v>
      </c>
      <c r="N243" s="154">
        <f>MouserListTable[[#This Row],['# Initial]]*MouserListTable[[#This Row],[Price (USD)]]</f>
        <v>0</v>
      </c>
      <c r="O243" s="81" t="s">
        <v>981</v>
      </c>
      <c r="P243" s="150">
        <f t="shared" si="3"/>
        <v>230</v>
      </c>
      <c r="Q243" s="112" t="s">
        <v>5</v>
      </c>
      <c r="R243"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474-GPS-13750</v>
      </c>
      <c r="S243" s="133" t="str">
        <f>HYPERLINK("https://www.mouser.com/ProductDetail/" &amp;MouserListTable[[#This Row],[Mouser SKU]])</f>
        <v>https://www.mouser.com/ProductDetail/474-GPS-13750</v>
      </c>
      <c r="T243" s="94">
        <v>0</v>
      </c>
      <c r="U243" s="94">
        <v>0</v>
      </c>
      <c r="V243" s="94">
        <v>0</v>
      </c>
      <c r="W243" s="94">
        <f>MouserListTable[[#This Row],['#/Unit]]*FilterSpecs!$C$3+MouserListTable[[#This Row],[Extra]]</f>
        <v>0</v>
      </c>
      <c r="X243" s="94">
        <f>IF(MouserListTable[[#This Row],[Tag]]=FilterSpecs!$F$7,MouserListTable[[#This Row],['#/Unit]]*MouserListTable[[#This Row],[Price (USD)]],0)</f>
        <v>0</v>
      </c>
      <c r="Y243" s="94">
        <f>MouserListTable[[#This Row],[Tot '#]]*MouserListTable[[#This Row],[Price (USD)]]</f>
        <v>0</v>
      </c>
      <c r="Z243"/>
    </row>
    <row r="244" spans="1:26" s="111" customFormat="1" x14ac:dyDescent="0.25">
      <c r="A244" s="78" t="s">
        <v>1058</v>
      </c>
      <c r="B244" s="78" t="s">
        <v>1005</v>
      </c>
      <c r="C244" s="78" t="s">
        <v>1892</v>
      </c>
      <c r="D244" s="81" t="str">
        <f>IF(MouserListTable[[#This Row],[Vendor]]=FilterSpecs!$A$8,MouserListTable[[#This Row],[Mouser SKU]], MouserListTable[[#This Row],[Supplier SKU]])</f>
        <v>474-GPS-10920</v>
      </c>
      <c r="E244" s="94">
        <f>MouserListTable[[#This Row],[Tot '#]]-MouserListTable[[#This Row],['# Initial]]</f>
        <v>1</v>
      </c>
      <c r="F244" s="94">
        <f>IF(AND(MouserListTable[[#This Row],[Tag]]&lt;&gt;FilterSpecs!$F$12, MouserListTable[[#This Row],[Tag]]&lt;&gt;FilterSpecs!$F$9), MouserListTable[[#This Row],['#/Unit]]*FilterSpecs!$B$3+MouserListTable[[#This Row],[Extra Initial]],0)</f>
        <v>0</v>
      </c>
      <c r="G244" s="78" t="s">
        <v>946</v>
      </c>
      <c r="H244" s="150" t="s">
        <v>947</v>
      </c>
      <c r="I244" s="78" t="s">
        <v>948</v>
      </c>
      <c r="J244" s="78">
        <v>1</v>
      </c>
      <c r="K244" s="117">
        <v>59.95</v>
      </c>
      <c r="L244" s="78" t="s">
        <v>1900</v>
      </c>
      <c r="M244" s="78" t="s">
        <v>1046</v>
      </c>
      <c r="N244" s="154">
        <f>MouserListTable[[#This Row],['# Initial]]*MouserListTable[[#This Row],[Price (USD)]]</f>
        <v>0</v>
      </c>
      <c r="O244" s="81" t="s">
        <v>945</v>
      </c>
      <c r="P244" s="150">
        <f t="shared" si="3"/>
        <v>231</v>
      </c>
      <c r="Q244" s="78" t="s">
        <v>5</v>
      </c>
      <c r="R244"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474-GPS-10920</v>
      </c>
      <c r="S244" s="133" t="str">
        <f>HYPERLINK("https://www.mouser.com/ProductDetail/" &amp;MouserListTable[[#This Row],[Mouser SKU]])</f>
        <v>https://www.mouser.com/ProductDetail/474-GPS-10920</v>
      </c>
      <c r="T244" s="94">
        <v>0</v>
      </c>
      <c r="U244" s="94">
        <v>1</v>
      </c>
      <c r="V244" s="94">
        <v>0</v>
      </c>
      <c r="W244" s="94">
        <f>MouserListTable[[#This Row],['#/Unit]]*FilterSpecs!$C$3+MouserListTable[[#This Row],[Extra]]</f>
        <v>1</v>
      </c>
      <c r="X244" s="94">
        <f>IF(MouserListTable[[#This Row],[Tag]]=FilterSpecs!$F$7,MouserListTable[[#This Row],['#/Unit]]*MouserListTable[[#This Row],[Price (USD)]],0)</f>
        <v>0</v>
      </c>
      <c r="Y244" s="94">
        <f>MouserListTable[[#This Row],[Tot '#]]*MouserListTable[[#This Row],[Price (USD)]]</f>
        <v>59.95</v>
      </c>
      <c r="Z244"/>
    </row>
    <row r="245" spans="1:26" s="104" customFormat="1" x14ac:dyDescent="0.25">
      <c r="A245" s="78" t="s">
        <v>1058</v>
      </c>
      <c r="B245" s="78" t="s">
        <v>1005</v>
      </c>
      <c r="C245" s="78" t="s">
        <v>1892</v>
      </c>
      <c r="D245" s="81" t="str">
        <f>IF(MouserListTable[[#This Row],[Vendor]]=FilterSpecs!$A$8,MouserListTable[[#This Row],[Mouser SKU]], MouserListTable[[#This Row],[Supplier SKU]])</f>
        <v>485-1272</v>
      </c>
      <c r="E245" s="94">
        <f>MouserListTable[[#This Row],[Tot '#]]-MouserListTable[[#This Row],['# Initial]]</f>
        <v>0</v>
      </c>
      <c r="F245" s="94">
        <f>IF(AND(MouserListTable[[#This Row],[Tag]]&lt;&gt;FilterSpecs!$F$12, MouserListTable[[#This Row],[Tag]]&lt;&gt;FilterSpecs!$F$9), MouserListTable[[#This Row],['#/Unit]]*FilterSpecs!$B$3+MouserListTable[[#This Row],[Extra Initial]],0)</f>
        <v>0</v>
      </c>
      <c r="G245" s="78"/>
      <c r="H245" s="150"/>
      <c r="I245" s="78" t="s">
        <v>2070</v>
      </c>
      <c r="J245" s="78"/>
      <c r="K245" s="117">
        <v>44.95</v>
      </c>
      <c r="L245" s="78" t="s">
        <v>1896</v>
      </c>
      <c r="M245" s="106"/>
      <c r="N245" s="154">
        <f>MouserListTable[[#This Row],['# Initial]]*MouserListTable[[#This Row],[Price (USD)]]</f>
        <v>0</v>
      </c>
      <c r="O245" s="81" t="s">
        <v>2069</v>
      </c>
      <c r="P245" s="150">
        <f t="shared" si="3"/>
        <v>232</v>
      </c>
      <c r="Q245" s="78" t="s">
        <v>1884</v>
      </c>
      <c r="R245"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485-1272</v>
      </c>
      <c r="S245" s="133" t="str">
        <f>HYPERLINK("https://www.mouser.com/ProductDetail/" &amp;MouserListTable[[#This Row],[Mouser SKU]])</f>
        <v>https://www.mouser.com/ProductDetail/485-1272</v>
      </c>
      <c r="T245" s="94">
        <v>0</v>
      </c>
      <c r="U245" s="94">
        <v>0</v>
      </c>
      <c r="V245" s="94">
        <v>0</v>
      </c>
      <c r="W245" s="94">
        <f>MouserListTable[[#This Row],['#/Unit]]*FilterSpecs!$C$3+MouserListTable[[#This Row],[Extra]]</f>
        <v>0</v>
      </c>
      <c r="X245" s="94">
        <f>IF(MouserListTable[[#This Row],[Tag]]=FilterSpecs!$F$7,MouserListTable[[#This Row],['#/Unit]]*MouserListTable[[#This Row],[Price (USD)]],0)</f>
        <v>0</v>
      </c>
      <c r="Y245" s="94">
        <f>MouserListTable[[#This Row],[Tot '#]]*MouserListTable[[#This Row],[Price (USD)]]</f>
        <v>0</v>
      </c>
      <c r="Z245"/>
    </row>
    <row r="246" spans="1:26" s="104" customFormat="1" x14ac:dyDescent="0.25">
      <c r="A246" s="78" t="s">
        <v>1058</v>
      </c>
      <c r="B246" s="78" t="s">
        <v>2040</v>
      </c>
      <c r="C246" s="78" t="s">
        <v>1892</v>
      </c>
      <c r="D246" s="81" t="str">
        <f>IF(MouserListTable[[#This Row],[Vendor]]=FilterSpecs!$A$8,MouserListTable[[#This Row],[Mouser SKU]], MouserListTable[[#This Row],[Supplier SKU]])</f>
        <v>485-2468</v>
      </c>
      <c r="E246" s="94">
        <f>MouserListTable[[#This Row],[Tot '#]]-MouserListTable[[#This Row],['# Initial]]</f>
        <v>1</v>
      </c>
      <c r="F246" s="94">
        <f>IF(AND(MouserListTable[[#This Row],[Tag]]&lt;&gt;FilterSpecs!$F$12, MouserListTable[[#This Row],[Tag]]&lt;&gt;FilterSpecs!$F$9), MouserListTable[[#This Row],['#/Unit]]*FilterSpecs!$B$3+MouserListTable[[#This Row],[Extra Initial]],0)</f>
        <v>0</v>
      </c>
      <c r="G246" s="78"/>
      <c r="H246" s="150"/>
      <c r="I246" s="78" t="s">
        <v>2047</v>
      </c>
      <c r="J246" s="78"/>
      <c r="K246" s="117">
        <v>39.950000000000003</v>
      </c>
      <c r="L246" s="78" t="s">
        <v>1896</v>
      </c>
      <c r="M246" s="81"/>
      <c r="N246" s="154">
        <f>MouserListTable[[#This Row],['# Initial]]*MouserListTable[[#This Row],[Price (USD)]]</f>
        <v>0</v>
      </c>
      <c r="O246" s="81" t="s">
        <v>2048</v>
      </c>
      <c r="P246" s="150">
        <f t="shared" si="3"/>
        <v>233</v>
      </c>
      <c r="Q246" s="78" t="s">
        <v>1884</v>
      </c>
      <c r="R246"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485-2468</v>
      </c>
      <c r="S246" s="133" t="str">
        <f>HYPERLINK("https://www.mouser.com/ProductDetail/" &amp;MouserListTable[[#This Row],[Mouser SKU]])</f>
        <v>https://www.mouser.com/ProductDetail/485-2468</v>
      </c>
      <c r="T246" s="94">
        <v>0</v>
      </c>
      <c r="U246" s="94">
        <v>1</v>
      </c>
      <c r="V246" s="94">
        <v>0</v>
      </c>
      <c r="W246" s="94">
        <f>MouserListTable[[#This Row],['#/Unit]]*FilterSpecs!$C$3+MouserListTable[[#This Row],[Extra]]</f>
        <v>1</v>
      </c>
      <c r="X246" s="94">
        <f>IF(MouserListTable[[#This Row],[Tag]]=FilterSpecs!$F$7,MouserListTable[[#This Row],['#/Unit]]*MouserListTable[[#This Row],[Price (USD)]],0)</f>
        <v>0</v>
      </c>
      <c r="Y246" s="94">
        <f>MouserListTable[[#This Row],[Tot '#]]*MouserListTable[[#This Row],[Price (USD)]]</f>
        <v>39.950000000000003</v>
      </c>
      <c r="Z246"/>
    </row>
    <row r="247" spans="1:26" s="104" customFormat="1" x14ac:dyDescent="0.25">
      <c r="A247" s="78" t="s">
        <v>1058</v>
      </c>
      <c r="B247" s="78" t="s">
        <v>2040</v>
      </c>
      <c r="C247" s="78" t="s">
        <v>1892</v>
      </c>
      <c r="D247" s="81" t="str">
        <f>IF(MouserListTable[[#This Row],[Vendor]]=FilterSpecs!$A$8,MouserListTable[[#This Row],[Mouser SKU]], MouserListTable[[#This Row],[Supplier SKU]])</f>
        <v>485-2505</v>
      </c>
      <c r="E247" s="94">
        <f>MouserListTable[[#This Row],[Tot '#]]-MouserListTable[[#This Row],['# Initial]]</f>
        <v>1</v>
      </c>
      <c r="F247" s="94">
        <f>IF(AND(MouserListTable[[#This Row],[Tag]]&lt;&gt;FilterSpecs!$F$12, MouserListTable[[#This Row],[Tag]]&lt;&gt;FilterSpecs!$F$9), MouserListTable[[#This Row],['#/Unit]]*FilterSpecs!$B$3+MouserListTable[[#This Row],[Extra Initial]],0)</f>
        <v>0</v>
      </c>
      <c r="G247" s="78"/>
      <c r="H247" s="150"/>
      <c r="I247" s="78" t="s">
        <v>2045</v>
      </c>
      <c r="J247" s="106"/>
      <c r="K247" s="117">
        <v>9</v>
      </c>
      <c r="L247" s="78" t="s">
        <v>1896</v>
      </c>
      <c r="M247" s="81"/>
      <c r="N247" s="154">
        <f>MouserListTable[[#This Row],['# Initial]]*MouserListTable[[#This Row],[Price (USD)]]</f>
        <v>0</v>
      </c>
      <c r="O247" s="81" t="s">
        <v>2046</v>
      </c>
      <c r="P247" s="150">
        <f t="shared" si="3"/>
        <v>234</v>
      </c>
      <c r="Q247" s="78" t="s">
        <v>1884</v>
      </c>
      <c r="R247"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485-2505</v>
      </c>
      <c r="S247" s="133" t="str">
        <f>HYPERLINK("https://www.mouser.com/ProductDetail/" &amp;MouserListTable[[#This Row],[Mouser SKU]])</f>
        <v>https://www.mouser.com/ProductDetail/485-2505</v>
      </c>
      <c r="T247" s="94">
        <v>0</v>
      </c>
      <c r="U247" s="94">
        <v>1</v>
      </c>
      <c r="V247" s="94">
        <v>0</v>
      </c>
      <c r="W247" s="94">
        <f>MouserListTable[[#This Row],['#/Unit]]*FilterSpecs!$C$3+MouserListTable[[#This Row],[Extra]]</f>
        <v>1</v>
      </c>
      <c r="X247" s="94">
        <f>IF(MouserListTable[[#This Row],[Tag]]=FilterSpecs!$F$7,MouserListTable[[#This Row],['#/Unit]]*MouserListTable[[#This Row],[Price (USD)]],0)</f>
        <v>0</v>
      </c>
      <c r="Y247" s="94">
        <f>MouserListTable[[#This Row],[Tot '#]]*MouserListTable[[#This Row],[Price (USD)]]</f>
        <v>9</v>
      </c>
      <c r="Z247"/>
    </row>
    <row r="248" spans="1:26" s="104" customFormat="1" x14ac:dyDescent="0.25">
      <c r="A248" s="78" t="s">
        <v>1058</v>
      </c>
      <c r="B248" s="78" t="s">
        <v>2040</v>
      </c>
      <c r="C248" s="78" t="s">
        <v>1892</v>
      </c>
      <c r="D248" s="81" t="str">
        <f>IF(MouserListTable[[#This Row],[Vendor]]=FilterSpecs!$A$8,MouserListTable[[#This Row],[Mouser SKU]], MouserListTable[[#This Row],[Supplier SKU]])</f>
        <v>485-1991</v>
      </c>
      <c r="E248" s="94">
        <f>MouserListTable[[#This Row],[Tot '#]]-MouserListTable[[#This Row],['# Initial]]</f>
        <v>1</v>
      </c>
      <c r="F248" s="94">
        <f>IF(AND(MouserListTable[[#This Row],[Tag]]&lt;&gt;FilterSpecs!$F$12, MouserListTable[[#This Row],[Tag]]&lt;&gt;FilterSpecs!$F$9), MouserListTable[[#This Row],['#/Unit]]*FilterSpecs!$B$3+MouserListTable[[#This Row],[Extra Initial]],0)</f>
        <v>0</v>
      </c>
      <c r="G248" s="78"/>
      <c r="H248" s="150"/>
      <c r="I248" s="78" t="s">
        <v>2043</v>
      </c>
      <c r="J248" s="106"/>
      <c r="K248" s="117">
        <v>2.95</v>
      </c>
      <c r="L248" s="78" t="s">
        <v>1896</v>
      </c>
      <c r="M248" s="81"/>
      <c r="N248" s="154">
        <f>MouserListTable[[#This Row],['# Initial]]*MouserListTable[[#This Row],[Price (USD)]]</f>
        <v>0</v>
      </c>
      <c r="O248" s="81" t="s">
        <v>2044</v>
      </c>
      <c r="P248" s="150">
        <f t="shared" si="3"/>
        <v>235</v>
      </c>
      <c r="Q248" s="78" t="s">
        <v>1884</v>
      </c>
      <c r="R248"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485-1991</v>
      </c>
      <c r="S248" s="133" t="str">
        <f>HYPERLINK("https://www.mouser.com/ProductDetail/" &amp;MouserListTable[[#This Row],[Mouser SKU]])</f>
        <v>https://www.mouser.com/ProductDetail/485-1991</v>
      </c>
      <c r="T248" s="94">
        <v>0</v>
      </c>
      <c r="U248" s="94">
        <v>1</v>
      </c>
      <c r="V248" s="94">
        <v>0</v>
      </c>
      <c r="W248" s="94">
        <f>MouserListTable[[#This Row],['#/Unit]]*FilterSpecs!$C$3+MouserListTable[[#This Row],[Extra]]</f>
        <v>1</v>
      </c>
      <c r="X248" s="94">
        <f>IF(MouserListTable[[#This Row],[Tag]]=FilterSpecs!$F$7,MouserListTable[[#This Row],['#/Unit]]*MouserListTable[[#This Row],[Price (USD)]],0)</f>
        <v>0</v>
      </c>
      <c r="Y248" s="94">
        <f>MouserListTable[[#This Row],[Tot '#]]*MouserListTable[[#This Row],[Price (USD)]]</f>
        <v>2.95</v>
      </c>
      <c r="Z248"/>
    </row>
    <row r="249" spans="1:26" s="111" customFormat="1" x14ac:dyDescent="0.25">
      <c r="A249" s="78" t="s">
        <v>1058</v>
      </c>
      <c r="B249" s="78" t="s">
        <v>1426</v>
      </c>
      <c r="C249" s="78" t="s">
        <v>1892</v>
      </c>
      <c r="D249" s="81" t="str">
        <f>IF(MouserListTable[[#This Row],[Vendor]]=FilterSpecs!$A$8,MouserListTable[[#This Row],[Mouser SKU]], MouserListTable[[#This Row],[Supplier SKU]])</f>
        <v>474-SEN-12916</v>
      </c>
      <c r="E249" s="94">
        <f>MouserListTable[[#This Row],[Tot '#]]-MouserListTable[[#This Row],['# Initial]]</f>
        <v>1</v>
      </c>
      <c r="F249" s="94">
        <f>IF(AND(MouserListTable[[#This Row],[Tag]]&lt;&gt;FilterSpecs!$F$12, MouserListTable[[#This Row],[Tag]]&lt;&gt;FilterSpecs!$F$9), MouserListTable[[#This Row],['#/Unit]]*FilterSpecs!$B$3+MouserListTable[[#This Row],[Extra Initial]],0)</f>
        <v>0</v>
      </c>
      <c r="G249" s="78" t="s">
        <v>1393</v>
      </c>
      <c r="H249" s="150" t="s">
        <v>1394</v>
      </c>
      <c r="I249" s="78" t="s">
        <v>1395</v>
      </c>
      <c r="J249" s="78"/>
      <c r="K249" s="117">
        <v>149.94999999999999</v>
      </c>
      <c r="L249" s="78" t="s">
        <v>1900</v>
      </c>
      <c r="M249" s="81"/>
      <c r="N249" s="154">
        <f>MouserListTable[[#This Row],['# Initial]]*MouserListTable[[#This Row],[Price (USD)]]</f>
        <v>0</v>
      </c>
      <c r="O249" s="81" t="s">
        <v>1392</v>
      </c>
      <c r="P249" s="150">
        <f t="shared" si="3"/>
        <v>236</v>
      </c>
      <c r="Q249" s="78" t="s">
        <v>5</v>
      </c>
      <c r="R249"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474-SEN-12916</v>
      </c>
      <c r="S249" s="133" t="str">
        <f>HYPERLINK("https://www.mouser.com/ProductDetail/" &amp;MouserListTable[[#This Row],[Mouser SKU]])</f>
        <v>https://www.mouser.com/ProductDetail/474-SEN-12916</v>
      </c>
      <c r="T249" s="94">
        <v>0</v>
      </c>
      <c r="U249" s="94">
        <v>1</v>
      </c>
      <c r="V249" s="94">
        <v>0</v>
      </c>
      <c r="W249" s="94">
        <f>MouserListTable[[#This Row],['#/Unit]]*FilterSpecs!$C$3+MouserListTable[[#This Row],[Extra]]</f>
        <v>1</v>
      </c>
      <c r="X249" s="94">
        <f>IF(MouserListTable[[#This Row],[Tag]]=FilterSpecs!$F$7,MouserListTable[[#This Row],['#/Unit]]*MouserListTable[[#This Row],[Price (USD)]],0)</f>
        <v>0</v>
      </c>
      <c r="Y249" s="94">
        <f>MouserListTable[[#This Row],[Tot '#]]*MouserListTable[[#This Row],[Price (USD)]]</f>
        <v>149.94999999999999</v>
      </c>
      <c r="Z249"/>
    </row>
    <row r="250" spans="1:26" s="111" customFormat="1" x14ac:dyDescent="0.25">
      <c r="A250" s="78" t="s">
        <v>1058</v>
      </c>
      <c r="B250" s="112" t="s">
        <v>1006</v>
      </c>
      <c r="C250" s="78" t="s">
        <v>1892</v>
      </c>
      <c r="D250" s="81" t="str">
        <f>IF(MouserListTable[[#This Row],[Vendor]]=FilterSpecs!$A$8,MouserListTable[[#This Row],[Mouser SKU]], MouserListTable[[#This Row],[Supplier SKU]])</f>
        <v>474-CAB-14043</v>
      </c>
      <c r="E250" s="94">
        <f>MouserListTable[[#This Row],[Tot '#]]-MouserListTable[[#This Row],['# Initial]]</f>
        <v>1</v>
      </c>
      <c r="F250" s="94">
        <f>IF(AND(MouserListTable[[#This Row],[Tag]]&lt;&gt;FilterSpecs!$F$12, MouserListTable[[#This Row],[Tag]]&lt;&gt;FilterSpecs!$F$9), MouserListTable[[#This Row],['#/Unit]]*FilterSpecs!$B$3+MouserListTable[[#This Row],[Extra Initial]],0)</f>
        <v>0</v>
      </c>
      <c r="G250" s="78" t="s">
        <v>950</v>
      </c>
      <c r="H250" s="150" t="s">
        <v>951</v>
      </c>
      <c r="I250" s="78" t="s">
        <v>952</v>
      </c>
      <c r="J250" s="78">
        <v>1</v>
      </c>
      <c r="K250" s="117">
        <v>4.95</v>
      </c>
      <c r="L250" s="78" t="s">
        <v>2461</v>
      </c>
      <c r="M250" s="78" t="s">
        <v>1054</v>
      </c>
      <c r="N250" s="154">
        <f>MouserListTable[[#This Row],['# Initial]]*MouserListTable[[#This Row],[Price (USD)]]</f>
        <v>0</v>
      </c>
      <c r="O250" s="81" t="s">
        <v>949</v>
      </c>
      <c r="P250" s="150">
        <f t="shared" si="3"/>
        <v>237</v>
      </c>
      <c r="Q250" s="112" t="s">
        <v>5</v>
      </c>
      <c r="R250"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474-CAB-14043</v>
      </c>
      <c r="S250" s="133" t="str">
        <f>HYPERLINK("https://www.mouser.com/ProductDetail/" &amp;MouserListTable[[#This Row],[Mouser SKU]])</f>
        <v>https://www.mouser.com/ProductDetail/474-CAB-14043</v>
      </c>
      <c r="T250" s="94">
        <v>0</v>
      </c>
      <c r="U250" s="94">
        <v>1</v>
      </c>
      <c r="V250" s="94">
        <v>0</v>
      </c>
      <c r="W250" s="94">
        <f>MouserListTable[[#This Row],['#/Unit]]*FilterSpecs!$C$3+MouserListTable[[#This Row],[Extra]]</f>
        <v>1</v>
      </c>
      <c r="X250" s="94">
        <f>IF(MouserListTable[[#This Row],[Tag]]=FilterSpecs!$F$7,MouserListTable[[#This Row],['#/Unit]]*MouserListTable[[#This Row],[Price (USD)]],0)</f>
        <v>0</v>
      </c>
      <c r="Y250" s="94">
        <f>MouserListTable[[#This Row],[Tot '#]]*MouserListTable[[#This Row],[Price (USD)]]</f>
        <v>4.95</v>
      </c>
      <c r="Z250"/>
    </row>
    <row r="251" spans="1:26" s="111" customFormat="1" x14ac:dyDescent="0.25">
      <c r="A251" s="78" t="s">
        <v>1058</v>
      </c>
      <c r="B251" s="112" t="s">
        <v>1006</v>
      </c>
      <c r="C251" s="78" t="s">
        <v>1892</v>
      </c>
      <c r="D251" s="81" t="str">
        <f>IF(MouserListTable[[#This Row],[Vendor]]=FilterSpecs!$A$8,MouserListTable[[#This Row],[Mouser SKU]], MouserListTable[[#This Row],[Supplier SKU]])</f>
        <v>474-SEN-14117</v>
      </c>
      <c r="E251" s="94">
        <f>MouserListTable[[#This Row],[Tot '#]]-MouserListTable[[#This Row],['# Initial]]</f>
        <v>1</v>
      </c>
      <c r="F251" s="94">
        <f>IF(AND(MouserListTable[[#This Row],[Tag]]&lt;&gt;FilterSpecs!$F$12, MouserListTable[[#This Row],[Tag]]&lt;&gt;FilterSpecs!$F$9), MouserListTable[[#This Row],['#/Unit]]*FilterSpecs!$B$3+MouserListTable[[#This Row],[Extra Initial]],0)</f>
        <v>0</v>
      </c>
      <c r="G251" s="78" t="s">
        <v>966</v>
      </c>
      <c r="H251" s="150" t="s">
        <v>967</v>
      </c>
      <c r="I251" s="78" t="s">
        <v>968</v>
      </c>
      <c r="J251" s="78">
        <v>1</v>
      </c>
      <c r="K251" s="117">
        <v>349</v>
      </c>
      <c r="L251" s="78" t="s">
        <v>1900</v>
      </c>
      <c r="M251" s="78" t="s">
        <v>1047</v>
      </c>
      <c r="N251" s="154">
        <f>MouserListTable[[#This Row],['# Initial]]*MouserListTable[[#This Row],[Price (USD)]]</f>
        <v>0</v>
      </c>
      <c r="O251" s="81" t="s">
        <v>965</v>
      </c>
      <c r="P251" s="150">
        <f t="shared" si="3"/>
        <v>238</v>
      </c>
      <c r="Q251" s="112" t="s">
        <v>5</v>
      </c>
      <c r="R251"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474-SEN-14117</v>
      </c>
      <c r="S251" s="133" t="str">
        <f>HYPERLINK("https://www.mouser.com/ProductDetail/" &amp;MouserListTable[[#This Row],[Mouser SKU]])</f>
        <v>https://www.mouser.com/ProductDetail/474-SEN-14117</v>
      </c>
      <c r="T251" s="94">
        <v>0</v>
      </c>
      <c r="U251" s="94">
        <v>1</v>
      </c>
      <c r="V251" s="94">
        <v>0</v>
      </c>
      <c r="W251" s="94">
        <f>MouserListTable[[#This Row],['#/Unit]]*FilterSpecs!$C$3+MouserListTable[[#This Row],[Extra]]</f>
        <v>1</v>
      </c>
      <c r="X251" s="94">
        <f>IF(MouserListTable[[#This Row],[Tag]]=FilterSpecs!$F$7,MouserListTable[[#This Row],['#/Unit]]*MouserListTable[[#This Row],[Price (USD)]],0)</f>
        <v>0</v>
      </c>
      <c r="Y251" s="94">
        <f>MouserListTable[[#This Row],[Tot '#]]*MouserListTable[[#This Row],[Price (USD)]]</f>
        <v>349</v>
      </c>
      <c r="Z251"/>
    </row>
    <row r="252" spans="1:26" s="104" customFormat="1" x14ac:dyDescent="0.25">
      <c r="A252" s="78" t="s">
        <v>1058</v>
      </c>
      <c r="B252" s="112" t="s">
        <v>1006</v>
      </c>
      <c r="C252" s="78" t="s">
        <v>1892</v>
      </c>
      <c r="D252" s="81" t="str">
        <f>IF(MouserListTable[[#This Row],[Vendor]]=FilterSpecs!$A$8,MouserListTable[[#This Row],[Mouser SKU]], MouserListTable[[#This Row],[Supplier SKU]])</f>
        <v>474-ROB-13064</v>
      </c>
      <c r="E252" s="94">
        <f>MouserListTable[[#This Row],[Tot '#]]-MouserListTable[[#This Row],['# Initial]]</f>
        <v>1</v>
      </c>
      <c r="F252" s="94">
        <f>IF(AND(MouserListTable[[#This Row],[Tag]]&lt;&gt;FilterSpecs!$F$12, MouserListTable[[#This Row],[Tag]]&lt;&gt;FilterSpecs!$F$9), MouserListTable[[#This Row],['#/Unit]]*FilterSpecs!$B$3+MouserListTable[[#This Row],[Extra Initial]],0)</f>
        <v>0</v>
      </c>
      <c r="G252" s="78" t="s">
        <v>1026</v>
      </c>
      <c r="H252" s="150" t="s">
        <v>1025</v>
      </c>
      <c r="I252" s="78" t="s">
        <v>1023</v>
      </c>
      <c r="J252" s="78">
        <v>1</v>
      </c>
      <c r="K252" s="117">
        <v>14.95</v>
      </c>
      <c r="L252" s="78" t="s">
        <v>1900</v>
      </c>
      <c r="M252" s="78" t="s">
        <v>1053</v>
      </c>
      <c r="N252" s="154">
        <f>MouserListTable[[#This Row],['# Initial]]*MouserListTable[[#This Row],[Price (USD)]]</f>
        <v>0</v>
      </c>
      <c r="O252" s="81" t="s">
        <v>1024</v>
      </c>
      <c r="P252" s="150">
        <f t="shared" si="3"/>
        <v>239</v>
      </c>
      <c r="Q252" s="112" t="s">
        <v>5</v>
      </c>
      <c r="R252"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474-ROB-13064</v>
      </c>
      <c r="S252" s="133" t="str">
        <f>HYPERLINK("https://www.mouser.com/ProductDetail/" &amp;MouserListTable[[#This Row],[Mouser SKU]])</f>
        <v>https://www.mouser.com/ProductDetail/474-ROB-13064</v>
      </c>
      <c r="T252" s="94">
        <v>0</v>
      </c>
      <c r="U252" s="94">
        <v>1</v>
      </c>
      <c r="V252" s="94">
        <v>0</v>
      </c>
      <c r="W252" s="94">
        <f>MouserListTable[[#This Row],['#/Unit]]*FilterSpecs!$C$3+MouserListTable[[#This Row],[Extra]]</f>
        <v>1</v>
      </c>
      <c r="X252" s="94">
        <f>IF(MouserListTable[[#This Row],[Tag]]=FilterSpecs!$F$7,MouserListTable[[#This Row],['#/Unit]]*MouserListTable[[#This Row],[Price (USD)]],0)</f>
        <v>0</v>
      </c>
      <c r="Y252" s="94">
        <f>MouserListTable[[#This Row],[Tot '#]]*MouserListTable[[#This Row],[Price (USD)]]</f>
        <v>14.95</v>
      </c>
      <c r="Z252"/>
    </row>
    <row r="253" spans="1:26" s="111" customFormat="1" x14ac:dyDescent="0.25">
      <c r="A253" s="78" t="s">
        <v>1058</v>
      </c>
      <c r="B253" s="78" t="s">
        <v>985</v>
      </c>
      <c r="C253" s="78" t="s">
        <v>1892</v>
      </c>
      <c r="D253" s="81" t="str">
        <f>IF(MouserListTable[[#This Row],[Vendor]]=FilterSpecs!$A$8,MouserListTable[[#This Row],[Mouser SKU]], MouserListTable[[#This Row],[Supplier SKU]])</f>
        <v>474-SEN-13284</v>
      </c>
      <c r="E253" s="94">
        <f>MouserListTable[[#This Row],[Tot '#]]-MouserListTable[[#This Row],['# Initial]]</f>
        <v>1</v>
      </c>
      <c r="F253" s="94">
        <f>IF(AND(MouserListTable[[#This Row],[Tag]]&lt;&gt;FilterSpecs!$F$12, MouserListTable[[#This Row],[Tag]]&lt;&gt;FilterSpecs!$F$9), MouserListTable[[#This Row],['#/Unit]]*FilterSpecs!$B$3+MouserListTable[[#This Row],[Extra Initial]],0)</f>
        <v>0</v>
      </c>
      <c r="G253" s="78" t="s">
        <v>910</v>
      </c>
      <c r="H253" s="150" t="s">
        <v>911</v>
      </c>
      <c r="I253" s="78" t="s">
        <v>912</v>
      </c>
      <c r="J253" s="78">
        <v>1</v>
      </c>
      <c r="K253" s="117">
        <v>24.95</v>
      </c>
      <c r="L253" s="78" t="s">
        <v>1900</v>
      </c>
      <c r="M253" s="78" t="s">
        <v>1048</v>
      </c>
      <c r="N253" s="154">
        <f>MouserListTable[[#This Row],['# Initial]]*MouserListTable[[#This Row],[Price (USD)]]</f>
        <v>0</v>
      </c>
      <c r="O253" s="81" t="s">
        <v>909</v>
      </c>
      <c r="P253" s="150">
        <f t="shared" si="3"/>
        <v>240</v>
      </c>
      <c r="Q253" s="78" t="s">
        <v>5</v>
      </c>
      <c r="R253"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474-SEN-13284</v>
      </c>
      <c r="S253" s="133" t="str">
        <f>HYPERLINK("https://www.mouser.com/ProductDetail/" &amp;MouserListTable[[#This Row],[Mouser SKU]])</f>
        <v>https://www.mouser.com/ProductDetail/474-SEN-13284</v>
      </c>
      <c r="T253" s="94">
        <v>0</v>
      </c>
      <c r="U253" s="94">
        <v>1</v>
      </c>
      <c r="V253" s="94">
        <v>0</v>
      </c>
      <c r="W253" s="94">
        <f>MouserListTable[[#This Row],['#/Unit]]*FilterSpecs!$C$3+MouserListTable[[#This Row],[Extra]]</f>
        <v>1</v>
      </c>
      <c r="X253" s="94">
        <f>IF(MouserListTable[[#This Row],[Tag]]=FilterSpecs!$F$7,MouserListTable[[#This Row],['#/Unit]]*MouserListTable[[#This Row],[Price (USD)]],0)</f>
        <v>0</v>
      </c>
      <c r="Y253" s="94">
        <f>MouserListTable[[#This Row],[Tot '#]]*MouserListTable[[#This Row],[Price (USD)]]</f>
        <v>24.95</v>
      </c>
      <c r="Z253"/>
    </row>
    <row r="254" spans="1:26" s="111" customFormat="1" x14ac:dyDescent="0.25">
      <c r="A254" s="78" t="s">
        <v>1058</v>
      </c>
      <c r="B254" s="78" t="s">
        <v>985</v>
      </c>
      <c r="C254" s="78" t="s">
        <v>1892</v>
      </c>
      <c r="D254" s="81" t="str">
        <f>IF(MouserListTable[[#This Row],[Vendor]]=FilterSpecs!$A$8,MouserListTable[[#This Row],[Mouser SKU]], MouserListTable[[#This Row],[Supplier SKU]])</f>
        <v>474-SEN-13762</v>
      </c>
      <c r="E254" s="94">
        <f>MouserListTable[[#This Row],[Tot '#]]-MouserListTable[[#This Row],['# Initial]]</f>
        <v>1</v>
      </c>
      <c r="F254" s="94">
        <f>IF(AND(MouserListTable[[#This Row],[Tag]]&lt;&gt;FilterSpecs!$F$12, MouserListTable[[#This Row],[Tag]]&lt;&gt;FilterSpecs!$F$9), MouserListTable[[#This Row],['#/Unit]]*FilterSpecs!$B$3+MouserListTable[[#This Row],[Extra Initial]],0)</f>
        <v>0</v>
      </c>
      <c r="G254" s="78" t="s">
        <v>914</v>
      </c>
      <c r="H254" s="150" t="s">
        <v>915</v>
      </c>
      <c r="I254" s="78" t="s">
        <v>916</v>
      </c>
      <c r="J254" s="78">
        <v>1</v>
      </c>
      <c r="K254" s="117">
        <v>14.95</v>
      </c>
      <c r="L254" s="78" t="s">
        <v>1900</v>
      </c>
      <c r="M254" s="78" t="s">
        <v>1048</v>
      </c>
      <c r="N254" s="154">
        <f>MouserListTable[[#This Row],['# Initial]]*MouserListTable[[#This Row],[Price (USD)]]</f>
        <v>0</v>
      </c>
      <c r="O254" s="81" t="s">
        <v>913</v>
      </c>
      <c r="P254" s="150">
        <f t="shared" si="3"/>
        <v>241</v>
      </c>
      <c r="Q254" s="78" t="s">
        <v>5</v>
      </c>
      <c r="R254"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474-SEN-13762</v>
      </c>
      <c r="S254" s="133" t="str">
        <f>HYPERLINK("https://www.mouser.com/ProductDetail/" &amp;MouserListTable[[#This Row],[Mouser SKU]])</f>
        <v>https://www.mouser.com/ProductDetail/474-SEN-13762</v>
      </c>
      <c r="T254" s="94">
        <v>0</v>
      </c>
      <c r="U254" s="94">
        <v>1</v>
      </c>
      <c r="V254" s="94">
        <v>0</v>
      </c>
      <c r="W254" s="94">
        <f>MouserListTable[[#This Row],['#/Unit]]*FilterSpecs!$C$3+MouserListTable[[#This Row],[Extra]]</f>
        <v>1</v>
      </c>
      <c r="X254" s="94">
        <f>IF(MouserListTable[[#This Row],[Tag]]=FilterSpecs!$F$7,MouserListTable[[#This Row],['#/Unit]]*MouserListTable[[#This Row],[Price (USD)]],0)</f>
        <v>0</v>
      </c>
      <c r="Y254" s="94">
        <f>MouserListTable[[#This Row],[Tot '#]]*MouserListTable[[#This Row],[Price (USD)]]</f>
        <v>14.95</v>
      </c>
      <c r="Z254"/>
    </row>
    <row r="255" spans="1:26" s="111" customFormat="1" x14ac:dyDescent="0.25">
      <c r="A255" s="97" t="s">
        <v>1058</v>
      </c>
      <c r="B255" s="115" t="s">
        <v>2005</v>
      </c>
      <c r="C255" s="78" t="s">
        <v>1892</v>
      </c>
      <c r="D255" s="81" t="str">
        <f>IF(MouserListTable[[#This Row],[Vendor]]=FilterSpecs!$A$8,MouserListTable[[#This Row],[Mouser SKU]], MouserListTable[[#This Row],[Supplier SKU]])</f>
        <v>474-LCD-12725</v>
      </c>
      <c r="E255" s="94">
        <f>MouserListTable[[#This Row],[Tot '#]]-MouserListTable[[#This Row],['# Initial]]</f>
        <v>0</v>
      </c>
      <c r="F255" s="94">
        <f>IF(AND(MouserListTable[[#This Row],[Tag]]&lt;&gt;FilterSpecs!$F$12, MouserListTable[[#This Row],[Tag]]&lt;&gt;FilterSpecs!$F$9), MouserListTable[[#This Row],['#/Unit]]*FilterSpecs!$B$3+MouserListTable[[#This Row],[Extra Initial]],0)</f>
        <v>0</v>
      </c>
      <c r="G255" s="78" t="s">
        <v>978</v>
      </c>
      <c r="H255" s="150" t="s">
        <v>979</v>
      </c>
      <c r="I255" s="78" t="s">
        <v>980</v>
      </c>
      <c r="J255" s="78">
        <v>1</v>
      </c>
      <c r="K255" s="117">
        <v>179.95</v>
      </c>
      <c r="L255" s="78" t="s">
        <v>1900</v>
      </c>
      <c r="M255" s="78" t="s">
        <v>1049</v>
      </c>
      <c r="N255" s="154">
        <f>MouserListTable[[#This Row],['# Initial]]*MouserListTable[[#This Row],[Price (USD)]]</f>
        <v>0</v>
      </c>
      <c r="O255" s="81" t="s">
        <v>977</v>
      </c>
      <c r="P255" s="150">
        <f t="shared" si="3"/>
        <v>242</v>
      </c>
      <c r="Q255" s="112" t="s">
        <v>5</v>
      </c>
      <c r="R255"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474-LCD-12725</v>
      </c>
      <c r="S255" s="133" t="str">
        <f>HYPERLINK("https://www.mouser.com/ProductDetail/" &amp;MouserListTable[[#This Row],[Mouser SKU]])</f>
        <v>https://www.mouser.com/ProductDetail/474-LCD-12725</v>
      </c>
      <c r="T255" s="94">
        <v>0</v>
      </c>
      <c r="U255" s="94">
        <v>0</v>
      </c>
      <c r="V255" s="94">
        <v>0</v>
      </c>
      <c r="W255" s="94">
        <f>MouserListTable[[#This Row],['#/Unit]]*FilterSpecs!$C$3+MouserListTable[[#This Row],[Extra]]</f>
        <v>0</v>
      </c>
      <c r="X255" s="94">
        <f>IF(MouserListTable[[#This Row],[Tag]]=FilterSpecs!$F$7,MouserListTable[[#This Row],['#/Unit]]*MouserListTable[[#This Row],[Price (USD)]],0)</f>
        <v>0</v>
      </c>
      <c r="Y255" s="94">
        <f>MouserListTable[[#This Row],[Tot '#]]*MouserListTable[[#This Row],[Price (USD)]]</f>
        <v>0</v>
      </c>
      <c r="Z255"/>
    </row>
    <row r="256" spans="1:26" s="104" customFormat="1" x14ac:dyDescent="0.25">
      <c r="A256" s="78" t="s">
        <v>1058</v>
      </c>
      <c r="B256" s="112" t="s">
        <v>2005</v>
      </c>
      <c r="C256" s="78" t="s">
        <v>1892</v>
      </c>
      <c r="D256" s="81" t="str">
        <f>IF(MouserListTable[[#This Row],[Vendor]]=FilterSpecs!$A$8,MouserListTable[[#This Row],[Mouser SKU]], MouserListTable[[#This Row],[Supplier SKU]])</f>
        <v>474-LCD-11741</v>
      </c>
      <c r="E256" s="94">
        <f>MouserListTable[[#This Row],[Tot '#]]-MouserListTable[[#This Row],['# Initial]]</f>
        <v>1</v>
      </c>
      <c r="F256" s="94">
        <f>IF(AND(MouserListTable[[#This Row],[Tag]]&lt;&gt;FilterSpecs!$F$12, MouserListTable[[#This Row],[Tag]]&lt;&gt;FilterSpecs!$F$9), MouserListTable[[#This Row],['#/Unit]]*FilterSpecs!$B$3+MouserListTable[[#This Row],[Extra Initial]],0)</f>
        <v>0</v>
      </c>
      <c r="G256" s="78" t="s">
        <v>1770</v>
      </c>
      <c r="H256" s="150" t="s">
        <v>1771</v>
      </c>
      <c r="I256" s="78" t="s">
        <v>1772</v>
      </c>
      <c r="J256" s="78"/>
      <c r="K256" s="117">
        <v>84.95</v>
      </c>
      <c r="L256" s="78" t="s">
        <v>1900</v>
      </c>
      <c r="M256" s="81"/>
      <c r="N256" s="154">
        <f>MouserListTable[[#This Row],['# Initial]]*MouserListTable[[#This Row],[Price (USD)]]</f>
        <v>0</v>
      </c>
      <c r="O256" s="81" t="s">
        <v>1769</v>
      </c>
      <c r="P256" s="150">
        <f t="shared" si="3"/>
        <v>243</v>
      </c>
      <c r="Q256" s="112" t="s">
        <v>5</v>
      </c>
      <c r="R256"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474-LCD-11741</v>
      </c>
      <c r="S256" s="133" t="str">
        <f>HYPERLINK("https://www.mouser.com/ProductDetail/" &amp;MouserListTable[[#This Row],[Mouser SKU]])</f>
        <v>https://www.mouser.com/ProductDetail/474-LCD-11741</v>
      </c>
      <c r="T256" s="94">
        <v>0</v>
      </c>
      <c r="U256" s="94">
        <v>1</v>
      </c>
      <c r="V256" s="94">
        <v>0</v>
      </c>
      <c r="W256" s="94">
        <f>MouserListTable[[#This Row],['#/Unit]]*FilterSpecs!$C$3+MouserListTable[[#This Row],[Extra]]</f>
        <v>1</v>
      </c>
      <c r="X256" s="94">
        <f>IF(MouserListTable[[#This Row],[Tag]]=FilterSpecs!$F$7,MouserListTable[[#This Row],['#/Unit]]*MouserListTable[[#This Row],[Price (USD)]],0)</f>
        <v>0</v>
      </c>
      <c r="Y256" s="94">
        <f>MouserListTable[[#This Row],[Tot '#]]*MouserListTable[[#This Row],[Price (USD)]]</f>
        <v>84.95</v>
      </c>
      <c r="Z256"/>
    </row>
    <row r="257" spans="1:26" s="104" customFormat="1" x14ac:dyDescent="0.25">
      <c r="A257" s="97" t="s">
        <v>1058</v>
      </c>
      <c r="B257" s="115" t="s">
        <v>2005</v>
      </c>
      <c r="C257" s="78" t="s">
        <v>1892</v>
      </c>
      <c r="D257" s="81" t="str">
        <f>IF(MouserListTable[[#This Row],[Vendor]]=FilterSpecs!$A$8,MouserListTable[[#This Row],[Mouser SKU]], MouserListTable[[#This Row],[Supplier SKU]])</f>
        <v>474-LCD-11677</v>
      </c>
      <c r="E257" s="94">
        <f>MouserListTable[[#This Row],[Tot '#]]-MouserListTable[[#This Row],['# Initial]]</f>
        <v>0</v>
      </c>
      <c r="F257" s="94">
        <f>IF(AND(MouserListTable[[#This Row],[Tag]]&lt;&gt;FilterSpecs!$F$12, MouserListTable[[#This Row],[Tag]]&lt;&gt;FilterSpecs!$F$9), MouserListTable[[#This Row],['#/Unit]]*FilterSpecs!$B$3+MouserListTable[[#This Row],[Extra Initial]],0)</f>
        <v>0</v>
      </c>
      <c r="G257" s="78" t="s">
        <v>1734</v>
      </c>
      <c r="H257" s="150" t="s">
        <v>1735</v>
      </c>
      <c r="I257" s="78" t="s">
        <v>1736</v>
      </c>
      <c r="J257" s="78">
        <v>1</v>
      </c>
      <c r="K257" s="117">
        <v>84.95</v>
      </c>
      <c r="L257" s="78" t="s">
        <v>1900</v>
      </c>
      <c r="M257" s="106"/>
      <c r="N257" s="154">
        <f>MouserListTable[[#This Row],['# Initial]]*MouserListTable[[#This Row],[Price (USD)]]</f>
        <v>0</v>
      </c>
      <c r="O257" s="81" t="s">
        <v>1733</v>
      </c>
      <c r="P257" s="150">
        <f t="shared" si="3"/>
        <v>244</v>
      </c>
      <c r="Q257" s="112" t="s">
        <v>5</v>
      </c>
      <c r="R257"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474-LCD-11677</v>
      </c>
      <c r="S257" s="133" t="str">
        <f>HYPERLINK("https://www.mouser.com/ProductDetail/" &amp;MouserListTable[[#This Row],[Mouser SKU]])</f>
        <v>https://www.mouser.com/ProductDetail/474-LCD-11677</v>
      </c>
      <c r="T257" s="94">
        <v>0</v>
      </c>
      <c r="U257" s="94">
        <v>0</v>
      </c>
      <c r="V257" s="94">
        <v>0</v>
      </c>
      <c r="W257" s="94">
        <f>MouserListTable[[#This Row],['#/Unit]]*FilterSpecs!$C$3+MouserListTable[[#This Row],[Extra]]</f>
        <v>0</v>
      </c>
      <c r="X257" s="94">
        <f>IF(MouserListTable[[#This Row],[Tag]]=FilterSpecs!$F$7,MouserListTable[[#This Row],['#/Unit]]*MouserListTable[[#This Row],[Price (USD)]],0)</f>
        <v>0</v>
      </c>
      <c r="Y257" s="94">
        <f>MouserListTable[[#This Row],[Tot '#]]*MouserListTable[[#This Row],[Price (USD)]]</f>
        <v>0</v>
      </c>
      <c r="Z257"/>
    </row>
    <row r="258" spans="1:26" s="104" customFormat="1" x14ac:dyDescent="0.25">
      <c r="A258" s="97" t="s">
        <v>1058</v>
      </c>
      <c r="B258" s="115" t="s">
        <v>2005</v>
      </c>
      <c r="C258" s="78" t="s">
        <v>1892</v>
      </c>
      <c r="D258" s="81" t="str">
        <f>IF(MouserListTable[[#This Row],[Vendor]]=FilterSpecs!$A$8,MouserListTable[[#This Row],[Mouser SKU]], MouserListTable[[#This Row],[Supplier SKU]])</f>
        <v>485-2090</v>
      </c>
      <c r="E258" s="94">
        <f>MouserListTable[[#This Row],[Tot '#]]-MouserListTable[[#This Row],['# Initial]]</f>
        <v>0</v>
      </c>
      <c r="F258" s="94">
        <f>IF(AND(MouserListTable[[#This Row],[Tag]]&lt;&gt;FilterSpecs!$F$12, MouserListTable[[#This Row],[Tag]]&lt;&gt;FilterSpecs!$F$9), MouserListTable[[#This Row],['#/Unit]]*FilterSpecs!$B$3+MouserListTable[[#This Row],[Extra Initial]],0)</f>
        <v>0</v>
      </c>
      <c r="G258" s="78"/>
      <c r="H258" s="150"/>
      <c r="I258" s="78" t="s">
        <v>2072</v>
      </c>
      <c r="J258" s="78"/>
      <c r="K258" s="117">
        <v>39.950000000000003</v>
      </c>
      <c r="L258" s="78" t="s">
        <v>1896</v>
      </c>
      <c r="M258" s="106"/>
      <c r="N258" s="154">
        <f>MouserListTable[[#This Row],['# Initial]]*MouserListTable[[#This Row],[Price (USD)]]</f>
        <v>0</v>
      </c>
      <c r="O258" s="81" t="s">
        <v>2071</v>
      </c>
      <c r="P258" s="150">
        <f t="shared" si="3"/>
        <v>245</v>
      </c>
      <c r="Q258" s="112" t="s">
        <v>1884</v>
      </c>
      <c r="R258"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485-2090</v>
      </c>
      <c r="S258" s="133" t="str">
        <f>HYPERLINK("https://www.mouser.com/ProductDetail/" &amp;MouserListTable[[#This Row],[Mouser SKU]])</f>
        <v>https://www.mouser.com/ProductDetail/485-2090</v>
      </c>
      <c r="T258" s="94">
        <v>0</v>
      </c>
      <c r="U258" s="94">
        <v>0</v>
      </c>
      <c r="V258" s="94">
        <v>0</v>
      </c>
      <c r="W258" s="94">
        <f>MouserListTable[[#This Row],['#/Unit]]*FilterSpecs!$C$3+MouserListTable[[#This Row],[Extra]]</f>
        <v>0</v>
      </c>
      <c r="X258" s="94">
        <f>IF(MouserListTable[[#This Row],[Tag]]=FilterSpecs!$F$7,MouserListTable[[#This Row],['#/Unit]]*MouserListTable[[#This Row],[Price (USD)]],0)</f>
        <v>0</v>
      </c>
      <c r="Y258" s="94">
        <f>MouserListTable[[#This Row],[Tot '#]]*MouserListTable[[#This Row],[Price (USD)]]</f>
        <v>0</v>
      </c>
      <c r="Z258"/>
    </row>
    <row r="259" spans="1:26" s="104" customFormat="1" x14ac:dyDescent="0.25">
      <c r="A259" s="78" t="s">
        <v>1058</v>
      </c>
      <c r="B259" s="115" t="s">
        <v>2005</v>
      </c>
      <c r="C259" s="78" t="s">
        <v>1892</v>
      </c>
      <c r="D259" s="81" t="str">
        <f>IF(MouserListTable[[#This Row],[Vendor]]=FilterSpecs!$A$8,MouserListTable[[#This Row],[Mouser SKU]], MouserListTable[[#This Row],[Supplier SKU]])</f>
        <v>485-1947</v>
      </c>
      <c r="E259" s="94">
        <f>MouserListTable[[#This Row],[Tot '#]]-MouserListTable[[#This Row],['# Initial]]</f>
        <v>0</v>
      </c>
      <c r="F259" s="94">
        <f>IF(AND(MouserListTable[[#This Row],[Tag]]&lt;&gt;FilterSpecs!$F$12, MouserListTable[[#This Row],[Tag]]&lt;&gt;FilterSpecs!$F$9), MouserListTable[[#This Row],['#/Unit]]*FilterSpecs!$B$3+MouserListTable[[#This Row],[Extra Initial]],0)</f>
        <v>0</v>
      </c>
      <c r="G259" s="78"/>
      <c r="H259" s="150"/>
      <c r="I259" s="97" t="s">
        <v>2074</v>
      </c>
      <c r="J259" s="106"/>
      <c r="K259" s="118">
        <v>44.95</v>
      </c>
      <c r="L259" s="97" t="s">
        <v>1896</v>
      </c>
      <c r="M259" s="106"/>
      <c r="N259" s="154">
        <f>MouserListTable[[#This Row],['# Initial]]*MouserListTable[[#This Row],[Price (USD)]]</f>
        <v>0</v>
      </c>
      <c r="O259" s="81" t="s">
        <v>2073</v>
      </c>
      <c r="P259" s="150">
        <f t="shared" si="3"/>
        <v>246</v>
      </c>
      <c r="Q259" s="78" t="s">
        <v>1884</v>
      </c>
      <c r="R259"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485-1947</v>
      </c>
      <c r="S259" s="133" t="str">
        <f>HYPERLINK("https://www.mouser.com/ProductDetail/" &amp;MouserListTable[[#This Row],[Mouser SKU]])</f>
        <v>https://www.mouser.com/ProductDetail/485-1947</v>
      </c>
      <c r="T259" s="94">
        <v>0</v>
      </c>
      <c r="U259" s="94">
        <v>0</v>
      </c>
      <c r="V259" s="94">
        <v>0</v>
      </c>
      <c r="W259" s="94">
        <f>MouserListTable[[#This Row],['#/Unit]]*FilterSpecs!$C$3+MouserListTable[[#This Row],[Extra]]</f>
        <v>0</v>
      </c>
      <c r="X259" s="94">
        <f>IF(MouserListTable[[#This Row],[Tag]]=FilterSpecs!$F$7,MouserListTable[[#This Row],['#/Unit]]*MouserListTable[[#This Row],[Price (USD)]],0)</f>
        <v>0</v>
      </c>
      <c r="Y259" s="94">
        <f>MouserListTable[[#This Row],[Tot '#]]*MouserListTable[[#This Row],[Price (USD)]]</f>
        <v>0</v>
      </c>
      <c r="Z259"/>
    </row>
    <row r="260" spans="1:26" s="106" customFormat="1" x14ac:dyDescent="0.25">
      <c r="A260" s="78" t="s">
        <v>1058</v>
      </c>
      <c r="B260" s="112" t="s">
        <v>2005</v>
      </c>
      <c r="C260" s="78" t="s">
        <v>1892</v>
      </c>
      <c r="D260" s="81" t="str">
        <f>IF(MouserListTable[[#This Row],[Vendor]]=FilterSpecs!$A$8,MouserListTable[[#This Row],[Mouser SKU]], MouserListTable[[#This Row],[Supplier SKU]])</f>
        <v>474-DEV-11814</v>
      </c>
      <c r="E260" s="94">
        <f>MouserListTable[[#This Row],[Tot '#]]-MouserListTable[[#This Row],['# Initial]]</f>
        <v>1</v>
      </c>
      <c r="F260" s="94">
        <f>IF(AND(MouserListTable[[#This Row],[Tag]]&lt;&gt;FilterSpecs!$F$12, MouserListTable[[#This Row],[Tag]]&lt;&gt;FilterSpecs!$F$9), MouserListTable[[#This Row],['#/Unit]]*FilterSpecs!$B$3+MouserListTable[[#This Row],[Extra Initial]],0)</f>
        <v>0</v>
      </c>
      <c r="G260" s="78" t="s">
        <v>1730</v>
      </c>
      <c r="H260" s="150" t="s">
        <v>1731</v>
      </c>
      <c r="I260" s="78" t="s">
        <v>1732</v>
      </c>
      <c r="J260" s="106">
        <v>1</v>
      </c>
      <c r="K260" s="117">
        <v>24.95</v>
      </c>
      <c r="L260" s="78" t="s">
        <v>1900</v>
      </c>
      <c r="M260" s="81"/>
      <c r="N260" s="154">
        <f>MouserListTable[[#This Row],['# Initial]]*MouserListTable[[#This Row],[Price (USD)]]</f>
        <v>0</v>
      </c>
      <c r="O260" s="81" t="s">
        <v>1729</v>
      </c>
      <c r="P260" s="150">
        <f t="shared" si="3"/>
        <v>247</v>
      </c>
      <c r="Q260" s="78" t="s">
        <v>5</v>
      </c>
      <c r="R260"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474-DEV-11814</v>
      </c>
      <c r="S260" s="133" t="str">
        <f>HYPERLINK("https://www.mouser.com/ProductDetail/" &amp;MouserListTable[[#This Row],[Mouser SKU]])</f>
        <v>https://www.mouser.com/ProductDetail/474-DEV-11814</v>
      </c>
      <c r="T260" s="94">
        <v>0</v>
      </c>
      <c r="U260" s="94">
        <v>1</v>
      </c>
      <c r="V260" s="94">
        <v>0</v>
      </c>
      <c r="W260" s="94">
        <f>MouserListTable[[#This Row],['#/Unit]]*FilterSpecs!$C$3+MouserListTable[[#This Row],[Extra]]</f>
        <v>1</v>
      </c>
      <c r="X260" s="94">
        <f>IF(MouserListTable[[#This Row],[Tag]]=FilterSpecs!$F$7,MouserListTable[[#This Row],['#/Unit]]*MouserListTable[[#This Row],[Price (USD)]],0)</f>
        <v>0</v>
      </c>
      <c r="Y260" s="94">
        <f>MouserListTable[[#This Row],[Tot '#]]*MouserListTable[[#This Row],[Price (USD)]]</f>
        <v>24.95</v>
      </c>
      <c r="Z260"/>
    </row>
    <row r="261" spans="1:26" s="106" customFormat="1" x14ac:dyDescent="0.25">
      <c r="A261" s="78" t="s">
        <v>1058</v>
      </c>
      <c r="B261" s="112" t="s">
        <v>1059</v>
      </c>
      <c r="C261" s="78" t="s">
        <v>1892</v>
      </c>
      <c r="D261" s="81" t="str">
        <f>IF(MouserListTable[[#This Row],[Vendor]]=FilterSpecs!$A$8,MouserListTable[[#This Row],[Mouser SKU]], MouserListTable[[#This Row],[Supplier SKU]])</f>
        <v>474-DEV-14022</v>
      </c>
      <c r="E261" s="94">
        <f>MouserListTable[[#This Row],[Tot '#]]-MouserListTable[[#This Row],['# Initial]]</f>
        <v>1</v>
      </c>
      <c r="F261" s="94">
        <f>IF(AND(MouserListTable[[#This Row],[Tag]]&lt;&gt;FilterSpecs!$F$12, MouserListTable[[#This Row],[Tag]]&lt;&gt;FilterSpecs!$F$9), MouserListTable[[#This Row],['#/Unit]]*FilterSpecs!$B$3+MouserListTable[[#This Row],[Extra Initial]],0)</f>
        <v>0</v>
      </c>
      <c r="G261" s="78" t="s">
        <v>974</v>
      </c>
      <c r="H261" s="150" t="s">
        <v>975</v>
      </c>
      <c r="I261" s="78" t="s">
        <v>976</v>
      </c>
      <c r="J261" s="78"/>
      <c r="K261" s="117">
        <v>209.95</v>
      </c>
      <c r="L261" s="78" t="s">
        <v>1900</v>
      </c>
      <c r="M261" s="78" t="s">
        <v>1051</v>
      </c>
      <c r="N261" s="154">
        <f>MouserListTable[[#This Row],['# Initial]]*MouserListTable[[#This Row],[Price (USD)]]</f>
        <v>0</v>
      </c>
      <c r="O261" s="81" t="s">
        <v>973</v>
      </c>
      <c r="P261" s="150">
        <f t="shared" si="3"/>
        <v>248</v>
      </c>
      <c r="Q261" s="112" t="s">
        <v>5</v>
      </c>
      <c r="R261"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474-DEV-14022</v>
      </c>
      <c r="S261" s="133" t="str">
        <f>HYPERLINK("https://www.mouser.com/ProductDetail/" &amp;MouserListTable[[#This Row],[Mouser SKU]])</f>
        <v>https://www.mouser.com/ProductDetail/474-DEV-14022</v>
      </c>
      <c r="T261" s="94">
        <v>0</v>
      </c>
      <c r="U261" s="94">
        <v>1</v>
      </c>
      <c r="V261" s="94">
        <v>0</v>
      </c>
      <c r="W261" s="94">
        <f>MouserListTable[[#This Row],['#/Unit]]*FilterSpecs!$C$3+MouserListTable[[#This Row],[Extra]]</f>
        <v>1</v>
      </c>
      <c r="X261" s="94">
        <f>IF(MouserListTable[[#This Row],[Tag]]=FilterSpecs!$F$7,MouserListTable[[#This Row],['#/Unit]]*MouserListTable[[#This Row],[Price (USD)]],0)</f>
        <v>0</v>
      </c>
      <c r="Y261" s="94">
        <f>MouserListTable[[#This Row],[Tot '#]]*MouserListTable[[#This Row],[Price (USD)]]</f>
        <v>209.95</v>
      </c>
      <c r="Z261"/>
    </row>
    <row r="262" spans="1:26" s="106" customFormat="1" x14ac:dyDescent="0.25">
      <c r="A262" s="78" t="s">
        <v>1058</v>
      </c>
      <c r="B262" s="112" t="s">
        <v>1424</v>
      </c>
      <c r="C262" s="78" t="s">
        <v>1892</v>
      </c>
      <c r="D262" s="81" t="str">
        <f>IF(MouserListTable[[#This Row],[Vendor]]=FilterSpecs!$A$8,MouserListTable[[#This Row],[Mouser SKU]], MouserListTable[[#This Row],[Supplier SKU]])</f>
        <v>474-COM-13316</v>
      </c>
      <c r="E262" s="94">
        <f>MouserListTable[[#This Row],[Tot '#]]-MouserListTable[[#This Row],['# Initial]]</f>
        <v>1</v>
      </c>
      <c r="F262" s="94">
        <f>IF(AND(MouserListTable[[#This Row],[Tag]]&lt;&gt;FilterSpecs!$F$12, MouserListTable[[#This Row],[Tag]]&lt;&gt;FilterSpecs!$F$9), MouserListTable[[#This Row],['#/Unit]]*FilterSpecs!$B$3+MouserListTable[[#This Row],[Extra Initial]],0)</f>
        <v>0</v>
      </c>
      <c r="G262" s="78" t="s">
        <v>970</v>
      </c>
      <c r="H262" s="150" t="s">
        <v>971</v>
      </c>
      <c r="I262" s="78" t="s">
        <v>972</v>
      </c>
      <c r="J262" s="78">
        <v>1</v>
      </c>
      <c r="K262" s="117">
        <v>49.95</v>
      </c>
      <c r="L262" s="78" t="s">
        <v>1896</v>
      </c>
      <c r="M262" s="78" t="s">
        <v>1050</v>
      </c>
      <c r="N262" s="154">
        <f>MouserListTable[[#This Row],['# Initial]]*MouserListTable[[#This Row],[Price (USD)]]</f>
        <v>0</v>
      </c>
      <c r="O262" s="81" t="s">
        <v>969</v>
      </c>
      <c r="P262" s="150">
        <f t="shared" si="3"/>
        <v>249</v>
      </c>
      <c r="Q262" s="112" t="s">
        <v>5</v>
      </c>
      <c r="R262"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474-COM-13316</v>
      </c>
      <c r="S262" s="133" t="str">
        <f>HYPERLINK("https://www.mouser.com/ProductDetail/" &amp;MouserListTable[[#This Row],[Mouser SKU]])</f>
        <v>https://www.mouser.com/ProductDetail/474-COM-13316</v>
      </c>
      <c r="T262" s="94">
        <v>0</v>
      </c>
      <c r="U262" s="94">
        <v>1</v>
      </c>
      <c r="V262" s="94">
        <v>0</v>
      </c>
      <c r="W262" s="94">
        <f>MouserListTable[[#This Row],['#/Unit]]*FilterSpecs!$C$3+MouserListTable[[#This Row],[Extra]]</f>
        <v>1</v>
      </c>
      <c r="X262" s="94">
        <f>IF(MouserListTable[[#This Row],[Tag]]=FilterSpecs!$F$7,MouserListTable[[#This Row],['#/Unit]]*MouserListTable[[#This Row],[Price (USD)]],0)</f>
        <v>0</v>
      </c>
      <c r="Y262" s="94">
        <f>MouserListTable[[#This Row],[Tot '#]]*MouserListTable[[#This Row],[Price (USD)]]</f>
        <v>49.95</v>
      </c>
      <c r="Z262"/>
    </row>
    <row r="263" spans="1:26" s="106" customFormat="1" x14ac:dyDescent="0.25">
      <c r="A263" s="78" t="s">
        <v>1058</v>
      </c>
      <c r="B263" s="78" t="s">
        <v>2000</v>
      </c>
      <c r="C263" s="78" t="s">
        <v>1892</v>
      </c>
      <c r="D263" s="81" t="str">
        <f>IF(MouserListTable[[#This Row],[Vendor]]=FilterSpecs!$A$8,MouserListTable[[#This Row],[Mouser SKU]], MouserListTable[[#This Row],[Supplier SKU]])</f>
        <v>485-1407</v>
      </c>
      <c r="E263" s="94">
        <f>MouserListTable[[#This Row],[Tot '#]]-MouserListTable[[#This Row],['# Initial]]</f>
        <v>0</v>
      </c>
      <c r="F263" s="94">
        <f>IF(AND(MouserListTable[[#This Row],[Tag]]&lt;&gt;FilterSpecs!$F$12, MouserListTable[[#This Row],[Tag]]&lt;&gt;FilterSpecs!$F$9), MouserListTable[[#This Row],['#/Unit]]*FilterSpecs!$B$3+MouserListTable[[#This Row],[Extra Initial]],0)</f>
        <v>0</v>
      </c>
      <c r="G263" s="78"/>
      <c r="H263" s="150"/>
      <c r="I263" s="97" t="s">
        <v>2323</v>
      </c>
      <c r="K263" s="118">
        <v>9.9499999999999993</v>
      </c>
      <c r="L263" s="97" t="s">
        <v>1896</v>
      </c>
      <c r="N263" s="154">
        <f>MouserListTable[[#This Row],['# Initial]]*MouserListTable[[#This Row],[Price (USD)]]</f>
        <v>0</v>
      </c>
      <c r="O263" s="81" t="s">
        <v>2322</v>
      </c>
      <c r="P263" s="150">
        <f t="shared" si="3"/>
        <v>250</v>
      </c>
      <c r="Q263" s="78" t="s">
        <v>1884</v>
      </c>
      <c r="R263"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485-1407</v>
      </c>
      <c r="S263" s="133" t="str">
        <f>HYPERLINK("https://www.mouser.com/ProductDetail/" &amp;MouserListTable[[#This Row],[Mouser SKU]])</f>
        <v>https://www.mouser.com/ProductDetail/485-1407</v>
      </c>
      <c r="T263" s="94">
        <v>0</v>
      </c>
      <c r="U263" s="94">
        <v>0</v>
      </c>
      <c r="V263" s="94">
        <v>0</v>
      </c>
      <c r="W263" s="94">
        <f>MouserListTable[[#This Row],['#/Unit]]*FilterSpecs!$C$3+MouserListTable[[#This Row],[Extra]]</f>
        <v>0</v>
      </c>
      <c r="X263" s="94">
        <f>IF(MouserListTable[[#This Row],[Tag]]=FilterSpecs!$F$7,MouserListTable[[#This Row],['#/Unit]]*MouserListTable[[#This Row],[Price (USD)]],0)</f>
        <v>0</v>
      </c>
      <c r="Y263" s="94">
        <f>MouserListTable[[#This Row],[Tot '#]]*MouserListTable[[#This Row],[Price (USD)]]</f>
        <v>0</v>
      </c>
      <c r="Z263"/>
    </row>
    <row r="264" spans="1:26" s="106" customFormat="1" x14ac:dyDescent="0.25">
      <c r="A264" s="78" t="s">
        <v>1058</v>
      </c>
      <c r="B264" s="78" t="s">
        <v>2000</v>
      </c>
      <c r="C264" s="78" t="s">
        <v>1892</v>
      </c>
      <c r="D264" s="81" t="str">
        <f>IF(MouserListTable[[#This Row],[Vendor]]=FilterSpecs!$A$8,MouserListTable[[#This Row],[Mouser SKU]], MouserListTable[[#This Row],[Supplier SKU]])</f>
        <v>485-2116</v>
      </c>
      <c r="E264" s="94">
        <f>MouserListTable[[#This Row],[Tot '#]]-MouserListTable[[#This Row],['# Initial]]</f>
        <v>0</v>
      </c>
      <c r="F264" s="94">
        <f>IF(AND(MouserListTable[[#This Row],[Tag]]&lt;&gt;FilterSpecs!$F$12, MouserListTable[[#This Row],[Tag]]&lt;&gt;FilterSpecs!$F$9), MouserListTable[[#This Row],['#/Unit]]*FilterSpecs!$B$3+MouserListTable[[#This Row],[Extra Initial]],0)</f>
        <v>0</v>
      </c>
      <c r="G264" s="78"/>
      <c r="H264" s="150"/>
      <c r="I264" s="97" t="s">
        <v>2325</v>
      </c>
      <c r="K264" s="118">
        <v>24.95</v>
      </c>
      <c r="L264" s="97" t="s">
        <v>1896</v>
      </c>
      <c r="N264" s="154">
        <f>MouserListTable[[#This Row],['# Initial]]*MouserListTable[[#This Row],[Price (USD)]]</f>
        <v>0</v>
      </c>
      <c r="O264" s="81" t="s">
        <v>2324</v>
      </c>
      <c r="P264" s="150">
        <f t="shared" si="3"/>
        <v>251</v>
      </c>
      <c r="Q264" s="78" t="s">
        <v>1884</v>
      </c>
      <c r="R264"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485-2116</v>
      </c>
      <c r="S264" s="133" t="str">
        <f>HYPERLINK("https://www.mouser.com/ProductDetail/" &amp;MouserListTable[[#This Row],[Mouser SKU]])</f>
        <v>https://www.mouser.com/ProductDetail/485-2116</v>
      </c>
      <c r="T264" s="94">
        <v>0</v>
      </c>
      <c r="U264" s="94">
        <v>0</v>
      </c>
      <c r="V264" s="94">
        <v>0</v>
      </c>
      <c r="W264" s="94">
        <f>MouserListTable[[#This Row],['#/Unit]]*FilterSpecs!$C$3+MouserListTable[[#This Row],[Extra]]</f>
        <v>0</v>
      </c>
      <c r="X264" s="94">
        <f>IF(MouserListTable[[#This Row],[Tag]]=FilterSpecs!$F$7,MouserListTable[[#This Row],['#/Unit]]*MouserListTable[[#This Row],[Price (USD)]],0)</f>
        <v>0</v>
      </c>
      <c r="Y264" s="94">
        <f>MouserListTable[[#This Row],[Tot '#]]*MouserListTable[[#This Row],[Price (USD)]]</f>
        <v>0</v>
      </c>
      <c r="Z264"/>
    </row>
    <row r="265" spans="1:26" s="106" customFormat="1" x14ac:dyDescent="0.25">
      <c r="A265" s="78" t="s">
        <v>1058</v>
      </c>
      <c r="B265" s="78" t="s">
        <v>2000</v>
      </c>
      <c r="C265" s="78" t="s">
        <v>1892</v>
      </c>
      <c r="D265" s="81" t="str">
        <f>IF(MouserListTable[[#This Row],[Vendor]]=FilterSpecs!$A$8,MouserListTable[[#This Row],[Mouser SKU]], MouserListTable[[#This Row],[Supplier SKU]])</f>
        <v>485-2162</v>
      </c>
      <c r="E265" s="94">
        <f>MouserListTable[[#This Row],[Tot '#]]-MouserListTable[[#This Row],['# Initial]]</f>
        <v>0</v>
      </c>
      <c r="F265" s="94">
        <f>IF(AND(MouserListTable[[#This Row],[Tag]]&lt;&gt;FilterSpecs!$F$12, MouserListTable[[#This Row],[Tag]]&lt;&gt;FilterSpecs!$F$9), MouserListTable[[#This Row],['#/Unit]]*FilterSpecs!$B$3+MouserListTable[[#This Row],[Extra Initial]],0)</f>
        <v>0</v>
      </c>
      <c r="G265" s="78"/>
      <c r="H265" s="150"/>
      <c r="I265" s="97" t="s">
        <v>2327</v>
      </c>
      <c r="K265" s="118">
        <v>26.95</v>
      </c>
      <c r="L265" s="97" t="s">
        <v>1899</v>
      </c>
      <c r="N265" s="154">
        <f>MouserListTable[[#This Row],['# Initial]]*MouserListTable[[#This Row],[Price (USD)]]</f>
        <v>0</v>
      </c>
      <c r="O265" s="81" t="s">
        <v>2326</v>
      </c>
      <c r="P265" s="150">
        <f t="shared" si="3"/>
        <v>252</v>
      </c>
      <c r="Q265" s="78" t="s">
        <v>1884</v>
      </c>
      <c r="R265"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485-2162</v>
      </c>
      <c r="S265" s="133" t="str">
        <f>HYPERLINK("https://www.mouser.com/ProductDetail/" &amp;MouserListTable[[#This Row],[Mouser SKU]])</f>
        <v>https://www.mouser.com/ProductDetail/485-2162</v>
      </c>
      <c r="T265" s="94">
        <v>0</v>
      </c>
      <c r="U265" s="94">
        <v>0</v>
      </c>
      <c r="V265" s="94">
        <v>0</v>
      </c>
      <c r="W265" s="94">
        <f>MouserListTable[[#This Row],['#/Unit]]*FilterSpecs!$C$3+MouserListTable[[#This Row],[Extra]]</f>
        <v>0</v>
      </c>
      <c r="X265" s="94">
        <f>IF(MouserListTable[[#This Row],[Tag]]=FilterSpecs!$F$7,MouserListTable[[#This Row],['#/Unit]]*MouserListTable[[#This Row],[Price (USD)]],0)</f>
        <v>0</v>
      </c>
      <c r="Y265" s="94">
        <f>MouserListTable[[#This Row],[Tot '#]]*MouserListTable[[#This Row],[Price (USD)]]</f>
        <v>0</v>
      </c>
      <c r="Z265"/>
    </row>
    <row r="266" spans="1:26" s="106" customFormat="1" x14ac:dyDescent="0.25">
      <c r="A266" s="78" t="s">
        <v>1058</v>
      </c>
      <c r="B266" s="78" t="s">
        <v>2000</v>
      </c>
      <c r="C266" s="78" t="s">
        <v>1892</v>
      </c>
      <c r="D266" s="81" t="str">
        <f>IF(MouserListTable[[#This Row],[Vendor]]=FilterSpecs!$A$8,MouserListTable[[#This Row],[Mouser SKU]], MouserListTable[[#This Row],[Supplier SKU]])</f>
        <v>485-1901</v>
      </c>
      <c r="E266" s="94">
        <f>MouserListTable[[#This Row],[Tot '#]]-MouserListTable[[#This Row],['# Initial]]</f>
        <v>0</v>
      </c>
      <c r="F266" s="94">
        <f>IF(AND(MouserListTable[[#This Row],[Tag]]&lt;&gt;FilterSpecs!$F$12, MouserListTable[[#This Row],[Tag]]&lt;&gt;FilterSpecs!$F$9), MouserListTable[[#This Row],['#/Unit]]*FilterSpecs!$B$3+MouserListTable[[#This Row],[Extra Initial]],0)</f>
        <v>0</v>
      </c>
      <c r="G266" s="78"/>
      <c r="H266" s="150"/>
      <c r="I266" s="97" t="s">
        <v>2329</v>
      </c>
      <c r="K266" s="118">
        <v>14.95</v>
      </c>
      <c r="L266" s="97" t="s">
        <v>1896</v>
      </c>
      <c r="N266" s="154">
        <f>MouserListTable[[#This Row],['# Initial]]*MouserListTable[[#This Row],[Price (USD)]]</f>
        <v>0</v>
      </c>
      <c r="O266" s="81" t="s">
        <v>2328</v>
      </c>
      <c r="P266" s="150">
        <f t="shared" si="3"/>
        <v>253</v>
      </c>
      <c r="Q266" s="78" t="s">
        <v>1884</v>
      </c>
      <c r="R266"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485-1901</v>
      </c>
      <c r="S266" s="133" t="str">
        <f>HYPERLINK("https://www.mouser.com/ProductDetail/" &amp;MouserListTable[[#This Row],[Mouser SKU]])</f>
        <v>https://www.mouser.com/ProductDetail/485-1901</v>
      </c>
      <c r="T266" s="94">
        <v>0</v>
      </c>
      <c r="U266" s="94">
        <v>0</v>
      </c>
      <c r="V266" s="94">
        <v>0</v>
      </c>
      <c r="W266" s="94">
        <f>MouserListTable[[#This Row],['#/Unit]]*FilterSpecs!$C$3+MouserListTable[[#This Row],[Extra]]</f>
        <v>0</v>
      </c>
      <c r="X266" s="94">
        <f>IF(MouserListTable[[#This Row],[Tag]]=FilterSpecs!$F$7,MouserListTable[[#This Row],['#/Unit]]*MouserListTable[[#This Row],[Price (USD)]],0)</f>
        <v>0</v>
      </c>
      <c r="Y266" s="94">
        <f>MouserListTable[[#This Row],[Tot '#]]*MouserListTable[[#This Row],[Price (USD)]]</f>
        <v>0</v>
      </c>
      <c r="Z266"/>
    </row>
    <row r="267" spans="1:26" s="106" customFormat="1" x14ac:dyDescent="0.25">
      <c r="A267" s="78" t="s">
        <v>1038</v>
      </c>
      <c r="B267" s="78" t="s">
        <v>1057</v>
      </c>
      <c r="C267" s="78" t="s">
        <v>1892</v>
      </c>
      <c r="D267" s="81" t="str">
        <f>IF(MouserListTable[[#This Row],[Vendor]]=FilterSpecs!$A$8,MouserListTable[[#This Row],[Mouser SKU]], MouserListTable[[#This Row],[Supplier SKU]])</f>
        <v>474-DEV-14135</v>
      </c>
      <c r="E267" s="94">
        <f>MouserListTable[[#This Row],[Tot '#]]-MouserListTable[[#This Row],['# Initial]]</f>
        <v>1</v>
      </c>
      <c r="F267" s="94">
        <f>IF(AND(MouserListTable[[#This Row],[Tag]]&lt;&gt;FilterSpecs!$F$12, MouserListTable[[#This Row],[Tag]]&lt;&gt;FilterSpecs!$F$9), MouserListTable[[#This Row],['#/Unit]]*FilterSpecs!$B$3+MouserListTable[[#This Row],[Extra Initial]],0)</f>
        <v>0</v>
      </c>
      <c r="G267" s="78" t="s">
        <v>353</v>
      </c>
      <c r="H267" s="150" t="s">
        <v>354</v>
      </c>
      <c r="I267" s="78" t="s">
        <v>355</v>
      </c>
      <c r="J267" s="78">
        <v>1</v>
      </c>
      <c r="K267" s="117">
        <v>94.95</v>
      </c>
      <c r="L267" s="78" t="s">
        <v>2461</v>
      </c>
      <c r="M267" s="78" t="s">
        <v>1043</v>
      </c>
      <c r="N267" s="154">
        <f>MouserListTable[[#This Row],['# Initial]]*MouserListTable[[#This Row],[Price (USD)]]</f>
        <v>0</v>
      </c>
      <c r="O267" s="81" t="s">
        <v>352</v>
      </c>
      <c r="P267" s="150">
        <f t="shared" si="3"/>
        <v>254</v>
      </c>
      <c r="Q267" s="78" t="s">
        <v>5</v>
      </c>
      <c r="R267"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474-DEV-14135</v>
      </c>
      <c r="S267" s="133" t="str">
        <f>HYPERLINK("https://www.mouser.com/ProductDetail/" &amp;MouserListTable[[#This Row],[Mouser SKU]])</f>
        <v>https://www.mouser.com/ProductDetail/474-DEV-14135</v>
      </c>
      <c r="T267" s="94">
        <v>0</v>
      </c>
      <c r="U267" s="94">
        <v>1</v>
      </c>
      <c r="V267" s="94">
        <v>0</v>
      </c>
      <c r="W267" s="94">
        <f>MouserListTable[[#This Row],['#/Unit]]*FilterSpecs!$C$3+MouserListTable[[#This Row],[Extra]]</f>
        <v>1</v>
      </c>
      <c r="X267" s="94">
        <f>IF(MouserListTable[[#This Row],[Tag]]=FilterSpecs!$F$7,MouserListTable[[#This Row],['#/Unit]]*MouserListTable[[#This Row],[Price (USD)]],0)</f>
        <v>0</v>
      </c>
      <c r="Y267" s="94">
        <f>MouserListTable[[#This Row],[Tot '#]]*MouserListTable[[#This Row],[Price (USD)]]</f>
        <v>94.95</v>
      </c>
      <c r="Z267"/>
    </row>
    <row r="268" spans="1:26" s="106" customFormat="1" x14ac:dyDescent="0.25">
      <c r="A268" s="78" t="s">
        <v>1038</v>
      </c>
      <c r="B268" s="78" t="s">
        <v>1396</v>
      </c>
      <c r="C268" s="78" t="s">
        <v>1892</v>
      </c>
      <c r="D268" s="81" t="str">
        <f>IF(MouserListTable[[#This Row],[Vendor]]=FilterSpecs!$A$8,MouserListTable[[#This Row],[Mouser SKU]], MouserListTable[[#This Row],[Supplier SKU]])</f>
        <v>474-DEV-14162</v>
      </c>
      <c r="E268" s="94">
        <f>MouserListTable[[#This Row],[Tot '#]]-MouserListTable[[#This Row],['# Initial]]</f>
        <v>1</v>
      </c>
      <c r="F268" s="94">
        <f>IF(AND(MouserListTable[[#This Row],[Tag]]&lt;&gt;FilterSpecs!$F$12, MouserListTable[[#This Row],[Tag]]&lt;&gt;FilterSpecs!$F$9), MouserListTable[[#This Row],['#/Unit]]*FilterSpecs!$B$3+MouserListTable[[#This Row],[Extra Initial]],0)</f>
        <v>0</v>
      </c>
      <c r="G268" s="78" t="s">
        <v>1318</v>
      </c>
      <c r="H268" s="150" t="s">
        <v>1319</v>
      </c>
      <c r="I268" s="78" t="s">
        <v>1320</v>
      </c>
      <c r="J268" s="78">
        <v>1</v>
      </c>
      <c r="K268" s="117">
        <v>69.95</v>
      </c>
      <c r="L268" s="78" t="s">
        <v>1900</v>
      </c>
      <c r="M268" s="78" t="s">
        <v>1337</v>
      </c>
      <c r="N268" s="154">
        <f>MouserListTable[[#This Row],['# Initial]]*MouserListTable[[#This Row],[Price (USD)]]</f>
        <v>0</v>
      </c>
      <c r="O268" s="81" t="s">
        <v>1317</v>
      </c>
      <c r="P268" s="150">
        <f t="shared" si="3"/>
        <v>255</v>
      </c>
      <c r="Q268" s="78" t="s">
        <v>5</v>
      </c>
      <c r="R268"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474-DEV-14162</v>
      </c>
      <c r="S268" s="133" t="str">
        <f>HYPERLINK("https://www.mouser.com/ProductDetail/" &amp;MouserListTable[[#This Row],[Mouser SKU]])</f>
        <v>https://www.mouser.com/ProductDetail/474-DEV-14162</v>
      </c>
      <c r="T268" s="94">
        <v>0</v>
      </c>
      <c r="U268" s="94">
        <v>1</v>
      </c>
      <c r="V268" s="94">
        <v>0</v>
      </c>
      <c r="W268" s="94">
        <f>MouserListTable[[#This Row],['#/Unit]]*FilterSpecs!$C$3+MouserListTable[[#This Row],[Extra]]</f>
        <v>1</v>
      </c>
      <c r="X268" s="94">
        <f>IF(MouserListTable[[#This Row],[Tag]]=FilterSpecs!$F$7,MouserListTable[[#This Row],['#/Unit]]*MouserListTable[[#This Row],[Price (USD)]],0)</f>
        <v>0</v>
      </c>
      <c r="Y268" s="94">
        <f>MouserListTable[[#This Row],[Tot '#]]*MouserListTable[[#This Row],[Price (USD)]]</f>
        <v>69.95</v>
      </c>
      <c r="Z268"/>
    </row>
    <row r="269" spans="1:26" s="106" customFormat="1" x14ac:dyDescent="0.25">
      <c r="A269" s="97" t="s">
        <v>1038</v>
      </c>
      <c r="B269" s="97" t="s">
        <v>1396</v>
      </c>
      <c r="C269" s="78" t="s">
        <v>1892</v>
      </c>
      <c r="D269" s="81" t="str">
        <f>IF(MouserListTable[[#This Row],[Vendor]]=FilterSpecs!$A$8,MouserListTable[[#This Row],[Mouser SKU]], MouserListTable[[#This Row],[Supplier SKU]])</f>
        <v>474-DEV-12774</v>
      </c>
      <c r="E269" s="94">
        <f>MouserListTable[[#This Row],[Tot '#]]-MouserListTable[[#This Row],['# Initial]]</f>
        <v>0</v>
      </c>
      <c r="F269" s="94">
        <f>IF(AND(MouserListTable[[#This Row],[Tag]]&lt;&gt;FilterSpecs!$F$12, MouserListTable[[#This Row],[Tag]]&lt;&gt;FilterSpecs!$F$9), MouserListTable[[#This Row],['#/Unit]]*FilterSpecs!$B$3+MouserListTable[[#This Row],[Extra Initial]],0)</f>
        <v>0</v>
      </c>
      <c r="G269" s="78" t="s">
        <v>1306</v>
      </c>
      <c r="H269" s="150" t="s">
        <v>1307</v>
      </c>
      <c r="I269" s="78" t="s">
        <v>1308</v>
      </c>
      <c r="J269" s="78"/>
      <c r="K269" s="117">
        <v>9.9499999999999993</v>
      </c>
      <c r="L269" s="78" t="s">
        <v>1900</v>
      </c>
      <c r="M269" s="78" t="s">
        <v>1337</v>
      </c>
      <c r="N269" s="154">
        <f>MouserListTable[[#This Row],['# Initial]]*MouserListTable[[#This Row],[Price (USD)]]</f>
        <v>0</v>
      </c>
      <c r="O269" s="81" t="s">
        <v>1305</v>
      </c>
      <c r="P269" s="150">
        <f t="shared" si="3"/>
        <v>256</v>
      </c>
      <c r="Q269" s="78" t="s">
        <v>5</v>
      </c>
      <c r="R269"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474-DEV-12774</v>
      </c>
      <c r="S269" s="133" t="str">
        <f>HYPERLINK("https://www.mouser.com/ProductDetail/" &amp;MouserListTable[[#This Row],[Mouser SKU]])</f>
        <v>https://www.mouser.com/ProductDetail/474-DEV-12774</v>
      </c>
      <c r="T269" s="94">
        <v>0</v>
      </c>
      <c r="U269" s="94">
        <v>0</v>
      </c>
      <c r="V269" s="94">
        <v>0</v>
      </c>
      <c r="W269" s="94">
        <f>MouserListTable[[#This Row],['#/Unit]]*FilterSpecs!$C$3+MouserListTable[[#This Row],[Extra]]</f>
        <v>0</v>
      </c>
      <c r="X269" s="94">
        <f>IF(MouserListTable[[#This Row],[Tag]]=FilterSpecs!$F$7,MouserListTable[[#This Row],['#/Unit]]*MouserListTable[[#This Row],[Price (USD)]],0)</f>
        <v>0</v>
      </c>
      <c r="Y269" s="94">
        <f>MouserListTable[[#This Row],[Tot '#]]*MouserListTable[[#This Row],[Price (USD)]]</f>
        <v>0</v>
      </c>
      <c r="Z269"/>
    </row>
    <row r="270" spans="1:26" s="106" customFormat="1" x14ac:dyDescent="0.25">
      <c r="A270" s="97" t="s">
        <v>1038</v>
      </c>
      <c r="B270" s="97" t="s">
        <v>1396</v>
      </c>
      <c r="C270" s="78" t="s">
        <v>1892</v>
      </c>
      <c r="D270" s="81" t="str">
        <f>IF(MouserListTable[[#This Row],[Vendor]]=FilterSpecs!$A$8,MouserListTable[[#This Row],[Mouser SKU]], MouserListTable[[#This Row],[Supplier SKU]])</f>
        <v>474-DEV-12086</v>
      </c>
      <c r="E270" s="94">
        <f>MouserListTable[[#This Row],[Tot '#]]-MouserListTable[[#This Row],['# Initial]]</f>
        <v>0</v>
      </c>
      <c r="F270" s="94">
        <f>IF(AND(MouserListTable[[#This Row],[Tag]]&lt;&gt;FilterSpecs!$F$12, MouserListTable[[#This Row],[Tag]]&lt;&gt;FilterSpecs!$F$9), MouserListTable[[#This Row],['#/Unit]]*FilterSpecs!$B$3+MouserListTable[[#This Row],[Extra Initial]],0)</f>
        <v>0</v>
      </c>
      <c r="G270" s="78" t="s">
        <v>1310</v>
      </c>
      <c r="H270" s="150" t="s">
        <v>1311</v>
      </c>
      <c r="I270" s="78" t="s">
        <v>1312</v>
      </c>
      <c r="J270" s="78">
        <v>1</v>
      </c>
      <c r="K270" s="117">
        <v>99.95</v>
      </c>
      <c r="L270" s="78" t="s">
        <v>1900</v>
      </c>
      <c r="M270" s="78" t="s">
        <v>1337</v>
      </c>
      <c r="N270" s="154">
        <f>MouserListTable[[#This Row],['# Initial]]*MouserListTable[[#This Row],[Price (USD)]]</f>
        <v>0</v>
      </c>
      <c r="O270" s="81" t="s">
        <v>1309</v>
      </c>
      <c r="P270" s="150">
        <f t="shared" si="3"/>
        <v>257</v>
      </c>
      <c r="Q270" s="78" t="s">
        <v>5</v>
      </c>
      <c r="R270"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474-DEV-12086</v>
      </c>
      <c r="S270" s="133" t="str">
        <f>HYPERLINK("https://www.mouser.com/ProductDetail/" &amp;MouserListTable[[#This Row],[Mouser SKU]])</f>
        <v>https://www.mouser.com/ProductDetail/474-DEV-12086</v>
      </c>
      <c r="T270" s="94">
        <v>0</v>
      </c>
      <c r="U270" s="94">
        <v>0</v>
      </c>
      <c r="V270" s="94">
        <v>0</v>
      </c>
      <c r="W270" s="94">
        <f>MouserListTable[[#This Row],['#/Unit]]*FilterSpecs!$C$3+MouserListTable[[#This Row],[Extra]]</f>
        <v>0</v>
      </c>
      <c r="X270" s="94">
        <f>IF(MouserListTable[[#This Row],[Tag]]=FilterSpecs!$F$7,MouserListTable[[#This Row],['#/Unit]]*MouserListTable[[#This Row],[Price (USD)]],0)</f>
        <v>0</v>
      </c>
      <c r="Y270" s="94">
        <f>MouserListTable[[#This Row],[Tot '#]]*MouserListTable[[#This Row],[Price (USD)]]</f>
        <v>0</v>
      </c>
      <c r="Z270"/>
    </row>
    <row r="271" spans="1:26" s="106" customFormat="1" x14ac:dyDescent="0.25">
      <c r="A271" s="97" t="s">
        <v>1038</v>
      </c>
      <c r="B271" s="97" t="s">
        <v>1396</v>
      </c>
      <c r="C271" s="78" t="s">
        <v>1892</v>
      </c>
      <c r="D271" s="81" t="str">
        <f>IF(MouserListTable[[#This Row],[Vendor]]=FilterSpecs!$A$8,MouserListTable[[#This Row],[Mouser SKU]], MouserListTable[[#This Row],[Supplier SKU]])</f>
        <v>474-DEV-12085</v>
      </c>
      <c r="E271" s="94">
        <f>MouserListTable[[#This Row],[Tot '#]]-MouserListTable[[#This Row],['# Initial]]</f>
        <v>0</v>
      </c>
      <c r="F271" s="94">
        <f>IF(AND(MouserListTable[[#This Row],[Tag]]&lt;&gt;FilterSpecs!$F$12, MouserListTable[[#This Row],[Tag]]&lt;&gt;FilterSpecs!$F$9), MouserListTable[[#This Row],['#/Unit]]*FilterSpecs!$B$3+MouserListTable[[#This Row],[Extra Initial]],0)</f>
        <v>0</v>
      </c>
      <c r="G271" s="78" t="s">
        <v>1314</v>
      </c>
      <c r="H271" s="150" t="s">
        <v>1315</v>
      </c>
      <c r="I271" s="78" t="s">
        <v>1316</v>
      </c>
      <c r="J271" s="78">
        <v>1</v>
      </c>
      <c r="K271" s="117">
        <v>65.95</v>
      </c>
      <c r="L271" s="78" t="s">
        <v>1900</v>
      </c>
      <c r="M271" s="78" t="s">
        <v>1337</v>
      </c>
      <c r="N271" s="154">
        <f>MouserListTable[[#This Row],['# Initial]]*MouserListTable[[#This Row],[Price (USD)]]</f>
        <v>0</v>
      </c>
      <c r="O271" s="81" t="s">
        <v>1313</v>
      </c>
      <c r="P271" s="150">
        <f t="shared" si="3"/>
        <v>258</v>
      </c>
      <c r="Q271" s="78" t="s">
        <v>5</v>
      </c>
      <c r="R271"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474-DEV-12085</v>
      </c>
      <c r="S271" s="133" t="str">
        <f>HYPERLINK("https://www.mouser.com/ProductDetail/" &amp;MouserListTable[[#This Row],[Mouser SKU]])</f>
        <v>https://www.mouser.com/ProductDetail/474-DEV-12085</v>
      </c>
      <c r="T271" s="94">
        <v>0</v>
      </c>
      <c r="U271" s="94">
        <v>0</v>
      </c>
      <c r="V271" s="94">
        <v>0</v>
      </c>
      <c r="W271" s="94">
        <f>MouserListTable[[#This Row],['#/Unit]]*FilterSpecs!$C$3+MouserListTable[[#This Row],[Extra]]</f>
        <v>0</v>
      </c>
      <c r="X271" s="94">
        <f>IF(MouserListTable[[#This Row],[Tag]]=FilterSpecs!$F$7,MouserListTable[[#This Row],['#/Unit]]*MouserListTable[[#This Row],[Price (USD)]],0)</f>
        <v>0</v>
      </c>
      <c r="Y271" s="94">
        <f>MouserListTable[[#This Row],[Tot '#]]*MouserListTable[[#This Row],[Price (USD)]]</f>
        <v>0</v>
      </c>
      <c r="Z271"/>
    </row>
    <row r="272" spans="1:26" s="106" customFormat="1" x14ac:dyDescent="0.25">
      <c r="A272" s="97" t="s">
        <v>1038</v>
      </c>
      <c r="B272" s="97" t="s">
        <v>1396</v>
      </c>
      <c r="C272" s="78" t="s">
        <v>1892</v>
      </c>
      <c r="D272" s="81" t="str">
        <f>IF(MouserListTable[[#This Row],[Vendor]]=FilterSpecs!$A$8,MouserListTable[[#This Row],[Mouser SKU]], MouserListTable[[#This Row],[Supplier SKU]])</f>
        <v>474-PRT-12842</v>
      </c>
      <c r="E272" s="94">
        <f>MouserListTable[[#This Row],[Tot '#]]-MouserListTable[[#This Row],['# Initial]]</f>
        <v>0</v>
      </c>
      <c r="F272" s="94">
        <f>IF(AND(MouserListTable[[#This Row],[Tag]]&lt;&gt;FilterSpecs!$F$12, MouserListTable[[#This Row],[Tag]]&lt;&gt;FilterSpecs!$F$9), MouserListTable[[#This Row],['#/Unit]]*FilterSpecs!$B$3+MouserListTable[[#This Row],[Extra Initial]],0)</f>
        <v>0</v>
      </c>
      <c r="G272" s="78" t="s">
        <v>1302</v>
      </c>
      <c r="H272" s="150" t="s">
        <v>1303</v>
      </c>
      <c r="I272" s="78" t="s">
        <v>1304</v>
      </c>
      <c r="J272" s="78"/>
      <c r="K272" s="117">
        <v>7.95</v>
      </c>
      <c r="L272" s="78" t="s">
        <v>1900</v>
      </c>
      <c r="M272" s="78" t="s">
        <v>1337</v>
      </c>
      <c r="N272" s="154">
        <f>MouserListTable[[#This Row],['# Initial]]*MouserListTable[[#This Row],[Price (USD)]]</f>
        <v>0</v>
      </c>
      <c r="O272" s="81" t="s">
        <v>1301</v>
      </c>
      <c r="P272" s="150">
        <f t="shared" si="3"/>
        <v>259</v>
      </c>
      <c r="Q272" s="78" t="s">
        <v>5</v>
      </c>
      <c r="R272"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474-PRT-12842</v>
      </c>
      <c r="S272" s="133" t="str">
        <f>HYPERLINK("https://www.mouser.com/ProductDetail/" &amp;MouserListTable[[#This Row],[Mouser SKU]])</f>
        <v>https://www.mouser.com/ProductDetail/474-PRT-12842</v>
      </c>
      <c r="T272" s="94">
        <v>0</v>
      </c>
      <c r="U272" s="94">
        <v>0</v>
      </c>
      <c r="V272" s="94">
        <v>0</v>
      </c>
      <c r="W272" s="94">
        <f>MouserListTable[[#This Row],['#/Unit]]*FilterSpecs!$C$3+MouserListTable[[#This Row],[Extra]]</f>
        <v>0</v>
      </c>
      <c r="X272" s="94">
        <f>IF(MouserListTable[[#This Row],[Tag]]=FilterSpecs!$F$7,MouserListTable[[#This Row],['#/Unit]]*MouserListTable[[#This Row],[Price (USD)]],0)</f>
        <v>0</v>
      </c>
      <c r="Y272" s="94">
        <f>MouserListTable[[#This Row],[Tot '#]]*MouserListTable[[#This Row],[Price (USD)]]</f>
        <v>0</v>
      </c>
      <c r="Z272"/>
    </row>
    <row r="273" spans="1:26" s="106" customFormat="1" x14ac:dyDescent="0.25">
      <c r="A273" s="78" t="s">
        <v>1038</v>
      </c>
      <c r="B273" s="78" t="s">
        <v>1396</v>
      </c>
      <c r="C273" s="78" t="s">
        <v>1892</v>
      </c>
      <c r="D273" s="81" t="str">
        <f>IF(MouserListTable[[#This Row],[Vendor]]=FilterSpecs!$A$8,MouserListTable[[#This Row],[Mouser SKU]], MouserListTable[[#This Row],[Supplier SKU]])</f>
        <v>485-3396</v>
      </c>
      <c r="E273" s="94">
        <f>MouserListTable[[#This Row],[Tot '#]]-MouserListTable[[#This Row],['# Initial]]</f>
        <v>1</v>
      </c>
      <c r="F273" s="94">
        <f>IF(AND(MouserListTable[[#This Row],[Tag]]&lt;&gt;FilterSpecs!$F$12, MouserListTable[[#This Row],[Tag]]&lt;&gt;FilterSpecs!$F$9), MouserListTable[[#This Row],['#/Unit]]*FilterSpecs!$B$3+MouserListTable[[#This Row],[Extra Initial]],0)</f>
        <v>0</v>
      </c>
      <c r="G273" s="78"/>
      <c r="H273" s="150"/>
      <c r="I273" s="78" t="s">
        <v>2351</v>
      </c>
      <c r="K273" s="117">
        <v>49.95</v>
      </c>
      <c r="L273" s="78" t="s">
        <v>1900</v>
      </c>
      <c r="M273" s="81"/>
      <c r="N273" s="154">
        <f>MouserListTable[[#This Row],['# Initial]]*MouserListTable[[#This Row],[Price (USD)]]</f>
        <v>0</v>
      </c>
      <c r="O273" s="81" t="s">
        <v>2350</v>
      </c>
      <c r="P273" s="150">
        <f t="shared" si="3"/>
        <v>260</v>
      </c>
      <c r="Q273" s="78" t="s">
        <v>1884</v>
      </c>
      <c r="R273"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485-3396</v>
      </c>
      <c r="S273" s="133" t="str">
        <f>HYPERLINK("https://www.mouser.com/ProductDetail/" &amp;MouserListTable[[#This Row],[Mouser SKU]])</f>
        <v>https://www.mouser.com/ProductDetail/485-3396</v>
      </c>
      <c r="T273" s="94">
        <v>0</v>
      </c>
      <c r="U273" s="94">
        <v>1</v>
      </c>
      <c r="V273" s="94">
        <v>0</v>
      </c>
      <c r="W273" s="94">
        <f>MouserListTable[[#This Row],['#/Unit]]*FilterSpecs!$C$3+MouserListTable[[#This Row],[Extra]]</f>
        <v>1</v>
      </c>
      <c r="X273" s="94">
        <f>IF(MouserListTable[[#This Row],[Tag]]=FilterSpecs!$F$7,MouserListTable[[#This Row],['#/Unit]]*MouserListTable[[#This Row],[Price (USD)]],0)</f>
        <v>0</v>
      </c>
      <c r="Y273" s="94">
        <f>MouserListTable[[#This Row],[Tot '#]]*MouserListTable[[#This Row],[Price (USD)]]</f>
        <v>49.95</v>
      </c>
      <c r="Z273"/>
    </row>
    <row r="274" spans="1:26" s="106" customFormat="1" x14ac:dyDescent="0.25">
      <c r="A274" s="78" t="s">
        <v>1038</v>
      </c>
      <c r="B274" s="78" t="s">
        <v>1396</v>
      </c>
      <c r="C274" s="78" t="s">
        <v>1892</v>
      </c>
      <c r="D274" s="81" t="str">
        <f>IF(MouserListTable[[#This Row],[Vendor]]=FilterSpecs!$A$8,MouserListTable[[#This Row],[Mouser SKU]], MouserListTable[[#This Row],[Supplier SKU]])</f>
        <v>485-1555</v>
      </c>
      <c r="E274" s="94">
        <f>MouserListTable[[#This Row],[Tot '#]]-MouserListTable[[#This Row],['# Initial]]</f>
        <v>0</v>
      </c>
      <c r="F274" s="94">
        <f>IF(AND(MouserListTable[[#This Row],[Tag]]&lt;&gt;FilterSpecs!$F$12, MouserListTable[[#This Row],[Tag]]&lt;&gt;FilterSpecs!$F$9), MouserListTable[[#This Row],['#/Unit]]*FilterSpecs!$B$3+MouserListTable[[#This Row],[Extra Initial]],0)</f>
        <v>0</v>
      </c>
      <c r="G274" s="78"/>
      <c r="H274" s="150"/>
      <c r="I274" s="97" t="s">
        <v>2353</v>
      </c>
      <c r="K274" s="118">
        <v>9.9499999999999993</v>
      </c>
      <c r="L274" s="97" t="s">
        <v>1900</v>
      </c>
      <c r="N274" s="154">
        <f>MouserListTable[[#This Row],['# Initial]]*MouserListTable[[#This Row],[Price (USD)]]</f>
        <v>0</v>
      </c>
      <c r="O274" s="81" t="s">
        <v>2352</v>
      </c>
      <c r="P274" s="150">
        <f t="shared" si="3"/>
        <v>261</v>
      </c>
      <c r="Q274" s="78" t="s">
        <v>1884</v>
      </c>
      <c r="R274"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485-1555</v>
      </c>
      <c r="S274" s="133" t="str">
        <f>HYPERLINK("https://www.mouser.com/ProductDetail/" &amp;MouserListTable[[#This Row],[Mouser SKU]])</f>
        <v>https://www.mouser.com/ProductDetail/485-1555</v>
      </c>
      <c r="T274" s="94">
        <v>0</v>
      </c>
      <c r="U274" s="94">
        <v>0</v>
      </c>
      <c r="V274" s="94">
        <v>0</v>
      </c>
      <c r="W274" s="94">
        <f>MouserListTable[[#This Row],['#/Unit]]*FilterSpecs!$C$3+MouserListTable[[#This Row],[Extra]]</f>
        <v>0</v>
      </c>
      <c r="X274" s="94">
        <f>IF(MouserListTable[[#This Row],[Tag]]=FilterSpecs!$F$7,MouserListTable[[#This Row],['#/Unit]]*MouserListTable[[#This Row],[Price (USD)]],0)</f>
        <v>0</v>
      </c>
      <c r="Y274" s="94">
        <f>MouserListTable[[#This Row],[Tot '#]]*MouserListTable[[#This Row],[Price (USD)]]</f>
        <v>0</v>
      </c>
      <c r="Z274"/>
    </row>
    <row r="275" spans="1:26" s="106" customFormat="1" x14ac:dyDescent="0.25">
      <c r="A275" s="78" t="s">
        <v>1038</v>
      </c>
      <c r="B275" s="78" t="s">
        <v>1396</v>
      </c>
      <c r="C275" s="78" t="s">
        <v>1892</v>
      </c>
      <c r="D275" s="81" t="str">
        <f>IF(MouserListTable[[#This Row],[Vendor]]=FilterSpecs!$A$8,MouserListTable[[#This Row],[Mouser SKU]], MouserListTable[[#This Row],[Supplier SKU]])</f>
        <v>485-699</v>
      </c>
      <c r="E275" s="94">
        <f>MouserListTable[[#This Row],[Tot '#]]-MouserListTable[[#This Row],['# Initial]]</f>
        <v>0</v>
      </c>
      <c r="F275" s="94">
        <f>IF(AND(MouserListTable[[#This Row],[Tag]]&lt;&gt;FilterSpecs!$F$12, MouserListTable[[#This Row],[Tag]]&lt;&gt;FilterSpecs!$F$9), MouserListTable[[#This Row],['#/Unit]]*FilterSpecs!$B$3+MouserListTable[[#This Row],[Extra Initial]],0)</f>
        <v>0</v>
      </c>
      <c r="G275" s="78"/>
      <c r="H275" s="150"/>
      <c r="I275" s="97" t="s">
        <v>2355</v>
      </c>
      <c r="K275" s="118">
        <v>19.95</v>
      </c>
      <c r="L275" s="97" t="s">
        <v>1900</v>
      </c>
      <c r="N275" s="154">
        <f>MouserListTable[[#This Row],['# Initial]]*MouserListTable[[#This Row],[Price (USD)]]</f>
        <v>0</v>
      </c>
      <c r="O275" s="81" t="s">
        <v>2354</v>
      </c>
      <c r="P275" s="150">
        <f t="shared" si="3"/>
        <v>262</v>
      </c>
      <c r="Q275" s="78" t="s">
        <v>1884</v>
      </c>
      <c r="R275"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485-699</v>
      </c>
      <c r="S275" s="133" t="str">
        <f>HYPERLINK("https://www.mouser.com/ProductDetail/" &amp;MouserListTable[[#This Row],[Mouser SKU]])</f>
        <v>https://www.mouser.com/ProductDetail/485-699</v>
      </c>
      <c r="T275" s="94">
        <v>0</v>
      </c>
      <c r="U275" s="94">
        <v>0</v>
      </c>
      <c r="V275" s="94">
        <v>0</v>
      </c>
      <c r="W275" s="94">
        <f>MouserListTable[[#This Row],['#/Unit]]*FilterSpecs!$C$3+MouserListTable[[#This Row],[Extra]]</f>
        <v>0</v>
      </c>
      <c r="X275" s="94">
        <f>IF(MouserListTable[[#This Row],[Tag]]=FilterSpecs!$F$7,MouserListTable[[#This Row],['#/Unit]]*MouserListTable[[#This Row],[Price (USD)]],0)</f>
        <v>0</v>
      </c>
      <c r="Y275" s="94">
        <f>MouserListTable[[#This Row],[Tot '#]]*MouserListTable[[#This Row],[Price (USD)]]</f>
        <v>0</v>
      </c>
      <c r="Z275"/>
    </row>
    <row r="276" spans="1:26" s="106" customFormat="1" x14ac:dyDescent="0.25">
      <c r="A276" s="78" t="s">
        <v>1038</v>
      </c>
      <c r="B276" s="78" t="s">
        <v>1396</v>
      </c>
      <c r="C276" s="78" t="s">
        <v>1892</v>
      </c>
      <c r="D276" s="81" t="str">
        <f>IF(MouserListTable[[#This Row],[Vendor]]=FilterSpecs!$A$8,MouserListTable[[#This Row],[Mouser SKU]], MouserListTable[[#This Row],[Supplier SKU]])</f>
        <v>485-572</v>
      </c>
      <c r="E276" s="94">
        <f>MouserListTable[[#This Row],[Tot '#]]-MouserListTable[[#This Row],['# Initial]]</f>
        <v>1</v>
      </c>
      <c r="F276" s="94">
        <f>IF(AND(MouserListTable[[#This Row],[Tag]]&lt;&gt;FilterSpecs!$F$12, MouserListTable[[#This Row],[Tag]]&lt;&gt;FilterSpecs!$F$9), MouserListTable[[#This Row],['#/Unit]]*FilterSpecs!$B$3+MouserListTable[[#This Row],[Extra Initial]],0)</f>
        <v>0</v>
      </c>
      <c r="G276" s="78"/>
      <c r="H276" s="150"/>
      <c r="I276" s="78" t="s">
        <v>2357</v>
      </c>
      <c r="K276" s="117">
        <v>9.9499999999999993</v>
      </c>
      <c r="L276" s="78" t="s">
        <v>1900</v>
      </c>
      <c r="M276" s="81"/>
      <c r="N276" s="154">
        <f>MouserListTable[[#This Row],['# Initial]]*MouserListTable[[#This Row],[Price (USD)]]</f>
        <v>0</v>
      </c>
      <c r="O276" s="81" t="s">
        <v>2356</v>
      </c>
      <c r="P276" s="150">
        <f t="shared" si="3"/>
        <v>263</v>
      </c>
      <c r="Q276" s="78" t="s">
        <v>1884</v>
      </c>
      <c r="R276"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485-572</v>
      </c>
      <c r="S276" s="133" t="str">
        <f>HYPERLINK("https://www.mouser.com/ProductDetail/" &amp;MouserListTable[[#This Row],[Mouser SKU]])</f>
        <v>https://www.mouser.com/ProductDetail/485-572</v>
      </c>
      <c r="T276" s="94">
        <v>0</v>
      </c>
      <c r="U276" s="94">
        <v>1</v>
      </c>
      <c r="V276" s="94">
        <v>0</v>
      </c>
      <c r="W276" s="94">
        <f>MouserListTable[[#This Row],['#/Unit]]*FilterSpecs!$C$3+MouserListTable[[#This Row],[Extra]]</f>
        <v>1</v>
      </c>
      <c r="X276" s="94">
        <f>IF(MouserListTable[[#This Row],[Tag]]=FilterSpecs!$F$7,MouserListTable[[#This Row],['#/Unit]]*MouserListTable[[#This Row],[Price (USD)]],0)</f>
        <v>0</v>
      </c>
      <c r="Y276" s="94">
        <f>MouserListTable[[#This Row],[Tot '#]]*MouserListTable[[#This Row],[Price (USD)]]</f>
        <v>9.9499999999999993</v>
      </c>
      <c r="Z276"/>
    </row>
    <row r="277" spans="1:26" s="106" customFormat="1" x14ac:dyDescent="0.25">
      <c r="A277" s="78" t="s">
        <v>1038</v>
      </c>
      <c r="B277" s="78" t="s">
        <v>1396</v>
      </c>
      <c r="C277" s="78" t="s">
        <v>1892</v>
      </c>
      <c r="D277" s="81" t="str">
        <f>IF(MouserListTable[[#This Row],[Vendor]]=FilterSpecs!$A$8,MouserListTable[[#This Row],[Mouser SKU]], MouserListTable[[#This Row],[Supplier SKU]])</f>
        <v>485-702</v>
      </c>
      <c r="E277" s="94">
        <f>MouserListTable[[#This Row],[Tot '#]]-MouserListTable[[#This Row],['# Initial]]</f>
        <v>0</v>
      </c>
      <c r="F277" s="94">
        <f>IF(AND(MouserListTable[[#This Row],[Tag]]&lt;&gt;FilterSpecs!$F$12, MouserListTable[[#This Row],[Tag]]&lt;&gt;FilterSpecs!$F$9), MouserListTable[[#This Row],['#/Unit]]*FilterSpecs!$B$3+MouserListTable[[#This Row],[Extra Initial]],0)</f>
        <v>0</v>
      </c>
      <c r="G277" s="78"/>
      <c r="H277" s="150"/>
      <c r="I277" s="97" t="s">
        <v>2359</v>
      </c>
      <c r="K277" s="118">
        <v>7.95</v>
      </c>
      <c r="L277" s="97" t="s">
        <v>1900</v>
      </c>
      <c r="N277" s="154">
        <f>MouserListTable[[#This Row],['# Initial]]*MouserListTable[[#This Row],[Price (USD)]]</f>
        <v>0</v>
      </c>
      <c r="O277" s="81" t="s">
        <v>2358</v>
      </c>
      <c r="P277" s="150">
        <f t="shared" si="3"/>
        <v>264</v>
      </c>
      <c r="Q277" s="78" t="s">
        <v>1884</v>
      </c>
      <c r="R277"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485-702</v>
      </c>
      <c r="S277" s="133" t="str">
        <f>HYPERLINK("https://www.mouser.com/ProductDetail/" &amp;MouserListTable[[#This Row],[Mouser SKU]])</f>
        <v>https://www.mouser.com/ProductDetail/485-702</v>
      </c>
      <c r="T277" s="94">
        <v>0</v>
      </c>
      <c r="U277" s="94">
        <v>0</v>
      </c>
      <c r="V277" s="94">
        <v>0</v>
      </c>
      <c r="W277" s="94">
        <f>MouserListTable[[#This Row],['#/Unit]]*FilterSpecs!$C$3+MouserListTable[[#This Row],[Extra]]</f>
        <v>0</v>
      </c>
      <c r="X277" s="94">
        <f>IF(MouserListTable[[#This Row],[Tag]]=FilterSpecs!$F$7,MouserListTable[[#This Row],['#/Unit]]*MouserListTable[[#This Row],[Price (USD)]],0)</f>
        <v>0</v>
      </c>
      <c r="Y277" s="94">
        <f>MouserListTable[[#This Row],[Tot '#]]*MouserListTable[[#This Row],[Price (USD)]]</f>
        <v>0</v>
      </c>
      <c r="Z277"/>
    </row>
    <row r="278" spans="1:26" s="106" customFormat="1" x14ac:dyDescent="0.25">
      <c r="A278" s="78" t="s">
        <v>1038</v>
      </c>
      <c r="B278" s="78" t="s">
        <v>1396</v>
      </c>
      <c r="C278" s="78" t="s">
        <v>1892</v>
      </c>
      <c r="D278" s="81" t="str">
        <f>IF(MouserListTable[[#This Row],[Vendor]]=FilterSpecs!$A$8,MouserListTable[[#This Row],[Mouser SKU]], MouserListTable[[#This Row],[Supplier SKU]])</f>
        <v>485-2627</v>
      </c>
      <c r="E278" s="94">
        <f>MouserListTable[[#This Row],[Tot '#]]-MouserListTable[[#This Row],['# Initial]]</f>
        <v>1</v>
      </c>
      <c r="F278" s="94">
        <f>IF(AND(MouserListTable[[#This Row],[Tag]]&lt;&gt;FilterSpecs!$F$12, MouserListTable[[#This Row],[Tag]]&lt;&gt;FilterSpecs!$F$9), MouserListTable[[#This Row],['#/Unit]]*FilterSpecs!$B$3+MouserListTable[[#This Row],[Extra Initial]],0)</f>
        <v>0</v>
      </c>
      <c r="G278" s="78"/>
      <c r="H278" s="150"/>
      <c r="I278" s="78" t="s">
        <v>2361</v>
      </c>
      <c r="K278" s="117">
        <v>39.950000000000003</v>
      </c>
      <c r="L278" s="78" t="s">
        <v>1900</v>
      </c>
      <c r="M278" s="81"/>
      <c r="N278" s="154">
        <f>MouserListTable[[#This Row],['# Initial]]*MouserListTable[[#This Row],[Price (USD)]]</f>
        <v>0</v>
      </c>
      <c r="O278" s="81" t="s">
        <v>2360</v>
      </c>
      <c r="P278" s="150">
        <f t="shared" si="3"/>
        <v>265</v>
      </c>
      <c r="Q278" s="78" t="s">
        <v>1884</v>
      </c>
      <c r="R278"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485-2627</v>
      </c>
      <c r="S278" s="133" t="str">
        <f>HYPERLINK("https://www.mouser.com/ProductDetail/" &amp;MouserListTable[[#This Row],[Mouser SKU]])</f>
        <v>https://www.mouser.com/ProductDetail/485-2627</v>
      </c>
      <c r="T278" s="94">
        <v>0</v>
      </c>
      <c r="U278" s="94">
        <v>1</v>
      </c>
      <c r="V278" s="94">
        <v>0</v>
      </c>
      <c r="W278" s="94">
        <f>MouserListTable[[#This Row],['#/Unit]]*FilterSpecs!$C$3+MouserListTable[[#This Row],[Extra]]</f>
        <v>1</v>
      </c>
      <c r="X278" s="94">
        <f>IF(MouserListTable[[#This Row],[Tag]]=FilterSpecs!$F$7,MouserListTable[[#This Row],['#/Unit]]*MouserListTable[[#This Row],[Price (USD)]],0)</f>
        <v>0</v>
      </c>
      <c r="Y278" s="94">
        <f>MouserListTable[[#This Row],[Tot '#]]*MouserListTable[[#This Row],[Price (USD)]]</f>
        <v>39.950000000000003</v>
      </c>
      <c r="Z278"/>
    </row>
    <row r="279" spans="1:26" s="106" customFormat="1" x14ac:dyDescent="0.25">
      <c r="A279" s="78" t="s">
        <v>1038</v>
      </c>
      <c r="B279" s="78" t="s">
        <v>1396</v>
      </c>
      <c r="C279" s="78" t="s">
        <v>1892</v>
      </c>
      <c r="D279" s="81" t="str">
        <f>IF(MouserListTable[[#This Row],[Vendor]]=FilterSpecs!$A$8,MouserListTable[[#This Row],[Mouser SKU]], MouserListTable[[#This Row],[Supplier SKU]])</f>
        <v>485-2628</v>
      </c>
      <c r="E279" s="94">
        <f>MouserListTable[[#This Row],[Tot '#]]-MouserListTable[[#This Row],['# Initial]]</f>
        <v>0</v>
      </c>
      <c r="F279" s="94">
        <f>IF(AND(MouserListTable[[#This Row],[Tag]]&lt;&gt;FilterSpecs!$F$12, MouserListTable[[#This Row],[Tag]]&lt;&gt;FilterSpecs!$F$9), MouserListTable[[#This Row],['#/Unit]]*FilterSpecs!$B$3+MouserListTable[[#This Row],[Extra Initial]],0)</f>
        <v>0</v>
      </c>
      <c r="G279" s="78"/>
      <c r="H279" s="150"/>
      <c r="I279" s="97" t="s">
        <v>2363</v>
      </c>
      <c r="K279" s="118">
        <v>39.950000000000003</v>
      </c>
      <c r="L279" s="97" t="s">
        <v>1900</v>
      </c>
      <c r="N279" s="154">
        <f>MouserListTable[[#This Row],['# Initial]]*MouserListTable[[#This Row],[Price (USD)]]</f>
        <v>0</v>
      </c>
      <c r="O279" s="81" t="s">
        <v>2362</v>
      </c>
      <c r="P279" s="150">
        <f t="shared" si="3"/>
        <v>266</v>
      </c>
      <c r="Q279" s="78" t="s">
        <v>1884</v>
      </c>
      <c r="R279"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485-2628</v>
      </c>
      <c r="S279" s="133" t="str">
        <f>HYPERLINK("https://www.mouser.com/ProductDetail/" &amp;MouserListTable[[#This Row],[Mouser SKU]])</f>
        <v>https://www.mouser.com/ProductDetail/485-2628</v>
      </c>
      <c r="T279" s="94">
        <v>0</v>
      </c>
      <c r="U279" s="94">
        <v>0</v>
      </c>
      <c r="V279" s="94">
        <v>0</v>
      </c>
      <c r="W279" s="94">
        <f>MouserListTable[[#This Row],['#/Unit]]*FilterSpecs!$C$3+MouserListTable[[#This Row],[Extra]]</f>
        <v>0</v>
      </c>
      <c r="X279" s="94">
        <f>IF(MouserListTable[[#This Row],[Tag]]=FilterSpecs!$F$7,MouserListTable[[#This Row],['#/Unit]]*MouserListTable[[#This Row],[Price (USD)]],0)</f>
        <v>0</v>
      </c>
      <c r="Y279" s="94">
        <f>MouserListTable[[#This Row],[Tot '#]]*MouserListTable[[#This Row],[Price (USD)]]</f>
        <v>0</v>
      </c>
      <c r="Z279"/>
    </row>
    <row r="280" spans="1:26" s="106" customFormat="1" x14ac:dyDescent="0.25">
      <c r="A280" s="78" t="s">
        <v>1038</v>
      </c>
      <c r="B280" s="78" t="s">
        <v>1396</v>
      </c>
      <c r="C280" s="78" t="s">
        <v>1892</v>
      </c>
      <c r="D280" s="81" t="str">
        <f>IF(MouserListTable[[#This Row],[Vendor]]=FilterSpecs!$A$8,MouserListTable[[#This Row],[Mouser SKU]], MouserListTable[[#This Row],[Supplier SKU]])</f>
        <v>485-1810</v>
      </c>
      <c r="E280" s="94">
        <f>MouserListTable[[#This Row],[Tot '#]]-MouserListTable[[#This Row],['# Initial]]</f>
        <v>0</v>
      </c>
      <c r="F280" s="94">
        <f>IF(AND(MouserListTable[[#This Row],[Tag]]&lt;&gt;FilterSpecs!$F$12, MouserListTable[[#This Row],[Tag]]&lt;&gt;FilterSpecs!$F$9), MouserListTable[[#This Row],['#/Unit]]*FilterSpecs!$B$3+MouserListTable[[#This Row],[Extra Initial]],0)</f>
        <v>0</v>
      </c>
      <c r="G280" s="78"/>
      <c r="H280" s="150"/>
      <c r="I280" s="97" t="s">
        <v>2365</v>
      </c>
      <c r="K280" s="118">
        <v>49.95</v>
      </c>
      <c r="L280" s="97" t="s">
        <v>1900</v>
      </c>
      <c r="N280" s="154">
        <f>MouserListTable[[#This Row],['# Initial]]*MouserListTable[[#This Row],[Price (USD)]]</f>
        <v>0</v>
      </c>
      <c r="O280" s="81" t="s">
        <v>2364</v>
      </c>
      <c r="P280" s="150">
        <f t="shared" si="3"/>
        <v>267</v>
      </c>
      <c r="Q280" s="78" t="s">
        <v>1884</v>
      </c>
      <c r="R280"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485-1810</v>
      </c>
      <c r="S280" s="133" t="str">
        <f>HYPERLINK("https://www.mouser.com/ProductDetail/" &amp;MouserListTable[[#This Row],[Mouser SKU]])</f>
        <v>https://www.mouser.com/ProductDetail/485-1810</v>
      </c>
      <c r="T280" s="94">
        <v>0</v>
      </c>
      <c r="U280" s="94">
        <v>0</v>
      </c>
      <c r="V280" s="94">
        <v>0</v>
      </c>
      <c r="W280" s="94">
        <f>MouserListTable[[#This Row],['#/Unit]]*FilterSpecs!$C$3+MouserListTable[[#This Row],[Extra]]</f>
        <v>0</v>
      </c>
      <c r="X280" s="94">
        <f>IF(MouserListTable[[#This Row],[Tag]]=FilterSpecs!$F$7,MouserListTable[[#This Row],['#/Unit]]*MouserListTable[[#This Row],[Price (USD)]],0)</f>
        <v>0</v>
      </c>
      <c r="Y280" s="94">
        <f>MouserListTable[[#This Row],[Tot '#]]*MouserListTable[[#This Row],[Price (USD)]]</f>
        <v>0</v>
      </c>
      <c r="Z280"/>
    </row>
    <row r="281" spans="1:26" s="106" customFormat="1" x14ac:dyDescent="0.25">
      <c r="A281" s="78" t="s">
        <v>1038</v>
      </c>
      <c r="B281" s="78" t="s">
        <v>1034</v>
      </c>
      <c r="C281" s="78" t="s">
        <v>1892</v>
      </c>
      <c r="D281" s="81" t="str">
        <f>IF(MouserListTable[[#This Row],[Vendor]]=FilterSpecs!$A$8,MouserListTable[[#This Row],[Mouser SKU]], MouserListTable[[#This Row],[Supplier SKU]])</f>
        <v>474-DEV-09564</v>
      </c>
      <c r="E281" s="94">
        <f>MouserListTable[[#This Row],[Tot '#]]-MouserListTable[[#This Row],['# Initial]]</f>
        <v>1</v>
      </c>
      <c r="F281" s="94">
        <f>IF(AND(MouserListTable[[#This Row],[Tag]]&lt;&gt;FilterSpecs!$F$12, MouserListTable[[#This Row],[Tag]]&lt;&gt;FilterSpecs!$F$9), MouserListTable[[#This Row],['#/Unit]]*FilterSpecs!$B$3+MouserListTable[[#This Row],[Extra Initial]],0)</f>
        <v>0</v>
      </c>
      <c r="G281" s="78" t="s">
        <v>334</v>
      </c>
      <c r="H281" s="150" t="s">
        <v>335</v>
      </c>
      <c r="I281" s="78" t="s">
        <v>336</v>
      </c>
      <c r="J281" s="78">
        <v>1</v>
      </c>
      <c r="K281" s="117">
        <v>54.95</v>
      </c>
      <c r="L281" s="78" t="s">
        <v>1900</v>
      </c>
      <c r="M281" s="78" t="s">
        <v>1037</v>
      </c>
      <c r="N281" s="154">
        <f>MouserListTable[[#This Row],['# Initial]]*MouserListTable[[#This Row],[Price (USD)]]</f>
        <v>0</v>
      </c>
      <c r="O281" s="81" t="s">
        <v>333</v>
      </c>
      <c r="P281" s="150">
        <f t="shared" si="3"/>
        <v>268</v>
      </c>
      <c r="Q281" s="78" t="s">
        <v>5</v>
      </c>
      <c r="R281"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474-DEV-09564</v>
      </c>
      <c r="S281" s="133" t="str">
        <f>HYPERLINK("https://www.mouser.com/ProductDetail/" &amp;MouserListTable[[#This Row],[Mouser SKU]])</f>
        <v>https://www.mouser.com/ProductDetail/474-DEV-09564</v>
      </c>
      <c r="T281" s="94">
        <v>0</v>
      </c>
      <c r="U281" s="94">
        <v>1</v>
      </c>
      <c r="V281" s="94">
        <v>0</v>
      </c>
      <c r="W281" s="94">
        <f>MouserListTable[[#This Row],['#/Unit]]*FilterSpecs!$C$3+MouserListTable[[#This Row],[Extra]]</f>
        <v>1</v>
      </c>
      <c r="X281" s="94">
        <f>IF(MouserListTable[[#This Row],[Tag]]=FilterSpecs!$F$7,MouserListTable[[#This Row],['#/Unit]]*MouserListTable[[#This Row],[Price (USD)]],0)</f>
        <v>0</v>
      </c>
      <c r="Y281" s="94">
        <f>MouserListTable[[#This Row],[Tot '#]]*MouserListTable[[#This Row],[Price (USD)]]</f>
        <v>54.95</v>
      </c>
      <c r="Z281"/>
    </row>
    <row r="282" spans="1:26" s="106" customFormat="1" x14ac:dyDescent="0.25">
      <c r="A282" s="97" t="s">
        <v>1038</v>
      </c>
      <c r="B282" s="97" t="s">
        <v>1034</v>
      </c>
      <c r="C282" s="78" t="s">
        <v>1892</v>
      </c>
      <c r="D282" s="81" t="str">
        <f>IF(MouserListTable[[#This Row],[Vendor]]=FilterSpecs!$A$8,MouserListTable[[#This Row],[Mouser SKU]], MouserListTable[[#This Row],[Supplier SKU]])</f>
        <v>474-DEV-11695</v>
      </c>
      <c r="E282" s="94">
        <f>MouserListTable[[#This Row],[Tot '#]]-MouserListTable[[#This Row],['# Initial]]</f>
        <v>0</v>
      </c>
      <c r="F282" s="94">
        <f>IF(AND(MouserListTable[[#This Row],[Tag]]&lt;&gt;FilterSpecs!$F$12, MouserListTable[[#This Row],[Tag]]&lt;&gt;FilterSpecs!$F$9), MouserListTable[[#This Row],['#/Unit]]*FilterSpecs!$B$3+MouserListTable[[#This Row],[Extra Initial]],0)</f>
        <v>0</v>
      </c>
      <c r="G282" s="78" t="s">
        <v>330</v>
      </c>
      <c r="H282" s="150" t="s">
        <v>331</v>
      </c>
      <c r="I282" s="78" t="s">
        <v>332</v>
      </c>
      <c r="J282" s="78"/>
      <c r="K282" s="117">
        <v>59.95</v>
      </c>
      <c r="L282" s="78" t="s">
        <v>1899</v>
      </c>
      <c r="M282" s="78" t="s">
        <v>1037</v>
      </c>
      <c r="N282" s="154">
        <f>MouserListTable[[#This Row],['# Initial]]*MouserListTable[[#This Row],[Price (USD)]]</f>
        <v>0</v>
      </c>
      <c r="O282" s="81" t="s">
        <v>329</v>
      </c>
      <c r="P282" s="150">
        <f t="shared" ref="P282:P345" si="4">IF($P281="List #",1,$P281+1)</f>
        <v>269</v>
      </c>
      <c r="Q282" s="78" t="s">
        <v>5</v>
      </c>
      <c r="R282"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474-DEV-11695</v>
      </c>
      <c r="S282" s="133" t="str">
        <f>HYPERLINK("https://www.mouser.com/ProductDetail/" &amp;MouserListTable[[#This Row],[Mouser SKU]])</f>
        <v>https://www.mouser.com/ProductDetail/474-DEV-11695</v>
      </c>
      <c r="T282" s="94">
        <v>0</v>
      </c>
      <c r="U282" s="94">
        <v>0</v>
      </c>
      <c r="V282" s="94">
        <v>0</v>
      </c>
      <c r="W282" s="94">
        <f>MouserListTable[[#This Row],['#/Unit]]*FilterSpecs!$C$3+MouserListTable[[#This Row],[Extra]]</f>
        <v>0</v>
      </c>
      <c r="X282" s="94">
        <f>IF(MouserListTable[[#This Row],[Tag]]=FilterSpecs!$F$7,MouserListTable[[#This Row],['#/Unit]]*MouserListTable[[#This Row],[Price (USD)]],0)</f>
        <v>0</v>
      </c>
      <c r="Y282" s="94">
        <f>MouserListTable[[#This Row],[Tot '#]]*MouserListTable[[#This Row],[Price (USD)]]</f>
        <v>0</v>
      </c>
      <c r="Z282"/>
    </row>
    <row r="283" spans="1:26" s="106" customFormat="1" x14ac:dyDescent="0.25">
      <c r="A283" s="78" t="s">
        <v>1038</v>
      </c>
      <c r="B283" s="78" t="s">
        <v>1035</v>
      </c>
      <c r="C283" s="78" t="s">
        <v>1892</v>
      </c>
      <c r="D283" s="81" t="str">
        <f>IF(MouserListTable[[#This Row],[Vendor]]=FilterSpecs!$A$8,MouserListTable[[#This Row],[Mouser SKU]], MouserListTable[[#This Row],[Supplier SKU]])</f>
        <v>474-DEV-13097</v>
      </c>
      <c r="E283" s="94">
        <f>MouserListTable[[#This Row],[Tot '#]]-MouserListTable[[#This Row],['# Initial]]</f>
        <v>1</v>
      </c>
      <c r="F283" s="94">
        <f>IF(AND(MouserListTable[[#This Row],[Tag]]&lt;&gt;FilterSpecs!$F$12, MouserListTable[[#This Row],[Tag]]&lt;&gt;FilterSpecs!$F$9), MouserListTable[[#This Row],['#/Unit]]*FilterSpecs!$B$3+MouserListTable[[#This Row],[Extra Initial]],0)</f>
        <v>0</v>
      </c>
      <c r="G283" s="78" t="s">
        <v>294</v>
      </c>
      <c r="H283" s="150" t="s">
        <v>295</v>
      </c>
      <c r="I283" s="78" t="s">
        <v>296</v>
      </c>
      <c r="J283" s="78">
        <v>1</v>
      </c>
      <c r="K283" s="117">
        <v>99.95</v>
      </c>
      <c r="L283" s="78" t="s">
        <v>1900</v>
      </c>
      <c r="M283" s="78" t="s">
        <v>1042</v>
      </c>
      <c r="N283" s="154">
        <f>MouserListTable[[#This Row],['# Initial]]*MouserListTable[[#This Row],[Price (USD)]]</f>
        <v>0</v>
      </c>
      <c r="O283" s="81" t="s">
        <v>293</v>
      </c>
      <c r="P283" s="150">
        <f t="shared" si="4"/>
        <v>270</v>
      </c>
      <c r="Q283" s="78" t="s">
        <v>5</v>
      </c>
      <c r="R283"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474-DEV-13097</v>
      </c>
      <c r="S283" s="133" t="str">
        <f>HYPERLINK("https://www.mouser.com/ProductDetail/" &amp;MouserListTable[[#This Row],[Mouser SKU]])</f>
        <v>https://www.mouser.com/ProductDetail/474-DEV-13097</v>
      </c>
      <c r="T283" s="94">
        <v>0</v>
      </c>
      <c r="U283" s="94">
        <v>1</v>
      </c>
      <c r="V283" s="94">
        <v>0</v>
      </c>
      <c r="W283" s="94">
        <f>MouserListTable[[#This Row],['#/Unit]]*FilterSpecs!$C$3+MouserListTable[[#This Row],[Extra]]</f>
        <v>1</v>
      </c>
      <c r="X283" s="94">
        <f>IF(MouserListTable[[#This Row],[Tag]]=FilterSpecs!$F$7,MouserListTable[[#This Row],['#/Unit]]*MouserListTable[[#This Row],[Price (USD)]],0)</f>
        <v>0</v>
      </c>
      <c r="Y283" s="94">
        <f>MouserListTable[[#This Row],[Tot '#]]*MouserListTable[[#This Row],[Price (USD)]]</f>
        <v>99.95</v>
      </c>
      <c r="Z283"/>
    </row>
    <row r="284" spans="1:26" s="106" customFormat="1" x14ac:dyDescent="0.25">
      <c r="A284" s="78" t="s">
        <v>1038</v>
      </c>
      <c r="B284" s="78" t="s">
        <v>1035</v>
      </c>
      <c r="C284" s="78" t="s">
        <v>1892</v>
      </c>
      <c r="D284" s="81" t="str">
        <f>IF(MouserListTable[[#This Row],[Vendor]]=FilterSpecs!$A$8,MouserListTable[[#This Row],[Mouser SKU]], MouserListTable[[#This Row],[Supplier SKU]])</f>
        <v>474-DEV-13045</v>
      </c>
      <c r="E284" s="94">
        <f>MouserListTable[[#This Row],[Tot '#]]-MouserListTable[[#This Row],['# Initial]]</f>
        <v>1</v>
      </c>
      <c r="F284" s="94">
        <f>IF(AND(MouserListTable[[#This Row],[Tag]]&lt;&gt;FilterSpecs!$F$12, MouserListTable[[#This Row],[Tag]]&lt;&gt;FilterSpecs!$F$9), MouserListTable[[#This Row],['#/Unit]]*FilterSpecs!$B$3+MouserListTable[[#This Row],[Extra Initial]],0)</f>
        <v>0</v>
      </c>
      <c r="G284" s="78" t="s">
        <v>314</v>
      </c>
      <c r="H284" s="150" t="s">
        <v>315</v>
      </c>
      <c r="I284" s="78" t="s">
        <v>316</v>
      </c>
      <c r="J284" s="78">
        <v>1</v>
      </c>
      <c r="K284" s="117">
        <v>19.95</v>
      </c>
      <c r="L284" s="78" t="s">
        <v>1900</v>
      </c>
      <c r="M284" s="78" t="s">
        <v>1042</v>
      </c>
      <c r="N284" s="154">
        <f>MouserListTable[[#This Row],['# Initial]]*MouserListTable[[#This Row],[Price (USD)]]</f>
        <v>0</v>
      </c>
      <c r="O284" s="81" t="s">
        <v>313</v>
      </c>
      <c r="P284" s="150">
        <f t="shared" si="4"/>
        <v>271</v>
      </c>
      <c r="Q284" s="78" t="s">
        <v>5</v>
      </c>
      <c r="R284"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474-DEV-13045</v>
      </c>
      <c r="S284" s="133" t="str">
        <f>HYPERLINK("https://www.mouser.com/ProductDetail/" &amp;MouserListTable[[#This Row],[Mouser SKU]])</f>
        <v>https://www.mouser.com/ProductDetail/474-DEV-13045</v>
      </c>
      <c r="T284" s="94">
        <v>0</v>
      </c>
      <c r="U284" s="94">
        <v>1</v>
      </c>
      <c r="V284" s="94">
        <v>0</v>
      </c>
      <c r="W284" s="94">
        <f>MouserListTable[[#This Row],['#/Unit]]*FilterSpecs!$C$3+MouserListTable[[#This Row],[Extra]]</f>
        <v>1</v>
      </c>
      <c r="X284" s="94">
        <f>IF(MouserListTable[[#This Row],[Tag]]=FilterSpecs!$F$7,MouserListTable[[#This Row],['#/Unit]]*MouserListTable[[#This Row],[Price (USD)]],0)</f>
        <v>0</v>
      </c>
      <c r="Y284" s="94">
        <f>MouserListTable[[#This Row],[Tot '#]]*MouserListTable[[#This Row],[Price (USD)]]</f>
        <v>19.95</v>
      </c>
      <c r="Z284"/>
    </row>
    <row r="285" spans="1:26" s="106" customFormat="1" x14ac:dyDescent="0.25">
      <c r="A285" s="78" t="s">
        <v>1038</v>
      </c>
      <c r="B285" s="78" t="s">
        <v>1035</v>
      </c>
      <c r="C285" s="78" t="s">
        <v>1892</v>
      </c>
      <c r="D285" s="81" t="str">
        <f>IF(MouserListTable[[#This Row],[Vendor]]=FilterSpecs!$A$8,MouserListTable[[#This Row],[Mouser SKU]], MouserListTable[[#This Row],[Supplier SKU]])</f>
        <v>474-DEV-13038</v>
      </c>
      <c r="E285" s="94">
        <f>MouserListTable[[#This Row],[Tot '#]]-MouserListTable[[#This Row],['# Initial]]</f>
        <v>1</v>
      </c>
      <c r="F285" s="94">
        <f>IF(AND(MouserListTable[[#This Row],[Tag]]&lt;&gt;FilterSpecs!$F$12, MouserListTable[[#This Row],[Tag]]&lt;&gt;FilterSpecs!$F$9), MouserListTable[[#This Row],['#/Unit]]*FilterSpecs!$B$3+MouserListTable[[#This Row],[Extra Initial]],0)</f>
        <v>0</v>
      </c>
      <c r="G285" s="78" t="s">
        <v>302</v>
      </c>
      <c r="H285" s="150" t="s">
        <v>303</v>
      </c>
      <c r="I285" s="78" t="s">
        <v>304</v>
      </c>
      <c r="J285" s="78">
        <v>1</v>
      </c>
      <c r="K285" s="117">
        <v>9.9499999999999993</v>
      </c>
      <c r="L285" s="78" t="s">
        <v>1900</v>
      </c>
      <c r="M285" s="78" t="s">
        <v>1042</v>
      </c>
      <c r="N285" s="154">
        <f>MouserListTable[[#This Row],['# Initial]]*MouserListTable[[#This Row],[Price (USD)]]</f>
        <v>0</v>
      </c>
      <c r="O285" s="81" t="s">
        <v>301</v>
      </c>
      <c r="P285" s="150">
        <f t="shared" si="4"/>
        <v>272</v>
      </c>
      <c r="Q285" s="78" t="s">
        <v>5</v>
      </c>
      <c r="R285"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474-DEV-13038</v>
      </c>
      <c r="S285" s="133" t="str">
        <f>HYPERLINK("https://www.mouser.com/ProductDetail/" &amp;MouserListTable[[#This Row],[Mouser SKU]])</f>
        <v>https://www.mouser.com/ProductDetail/474-DEV-13038</v>
      </c>
      <c r="T285" s="94">
        <v>0</v>
      </c>
      <c r="U285" s="94">
        <v>1</v>
      </c>
      <c r="V285" s="94">
        <v>0</v>
      </c>
      <c r="W285" s="94">
        <f>MouserListTable[[#This Row],['#/Unit]]*FilterSpecs!$C$3+MouserListTable[[#This Row],[Extra]]</f>
        <v>1</v>
      </c>
      <c r="X285" s="94">
        <f>IF(MouserListTable[[#This Row],[Tag]]=FilterSpecs!$F$7,MouserListTable[[#This Row],['#/Unit]]*MouserListTable[[#This Row],[Price (USD)]],0)</f>
        <v>0</v>
      </c>
      <c r="Y285" s="94">
        <f>MouserListTable[[#This Row],[Tot '#]]*MouserListTable[[#This Row],[Price (USD)]]</f>
        <v>9.9499999999999993</v>
      </c>
      <c r="Z285"/>
    </row>
    <row r="286" spans="1:26" s="106" customFormat="1" x14ac:dyDescent="0.25">
      <c r="A286" s="78" t="s">
        <v>1038</v>
      </c>
      <c r="B286" s="78" t="s">
        <v>1035</v>
      </c>
      <c r="C286" s="78" t="s">
        <v>1892</v>
      </c>
      <c r="D286" s="81" t="str">
        <f>IF(MouserListTable[[#This Row],[Vendor]]=FilterSpecs!$A$8,MouserListTable[[#This Row],[Mouser SKU]], MouserListTable[[#This Row],[Supplier SKU]])</f>
        <v>474-DEV-13034</v>
      </c>
      <c r="E286" s="94">
        <f>MouserListTable[[#This Row],[Tot '#]]-MouserListTable[[#This Row],['# Initial]]</f>
        <v>1</v>
      </c>
      <c r="F286" s="94">
        <f>IF(AND(MouserListTable[[#This Row],[Tag]]&lt;&gt;FilterSpecs!$F$12, MouserListTable[[#This Row],[Tag]]&lt;&gt;FilterSpecs!$F$9), MouserListTable[[#This Row],['#/Unit]]*FilterSpecs!$B$3+MouserListTable[[#This Row],[Extra Initial]],0)</f>
        <v>0</v>
      </c>
      <c r="G286" s="78" t="s">
        <v>306</v>
      </c>
      <c r="H286" s="150" t="s">
        <v>307</v>
      </c>
      <c r="I286" s="78" t="s">
        <v>308</v>
      </c>
      <c r="J286" s="78">
        <v>1</v>
      </c>
      <c r="K286" s="117">
        <v>9.9499999999999993</v>
      </c>
      <c r="L286" s="78" t="s">
        <v>1900</v>
      </c>
      <c r="M286" s="78" t="s">
        <v>1042</v>
      </c>
      <c r="N286" s="154">
        <f>MouserListTable[[#This Row],['# Initial]]*MouserListTable[[#This Row],[Price (USD)]]</f>
        <v>0</v>
      </c>
      <c r="O286" s="81" t="s">
        <v>305</v>
      </c>
      <c r="P286" s="150">
        <f t="shared" si="4"/>
        <v>273</v>
      </c>
      <c r="Q286" s="78" t="s">
        <v>5</v>
      </c>
      <c r="R286"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474-DEV-13034</v>
      </c>
      <c r="S286" s="133" t="str">
        <f>HYPERLINK("https://www.mouser.com/ProductDetail/" &amp;MouserListTable[[#This Row],[Mouser SKU]])</f>
        <v>https://www.mouser.com/ProductDetail/474-DEV-13034</v>
      </c>
      <c r="T286" s="94">
        <v>0</v>
      </c>
      <c r="U286" s="94">
        <v>1</v>
      </c>
      <c r="V286" s="94">
        <v>0</v>
      </c>
      <c r="W286" s="94">
        <f>MouserListTable[[#This Row],['#/Unit]]*FilterSpecs!$C$3+MouserListTable[[#This Row],[Extra]]</f>
        <v>1</v>
      </c>
      <c r="X286" s="94">
        <f>IF(MouserListTable[[#This Row],[Tag]]=FilterSpecs!$F$7,MouserListTable[[#This Row],['#/Unit]]*MouserListTable[[#This Row],[Price (USD)]],0)</f>
        <v>0</v>
      </c>
      <c r="Y286" s="94">
        <f>MouserListTable[[#This Row],[Tot '#]]*MouserListTable[[#This Row],[Price (USD)]]</f>
        <v>9.9499999999999993</v>
      </c>
      <c r="Z286"/>
    </row>
    <row r="287" spans="1:26" s="111" customFormat="1" x14ac:dyDescent="0.25">
      <c r="A287" s="78" t="s">
        <v>1038</v>
      </c>
      <c r="B287" s="78" t="s">
        <v>1035</v>
      </c>
      <c r="C287" s="78" t="s">
        <v>1892</v>
      </c>
      <c r="D287" s="81" t="str">
        <f>IF(MouserListTable[[#This Row],[Vendor]]=FilterSpecs!$A$8,MouserListTable[[#This Row],[Mouser SKU]], MouserListTable[[#This Row],[Supplier SKU]])</f>
        <v>474-DEV-13041</v>
      </c>
      <c r="E287" s="94">
        <f>MouserListTable[[#This Row],[Tot '#]]-MouserListTable[[#This Row],['# Initial]]</f>
        <v>1</v>
      </c>
      <c r="F287" s="94">
        <f>IF(AND(MouserListTable[[#This Row],[Tag]]&lt;&gt;FilterSpecs!$F$12, MouserListTable[[#This Row],[Tag]]&lt;&gt;FilterSpecs!$F$9), MouserListTable[[#This Row],['#/Unit]]*FilterSpecs!$B$3+MouserListTable[[#This Row],[Extra Initial]],0)</f>
        <v>0</v>
      </c>
      <c r="G287" s="78" t="s">
        <v>310</v>
      </c>
      <c r="H287" s="150" t="s">
        <v>311</v>
      </c>
      <c r="I287" s="78" t="s">
        <v>312</v>
      </c>
      <c r="J287" s="78">
        <v>1</v>
      </c>
      <c r="K287" s="117">
        <v>9.9499999999999993</v>
      </c>
      <c r="L287" s="78" t="s">
        <v>1900</v>
      </c>
      <c r="M287" s="78" t="s">
        <v>1042</v>
      </c>
      <c r="N287" s="154">
        <f>MouserListTable[[#This Row],['# Initial]]*MouserListTable[[#This Row],[Price (USD)]]</f>
        <v>0</v>
      </c>
      <c r="O287" s="81" t="s">
        <v>309</v>
      </c>
      <c r="P287" s="150">
        <f t="shared" si="4"/>
        <v>274</v>
      </c>
      <c r="Q287" s="78" t="s">
        <v>5</v>
      </c>
      <c r="R287"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474-DEV-13041</v>
      </c>
      <c r="S287" s="133" t="str">
        <f>HYPERLINK("https://www.mouser.com/ProductDetail/" &amp;MouserListTable[[#This Row],[Mouser SKU]])</f>
        <v>https://www.mouser.com/ProductDetail/474-DEV-13041</v>
      </c>
      <c r="T287" s="94">
        <v>0</v>
      </c>
      <c r="U287" s="94">
        <v>1</v>
      </c>
      <c r="V287" s="94">
        <v>0</v>
      </c>
      <c r="W287" s="94">
        <f>MouserListTable[[#This Row],['#/Unit]]*FilterSpecs!$C$3+MouserListTable[[#This Row],[Extra]]</f>
        <v>1</v>
      </c>
      <c r="X287" s="94">
        <f>IF(MouserListTable[[#This Row],[Tag]]=FilterSpecs!$F$7,MouserListTable[[#This Row],['#/Unit]]*MouserListTable[[#This Row],[Price (USD)]],0)</f>
        <v>0</v>
      </c>
      <c r="Y287" s="94">
        <f>MouserListTable[[#This Row],[Tot '#]]*MouserListTable[[#This Row],[Price (USD)]]</f>
        <v>9.9499999999999993</v>
      </c>
      <c r="Z287"/>
    </row>
    <row r="288" spans="1:26" s="111" customFormat="1" x14ac:dyDescent="0.25">
      <c r="A288" s="78" t="s">
        <v>1038</v>
      </c>
      <c r="B288" s="78" t="s">
        <v>1035</v>
      </c>
      <c r="C288" s="78" t="s">
        <v>1892</v>
      </c>
      <c r="D288" s="81" t="str">
        <f>IF(MouserListTable[[#This Row],[Vendor]]=FilterSpecs!$A$8,MouserListTable[[#This Row],[Mouser SKU]], MouserListTable[[#This Row],[Supplier SKU]])</f>
        <v>474-DEV-13727</v>
      </c>
      <c r="E288" s="94">
        <f>MouserListTable[[#This Row],[Tot '#]]-MouserListTable[[#This Row],['# Initial]]</f>
        <v>1</v>
      </c>
      <c r="F288" s="94">
        <f>IF(AND(MouserListTable[[#This Row],[Tag]]&lt;&gt;FilterSpecs!$F$12, MouserListTable[[#This Row],[Tag]]&lt;&gt;FilterSpecs!$F$9), MouserListTable[[#This Row],['#/Unit]]*FilterSpecs!$B$3+MouserListTable[[#This Row],[Extra Initial]],0)</f>
        <v>0</v>
      </c>
      <c r="G288" s="78" t="s">
        <v>298</v>
      </c>
      <c r="H288" s="150" t="s">
        <v>299</v>
      </c>
      <c r="I288" s="78" t="s">
        <v>300</v>
      </c>
      <c r="J288" s="78">
        <v>1</v>
      </c>
      <c r="K288" s="117">
        <v>9.9499999999999993</v>
      </c>
      <c r="L288" s="78" t="s">
        <v>1900</v>
      </c>
      <c r="M288" s="78" t="s">
        <v>1042</v>
      </c>
      <c r="N288" s="154">
        <f>MouserListTable[[#This Row],['# Initial]]*MouserListTable[[#This Row],[Price (USD)]]</f>
        <v>0</v>
      </c>
      <c r="O288" s="81" t="s">
        <v>297</v>
      </c>
      <c r="P288" s="150">
        <f t="shared" si="4"/>
        <v>275</v>
      </c>
      <c r="Q288" s="78" t="s">
        <v>5</v>
      </c>
      <c r="R288"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474-DEV-13727</v>
      </c>
      <c r="S288" s="133" t="str">
        <f>HYPERLINK("https://www.mouser.com/ProductDetail/" &amp;MouserListTable[[#This Row],[Mouser SKU]])</f>
        <v>https://www.mouser.com/ProductDetail/474-DEV-13727</v>
      </c>
      <c r="T288" s="94">
        <v>0</v>
      </c>
      <c r="U288" s="94">
        <v>1</v>
      </c>
      <c r="V288" s="94">
        <v>0</v>
      </c>
      <c r="W288" s="94">
        <f>MouserListTable[[#This Row],['#/Unit]]*FilterSpecs!$C$3+MouserListTable[[#This Row],[Extra]]</f>
        <v>1</v>
      </c>
      <c r="X288" s="94">
        <f>IF(MouserListTable[[#This Row],[Tag]]=FilterSpecs!$F$7,MouserListTable[[#This Row],['#/Unit]]*MouserListTable[[#This Row],[Price (USD)]],0)</f>
        <v>0</v>
      </c>
      <c r="Y288" s="94">
        <f>MouserListTable[[#This Row],[Tot '#]]*MouserListTable[[#This Row],[Price (USD)]]</f>
        <v>9.9499999999999993</v>
      </c>
      <c r="Z288"/>
    </row>
    <row r="289" spans="1:26" s="111" customFormat="1" x14ac:dyDescent="0.25">
      <c r="A289" s="78" t="s">
        <v>1038</v>
      </c>
      <c r="B289" s="78" t="s">
        <v>1035</v>
      </c>
      <c r="C289" s="78" t="s">
        <v>1892</v>
      </c>
      <c r="D289" s="81" t="str">
        <f>IF(MouserListTable[[#This Row],[Vendor]]=FilterSpecs!$A$8,MouserListTable[[#This Row],[Mouser SKU]], MouserListTable[[#This Row],[Supplier SKU]])</f>
        <v>474-DEV-13035</v>
      </c>
      <c r="E289" s="94">
        <f>MouserListTable[[#This Row],[Tot '#]]-MouserListTable[[#This Row],['# Initial]]</f>
        <v>1</v>
      </c>
      <c r="F289" s="94">
        <f>IF(AND(MouserListTable[[#This Row],[Tag]]&lt;&gt;FilterSpecs!$F$12, MouserListTable[[#This Row],[Tag]]&lt;&gt;FilterSpecs!$F$9), MouserListTable[[#This Row],['#/Unit]]*FilterSpecs!$B$3+MouserListTable[[#This Row],[Extra Initial]],0)</f>
        <v>0</v>
      </c>
      <c r="G289" s="78" t="s">
        <v>1117</v>
      </c>
      <c r="H289" s="150" t="s">
        <v>1118</v>
      </c>
      <c r="I289" s="78" t="s">
        <v>1119</v>
      </c>
      <c r="J289" s="78">
        <v>1</v>
      </c>
      <c r="K289" s="117">
        <v>14.95</v>
      </c>
      <c r="L289" s="78" t="s">
        <v>1900</v>
      </c>
      <c r="M289" s="78" t="s">
        <v>1042</v>
      </c>
      <c r="N289" s="154">
        <f>MouserListTable[[#This Row],['# Initial]]*MouserListTable[[#This Row],[Price (USD)]]</f>
        <v>0</v>
      </c>
      <c r="O289" s="81" t="s">
        <v>1116</v>
      </c>
      <c r="P289" s="150">
        <f t="shared" si="4"/>
        <v>276</v>
      </c>
      <c r="Q289" s="78" t="s">
        <v>5</v>
      </c>
      <c r="R289"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474-DEV-13035</v>
      </c>
      <c r="S289" s="133" t="str">
        <f>HYPERLINK("https://www.mouser.com/ProductDetail/" &amp;MouserListTable[[#This Row],[Mouser SKU]])</f>
        <v>https://www.mouser.com/ProductDetail/474-DEV-13035</v>
      </c>
      <c r="T289" s="94">
        <v>0</v>
      </c>
      <c r="U289" s="94">
        <v>1</v>
      </c>
      <c r="V289" s="94">
        <v>0</v>
      </c>
      <c r="W289" s="94">
        <f>MouserListTable[[#This Row],['#/Unit]]*FilterSpecs!$C$3+MouserListTable[[#This Row],[Extra]]</f>
        <v>1</v>
      </c>
      <c r="X289" s="94">
        <f>IF(MouserListTable[[#This Row],[Tag]]=FilterSpecs!$F$7,MouserListTable[[#This Row],['#/Unit]]*MouserListTable[[#This Row],[Price (USD)]],0)</f>
        <v>0</v>
      </c>
      <c r="Y289" s="94">
        <f>MouserListTable[[#This Row],[Tot '#]]*MouserListTable[[#This Row],[Price (USD)]]</f>
        <v>14.95</v>
      </c>
      <c r="Z289"/>
    </row>
    <row r="290" spans="1:26" s="111" customFormat="1" x14ac:dyDescent="0.25">
      <c r="A290" s="78" t="s">
        <v>1038</v>
      </c>
      <c r="B290" s="78" t="s">
        <v>1035</v>
      </c>
      <c r="C290" s="78" t="s">
        <v>1892</v>
      </c>
      <c r="D290" s="81" t="str">
        <f>IF(MouserListTable[[#This Row],[Vendor]]=FilterSpecs!$A$8,MouserListTable[[#This Row],[Mouser SKU]], MouserListTable[[#This Row],[Supplier SKU]])</f>
        <v>474-DEV-13770</v>
      </c>
      <c r="E290" s="94">
        <f>MouserListTable[[#This Row],[Tot '#]]-MouserListTable[[#This Row],['# Initial]]</f>
        <v>1</v>
      </c>
      <c r="F290" s="94">
        <f>IF(AND(MouserListTable[[#This Row],[Tag]]&lt;&gt;FilterSpecs!$F$12, MouserListTable[[#This Row],[Tag]]&lt;&gt;FilterSpecs!$F$9), MouserListTable[[#This Row],['#/Unit]]*FilterSpecs!$B$3+MouserListTable[[#This Row],[Extra Initial]],0)</f>
        <v>0</v>
      </c>
      <c r="G290" s="78" t="s">
        <v>1137</v>
      </c>
      <c r="H290" s="150" t="s">
        <v>1138</v>
      </c>
      <c r="I290" s="78" t="s">
        <v>1139</v>
      </c>
      <c r="J290" s="78">
        <v>1</v>
      </c>
      <c r="K290" s="117">
        <v>9.9499999999999993</v>
      </c>
      <c r="L290" s="78" t="s">
        <v>1900</v>
      </c>
      <c r="M290" s="78" t="s">
        <v>1042</v>
      </c>
      <c r="N290" s="154">
        <f>MouserListTable[[#This Row],['# Initial]]*MouserListTable[[#This Row],[Price (USD)]]</f>
        <v>0</v>
      </c>
      <c r="O290" s="81" t="s">
        <v>1136</v>
      </c>
      <c r="P290" s="150">
        <f t="shared" si="4"/>
        <v>277</v>
      </c>
      <c r="Q290" s="78" t="s">
        <v>5</v>
      </c>
      <c r="R290"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474-DEV-13770</v>
      </c>
      <c r="S290" s="133" t="str">
        <f>HYPERLINK("https://www.mouser.com/ProductDetail/" &amp;MouserListTable[[#This Row],[Mouser SKU]])</f>
        <v>https://www.mouser.com/ProductDetail/474-DEV-13770</v>
      </c>
      <c r="T290" s="94">
        <v>0</v>
      </c>
      <c r="U290" s="94">
        <v>1</v>
      </c>
      <c r="V290" s="94">
        <v>0</v>
      </c>
      <c r="W290" s="94">
        <f>MouserListTable[[#This Row],['#/Unit]]*FilterSpecs!$C$3+MouserListTable[[#This Row],[Extra]]</f>
        <v>1</v>
      </c>
      <c r="X290" s="94">
        <f>IF(MouserListTable[[#This Row],[Tag]]=FilterSpecs!$F$7,MouserListTable[[#This Row],['#/Unit]]*MouserListTable[[#This Row],[Price (USD)]],0)</f>
        <v>0</v>
      </c>
      <c r="Y290" s="94">
        <f>MouserListTable[[#This Row],[Tot '#]]*MouserListTable[[#This Row],[Price (USD)]]</f>
        <v>9.9499999999999993</v>
      </c>
      <c r="Z290"/>
    </row>
    <row r="291" spans="1:26" s="111" customFormat="1" x14ac:dyDescent="0.25">
      <c r="A291" s="78" t="s">
        <v>1038</v>
      </c>
      <c r="B291" s="78" t="s">
        <v>1035</v>
      </c>
      <c r="C291" s="78" t="s">
        <v>1892</v>
      </c>
      <c r="D291" s="81" t="str">
        <f>IF(MouserListTable[[#This Row],[Vendor]]=FilterSpecs!$A$8,MouserListTable[[#This Row],[Mouser SKU]], MouserListTable[[#This Row],[Supplier SKU]])</f>
        <v>474-COM-13187</v>
      </c>
      <c r="E291" s="94">
        <f>MouserListTable[[#This Row],[Tot '#]]-MouserListTable[[#This Row],['# Initial]]</f>
        <v>4</v>
      </c>
      <c r="F291" s="94">
        <f>IF(AND(MouserListTable[[#This Row],[Tag]]&lt;&gt;FilterSpecs!$F$12, MouserListTable[[#This Row],[Tag]]&lt;&gt;FilterSpecs!$F$9), MouserListTable[[#This Row],['#/Unit]]*FilterSpecs!$B$3+MouserListTable[[#This Row],[Extra Initial]],0)</f>
        <v>0</v>
      </c>
      <c r="G291" s="78" t="s">
        <v>793</v>
      </c>
      <c r="H291" s="150" t="s">
        <v>794</v>
      </c>
      <c r="I291" s="78" t="s">
        <v>795</v>
      </c>
      <c r="J291" s="78">
        <v>1</v>
      </c>
      <c r="K291" s="117">
        <v>2.95</v>
      </c>
      <c r="L291" s="78" t="s">
        <v>1900</v>
      </c>
      <c r="M291" s="78" t="s">
        <v>1042</v>
      </c>
      <c r="N291" s="154">
        <f>MouserListTable[[#This Row],['# Initial]]*MouserListTable[[#This Row],[Price (USD)]]</f>
        <v>0</v>
      </c>
      <c r="O291" s="81" t="s">
        <v>792</v>
      </c>
      <c r="P291" s="150">
        <f t="shared" si="4"/>
        <v>278</v>
      </c>
      <c r="Q291" s="78" t="s">
        <v>5</v>
      </c>
      <c r="R291"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474-COM-13187</v>
      </c>
      <c r="S291" s="133" t="str">
        <f>HYPERLINK("https://www.mouser.com/ProductDetail/" &amp;MouserListTable[[#This Row],[Mouser SKU]])</f>
        <v>https://www.mouser.com/ProductDetail/474-COM-13187</v>
      </c>
      <c r="T291" s="94">
        <v>0</v>
      </c>
      <c r="U291" s="94">
        <v>4</v>
      </c>
      <c r="V291" s="94">
        <v>0</v>
      </c>
      <c r="W291" s="94">
        <f>MouserListTable[[#This Row],['#/Unit]]*FilterSpecs!$C$3+MouserListTable[[#This Row],[Extra]]</f>
        <v>4</v>
      </c>
      <c r="X291" s="94">
        <f>IF(MouserListTable[[#This Row],[Tag]]=FilterSpecs!$F$7,MouserListTable[[#This Row],['#/Unit]]*MouserListTable[[#This Row],[Price (USD)]],0)</f>
        <v>0</v>
      </c>
      <c r="Y291" s="94">
        <f>MouserListTable[[#This Row],[Tot '#]]*MouserListTable[[#This Row],[Price (USD)]]</f>
        <v>11.8</v>
      </c>
      <c r="Z291"/>
    </row>
    <row r="292" spans="1:26" s="111" customFormat="1" ht="17.25" x14ac:dyDescent="0.25">
      <c r="A292" s="78" t="s">
        <v>1038</v>
      </c>
      <c r="B292" s="78" t="s">
        <v>2530</v>
      </c>
      <c r="C292" s="78" t="s">
        <v>1892</v>
      </c>
      <c r="D292" s="81" t="str">
        <f>IF(MouserListTable[[#This Row],[Vendor]]=FilterSpecs!$A$8,MouserListTable[[#This Row],[Mouser SKU]], MouserListTable[[#This Row],[Supplier SKU]])</f>
        <v>474-DEV-14438</v>
      </c>
      <c r="E292" s="94">
        <f>MouserListTable[[#This Row],[Tot '#]]-MouserListTable[[#This Row],['# Initial]]</f>
        <v>1</v>
      </c>
      <c r="F292" s="94">
        <f>IF(AND(MouserListTable[[#This Row],[Tag]]&lt;&gt;FilterSpecs!$F$12, MouserListTable[[#This Row],[Tag]]&lt;&gt;FilterSpecs!$F$9), MouserListTable[[#This Row],['#/Unit]]*FilterSpecs!$B$3+MouserListTable[[#This Row],[Extra Initial]],0)</f>
        <v>0</v>
      </c>
      <c r="G292" s="78" t="s">
        <v>1161</v>
      </c>
      <c r="H292" s="150" t="s">
        <v>1162</v>
      </c>
      <c r="I292" s="78" t="s">
        <v>1163</v>
      </c>
      <c r="J292" s="78"/>
      <c r="K292" s="117">
        <v>20</v>
      </c>
      <c r="L292" s="78" t="s">
        <v>1900</v>
      </c>
      <c r="M292" s="116" t="s">
        <v>1040</v>
      </c>
      <c r="N292" s="154">
        <f>MouserListTable[[#This Row],['# Initial]]*MouserListTable[[#This Row],[Price (USD)]]</f>
        <v>0</v>
      </c>
      <c r="O292" s="81" t="s">
        <v>1160</v>
      </c>
      <c r="P292" s="150">
        <f t="shared" si="4"/>
        <v>279</v>
      </c>
      <c r="Q292" s="78" t="s">
        <v>5</v>
      </c>
      <c r="R292"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474-DEV-14438</v>
      </c>
      <c r="S292" s="133" t="str">
        <f>HYPERLINK("https://www.mouser.com/ProductDetail/" &amp;MouserListTable[[#This Row],[Mouser SKU]])</f>
        <v>https://www.mouser.com/ProductDetail/474-DEV-14438</v>
      </c>
      <c r="T292" s="94">
        <v>0</v>
      </c>
      <c r="U292" s="94">
        <v>1</v>
      </c>
      <c r="V292" s="94">
        <v>0</v>
      </c>
      <c r="W292" s="94">
        <f>MouserListTable[[#This Row],['#/Unit]]*FilterSpecs!$C$3+MouserListTable[[#This Row],[Extra]]</f>
        <v>1</v>
      </c>
      <c r="X292" s="94">
        <f>IF(MouserListTable[[#This Row],[Tag]]=FilterSpecs!$F$7,MouserListTable[[#This Row],['#/Unit]]*MouserListTable[[#This Row],[Price (USD)]],0)</f>
        <v>0</v>
      </c>
      <c r="Y292" s="94">
        <f>MouserListTable[[#This Row],[Tot '#]]*MouserListTable[[#This Row],[Price (USD)]]</f>
        <v>20</v>
      </c>
      <c r="Z292"/>
    </row>
    <row r="293" spans="1:26" s="111" customFormat="1" ht="17.25" x14ac:dyDescent="0.25">
      <c r="A293" s="78" t="s">
        <v>1038</v>
      </c>
      <c r="B293" s="78" t="s">
        <v>2530</v>
      </c>
      <c r="C293" s="78" t="s">
        <v>1892</v>
      </c>
      <c r="D293" s="81" t="str">
        <f>IF(MouserListTable[[#This Row],[Vendor]]=FilterSpecs!$A$8,MouserListTable[[#This Row],[Mouser SKU]], MouserListTable[[#This Row],[Supplier SKU]])</f>
        <v>474-DEV-14431</v>
      </c>
      <c r="E293" s="94">
        <f>MouserListTable[[#This Row],[Tot '#]]-MouserListTable[[#This Row],['# Initial]]</f>
        <v>1</v>
      </c>
      <c r="F293" s="94">
        <f>IF(AND(MouserListTable[[#This Row],[Tag]]&lt;&gt;FilterSpecs!$F$12, MouserListTable[[#This Row],[Tag]]&lt;&gt;FilterSpecs!$F$9), MouserListTable[[#This Row],['#/Unit]]*FilterSpecs!$B$3+MouserListTable[[#This Row],[Extra Initial]],0)</f>
        <v>0</v>
      </c>
      <c r="G293" s="78" t="s">
        <v>1141</v>
      </c>
      <c r="H293" s="150" t="s">
        <v>1142</v>
      </c>
      <c r="I293" s="78" t="s">
        <v>1143</v>
      </c>
      <c r="J293" s="78"/>
      <c r="K293" s="117">
        <v>9</v>
      </c>
      <c r="L293" s="78" t="s">
        <v>1900</v>
      </c>
      <c r="M293" s="116" t="s">
        <v>1040</v>
      </c>
      <c r="N293" s="154">
        <f>MouserListTable[[#This Row],['# Initial]]*MouserListTable[[#This Row],[Price (USD)]]</f>
        <v>0</v>
      </c>
      <c r="O293" s="81" t="s">
        <v>1140</v>
      </c>
      <c r="P293" s="150">
        <f t="shared" si="4"/>
        <v>280</v>
      </c>
      <c r="Q293" s="78" t="s">
        <v>5</v>
      </c>
      <c r="R293"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474-DEV-14431</v>
      </c>
      <c r="S293" s="133" t="str">
        <f>HYPERLINK("https://www.mouser.com/ProductDetail/" &amp;MouserListTable[[#This Row],[Mouser SKU]])</f>
        <v>https://www.mouser.com/ProductDetail/474-DEV-14431</v>
      </c>
      <c r="T293" s="94">
        <v>0</v>
      </c>
      <c r="U293" s="94">
        <v>1</v>
      </c>
      <c r="V293" s="94">
        <v>0</v>
      </c>
      <c r="W293" s="94">
        <f>MouserListTable[[#This Row],['#/Unit]]*FilterSpecs!$C$3+MouserListTable[[#This Row],[Extra]]</f>
        <v>1</v>
      </c>
      <c r="X293" s="94">
        <f>IF(MouserListTable[[#This Row],[Tag]]=FilterSpecs!$F$7,MouserListTable[[#This Row],['#/Unit]]*MouserListTable[[#This Row],[Price (USD)]],0)</f>
        <v>0</v>
      </c>
      <c r="Y293" s="94">
        <f>MouserListTable[[#This Row],[Tot '#]]*MouserListTable[[#This Row],[Price (USD)]]</f>
        <v>9</v>
      </c>
      <c r="Z293"/>
    </row>
    <row r="294" spans="1:26" s="111" customFormat="1" ht="17.25" x14ac:dyDescent="0.25">
      <c r="A294" s="78" t="s">
        <v>1038</v>
      </c>
      <c r="B294" s="78" t="s">
        <v>2530</v>
      </c>
      <c r="C294" s="78" t="s">
        <v>1892</v>
      </c>
      <c r="D294" s="81" t="str">
        <f>IF(MouserListTable[[#This Row],[Vendor]]=FilterSpecs!$A$8,MouserListTable[[#This Row],[Mouser SKU]], MouserListTable[[#This Row],[Supplier SKU]])</f>
        <v>474-DEV-14443</v>
      </c>
      <c r="E294" s="94">
        <f>MouserListTable[[#This Row],[Tot '#]]-MouserListTable[[#This Row],['# Initial]]</f>
        <v>1</v>
      </c>
      <c r="F294" s="94">
        <f>IF(AND(MouserListTable[[#This Row],[Tag]]&lt;&gt;FilterSpecs!$F$12, MouserListTable[[#This Row],[Tag]]&lt;&gt;FilterSpecs!$F$9), MouserListTable[[#This Row],['#/Unit]]*FilterSpecs!$B$3+MouserListTable[[#This Row],[Extra Initial]],0)</f>
        <v>0</v>
      </c>
      <c r="G294" s="78" t="s">
        <v>1145</v>
      </c>
      <c r="H294" s="150" t="s">
        <v>1146</v>
      </c>
      <c r="I294" s="78" t="s">
        <v>1147</v>
      </c>
      <c r="J294" s="78"/>
      <c r="K294" s="117">
        <v>5</v>
      </c>
      <c r="L294" s="78" t="s">
        <v>1900</v>
      </c>
      <c r="M294" s="116" t="s">
        <v>1040</v>
      </c>
      <c r="N294" s="154">
        <f>MouserListTable[[#This Row],['# Initial]]*MouserListTable[[#This Row],[Price (USD)]]</f>
        <v>0</v>
      </c>
      <c r="O294" s="81" t="s">
        <v>1144</v>
      </c>
      <c r="P294" s="150">
        <f t="shared" si="4"/>
        <v>281</v>
      </c>
      <c r="Q294" s="78" t="s">
        <v>5</v>
      </c>
      <c r="R294"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474-DEV-14443</v>
      </c>
      <c r="S294" s="133" t="str">
        <f>HYPERLINK("https://www.mouser.com/ProductDetail/" &amp;MouserListTable[[#This Row],[Mouser SKU]])</f>
        <v>https://www.mouser.com/ProductDetail/474-DEV-14443</v>
      </c>
      <c r="T294" s="94">
        <v>0</v>
      </c>
      <c r="U294" s="94">
        <v>1</v>
      </c>
      <c r="V294" s="94">
        <v>0</v>
      </c>
      <c r="W294" s="94">
        <f>MouserListTable[[#This Row],['#/Unit]]*FilterSpecs!$C$3+MouserListTable[[#This Row],[Extra]]</f>
        <v>1</v>
      </c>
      <c r="X294" s="94">
        <f>IF(MouserListTable[[#This Row],[Tag]]=FilterSpecs!$F$7,MouserListTable[[#This Row],['#/Unit]]*MouserListTable[[#This Row],[Price (USD)]],0)</f>
        <v>0</v>
      </c>
      <c r="Y294" s="94">
        <f>MouserListTable[[#This Row],[Tot '#]]*MouserListTable[[#This Row],[Price (USD)]]</f>
        <v>5</v>
      </c>
      <c r="Z294"/>
    </row>
    <row r="295" spans="1:26" s="111" customFormat="1" ht="17.25" x14ac:dyDescent="0.25">
      <c r="A295" s="78" t="s">
        <v>1038</v>
      </c>
      <c r="B295" s="78" t="s">
        <v>2530</v>
      </c>
      <c r="C295" s="78" t="s">
        <v>1892</v>
      </c>
      <c r="D295" s="81" t="str">
        <f>IF(MouserListTable[[#This Row],[Vendor]]=FilterSpecs!$A$8,MouserListTable[[#This Row],[Mouser SKU]], MouserListTable[[#This Row],[Supplier SKU]])</f>
        <v>474-DEV-14442</v>
      </c>
      <c r="E295" s="94">
        <f>MouserListTable[[#This Row],[Tot '#]]-MouserListTable[[#This Row],['# Initial]]</f>
        <v>1</v>
      </c>
      <c r="F295" s="94">
        <f>IF(AND(MouserListTable[[#This Row],[Tag]]&lt;&gt;FilterSpecs!$F$12, MouserListTable[[#This Row],[Tag]]&lt;&gt;FilterSpecs!$F$9), MouserListTable[[#This Row],['#/Unit]]*FilterSpecs!$B$3+MouserListTable[[#This Row],[Extra Initial]],0)</f>
        <v>0</v>
      </c>
      <c r="G295" s="78" t="s">
        <v>1153</v>
      </c>
      <c r="H295" s="150" t="s">
        <v>1154</v>
      </c>
      <c r="I295" s="78" t="s">
        <v>1155</v>
      </c>
      <c r="J295" s="78"/>
      <c r="K295" s="117">
        <v>15</v>
      </c>
      <c r="L295" s="78" t="s">
        <v>1900</v>
      </c>
      <c r="M295" s="116" t="s">
        <v>1040</v>
      </c>
      <c r="N295" s="154">
        <f>MouserListTable[[#This Row],['# Initial]]*MouserListTable[[#This Row],[Price (USD)]]</f>
        <v>0</v>
      </c>
      <c r="O295" s="81" t="s">
        <v>1152</v>
      </c>
      <c r="P295" s="150">
        <f t="shared" si="4"/>
        <v>282</v>
      </c>
      <c r="Q295" s="78" t="s">
        <v>5</v>
      </c>
      <c r="R295"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474-DEV-14442</v>
      </c>
      <c r="S295" s="133" t="str">
        <f>HYPERLINK("https://www.mouser.com/ProductDetail/" &amp;MouserListTable[[#This Row],[Mouser SKU]])</f>
        <v>https://www.mouser.com/ProductDetail/474-DEV-14442</v>
      </c>
      <c r="T295" s="94">
        <v>0</v>
      </c>
      <c r="U295" s="94">
        <v>1</v>
      </c>
      <c r="V295" s="94">
        <v>0</v>
      </c>
      <c r="W295" s="94">
        <f>MouserListTable[[#This Row],['#/Unit]]*FilterSpecs!$C$3+MouserListTable[[#This Row],[Extra]]</f>
        <v>1</v>
      </c>
      <c r="X295" s="94">
        <f>IF(MouserListTable[[#This Row],[Tag]]=FilterSpecs!$F$7,MouserListTable[[#This Row],['#/Unit]]*MouserListTable[[#This Row],[Price (USD)]],0)</f>
        <v>0</v>
      </c>
      <c r="Y295" s="94">
        <f>MouserListTable[[#This Row],[Tot '#]]*MouserListTable[[#This Row],[Price (USD)]]</f>
        <v>15</v>
      </c>
      <c r="Z295"/>
    </row>
    <row r="296" spans="1:26" s="111" customFormat="1" ht="17.25" x14ac:dyDescent="0.25">
      <c r="A296" s="78" t="s">
        <v>1038</v>
      </c>
      <c r="B296" s="78" t="s">
        <v>2530</v>
      </c>
      <c r="C296" s="78" t="s">
        <v>1892</v>
      </c>
      <c r="D296" s="81" t="str">
        <f>IF(MouserListTable[[#This Row],[Vendor]]=FilterSpecs!$A$8,MouserListTable[[#This Row],[Mouser SKU]], MouserListTable[[#This Row],[Supplier SKU]])</f>
        <v>474-DEV-14441</v>
      </c>
      <c r="E296" s="94">
        <f>MouserListTable[[#This Row],[Tot '#]]-MouserListTable[[#This Row],['# Initial]]</f>
        <v>1</v>
      </c>
      <c r="F296" s="94">
        <f>IF(AND(MouserListTable[[#This Row],[Tag]]&lt;&gt;FilterSpecs!$F$12, MouserListTable[[#This Row],[Tag]]&lt;&gt;FilterSpecs!$F$9), MouserListTable[[#This Row],['#/Unit]]*FilterSpecs!$B$3+MouserListTable[[#This Row],[Extra Initial]],0)</f>
        <v>0</v>
      </c>
      <c r="G296" s="78" t="s">
        <v>1157</v>
      </c>
      <c r="H296" s="150" t="s">
        <v>1158</v>
      </c>
      <c r="I296" s="78" t="s">
        <v>1159</v>
      </c>
      <c r="J296" s="78"/>
      <c r="K296" s="117">
        <v>15</v>
      </c>
      <c r="L296" s="78" t="s">
        <v>1900</v>
      </c>
      <c r="M296" s="116" t="s">
        <v>1040</v>
      </c>
      <c r="N296" s="154">
        <f>MouserListTable[[#This Row],['# Initial]]*MouserListTable[[#This Row],[Price (USD)]]</f>
        <v>0</v>
      </c>
      <c r="O296" s="81" t="s">
        <v>1156</v>
      </c>
      <c r="P296" s="150">
        <f t="shared" si="4"/>
        <v>283</v>
      </c>
      <c r="Q296" s="78" t="s">
        <v>5</v>
      </c>
      <c r="R296"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474-DEV-14441</v>
      </c>
      <c r="S296" s="133" t="str">
        <f>HYPERLINK("https://www.mouser.com/ProductDetail/" &amp;MouserListTable[[#This Row],[Mouser SKU]])</f>
        <v>https://www.mouser.com/ProductDetail/474-DEV-14441</v>
      </c>
      <c r="T296" s="94">
        <v>0</v>
      </c>
      <c r="U296" s="94">
        <v>1</v>
      </c>
      <c r="V296" s="94">
        <v>0</v>
      </c>
      <c r="W296" s="94">
        <f>MouserListTable[[#This Row],['#/Unit]]*FilterSpecs!$C$3+MouserListTable[[#This Row],[Extra]]</f>
        <v>1</v>
      </c>
      <c r="X296" s="94">
        <f>IF(MouserListTable[[#This Row],[Tag]]=FilterSpecs!$F$7,MouserListTable[[#This Row],['#/Unit]]*MouserListTable[[#This Row],[Price (USD)]],0)</f>
        <v>0</v>
      </c>
      <c r="Y296" s="94">
        <f>MouserListTable[[#This Row],[Tot '#]]*MouserListTable[[#This Row],[Price (USD)]]</f>
        <v>15</v>
      </c>
      <c r="Z296"/>
    </row>
    <row r="297" spans="1:26" s="104" customFormat="1" x14ac:dyDescent="0.25">
      <c r="A297" s="78" t="s">
        <v>1038</v>
      </c>
      <c r="B297" s="78" t="s">
        <v>1168</v>
      </c>
      <c r="C297" s="78" t="s">
        <v>1892</v>
      </c>
      <c r="D297" s="81" t="str">
        <f>IF(MouserListTable[[#This Row],[Vendor]]=FilterSpecs!$A$8,MouserListTable[[#This Row],[Mouser SKU]], MouserListTable[[#This Row],[Supplier SKU]])</f>
        <v>474-DEV-14437</v>
      </c>
      <c r="E297" s="94">
        <f>MouserListTable[[#This Row],[Tot '#]]-MouserListTable[[#This Row],['# Initial]]</f>
        <v>1</v>
      </c>
      <c r="F297" s="94">
        <f>IF(AND(MouserListTable[[#This Row],[Tag]]&lt;&gt;FilterSpecs!$F$12, MouserListTable[[#This Row],[Tag]]&lt;&gt;FilterSpecs!$F$9), MouserListTable[[#This Row],['#/Unit]]*FilterSpecs!$B$3+MouserListTable[[#This Row],[Extra Initial]],0)</f>
        <v>0</v>
      </c>
      <c r="G297" s="78" t="s">
        <v>2412</v>
      </c>
      <c r="H297" s="150" t="s">
        <v>2413</v>
      </c>
      <c r="I297" s="78" t="s">
        <v>2414</v>
      </c>
      <c r="J297" s="78"/>
      <c r="K297" s="117">
        <v>15</v>
      </c>
      <c r="L297" s="78" t="s">
        <v>1900</v>
      </c>
      <c r="M297" s="78" t="s">
        <v>1040</v>
      </c>
      <c r="N297" s="154">
        <f>MouserListTable[[#This Row],['# Initial]]*MouserListTable[[#This Row],[Price (USD)]]</f>
        <v>0</v>
      </c>
      <c r="O297" s="81" t="s">
        <v>2411</v>
      </c>
      <c r="P297" s="150">
        <f t="shared" si="4"/>
        <v>284</v>
      </c>
      <c r="Q297" s="78" t="s">
        <v>5</v>
      </c>
      <c r="R297"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474-DEV-14437</v>
      </c>
      <c r="S297" s="133" t="str">
        <f>HYPERLINK("https://www.mouser.com/ProductDetail/" &amp;MouserListTable[[#This Row],[Mouser SKU]])</f>
        <v>https://www.mouser.com/ProductDetail/474-DEV-14437</v>
      </c>
      <c r="T297" s="94">
        <v>0</v>
      </c>
      <c r="U297" s="94">
        <v>1</v>
      </c>
      <c r="V297" s="94">
        <v>0</v>
      </c>
      <c r="W297" s="94">
        <f>MouserListTable[[#This Row],['#/Unit]]*FilterSpecs!$C$3+MouserListTable[[#This Row],[Extra]]</f>
        <v>1</v>
      </c>
      <c r="X297" s="94">
        <f>IF(MouserListTable[[#This Row],[Tag]]=FilterSpecs!$F$7,MouserListTable[[#This Row],['#/Unit]]*MouserListTable[[#This Row],[Price (USD)]],0)</f>
        <v>0</v>
      </c>
      <c r="Y297" s="94">
        <f>MouserListTable[[#This Row],[Tot '#]]*MouserListTable[[#This Row],[Price (USD)]]</f>
        <v>15</v>
      </c>
      <c r="Z297"/>
    </row>
    <row r="298" spans="1:26" s="104" customFormat="1" x14ac:dyDescent="0.25">
      <c r="A298" s="78" t="s">
        <v>1038</v>
      </c>
      <c r="B298" s="78" t="s">
        <v>1168</v>
      </c>
      <c r="C298" s="78" t="s">
        <v>1892</v>
      </c>
      <c r="D298" s="81" t="str">
        <f>IF(MouserListTable[[#This Row],[Vendor]]=FilterSpecs!$A$8,MouserListTable[[#This Row],[Mouser SKU]], MouserListTable[[#This Row],[Supplier SKU]])</f>
        <v>474-DEV-14436</v>
      </c>
      <c r="E298" s="94">
        <f>MouserListTable[[#This Row],[Tot '#]]-MouserListTable[[#This Row],['# Initial]]</f>
        <v>1</v>
      </c>
      <c r="F298" s="94">
        <f>IF(AND(MouserListTable[[#This Row],[Tag]]&lt;&gt;FilterSpecs!$F$12, MouserListTable[[#This Row],[Tag]]&lt;&gt;FilterSpecs!$F$9), MouserListTable[[#This Row],['#/Unit]]*FilterSpecs!$B$3+MouserListTable[[#This Row],[Extra Initial]],0)</f>
        <v>0</v>
      </c>
      <c r="G298" s="78" t="s">
        <v>2416</v>
      </c>
      <c r="H298" s="150" t="s">
        <v>2417</v>
      </c>
      <c r="I298" s="78" t="s">
        <v>2418</v>
      </c>
      <c r="J298" s="78"/>
      <c r="K298" s="117">
        <v>10</v>
      </c>
      <c r="L298" s="78" t="s">
        <v>1900</v>
      </c>
      <c r="M298" s="78" t="s">
        <v>1040</v>
      </c>
      <c r="N298" s="154">
        <f>MouserListTable[[#This Row],['# Initial]]*MouserListTable[[#This Row],[Price (USD)]]</f>
        <v>0</v>
      </c>
      <c r="O298" s="81" t="s">
        <v>2415</v>
      </c>
      <c r="P298" s="150">
        <f t="shared" si="4"/>
        <v>285</v>
      </c>
      <c r="Q298" s="78" t="s">
        <v>5</v>
      </c>
      <c r="R298"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474-DEV-14436</v>
      </c>
      <c r="S298" s="133" t="str">
        <f>HYPERLINK("https://www.mouser.com/ProductDetail/" &amp;MouserListTable[[#This Row],[Mouser SKU]])</f>
        <v>https://www.mouser.com/ProductDetail/474-DEV-14436</v>
      </c>
      <c r="T298" s="94">
        <v>0</v>
      </c>
      <c r="U298" s="94">
        <v>1</v>
      </c>
      <c r="V298" s="94">
        <v>0</v>
      </c>
      <c r="W298" s="94">
        <f>MouserListTable[[#This Row],['#/Unit]]*FilterSpecs!$C$3+MouserListTable[[#This Row],[Extra]]</f>
        <v>1</v>
      </c>
      <c r="X298" s="94">
        <f>IF(MouserListTable[[#This Row],[Tag]]=FilterSpecs!$F$7,MouserListTable[[#This Row],['#/Unit]]*MouserListTable[[#This Row],[Price (USD)]],0)</f>
        <v>0</v>
      </c>
      <c r="Y298" s="94">
        <f>MouserListTable[[#This Row],[Tot '#]]*MouserListTable[[#This Row],[Price (USD)]]</f>
        <v>10</v>
      </c>
      <c r="Z298"/>
    </row>
    <row r="299" spans="1:26" s="111" customFormat="1" ht="17.25" x14ac:dyDescent="0.25">
      <c r="A299" s="78" t="s">
        <v>1039</v>
      </c>
      <c r="B299" s="78" t="s">
        <v>2531</v>
      </c>
      <c r="C299" s="78" t="s">
        <v>1892</v>
      </c>
      <c r="D299" s="81" t="str">
        <f>IF(MouserListTable[[#This Row],[Vendor]]=FilterSpecs!$A$8,MouserListTable[[#This Row],[Mouser SKU]], MouserListTable[[#This Row],[Supplier SKU]])</f>
        <v>474-DEV-14439</v>
      </c>
      <c r="E299" s="94">
        <f>MouserListTable[[#This Row],[Tot '#]]-MouserListTable[[#This Row],['# Initial]]</f>
        <v>1</v>
      </c>
      <c r="F299" s="94">
        <f>IF(AND(MouserListTable[[#This Row],[Tag]]&lt;&gt;FilterSpecs!$F$12, MouserListTable[[#This Row],[Tag]]&lt;&gt;FilterSpecs!$F$9), MouserListTable[[#This Row],['#/Unit]]*FilterSpecs!$B$3+MouserListTable[[#This Row],[Extra Initial]],0)</f>
        <v>0</v>
      </c>
      <c r="G299" s="78" t="s">
        <v>1065</v>
      </c>
      <c r="H299" s="150" t="s">
        <v>1066</v>
      </c>
      <c r="I299" s="78" t="s">
        <v>1067</v>
      </c>
      <c r="J299" s="78"/>
      <c r="K299" s="117">
        <v>15</v>
      </c>
      <c r="L299" s="78" t="s">
        <v>1900</v>
      </c>
      <c r="M299" s="116" t="s">
        <v>1040</v>
      </c>
      <c r="N299" s="154">
        <f>MouserListTable[[#This Row],['# Initial]]*MouserListTable[[#This Row],[Price (USD)]]</f>
        <v>0</v>
      </c>
      <c r="O299" s="81" t="s">
        <v>1064</v>
      </c>
      <c r="P299" s="150">
        <f t="shared" si="4"/>
        <v>286</v>
      </c>
      <c r="Q299" s="78" t="s">
        <v>5</v>
      </c>
      <c r="R299"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474-DEV-14439</v>
      </c>
      <c r="S299" s="133" t="str">
        <f>HYPERLINK("https://www.mouser.com/ProductDetail/" &amp;MouserListTable[[#This Row],[Mouser SKU]])</f>
        <v>https://www.mouser.com/ProductDetail/474-DEV-14439</v>
      </c>
      <c r="T299" s="94">
        <v>0</v>
      </c>
      <c r="U299" s="94">
        <v>1</v>
      </c>
      <c r="V299" s="94">
        <v>0</v>
      </c>
      <c r="W299" s="94">
        <f>MouserListTable[[#This Row],['#/Unit]]*FilterSpecs!$C$3+MouserListTable[[#This Row],[Extra]]</f>
        <v>1</v>
      </c>
      <c r="X299" s="94">
        <f>IF(MouserListTable[[#This Row],[Tag]]=FilterSpecs!$F$7,MouserListTable[[#This Row],['#/Unit]]*MouserListTable[[#This Row],[Price (USD)]],0)</f>
        <v>0</v>
      </c>
      <c r="Y299" s="94">
        <f>MouserListTable[[#This Row],[Tot '#]]*MouserListTable[[#This Row],[Price (USD)]]</f>
        <v>15</v>
      </c>
      <c r="Z299"/>
    </row>
    <row r="300" spans="1:26" s="111" customFormat="1" ht="17.25" x14ac:dyDescent="0.25">
      <c r="A300" s="78" t="s">
        <v>1039</v>
      </c>
      <c r="B300" s="78" t="s">
        <v>2531</v>
      </c>
      <c r="C300" s="78" t="s">
        <v>1892</v>
      </c>
      <c r="D300" s="81" t="str">
        <f>IF(MouserListTable[[#This Row],[Vendor]]=FilterSpecs!$A$8,MouserListTable[[#This Row],[Mouser SKU]], MouserListTable[[#This Row],[Supplier SKU]])</f>
        <v>474-DEV-14431</v>
      </c>
      <c r="E300" s="94">
        <f>MouserListTable[[#This Row],[Tot '#]]-MouserListTable[[#This Row],['# Initial]]</f>
        <v>1</v>
      </c>
      <c r="F300" s="94">
        <f>IF(AND(MouserListTable[[#This Row],[Tag]]&lt;&gt;FilterSpecs!$F$12, MouserListTable[[#This Row],[Tag]]&lt;&gt;FilterSpecs!$F$9), MouserListTable[[#This Row],['#/Unit]]*FilterSpecs!$B$3+MouserListTable[[#This Row],[Extra Initial]],0)</f>
        <v>0</v>
      </c>
      <c r="G300" s="78" t="s">
        <v>1141</v>
      </c>
      <c r="H300" s="150" t="s">
        <v>1142</v>
      </c>
      <c r="I300" s="78" t="s">
        <v>1143</v>
      </c>
      <c r="J300" s="78"/>
      <c r="K300" s="117">
        <v>9</v>
      </c>
      <c r="L300" s="78" t="s">
        <v>1900</v>
      </c>
      <c r="M300" s="116" t="s">
        <v>1040</v>
      </c>
      <c r="N300" s="154">
        <f>MouserListTable[[#This Row],['# Initial]]*MouserListTable[[#This Row],[Price (USD)]]</f>
        <v>0</v>
      </c>
      <c r="O300" s="81" t="s">
        <v>1140</v>
      </c>
      <c r="P300" s="150">
        <f t="shared" si="4"/>
        <v>287</v>
      </c>
      <c r="Q300" s="78" t="s">
        <v>5</v>
      </c>
      <c r="R300"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474-DEV-14431</v>
      </c>
      <c r="S300" s="133" t="str">
        <f>HYPERLINK("https://www.mouser.com/ProductDetail/" &amp;MouserListTable[[#This Row],[Mouser SKU]])</f>
        <v>https://www.mouser.com/ProductDetail/474-DEV-14431</v>
      </c>
      <c r="T300" s="94">
        <v>0</v>
      </c>
      <c r="U300" s="94">
        <v>1</v>
      </c>
      <c r="V300" s="94">
        <v>0</v>
      </c>
      <c r="W300" s="94">
        <f>MouserListTable[[#This Row],['#/Unit]]*FilterSpecs!$C$3+MouserListTable[[#This Row],[Extra]]</f>
        <v>1</v>
      </c>
      <c r="X300" s="94">
        <f>IF(MouserListTable[[#This Row],[Tag]]=FilterSpecs!$F$7,MouserListTable[[#This Row],['#/Unit]]*MouserListTable[[#This Row],[Price (USD)]],0)</f>
        <v>0</v>
      </c>
      <c r="Y300" s="94">
        <f>MouserListTable[[#This Row],[Tot '#]]*MouserListTable[[#This Row],[Price (USD)]]</f>
        <v>9</v>
      </c>
      <c r="Z300"/>
    </row>
    <row r="301" spans="1:26" s="111" customFormat="1" ht="17.25" x14ac:dyDescent="0.25">
      <c r="A301" s="78" t="s">
        <v>1039</v>
      </c>
      <c r="B301" s="78" t="s">
        <v>2531</v>
      </c>
      <c r="C301" s="78" t="s">
        <v>1892</v>
      </c>
      <c r="D301" s="81" t="str">
        <f>IF(MouserListTable[[#This Row],[Vendor]]=FilterSpecs!$A$8,MouserListTable[[#This Row],[Mouser SKU]], MouserListTable[[#This Row],[Supplier SKU]])</f>
        <v>474-DEV-14446</v>
      </c>
      <c r="E301" s="94">
        <f>MouserListTable[[#This Row],[Tot '#]]-MouserListTable[[#This Row],['# Initial]]</f>
        <v>1</v>
      </c>
      <c r="F301" s="94">
        <f>IF(AND(MouserListTable[[#This Row],[Tag]]&lt;&gt;FilterSpecs!$F$12, MouserListTable[[#This Row],[Tag]]&lt;&gt;FilterSpecs!$F$9), MouserListTable[[#This Row],['#/Unit]]*FilterSpecs!$B$3+MouserListTable[[#This Row],[Extra Initial]],0)</f>
        <v>0</v>
      </c>
      <c r="G301" s="78" t="s">
        <v>1149</v>
      </c>
      <c r="H301" s="150" t="s">
        <v>1150</v>
      </c>
      <c r="I301" s="78" t="s">
        <v>1151</v>
      </c>
      <c r="J301" s="78"/>
      <c r="K301" s="117">
        <v>30</v>
      </c>
      <c r="L301" s="78" t="s">
        <v>1900</v>
      </c>
      <c r="M301" s="116" t="s">
        <v>1040</v>
      </c>
      <c r="N301" s="154">
        <f>MouserListTable[[#This Row],['# Initial]]*MouserListTable[[#This Row],[Price (USD)]]</f>
        <v>0</v>
      </c>
      <c r="O301" s="81" t="s">
        <v>1148</v>
      </c>
      <c r="P301" s="150">
        <f t="shared" si="4"/>
        <v>288</v>
      </c>
      <c r="Q301" s="78" t="s">
        <v>5</v>
      </c>
      <c r="R301"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474-DEV-14446</v>
      </c>
      <c r="S301" s="133" t="str">
        <f>HYPERLINK("https://www.mouser.com/ProductDetail/" &amp;MouserListTable[[#This Row],[Mouser SKU]])</f>
        <v>https://www.mouser.com/ProductDetail/474-DEV-14446</v>
      </c>
      <c r="T301" s="94">
        <v>0</v>
      </c>
      <c r="U301" s="94">
        <v>1</v>
      </c>
      <c r="V301" s="94">
        <v>0</v>
      </c>
      <c r="W301" s="94">
        <f>MouserListTable[[#This Row],['#/Unit]]*FilterSpecs!$C$3+MouserListTable[[#This Row],[Extra]]</f>
        <v>1</v>
      </c>
      <c r="X301" s="94">
        <f>IF(MouserListTable[[#This Row],[Tag]]=FilterSpecs!$F$7,MouserListTable[[#This Row],['#/Unit]]*MouserListTable[[#This Row],[Price (USD)]],0)</f>
        <v>0</v>
      </c>
      <c r="Y301" s="94">
        <f>MouserListTable[[#This Row],[Tot '#]]*MouserListTable[[#This Row],[Price (USD)]]</f>
        <v>30</v>
      </c>
      <c r="Z301"/>
    </row>
    <row r="302" spans="1:26" s="111" customFormat="1" ht="17.25" x14ac:dyDescent="0.25">
      <c r="A302" s="78" t="s">
        <v>1039</v>
      </c>
      <c r="B302" s="78" t="s">
        <v>2531</v>
      </c>
      <c r="C302" s="78" t="s">
        <v>1892</v>
      </c>
      <c r="D302" s="81" t="str">
        <f>IF(MouserListTable[[#This Row],[Vendor]]=FilterSpecs!$A$8,MouserListTable[[#This Row],[Mouser SKU]], MouserListTable[[#This Row],[Supplier SKU]])</f>
        <v>474-DEV-14443</v>
      </c>
      <c r="E302" s="94">
        <f>MouserListTable[[#This Row],[Tot '#]]-MouserListTable[[#This Row],['# Initial]]</f>
        <v>1</v>
      </c>
      <c r="F302" s="94">
        <f>IF(AND(MouserListTable[[#This Row],[Tag]]&lt;&gt;FilterSpecs!$F$12, MouserListTable[[#This Row],[Tag]]&lt;&gt;FilterSpecs!$F$9), MouserListTable[[#This Row],['#/Unit]]*FilterSpecs!$B$3+MouserListTable[[#This Row],[Extra Initial]],0)</f>
        <v>0</v>
      </c>
      <c r="G302" s="78" t="s">
        <v>1145</v>
      </c>
      <c r="H302" s="150" t="s">
        <v>1146</v>
      </c>
      <c r="I302" s="78" t="s">
        <v>1147</v>
      </c>
      <c r="J302" s="78"/>
      <c r="K302" s="117">
        <v>5</v>
      </c>
      <c r="L302" s="78" t="s">
        <v>1900</v>
      </c>
      <c r="M302" s="116" t="s">
        <v>1040</v>
      </c>
      <c r="N302" s="154">
        <f>MouserListTable[[#This Row],['# Initial]]*MouserListTable[[#This Row],[Price (USD)]]</f>
        <v>0</v>
      </c>
      <c r="O302" s="81" t="s">
        <v>1144</v>
      </c>
      <c r="P302" s="150">
        <f t="shared" si="4"/>
        <v>289</v>
      </c>
      <c r="Q302" s="78" t="s">
        <v>5</v>
      </c>
      <c r="R302"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474-DEV-14443</v>
      </c>
      <c r="S302" s="133" t="str">
        <f>HYPERLINK("https://www.mouser.com/ProductDetail/" &amp;MouserListTable[[#This Row],[Mouser SKU]])</f>
        <v>https://www.mouser.com/ProductDetail/474-DEV-14443</v>
      </c>
      <c r="T302" s="94">
        <v>0</v>
      </c>
      <c r="U302" s="94">
        <v>1</v>
      </c>
      <c r="V302" s="94">
        <v>0</v>
      </c>
      <c r="W302" s="94">
        <f>MouserListTable[[#This Row],['#/Unit]]*FilterSpecs!$C$3+MouserListTable[[#This Row],[Extra]]</f>
        <v>1</v>
      </c>
      <c r="X302" s="94">
        <f>IF(MouserListTable[[#This Row],[Tag]]=FilterSpecs!$F$7,MouserListTable[[#This Row],['#/Unit]]*MouserListTable[[#This Row],[Price (USD)]],0)</f>
        <v>0</v>
      </c>
      <c r="Y302" s="94">
        <f>MouserListTable[[#This Row],[Tot '#]]*MouserListTable[[#This Row],[Price (USD)]]</f>
        <v>5</v>
      </c>
      <c r="Z302"/>
    </row>
    <row r="303" spans="1:26" s="111" customFormat="1" ht="17.25" x14ac:dyDescent="0.25">
      <c r="A303" s="78" t="s">
        <v>1039</v>
      </c>
      <c r="B303" s="78" t="s">
        <v>2531</v>
      </c>
      <c r="C303" s="78" t="s">
        <v>1892</v>
      </c>
      <c r="D303" s="81" t="str">
        <f>IF(MouserListTable[[#This Row],[Vendor]]=FilterSpecs!$A$8,MouserListTable[[#This Row],[Mouser SKU]], MouserListTable[[#This Row],[Supplier SKU]])</f>
        <v>474-DEV-14442</v>
      </c>
      <c r="E303" s="94">
        <f>MouserListTable[[#This Row],[Tot '#]]-MouserListTable[[#This Row],['# Initial]]</f>
        <v>1</v>
      </c>
      <c r="F303" s="94">
        <f>IF(AND(MouserListTable[[#This Row],[Tag]]&lt;&gt;FilterSpecs!$F$12, MouserListTable[[#This Row],[Tag]]&lt;&gt;FilterSpecs!$F$9), MouserListTable[[#This Row],['#/Unit]]*FilterSpecs!$B$3+MouserListTable[[#This Row],[Extra Initial]],0)</f>
        <v>0</v>
      </c>
      <c r="G303" s="78" t="s">
        <v>1153</v>
      </c>
      <c r="H303" s="150" t="s">
        <v>1154</v>
      </c>
      <c r="I303" s="78" t="s">
        <v>1155</v>
      </c>
      <c r="J303" s="78"/>
      <c r="K303" s="117">
        <v>15</v>
      </c>
      <c r="L303" s="78" t="s">
        <v>1900</v>
      </c>
      <c r="M303" s="116" t="s">
        <v>1040</v>
      </c>
      <c r="N303" s="154">
        <f>MouserListTable[[#This Row],['# Initial]]*MouserListTable[[#This Row],[Price (USD)]]</f>
        <v>0</v>
      </c>
      <c r="O303" s="81" t="s">
        <v>1152</v>
      </c>
      <c r="P303" s="150">
        <f t="shared" si="4"/>
        <v>290</v>
      </c>
      <c r="Q303" s="78" t="s">
        <v>5</v>
      </c>
      <c r="R303"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474-DEV-14442</v>
      </c>
      <c r="S303" s="133" t="str">
        <f>HYPERLINK("https://www.mouser.com/ProductDetail/" &amp;MouserListTable[[#This Row],[Mouser SKU]])</f>
        <v>https://www.mouser.com/ProductDetail/474-DEV-14442</v>
      </c>
      <c r="T303" s="94">
        <v>0</v>
      </c>
      <c r="U303" s="94">
        <v>1</v>
      </c>
      <c r="V303" s="94">
        <v>0</v>
      </c>
      <c r="W303" s="94">
        <f>MouserListTable[[#This Row],['#/Unit]]*FilterSpecs!$C$3+MouserListTable[[#This Row],[Extra]]</f>
        <v>1</v>
      </c>
      <c r="X303" s="94">
        <f>IF(MouserListTable[[#This Row],[Tag]]=FilterSpecs!$F$7,MouserListTable[[#This Row],['#/Unit]]*MouserListTable[[#This Row],[Price (USD)]],0)</f>
        <v>0</v>
      </c>
      <c r="Y303" s="94">
        <f>MouserListTable[[#This Row],[Tot '#]]*MouserListTable[[#This Row],[Price (USD)]]</f>
        <v>15</v>
      </c>
      <c r="Z303"/>
    </row>
    <row r="304" spans="1:26" s="111" customFormat="1" x14ac:dyDescent="0.25">
      <c r="A304" s="78" t="s">
        <v>1039</v>
      </c>
      <c r="B304" s="78" t="s">
        <v>1056</v>
      </c>
      <c r="C304" s="78" t="s">
        <v>1892</v>
      </c>
      <c r="D304" s="81" t="str">
        <f>IF(MouserListTable[[#This Row],[Vendor]]=FilterSpecs!$A$8,MouserListTable[[#This Row],[Mouser SKU]], MouserListTable[[#This Row],[Supplier SKU]])</f>
        <v>474-WRL-14280</v>
      </c>
      <c r="E304" s="94">
        <f>MouserListTable[[#This Row],[Tot '#]]-MouserListTable[[#This Row],['# Initial]]</f>
        <v>1</v>
      </c>
      <c r="F304" s="94">
        <f>IF(AND(MouserListTable[[#This Row],[Tag]]&lt;&gt;FilterSpecs!$F$12, MouserListTable[[#This Row],[Tag]]&lt;&gt;FilterSpecs!$F$9), MouserListTable[[#This Row],['#/Unit]]*FilterSpecs!$B$3+MouserListTable[[#This Row],[Extra Initial]],0)</f>
        <v>0</v>
      </c>
      <c r="G304" s="78" t="s">
        <v>345</v>
      </c>
      <c r="H304" s="150" t="s">
        <v>346</v>
      </c>
      <c r="I304" s="78" t="s">
        <v>347</v>
      </c>
      <c r="J304" s="78"/>
      <c r="K304" s="117">
        <v>24.95</v>
      </c>
      <c r="L304" s="78" t="s">
        <v>1900</v>
      </c>
      <c r="M304" s="78" t="s">
        <v>1041</v>
      </c>
      <c r="N304" s="154">
        <f>MouserListTable[[#This Row],['# Initial]]*MouserListTable[[#This Row],[Price (USD)]]</f>
        <v>0</v>
      </c>
      <c r="O304" s="81" t="s">
        <v>344</v>
      </c>
      <c r="P304" s="150">
        <f t="shared" si="4"/>
        <v>291</v>
      </c>
      <c r="Q304" s="78" t="s">
        <v>5</v>
      </c>
      <c r="R304"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474-WRL-14280</v>
      </c>
      <c r="S304" s="133" t="str">
        <f>HYPERLINK("https://www.mouser.com/ProductDetail/" &amp;MouserListTable[[#This Row],[Mouser SKU]])</f>
        <v>https://www.mouser.com/ProductDetail/474-WRL-14280</v>
      </c>
      <c r="T304" s="94">
        <v>0</v>
      </c>
      <c r="U304" s="94">
        <v>1</v>
      </c>
      <c r="V304" s="94">
        <v>0</v>
      </c>
      <c r="W304" s="94">
        <f>MouserListTable[[#This Row],['#/Unit]]*FilterSpecs!$C$3+MouserListTable[[#This Row],[Extra]]</f>
        <v>1</v>
      </c>
      <c r="X304" s="94">
        <f>IF(MouserListTable[[#This Row],[Tag]]=FilterSpecs!$F$7,MouserListTable[[#This Row],['#/Unit]]*MouserListTable[[#This Row],[Price (USD)]],0)</f>
        <v>0</v>
      </c>
      <c r="Y304" s="94">
        <f>MouserListTable[[#This Row],[Tot '#]]*MouserListTable[[#This Row],[Price (USD)]]</f>
        <v>24.95</v>
      </c>
      <c r="Z304"/>
    </row>
    <row r="305" spans="1:26" s="111" customFormat="1" x14ac:dyDescent="0.25">
      <c r="A305" s="78" t="s">
        <v>1039</v>
      </c>
      <c r="B305" s="78" t="s">
        <v>1604</v>
      </c>
      <c r="C305" s="78" t="s">
        <v>1892</v>
      </c>
      <c r="D305" s="81" t="str">
        <f>IF(MouserListTable[[#This Row],[Vendor]]=FilterSpecs!$A$8,MouserListTable[[#This Row],[Mouser SKU]], MouserListTable[[#This Row],[Supplier SKU]])</f>
        <v>474-DEV-13613</v>
      </c>
      <c r="E305" s="94">
        <f>MouserListTable[[#This Row],[Tot '#]]-MouserListTable[[#This Row],['# Initial]]</f>
        <v>1</v>
      </c>
      <c r="F305" s="94">
        <f>IF(AND(MouserListTable[[#This Row],[Tag]]&lt;&gt;FilterSpecs!$F$12, MouserListTable[[#This Row],[Tag]]&lt;&gt;FilterSpecs!$F$9), MouserListTable[[#This Row],['#/Unit]]*FilterSpecs!$B$3+MouserListTable[[#This Row],[Extra Initial]],0)</f>
        <v>0</v>
      </c>
      <c r="G305" s="78" t="s">
        <v>349</v>
      </c>
      <c r="H305" s="150" t="s">
        <v>350</v>
      </c>
      <c r="I305" s="78" t="s">
        <v>351</v>
      </c>
      <c r="J305" s="78">
        <v>1</v>
      </c>
      <c r="K305" s="117">
        <v>39.950000000000003</v>
      </c>
      <c r="L305" s="78" t="s">
        <v>1900</v>
      </c>
      <c r="M305" s="78" t="s">
        <v>1036</v>
      </c>
      <c r="N305" s="154">
        <f>MouserListTable[[#This Row],['# Initial]]*MouserListTable[[#This Row],[Price (USD)]]</f>
        <v>0</v>
      </c>
      <c r="O305" s="81" t="s">
        <v>348</v>
      </c>
      <c r="P305" s="150">
        <f t="shared" si="4"/>
        <v>292</v>
      </c>
      <c r="Q305" s="78" t="s">
        <v>5</v>
      </c>
      <c r="R305"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474-DEV-13613</v>
      </c>
      <c r="S305" s="133" t="str">
        <f>HYPERLINK("https://www.mouser.com/ProductDetail/" &amp;MouserListTable[[#This Row],[Mouser SKU]])</f>
        <v>https://www.mouser.com/ProductDetail/474-DEV-13613</v>
      </c>
      <c r="T305" s="94">
        <v>0</v>
      </c>
      <c r="U305" s="94">
        <v>1</v>
      </c>
      <c r="V305" s="94">
        <v>0</v>
      </c>
      <c r="W305" s="94">
        <f>MouserListTable[[#This Row],['#/Unit]]*FilterSpecs!$C$3+MouserListTable[[#This Row],[Extra]]</f>
        <v>1</v>
      </c>
      <c r="X305" s="94">
        <f>IF(MouserListTable[[#This Row],[Tag]]=FilterSpecs!$F$7,MouserListTable[[#This Row],['#/Unit]]*MouserListTable[[#This Row],[Price (USD)]],0)</f>
        <v>0</v>
      </c>
      <c r="Y305" s="94">
        <f>MouserListTable[[#This Row],[Tot '#]]*MouserListTable[[#This Row],[Price (USD)]]</f>
        <v>39.950000000000003</v>
      </c>
      <c r="Z305"/>
    </row>
    <row r="306" spans="1:26" s="111" customFormat="1" x14ac:dyDescent="0.25">
      <c r="A306" s="78" t="s">
        <v>1039</v>
      </c>
      <c r="B306" s="78" t="s">
        <v>1055</v>
      </c>
      <c r="C306" s="78" t="s">
        <v>1892</v>
      </c>
      <c r="D306" s="81" t="str">
        <f>IF(MouserListTable[[#This Row],[Vendor]]=FilterSpecs!$A$8,MouserListTable[[#This Row],[Mouser SKU]], MouserListTable[[#This Row],[Supplier SKU]])</f>
        <v>474-DEV-12923</v>
      </c>
      <c r="E306" s="94">
        <f>MouserListTable[[#This Row],[Tot '#]]-MouserListTable[[#This Row],['# Initial]]</f>
        <v>1</v>
      </c>
      <c r="F306" s="94">
        <f>IF(AND(MouserListTable[[#This Row],[Tag]]&lt;&gt;FilterSpecs!$F$12, MouserListTable[[#This Row],[Tag]]&lt;&gt;FilterSpecs!$F$9), MouserListTable[[#This Row],['#/Unit]]*FilterSpecs!$B$3+MouserListTable[[#This Row],[Extra Initial]],0)</f>
        <v>0</v>
      </c>
      <c r="G306" s="78" t="s">
        <v>318</v>
      </c>
      <c r="H306" s="150" t="s">
        <v>319</v>
      </c>
      <c r="I306" s="78" t="s">
        <v>320</v>
      </c>
      <c r="J306" s="78">
        <v>1</v>
      </c>
      <c r="K306" s="117">
        <v>39.950000000000003</v>
      </c>
      <c r="L306" s="78" t="s">
        <v>1900</v>
      </c>
      <c r="M306" s="78" t="s">
        <v>1044</v>
      </c>
      <c r="N306" s="154">
        <f>MouserListTable[[#This Row],['# Initial]]*MouserListTable[[#This Row],[Price (USD)]]</f>
        <v>0</v>
      </c>
      <c r="O306" s="81" t="s">
        <v>317</v>
      </c>
      <c r="P306" s="150">
        <f t="shared" si="4"/>
        <v>293</v>
      </c>
      <c r="Q306" s="78" t="s">
        <v>5</v>
      </c>
      <c r="R306"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474-DEV-12923</v>
      </c>
      <c r="S306" s="133" t="str">
        <f>HYPERLINK("https://www.mouser.com/ProductDetail/" &amp;MouserListTable[[#This Row],[Mouser SKU]])</f>
        <v>https://www.mouser.com/ProductDetail/474-DEV-12923</v>
      </c>
      <c r="T306" s="94">
        <v>0</v>
      </c>
      <c r="U306" s="94">
        <v>1</v>
      </c>
      <c r="V306" s="94">
        <v>0</v>
      </c>
      <c r="W306" s="94">
        <f>MouserListTable[[#This Row],['#/Unit]]*FilterSpecs!$C$3+MouserListTable[[#This Row],[Extra]]</f>
        <v>1</v>
      </c>
      <c r="X306" s="94">
        <f>IF(MouserListTable[[#This Row],[Tag]]=FilterSpecs!$F$7,MouserListTable[[#This Row],['#/Unit]]*MouserListTable[[#This Row],[Price (USD)]],0)</f>
        <v>0</v>
      </c>
      <c r="Y306" s="94">
        <f>MouserListTable[[#This Row],[Tot '#]]*MouserListTable[[#This Row],[Price (USD)]]</f>
        <v>39.950000000000003</v>
      </c>
      <c r="Z306"/>
    </row>
    <row r="307" spans="1:26" s="111" customFormat="1" x14ac:dyDescent="0.25">
      <c r="A307" s="78" t="s">
        <v>1039</v>
      </c>
      <c r="B307" s="78" t="s">
        <v>1055</v>
      </c>
      <c r="C307" s="78" t="s">
        <v>1892</v>
      </c>
      <c r="D307" s="81" t="str">
        <f>IF(MouserListTable[[#This Row],[Vendor]]=FilterSpecs!$A$8,MouserListTable[[#This Row],[Mouser SKU]], MouserListTable[[#This Row],[Supplier SKU]])</f>
        <v>474-DEV-12924</v>
      </c>
      <c r="E307" s="94">
        <f>MouserListTable[[#This Row],[Tot '#]]-MouserListTable[[#This Row],['# Initial]]</f>
        <v>1</v>
      </c>
      <c r="F307" s="94">
        <f>IF(AND(MouserListTable[[#This Row],[Tag]]&lt;&gt;FilterSpecs!$F$12, MouserListTable[[#This Row],[Tag]]&lt;&gt;FilterSpecs!$F$9), MouserListTable[[#This Row],['#/Unit]]*FilterSpecs!$B$3+MouserListTable[[#This Row],[Extra Initial]],0)</f>
        <v>0</v>
      </c>
      <c r="G307" s="78" t="s">
        <v>322</v>
      </c>
      <c r="H307" s="150" t="s">
        <v>323</v>
      </c>
      <c r="I307" s="78" t="s">
        <v>324</v>
      </c>
      <c r="J307" s="78">
        <v>1</v>
      </c>
      <c r="K307" s="117">
        <v>14.95</v>
      </c>
      <c r="L307" s="78" t="s">
        <v>1900</v>
      </c>
      <c r="M307" s="78" t="s">
        <v>1044</v>
      </c>
      <c r="N307" s="154">
        <f>MouserListTable[[#This Row],['# Initial]]*MouserListTable[[#This Row],[Price (USD)]]</f>
        <v>0</v>
      </c>
      <c r="O307" s="81" t="s">
        <v>321</v>
      </c>
      <c r="P307" s="150">
        <f t="shared" si="4"/>
        <v>294</v>
      </c>
      <c r="Q307" s="78" t="s">
        <v>5</v>
      </c>
      <c r="R307"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474-DEV-12924</v>
      </c>
      <c r="S307" s="133" t="str">
        <f>HYPERLINK("https://www.mouser.com/ProductDetail/" &amp;MouserListTable[[#This Row],[Mouser SKU]])</f>
        <v>https://www.mouser.com/ProductDetail/474-DEV-12924</v>
      </c>
      <c r="T307" s="94">
        <v>0</v>
      </c>
      <c r="U307" s="94">
        <v>1</v>
      </c>
      <c r="V307" s="94">
        <v>0</v>
      </c>
      <c r="W307" s="94">
        <f>MouserListTable[[#This Row],['#/Unit]]*FilterSpecs!$C$3+MouserListTable[[#This Row],[Extra]]</f>
        <v>1</v>
      </c>
      <c r="X307" s="94">
        <f>IF(MouserListTable[[#This Row],[Tag]]=FilterSpecs!$F$7,MouserListTable[[#This Row],['#/Unit]]*MouserListTable[[#This Row],[Price (USD)]],0)</f>
        <v>0</v>
      </c>
      <c r="Y307" s="94">
        <f>MouserListTable[[#This Row],[Tot '#]]*MouserListTable[[#This Row],[Price (USD)]]</f>
        <v>14.95</v>
      </c>
      <c r="Z307"/>
    </row>
    <row r="308" spans="1:26" s="104" customFormat="1" x14ac:dyDescent="0.25">
      <c r="A308" s="78" t="s">
        <v>889</v>
      </c>
      <c r="B308" s="78" t="s">
        <v>986</v>
      </c>
      <c r="C308" s="78" t="s">
        <v>1892</v>
      </c>
      <c r="D308" s="81" t="str">
        <f>IF(MouserListTable[[#This Row],[Vendor]]=FilterSpecs!$A$8,MouserListTable[[#This Row],[Mouser SKU]], MouserListTable[[#This Row],[Supplier SKU]])</f>
        <v>474-PRT-12614</v>
      </c>
      <c r="E308" s="94">
        <f>MouserListTable[[#This Row],[Tot '#]]-MouserListTable[[#This Row],['# Initial]]</f>
        <v>1</v>
      </c>
      <c r="F308" s="94">
        <f>IF(AND(MouserListTable[[#This Row],[Tag]]&lt;&gt;FilterSpecs!$F$12, MouserListTable[[#This Row],[Tag]]&lt;&gt;FilterSpecs!$F$9), MouserListTable[[#This Row],['#/Unit]]*FilterSpecs!$B$3+MouserListTable[[#This Row],[Extra Initial]],0)</f>
        <v>0</v>
      </c>
      <c r="G308" s="78" t="s">
        <v>781</v>
      </c>
      <c r="H308" s="150" t="s">
        <v>782</v>
      </c>
      <c r="I308" s="78" t="s">
        <v>783</v>
      </c>
      <c r="J308" s="78"/>
      <c r="K308" s="117">
        <v>19.95</v>
      </c>
      <c r="L308" s="78" t="s">
        <v>1896</v>
      </c>
      <c r="M308" s="81"/>
      <c r="N308" s="154">
        <f>MouserListTable[[#This Row],['# Initial]]*MouserListTable[[#This Row],[Price (USD)]]</f>
        <v>0</v>
      </c>
      <c r="O308" s="81" t="s">
        <v>780</v>
      </c>
      <c r="P308" s="150">
        <f t="shared" si="4"/>
        <v>295</v>
      </c>
      <c r="Q308" s="78" t="s">
        <v>5</v>
      </c>
      <c r="R308"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474-PRT-12614</v>
      </c>
      <c r="S308" s="133" t="str">
        <f>HYPERLINK("https://www.mouser.com/ProductDetail/" &amp;MouserListTable[[#This Row],[Mouser SKU]])</f>
        <v>https://www.mouser.com/ProductDetail/474-PRT-12614</v>
      </c>
      <c r="T308" s="94">
        <v>0</v>
      </c>
      <c r="U308" s="94">
        <v>1</v>
      </c>
      <c r="V308" s="94">
        <v>0</v>
      </c>
      <c r="W308" s="94">
        <f>MouserListTable[[#This Row],['#/Unit]]*FilterSpecs!$C$3+MouserListTable[[#This Row],[Extra]]</f>
        <v>1</v>
      </c>
      <c r="X308" s="94">
        <f>IF(MouserListTable[[#This Row],[Tag]]=FilterSpecs!$F$7,MouserListTable[[#This Row],['#/Unit]]*MouserListTable[[#This Row],[Price (USD)]],0)</f>
        <v>0</v>
      </c>
      <c r="Y308" s="94">
        <f>MouserListTable[[#This Row],[Tot '#]]*MouserListTable[[#This Row],[Price (USD)]]</f>
        <v>19.95</v>
      </c>
      <c r="Z308"/>
    </row>
    <row r="309" spans="1:26" s="106" customFormat="1" x14ac:dyDescent="0.25">
      <c r="A309" s="97" t="s">
        <v>889</v>
      </c>
      <c r="B309" s="97" t="s">
        <v>986</v>
      </c>
      <c r="C309" s="78" t="s">
        <v>1892</v>
      </c>
      <c r="D309" s="81" t="str">
        <f>IF(MouserListTable[[#This Row],[Vendor]]=FilterSpecs!$A$8,MouserListTable[[#This Row],[Mouser SKU]], MouserListTable[[#This Row],[Supplier SKU]])</f>
        <v>474-PRT-12044</v>
      </c>
      <c r="E309" s="94">
        <f>MouserListTable[[#This Row],[Tot '#]]-MouserListTable[[#This Row],['# Initial]]</f>
        <v>0</v>
      </c>
      <c r="F309" s="94">
        <f>IF(AND(MouserListTable[[#This Row],[Tag]]&lt;&gt;FilterSpecs!$F$12, MouserListTable[[#This Row],[Tag]]&lt;&gt;FilterSpecs!$F$9), MouserListTable[[#This Row],['#/Unit]]*FilterSpecs!$B$3+MouserListTable[[#This Row],[Extra Initial]],0)</f>
        <v>0</v>
      </c>
      <c r="G309" s="78" t="s">
        <v>1089</v>
      </c>
      <c r="H309" s="150" t="s">
        <v>1090</v>
      </c>
      <c r="I309" s="78" t="s">
        <v>1091</v>
      </c>
      <c r="J309" s="78">
        <v>1</v>
      </c>
      <c r="K309" s="117">
        <v>3.95</v>
      </c>
      <c r="L309" s="78" t="s">
        <v>1896</v>
      </c>
      <c r="M309" s="78" t="s">
        <v>1296</v>
      </c>
      <c r="N309" s="154">
        <f>MouserListTable[[#This Row],['# Initial]]*MouserListTable[[#This Row],[Price (USD)]]</f>
        <v>0</v>
      </c>
      <c r="O309" s="81" t="s">
        <v>1088</v>
      </c>
      <c r="P309" s="150">
        <f t="shared" si="4"/>
        <v>296</v>
      </c>
      <c r="Q309" s="78" t="s">
        <v>5</v>
      </c>
      <c r="R309"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474-PRT-12044</v>
      </c>
      <c r="S309" s="133" t="str">
        <f>HYPERLINK("https://www.mouser.com/ProductDetail/" &amp;MouserListTable[[#This Row],[Mouser SKU]])</f>
        <v>https://www.mouser.com/ProductDetail/474-PRT-12044</v>
      </c>
      <c r="T309" s="94">
        <v>0</v>
      </c>
      <c r="U309" s="94">
        <v>0</v>
      </c>
      <c r="V309" s="94">
        <v>0</v>
      </c>
      <c r="W309" s="94">
        <f>MouserListTable[[#This Row],['#/Unit]]*FilterSpecs!$C$3+MouserListTable[[#This Row],[Extra]]</f>
        <v>0</v>
      </c>
      <c r="X309" s="94">
        <f>IF(MouserListTable[[#This Row],[Tag]]=FilterSpecs!$F$7,MouserListTable[[#This Row],['#/Unit]]*MouserListTable[[#This Row],[Price (USD)]],0)</f>
        <v>0</v>
      </c>
      <c r="Y309" s="94">
        <f>MouserListTable[[#This Row],[Tot '#]]*MouserListTable[[#This Row],[Price (USD)]]</f>
        <v>0</v>
      </c>
      <c r="Z309"/>
    </row>
    <row r="310" spans="1:26" s="106" customFormat="1" x14ac:dyDescent="0.25">
      <c r="A310" s="78" t="s">
        <v>889</v>
      </c>
      <c r="B310" s="78" t="s">
        <v>986</v>
      </c>
      <c r="C310" s="78" t="s">
        <v>1892</v>
      </c>
      <c r="D310" s="81" t="str">
        <f>IF(MouserListTable[[#This Row],[Vendor]]=FilterSpecs!$A$8,MouserListTable[[#This Row],[Mouser SKU]], MouserListTable[[#This Row],[Supplier SKU]])</f>
        <v>474-PRT-12047</v>
      </c>
      <c r="E310" s="94">
        <f>MouserListTable[[#This Row],[Tot '#]]-MouserListTable[[#This Row],['# Initial]]</f>
        <v>0</v>
      </c>
      <c r="F310" s="94">
        <f>IF(AND(MouserListTable[[#This Row],[Tag]]&lt;&gt;FilterSpecs!$F$12, MouserListTable[[#This Row],[Tag]]&lt;&gt;FilterSpecs!$F$9), MouserListTable[[#This Row],['#/Unit]]*FilterSpecs!$B$3+MouserListTable[[#This Row],[Extra Initial]],0)</f>
        <v>20</v>
      </c>
      <c r="G310" s="78" t="s">
        <v>1298</v>
      </c>
      <c r="H310" s="150" t="s">
        <v>1299</v>
      </c>
      <c r="I310" s="78" t="s">
        <v>1300</v>
      </c>
      <c r="J310" s="78">
        <v>1</v>
      </c>
      <c r="K310" s="117">
        <v>3.95</v>
      </c>
      <c r="L310" s="78" t="s">
        <v>1897</v>
      </c>
      <c r="M310" s="78" t="s">
        <v>1296</v>
      </c>
      <c r="N310" s="154">
        <f>MouserListTable[[#This Row],['# Initial]]*MouserListTable[[#This Row],[Price (USD)]]</f>
        <v>79</v>
      </c>
      <c r="O310" s="81" t="s">
        <v>1297</v>
      </c>
      <c r="P310" s="150">
        <f t="shared" si="4"/>
        <v>297</v>
      </c>
      <c r="Q310" s="78" t="s">
        <v>5</v>
      </c>
      <c r="R310"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474-PRT-12047</v>
      </c>
      <c r="S310" s="133" t="str">
        <f>HYPERLINK("https://www.mouser.com/ProductDetail/" &amp;MouserListTable[[#This Row],[Mouser SKU]])</f>
        <v>https://www.mouser.com/ProductDetail/474-PRT-12047</v>
      </c>
      <c r="T310" s="94">
        <v>4</v>
      </c>
      <c r="U310" s="94">
        <v>0</v>
      </c>
      <c r="V310" s="94">
        <v>0</v>
      </c>
      <c r="W310" s="94">
        <f>MouserListTable[[#This Row],['#/Unit]]*FilterSpecs!$C$3+MouserListTable[[#This Row],[Extra]]</f>
        <v>20</v>
      </c>
      <c r="X310" s="94">
        <f>IF(MouserListTable[[#This Row],[Tag]]=FilterSpecs!$F$7,MouserListTable[[#This Row],['#/Unit]]*MouserListTable[[#This Row],[Price (USD)]],0)</f>
        <v>15.8</v>
      </c>
      <c r="Y310" s="94">
        <f>MouserListTable[[#This Row],[Tot '#]]*MouserListTable[[#This Row],[Price (USD)]]</f>
        <v>79</v>
      </c>
      <c r="Z310"/>
    </row>
    <row r="311" spans="1:26" s="106" customFormat="1" x14ac:dyDescent="0.25">
      <c r="A311" s="78" t="s">
        <v>889</v>
      </c>
      <c r="B311" s="78" t="s">
        <v>986</v>
      </c>
      <c r="C311" s="78" t="s">
        <v>1892</v>
      </c>
      <c r="D311" s="81" t="str">
        <f>IF(MouserListTable[[#This Row],[Vendor]]=FilterSpecs!$A$8,MouserListTable[[#This Row],[Mouser SKU]], MouserListTable[[#This Row],[Supplier SKU]])</f>
        <v>485-65</v>
      </c>
      <c r="E311" s="94">
        <f>MouserListTable[[#This Row],[Tot '#]]-MouserListTable[[#This Row],['# Initial]]</f>
        <v>0</v>
      </c>
      <c r="F311" s="94">
        <f>IF(AND(MouserListTable[[#This Row],[Tag]]&lt;&gt;FilterSpecs!$F$12, MouserListTable[[#This Row],[Tag]]&lt;&gt;FilterSpecs!$F$9), MouserListTable[[#This Row],['#/Unit]]*FilterSpecs!$B$3+MouserListTable[[#This Row],[Extra Initial]],0)</f>
        <v>0</v>
      </c>
      <c r="G311" s="78"/>
      <c r="H311" s="150"/>
      <c r="I311" s="97" t="s">
        <v>2090</v>
      </c>
      <c r="K311" s="118">
        <v>4</v>
      </c>
      <c r="L311" s="97" t="s">
        <v>1896</v>
      </c>
      <c r="N311" s="154">
        <f>MouserListTable[[#This Row],['# Initial]]*MouserListTable[[#This Row],[Price (USD)]]</f>
        <v>0</v>
      </c>
      <c r="O311" s="81" t="s">
        <v>2089</v>
      </c>
      <c r="P311" s="150">
        <f t="shared" si="4"/>
        <v>298</v>
      </c>
      <c r="Q311" s="78" t="s">
        <v>1884</v>
      </c>
      <c r="R311"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485-65</v>
      </c>
      <c r="S311" s="133" t="str">
        <f>HYPERLINK("https://www.mouser.com/ProductDetail/" &amp;MouserListTable[[#This Row],[Mouser SKU]])</f>
        <v>https://www.mouser.com/ProductDetail/485-65</v>
      </c>
      <c r="T311" s="94">
        <v>0</v>
      </c>
      <c r="U311" s="94">
        <v>0</v>
      </c>
      <c r="V311" s="94">
        <v>0</v>
      </c>
      <c r="W311" s="94">
        <f>MouserListTable[[#This Row],['#/Unit]]*FilterSpecs!$C$3+MouserListTable[[#This Row],[Extra]]</f>
        <v>0</v>
      </c>
      <c r="X311" s="94">
        <f>IF(MouserListTable[[#This Row],[Tag]]=FilterSpecs!$F$7,MouserListTable[[#This Row],['#/Unit]]*MouserListTable[[#This Row],[Price (USD)]],0)</f>
        <v>0</v>
      </c>
      <c r="Y311" s="94">
        <f>MouserListTable[[#This Row],[Tot '#]]*MouserListTable[[#This Row],[Price (USD)]]</f>
        <v>0</v>
      </c>
      <c r="Z311"/>
    </row>
    <row r="312" spans="1:26" s="106" customFormat="1" x14ac:dyDescent="0.25">
      <c r="A312" s="78" t="s">
        <v>889</v>
      </c>
      <c r="B312" s="78" t="s">
        <v>986</v>
      </c>
      <c r="C312" s="78" t="s">
        <v>1892</v>
      </c>
      <c r="D312" s="81" t="str">
        <f>IF(MouserListTable[[#This Row],[Vendor]]=FilterSpecs!$A$8,MouserListTable[[#This Row],[Mouser SKU]], MouserListTable[[#This Row],[Supplier SKU]])</f>
        <v>474-PRT-12699</v>
      </c>
      <c r="E312" s="94">
        <f>MouserListTable[[#This Row],[Tot '#]]-MouserListTable[[#This Row],['# Initial]]</f>
        <v>0</v>
      </c>
      <c r="F312" s="94">
        <f>IF(AND(MouserListTable[[#This Row],[Tag]]&lt;&gt;FilterSpecs!$F$12, MouserListTable[[#This Row],[Tag]]&lt;&gt;FilterSpecs!$F$9), MouserListTable[[#This Row],['#/Unit]]*FilterSpecs!$B$3+MouserListTable[[#This Row],[Extra Initial]],0)</f>
        <v>10</v>
      </c>
      <c r="G312" s="78" t="s">
        <v>926</v>
      </c>
      <c r="H312" s="150" t="s">
        <v>927</v>
      </c>
      <c r="I312" s="78" t="s">
        <v>928</v>
      </c>
      <c r="J312" s="78">
        <v>1</v>
      </c>
      <c r="K312" s="117">
        <v>8.9499999999999993</v>
      </c>
      <c r="L312" s="78" t="s">
        <v>1897</v>
      </c>
      <c r="M312" s="81"/>
      <c r="N312" s="154">
        <f>MouserListTable[[#This Row],['# Initial]]*MouserListTable[[#This Row],[Price (USD)]]</f>
        <v>89.5</v>
      </c>
      <c r="O312" s="81" t="s">
        <v>925</v>
      </c>
      <c r="P312" s="150">
        <f t="shared" si="4"/>
        <v>299</v>
      </c>
      <c r="Q312" s="78" t="s">
        <v>5</v>
      </c>
      <c r="R312"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474-PRT-12699</v>
      </c>
      <c r="S312" s="133" t="str">
        <f>HYPERLINK("https://www.mouser.com/ProductDetail/" &amp;MouserListTable[[#This Row],[Mouser SKU]])</f>
        <v>https://www.mouser.com/ProductDetail/474-PRT-12699</v>
      </c>
      <c r="T312" s="94">
        <v>2</v>
      </c>
      <c r="U312" s="94">
        <v>0</v>
      </c>
      <c r="V312" s="94">
        <v>0</v>
      </c>
      <c r="W312" s="94">
        <f>MouserListTable[[#This Row],['#/Unit]]*FilterSpecs!$C$3+MouserListTable[[#This Row],[Extra]]</f>
        <v>10</v>
      </c>
      <c r="X312" s="94">
        <f>IF(MouserListTable[[#This Row],[Tag]]=FilterSpecs!$F$7,MouserListTable[[#This Row],['#/Unit]]*MouserListTable[[#This Row],[Price (USD)]],0)</f>
        <v>17.899999999999999</v>
      </c>
      <c r="Y312" s="94">
        <f>MouserListTable[[#This Row],[Tot '#]]*MouserListTable[[#This Row],[Price (USD)]]</f>
        <v>89.5</v>
      </c>
      <c r="Z312"/>
    </row>
    <row r="313" spans="1:26" s="106" customFormat="1" x14ac:dyDescent="0.25">
      <c r="A313" s="78" t="s">
        <v>889</v>
      </c>
      <c r="B313" s="78" t="s">
        <v>986</v>
      </c>
      <c r="C313" s="78" t="s">
        <v>1892</v>
      </c>
      <c r="D313" s="81" t="str">
        <f>IF(MouserListTable[[#This Row],[Vendor]]=FilterSpecs!$A$8,MouserListTable[[#This Row],[Mouser SKU]], MouserListTable[[#This Row],[Supplier SKU]])</f>
        <v>474-PRT-12070</v>
      </c>
      <c r="E313" s="94">
        <f>MouserListTable[[#This Row],[Tot '#]]-MouserListTable[[#This Row],['# Initial]]</f>
        <v>1</v>
      </c>
      <c r="F313" s="94">
        <f>IF(AND(MouserListTable[[#This Row],[Tag]]&lt;&gt;FilterSpecs!$F$12, MouserListTable[[#This Row],[Tag]]&lt;&gt;FilterSpecs!$F$9), MouserListTable[[#This Row],['#/Unit]]*FilterSpecs!$B$3+MouserListTable[[#This Row],[Extra Initial]],0)</f>
        <v>0</v>
      </c>
      <c r="G313" s="78" t="s">
        <v>1826</v>
      </c>
      <c r="H313" s="150" t="s">
        <v>1827</v>
      </c>
      <c r="I313" s="78" t="s">
        <v>1828</v>
      </c>
      <c r="J313" s="78">
        <v>1</v>
      </c>
      <c r="K313" s="117">
        <v>4.95</v>
      </c>
      <c r="L313" s="78" t="s">
        <v>1896</v>
      </c>
      <c r="M313" s="81"/>
      <c r="N313" s="154">
        <f>MouserListTable[[#This Row],['# Initial]]*MouserListTable[[#This Row],[Price (USD)]]</f>
        <v>0</v>
      </c>
      <c r="O313" s="81" t="s">
        <v>1825</v>
      </c>
      <c r="P313" s="150">
        <f t="shared" si="4"/>
        <v>300</v>
      </c>
      <c r="Q313" s="78" t="s">
        <v>5</v>
      </c>
      <c r="R313"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474-PRT-12070</v>
      </c>
      <c r="S313" s="133" t="str">
        <f>HYPERLINK("https://www.mouser.com/ProductDetail/" &amp;MouserListTable[[#This Row],[Mouser SKU]])</f>
        <v>https://www.mouser.com/ProductDetail/474-PRT-12070</v>
      </c>
      <c r="T313" s="94">
        <v>0</v>
      </c>
      <c r="U313" s="94">
        <v>1</v>
      </c>
      <c r="V313" s="94">
        <v>0</v>
      </c>
      <c r="W313" s="94">
        <f>MouserListTable[[#This Row],['#/Unit]]*FilterSpecs!$C$3+MouserListTable[[#This Row],[Extra]]</f>
        <v>1</v>
      </c>
      <c r="X313" s="94">
        <f>IF(MouserListTable[[#This Row],[Tag]]=FilterSpecs!$F$7,MouserListTable[[#This Row],['#/Unit]]*MouserListTable[[#This Row],[Price (USD)]],0)</f>
        <v>0</v>
      </c>
      <c r="Y313" s="94">
        <f>MouserListTable[[#This Row],[Tot '#]]*MouserListTable[[#This Row],[Price (USD)]]</f>
        <v>4.95</v>
      </c>
      <c r="Z313"/>
    </row>
    <row r="314" spans="1:26" s="106" customFormat="1" x14ac:dyDescent="0.25">
      <c r="A314" s="97" t="s">
        <v>889</v>
      </c>
      <c r="B314" s="97" t="s">
        <v>986</v>
      </c>
      <c r="C314" s="78" t="s">
        <v>1892</v>
      </c>
      <c r="D314" s="81" t="str">
        <f>IF(MouserListTable[[#This Row],[Vendor]]=FilterSpecs!$A$8,MouserListTable[[#This Row],[Mouser SKU]], MouserListTable[[#This Row],[Supplier SKU]])</f>
        <v>474-PRT-12702</v>
      </c>
      <c r="E314" s="94">
        <f>MouserListTable[[#This Row],[Tot '#]]-MouserListTable[[#This Row],['# Initial]]</f>
        <v>0</v>
      </c>
      <c r="F314" s="94">
        <f>IF(AND(MouserListTable[[#This Row],[Tag]]&lt;&gt;FilterSpecs!$F$12, MouserListTable[[#This Row],[Tag]]&lt;&gt;FilterSpecs!$F$9), MouserListTable[[#This Row],['#/Unit]]*FilterSpecs!$B$3+MouserListTable[[#This Row],[Extra Initial]],0)</f>
        <v>0</v>
      </c>
      <c r="G314" s="78" t="s">
        <v>1834</v>
      </c>
      <c r="H314" s="150" t="s">
        <v>1835</v>
      </c>
      <c r="I314" s="78" t="s">
        <v>1836</v>
      </c>
      <c r="J314" s="78"/>
      <c r="K314" s="117">
        <v>2.95</v>
      </c>
      <c r="L314" s="78" t="s">
        <v>1896</v>
      </c>
      <c r="N314" s="154">
        <f>MouserListTable[[#This Row],['# Initial]]*MouserListTable[[#This Row],[Price (USD)]]</f>
        <v>0</v>
      </c>
      <c r="O314" s="81" t="s">
        <v>1833</v>
      </c>
      <c r="P314" s="150">
        <f t="shared" si="4"/>
        <v>301</v>
      </c>
      <c r="Q314" s="78" t="s">
        <v>5</v>
      </c>
      <c r="R314"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474-PRT-12702</v>
      </c>
      <c r="S314" s="133" t="str">
        <f>HYPERLINK("https://www.mouser.com/ProductDetail/" &amp;MouserListTable[[#This Row],[Mouser SKU]])</f>
        <v>https://www.mouser.com/ProductDetail/474-PRT-12702</v>
      </c>
      <c r="T314" s="94">
        <v>0</v>
      </c>
      <c r="U314" s="94">
        <v>0</v>
      </c>
      <c r="V314" s="94">
        <v>0</v>
      </c>
      <c r="W314" s="94">
        <f>MouserListTable[[#This Row],['#/Unit]]*FilterSpecs!$C$3+MouserListTable[[#This Row],[Extra]]</f>
        <v>0</v>
      </c>
      <c r="X314" s="94">
        <f>IF(MouserListTable[[#This Row],[Tag]]=FilterSpecs!$F$7,MouserListTable[[#This Row],['#/Unit]]*MouserListTable[[#This Row],[Price (USD)]],0)</f>
        <v>0</v>
      </c>
      <c r="Y314" s="94">
        <f>MouserListTable[[#This Row],[Tot '#]]*MouserListTable[[#This Row],[Price (USD)]]</f>
        <v>0</v>
      </c>
      <c r="Z314"/>
    </row>
    <row r="315" spans="1:26" s="106" customFormat="1" x14ac:dyDescent="0.25">
      <c r="A315" s="78" t="s">
        <v>889</v>
      </c>
      <c r="B315" s="78" t="s">
        <v>986</v>
      </c>
      <c r="C315" s="78" t="s">
        <v>1892</v>
      </c>
      <c r="D315" s="81" t="str">
        <f>IF(MouserListTable[[#This Row],[Vendor]]=FilterSpecs!$A$8,MouserListTable[[#This Row],[Mouser SKU]], MouserListTable[[#This Row],[Supplier SKU]])</f>
        <v>474-DEV-07914</v>
      </c>
      <c r="E315" s="94">
        <f>MouserListTable[[#This Row],[Tot '#]]-MouserListTable[[#This Row],['# Initial]]</f>
        <v>1</v>
      </c>
      <c r="F315" s="94">
        <f>IF(AND(MouserListTable[[#This Row],[Tag]]&lt;&gt;FilterSpecs!$F$12, MouserListTable[[#This Row],[Tag]]&lt;&gt;FilterSpecs!$F$9), MouserListTable[[#This Row],['#/Unit]]*FilterSpecs!$B$3+MouserListTable[[#This Row],[Extra Initial]],0)</f>
        <v>5</v>
      </c>
      <c r="G315" s="78" t="s">
        <v>1758</v>
      </c>
      <c r="H315" s="150" t="s">
        <v>1759</v>
      </c>
      <c r="I315" s="78" t="s">
        <v>1760</v>
      </c>
      <c r="J315" s="78">
        <v>1</v>
      </c>
      <c r="K315" s="117">
        <v>9.9499999999999993</v>
      </c>
      <c r="L315" s="78" t="s">
        <v>1897</v>
      </c>
      <c r="M315" s="81"/>
      <c r="N315" s="154">
        <f>MouserListTable[[#This Row],['# Initial]]*MouserListTable[[#This Row],[Price (USD)]]</f>
        <v>49.75</v>
      </c>
      <c r="O315" s="81" t="s">
        <v>1757</v>
      </c>
      <c r="P315" s="150">
        <f t="shared" si="4"/>
        <v>302</v>
      </c>
      <c r="Q315" s="78" t="s">
        <v>5</v>
      </c>
      <c r="R315"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474-DEV-07914</v>
      </c>
      <c r="S315" s="133" t="str">
        <f>HYPERLINK("https://www.mouser.com/ProductDetail/" &amp;MouserListTable[[#This Row],[Mouser SKU]])</f>
        <v>https://www.mouser.com/ProductDetail/474-DEV-07914</v>
      </c>
      <c r="T315" s="94">
        <v>1</v>
      </c>
      <c r="U315" s="94">
        <v>1</v>
      </c>
      <c r="V315" s="94">
        <v>0</v>
      </c>
      <c r="W315" s="94">
        <f>MouserListTable[[#This Row],['#/Unit]]*FilterSpecs!$C$3+MouserListTable[[#This Row],[Extra]]</f>
        <v>6</v>
      </c>
      <c r="X315" s="94">
        <f>IF(MouserListTable[[#This Row],[Tag]]=FilterSpecs!$F$7,MouserListTable[[#This Row],['#/Unit]]*MouserListTable[[#This Row],[Price (USD)]],0)</f>
        <v>9.9499999999999993</v>
      </c>
      <c r="Y315" s="94">
        <f>MouserListTable[[#This Row],[Tot '#]]*MouserListTable[[#This Row],[Price (USD)]]</f>
        <v>59.699999999999996</v>
      </c>
      <c r="Z315"/>
    </row>
    <row r="316" spans="1:26" s="106" customFormat="1" x14ac:dyDescent="0.25">
      <c r="A316" s="78" t="s">
        <v>889</v>
      </c>
      <c r="B316" s="78" t="s">
        <v>986</v>
      </c>
      <c r="C316" s="78" t="s">
        <v>1892</v>
      </c>
      <c r="D316" s="81" t="str">
        <f>IF(MouserListTable[[#This Row],[Vendor]]=FilterSpecs!$A$8,MouserListTable[[#This Row],[Mouser SKU]], MouserListTable[[#This Row],[Supplier SKU]])</f>
        <v>485-2077</v>
      </c>
      <c r="E316" s="94">
        <f>MouserListTable[[#This Row],[Tot '#]]-MouserListTable[[#This Row],['# Initial]]</f>
        <v>0</v>
      </c>
      <c r="F316" s="94">
        <f>IF(AND(MouserListTable[[#This Row],[Tag]]&lt;&gt;FilterSpecs!$F$12, MouserListTable[[#This Row],[Tag]]&lt;&gt;FilterSpecs!$F$9), MouserListTable[[#This Row],['#/Unit]]*FilterSpecs!$B$3+MouserListTable[[#This Row],[Extra Initial]],0)</f>
        <v>0</v>
      </c>
      <c r="G316" s="78"/>
      <c r="H316" s="150"/>
      <c r="I316" s="97" t="s">
        <v>2076</v>
      </c>
      <c r="K316" s="118">
        <v>9.9499999999999993</v>
      </c>
      <c r="L316" s="97" t="s">
        <v>1896</v>
      </c>
      <c r="N316" s="154">
        <f>MouserListTable[[#This Row],['# Initial]]*MouserListTable[[#This Row],[Price (USD)]]</f>
        <v>0</v>
      </c>
      <c r="O316" s="81" t="s">
        <v>2075</v>
      </c>
      <c r="P316" s="150">
        <f t="shared" si="4"/>
        <v>303</v>
      </c>
      <c r="Q316" s="78" t="s">
        <v>1884</v>
      </c>
      <c r="R316"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485-2077</v>
      </c>
      <c r="S316" s="133" t="str">
        <f>HYPERLINK("https://www.mouser.com/ProductDetail/" &amp;MouserListTable[[#This Row],[Mouser SKU]])</f>
        <v>https://www.mouser.com/ProductDetail/485-2077</v>
      </c>
      <c r="T316" s="94">
        <v>0</v>
      </c>
      <c r="U316" s="94">
        <v>0</v>
      </c>
      <c r="V316" s="94">
        <v>0</v>
      </c>
      <c r="W316" s="94">
        <f>MouserListTable[[#This Row],['#/Unit]]*FilterSpecs!$C$3+MouserListTable[[#This Row],[Extra]]</f>
        <v>0</v>
      </c>
      <c r="X316" s="94">
        <f>IF(MouserListTable[[#This Row],[Tag]]=FilterSpecs!$F$7,MouserListTable[[#This Row],['#/Unit]]*MouserListTable[[#This Row],[Price (USD)]],0)</f>
        <v>0</v>
      </c>
      <c r="Y316" s="94">
        <f>MouserListTable[[#This Row],[Tot '#]]*MouserListTable[[#This Row],[Price (USD)]]</f>
        <v>0</v>
      </c>
      <c r="Z316"/>
    </row>
    <row r="317" spans="1:26" s="106" customFormat="1" x14ac:dyDescent="0.25">
      <c r="A317" s="78" t="s">
        <v>889</v>
      </c>
      <c r="B317" s="78" t="s">
        <v>986</v>
      </c>
      <c r="C317" s="78" t="s">
        <v>1892</v>
      </c>
      <c r="D317" s="81" t="str">
        <f>IF(MouserListTable[[#This Row],[Vendor]]=FilterSpecs!$A$8,MouserListTable[[#This Row],[Mouser SKU]], MouserListTable[[#This Row],[Supplier SKU]])</f>
        <v>485-196</v>
      </c>
      <c r="E317" s="94">
        <f>MouserListTable[[#This Row],[Tot '#]]-MouserListTable[[#This Row],['# Initial]]</f>
        <v>0</v>
      </c>
      <c r="F317" s="94">
        <f>IF(AND(MouserListTable[[#This Row],[Tag]]&lt;&gt;FilterSpecs!$F$12, MouserListTable[[#This Row],[Tag]]&lt;&gt;FilterSpecs!$F$9), MouserListTable[[#This Row],['#/Unit]]*FilterSpecs!$B$3+MouserListTable[[#This Row],[Extra Initial]],0)</f>
        <v>0</v>
      </c>
      <c r="G317" s="78"/>
      <c r="H317" s="150"/>
      <c r="I317" s="97" t="s">
        <v>2088</v>
      </c>
      <c r="K317" s="118">
        <v>14.95</v>
      </c>
      <c r="L317" s="97" t="s">
        <v>1896</v>
      </c>
      <c r="N317" s="154">
        <f>MouserListTable[[#This Row],['# Initial]]*MouserListTable[[#This Row],[Price (USD)]]</f>
        <v>0</v>
      </c>
      <c r="O317" s="81" t="s">
        <v>2087</v>
      </c>
      <c r="P317" s="150">
        <f t="shared" si="4"/>
        <v>304</v>
      </c>
      <c r="Q317" s="78" t="s">
        <v>1884</v>
      </c>
      <c r="R317"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485-196</v>
      </c>
      <c r="S317" s="133" t="str">
        <f>HYPERLINK("https://www.mouser.com/ProductDetail/" &amp;MouserListTable[[#This Row],[Mouser SKU]])</f>
        <v>https://www.mouser.com/ProductDetail/485-196</v>
      </c>
      <c r="T317" s="94">
        <v>0</v>
      </c>
      <c r="U317" s="94">
        <v>0</v>
      </c>
      <c r="V317" s="94">
        <v>0</v>
      </c>
      <c r="W317" s="94">
        <f>MouserListTable[[#This Row],['#/Unit]]*FilterSpecs!$C$3+MouserListTable[[#This Row],[Extra]]</f>
        <v>0</v>
      </c>
      <c r="X317" s="94">
        <f>IF(MouserListTable[[#This Row],[Tag]]=FilterSpecs!$F$7,MouserListTable[[#This Row],['#/Unit]]*MouserListTable[[#This Row],[Price (USD)]],0)</f>
        <v>0</v>
      </c>
      <c r="Y317" s="94">
        <f>MouserListTable[[#This Row],[Tot '#]]*MouserListTable[[#This Row],[Price (USD)]]</f>
        <v>0</v>
      </c>
      <c r="Z317"/>
    </row>
    <row r="318" spans="1:26" s="106" customFormat="1" x14ac:dyDescent="0.25">
      <c r="A318" s="78" t="s">
        <v>889</v>
      </c>
      <c r="B318" s="78" t="s">
        <v>986</v>
      </c>
      <c r="C318" s="78" t="s">
        <v>1892</v>
      </c>
      <c r="D318" s="81" t="str">
        <f>IF(MouserListTable[[#This Row],[Vendor]]=FilterSpecs!$A$8,MouserListTable[[#This Row],[Mouser SKU]], MouserListTable[[#This Row],[Supplier SKU]])</f>
        <v>485-192</v>
      </c>
      <c r="E318" s="94">
        <f>MouserListTable[[#This Row],[Tot '#]]-MouserListTable[[#This Row],['# Initial]]</f>
        <v>0</v>
      </c>
      <c r="F318" s="94">
        <f>IF(AND(MouserListTable[[#This Row],[Tag]]&lt;&gt;FilterSpecs!$F$12, MouserListTable[[#This Row],[Tag]]&lt;&gt;FilterSpecs!$F$9), MouserListTable[[#This Row],['#/Unit]]*FilterSpecs!$B$3+MouserListTable[[#This Row],[Extra Initial]],0)</f>
        <v>0</v>
      </c>
      <c r="G318" s="78"/>
      <c r="H318" s="150"/>
      <c r="I318" s="97" t="s">
        <v>2080</v>
      </c>
      <c r="K318" s="118">
        <v>14.95</v>
      </c>
      <c r="L318" s="97" t="s">
        <v>1896</v>
      </c>
      <c r="N318" s="154">
        <f>MouserListTable[[#This Row],['# Initial]]*MouserListTable[[#This Row],[Price (USD)]]</f>
        <v>0</v>
      </c>
      <c r="O318" s="81" t="s">
        <v>2079</v>
      </c>
      <c r="P318" s="150">
        <f t="shared" si="4"/>
        <v>305</v>
      </c>
      <c r="Q318" s="78" t="s">
        <v>1884</v>
      </c>
      <c r="R318"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485-192</v>
      </c>
      <c r="S318" s="133" t="str">
        <f>HYPERLINK("https://www.mouser.com/ProductDetail/" &amp;MouserListTable[[#This Row],[Mouser SKU]])</f>
        <v>https://www.mouser.com/ProductDetail/485-192</v>
      </c>
      <c r="T318" s="94">
        <v>0</v>
      </c>
      <c r="U318" s="94">
        <v>0</v>
      </c>
      <c r="V318" s="94">
        <v>0</v>
      </c>
      <c r="W318" s="94">
        <f>MouserListTable[[#This Row],['#/Unit]]*FilterSpecs!$C$3+MouserListTable[[#This Row],[Extra]]</f>
        <v>0</v>
      </c>
      <c r="X318" s="94">
        <f>IF(MouserListTable[[#This Row],[Tag]]=FilterSpecs!$F$7,MouserListTable[[#This Row],['#/Unit]]*MouserListTable[[#This Row],[Price (USD)]],0)</f>
        <v>0</v>
      </c>
      <c r="Y318" s="94">
        <f>MouserListTable[[#This Row],[Tot '#]]*MouserListTable[[#This Row],[Price (USD)]]</f>
        <v>0</v>
      </c>
      <c r="Z318"/>
    </row>
    <row r="319" spans="1:26" s="106" customFormat="1" x14ac:dyDescent="0.25">
      <c r="A319" s="78" t="s">
        <v>889</v>
      </c>
      <c r="B319" s="78" t="s">
        <v>986</v>
      </c>
      <c r="C319" s="78" t="s">
        <v>1892</v>
      </c>
      <c r="D319" s="81" t="str">
        <f>IF(MouserListTable[[#This Row],[Vendor]]=FilterSpecs!$A$8,MouserListTable[[#This Row],[Mouser SKU]], MouserListTable[[#This Row],[Supplier SKU]])</f>
        <v>485-443</v>
      </c>
      <c r="E319" s="94">
        <f>MouserListTable[[#This Row],[Tot '#]]-MouserListTable[[#This Row],['# Initial]]</f>
        <v>0</v>
      </c>
      <c r="F319" s="94">
        <f>IF(AND(MouserListTable[[#This Row],[Tag]]&lt;&gt;FilterSpecs!$F$12, MouserListTable[[#This Row],[Tag]]&lt;&gt;FilterSpecs!$F$9), MouserListTable[[#This Row],['#/Unit]]*FilterSpecs!$B$3+MouserListTable[[#This Row],[Extra Initial]],0)</f>
        <v>0</v>
      </c>
      <c r="G319" s="78"/>
      <c r="H319" s="150"/>
      <c r="I319" s="97" t="s">
        <v>2078</v>
      </c>
      <c r="K319" s="118">
        <v>19.95</v>
      </c>
      <c r="L319" s="97" t="s">
        <v>1896</v>
      </c>
      <c r="N319" s="154">
        <f>MouserListTable[[#This Row],['# Initial]]*MouserListTable[[#This Row],[Price (USD)]]</f>
        <v>0</v>
      </c>
      <c r="O319" s="81" t="s">
        <v>2077</v>
      </c>
      <c r="P319" s="150">
        <f t="shared" si="4"/>
        <v>306</v>
      </c>
      <c r="Q319" s="78" t="s">
        <v>1884</v>
      </c>
      <c r="R319"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485-443</v>
      </c>
      <c r="S319" s="133" t="str">
        <f>HYPERLINK("https://www.mouser.com/ProductDetail/" &amp;MouserListTable[[#This Row],[Mouser SKU]])</f>
        <v>https://www.mouser.com/ProductDetail/485-443</v>
      </c>
      <c r="T319" s="94">
        <v>0</v>
      </c>
      <c r="U319" s="94">
        <v>0</v>
      </c>
      <c r="V319" s="94">
        <v>0</v>
      </c>
      <c r="W319" s="94">
        <f>MouserListTable[[#This Row],['#/Unit]]*FilterSpecs!$C$3+MouserListTable[[#This Row],[Extra]]</f>
        <v>0</v>
      </c>
      <c r="X319" s="94">
        <f>IF(MouserListTable[[#This Row],[Tag]]=FilterSpecs!$F$7,MouserListTable[[#This Row],['#/Unit]]*MouserListTable[[#This Row],[Price (USD)]],0)</f>
        <v>0</v>
      </c>
      <c r="Y319" s="94">
        <f>MouserListTable[[#This Row],[Tot '#]]*MouserListTable[[#This Row],[Price (USD)]]</f>
        <v>0</v>
      </c>
      <c r="Z319"/>
    </row>
    <row r="320" spans="1:26" s="106" customFormat="1" x14ac:dyDescent="0.25">
      <c r="A320" s="78" t="s">
        <v>889</v>
      </c>
      <c r="B320" s="78" t="s">
        <v>986</v>
      </c>
      <c r="C320" s="78" t="s">
        <v>1892</v>
      </c>
      <c r="D320" s="81" t="str">
        <f>IF(MouserListTable[[#This Row],[Vendor]]=FilterSpecs!$A$8,MouserListTable[[#This Row],[Mouser SKU]], MouserListTable[[#This Row],[Supplier SKU]])</f>
        <v>485-2017</v>
      </c>
      <c r="E320" s="94">
        <f>MouserListTable[[#This Row],[Tot '#]]-MouserListTable[[#This Row],['# Initial]]</f>
        <v>0</v>
      </c>
      <c r="F320" s="94">
        <f>IF(AND(MouserListTable[[#This Row],[Tag]]&lt;&gt;FilterSpecs!$F$12, MouserListTable[[#This Row],[Tag]]&lt;&gt;FilterSpecs!$F$9), MouserListTable[[#This Row],['#/Unit]]*FilterSpecs!$B$3+MouserListTable[[#This Row],[Extra Initial]],0)</f>
        <v>0</v>
      </c>
      <c r="G320" s="78"/>
      <c r="H320" s="150"/>
      <c r="I320" s="97" t="s">
        <v>2082</v>
      </c>
      <c r="K320" s="118">
        <v>0.75</v>
      </c>
      <c r="L320" s="97" t="s">
        <v>1896</v>
      </c>
      <c r="N320" s="154">
        <f>MouserListTable[[#This Row],['# Initial]]*MouserListTable[[#This Row],[Price (USD)]]</f>
        <v>0</v>
      </c>
      <c r="O320" s="81" t="s">
        <v>2081</v>
      </c>
      <c r="P320" s="150">
        <f t="shared" si="4"/>
        <v>307</v>
      </c>
      <c r="Q320" s="78" t="s">
        <v>1884</v>
      </c>
      <c r="R320"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485-2017</v>
      </c>
      <c r="S320" s="133" t="str">
        <f>HYPERLINK("https://www.mouser.com/ProductDetail/" &amp;MouserListTable[[#This Row],[Mouser SKU]])</f>
        <v>https://www.mouser.com/ProductDetail/485-2017</v>
      </c>
      <c r="T320" s="94">
        <v>0</v>
      </c>
      <c r="U320" s="94">
        <v>0</v>
      </c>
      <c r="V320" s="94">
        <v>0</v>
      </c>
      <c r="W320" s="94">
        <f>MouserListTable[[#This Row],['#/Unit]]*FilterSpecs!$C$3+MouserListTable[[#This Row],[Extra]]</f>
        <v>0</v>
      </c>
      <c r="X320" s="94">
        <f>IF(MouserListTable[[#This Row],[Tag]]=FilterSpecs!$F$7,MouserListTable[[#This Row],['#/Unit]]*MouserListTable[[#This Row],[Price (USD)]],0)</f>
        <v>0</v>
      </c>
      <c r="Y320" s="94">
        <f>MouserListTable[[#This Row],[Tot '#]]*MouserListTable[[#This Row],[Price (USD)]]</f>
        <v>0</v>
      </c>
      <c r="Z320"/>
    </row>
    <row r="321" spans="1:26" s="106" customFormat="1" x14ac:dyDescent="0.25">
      <c r="A321" s="78" t="s">
        <v>889</v>
      </c>
      <c r="B321" s="78" t="s">
        <v>986</v>
      </c>
      <c r="C321" s="78" t="s">
        <v>1892</v>
      </c>
      <c r="D321" s="81" t="str">
        <f>IF(MouserListTable[[#This Row],[Vendor]]=FilterSpecs!$A$8,MouserListTable[[#This Row],[Mouser SKU]], MouserListTable[[#This Row],[Supplier SKU]])</f>
        <v>485-2018</v>
      </c>
      <c r="E321" s="94">
        <f>MouserListTable[[#This Row],[Tot '#]]-MouserListTable[[#This Row],['# Initial]]</f>
        <v>0</v>
      </c>
      <c r="F321" s="94">
        <f>IF(AND(MouserListTable[[#This Row],[Tag]]&lt;&gt;FilterSpecs!$F$12, MouserListTable[[#This Row],[Tag]]&lt;&gt;FilterSpecs!$F$9), MouserListTable[[#This Row],['#/Unit]]*FilterSpecs!$B$3+MouserListTable[[#This Row],[Extra Initial]],0)</f>
        <v>0</v>
      </c>
      <c r="G321" s="78"/>
      <c r="H321" s="150"/>
      <c r="I321" s="97" t="s">
        <v>2084</v>
      </c>
      <c r="K321" s="118">
        <v>0.95</v>
      </c>
      <c r="L321" s="97" t="s">
        <v>1896</v>
      </c>
      <c r="N321" s="154">
        <f>MouserListTable[[#This Row],['# Initial]]*MouserListTable[[#This Row],[Price (USD)]]</f>
        <v>0</v>
      </c>
      <c r="O321" s="81" t="s">
        <v>2083</v>
      </c>
      <c r="P321" s="150">
        <f t="shared" si="4"/>
        <v>308</v>
      </c>
      <c r="Q321" s="78" t="s">
        <v>1884</v>
      </c>
      <c r="R321"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485-2018</v>
      </c>
      <c r="S321" s="133" t="str">
        <f>HYPERLINK("https://www.mouser.com/ProductDetail/" &amp;MouserListTable[[#This Row],[Mouser SKU]])</f>
        <v>https://www.mouser.com/ProductDetail/485-2018</v>
      </c>
      <c r="T321" s="94">
        <v>0</v>
      </c>
      <c r="U321" s="94">
        <v>0</v>
      </c>
      <c r="V321" s="94">
        <v>0</v>
      </c>
      <c r="W321" s="94">
        <f>MouserListTable[[#This Row],['#/Unit]]*FilterSpecs!$C$3+MouserListTable[[#This Row],[Extra]]</f>
        <v>0</v>
      </c>
      <c r="X321" s="94">
        <f>IF(MouserListTable[[#This Row],[Tag]]=FilterSpecs!$F$7,MouserListTable[[#This Row],['#/Unit]]*MouserListTable[[#This Row],[Price (USD)]],0)</f>
        <v>0</v>
      </c>
      <c r="Y321" s="94">
        <f>MouserListTable[[#This Row],[Tot '#]]*MouserListTable[[#This Row],[Price (USD)]]</f>
        <v>0</v>
      </c>
      <c r="Z321"/>
    </row>
    <row r="322" spans="1:26" s="106" customFormat="1" x14ac:dyDescent="0.25">
      <c r="A322" s="78" t="s">
        <v>889</v>
      </c>
      <c r="B322" s="78" t="s">
        <v>986</v>
      </c>
      <c r="C322" s="78" t="s">
        <v>1892</v>
      </c>
      <c r="D322" s="81" t="str">
        <f>IF(MouserListTable[[#This Row],[Vendor]]=FilterSpecs!$A$8,MouserListTable[[#This Row],[Mouser SKU]], MouserListTable[[#This Row],[Supplier SKU]])</f>
        <v>485-2463</v>
      </c>
      <c r="E322" s="94">
        <f>MouserListTable[[#This Row],[Tot '#]]-MouserListTable[[#This Row],['# Initial]]</f>
        <v>0</v>
      </c>
      <c r="F322" s="94">
        <f>IF(AND(MouserListTable[[#This Row],[Tag]]&lt;&gt;FilterSpecs!$F$12, MouserListTable[[#This Row],[Tag]]&lt;&gt;FilterSpecs!$F$9), MouserListTable[[#This Row],['#/Unit]]*FilterSpecs!$B$3+MouserListTable[[#This Row],[Extra Initial]],0)</f>
        <v>0</v>
      </c>
      <c r="G322" s="78"/>
      <c r="H322" s="150"/>
      <c r="I322" s="97" t="s">
        <v>2086</v>
      </c>
      <c r="K322" s="118">
        <v>0.95</v>
      </c>
      <c r="L322" s="97" t="s">
        <v>1896</v>
      </c>
      <c r="N322" s="154">
        <f>MouserListTable[[#This Row],['# Initial]]*MouserListTable[[#This Row],[Price (USD)]]</f>
        <v>0</v>
      </c>
      <c r="O322" s="81" t="s">
        <v>2085</v>
      </c>
      <c r="P322" s="150">
        <f t="shared" si="4"/>
        <v>309</v>
      </c>
      <c r="Q322" s="78" t="s">
        <v>1884</v>
      </c>
      <c r="R322"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485-2463</v>
      </c>
      <c r="S322" s="133" t="str">
        <f>HYPERLINK("https://www.mouser.com/ProductDetail/" &amp;MouserListTable[[#This Row],[Mouser SKU]])</f>
        <v>https://www.mouser.com/ProductDetail/485-2463</v>
      </c>
      <c r="T322" s="94">
        <v>0</v>
      </c>
      <c r="U322" s="94">
        <v>0</v>
      </c>
      <c r="V322" s="94">
        <v>0</v>
      </c>
      <c r="W322" s="94">
        <f>MouserListTable[[#This Row],['#/Unit]]*FilterSpecs!$C$3+MouserListTable[[#This Row],[Extra]]</f>
        <v>0</v>
      </c>
      <c r="X322" s="94">
        <f>IF(MouserListTable[[#This Row],[Tag]]=FilterSpecs!$F$7,MouserListTable[[#This Row],['#/Unit]]*MouserListTable[[#This Row],[Price (USD)]],0)</f>
        <v>0</v>
      </c>
      <c r="Y322" s="94">
        <f>MouserListTable[[#This Row],[Tot '#]]*MouserListTable[[#This Row],[Price (USD)]]</f>
        <v>0</v>
      </c>
      <c r="Z322"/>
    </row>
    <row r="323" spans="1:26" s="106" customFormat="1" x14ac:dyDescent="0.25">
      <c r="A323" s="78" t="s">
        <v>889</v>
      </c>
      <c r="B323" s="78" t="s">
        <v>986</v>
      </c>
      <c r="C323" s="78" t="s">
        <v>1892</v>
      </c>
      <c r="D323" s="81" t="str">
        <f>IF(MouserListTable[[#This Row],[Vendor]]=FilterSpecs!$A$8,MouserListTable[[#This Row],[Mouser SKU]], MouserListTable[[#This Row],[Supplier SKU]])</f>
        <v>474-PRT-13268</v>
      </c>
      <c r="E323" s="94">
        <f>MouserListTable[[#This Row],[Tot '#]]-MouserListTable[[#This Row],['# Initial]]</f>
        <v>0</v>
      </c>
      <c r="F323" s="94">
        <f>IF(AND(MouserListTable[[#This Row],[Tag]]&lt;&gt;FilterSpecs!$F$12, MouserListTable[[#This Row],[Tag]]&lt;&gt;FilterSpecs!$F$9), MouserListTable[[#This Row],['#/Unit]]*FilterSpecs!$B$3+MouserListTable[[#This Row],[Extra Initial]],0)</f>
        <v>2</v>
      </c>
      <c r="G323" s="78" t="s">
        <v>938</v>
      </c>
      <c r="H323" s="150" t="s">
        <v>939</v>
      </c>
      <c r="I323" s="78" t="s">
        <v>940</v>
      </c>
      <c r="J323" s="78">
        <v>1</v>
      </c>
      <c r="K323" s="117">
        <v>7.95</v>
      </c>
      <c r="L323" s="78" t="s">
        <v>1896</v>
      </c>
      <c r="M323" s="81"/>
      <c r="N323" s="154">
        <f>MouserListTable[[#This Row],['# Initial]]*MouserListTable[[#This Row],[Price (USD)]]</f>
        <v>15.9</v>
      </c>
      <c r="O323" s="81" t="s">
        <v>937</v>
      </c>
      <c r="P323" s="150">
        <f t="shared" si="4"/>
        <v>310</v>
      </c>
      <c r="Q323" s="78" t="s">
        <v>5</v>
      </c>
      <c r="R323"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474-PRT-13268</v>
      </c>
      <c r="S323" s="133" t="str">
        <f>HYPERLINK("https://www.mouser.com/ProductDetail/" &amp;MouserListTable[[#This Row],[Mouser SKU]])</f>
        <v>https://www.mouser.com/ProductDetail/474-PRT-13268</v>
      </c>
      <c r="T323" s="94">
        <v>0</v>
      </c>
      <c r="U323" s="94">
        <v>2</v>
      </c>
      <c r="V323" s="94">
        <v>2</v>
      </c>
      <c r="W323" s="94">
        <f>MouserListTable[[#This Row],['#/Unit]]*FilterSpecs!$C$3+MouserListTable[[#This Row],[Extra]]</f>
        <v>2</v>
      </c>
      <c r="X323" s="94">
        <f>IF(MouserListTable[[#This Row],[Tag]]=FilterSpecs!$F$7,MouserListTable[[#This Row],['#/Unit]]*MouserListTable[[#This Row],[Price (USD)]],0)</f>
        <v>0</v>
      </c>
      <c r="Y323" s="94">
        <f>MouserListTable[[#This Row],[Tot '#]]*MouserListTable[[#This Row],[Price (USD)]]</f>
        <v>15.9</v>
      </c>
      <c r="Z323"/>
    </row>
    <row r="324" spans="1:26" s="106" customFormat="1" x14ac:dyDescent="0.25">
      <c r="A324" s="78" t="s">
        <v>889</v>
      </c>
      <c r="B324" s="78" t="s">
        <v>986</v>
      </c>
      <c r="C324" s="78" t="s">
        <v>1892</v>
      </c>
      <c r="D324" s="81" t="str">
        <f>IF(MouserListTable[[#This Row],[Vendor]]=FilterSpecs!$A$8,MouserListTable[[#This Row],[Mouser SKU]], MouserListTable[[#This Row],[Supplier SKU]])</f>
        <v>474-DEV-13317</v>
      </c>
      <c r="E324" s="94">
        <f>MouserListTable[[#This Row],[Tot '#]]-MouserListTable[[#This Row],['# Initial]]</f>
        <v>0</v>
      </c>
      <c r="F324" s="94">
        <f>IF(AND(MouserListTable[[#This Row],[Tag]]&lt;&gt;FilterSpecs!$F$12, MouserListTable[[#This Row],[Tag]]&lt;&gt;FilterSpecs!$F$9), MouserListTable[[#This Row],['#/Unit]]*FilterSpecs!$B$3+MouserListTable[[#This Row],[Extra Initial]],0)</f>
        <v>10</v>
      </c>
      <c r="G324" s="78" t="s">
        <v>934</v>
      </c>
      <c r="H324" s="150" t="s">
        <v>935</v>
      </c>
      <c r="I324" s="78" t="s">
        <v>936</v>
      </c>
      <c r="J324" s="78">
        <v>1</v>
      </c>
      <c r="K324" s="117">
        <v>7.95</v>
      </c>
      <c r="L324" s="78" t="s">
        <v>1897</v>
      </c>
      <c r="M324" s="81"/>
      <c r="N324" s="154">
        <f>MouserListTable[[#This Row],['# Initial]]*MouserListTable[[#This Row],[Price (USD)]]</f>
        <v>79.5</v>
      </c>
      <c r="O324" s="81" t="s">
        <v>933</v>
      </c>
      <c r="P324" s="150">
        <f t="shared" si="4"/>
        <v>311</v>
      </c>
      <c r="Q324" s="78" t="s">
        <v>5</v>
      </c>
      <c r="R324"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474-DEV-13317</v>
      </c>
      <c r="S324" s="133" t="str">
        <f>HYPERLINK("https://www.mouser.com/ProductDetail/" &amp;MouserListTable[[#This Row],[Mouser SKU]])</f>
        <v>https://www.mouser.com/ProductDetail/474-DEV-13317</v>
      </c>
      <c r="T324" s="94">
        <v>2</v>
      </c>
      <c r="U324" s="94">
        <v>0</v>
      </c>
      <c r="V324" s="94">
        <v>0</v>
      </c>
      <c r="W324" s="94">
        <f>MouserListTable[[#This Row],['#/Unit]]*FilterSpecs!$C$3+MouserListTable[[#This Row],[Extra]]</f>
        <v>10</v>
      </c>
      <c r="X324" s="94">
        <f>IF(MouserListTable[[#This Row],[Tag]]=FilterSpecs!$F$7,MouserListTable[[#This Row],['#/Unit]]*MouserListTable[[#This Row],[Price (USD)]],0)</f>
        <v>15.9</v>
      </c>
      <c r="Y324" s="94">
        <f>MouserListTable[[#This Row],[Tot '#]]*MouserListTable[[#This Row],[Price (USD)]]</f>
        <v>79.5</v>
      </c>
      <c r="Z324"/>
    </row>
    <row r="325" spans="1:26" s="106" customFormat="1" x14ac:dyDescent="0.25">
      <c r="A325" s="78" t="s">
        <v>889</v>
      </c>
      <c r="B325" s="78" t="s">
        <v>1288</v>
      </c>
      <c r="C325" s="78" t="s">
        <v>1892</v>
      </c>
      <c r="D325" s="81" t="str">
        <f>IF(MouserListTable[[#This Row],[Vendor]]=FilterSpecs!$A$8,MouserListTable[[#This Row],[Mouser SKU]], MouserListTable[[#This Row],[Supplier SKU]])</f>
        <v>474-PRT-11366</v>
      </c>
      <c r="E325" s="94">
        <f>MouserListTable[[#This Row],[Tot '#]]-MouserListTable[[#This Row],['# Initial]]</f>
        <v>5</v>
      </c>
      <c r="F325" s="94">
        <f>IF(AND(MouserListTable[[#This Row],[Tag]]&lt;&gt;FilterSpecs!$F$12, MouserListTable[[#This Row],[Tag]]&lt;&gt;FilterSpecs!$F$9), MouserListTable[[#This Row],['#/Unit]]*FilterSpecs!$B$3+MouserListTable[[#This Row],[Extra Initial]],0)</f>
        <v>0</v>
      </c>
      <c r="G325" s="78" t="s">
        <v>633</v>
      </c>
      <c r="H325" s="150" t="s">
        <v>634</v>
      </c>
      <c r="I325" s="78" t="s">
        <v>635</v>
      </c>
      <c r="J325" s="78"/>
      <c r="K325" s="117">
        <v>8.9499999999999993</v>
      </c>
      <c r="L325" s="78" t="s">
        <v>2461</v>
      </c>
      <c r="M325" s="81"/>
      <c r="N325" s="154">
        <f>MouserListTable[[#This Row],['# Initial]]*MouserListTable[[#This Row],[Price (USD)]]</f>
        <v>0</v>
      </c>
      <c r="O325" s="81" t="s">
        <v>632</v>
      </c>
      <c r="P325" s="150">
        <f t="shared" si="4"/>
        <v>312</v>
      </c>
      <c r="Q325" s="78" t="s">
        <v>5</v>
      </c>
      <c r="R325"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474-PRT-11366</v>
      </c>
      <c r="S325" s="133" t="str">
        <f>HYPERLINK("https://www.mouser.com/ProductDetail/" &amp;MouserListTable[[#This Row],[Mouser SKU]])</f>
        <v>https://www.mouser.com/ProductDetail/474-PRT-11366</v>
      </c>
      <c r="T325" s="94">
        <v>1</v>
      </c>
      <c r="U325" s="94">
        <v>0</v>
      </c>
      <c r="V325" s="94">
        <v>0</v>
      </c>
      <c r="W325" s="94">
        <f>MouserListTable[[#This Row],['#/Unit]]*FilterSpecs!$C$3+MouserListTable[[#This Row],[Extra]]</f>
        <v>5</v>
      </c>
      <c r="X325" s="94">
        <f>IF(MouserListTable[[#This Row],[Tag]]=FilterSpecs!$F$7,MouserListTable[[#This Row],['#/Unit]]*MouserListTable[[#This Row],[Price (USD)]],0)</f>
        <v>0</v>
      </c>
      <c r="Y325" s="94">
        <f>MouserListTable[[#This Row],[Tot '#]]*MouserListTable[[#This Row],[Price (USD)]]</f>
        <v>44.75</v>
      </c>
      <c r="Z325"/>
    </row>
    <row r="326" spans="1:26" s="106" customFormat="1" x14ac:dyDescent="0.25">
      <c r="A326" s="78" t="s">
        <v>889</v>
      </c>
      <c r="B326" s="78" t="s">
        <v>1288</v>
      </c>
      <c r="C326" s="78" t="s">
        <v>1892</v>
      </c>
      <c r="D326" s="81" t="str">
        <f>IF(MouserListTable[[#This Row],[Vendor]]=FilterSpecs!$A$8,MouserListTable[[#This Row],[Mouser SKU]], MouserListTable[[#This Row],[Supplier SKU]])</f>
        <v>474-PRT-10088</v>
      </c>
      <c r="E326" s="94">
        <f>MouserListTable[[#This Row],[Tot '#]]-MouserListTable[[#This Row],['# Initial]]</f>
        <v>1</v>
      </c>
      <c r="F326" s="94">
        <f>IF(AND(MouserListTable[[#This Row],[Tag]]&lt;&gt;FilterSpecs!$F$12, MouserListTable[[#This Row],[Tag]]&lt;&gt;FilterSpecs!$F$9), MouserListTable[[#This Row],['#/Unit]]*FilterSpecs!$B$3+MouserListTable[[#This Row],[Extra Initial]],0)</f>
        <v>0</v>
      </c>
      <c r="G326" s="78" t="s">
        <v>653</v>
      </c>
      <c r="H326" s="150" t="s">
        <v>654</v>
      </c>
      <c r="I326" s="78" t="s">
        <v>655</v>
      </c>
      <c r="J326" s="78"/>
      <c r="K326" s="117">
        <v>11.95</v>
      </c>
      <c r="L326" s="78" t="s">
        <v>1897</v>
      </c>
      <c r="M326" s="81"/>
      <c r="N326" s="154">
        <f>MouserListTable[[#This Row],['# Initial]]*MouserListTable[[#This Row],[Price (USD)]]</f>
        <v>0</v>
      </c>
      <c r="O326" s="81" t="s">
        <v>652</v>
      </c>
      <c r="P326" s="150">
        <f t="shared" si="4"/>
        <v>313</v>
      </c>
      <c r="Q326" s="78" t="s">
        <v>5</v>
      </c>
      <c r="R326"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474-PRT-10088</v>
      </c>
      <c r="S326" s="133" t="str">
        <f>HYPERLINK("https://www.mouser.com/ProductDetail/" &amp;MouserListTable[[#This Row],[Mouser SKU]])</f>
        <v>https://www.mouser.com/ProductDetail/474-PRT-10088</v>
      </c>
      <c r="T326" s="94">
        <v>0</v>
      </c>
      <c r="U326" s="94">
        <v>1</v>
      </c>
      <c r="V326" s="94">
        <v>0</v>
      </c>
      <c r="W326" s="94">
        <f>MouserListTable[[#This Row],['#/Unit]]*FilterSpecs!$C$3+MouserListTable[[#This Row],[Extra]]</f>
        <v>1</v>
      </c>
      <c r="X326" s="94">
        <f>IF(MouserListTable[[#This Row],[Tag]]=FilterSpecs!$F$7,MouserListTable[[#This Row],['#/Unit]]*MouserListTable[[#This Row],[Price (USD)]],0)</f>
        <v>0</v>
      </c>
      <c r="Y326" s="94">
        <f>MouserListTable[[#This Row],[Tot '#]]*MouserListTable[[#This Row],[Price (USD)]]</f>
        <v>11.95</v>
      </c>
      <c r="Z326"/>
    </row>
    <row r="327" spans="1:26" s="106" customFormat="1" x14ac:dyDescent="0.25">
      <c r="A327" s="78" t="s">
        <v>889</v>
      </c>
      <c r="B327" s="78" t="s">
        <v>1288</v>
      </c>
      <c r="C327" s="78" t="s">
        <v>1892</v>
      </c>
      <c r="D327" s="81" t="str">
        <f>IF(MouserListTable[[#This Row],[Vendor]]=FilterSpecs!$A$8,MouserListTable[[#This Row],[Mouser SKU]], MouserListTable[[#This Row],[Supplier SKU]])</f>
        <v>474-DEV-11632</v>
      </c>
      <c r="E327" s="94">
        <f>MouserListTable[[#This Row],[Tot '#]]-MouserListTable[[#This Row],['# Initial]]</f>
        <v>1</v>
      </c>
      <c r="F327" s="94">
        <f>IF(AND(MouserListTable[[#This Row],[Tag]]&lt;&gt;FilterSpecs!$F$12, MouserListTable[[#This Row],[Tag]]&lt;&gt;FilterSpecs!$F$9), MouserListTable[[#This Row],['#/Unit]]*FilterSpecs!$B$3+MouserListTable[[#This Row],[Extra Initial]],0)</f>
        <v>0</v>
      </c>
      <c r="G327" s="78" t="s">
        <v>1093</v>
      </c>
      <c r="H327" s="150" t="s">
        <v>1094</v>
      </c>
      <c r="I327" s="78" t="s">
        <v>1095</v>
      </c>
      <c r="J327" s="78">
        <v>1</v>
      </c>
      <c r="K327" s="117">
        <v>0.1</v>
      </c>
      <c r="L327" s="78" t="s">
        <v>1896</v>
      </c>
      <c r="M327" s="81"/>
      <c r="N327" s="154">
        <f>MouserListTable[[#This Row],['# Initial]]*MouserListTable[[#This Row],[Price (USD)]]</f>
        <v>0</v>
      </c>
      <c r="O327" s="81" t="s">
        <v>1092</v>
      </c>
      <c r="P327" s="150">
        <f t="shared" si="4"/>
        <v>314</v>
      </c>
      <c r="Q327" s="78" t="s">
        <v>5</v>
      </c>
      <c r="R327"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474-DEV-11632</v>
      </c>
      <c r="S327" s="133" t="str">
        <f>HYPERLINK("https://www.mouser.com/ProductDetail/" &amp;MouserListTable[[#This Row],[Mouser SKU]])</f>
        <v>https://www.mouser.com/ProductDetail/474-DEV-11632</v>
      </c>
      <c r="T327" s="94">
        <v>0</v>
      </c>
      <c r="U327" s="94">
        <v>1</v>
      </c>
      <c r="V327" s="94">
        <v>0</v>
      </c>
      <c r="W327" s="94">
        <f>MouserListTable[[#This Row],['#/Unit]]*FilterSpecs!$C$3+MouserListTable[[#This Row],[Extra]]</f>
        <v>1</v>
      </c>
      <c r="X327" s="94">
        <f>IF(MouserListTable[[#This Row],[Tag]]=FilterSpecs!$F$7,MouserListTable[[#This Row],['#/Unit]]*MouserListTable[[#This Row],[Price (USD)]],0)</f>
        <v>0</v>
      </c>
      <c r="Y327" s="94">
        <f>MouserListTable[[#This Row],[Tot '#]]*MouserListTable[[#This Row],[Price (USD)]]</f>
        <v>0.1</v>
      </c>
      <c r="Z327"/>
    </row>
    <row r="328" spans="1:26" s="106" customFormat="1" x14ac:dyDescent="0.25">
      <c r="A328" s="78" t="s">
        <v>889</v>
      </c>
      <c r="B328" s="81" t="s">
        <v>1288</v>
      </c>
      <c r="C328" s="78" t="s">
        <v>1892</v>
      </c>
      <c r="D328" s="81" t="str">
        <f>IF(MouserListTable[[#This Row],[Vendor]]=FilterSpecs!$A$8,MouserListTable[[#This Row],[Mouser SKU]], MouserListTable[[#This Row],[Supplier SKU]])</f>
        <v>485-2229</v>
      </c>
      <c r="E328" s="94">
        <f>MouserListTable[[#This Row],[Tot '#]]-MouserListTable[[#This Row],['# Initial]]</f>
        <v>0</v>
      </c>
      <c r="F328" s="94">
        <f>IF(AND(MouserListTable[[#This Row],[Tag]]&lt;&gt;FilterSpecs!$F$12, MouserListTable[[#This Row],[Tag]]&lt;&gt;FilterSpecs!$F$9), MouserListTable[[#This Row],['#/Unit]]*FilterSpecs!$B$3+MouserListTable[[#This Row],[Extra Initial]],0)</f>
        <v>0</v>
      </c>
      <c r="G328" s="78"/>
      <c r="H328" s="150"/>
      <c r="I328" s="97" t="s">
        <v>2067</v>
      </c>
      <c r="K328" s="118">
        <v>7.5</v>
      </c>
      <c r="L328" s="106" t="s">
        <v>1896</v>
      </c>
      <c r="N328" s="154">
        <f>MouserListTable[[#This Row],['# Initial]]*MouserListTable[[#This Row],[Price (USD)]]</f>
        <v>0</v>
      </c>
      <c r="O328" s="81" t="s">
        <v>2068</v>
      </c>
      <c r="P328" s="150">
        <f t="shared" si="4"/>
        <v>315</v>
      </c>
      <c r="Q328" s="78" t="s">
        <v>1884</v>
      </c>
      <c r="R328"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485-2229</v>
      </c>
      <c r="S328" s="133" t="str">
        <f>HYPERLINK("https://www.mouser.com/ProductDetail/" &amp;MouserListTable[[#This Row],[Mouser SKU]])</f>
        <v>https://www.mouser.com/ProductDetail/485-2229</v>
      </c>
      <c r="T328" s="94">
        <v>0</v>
      </c>
      <c r="U328" s="94">
        <v>0</v>
      </c>
      <c r="V328" s="94">
        <v>0</v>
      </c>
      <c r="W328" s="94">
        <f>MouserListTable[[#This Row],['#/Unit]]*FilterSpecs!$C$3+MouserListTable[[#This Row],[Extra]]</f>
        <v>0</v>
      </c>
      <c r="X328" s="94">
        <f>IF(MouserListTable[[#This Row],[Tag]]=FilterSpecs!$F$7,MouserListTable[[#This Row],['#/Unit]]*MouserListTable[[#This Row],[Price (USD)]],0)</f>
        <v>0</v>
      </c>
      <c r="Y328" s="94">
        <f>MouserListTable[[#This Row],[Tot '#]]*MouserListTable[[#This Row],[Price (USD)]]</f>
        <v>0</v>
      </c>
      <c r="Z328"/>
    </row>
    <row r="329" spans="1:26" s="106" customFormat="1" x14ac:dyDescent="0.25">
      <c r="A329" s="78" t="s">
        <v>889</v>
      </c>
      <c r="B329" s="81" t="s">
        <v>1288</v>
      </c>
      <c r="C329" s="78" t="s">
        <v>1892</v>
      </c>
      <c r="D329" s="81" t="str">
        <f>IF(MouserListTable[[#This Row],[Vendor]]=FilterSpecs!$A$8,MouserListTable[[#This Row],[Mouser SKU]], MouserListTable[[#This Row],[Supplier SKU]])</f>
        <v>485-2230</v>
      </c>
      <c r="E329" s="94">
        <f>MouserListTable[[#This Row],[Tot '#]]-MouserListTable[[#This Row],['# Initial]]</f>
        <v>0</v>
      </c>
      <c r="F329" s="94">
        <f>IF(AND(MouserListTable[[#This Row],[Tag]]&lt;&gt;FilterSpecs!$F$12, MouserListTable[[#This Row],[Tag]]&lt;&gt;FilterSpecs!$F$9), MouserListTable[[#This Row],['#/Unit]]*FilterSpecs!$B$3+MouserListTable[[#This Row],[Extra Initial]],0)</f>
        <v>0</v>
      </c>
      <c r="G329" s="78"/>
      <c r="H329" s="150"/>
      <c r="I329" s="97" t="s">
        <v>2065</v>
      </c>
      <c r="K329" s="118">
        <v>5.95</v>
      </c>
      <c r="L329" s="106" t="s">
        <v>1896</v>
      </c>
      <c r="N329" s="154">
        <f>MouserListTable[[#This Row],['# Initial]]*MouserListTable[[#This Row],[Price (USD)]]</f>
        <v>0</v>
      </c>
      <c r="O329" s="81" t="s">
        <v>2066</v>
      </c>
      <c r="P329" s="150">
        <f t="shared" si="4"/>
        <v>316</v>
      </c>
      <c r="Q329" s="78" t="s">
        <v>1884</v>
      </c>
      <c r="R329"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485-2230</v>
      </c>
      <c r="S329" s="133" t="str">
        <f>HYPERLINK("https://www.mouser.com/ProductDetail/" &amp;MouserListTable[[#This Row],[Mouser SKU]])</f>
        <v>https://www.mouser.com/ProductDetail/485-2230</v>
      </c>
      <c r="T329" s="94">
        <v>0</v>
      </c>
      <c r="U329" s="94">
        <v>0</v>
      </c>
      <c r="V329" s="94">
        <v>0</v>
      </c>
      <c r="W329" s="94">
        <f>MouserListTable[[#This Row],['#/Unit]]*FilterSpecs!$C$3+MouserListTable[[#This Row],[Extra]]</f>
        <v>0</v>
      </c>
      <c r="X329" s="94">
        <f>IF(MouserListTable[[#This Row],[Tag]]=FilterSpecs!$F$7,MouserListTable[[#This Row],['#/Unit]]*MouserListTable[[#This Row],[Price (USD)]],0)</f>
        <v>0</v>
      </c>
      <c r="Y329" s="94">
        <f>MouserListTable[[#This Row],[Tot '#]]*MouserListTable[[#This Row],[Price (USD)]]</f>
        <v>0</v>
      </c>
      <c r="Z329"/>
    </row>
    <row r="330" spans="1:26" s="106" customFormat="1" x14ac:dyDescent="0.25">
      <c r="A330" s="78" t="s">
        <v>889</v>
      </c>
      <c r="B330" s="78" t="s">
        <v>883</v>
      </c>
      <c r="C330" s="78" t="s">
        <v>1892</v>
      </c>
      <c r="D330" s="81" t="str">
        <f>IF(MouserListTable[[#This Row],[Vendor]]=FilterSpecs!$A$8,MouserListTable[[#This Row],[Mouser SKU]], MouserListTable[[#This Row],[Supplier SKU]])</f>
        <v>474-COM-10594</v>
      </c>
      <c r="E330" s="94">
        <f>MouserListTable[[#This Row],[Tot '#]]-MouserListTable[[#This Row],['# Initial]]</f>
        <v>0</v>
      </c>
      <c r="F330" s="94">
        <f>IF(AND(MouserListTable[[#This Row],[Tag]]&lt;&gt;FilterSpecs!$F$12, MouserListTable[[#This Row],[Tag]]&lt;&gt;FilterSpecs!$F$9), MouserListTable[[#This Row],['#/Unit]]*FilterSpecs!$B$3+MouserListTable[[#This Row],[Extra Initial]],0)</f>
        <v>5</v>
      </c>
      <c r="G330" s="78" t="s">
        <v>641</v>
      </c>
      <c r="H330" s="150" t="s">
        <v>642</v>
      </c>
      <c r="I330" s="78" t="s">
        <v>643</v>
      </c>
      <c r="J330" s="78">
        <v>1</v>
      </c>
      <c r="K330" s="117">
        <v>0.95</v>
      </c>
      <c r="L330" s="78" t="s">
        <v>1897</v>
      </c>
      <c r="M330" s="81"/>
      <c r="N330" s="154">
        <f>MouserListTable[[#This Row],['# Initial]]*MouserListTable[[#This Row],[Price (USD)]]</f>
        <v>4.75</v>
      </c>
      <c r="O330" s="81" t="s">
        <v>640</v>
      </c>
      <c r="P330" s="150">
        <f t="shared" si="4"/>
        <v>317</v>
      </c>
      <c r="Q330" s="78" t="s">
        <v>5</v>
      </c>
      <c r="R330"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474-COM-10594</v>
      </c>
      <c r="S330" s="133" t="str">
        <f>HYPERLINK("https://www.mouser.com/ProductDetail/" &amp;MouserListTable[[#This Row],[Mouser SKU]])</f>
        <v>https://www.mouser.com/ProductDetail/474-COM-10594</v>
      </c>
      <c r="T330" s="94">
        <v>1</v>
      </c>
      <c r="U330" s="94">
        <v>0</v>
      </c>
      <c r="V330" s="94">
        <v>0</v>
      </c>
      <c r="W330" s="94">
        <f>MouserListTable[[#This Row],['#/Unit]]*FilterSpecs!$C$3+MouserListTable[[#This Row],[Extra]]</f>
        <v>5</v>
      </c>
      <c r="X330" s="94">
        <f>IF(MouserListTable[[#This Row],[Tag]]=FilterSpecs!$F$7,MouserListTable[[#This Row],['#/Unit]]*MouserListTable[[#This Row],[Price (USD)]],0)</f>
        <v>0.95</v>
      </c>
      <c r="Y330" s="94">
        <f>MouserListTable[[#This Row],[Tot '#]]*MouserListTable[[#This Row],[Price (USD)]]</f>
        <v>4.75</v>
      </c>
      <c r="Z330"/>
    </row>
    <row r="331" spans="1:26" s="106" customFormat="1" x14ac:dyDescent="0.25">
      <c r="A331" s="78" t="s">
        <v>889</v>
      </c>
      <c r="B331" s="78" t="s">
        <v>883</v>
      </c>
      <c r="C331" s="78" t="s">
        <v>1892</v>
      </c>
      <c r="D331" s="81" t="str">
        <f>IF(MouserListTable[[#This Row],[Vendor]]=FilterSpecs!$A$8,MouserListTable[[#This Row],[Mouser SKU]], MouserListTable[[#This Row],[Supplier SKU]])</f>
        <v>474-PRT-10230</v>
      </c>
      <c r="E331" s="94">
        <f>MouserListTable[[#This Row],[Tot '#]]-MouserListTable[[#This Row],['# Initial]]</f>
        <v>0</v>
      </c>
      <c r="F331" s="94">
        <f>IF(AND(MouserListTable[[#This Row],[Tag]]&lt;&gt;FilterSpecs!$F$12, MouserListTable[[#This Row],[Tag]]&lt;&gt;FilterSpecs!$F$9), MouserListTable[[#This Row],['#/Unit]]*FilterSpecs!$B$3+MouserListTable[[#This Row],[Extra Initial]],0)</f>
        <v>5</v>
      </c>
      <c r="G331" s="78" t="s">
        <v>649</v>
      </c>
      <c r="H331" s="150" t="s">
        <v>650</v>
      </c>
      <c r="I331" s="78" t="s">
        <v>651</v>
      </c>
      <c r="J331" s="78">
        <v>1</v>
      </c>
      <c r="K331" s="117">
        <v>0.95</v>
      </c>
      <c r="L331" s="78" t="s">
        <v>1897</v>
      </c>
      <c r="M331" s="81"/>
      <c r="N331" s="154">
        <f>MouserListTable[[#This Row],['# Initial]]*MouserListTable[[#This Row],[Price (USD)]]</f>
        <v>4.75</v>
      </c>
      <c r="O331" s="81" t="s">
        <v>648</v>
      </c>
      <c r="P331" s="150">
        <f t="shared" si="4"/>
        <v>318</v>
      </c>
      <c r="Q331" s="78" t="s">
        <v>5</v>
      </c>
      <c r="R331"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474-PRT-10230</v>
      </c>
      <c r="S331" s="133" t="str">
        <f>HYPERLINK("https://www.mouser.com/ProductDetail/" &amp;MouserListTable[[#This Row],[Mouser SKU]])</f>
        <v>https://www.mouser.com/ProductDetail/474-PRT-10230</v>
      </c>
      <c r="T331" s="94">
        <v>1</v>
      </c>
      <c r="U331" s="94">
        <v>0</v>
      </c>
      <c r="V331" s="94">
        <v>0</v>
      </c>
      <c r="W331" s="94">
        <f>MouserListTable[[#This Row],['#/Unit]]*FilterSpecs!$C$3+MouserListTable[[#This Row],[Extra]]</f>
        <v>5</v>
      </c>
      <c r="X331" s="94">
        <f>IF(MouserListTable[[#This Row],[Tag]]=FilterSpecs!$F$7,MouserListTable[[#This Row],['#/Unit]]*MouserListTable[[#This Row],[Price (USD)]],0)</f>
        <v>0.95</v>
      </c>
      <c r="Y331" s="94">
        <f>MouserListTable[[#This Row],[Tot '#]]*MouserListTable[[#This Row],[Price (USD)]]</f>
        <v>4.75</v>
      </c>
      <c r="Z331"/>
    </row>
    <row r="332" spans="1:26" s="106" customFormat="1" x14ac:dyDescent="0.25">
      <c r="A332" s="78" t="s">
        <v>889</v>
      </c>
      <c r="B332" s="78" t="s">
        <v>883</v>
      </c>
      <c r="C332" s="78" t="s">
        <v>1892</v>
      </c>
      <c r="D332" s="81" t="str">
        <f>IF(MouserListTable[[#This Row],[Vendor]]=FilterSpecs!$A$8,MouserListTable[[#This Row],[Mouser SKU]], MouserListTable[[#This Row],[Supplier SKU]])</f>
        <v>485-550</v>
      </c>
      <c r="E332" s="94">
        <f>MouserListTable[[#This Row],[Tot '#]]-MouserListTable[[#This Row],['# Initial]]</f>
        <v>0</v>
      </c>
      <c r="F332" s="94">
        <f>IF(AND(MouserListTable[[#This Row],[Tag]]&lt;&gt;FilterSpecs!$F$12, MouserListTable[[#This Row],[Tag]]&lt;&gt;FilterSpecs!$F$9), MouserListTable[[#This Row],['#/Unit]]*FilterSpecs!$B$3+MouserListTable[[#This Row],[Extra Initial]],0)</f>
        <v>0</v>
      </c>
      <c r="G332" s="78"/>
      <c r="H332" s="150"/>
      <c r="I332" s="97" t="s">
        <v>2092</v>
      </c>
      <c r="K332" s="118">
        <v>0.95</v>
      </c>
      <c r="L332" s="97" t="s">
        <v>1896</v>
      </c>
      <c r="N332" s="154">
        <f>MouserListTable[[#This Row],['# Initial]]*MouserListTable[[#This Row],[Price (USD)]]</f>
        <v>0</v>
      </c>
      <c r="O332" s="81" t="s">
        <v>2091</v>
      </c>
      <c r="P332" s="150">
        <f t="shared" si="4"/>
        <v>319</v>
      </c>
      <c r="Q332" s="78" t="s">
        <v>1884</v>
      </c>
      <c r="R332"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485-550</v>
      </c>
      <c r="S332" s="133" t="str">
        <f>HYPERLINK("https://www.mouser.com/ProductDetail/" &amp;MouserListTable[[#This Row],[Mouser SKU]])</f>
        <v>https://www.mouser.com/ProductDetail/485-550</v>
      </c>
      <c r="T332" s="94">
        <v>0</v>
      </c>
      <c r="U332" s="94">
        <v>0</v>
      </c>
      <c r="V332" s="94">
        <v>0</v>
      </c>
      <c r="W332" s="94">
        <f>MouserListTable[[#This Row],['#/Unit]]*FilterSpecs!$C$3+MouserListTable[[#This Row],[Extra]]</f>
        <v>0</v>
      </c>
      <c r="X332" s="94">
        <f>IF(MouserListTable[[#This Row],[Tag]]=FilterSpecs!$F$7,MouserListTable[[#This Row],['#/Unit]]*MouserListTable[[#This Row],[Price (USD)]],0)</f>
        <v>0</v>
      </c>
      <c r="Y332" s="94">
        <f>MouserListTable[[#This Row],[Tot '#]]*MouserListTable[[#This Row],[Price (USD)]]</f>
        <v>0</v>
      </c>
      <c r="Z332"/>
    </row>
    <row r="333" spans="1:26" s="106" customFormat="1" x14ac:dyDescent="0.25">
      <c r="A333" s="78" t="s">
        <v>889</v>
      </c>
      <c r="B333" s="78" t="s">
        <v>883</v>
      </c>
      <c r="C333" s="78" t="s">
        <v>1892</v>
      </c>
      <c r="D333" s="81" t="str">
        <f>IF(MouserListTable[[#This Row],[Vendor]]=FilterSpecs!$A$8,MouserListTable[[#This Row],[Mouser SKU]], MouserListTable[[#This Row],[Supplier SKU]])</f>
        <v>474-PRT-09353</v>
      </c>
      <c r="E333" s="94">
        <f>MouserListTable[[#This Row],[Tot '#]]-MouserListTable[[#This Row],['# Initial]]</f>
        <v>2</v>
      </c>
      <c r="F333" s="94">
        <f>IF(AND(MouserListTable[[#This Row],[Tag]]&lt;&gt;FilterSpecs!$F$12, MouserListTable[[#This Row],[Tag]]&lt;&gt;FilterSpecs!$F$9), MouserListTable[[#This Row],['#/Unit]]*FilterSpecs!$B$3+MouserListTable[[#This Row],[Extra Initial]],0)</f>
        <v>0</v>
      </c>
      <c r="G333" s="78" t="s">
        <v>1237</v>
      </c>
      <c r="H333" s="150" t="s">
        <v>1238</v>
      </c>
      <c r="I333" s="78" t="s">
        <v>1239</v>
      </c>
      <c r="J333" s="78">
        <v>1</v>
      </c>
      <c r="K333" s="117">
        <v>7.95</v>
      </c>
      <c r="L333" s="78" t="s">
        <v>1896</v>
      </c>
      <c r="M333" s="81"/>
      <c r="N333" s="154">
        <f>MouserListTable[[#This Row],['# Initial]]*MouserListTable[[#This Row],[Price (USD)]]</f>
        <v>0</v>
      </c>
      <c r="O333" s="81" t="s">
        <v>1236</v>
      </c>
      <c r="P333" s="150">
        <f t="shared" si="4"/>
        <v>320</v>
      </c>
      <c r="Q333" s="78" t="s">
        <v>5</v>
      </c>
      <c r="R333"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474-PRT-09353</v>
      </c>
      <c r="S333" s="133" t="str">
        <f>HYPERLINK("https://www.mouser.com/ProductDetail/" &amp;MouserListTable[[#This Row],[Mouser SKU]])</f>
        <v>https://www.mouser.com/ProductDetail/474-PRT-09353</v>
      </c>
      <c r="T333" s="94">
        <v>0</v>
      </c>
      <c r="U333" s="94">
        <v>2</v>
      </c>
      <c r="V333" s="94">
        <v>0</v>
      </c>
      <c r="W333" s="94">
        <f>MouserListTable[[#This Row],['#/Unit]]*FilterSpecs!$C$3+MouserListTable[[#This Row],[Extra]]</f>
        <v>2</v>
      </c>
      <c r="X333" s="94">
        <f>IF(MouserListTable[[#This Row],[Tag]]=FilterSpecs!$F$7,MouserListTable[[#This Row],['#/Unit]]*MouserListTable[[#This Row],[Price (USD)]],0)</f>
        <v>0</v>
      </c>
      <c r="Y333" s="94">
        <f>MouserListTable[[#This Row],[Tot '#]]*MouserListTable[[#This Row],[Price (USD)]]</f>
        <v>15.9</v>
      </c>
      <c r="Z333"/>
    </row>
    <row r="334" spans="1:26" s="104" customFormat="1" x14ac:dyDescent="0.25">
      <c r="A334" s="98" t="s">
        <v>889</v>
      </c>
      <c r="B334" s="98" t="s">
        <v>883</v>
      </c>
      <c r="C334" s="78" t="s">
        <v>1892</v>
      </c>
      <c r="D334" s="81" t="str">
        <f>IF(MouserListTable[[#This Row],[Vendor]]=FilterSpecs!$A$8,MouserListTable[[#This Row],[Mouser SKU]], MouserListTable[[#This Row],[Supplier SKU]])</f>
        <v>485-344</v>
      </c>
      <c r="E334" s="94">
        <f>MouserListTable[[#This Row],[Tot '#]]-MouserListTable[[#This Row],['# Initial]]</f>
        <v>0</v>
      </c>
      <c r="F334" s="94">
        <f>IF(AND(MouserListTable[[#This Row],[Tag]]&lt;&gt;FilterSpecs!$F$12, MouserListTable[[#This Row],[Tag]]&lt;&gt;FilterSpecs!$F$9), MouserListTable[[#This Row],['#/Unit]]*FilterSpecs!$B$3+MouserListTable[[#This Row],[Extra Initial]],0)</f>
        <v>0</v>
      </c>
      <c r="G334" s="106"/>
      <c r="H334" s="150"/>
      <c r="I334" s="98" t="s">
        <v>2452</v>
      </c>
      <c r="J334" s="113">
        <v>115</v>
      </c>
      <c r="K334" s="119">
        <v>4.95</v>
      </c>
      <c r="L334" s="97" t="s">
        <v>1896</v>
      </c>
      <c r="M334" s="106"/>
      <c r="N334" s="154">
        <f>MouserListTable[[#This Row],['# Initial]]*MouserListTable[[#This Row],[Price (USD)]]</f>
        <v>0</v>
      </c>
      <c r="O334" s="113" t="s">
        <v>2453</v>
      </c>
      <c r="P334" s="150">
        <f t="shared" si="4"/>
        <v>321</v>
      </c>
      <c r="Q334" s="78" t="s">
        <v>1884</v>
      </c>
      <c r="R334"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485-344</v>
      </c>
      <c r="S334" s="133" t="str">
        <f>HYPERLINK("https://www.mouser.com/ProductDetail/" &amp;MouserListTable[[#This Row],[Mouser SKU]])</f>
        <v>https://www.mouser.com/ProductDetail/485-344</v>
      </c>
      <c r="T334" s="94">
        <v>0</v>
      </c>
      <c r="U334" s="94">
        <v>0</v>
      </c>
      <c r="V334" s="94">
        <v>0</v>
      </c>
      <c r="W334" s="94">
        <f>MouserListTable[[#This Row],['#/Unit]]*FilterSpecs!$C$3+MouserListTable[[#This Row],[Extra]]</f>
        <v>0</v>
      </c>
      <c r="X334" s="94">
        <f>IF(MouserListTable[[#This Row],[Tag]]=FilterSpecs!$F$7,MouserListTable[[#This Row],['#/Unit]]*MouserListTable[[#This Row],[Price (USD)]],0)</f>
        <v>0</v>
      </c>
      <c r="Y334" s="94">
        <f>MouserListTable[[#This Row],[Tot '#]]*MouserListTable[[#This Row],[Price (USD)]]</f>
        <v>0</v>
      </c>
      <c r="Z334"/>
    </row>
    <row r="335" spans="1:26" s="104" customFormat="1" x14ac:dyDescent="0.25">
      <c r="A335" s="78" t="s">
        <v>889</v>
      </c>
      <c r="B335" s="78" t="s">
        <v>2003</v>
      </c>
      <c r="C335" s="78" t="s">
        <v>1892</v>
      </c>
      <c r="D335" s="81" t="str">
        <f>IF(MouserListTable[[#This Row],[Vendor]]=FilterSpecs!$A$8,MouserListTable[[#This Row],[Mouser SKU]], MouserListTable[[#This Row],[Supplier SKU]])</f>
        <v>474-TOL-10951</v>
      </c>
      <c r="E335" s="94">
        <f>MouserListTable[[#This Row],[Tot '#]]-MouserListTable[[#This Row],['# Initial]]</f>
        <v>1</v>
      </c>
      <c r="F335" s="94">
        <f>IF(AND(MouserListTable[[#This Row],[Tag]]&lt;&gt;FilterSpecs!$F$12, MouserListTable[[#This Row],[Tag]]&lt;&gt;FilterSpecs!$F$9), MouserListTable[[#This Row],['#/Unit]]*FilterSpecs!$B$3+MouserListTable[[#This Row],[Extra Initial]],0)</f>
        <v>0</v>
      </c>
      <c r="G335" s="78" t="s">
        <v>1245</v>
      </c>
      <c r="H335" s="150" t="s">
        <v>1246</v>
      </c>
      <c r="I335" s="78" t="s">
        <v>1247</v>
      </c>
      <c r="J335" s="78"/>
      <c r="K335" s="117">
        <v>34.950000000000003</v>
      </c>
      <c r="L335" s="78" t="s">
        <v>2461</v>
      </c>
      <c r="M335" s="81"/>
      <c r="N335" s="154">
        <f>MouserListTable[[#This Row],['# Initial]]*MouserListTable[[#This Row],[Price (USD)]]</f>
        <v>0</v>
      </c>
      <c r="O335" s="81" t="s">
        <v>1244</v>
      </c>
      <c r="P335" s="150">
        <f t="shared" si="4"/>
        <v>322</v>
      </c>
      <c r="Q335" s="78" t="s">
        <v>5</v>
      </c>
      <c r="R335"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474-TOL-10951</v>
      </c>
      <c r="S335" s="133" t="str">
        <f>HYPERLINK("https://www.mouser.com/ProductDetail/" &amp;MouserListTable[[#This Row],[Mouser SKU]])</f>
        <v>https://www.mouser.com/ProductDetail/474-TOL-10951</v>
      </c>
      <c r="T335" s="94">
        <v>0</v>
      </c>
      <c r="U335" s="94">
        <v>1</v>
      </c>
      <c r="V335" s="94">
        <v>0</v>
      </c>
      <c r="W335" s="94">
        <f>MouserListTable[[#This Row],['#/Unit]]*FilterSpecs!$C$3+MouserListTable[[#This Row],[Extra]]</f>
        <v>1</v>
      </c>
      <c r="X335" s="94">
        <f>IF(MouserListTable[[#This Row],[Tag]]=FilterSpecs!$F$7,MouserListTable[[#This Row],['#/Unit]]*MouserListTable[[#This Row],[Price (USD)]],0)</f>
        <v>0</v>
      </c>
      <c r="Y335" s="94">
        <f>MouserListTable[[#This Row],[Tot '#]]*MouserListTable[[#This Row],[Price (USD)]]</f>
        <v>34.950000000000003</v>
      </c>
      <c r="Z335"/>
    </row>
    <row r="336" spans="1:26" s="104" customFormat="1" x14ac:dyDescent="0.25">
      <c r="A336" s="97" t="s">
        <v>889</v>
      </c>
      <c r="B336" s="97" t="s">
        <v>2003</v>
      </c>
      <c r="C336" s="78" t="s">
        <v>1892</v>
      </c>
      <c r="D336" s="81" t="str">
        <f>IF(MouserListTable[[#This Row],[Vendor]]=FilterSpecs!$A$8,MouserListTable[[#This Row],[Mouser SKU]], MouserListTable[[#This Row],[Supplier SKU]])</f>
        <v>474-TOL-10950</v>
      </c>
      <c r="E336" s="94">
        <f>MouserListTable[[#This Row],[Tot '#]]-MouserListTable[[#This Row],['# Initial]]</f>
        <v>0</v>
      </c>
      <c r="F336" s="94">
        <f>IF(AND(MouserListTable[[#This Row],[Tag]]&lt;&gt;FilterSpecs!$F$12, MouserListTable[[#This Row],[Tag]]&lt;&gt;FilterSpecs!$F$9), MouserListTable[[#This Row],['#/Unit]]*FilterSpecs!$B$3+MouserListTable[[#This Row],[Extra Initial]],0)</f>
        <v>2</v>
      </c>
      <c r="G336" s="78" t="s">
        <v>1249</v>
      </c>
      <c r="H336" s="150" t="s">
        <v>1250</v>
      </c>
      <c r="I336" s="78" t="s">
        <v>1251</v>
      </c>
      <c r="J336" s="78">
        <v>1</v>
      </c>
      <c r="K336" s="117">
        <v>9.9499999999999993</v>
      </c>
      <c r="L336" s="78" t="s">
        <v>1896</v>
      </c>
      <c r="M336" s="106"/>
      <c r="N336" s="154">
        <f>MouserListTable[[#This Row],['# Initial]]*MouserListTable[[#This Row],[Price (USD)]]</f>
        <v>19.899999999999999</v>
      </c>
      <c r="O336" s="81" t="s">
        <v>1248</v>
      </c>
      <c r="P336" s="150">
        <f t="shared" si="4"/>
        <v>323</v>
      </c>
      <c r="Q336" s="78" t="s">
        <v>5</v>
      </c>
      <c r="R336"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474-TOL-10950</v>
      </c>
      <c r="S336" s="133" t="str">
        <f>HYPERLINK("https://www.mouser.com/ProductDetail/" &amp;MouserListTable[[#This Row],[Mouser SKU]])</f>
        <v>https://www.mouser.com/ProductDetail/474-TOL-10950</v>
      </c>
      <c r="T336" s="94">
        <v>0</v>
      </c>
      <c r="U336" s="94">
        <v>2</v>
      </c>
      <c r="V336" s="94">
        <v>2</v>
      </c>
      <c r="W336" s="94">
        <f>MouserListTable[[#This Row],['#/Unit]]*FilterSpecs!$C$3+MouserListTable[[#This Row],[Extra]]</f>
        <v>2</v>
      </c>
      <c r="X336" s="94">
        <f>IF(MouserListTable[[#This Row],[Tag]]=FilterSpecs!$F$7,MouserListTable[[#This Row],['#/Unit]]*MouserListTable[[#This Row],[Price (USD)]],0)</f>
        <v>0</v>
      </c>
      <c r="Y336" s="94">
        <f>MouserListTable[[#This Row],[Tot '#]]*MouserListTable[[#This Row],[Price (USD)]]</f>
        <v>19.899999999999999</v>
      </c>
      <c r="Z336"/>
    </row>
    <row r="337" spans="1:26" s="104" customFormat="1" x14ac:dyDescent="0.25">
      <c r="A337" s="78" t="s">
        <v>889</v>
      </c>
      <c r="B337" s="78" t="s">
        <v>2003</v>
      </c>
      <c r="C337" s="78" t="s">
        <v>1892</v>
      </c>
      <c r="D337" s="81" t="str">
        <f>IF(MouserListTable[[#This Row],[Vendor]]=FilterSpecs!$A$8,MouserListTable[[#This Row],[Mouser SKU]], MouserListTable[[#This Row],[Supplier SKU]])</f>
        <v>485-2504</v>
      </c>
      <c r="E337" s="94">
        <f>MouserListTable[[#This Row],[Tot '#]]-MouserListTable[[#This Row],['# Initial]]</f>
        <v>0</v>
      </c>
      <c r="F337" s="94">
        <f>IF(AND(MouserListTable[[#This Row],[Tag]]&lt;&gt;FilterSpecs!$F$12, MouserListTable[[#This Row],[Tag]]&lt;&gt;FilterSpecs!$F$9), MouserListTable[[#This Row],['#/Unit]]*FilterSpecs!$B$3+MouserListTable[[#This Row],[Extra Initial]],0)</f>
        <v>3</v>
      </c>
      <c r="G337" s="78"/>
      <c r="H337" s="150"/>
      <c r="I337" s="78" t="s">
        <v>2096</v>
      </c>
      <c r="J337" s="106"/>
      <c r="K337" s="117">
        <v>4.95</v>
      </c>
      <c r="L337" s="78" t="s">
        <v>1896</v>
      </c>
      <c r="M337" s="81"/>
      <c r="N337" s="154">
        <f>MouserListTable[[#This Row],['# Initial]]*MouserListTable[[#This Row],[Price (USD)]]</f>
        <v>14.850000000000001</v>
      </c>
      <c r="O337" s="81" t="s">
        <v>2095</v>
      </c>
      <c r="P337" s="150">
        <f t="shared" si="4"/>
        <v>324</v>
      </c>
      <c r="Q337" s="78" t="s">
        <v>1884</v>
      </c>
      <c r="R337"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485-2504</v>
      </c>
      <c r="S337" s="133" t="str">
        <f>HYPERLINK("https://www.mouser.com/ProductDetail/" &amp;MouserListTable[[#This Row],[Mouser SKU]])</f>
        <v>https://www.mouser.com/ProductDetail/485-2504</v>
      </c>
      <c r="T337" s="94">
        <v>0</v>
      </c>
      <c r="U337" s="94">
        <v>3</v>
      </c>
      <c r="V337" s="94">
        <v>3</v>
      </c>
      <c r="W337" s="94">
        <f>MouserListTable[[#This Row],['#/Unit]]*FilterSpecs!$C$3+MouserListTable[[#This Row],[Extra]]</f>
        <v>3</v>
      </c>
      <c r="X337" s="94">
        <f>IF(MouserListTable[[#This Row],[Tag]]=FilterSpecs!$F$7,MouserListTable[[#This Row],['#/Unit]]*MouserListTable[[#This Row],[Price (USD)]],0)</f>
        <v>0</v>
      </c>
      <c r="Y337" s="94">
        <f>MouserListTable[[#This Row],[Tot '#]]*MouserListTable[[#This Row],[Price (USD)]]</f>
        <v>14.850000000000001</v>
      </c>
      <c r="Z337"/>
    </row>
    <row r="338" spans="1:26" s="104" customFormat="1" x14ac:dyDescent="0.25">
      <c r="A338" s="78" t="s">
        <v>889</v>
      </c>
      <c r="B338" s="78" t="s">
        <v>2003</v>
      </c>
      <c r="C338" s="78" t="s">
        <v>1892</v>
      </c>
      <c r="D338" s="81" t="str">
        <f>IF(MouserListTable[[#This Row],[Vendor]]=FilterSpecs!$A$8,MouserListTable[[#This Row],[Mouser SKU]], MouserListTable[[#This Row],[Supplier SKU]])</f>
        <v>485-437</v>
      </c>
      <c r="E338" s="94">
        <f>MouserListTable[[#This Row],[Tot '#]]-MouserListTable[[#This Row],['# Initial]]</f>
        <v>0</v>
      </c>
      <c r="F338" s="94">
        <f>IF(AND(MouserListTable[[#This Row],[Tag]]&lt;&gt;FilterSpecs!$F$12, MouserListTable[[#This Row],[Tag]]&lt;&gt;FilterSpecs!$F$9), MouserListTable[[#This Row],['#/Unit]]*FilterSpecs!$B$3+MouserListTable[[#This Row],[Extra Initial]],0)</f>
        <v>1</v>
      </c>
      <c r="G338" s="78"/>
      <c r="H338" s="150"/>
      <c r="I338" s="78" t="s">
        <v>2098</v>
      </c>
      <c r="J338" s="106"/>
      <c r="K338" s="117">
        <v>20.2</v>
      </c>
      <c r="L338" s="78" t="s">
        <v>1896</v>
      </c>
      <c r="M338" s="81"/>
      <c r="N338" s="154">
        <f>MouserListTable[[#This Row],['# Initial]]*MouserListTable[[#This Row],[Price (USD)]]</f>
        <v>20.2</v>
      </c>
      <c r="O338" s="81" t="s">
        <v>2097</v>
      </c>
      <c r="P338" s="150">
        <f t="shared" si="4"/>
        <v>325</v>
      </c>
      <c r="Q338" s="78" t="s">
        <v>1884</v>
      </c>
      <c r="R338"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485-437</v>
      </c>
      <c r="S338" s="133" t="str">
        <f>HYPERLINK("https://www.mouser.com/ProductDetail/" &amp;MouserListTable[[#This Row],[Mouser SKU]])</f>
        <v>https://www.mouser.com/ProductDetail/485-437</v>
      </c>
      <c r="T338" s="94">
        <v>0</v>
      </c>
      <c r="U338" s="94">
        <v>1</v>
      </c>
      <c r="V338" s="94">
        <v>1</v>
      </c>
      <c r="W338" s="94">
        <f>MouserListTable[[#This Row],['#/Unit]]*FilterSpecs!$C$3+MouserListTable[[#This Row],[Extra]]</f>
        <v>1</v>
      </c>
      <c r="X338" s="94">
        <f>IF(MouserListTable[[#This Row],[Tag]]=FilterSpecs!$F$7,MouserListTable[[#This Row],['#/Unit]]*MouserListTable[[#This Row],[Price (USD)]],0)</f>
        <v>0</v>
      </c>
      <c r="Y338" s="94">
        <f>MouserListTable[[#This Row],[Tot '#]]*MouserListTable[[#This Row],[Price (USD)]]</f>
        <v>20.2</v>
      </c>
      <c r="Z338"/>
    </row>
    <row r="339" spans="1:26" s="104" customFormat="1" x14ac:dyDescent="0.25">
      <c r="A339" s="78" t="s">
        <v>889</v>
      </c>
      <c r="B339" s="78" t="s">
        <v>1289</v>
      </c>
      <c r="C339" s="78" t="s">
        <v>1892</v>
      </c>
      <c r="D339" s="81" t="str">
        <f>IF(MouserListTable[[#This Row],[Vendor]]=FilterSpecs!$A$8,MouserListTable[[#This Row],[Mouser SKU]], MouserListTable[[#This Row],[Supplier SKU]])</f>
        <v>474-PRT-11510</v>
      </c>
      <c r="E339" s="94">
        <f>MouserListTable[[#This Row],[Tot '#]]-MouserListTable[[#This Row],['# Initial]]</f>
        <v>0</v>
      </c>
      <c r="F339" s="94">
        <f>IF(AND(MouserListTable[[#This Row],[Tag]]&lt;&gt;FilterSpecs!$F$12, MouserListTable[[#This Row],[Tag]]&lt;&gt;FilterSpecs!$F$9), MouserListTable[[#This Row],['#/Unit]]*FilterSpecs!$B$3+MouserListTable[[#This Row],[Extra Initial]],0)</f>
        <v>5</v>
      </c>
      <c r="G339" s="78" t="s">
        <v>1077</v>
      </c>
      <c r="H339" s="150" t="s">
        <v>1078</v>
      </c>
      <c r="I339" s="78" t="s">
        <v>1079</v>
      </c>
      <c r="J339" s="78">
        <v>1</v>
      </c>
      <c r="K339" s="117">
        <v>1.95</v>
      </c>
      <c r="L339" s="78" t="s">
        <v>1897</v>
      </c>
      <c r="M339" s="78" t="s">
        <v>1198</v>
      </c>
      <c r="N339" s="154">
        <f>MouserListTable[[#This Row],['# Initial]]*MouserListTable[[#This Row],[Price (USD)]]</f>
        <v>9.75</v>
      </c>
      <c r="O339" s="81" t="s">
        <v>1076</v>
      </c>
      <c r="P339" s="150">
        <f t="shared" si="4"/>
        <v>326</v>
      </c>
      <c r="Q339" s="78" t="s">
        <v>5</v>
      </c>
      <c r="R339"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474-PRT-11510</v>
      </c>
      <c r="S339" s="133" t="str">
        <f>HYPERLINK("https://www.mouser.com/ProductDetail/" &amp;MouserListTable[[#This Row],[Mouser SKU]])</f>
        <v>https://www.mouser.com/ProductDetail/474-PRT-11510</v>
      </c>
      <c r="T339" s="94">
        <v>1</v>
      </c>
      <c r="U339" s="94">
        <v>0</v>
      </c>
      <c r="V339" s="94">
        <v>0</v>
      </c>
      <c r="W339" s="94">
        <f>MouserListTable[[#This Row],['#/Unit]]*FilterSpecs!$C$3+MouserListTable[[#This Row],[Extra]]</f>
        <v>5</v>
      </c>
      <c r="X339" s="94">
        <f>IF(MouserListTable[[#This Row],[Tag]]=FilterSpecs!$F$7,MouserListTable[[#This Row],['#/Unit]]*MouserListTable[[#This Row],[Price (USD)]],0)</f>
        <v>1.95</v>
      </c>
      <c r="Y339" s="94">
        <f>MouserListTable[[#This Row],[Tot '#]]*MouserListTable[[#This Row],[Price (USD)]]</f>
        <v>9.75</v>
      </c>
      <c r="Z339"/>
    </row>
    <row r="340" spans="1:26" s="104" customFormat="1" x14ac:dyDescent="0.25">
      <c r="A340" s="78" t="s">
        <v>889</v>
      </c>
      <c r="B340" s="78" t="s">
        <v>1289</v>
      </c>
      <c r="C340" s="78" t="s">
        <v>1892</v>
      </c>
      <c r="D340" s="81" t="str">
        <f>IF(MouserListTable[[#This Row],[Vendor]]=FilterSpecs!$A$8,MouserListTable[[#This Row],[Mouser SKU]], MouserListTable[[#This Row],[Supplier SKU]])</f>
        <v>474-PRT-14340</v>
      </c>
      <c r="E340" s="94">
        <f>MouserListTable[[#This Row],[Tot '#]]-MouserListTable[[#This Row],['# Initial]]</f>
        <v>0</v>
      </c>
      <c r="F340" s="94">
        <f>IF(AND(MouserListTable[[#This Row],[Tag]]&lt;&gt;FilterSpecs!$F$12, MouserListTable[[#This Row],[Tag]]&lt;&gt;FilterSpecs!$F$9), MouserListTable[[#This Row],['#/Unit]]*FilterSpecs!$B$3+MouserListTable[[#This Row],[Extra Initial]],0)</f>
        <v>5</v>
      </c>
      <c r="G340" s="78" t="s">
        <v>1257</v>
      </c>
      <c r="H340" s="150" t="s">
        <v>1258</v>
      </c>
      <c r="I340" s="78" t="s">
        <v>1259</v>
      </c>
      <c r="J340" s="78"/>
      <c r="K340" s="117">
        <v>1.57</v>
      </c>
      <c r="L340" s="78" t="s">
        <v>1897</v>
      </c>
      <c r="M340" s="81"/>
      <c r="N340" s="154">
        <f>MouserListTable[[#This Row],['# Initial]]*MouserListTable[[#This Row],[Price (USD)]]</f>
        <v>7.8500000000000005</v>
      </c>
      <c r="O340" s="81" t="s">
        <v>1256</v>
      </c>
      <c r="P340" s="150">
        <f t="shared" si="4"/>
        <v>327</v>
      </c>
      <c r="Q340" s="78" t="s">
        <v>5</v>
      </c>
      <c r="R340"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474-PRT-14340</v>
      </c>
      <c r="S340" s="133" t="str">
        <f>HYPERLINK("https://www.mouser.com/ProductDetail/" &amp;MouserListTable[[#This Row],[Mouser SKU]])</f>
        <v>https://www.mouser.com/ProductDetail/474-PRT-14340</v>
      </c>
      <c r="T340" s="94">
        <v>1</v>
      </c>
      <c r="U340" s="94">
        <v>0</v>
      </c>
      <c r="V340" s="94">
        <v>0</v>
      </c>
      <c r="W340" s="94">
        <f>MouserListTable[[#This Row],['#/Unit]]*FilterSpecs!$C$3+MouserListTable[[#This Row],[Extra]]</f>
        <v>5</v>
      </c>
      <c r="X340" s="94">
        <f>IF(MouserListTable[[#This Row],[Tag]]=FilterSpecs!$F$7,MouserListTable[[#This Row],['#/Unit]]*MouserListTable[[#This Row],[Price (USD)]],0)</f>
        <v>1.57</v>
      </c>
      <c r="Y340" s="94">
        <f>MouserListTable[[#This Row],[Tot '#]]*MouserListTable[[#This Row],[Price (USD)]]</f>
        <v>7.8500000000000005</v>
      </c>
      <c r="Z340"/>
    </row>
    <row r="341" spans="1:26" s="104" customFormat="1" x14ac:dyDescent="0.25">
      <c r="A341" s="78" t="s">
        <v>889</v>
      </c>
      <c r="B341" s="78" t="s">
        <v>1289</v>
      </c>
      <c r="C341" s="78" t="s">
        <v>1892</v>
      </c>
      <c r="D341" s="81" t="str">
        <f>IF(MouserListTable[[#This Row],[Vendor]]=FilterSpecs!$A$8,MouserListTable[[#This Row],[Mouser SKU]], MouserListTable[[#This Row],[Supplier SKU]])</f>
        <v>474-PRT-00121</v>
      </c>
      <c r="E341" s="94">
        <f>MouserListTable[[#This Row],[Tot '#]]-MouserListTable[[#This Row],['# Initial]]</f>
        <v>0</v>
      </c>
      <c r="F341" s="94">
        <f>IF(AND(MouserListTable[[#This Row],[Tag]]&lt;&gt;FilterSpecs!$F$12, MouserListTable[[#This Row],[Tag]]&lt;&gt;FilterSpecs!$F$9), MouserListTable[[#This Row],['#/Unit]]*FilterSpecs!$B$3+MouserListTable[[#This Row],[Extra Initial]],0)</f>
        <v>5</v>
      </c>
      <c r="G341" s="78" t="s">
        <v>1073</v>
      </c>
      <c r="H341" s="150" t="s">
        <v>1074</v>
      </c>
      <c r="I341" s="78" t="s">
        <v>1075</v>
      </c>
      <c r="J341" s="78">
        <v>1</v>
      </c>
      <c r="K341" s="117">
        <v>0.95</v>
      </c>
      <c r="L341" s="78" t="s">
        <v>1897</v>
      </c>
      <c r="M341" s="78" t="s">
        <v>1198</v>
      </c>
      <c r="N341" s="154">
        <f>MouserListTable[[#This Row],['# Initial]]*MouserListTable[[#This Row],[Price (USD)]]</f>
        <v>4.75</v>
      </c>
      <c r="O341" s="81" t="s">
        <v>1072</v>
      </c>
      <c r="P341" s="150">
        <f t="shared" si="4"/>
        <v>328</v>
      </c>
      <c r="Q341" s="78" t="s">
        <v>5</v>
      </c>
      <c r="R341"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474-PRT-00121</v>
      </c>
      <c r="S341" s="133" t="str">
        <f>HYPERLINK("https://www.mouser.com/ProductDetail/" &amp;MouserListTable[[#This Row],[Mouser SKU]])</f>
        <v>https://www.mouser.com/ProductDetail/474-PRT-00121</v>
      </c>
      <c r="T341" s="94">
        <v>1</v>
      </c>
      <c r="U341" s="94">
        <v>0</v>
      </c>
      <c r="V341" s="94">
        <v>0</v>
      </c>
      <c r="W341" s="94">
        <f>MouserListTable[[#This Row],['#/Unit]]*FilterSpecs!$C$3+MouserListTable[[#This Row],[Extra]]</f>
        <v>5</v>
      </c>
      <c r="X341" s="94">
        <f>IF(MouserListTable[[#This Row],[Tag]]=FilterSpecs!$F$7,MouserListTable[[#This Row],['#/Unit]]*MouserListTable[[#This Row],[Price (USD)]],0)</f>
        <v>0.95</v>
      </c>
      <c r="Y341" s="94">
        <f>MouserListTable[[#This Row],[Tot '#]]*MouserListTable[[#This Row],[Price (USD)]]</f>
        <v>4.75</v>
      </c>
      <c r="Z341"/>
    </row>
    <row r="342" spans="1:26" s="104" customFormat="1" x14ac:dyDescent="0.25">
      <c r="A342" s="78" t="s">
        <v>889</v>
      </c>
      <c r="B342" s="78" t="s">
        <v>1289</v>
      </c>
      <c r="C342" s="78" t="s">
        <v>1892</v>
      </c>
      <c r="D342" s="81" t="str">
        <f>IF(MouserListTable[[#This Row],[Vendor]]=FilterSpecs!$A$8,MouserListTable[[#This Row],[Mouser SKU]], MouserListTable[[#This Row],[Supplier SKU]])</f>
        <v>485-977</v>
      </c>
      <c r="E342" s="94">
        <f>MouserListTable[[#This Row],[Tot '#]]-MouserListTable[[#This Row],['# Initial]]</f>
        <v>0</v>
      </c>
      <c r="F342" s="94">
        <f>IF(AND(MouserListTable[[#This Row],[Tag]]&lt;&gt;FilterSpecs!$F$12, MouserListTable[[#This Row],[Tag]]&lt;&gt;FilterSpecs!$F$9), MouserListTable[[#This Row],['#/Unit]]*FilterSpecs!$B$3+MouserListTable[[#This Row],[Extra Initial]],0)</f>
        <v>10</v>
      </c>
      <c r="G342" s="78"/>
      <c r="H342" s="150"/>
      <c r="I342" s="78" t="s">
        <v>2094</v>
      </c>
      <c r="J342" s="106"/>
      <c r="K342" s="117">
        <v>0.75</v>
      </c>
      <c r="L342" s="78" t="s">
        <v>1897</v>
      </c>
      <c r="M342" s="81"/>
      <c r="N342" s="154">
        <f>MouserListTable[[#This Row],['# Initial]]*MouserListTable[[#This Row],[Price (USD)]]</f>
        <v>7.5</v>
      </c>
      <c r="O342" s="81" t="s">
        <v>2093</v>
      </c>
      <c r="P342" s="150">
        <f t="shared" si="4"/>
        <v>329</v>
      </c>
      <c r="Q342" s="78" t="s">
        <v>1884</v>
      </c>
      <c r="R342"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485-977</v>
      </c>
      <c r="S342" s="133" t="str">
        <f>HYPERLINK("https://www.mouser.com/ProductDetail/" &amp;MouserListTable[[#This Row],[Mouser SKU]])</f>
        <v>https://www.mouser.com/ProductDetail/485-977</v>
      </c>
      <c r="T342" s="94">
        <v>2</v>
      </c>
      <c r="U342" s="94">
        <v>0</v>
      </c>
      <c r="V342" s="94">
        <v>0</v>
      </c>
      <c r="W342" s="94">
        <f>MouserListTable[[#This Row],['#/Unit]]*FilterSpecs!$C$3+MouserListTable[[#This Row],[Extra]]</f>
        <v>10</v>
      </c>
      <c r="X342" s="94">
        <f>IF(MouserListTable[[#This Row],[Tag]]=FilterSpecs!$F$7,MouserListTable[[#This Row],['#/Unit]]*MouserListTable[[#This Row],[Price (USD)]],0)</f>
        <v>1.5</v>
      </c>
      <c r="Y342" s="94">
        <f>MouserListTable[[#This Row],[Tot '#]]*MouserListTable[[#This Row],[Price (USD)]]</f>
        <v>7.5</v>
      </c>
      <c r="Z342"/>
    </row>
    <row r="343" spans="1:26" s="104" customFormat="1" x14ac:dyDescent="0.25">
      <c r="A343" s="78" t="s">
        <v>889</v>
      </c>
      <c r="B343" s="78" t="s">
        <v>1289</v>
      </c>
      <c r="C343" s="78" t="s">
        <v>5</v>
      </c>
      <c r="D343" s="81" t="str">
        <f>IF(MouserListTable[[#This Row],[Vendor]]=FilterSpecs!$A$8,MouserListTable[[#This Row],[Mouser SKU]], MouserListTable[[#This Row],[Supplier SKU]])</f>
        <v>PRT-09599</v>
      </c>
      <c r="E343" s="94">
        <f>MouserListTable[[#This Row],[Tot '#]]-MouserListTable[[#This Row],['# Initial]]</f>
        <v>2</v>
      </c>
      <c r="F343" s="94">
        <f>IF(AND(MouserListTable[[#This Row],[Tag]]&lt;&gt;FilterSpecs!$F$12, MouserListTable[[#This Row],[Tag]]&lt;&gt;FilterSpecs!$F$9), MouserListTable[[#This Row],['#/Unit]]*FilterSpecs!$B$3+MouserListTable[[#This Row],[Extra Initial]],0)</f>
        <v>0</v>
      </c>
      <c r="G343" s="78" t="s">
        <v>1253</v>
      </c>
      <c r="H343" s="150" t="s">
        <v>1254</v>
      </c>
      <c r="I343" s="78" t="s">
        <v>1255</v>
      </c>
      <c r="J343" s="78">
        <v>1</v>
      </c>
      <c r="K343" s="117">
        <v>1.95</v>
      </c>
      <c r="L343" s="78" t="s">
        <v>2461</v>
      </c>
      <c r="M343" s="81"/>
      <c r="N343" s="154">
        <f>MouserListTable[[#This Row],['# Initial]]*MouserListTable[[#This Row],[Price (USD)]]</f>
        <v>0</v>
      </c>
      <c r="O343" s="81" t="s">
        <v>1252</v>
      </c>
      <c r="P343" s="150">
        <f t="shared" si="4"/>
        <v>330</v>
      </c>
      <c r="Q343" s="78" t="s">
        <v>5</v>
      </c>
      <c r="R343"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474-PRT-09599</v>
      </c>
      <c r="S343" s="133" t="str">
        <f>HYPERLINK("https://www.mouser.com/ProductDetail/" &amp;MouserListTable[[#This Row],[Mouser SKU]])</f>
        <v>https://www.mouser.com/ProductDetail/474-PRT-09599</v>
      </c>
      <c r="T343" s="94">
        <v>0</v>
      </c>
      <c r="U343" s="94">
        <v>2</v>
      </c>
      <c r="V343" s="94">
        <v>0</v>
      </c>
      <c r="W343" s="94">
        <f>MouserListTable[[#This Row],['#/Unit]]*FilterSpecs!$C$3+MouserListTable[[#This Row],[Extra]]</f>
        <v>2</v>
      </c>
      <c r="X343" s="94">
        <f>IF(MouserListTable[[#This Row],[Tag]]=FilterSpecs!$F$7,MouserListTable[[#This Row],['#/Unit]]*MouserListTable[[#This Row],[Price (USD)]],0)</f>
        <v>0</v>
      </c>
      <c r="Y343" s="94">
        <f>MouserListTable[[#This Row],[Tot '#]]*MouserListTable[[#This Row],[Price (USD)]]</f>
        <v>3.9</v>
      </c>
      <c r="Z343"/>
    </row>
    <row r="344" spans="1:26" s="104" customFormat="1" x14ac:dyDescent="0.25">
      <c r="A344" s="78" t="s">
        <v>889</v>
      </c>
      <c r="B344" s="78" t="s">
        <v>1289</v>
      </c>
      <c r="C344" s="78" t="s">
        <v>1892</v>
      </c>
      <c r="D344" s="81" t="str">
        <f>IF(MouserListTable[[#This Row],[Vendor]]=FilterSpecs!$A$8,MouserListTable[[#This Row],[Mouser SKU]], MouserListTable[[#This Row],[Supplier SKU]])</f>
        <v>474-PRT-09599</v>
      </c>
      <c r="E344" s="94">
        <f>MouserListTable[[#This Row],[Tot '#]]-MouserListTable[[#This Row],['# Initial]]</f>
        <v>0</v>
      </c>
      <c r="F344" s="94">
        <f>IF(AND(MouserListTable[[#This Row],[Tag]]&lt;&gt;FilterSpecs!$F$12, MouserListTable[[#This Row],[Tag]]&lt;&gt;FilterSpecs!$F$9), MouserListTable[[#This Row],['#/Unit]]*FilterSpecs!$B$3+MouserListTable[[#This Row],[Extra Initial]],0)</f>
        <v>2</v>
      </c>
      <c r="G344" s="78" t="s">
        <v>1253</v>
      </c>
      <c r="H344" s="150" t="s">
        <v>1254</v>
      </c>
      <c r="I344" s="78" t="s">
        <v>1255</v>
      </c>
      <c r="J344" s="78">
        <v>1</v>
      </c>
      <c r="K344" s="117">
        <v>1.95</v>
      </c>
      <c r="L344" s="78" t="s">
        <v>1896</v>
      </c>
      <c r="M344" s="81"/>
      <c r="N344" s="154">
        <f>MouserListTable[[#This Row],['# Initial]]*MouserListTable[[#This Row],[Price (USD)]]</f>
        <v>3.9</v>
      </c>
      <c r="O344" s="81" t="s">
        <v>1252</v>
      </c>
      <c r="P344" s="150">
        <f t="shared" si="4"/>
        <v>331</v>
      </c>
      <c r="Q344" s="78" t="s">
        <v>5</v>
      </c>
      <c r="R344"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474-PRT-09599</v>
      </c>
      <c r="S344" s="133" t="str">
        <f>HYPERLINK("https://www.mouser.com/ProductDetail/" &amp;MouserListTable[[#This Row],[Mouser SKU]])</f>
        <v>https://www.mouser.com/ProductDetail/474-PRT-09599</v>
      </c>
      <c r="T344" s="94">
        <v>0</v>
      </c>
      <c r="U344" s="94">
        <v>2</v>
      </c>
      <c r="V344" s="94">
        <v>2</v>
      </c>
      <c r="W344" s="94">
        <f>MouserListTable[[#This Row],['#/Unit]]*FilterSpecs!$C$3+MouserListTable[[#This Row],[Extra]]</f>
        <v>2</v>
      </c>
      <c r="X344" s="94">
        <f>IF(MouserListTable[[#This Row],[Tag]]=FilterSpecs!$F$7,MouserListTable[[#This Row],['#/Unit]]*MouserListTable[[#This Row],[Price (USD)]],0)</f>
        <v>0</v>
      </c>
      <c r="Y344" s="94">
        <f>MouserListTable[[#This Row],[Tot '#]]*MouserListTable[[#This Row],[Price (USD)]]</f>
        <v>3.9</v>
      </c>
      <c r="Z344"/>
    </row>
    <row r="345" spans="1:26" s="104" customFormat="1" x14ac:dyDescent="0.25">
      <c r="A345" s="78" t="s">
        <v>889</v>
      </c>
      <c r="B345" s="78" t="s">
        <v>1289</v>
      </c>
      <c r="C345" s="78" t="s">
        <v>1892</v>
      </c>
      <c r="D345" s="81" t="str">
        <f>IF(MouserListTable[[#This Row],[Vendor]]=FilterSpecs!$A$8,MouserListTable[[#This Row],[Mouser SKU]], MouserListTable[[#This Row],[Supplier SKU]])</f>
        <v>474-PRT-09771</v>
      </c>
      <c r="E345" s="94">
        <f>MouserListTable[[#This Row],[Tot '#]]-MouserListTable[[#This Row],['# Initial]]</f>
        <v>0</v>
      </c>
      <c r="F345" s="94">
        <f>IF(AND(MouserListTable[[#This Row],[Tag]]&lt;&gt;FilterSpecs!$F$12, MouserListTable[[#This Row],[Tag]]&lt;&gt;FilterSpecs!$F$9), MouserListTable[[#This Row],['#/Unit]]*FilterSpecs!$B$3+MouserListTable[[#This Row],[Extra Initial]],0)</f>
        <v>3</v>
      </c>
      <c r="G345" s="78" t="s">
        <v>1069</v>
      </c>
      <c r="H345" s="150" t="s">
        <v>1070</v>
      </c>
      <c r="I345" s="78" t="s">
        <v>1071</v>
      </c>
      <c r="J345" s="78"/>
      <c r="K345" s="117">
        <v>3.95</v>
      </c>
      <c r="L345" s="78" t="s">
        <v>1896</v>
      </c>
      <c r="M345" s="81"/>
      <c r="N345" s="154">
        <f>MouserListTable[[#This Row],['# Initial]]*MouserListTable[[#This Row],[Price (USD)]]</f>
        <v>11.850000000000001</v>
      </c>
      <c r="O345" s="81" t="s">
        <v>1068</v>
      </c>
      <c r="P345" s="150">
        <f t="shared" si="4"/>
        <v>332</v>
      </c>
      <c r="Q345" s="78" t="s">
        <v>5</v>
      </c>
      <c r="R345"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474-PRT-09771</v>
      </c>
      <c r="S345" s="133" t="str">
        <f>HYPERLINK("https://www.mouser.com/ProductDetail/" &amp;MouserListTable[[#This Row],[Mouser SKU]])</f>
        <v>https://www.mouser.com/ProductDetail/474-PRT-09771</v>
      </c>
      <c r="T345" s="94">
        <v>0</v>
      </c>
      <c r="U345" s="94">
        <v>3</v>
      </c>
      <c r="V345" s="94">
        <v>3</v>
      </c>
      <c r="W345" s="94">
        <f>MouserListTable[[#This Row],['#/Unit]]*FilterSpecs!$C$3+MouserListTable[[#This Row],[Extra]]</f>
        <v>3</v>
      </c>
      <c r="X345" s="94">
        <f>IF(MouserListTable[[#This Row],[Tag]]=FilterSpecs!$F$7,MouserListTable[[#This Row],['#/Unit]]*MouserListTable[[#This Row],[Price (USD)]],0)</f>
        <v>0</v>
      </c>
      <c r="Y345" s="94">
        <f>MouserListTable[[#This Row],[Tot '#]]*MouserListTable[[#This Row],[Price (USD)]]</f>
        <v>11.850000000000001</v>
      </c>
      <c r="Z345"/>
    </row>
    <row r="346" spans="1:26" s="104" customFormat="1" x14ac:dyDescent="0.25">
      <c r="A346" s="78" t="s">
        <v>889</v>
      </c>
      <c r="B346" s="78" t="s">
        <v>987</v>
      </c>
      <c r="C346" s="78" t="s">
        <v>1892</v>
      </c>
      <c r="D346" s="81" t="str">
        <f>IF(MouserListTable[[#This Row],[Vendor]]=FilterSpecs!$A$8,MouserListTable[[#This Row],[Mouser SKU]], MouserListTable[[#This Row],[Supplier SKU]])</f>
        <v>474-PRT-11796</v>
      </c>
      <c r="E346" s="94">
        <f>MouserListTable[[#This Row],[Tot '#]]-MouserListTable[[#This Row],['# Initial]]</f>
        <v>0</v>
      </c>
      <c r="F346" s="94">
        <f>IF(AND(MouserListTable[[#This Row],[Tag]]&lt;&gt;FilterSpecs!$F$12, MouserListTable[[#This Row],[Tag]]&lt;&gt;FilterSpecs!$F$9), MouserListTable[[#This Row],['#/Unit]]*FilterSpecs!$B$3+MouserListTable[[#This Row],[Extra Initial]],0)</f>
        <v>5</v>
      </c>
      <c r="G346" s="78" t="s">
        <v>637</v>
      </c>
      <c r="H346" s="150" t="s">
        <v>638</v>
      </c>
      <c r="I346" s="78" t="s">
        <v>639</v>
      </c>
      <c r="J346" s="78"/>
      <c r="K346" s="117">
        <v>3.95</v>
      </c>
      <c r="L346" s="78" t="s">
        <v>1897</v>
      </c>
      <c r="M346" s="81"/>
      <c r="N346" s="154">
        <f>MouserListTable[[#This Row],['# Initial]]*MouserListTable[[#This Row],[Price (USD)]]</f>
        <v>19.75</v>
      </c>
      <c r="O346" s="81" t="s">
        <v>636</v>
      </c>
      <c r="P346" s="150">
        <f t="shared" ref="P346:P409" si="5">IF($P345="List #",1,$P345+1)</f>
        <v>333</v>
      </c>
      <c r="Q346" s="78" t="s">
        <v>5</v>
      </c>
      <c r="R346"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474-PRT-11796</v>
      </c>
      <c r="S346" s="133" t="str">
        <f>HYPERLINK("https://www.mouser.com/ProductDetail/" &amp;MouserListTable[[#This Row],[Mouser SKU]])</f>
        <v>https://www.mouser.com/ProductDetail/474-PRT-11796</v>
      </c>
      <c r="T346" s="94">
        <v>1</v>
      </c>
      <c r="U346" s="94">
        <v>0</v>
      </c>
      <c r="V346" s="94">
        <v>0</v>
      </c>
      <c r="W346" s="94">
        <f>MouserListTable[[#This Row],['#/Unit]]*FilterSpecs!$C$3+MouserListTable[[#This Row],[Extra]]</f>
        <v>5</v>
      </c>
      <c r="X346" s="94">
        <f>IF(MouserListTable[[#This Row],[Tag]]=FilterSpecs!$F$7,MouserListTable[[#This Row],['#/Unit]]*MouserListTable[[#This Row],[Price (USD)]],0)</f>
        <v>3.95</v>
      </c>
      <c r="Y346" s="94">
        <f>MouserListTable[[#This Row],[Tot '#]]*MouserListTable[[#This Row],[Price (USD)]]</f>
        <v>19.75</v>
      </c>
      <c r="Z346"/>
    </row>
    <row r="347" spans="1:26" s="104" customFormat="1" x14ac:dyDescent="0.25">
      <c r="A347" s="78" t="s">
        <v>889</v>
      </c>
      <c r="B347" s="78" t="s">
        <v>987</v>
      </c>
      <c r="C347" s="78" t="s">
        <v>1892</v>
      </c>
      <c r="D347" s="81" t="str">
        <f>IF(MouserListTable[[#This Row],[Vendor]]=FilterSpecs!$A$8,MouserListTable[[#This Row],[Mouser SKU]], MouserListTable[[#This Row],[Supplier SKU]])</f>
        <v>474-PRT-10927</v>
      </c>
      <c r="E347" s="94">
        <f>MouserListTable[[#This Row],[Tot '#]]-MouserListTable[[#This Row],['# Initial]]</f>
        <v>0</v>
      </c>
      <c r="F347" s="94">
        <f>IF(AND(MouserListTable[[#This Row],[Tag]]&lt;&gt;FilterSpecs!$F$12, MouserListTable[[#This Row],[Tag]]&lt;&gt;FilterSpecs!$F$9), MouserListTable[[#This Row],['#/Unit]]*FilterSpecs!$B$3+MouserListTable[[#This Row],[Extra Initial]],0)</f>
        <v>5</v>
      </c>
      <c r="G347" s="78" t="s">
        <v>645</v>
      </c>
      <c r="H347" s="150" t="s">
        <v>646</v>
      </c>
      <c r="I347" s="78" t="s">
        <v>647</v>
      </c>
      <c r="J347" s="78">
        <v>1</v>
      </c>
      <c r="K347" s="117">
        <v>2.95</v>
      </c>
      <c r="L347" s="78" t="s">
        <v>1897</v>
      </c>
      <c r="M347" s="81"/>
      <c r="N347" s="154">
        <f>MouserListTable[[#This Row],['# Initial]]*MouserListTable[[#This Row],[Price (USD)]]</f>
        <v>14.75</v>
      </c>
      <c r="O347" s="81" t="s">
        <v>644</v>
      </c>
      <c r="P347" s="150">
        <f t="shared" si="5"/>
        <v>334</v>
      </c>
      <c r="Q347" s="78" t="s">
        <v>5</v>
      </c>
      <c r="R347"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474-PRT-10927</v>
      </c>
      <c r="S347" s="133" t="str">
        <f>HYPERLINK("https://www.mouser.com/ProductDetail/" &amp;MouserListTable[[#This Row],[Mouser SKU]])</f>
        <v>https://www.mouser.com/ProductDetail/474-PRT-10927</v>
      </c>
      <c r="T347" s="94">
        <v>1</v>
      </c>
      <c r="U347" s="94">
        <v>0</v>
      </c>
      <c r="V347" s="94">
        <v>0</v>
      </c>
      <c r="W347" s="94">
        <f>MouserListTable[[#This Row],['#/Unit]]*FilterSpecs!$C$3+MouserListTable[[#This Row],[Extra]]</f>
        <v>5</v>
      </c>
      <c r="X347" s="94">
        <f>IF(MouserListTable[[#This Row],[Tag]]=FilterSpecs!$F$7,MouserListTable[[#This Row],['#/Unit]]*MouserListTable[[#This Row],[Price (USD)]],0)</f>
        <v>2.95</v>
      </c>
      <c r="Y347" s="94">
        <f>MouserListTable[[#This Row],[Tot '#]]*MouserListTable[[#This Row],[Price (USD)]]</f>
        <v>14.75</v>
      </c>
      <c r="Z347"/>
    </row>
    <row r="348" spans="1:26" s="104" customFormat="1" x14ac:dyDescent="0.25">
      <c r="A348" s="78" t="s">
        <v>889</v>
      </c>
      <c r="B348" s="78" t="s">
        <v>987</v>
      </c>
      <c r="C348" s="78" t="s">
        <v>1892</v>
      </c>
      <c r="D348" s="81" t="str">
        <f>IF(MouserListTable[[#This Row],[Vendor]]=FilterSpecs!$A$8,MouserListTable[[#This Row],[Mouser SKU]], MouserListTable[[#This Row],[Supplier SKU]])</f>
        <v>474-PRT-10453</v>
      </c>
      <c r="E348" s="94">
        <f>MouserListTable[[#This Row],[Tot '#]]-MouserListTable[[#This Row],['# Initial]]</f>
        <v>0</v>
      </c>
      <c r="F348" s="94">
        <f>IF(AND(MouserListTable[[#This Row],[Tag]]&lt;&gt;FilterSpecs!$F$12, MouserListTable[[#This Row],[Tag]]&lt;&gt;FilterSpecs!$F$9), MouserListTable[[#This Row],['#/Unit]]*FilterSpecs!$B$3+MouserListTable[[#This Row],[Extra Initial]],0)</f>
        <v>5</v>
      </c>
      <c r="G348" s="78" t="s">
        <v>701</v>
      </c>
      <c r="H348" s="150" t="s">
        <v>702</v>
      </c>
      <c r="I348" s="78" t="s">
        <v>703</v>
      </c>
      <c r="J348" s="78">
        <v>1</v>
      </c>
      <c r="K348" s="117">
        <v>1.5</v>
      </c>
      <c r="L348" s="78" t="s">
        <v>1897</v>
      </c>
      <c r="M348" s="81"/>
      <c r="N348" s="154">
        <f>MouserListTable[[#This Row],['# Initial]]*MouserListTable[[#This Row],[Price (USD)]]</f>
        <v>7.5</v>
      </c>
      <c r="O348" s="81" t="s">
        <v>700</v>
      </c>
      <c r="P348" s="150">
        <f t="shared" si="5"/>
        <v>335</v>
      </c>
      <c r="Q348" s="78" t="s">
        <v>5</v>
      </c>
      <c r="R348"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474-PRT-10453</v>
      </c>
      <c r="S348" s="133" t="str">
        <f>HYPERLINK("https://www.mouser.com/ProductDetail/" &amp;MouserListTable[[#This Row],[Mouser SKU]])</f>
        <v>https://www.mouser.com/ProductDetail/474-PRT-10453</v>
      </c>
      <c r="T348" s="94">
        <v>1</v>
      </c>
      <c r="U348" s="94">
        <v>0</v>
      </c>
      <c r="V348" s="94">
        <v>0</v>
      </c>
      <c r="W348" s="94">
        <f>MouserListTable[[#This Row],['#/Unit]]*FilterSpecs!$C$3+MouserListTable[[#This Row],[Extra]]</f>
        <v>5</v>
      </c>
      <c r="X348" s="94">
        <f>IF(MouserListTable[[#This Row],[Tag]]=FilterSpecs!$F$7,MouserListTable[[#This Row],['#/Unit]]*MouserListTable[[#This Row],[Price (USD)]],0)</f>
        <v>1.5</v>
      </c>
      <c r="Y348" s="94">
        <f>MouserListTable[[#This Row],[Tot '#]]*MouserListTable[[#This Row],[Price (USD)]]</f>
        <v>7.5</v>
      </c>
      <c r="Z348"/>
    </row>
    <row r="349" spans="1:26" s="104" customFormat="1" x14ac:dyDescent="0.25">
      <c r="A349" s="78" t="s">
        <v>889</v>
      </c>
      <c r="B349" s="78" t="s">
        <v>987</v>
      </c>
      <c r="C349" s="78" t="s">
        <v>1892</v>
      </c>
      <c r="D349" s="81" t="str">
        <f>IF(MouserListTable[[#This Row],[Vendor]]=FilterSpecs!$A$8,MouserListTable[[#This Row],[Mouser SKU]], MouserListTable[[#This Row],[Supplier SKU]])</f>
        <v>474-PRT-10738</v>
      </c>
      <c r="E349" s="94">
        <f>MouserListTable[[#This Row],[Tot '#]]-MouserListTable[[#This Row],['# Initial]]</f>
        <v>0</v>
      </c>
      <c r="F349" s="94">
        <f>IF(AND(MouserListTable[[#This Row],[Tag]]&lt;&gt;FilterSpecs!$F$12, MouserListTable[[#This Row],[Tag]]&lt;&gt;FilterSpecs!$F$9), MouserListTable[[#This Row],['#/Unit]]*FilterSpecs!$B$3+MouserListTable[[#This Row],[Extra Initial]],0)</f>
        <v>5</v>
      </c>
      <c r="G349" s="78" t="s">
        <v>902</v>
      </c>
      <c r="H349" s="150" t="s">
        <v>903</v>
      </c>
      <c r="I349" s="78" t="s">
        <v>904</v>
      </c>
      <c r="J349" s="78">
        <v>1</v>
      </c>
      <c r="K349" s="117">
        <v>3.95</v>
      </c>
      <c r="L349" s="78" t="s">
        <v>1897</v>
      </c>
      <c r="M349" s="81"/>
      <c r="N349" s="154">
        <f>MouserListTable[[#This Row],['# Initial]]*MouserListTable[[#This Row],[Price (USD)]]</f>
        <v>19.75</v>
      </c>
      <c r="O349" s="81" t="s">
        <v>901</v>
      </c>
      <c r="P349" s="150">
        <f t="shared" si="5"/>
        <v>336</v>
      </c>
      <c r="Q349" s="78" t="s">
        <v>5</v>
      </c>
      <c r="R349"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474-PRT-10738</v>
      </c>
      <c r="S349" s="133" t="str">
        <f>HYPERLINK("https://www.mouser.com/ProductDetail/" &amp;MouserListTable[[#This Row],[Mouser SKU]])</f>
        <v>https://www.mouser.com/ProductDetail/474-PRT-10738</v>
      </c>
      <c r="T349" s="94">
        <v>1</v>
      </c>
      <c r="U349" s="94">
        <v>0</v>
      </c>
      <c r="V349" s="94">
        <v>0</v>
      </c>
      <c r="W349" s="94">
        <f>MouserListTable[[#This Row],['#/Unit]]*FilterSpecs!$C$3+MouserListTable[[#This Row],[Extra]]</f>
        <v>5</v>
      </c>
      <c r="X349" s="94">
        <f>IF(MouserListTable[[#This Row],[Tag]]=FilterSpecs!$F$7,MouserListTable[[#This Row],['#/Unit]]*MouserListTable[[#This Row],[Price (USD)]],0)</f>
        <v>3.95</v>
      </c>
      <c r="Y349" s="94">
        <f>MouserListTable[[#This Row],[Tot '#]]*MouserListTable[[#This Row],[Price (USD)]]</f>
        <v>19.75</v>
      </c>
      <c r="Z349"/>
    </row>
    <row r="350" spans="1:26" s="104" customFormat="1" x14ac:dyDescent="0.25">
      <c r="A350" s="78" t="s">
        <v>889</v>
      </c>
      <c r="B350" s="78" t="s">
        <v>987</v>
      </c>
      <c r="C350" s="78" t="s">
        <v>1892</v>
      </c>
      <c r="D350" s="81" t="str">
        <f>IF(MouserListTable[[#This Row],[Vendor]]=FilterSpecs!$A$8,MouserListTable[[#This Row],[Mouser SKU]], MouserListTable[[#This Row],[Supplier SKU]])</f>
        <v>474-PRT-10450</v>
      </c>
      <c r="E350" s="94">
        <f>MouserListTable[[#This Row],[Tot '#]]-MouserListTable[[#This Row],['# Initial]]</f>
        <v>0</v>
      </c>
      <c r="F350" s="94">
        <f>IF(AND(MouserListTable[[#This Row],[Tag]]&lt;&gt;FilterSpecs!$F$12, MouserListTable[[#This Row],[Tag]]&lt;&gt;FilterSpecs!$F$9), MouserListTable[[#This Row],['#/Unit]]*FilterSpecs!$B$3+MouserListTable[[#This Row],[Extra Initial]],0)</f>
        <v>5</v>
      </c>
      <c r="G350" s="78" t="s">
        <v>906</v>
      </c>
      <c r="H350" s="150" t="s">
        <v>907</v>
      </c>
      <c r="I350" s="78" t="s">
        <v>908</v>
      </c>
      <c r="J350" s="78">
        <v>1</v>
      </c>
      <c r="K350" s="117">
        <v>1.5</v>
      </c>
      <c r="L350" s="78" t="s">
        <v>1897</v>
      </c>
      <c r="M350" s="81"/>
      <c r="N350" s="154">
        <f>MouserListTable[[#This Row],['# Initial]]*MouserListTable[[#This Row],[Price (USD)]]</f>
        <v>7.5</v>
      </c>
      <c r="O350" s="81" t="s">
        <v>905</v>
      </c>
      <c r="P350" s="150">
        <f t="shared" si="5"/>
        <v>337</v>
      </c>
      <c r="Q350" s="78" t="s">
        <v>5</v>
      </c>
      <c r="R350"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474-PRT-10450</v>
      </c>
      <c r="S350" s="133" t="str">
        <f>HYPERLINK("https://www.mouser.com/ProductDetail/" &amp;MouserListTable[[#This Row],[Mouser SKU]])</f>
        <v>https://www.mouser.com/ProductDetail/474-PRT-10450</v>
      </c>
      <c r="T350" s="94">
        <v>1</v>
      </c>
      <c r="U350" s="94">
        <v>0</v>
      </c>
      <c r="V350" s="94">
        <v>0</v>
      </c>
      <c r="W350" s="94">
        <f>MouserListTable[[#This Row],['#/Unit]]*FilterSpecs!$C$3+MouserListTable[[#This Row],[Extra]]</f>
        <v>5</v>
      </c>
      <c r="X350" s="94">
        <f>IF(MouserListTable[[#This Row],[Tag]]=FilterSpecs!$F$7,MouserListTable[[#This Row],['#/Unit]]*MouserListTable[[#This Row],[Price (USD)]],0)</f>
        <v>1.5</v>
      </c>
      <c r="Y350" s="94">
        <f>MouserListTable[[#This Row],[Tot '#]]*MouserListTable[[#This Row],[Price (USD)]]</f>
        <v>7.5</v>
      </c>
      <c r="Z350"/>
    </row>
    <row r="351" spans="1:26" s="104" customFormat="1" x14ac:dyDescent="0.25">
      <c r="A351" s="78" t="s">
        <v>889</v>
      </c>
      <c r="B351" s="78" t="s">
        <v>987</v>
      </c>
      <c r="C351" s="78" t="s">
        <v>1892</v>
      </c>
      <c r="D351" s="81" t="str">
        <f>IF(MouserListTable[[#This Row],[Vendor]]=FilterSpecs!$A$8,MouserListTable[[#This Row],[Mouser SKU]], MouserListTable[[#This Row],[Supplier SKU]])</f>
        <v>474-PRT-10463</v>
      </c>
      <c r="E351" s="94">
        <f>MouserListTable[[#This Row],[Tot '#]]-MouserListTable[[#This Row],['# Initial]]</f>
        <v>0</v>
      </c>
      <c r="F351" s="94">
        <f>IF(AND(MouserListTable[[#This Row],[Tag]]&lt;&gt;FilterSpecs!$F$12, MouserListTable[[#This Row],[Tag]]&lt;&gt;FilterSpecs!$F$9), MouserListTable[[#This Row],['#/Unit]]*FilterSpecs!$B$3+MouserListTable[[#This Row],[Extra Initial]],0)</f>
        <v>20</v>
      </c>
      <c r="G351" s="78" t="s">
        <v>930</v>
      </c>
      <c r="H351" s="150" t="s">
        <v>931</v>
      </c>
      <c r="I351" s="78" t="s">
        <v>932</v>
      </c>
      <c r="J351" s="78">
        <v>1</v>
      </c>
      <c r="K351" s="117">
        <v>3.95</v>
      </c>
      <c r="L351" s="78" t="s">
        <v>1897</v>
      </c>
      <c r="M351" s="81"/>
      <c r="N351" s="154">
        <f>MouserListTable[[#This Row],['# Initial]]*MouserListTable[[#This Row],[Price (USD)]]</f>
        <v>79</v>
      </c>
      <c r="O351" s="81" t="s">
        <v>929</v>
      </c>
      <c r="P351" s="150">
        <f t="shared" si="5"/>
        <v>338</v>
      </c>
      <c r="Q351" s="78" t="s">
        <v>5</v>
      </c>
      <c r="R351"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474-PRT-10463</v>
      </c>
      <c r="S351" s="133" t="str">
        <f>HYPERLINK("https://www.mouser.com/ProductDetail/" &amp;MouserListTable[[#This Row],[Mouser SKU]])</f>
        <v>https://www.mouser.com/ProductDetail/474-PRT-10463</v>
      </c>
      <c r="T351" s="94">
        <v>4</v>
      </c>
      <c r="U351" s="94">
        <v>0</v>
      </c>
      <c r="V351" s="94">
        <v>0</v>
      </c>
      <c r="W351" s="94">
        <f>MouserListTable[[#This Row],['#/Unit]]*FilterSpecs!$C$3+MouserListTable[[#This Row],[Extra]]</f>
        <v>20</v>
      </c>
      <c r="X351" s="94">
        <f>IF(MouserListTable[[#This Row],[Tag]]=FilterSpecs!$F$7,MouserListTable[[#This Row],['#/Unit]]*MouserListTable[[#This Row],[Price (USD)]],0)</f>
        <v>15.8</v>
      </c>
      <c r="Y351" s="94">
        <f>MouserListTable[[#This Row],[Tot '#]]*MouserListTable[[#This Row],[Price (USD)]]</f>
        <v>79</v>
      </c>
      <c r="Z351"/>
    </row>
    <row r="352" spans="1:26" s="106" customFormat="1" x14ac:dyDescent="0.25">
      <c r="A352" s="78" t="s">
        <v>889</v>
      </c>
      <c r="B352" s="78" t="s">
        <v>1290</v>
      </c>
      <c r="C352" s="78" t="s">
        <v>1892</v>
      </c>
      <c r="D352" s="81" t="str">
        <f>IF(MouserListTable[[#This Row],[Vendor]]=FilterSpecs!$A$8,MouserListTable[[#This Row],[Mouser SKU]], MouserListTable[[#This Row],[Supplier SKU]])</f>
        <v>474-PRT-10561</v>
      </c>
      <c r="E352" s="94">
        <f>MouserListTable[[#This Row],[Tot '#]]-MouserListTable[[#This Row],['# Initial]]</f>
        <v>0</v>
      </c>
      <c r="F352" s="94">
        <f>IF(AND(MouserListTable[[#This Row],[Tag]]&lt;&gt;FilterSpecs!$F$12, MouserListTable[[#This Row],[Tag]]&lt;&gt;FilterSpecs!$F$9), MouserListTable[[#This Row],['#/Unit]]*FilterSpecs!$B$3+MouserListTable[[#This Row],[Extra Initial]],0)</f>
        <v>1</v>
      </c>
      <c r="G352" s="78" t="s">
        <v>1229</v>
      </c>
      <c r="H352" s="150" t="s">
        <v>1230</v>
      </c>
      <c r="I352" s="78" t="s">
        <v>1231</v>
      </c>
      <c r="J352" s="78">
        <v>1</v>
      </c>
      <c r="K352" s="117">
        <v>2.95</v>
      </c>
      <c r="L352" s="78" t="s">
        <v>1896</v>
      </c>
      <c r="M352" s="81"/>
      <c r="N352" s="154">
        <f>MouserListTable[[#This Row],['# Initial]]*MouserListTable[[#This Row],[Price (USD)]]</f>
        <v>2.95</v>
      </c>
      <c r="O352" s="81" t="s">
        <v>1228</v>
      </c>
      <c r="P352" s="150">
        <f t="shared" si="5"/>
        <v>339</v>
      </c>
      <c r="Q352" s="78" t="s">
        <v>5</v>
      </c>
      <c r="R352"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474-PRT-10561</v>
      </c>
      <c r="S352" s="133" t="str">
        <f>HYPERLINK("https://www.mouser.com/ProductDetail/" &amp;MouserListTable[[#This Row],[Mouser SKU]])</f>
        <v>https://www.mouser.com/ProductDetail/474-PRT-10561</v>
      </c>
      <c r="T352" s="94">
        <v>0</v>
      </c>
      <c r="U352" s="94">
        <v>1</v>
      </c>
      <c r="V352" s="94">
        <v>1</v>
      </c>
      <c r="W352" s="94">
        <f>MouserListTable[[#This Row],['#/Unit]]*FilterSpecs!$C$3+MouserListTable[[#This Row],[Extra]]</f>
        <v>1</v>
      </c>
      <c r="X352" s="94">
        <f>IF(MouserListTable[[#This Row],[Tag]]=FilterSpecs!$F$7,MouserListTable[[#This Row],['#/Unit]]*MouserListTable[[#This Row],[Price (USD)]],0)</f>
        <v>0</v>
      </c>
      <c r="Y352" s="94">
        <f>MouserListTable[[#This Row],[Tot '#]]*MouserListTable[[#This Row],[Price (USD)]]</f>
        <v>2.95</v>
      </c>
      <c r="Z352"/>
    </row>
    <row r="353" spans="1:26" s="106" customFormat="1" x14ac:dyDescent="0.25">
      <c r="A353" s="78" t="s">
        <v>889</v>
      </c>
      <c r="B353" s="150" t="s">
        <v>1290</v>
      </c>
      <c r="C353" s="150" t="s">
        <v>1892</v>
      </c>
      <c r="D353" s="151" t="str">
        <f>IF(MouserListTable[[#This Row],[Vendor]]=FilterSpecs!$A$8,MouserListTable[[#This Row],[Mouser SKU]], MouserListTable[[#This Row],[Supplier SKU]])</f>
        <v>474-PRT-13827</v>
      </c>
      <c r="E353" s="152">
        <f>MouserListTable[[#This Row],[Tot '#]]-MouserListTable[[#This Row],['# Initial]]</f>
        <v>0</v>
      </c>
      <c r="F353" s="152">
        <f>IF(AND(MouserListTable[[#This Row],[Tag]]&lt;&gt;FilterSpecs!$F$12, MouserListTable[[#This Row],[Tag]]&lt;&gt;FilterSpecs!$F$9), MouserListTable[[#This Row],['#/Unit]]*FilterSpecs!$B$3+MouserListTable[[#This Row],[Extra Initial]],0)</f>
        <v>1</v>
      </c>
      <c r="G353" s="78" t="s">
        <v>1233</v>
      </c>
      <c r="H353" s="150" t="s">
        <v>1234</v>
      </c>
      <c r="I353" s="78" t="s">
        <v>1235</v>
      </c>
      <c r="J353" s="78">
        <v>1</v>
      </c>
      <c r="K353" s="117">
        <v>3.95</v>
      </c>
      <c r="L353" s="78" t="s">
        <v>1896</v>
      </c>
      <c r="M353" s="81"/>
      <c r="N353" s="154">
        <f>MouserListTable[[#This Row],['# Initial]]*MouserListTable[[#This Row],[Price (USD)]]</f>
        <v>3.95</v>
      </c>
      <c r="O353" s="81" t="s">
        <v>1232</v>
      </c>
      <c r="P353" s="150">
        <f t="shared" si="5"/>
        <v>340</v>
      </c>
      <c r="Q353" s="78" t="s">
        <v>5</v>
      </c>
      <c r="R353"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474-PRT-13827</v>
      </c>
      <c r="S353" s="133" t="str">
        <f>HYPERLINK("https://www.mouser.com/ProductDetail/" &amp;MouserListTable[[#This Row],[Mouser SKU]])</f>
        <v>https://www.mouser.com/ProductDetail/474-PRT-13827</v>
      </c>
      <c r="T353" s="94">
        <v>0</v>
      </c>
      <c r="U353" s="94">
        <v>1</v>
      </c>
      <c r="V353" s="94">
        <v>1</v>
      </c>
      <c r="W353" s="94">
        <f>MouserListTable[[#This Row],['#/Unit]]*FilterSpecs!$C$3+MouserListTable[[#This Row],[Extra]]</f>
        <v>1</v>
      </c>
      <c r="X353" s="94">
        <f>IF(MouserListTable[[#This Row],[Tag]]=FilterSpecs!$F$7,MouserListTable[[#This Row],['#/Unit]]*MouserListTable[[#This Row],[Price (USD)]],0)</f>
        <v>0</v>
      </c>
      <c r="Y353" s="94">
        <f>MouserListTable[[#This Row],[Tot '#]]*MouserListTable[[#This Row],[Price (USD)]]</f>
        <v>3.95</v>
      </c>
      <c r="Z353"/>
    </row>
    <row r="354" spans="1:26" s="146" customFormat="1" x14ac:dyDescent="0.25">
      <c r="A354" s="150" t="s">
        <v>889</v>
      </c>
      <c r="B354" s="150" t="s">
        <v>1290</v>
      </c>
      <c r="C354" s="150" t="s">
        <v>1892</v>
      </c>
      <c r="D354" s="151" t="str">
        <f>IF(MouserListTable[[#This Row],[Vendor]]=FilterSpecs!$A$8,MouserListTable[[#This Row],[Mouser SKU]], MouserListTable[[#This Row],[Supplier SKU]])</f>
        <v>474-PRT-13828</v>
      </c>
      <c r="E354" s="152">
        <f>MouserListTable[[#This Row],[Tot '#]]-MouserListTable[[#This Row],['# Initial]]</f>
        <v>0</v>
      </c>
      <c r="F354" s="152">
        <f>IF(AND(MouserListTable[[#This Row],[Tag]]&lt;&gt;FilterSpecs!$F$12, MouserListTable[[#This Row],[Tag]]&lt;&gt;FilterSpecs!$F$9), MouserListTable[[#This Row],['#/Unit]]*FilterSpecs!$B$3+MouserListTable[[#This Row],[Extra Initial]],0)</f>
        <v>0</v>
      </c>
      <c r="G354" s="147" t="s">
        <v>1221</v>
      </c>
      <c r="H354" s="150" t="s">
        <v>1222</v>
      </c>
      <c r="I354" s="150" t="s">
        <v>1223</v>
      </c>
      <c r="J354" s="150">
        <v>1</v>
      </c>
      <c r="K354" s="154">
        <v>15.95</v>
      </c>
      <c r="L354" s="150" t="s">
        <v>1896</v>
      </c>
      <c r="M354" s="151"/>
      <c r="N354" s="154">
        <f>MouserListTable[[#This Row],['# Initial]]*MouserListTable[[#This Row],[Price (USD)]]</f>
        <v>0</v>
      </c>
      <c r="O354" s="151" t="s">
        <v>1220</v>
      </c>
      <c r="P354" s="150">
        <f t="shared" si="5"/>
        <v>341</v>
      </c>
      <c r="Q354" s="150" t="s">
        <v>5</v>
      </c>
      <c r="R35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474-PRT-13828</v>
      </c>
      <c r="S354" s="157" t="str">
        <f>HYPERLINK("https://www.mouser.com/ProductDetail/" &amp;MouserListTable[[#This Row],[Mouser SKU]])</f>
        <v>https://www.mouser.com/ProductDetail/474-PRT-13828</v>
      </c>
      <c r="T354" s="152">
        <v>0</v>
      </c>
      <c r="U354" s="152">
        <v>0</v>
      </c>
      <c r="V354" s="152">
        <v>0</v>
      </c>
      <c r="W354" s="152">
        <f>MouserListTable[[#This Row],['#/Unit]]*FilterSpecs!$C$3+MouserListTable[[#This Row],[Extra]]</f>
        <v>0</v>
      </c>
      <c r="X354" s="152">
        <f>IF(MouserListTable[[#This Row],[Tag]]=FilterSpecs!$F$7,MouserListTable[[#This Row],['#/Unit]]*MouserListTable[[#This Row],[Price (USD)]],0)</f>
        <v>0</v>
      </c>
      <c r="Y354" s="152">
        <f>MouserListTable[[#This Row],[Tot '#]]*MouserListTable[[#This Row],[Price (USD)]]</f>
        <v>0</v>
      </c>
    </row>
    <row r="355" spans="1:26" s="146" customFormat="1" x14ac:dyDescent="0.25">
      <c r="A355" s="150" t="s">
        <v>889</v>
      </c>
      <c r="B355" s="150" t="s">
        <v>1290</v>
      </c>
      <c r="C355" s="150" t="s">
        <v>1892</v>
      </c>
      <c r="D355" s="151" t="str">
        <f>IF(MouserListTable[[#This Row],[Vendor]]=FilterSpecs!$A$8,MouserListTable[[#This Row],[Mouser SKU]], MouserListTable[[#This Row],[Supplier SKU]])</f>
        <v>474-PRT-11081</v>
      </c>
      <c r="E355" s="152">
        <f>MouserListTable[[#This Row],[Tot '#]]-MouserListTable[[#This Row],['# Initial]]</f>
        <v>0</v>
      </c>
      <c r="F355" s="152">
        <f>IF(AND(MouserListTable[[#This Row],[Tag]]&lt;&gt;FilterSpecs!$F$12, MouserListTable[[#This Row],[Tag]]&lt;&gt;FilterSpecs!$F$9), MouserListTable[[#This Row],['#/Unit]]*FilterSpecs!$B$3+MouserListTable[[#This Row],[Extra Initial]],0)</f>
        <v>0</v>
      </c>
      <c r="G355" s="147" t="s">
        <v>1225</v>
      </c>
      <c r="H355" s="150" t="s">
        <v>1226</v>
      </c>
      <c r="I355" s="150" t="s">
        <v>1227</v>
      </c>
      <c r="J355" s="150"/>
      <c r="K355" s="154">
        <v>14.95</v>
      </c>
      <c r="L355" s="150" t="s">
        <v>1896</v>
      </c>
      <c r="M355" s="151"/>
      <c r="N355" s="154">
        <f>MouserListTable[[#This Row],['# Initial]]*MouserListTable[[#This Row],[Price (USD)]]</f>
        <v>0</v>
      </c>
      <c r="O355" s="151" t="s">
        <v>1224</v>
      </c>
      <c r="P355" s="150">
        <f t="shared" si="5"/>
        <v>342</v>
      </c>
      <c r="Q355" s="150" t="s">
        <v>5</v>
      </c>
      <c r="R35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474-PRT-11081</v>
      </c>
      <c r="S355" s="157" t="str">
        <f>HYPERLINK("https://www.mouser.com/ProductDetail/" &amp;MouserListTable[[#This Row],[Mouser SKU]])</f>
        <v>https://www.mouser.com/ProductDetail/474-PRT-11081</v>
      </c>
      <c r="T355" s="152">
        <v>0</v>
      </c>
      <c r="U355" s="152">
        <v>0</v>
      </c>
      <c r="V355" s="152">
        <v>0</v>
      </c>
      <c r="W355" s="152">
        <f>MouserListTable[[#This Row],['#/Unit]]*FilterSpecs!$C$3+MouserListTable[[#This Row],[Extra]]</f>
        <v>0</v>
      </c>
      <c r="X355" s="152">
        <f>IF(MouserListTable[[#This Row],[Tag]]=FilterSpecs!$F$7,MouserListTable[[#This Row],['#/Unit]]*MouserListTable[[#This Row],[Price (USD)]],0)</f>
        <v>0</v>
      </c>
      <c r="Y355" s="152">
        <f>MouserListTable[[#This Row],[Tot '#]]*MouserListTable[[#This Row],[Price (USD)]]</f>
        <v>0</v>
      </c>
    </row>
    <row r="356" spans="1:26" s="146" customFormat="1" x14ac:dyDescent="0.25">
      <c r="A356" s="150" t="s">
        <v>889</v>
      </c>
      <c r="B356" s="150" t="s">
        <v>1290</v>
      </c>
      <c r="C356" s="150" t="s">
        <v>1892</v>
      </c>
      <c r="D356" s="151" t="str">
        <f>IF(MouserListTable[[#This Row],[Vendor]]=FilterSpecs!$A$8,MouserListTable[[#This Row],[Mouser SKU]], MouserListTable[[#This Row],[Supplier SKU]])</f>
        <v>474-COM-10994</v>
      </c>
      <c r="E356" s="152">
        <f>MouserListTable[[#This Row],[Tot '#]]-MouserListTable[[#This Row],['# Initial]]</f>
        <v>0</v>
      </c>
      <c r="F356" s="152">
        <f>IF(AND(MouserListTable[[#This Row],[Tag]]&lt;&gt;FilterSpecs!$F$12, MouserListTable[[#This Row],[Tag]]&lt;&gt;FilterSpecs!$F$9), MouserListTable[[#This Row],['#/Unit]]*FilterSpecs!$B$3+MouserListTable[[#This Row],[Extra Initial]],0)</f>
        <v>0</v>
      </c>
      <c r="G356" s="147" t="s">
        <v>1201</v>
      </c>
      <c r="H356" s="150" t="s">
        <v>1202</v>
      </c>
      <c r="I356" s="150" t="s">
        <v>1203</v>
      </c>
      <c r="J356" s="150"/>
      <c r="K356" s="154">
        <v>24.95</v>
      </c>
      <c r="L356" s="150" t="s">
        <v>1896</v>
      </c>
      <c r="M356" s="151"/>
      <c r="N356" s="154">
        <f>MouserListTable[[#This Row],['# Initial]]*MouserListTable[[#This Row],[Price (USD)]]</f>
        <v>0</v>
      </c>
      <c r="O356" s="151" t="s">
        <v>1200</v>
      </c>
      <c r="P356" s="150">
        <f t="shared" si="5"/>
        <v>343</v>
      </c>
      <c r="Q356" s="150" t="s">
        <v>5</v>
      </c>
      <c r="R35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474-COM-10994</v>
      </c>
      <c r="S356" s="157" t="str">
        <f>HYPERLINK("https://www.mouser.com/ProductDetail/" &amp;MouserListTable[[#This Row],[Mouser SKU]])</f>
        <v>https://www.mouser.com/ProductDetail/474-COM-10994</v>
      </c>
      <c r="T356" s="152">
        <v>0</v>
      </c>
      <c r="U356" s="152">
        <v>0</v>
      </c>
      <c r="V356" s="152">
        <v>0</v>
      </c>
      <c r="W356" s="152">
        <f>MouserListTable[[#This Row],['#/Unit]]*FilterSpecs!$C$3+MouserListTable[[#This Row],[Extra]]</f>
        <v>0</v>
      </c>
      <c r="X356" s="152">
        <f>IF(MouserListTable[[#This Row],[Tag]]=FilterSpecs!$F$7,MouserListTable[[#This Row],['#/Unit]]*MouserListTable[[#This Row],[Price (USD)]],0)</f>
        <v>0</v>
      </c>
      <c r="Y356" s="152">
        <f>MouserListTable[[#This Row],[Tot '#]]*MouserListTable[[#This Row],[Price (USD)]]</f>
        <v>0</v>
      </c>
    </row>
    <row r="357" spans="1:26" s="146" customFormat="1" x14ac:dyDescent="0.25">
      <c r="A357" s="150" t="s">
        <v>889</v>
      </c>
      <c r="B357" s="150" t="s">
        <v>1290</v>
      </c>
      <c r="C357" s="150" t="s">
        <v>1892</v>
      </c>
      <c r="D357" s="151" t="str">
        <f>IF(MouserListTable[[#This Row],[Vendor]]=FilterSpecs!$A$8,MouserListTable[[#This Row],[Mouser SKU]], MouserListTable[[#This Row],[Supplier SKU]])</f>
        <v>474-COM-11521</v>
      </c>
      <c r="E357" s="152">
        <f>MouserListTable[[#This Row],[Tot '#]]-MouserListTable[[#This Row],['# Initial]]</f>
        <v>0</v>
      </c>
      <c r="F357" s="152">
        <f>IF(AND(MouserListTable[[#This Row],[Tag]]&lt;&gt;FilterSpecs!$F$12, MouserListTable[[#This Row],[Tag]]&lt;&gt;FilterSpecs!$F$9), MouserListTable[[#This Row],['#/Unit]]*FilterSpecs!$B$3+MouserListTable[[#This Row],[Extra Initial]],0)</f>
        <v>0</v>
      </c>
      <c r="G357" s="147" t="s">
        <v>1241</v>
      </c>
      <c r="H357" s="150" t="s">
        <v>1242</v>
      </c>
      <c r="I357" s="150" t="s">
        <v>1243</v>
      </c>
      <c r="J357" s="150"/>
      <c r="K357" s="154">
        <v>9.9499999999999993</v>
      </c>
      <c r="L357" s="150" t="s">
        <v>1896</v>
      </c>
      <c r="M357" s="151"/>
      <c r="N357" s="154">
        <f>MouserListTable[[#This Row],['# Initial]]*MouserListTable[[#This Row],[Price (USD)]]</f>
        <v>0</v>
      </c>
      <c r="O357" s="151" t="s">
        <v>1240</v>
      </c>
      <c r="P357" s="150">
        <f t="shared" si="5"/>
        <v>344</v>
      </c>
      <c r="Q357" s="150" t="s">
        <v>5</v>
      </c>
      <c r="R35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474-COM-11521</v>
      </c>
      <c r="S357" s="157" t="str">
        <f>HYPERLINK("https://www.mouser.com/ProductDetail/" &amp;MouserListTable[[#This Row],[Mouser SKU]])</f>
        <v>https://www.mouser.com/ProductDetail/474-COM-11521</v>
      </c>
      <c r="T357" s="152">
        <v>0</v>
      </c>
      <c r="U357" s="152">
        <v>0</v>
      </c>
      <c r="V357" s="152">
        <v>0</v>
      </c>
      <c r="W357" s="152">
        <f>MouserListTable[[#This Row],['#/Unit]]*FilterSpecs!$C$3+MouserListTable[[#This Row],[Extra]]</f>
        <v>0</v>
      </c>
      <c r="X357" s="152">
        <f>IF(MouserListTable[[#This Row],[Tag]]=FilterSpecs!$F$7,MouserListTable[[#This Row],['#/Unit]]*MouserListTable[[#This Row],[Price (USD)]],0)</f>
        <v>0</v>
      </c>
      <c r="Y357" s="152">
        <f>MouserListTable[[#This Row],[Tot '#]]*MouserListTable[[#This Row],[Price (USD)]]</f>
        <v>0</v>
      </c>
    </row>
    <row r="358" spans="1:26" s="146" customFormat="1" x14ac:dyDescent="0.25">
      <c r="A358" s="150" t="s">
        <v>889</v>
      </c>
      <c r="B358" s="150" t="s">
        <v>1290</v>
      </c>
      <c r="C358" s="150" t="s">
        <v>1892</v>
      </c>
      <c r="D358" s="151" t="str">
        <f>IF(MouserListTable[[#This Row],[Vendor]]=FilterSpecs!$A$8,MouserListTable[[#This Row],[Mouser SKU]], MouserListTable[[#This Row],[Supplier SKU]])</f>
        <v>474-COM-13254</v>
      </c>
      <c r="E358" s="152">
        <f>MouserListTable[[#This Row],[Tot '#]]-MouserListTable[[#This Row],['# Initial]]</f>
        <v>0</v>
      </c>
      <c r="F358" s="152">
        <f>IF(AND(MouserListTable[[#This Row],[Tag]]&lt;&gt;FilterSpecs!$F$12, MouserListTable[[#This Row],[Tag]]&lt;&gt;FilterSpecs!$F$9), MouserListTable[[#This Row],['#/Unit]]*FilterSpecs!$B$3+MouserListTable[[#This Row],[Extra Initial]],0)</f>
        <v>0</v>
      </c>
      <c r="G358" s="147" t="s">
        <v>1217</v>
      </c>
      <c r="H358" s="150" t="s">
        <v>1218</v>
      </c>
      <c r="I358" s="150" t="s">
        <v>1219</v>
      </c>
      <c r="J358" s="150">
        <v>1</v>
      </c>
      <c r="K358" s="154">
        <v>19.95</v>
      </c>
      <c r="L358" s="150" t="s">
        <v>1896</v>
      </c>
      <c r="M358" s="151"/>
      <c r="N358" s="154">
        <f>MouserListTable[[#This Row],['# Initial]]*MouserListTable[[#This Row],[Price (USD)]]</f>
        <v>0</v>
      </c>
      <c r="O358" s="151" t="s">
        <v>1216</v>
      </c>
      <c r="P358" s="150">
        <f t="shared" si="5"/>
        <v>345</v>
      </c>
      <c r="Q358" s="150" t="s">
        <v>5</v>
      </c>
      <c r="R35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474-COM-13254</v>
      </c>
      <c r="S358" s="157" t="str">
        <f>HYPERLINK("https://www.mouser.com/ProductDetail/" &amp;MouserListTable[[#This Row],[Mouser SKU]])</f>
        <v>https://www.mouser.com/ProductDetail/474-COM-13254</v>
      </c>
      <c r="T358" s="152">
        <v>0</v>
      </c>
      <c r="U358" s="152">
        <v>0</v>
      </c>
      <c r="V358" s="152">
        <v>0</v>
      </c>
      <c r="W358" s="152">
        <f>MouserListTable[[#This Row],['#/Unit]]*FilterSpecs!$C$3+MouserListTable[[#This Row],[Extra]]</f>
        <v>0</v>
      </c>
      <c r="X358" s="152">
        <f>IF(MouserListTable[[#This Row],[Tag]]=FilterSpecs!$F$7,MouserListTable[[#This Row],['#/Unit]]*MouserListTable[[#This Row],[Price (USD)]],0)</f>
        <v>0</v>
      </c>
      <c r="Y358" s="152">
        <f>MouserListTable[[#This Row],[Tot '#]]*MouserListTable[[#This Row],[Price (USD)]]</f>
        <v>0</v>
      </c>
    </row>
    <row r="359" spans="1:26" s="106" customFormat="1" x14ac:dyDescent="0.25">
      <c r="A359" s="78" t="s">
        <v>890</v>
      </c>
      <c r="B359" s="78" t="s">
        <v>884</v>
      </c>
      <c r="C359" s="78" t="s">
        <v>1892</v>
      </c>
      <c r="D359" s="81" t="str">
        <f>IF(MouserListTable[[#This Row],[Vendor]]=FilterSpecs!$A$8,MouserListTable[[#This Row],[Mouser SKU]], MouserListTable[[#This Row],[Supplier SKU]])</f>
        <v>474-BOB-10467</v>
      </c>
      <c r="E359" s="94">
        <f>MouserListTable[[#This Row],[Tot '#]]-MouserListTable[[#This Row],['# Initial]]</f>
        <v>0</v>
      </c>
      <c r="F359" s="94">
        <f>IF(AND(MouserListTable[[#This Row],[Tag]]&lt;&gt;FilterSpecs!$F$12, MouserListTable[[#This Row],[Tag]]&lt;&gt;FilterSpecs!$F$9), MouserListTable[[#This Row],['#/Unit]]*FilterSpecs!$B$3+MouserListTable[[#This Row],[Extra Initial]],0)</f>
        <v>5</v>
      </c>
      <c r="G359" s="78" t="s">
        <v>1283</v>
      </c>
      <c r="H359" s="150" t="s">
        <v>1284</v>
      </c>
      <c r="I359" s="78" t="s">
        <v>1285</v>
      </c>
      <c r="J359" s="78">
        <v>1</v>
      </c>
      <c r="K359" s="117">
        <v>1.5</v>
      </c>
      <c r="L359" s="81" t="s">
        <v>1897</v>
      </c>
      <c r="M359" s="78"/>
      <c r="N359" s="154">
        <f>MouserListTable[[#This Row],['# Initial]]*MouserListTable[[#This Row],[Price (USD)]]</f>
        <v>7.5</v>
      </c>
      <c r="O359" s="81" t="s">
        <v>1282</v>
      </c>
      <c r="P359" s="150">
        <f t="shared" si="5"/>
        <v>346</v>
      </c>
      <c r="Q359" s="78" t="s">
        <v>5</v>
      </c>
      <c r="R359"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474-BOB-10467</v>
      </c>
      <c r="S359" s="133" t="str">
        <f>HYPERLINK("https://www.mouser.com/ProductDetail/" &amp;MouserListTable[[#This Row],[Mouser SKU]])</f>
        <v>https://www.mouser.com/ProductDetail/474-BOB-10467</v>
      </c>
      <c r="T359" s="94">
        <v>1</v>
      </c>
      <c r="U359" s="94">
        <v>0</v>
      </c>
      <c r="V359" s="94">
        <v>0</v>
      </c>
      <c r="W359" s="94">
        <f>MouserListTable[[#This Row],['#/Unit]]*FilterSpecs!$C$3+MouserListTable[[#This Row],[Extra]]</f>
        <v>5</v>
      </c>
      <c r="X359" s="94">
        <f>IF(MouserListTable[[#This Row],[Tag]]=FilterSpecs!$F$7,MouserListTable[[#This Row],['#/Unit]]*MouserListTable[[#This Row],[Price (USD)]],0)</f>
        <v>1.5</v>
      </c>
      <c r="Y359" s="94">
        <f>MouserListTable[[#This Row],[Tot '#]]*MouserListTable[[#This Row],[Price (USD)]]</f>
        <v>7.5</v>
      </c>
      <c r="Z359"/>
    </row>
    <row r="360" spans="1:26" s="106" customFormat="1" x14ac:dyDescent="0.25">
      <c r="A360" s="78" t="s">
        <v>890</v>
      </c>
      <c r="B360" s="78" t="s">
        <v>884</v>
      </c>
      <c r="C360" s="78" t="s">
        <v>1892</v>
      </c>
      <c r="D360" s="81" t="str">
        <f>IF(MouserListTable[[#This Row],[Vendor]]=FilterSpecs!$A$8,MouserListTable[[#This Row],[Mouser SKU]], MouserListTable[[#This Row],[Supplier SKU]])</f>
        <v>474-COM-10443</v>
      </c>
      <c r="E360" s="94">
        <f>MouserListTable[[#This Row],[Tot '#]]-MouserListTable[[#This Row],['# Initial]]</f>
        <v>0</v>
      </c>
      <c r="F360" s="94">
        <f>IF(AND(MouserListTable[[#This Row],[Tag]]&lt;&gt;FilterSpecs!$F$12, MouserListTable[[#This Row],[Tag]]&lt;&gt;FilterSpecs!$F$9), MouserListTable[[#This Row],['#/Unit]]*FilterSpecs!$B$3+MouserListTable[[#This Row],[Extra Initial]],0)</f>
        <v>5</v>
      </c>
      <c r="G360" s="78" t="s">
        <v>597</v>
      </c>
      <c r="H360" s="150" t="s">
        <v>598</v>
      </c>
      <c r="I360" s="78" t="s">
        <v>599</v>
      </c>
      <c r="J360" s="78"/>
      <c r="K360" s="117">
        <v>1.95</v>
      </c>
      <c r="L360" s="78" t="s">
        <v>1897</v>
      </c>
      <c r="M360" s="78"/>
      <c r="N360" s="154">
        <f>MouserListTable[[#This Row],['# Initial]]*MouserListTable[[#This Row],[Price (USD)]]</f>
        <v>9.75</v>
      </c>
      <c r="O360" s="81" t="s">
        <v>596</v>
      </c>
      <c r="P360" s="150">
        <f t="shared" si="5"/>
        <v>347</v>
      </c>
      <c r="Q360" s="78" t="s">
        <v>5</v>
      </c>
      <c r="R360"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474-COM-10443</v>
      </c>
      <c r="S360" s="133" t="str">
        <f>HYPERLINK("https://www.mouser.com/ProductDetail/" &amp;MouserListTable[[#This Row],[Mouser SKU]])</f>
        <v>https://www.mouser.com/ProductDetail/474-COM-10443</v>
      </c>
      <c r="T360" s="94">
        <v>1</v>
      </c>
      <c r="U360" s="94">
        <v>0</v>
      </c>
      <c r="V360" s="94">
        <v>0</v>
      </c>
      <c r="W360" s="94">
        <f>MouserListTable[[#This Row],['#/Unit]]*FilterSpecs!$C$3+MouserListTable[[#This Row],[Extra]]</f>
        <v>5</v>
      </c>
      <c r="X360" s="94">
        <f>IF(MouserListTable[[#This Row],[Tag]]=FilterSpecs!$F$7,MouserListTable[[#This Row],['#/Unit]]*MouserListTable[[#This Row],[Price (USD)]],0)</f>
        <v>1.95</v>
      </c>
      <c r="Y360" s="94">
        <f>MouserListTable[[#This Row],[Tot '#]]*MouserListTable[[#This Row],[Price (USD)]]</f>
        <v>9.75</v>
      </c>
      <c r="Z360"/>
    </row>
    <row r="361" spans="1:26" s="106" customFormat="1" x14ac:dyDescent="0.25">
      <c r="A361" s="78" t="s">
        <v>890</v>
      </c>
      <c r="B361" s="78" t="s">
        <v>884</v>
      </c>
      <c r="C361" s="78" t="s">
        <v>1892</v>
      </c>
      <c r="D361" s="81" t="str">
        <f>IF(MouserListTable[[#This Row],[Vendor]]=FilterSpecs!$A$8,MouserListTable[[#This Row],[Mouser SKU]], MouserListTable[[#This Row],[Supplier SKU]])</f>
        <v>474-COM-10440</v>
      </c>
      <c r="E361" s="94">
        <f>MouserListTable[[#This Row],[Tot '#]]-MouserListTable[[#This Row],['# Initial]]</f>
        <v>0</v>
      </c>
      <c r="F361" s="94">
        <f>IF(AND(MouserListTable[[#This Row],[Tag]]&lt;&gt;FilterSpecs!$F$12, MouserListTable[[#This Row],[Tag]]&lt;&gt;FilterSpecs!$F$9), MouserListTable[[#This Row],['#/Unit]]*FilterSpecs!$B$3+MouserListTable[[#This Row],[Extra Initial]],0)</f>
        <v>5</v>
      </c>
      <c r="G361" s="78" t="s">
        <v>601</v>
      </c>
      <c r="H361" s="150" t="s">
        <v>602</v>
      </c>
      <c r="I361" s="78" t="s">
        <v>603</v>
      </c>
      <c r="J361" s="78"/>
      <c r="K361" s="117">
        <v>1.95</v>
      </c>
      <c r="L361" s="78" t="s">
        <v>1897</v>
      </c>
      <c r="M361" s="78"/>
      <c r="N361" s="154">
        <f>MouserListTable[[#This Row],['# Initial]]*MouserListTable[[#This Row],[Price (USD)]]</f>
        <v>9.75</v>
      </c>
      <c r="O361" s="81" t="s">
        <v>600</v>
      </c>
      <c r="P361" s="150">
        <f t="shared" si="5"/>
        <v>348</v>
      </c>
      <c r="Q361" s="78" t="s">
        <v>5</v>
      </c>
      <c r="R361"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474-COM-10440</v>
      </c>
      <c r="S361" s="133" t="str">
        <f>HYPERLINK("https://www.mouser.com/ProductDetail/" &amp;MouserListTable[[#This Row],[Mouser SKU]])</f>
        <v>https://www.mouser.com/ProductDetail/474-COM-10440</v>
      </c>
      <c r="T361" s="94">
        <v>1</v>
      </c>
      <c r="U361" s="94">
        <v>0</v>
      </c>
      <c r="V361" s="94">
        <v>0</v>
      </c>
      <c r="W361" s="94">
        <f>MouserListTable[[#This Row],['#/Unit]]*FilterSpecs!$C$3+MouserListTable[[#This Row],[Extra]]</f>
        <v>5</v>
      </c>
      <c r="X361" s="94">
        <f>IF(MouserListTable[[#This Row],[Tag]]=FilterSpecs!$F$7,MouserListTable[[#This Row],['#/Unit]]*MouserListTable[[#This Row],[Price (USD)]],0)</f>
        <v>1.95</v>
      </c>
      <c r="Y361" s="94">
        <f>MouserListTable[[#This Row],[Tot '#]]*MouserListTable[[#This Row],[Price (USD)]]</f>
        <v>9.75</v>
      </c>
      <c r="Z361"/>
    </row>
    <row r="362" spans="1:26" s="106" customFormat="1" x14ac:dyDescent="0.25">
      <c r="A362" s="78" t="s">
        <v>890</v>
      </c>
      <c r="B362" s="78" t="s">
        <v>884</v>
      </c>
      <c r="C362" s="78" t="s">
        <v>1892</v>
      </c>
      <c r="D362" s="81" t="str">
        <f>IF(MouserListTable[[#This Row],[Vendor]]=FilterSpecs!$A$8,MouserListTable[[#This Row],[Mouser SKU]], MouserListTable[[#This Row],[Supplier SKU]])</f>
        <v>474-COM-10442</v>
      </c>
      <c r="E362" s="94">
        <f>MouserListTable[[#This Row],[Tot '#]]-MouserListTable[[#This Row],['# Initial]]</f>
        <v>0</v>
      </c>
      <c r="F362" s="94">
        <f>IF(AND(MouserListTable[[#This Row],[Tag]]&lt;&gt;FilterSpecs!$F$12, MouserListTable[[#This Row],[Tag]]&lt;&gt;FilterSpecs!$F$9), MouserListTable[[#This Row],['#/Unit]]*FilterSpecs!$B$3+MouserListTable[[#This Row],[Extra Initial]],0)</f>
        <v>5</v>
      </c>
      <c r="G362" s="78" t="s">
        <v>1286</v>
      </c>
      <c r="H362" s="150" t="s">
        <v>1287</v>
      </c>
      <c r="I362" s="78" t="s">
        <v>1281</v>
      </c>
      <c r="J362" s="78"/>
      <c r="K362" s="117">
        <v>1.95</v>
      </c>
      <c r="L362" s="78" t="s">
        <v>1897</v>
      </c>
      <c r="M362" s="78"/>
      <c r="N362" s="154">
        <f>MouserListTable[[#This Row],['# Initial]]*MouserListTable[[#This Row],[Price (USD)]]</f>
        <v>9.75</v>
      </c>
      <c r="O362" s="81" t="s">
        <v>1280</v>
      </c>
      <c r="P362" s="150">
        <f t="shared" si="5"/>
        <v>349</v>
      </c>
      <c r="Q362" s="78" t="s">
        <v>5</v>
      </c>
      <c r="R362"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474-COM-10442</v>
      </c>
      <c r="S362" s="133" t="str">
        <f>HYPERLINK("https://www.mouser.com/ProductDetail/" &amp;MouserListTable[[#This Row],[Mouser SKU]])</f>
        <v>https://www.mouser.com/ProductDetail/474-COM-10442</v>
      </c>
      <c r="T362" s="94">
        <v>1</v>
      </c>
      <c r="U362" s="94">
        <v>0</v>
      </c>
      <c r="V362" s="94">
        <v>0</v>
      </c>
      <c r="W362" s="94">
        <f>MouserListTable[[#This Row],['#/Unit]]*FilterSpecs!$C$3+MouserListTable[[#This Row],[Extra]]</f>
        <v>5</v>
      </c>
      <c r="X362" s="94">
        <f>IF(MouserListTable[[#This Row],[Tag]]=FilterSpecs!$F$7,MouserListTable[[#This Row],['#/Unit]]*MouserListTable[[#This Row],[Price (USD)]],0)</f>
        <v>1.95</v>
      </c>
      <c r="Y362" s="94">
        <f>MouserListTable[[#This Row],[Tot '#]]*MouserListTable[[#This Row],[Price (USD)]]</f>
        <v>9.75</v>
      </c>
      <c r="Z362"/>
    </row>
    <row r="363" spans="1:26" s="104" customFormat="1" x14ac:dyDescent="0.25">
      <c r="A363" s="97" t="s">
        <v>890</v>
      </c>
      <c r="B363" s="97" t="s">
        <v>884</v>
      </c>
      <c r="C363" s="78" t="s">
        <v>1892</v>
      </c>
      <c r="D363" s="81" t="str">
        <f>IF(MouserListTable[[#This Row],[Vendor]]=FilterSpecs!$A$8,MouserListTable[[#This Row],[Mouser SKU]], MouserListTable[[#This Row],[Supplier SKU]])</f>
        <v>474-COM-10441</v>
      </c>
      <c r="E363" s="94">
        <f>MouserListTable[[#This Row],[Tot '#]]-MouserListTable[[#This Row],['# Initial]]</f>
        <v>0</v>
      </c>
      <c r="F363" s="94">
        <f>IF(AND(MouserListTable[[#This Row],[Tag]]&lt;&gt;FilterSpecs!$F$12, MouserListTable[[#This Row],[Tag]]&lt;&gt;FilterSpecs!$F$9), MouserListTable[[#This Row],['#/Unit]]*FilterSpecs!$B$3+MouserListTable[[#This Row],[Extra Initial]],0)</f>
        <v>0</v>
      </c>
      <c r="G363" s="78" t="s">
        <v>1696</v>
      </c>
      <c r="H363" s="150" t="s">
        <v>1697</v>
      </c>
      <c r="I363" s="78" t="s">
        <v>1698</v>
      </c>
      <c r="J363" s="78"/>
      <c r="K363" s="117">
        <v>1.95</v>
      </c>
      <c r="L363" s="78" t="s">
        <v>1896</v>
      </c>
      <c r="M363" s="78"/>
      <c r="N363" s="154">
        <f>MouserListTable[[#This Row],['# Initial]]*MouserListTable[[#This Row],[Price (USD)]]</f>
        <v>0</v>
      </c>
      <c r="O363" s="81" t="s">
        <v>1695</v>
      </c>
      <c r="P363" s="150">
        <f t="shared" si="5"/>
        <v>350</v>
      </c>
      <c r="Q363" s="78" t="s">
        <v>5</v>
      </c>
      <c r="R363"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474-COM-10441</v>
      </c>
      <c r="S363" s="133" t="str">
        <f>HYPERLINK("https://www.mouser.com/ProductDetail/" &amp;MouserListTable[[#This Row],[Mouser SKU]])</f>
        <v>https://www.mouser.com/ProductDetail/474-COM-10441</v>
      </c>
      <c r="T363" s="94">
        <v>0</v>
      </c>
      <c r="U363" s="94">
        <v>0</v>
      </c>
      <c r="V363" s="94">
        <v>0</v>
      </c>
      <c r="W363" s="94">
        <f>MouserListTable[[#This Row],['#/Unit]]*FilterSpecs!$C$3+MouserListTable[[#This Row],[Extra]]</f>
        <v>0</v>
      </c>
      <c r="X363" s="94">
        <f>IF(MouserListTable[[#This Row],[Tag]]=FilterSpecs!$F$7,MouserListTable[[#This Row],['#/Unit]]*MouserListTable[[#This Row],[Price (USD)]],0)</f>
        <v>0</v>
      </c>
      <c r="Y363" s="94">
        <f>MouserListTable[[#This Row],[Tot '#]]*MouserListTable[[#This Row],[Price (USD)]]</f>
        <v>0</v>
      </c>
      <c r="Z363"/>
    </row>
    <row r="364" spans="1:26" s="104" customFormat="1" x14ac:dyDescent="0.25">
      <c r="A364" s="78" t="s">
        <v>890</v>
      </c>
      <c r="B364" s="78" t="s">
        <v>884</v>
      </c>
      <c r="C364" s="78" t="s">
        <v>1892</v>
      </c>
      <c r="D364" s="81" t="str">
        <f>IF(MouserListTable[[#This Row],[Vendor]]=FilterSpecs!$A$8,MouserListTable[[#This Row],[Mouser SKU]], MouserListTable[[#This Row],[Supplier SKU]])</f>
        <v>474-COM-10439</v>
      </c>
      <c r="E364" s="94">
        <f>MouserListTable[[#This Row],[Tot '#]]-MouserListTable[[#This Row],['# Initial]]</f>
        <v>1</v>
      </c>
      <c r="F364" s="94">
        <f>IF(AND(MouserListTable[[#This Row],[Tag]]&lt;&gt;FilterSpecs!$F$12, MouserListTable[[#This Row],[Tag]]&lt;&gt;FilterSpecs!$F$9), MouserListTable[[#This Row],['#/Unit]]*FilterSpecs!$B$3+MouserListTable[[#This Row],[Extra Initial]],0)</f>
        <v>0</v>
      </c>
      <c r="G364" s="78" t="s">
        <v>1700</v>
      </c>
      <c r="H364" s="150" t="s">
        <v>1701</v>
      </c>
      <c r="I364" s="78" t="s">
        <v>1702</v>
      </c>
      <c r="J364" s="78"/>
      <c r="K364" s="117">
        <v>1.95</v>
      </c>
      <c r="L364" s="78" t="s">
        <v>1896</v>
      </c>
      <c r="M364" s="78"/>
      <c r="N364" s="154">
        <f>MouserListTable[[#This Row],['# Initial]]*MouserListTable[[#This Row],[Price (USD)]]</f>
        <v>0</v>
      </c>
      <c r="O364" s="81" t="s">
        <v>1699</v>
      </c>
      <c r="P364" s="150">
        <f t="shared" si="5"/>
        <v>351</v>
      </c>
      <c r="Q364" s="78" t="s">
        <v>5</v>
      </c>
      <c r="R364"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474-COM-10439</v>
      </c>
      <c r="S364" s="133" t="str">
        <f>HYPERLINK("https://www.mouser.com/ProductDetail/" &amp;MouserListTable[[#This Row],[Mouser SKU]])</f>
        <v>https://www.mouser.com/ProductDetail/474-COM-10439</v>
      </c>
      <c r="T364" s="94">
        <v>0</v>
      </c>
      <c r="U364" s="94">
        <v>1</v>
      </c>
      <c r="V364" s="94">
        <v>0</v>
      </c>
      <c r="W364" s="94">
        <f>MouserListTable[[#This Row],['#/Unit]]*FilterSpecs!$C$3+MouserListTable[[#This Row],[Extra]]</f>
        <v>1</v>
      </c>
      <c r="X364" s="94">
        <f>IF(MouserListTable[[#This Row],[Tag]]=FilterSpecs!$F$7,MouserListTable[[#This Row],['#/Unit]]*MouserListTable[[#This Row],[Price (USD)]],0)</f>
        <v>0</v>
      </c>
      <c r="Y364" s="94">
        <f>MouserListTable[[#This Row],[Tot '#]]*MouserListTable[[#This Row],[Price (USD)]]</f>
        <v>1.95</v>
      </c>
      <c r="Z364"/>
    </row>
    <row r="365" spans="1:26" s="104" customFormat="1" x14ac:dyDescent="0.25">
      <c r="A365" s="78" t="s">
        <v>890</v>
      </c>
      <c r="B365" s="78" t="s">
        <v>884</v>
      </c>
      <c r="C365" s="78" t="s">
        <v>1892</v>
      </c>
      <c r="D365" s="81" t="str">
        <f>IF(MouserListTable[[#This Row],[Vendor]]=FilterSpecs!$A$8,MouserListTable[[#This Row],[Mouser SKU]], MouserListTable[[#This Row],[Supplier SKU]])</f>
        <v>485-1119</v>
      </c>
      <c r="E365" s="94">
        <f>MouserListTable[[#This Row],[Tot '#]]-MouserListTable[[#This Row],['# Initial]]</f>
        <v>0</v>
      </c>
      <c r="F365" s="94">
        <f>IF(AND(MouserListTable[[#This Row],[Tag]]&lt;&gt;FilterSpecs!$F$12, MouserListTable[[#This Row],[Tag]]&lt;&gt;FilterSpecs!$F$9), MouserListTable[[#This Row],['#/Unit]]*FilterSpecs!$B$3+MouserListTable[[#This Row],[Extra Initial]],0)</f>
        <v>0</v>
      </c>
      <c r="G365" s="78"/>
      <c r="H365" s="150"/>
      <c r="I365" s="97" t="s">
        <v>2112</v>
      </c>
      <c r="J365" s="106"/>
      <c r="K365" s="118">
        <v>2.5</v>
      </c>
      <c r="L365" s="97" t="s">
        <v>1896</v>
      </c>
      <c r="M365" s="106"/>
      <c r="N365" s="154">
        <f>MouserListTable[[#This Row],['# Initial]]*MouserListTable[[#This Row],[Price (USD)]]</f>
        <v>0</v>
      </c>
      <c r="O365" s="81" t="s">
        <v>2111</v>
      </c>
      <c r="P365" s="150">
        <f t="shared" si="5"/>
        <v>352</v>
      </c>
      <c r="Q365" s="78" t="s">
        <v>1884</v>
      </c>
      <c r="R365"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485-1119</v>
      </c>
      <c r="S365" s="133" t="str">
        <f>HYPERLINK("https://www.mouser.com/ProductDetail/" &amp;MouserListTable[[#This Row],[Mouser SKU]])</f>
        <v>https://www.mouser.com/ProductDetail/485-1119</v>
      </c>
      <c r="T365" s="94">
        <v>0</v>
      </c>
      <c r="U365" s="94">
        <v>0</v>
      </c>
      <c r="V365" s="94">
        <v>0</v>
      </c>
      <c r="W365" s="94">
        <f>MouserListTable[[#This Row],['#/Unit]]*FilterSpecs!$C$3+MouserListTable[[#This Row],[Extra]]</f>
        <v>0</v>
      </c>
      <c r="X365" s="94">
        <f>IF(MouserListTable[[#This Row],[Tag]]=FilterSpecs!$F$7,MouserListTable[[#This Row],['#/Unit]]*MouserListTable[[#This Row],[Price (USD)]],0)</f>
        <v>0</v>
      </c>
      <c r="Y365" s="94">
        <f>MouserListTable[[#This Row],[Tot '#]]*MouserListTable[[#This Row],[Price (USD)]]</f>
        <v>0</v>
      </c>
      <c r="Z365"/>
    </row>
    <row r="366" spans="1:26" s="104" customFormat="1" x14ac:dyDescent="0.25">
      <c r="A366" s="78" t="s">
        <v>890</v>
      </c>
      <c r="B366" s="78" t="s">
        <v>884</v>
      </c>
      <c r="C366" s="78" t="s">
        <v>1892</v>
      </c>
      <c r="D366" s="81" t="str">
        <f>IF(MouserListTable[[#This Row],[Vendor]]=FilterSpecs!$A$8,MouserListTable[[#This Row],[Mouser SKU]], MouserListTable[[#This Row],[Supplier SKU]])</f>
        <v>474-COM-00097</v>
      </c>
      <c r="E366" s="94">
        <f>MouserListTable[[#This Row],[Tot '#]]-MouserListTable[[#This Row],['# Initial]]</f>
        <v>0</v>
      </c>
      <c r="F366" s="94">
        <f>IF(AND(MouserListTable[[#This Row],[Tag]]&lt;&gt;FilterSpecs!$F$12, MouserListTable[[#This Row],[Tag]]&lt;&gt;FilterSpecs!$F$9), MouserListTable[[#This Row],['#/Unit]]*FilterSpecs!$B$3+MouserListTable[[#This Row],[Extra Initial]],0)</f>
        <v>5</v>
      </c>
      <c r="G366" s="78" t="s">
        <v>609</v>
      </c>
      <c r="H366" s="150" t="s">
        <v>610</v>
      </c>
      <c r="I366" s="78" t="s">
        <v>611</v>
      </c>
      <c r="J366" s="78">
        <v>1</v>
      </c>
      <c r="K366" s="117">
        <v>0.35</v>
      </c>
      <c r="L366" s="78" t="s">
        <v>1897</v>
      </c>
      <c r="M366" s="78"/>
      <c r="N366" s="154">
        <f>MouserListTable[[#This Row],['# Initial]]*MouserListTable[[#This Row],[Price (USD)]]</f>
        <v>1.75</v>
      </c>
      <c r="O366" s="81" t="s">
        <v>608</v>
      </c>
      <c r="P366" s="150">
        <f t="shared" si="5"/>
        <v>353</v>
      </c>
      <c r="Q366" s="78" t="s">
        <v>5</v>
      </c>
      <c r="R366"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474-COM-00097</v>
      </c>
      <c r="S366" s="133" t="str">
        <f>HYPERLINK("https://www.mouser.com/ProductDetail/" &amp;MouserListTable[[#This Row],[Mouser SKU]])</f>
        <v>https://www.mouser.com/ProductDetail/474-COM-00097</v>
      </c>
      <c r="T366" s="94">
        <v>1</v>
      </c>
      <c r="U366" s="94">
        <v>0</v>
      </c>
      <c r="V366" s="94">
        <v>0</v>
      </c>
      <c r="W366" s="94">
        <f>MouserListTable[[#This Row],['#/Unit]]*FilterSpecs!$C$3+MouserListTable[[#This Row],[Extra]]</f>
        <v>5</v>
      </c>
      <c r="X366" s="94">
        <f>IF(MouserListTable[[#This Row],[Tag]]=FilterSpecs!$F$7,MouserListTable[[#This Row],['#/Unit]]*MouserListTable[[#This Row],[Price (USD)]],0)</f>
        <v>0.35</v>
      </c>
      <c r="Y366" s="94">
        <f>MouserListTable[[#This Row],[Tot '#]]*MouserListTable[[#This Row],[Price (USD)]]</f>
        <v>1.75</v>
      </c>
      <c r="Z366"/>
    </row>
    <row r="367" spans="1:26" s="104" customFormat="1" x14ac:dyDescent="0.25">
      <c r="A367" s="78" t="s">
        <v>890</v>
      </c>
      <c r="B367" s="78" t="s">
        <v>884</v>
      </c>
      <c r="C367" s="78" t="s">
        <v>1892</v>
      </c>
      <c r="D367" s="81" t="str">
        <f>IF(MouserListTable[[#This Row],[Vendor]]=FilterSpecs!$A$8,MouserListTable[[#This Row],[Mouser SKU]], MouserListTable[[#This Row],[Supplier SKU]])</f>
        <v>474-COM-08605</v>
      </c>
      <c r="E367" s="94">
        <f>MouserListTable[[#This Row],[Tot '#]]-MouserListTable[[#This Row],['# Initial]]</f>
        <v>0</v>
      </c>
      <c r="F367" s="94">
        <f>IF(AND(MouserListTable[[#This Row],[Tag]]&lt;&gt;FilterSpecs!$F$12, MouserListTable[[#This Row],[Tag]]&lt;&gt;FilterSpecs!$F$9), MouserListTable[[#This Row],['#/Unit]]*FilterSpecs!$B$3+MouserListTable[[#This Row],[Extra Initial]],0)</f>
        <v>5</v>
      </c>
      <c r="G367" s="78" t="s">
        <v>621</v>
      </c>
      <c r="H367" s="150" t="s">
        <v>622</v>
      </c>
      <c r="I367" s="78" t="s">
        <v>623</v>
      </c>
      <c r="J367" s="78">
        <v>1</v>
      </c>
      <c r="K367" s="117">
        <v>0.5</v>
      </c>
      <c r="L367" s="78" t="s">
        <v>1897</v>
      </c>
      <c r="M367" s="78"/>
      <c r="N367" s="154">
        <f>MouserListTable[[#This Row],['# Initial]]*MouserListTable[[#This Row],[Price (USD)]]</f>
        <v>2.5</v>
      </c>
      <c r="O367" s="81" t="s">
        <v>620</v>
      </c>
      <c r="P367" s="150">
        <f t="shared" si="5"/>
        <v>354</v>
      </c>
      <c r="Q367" s="78" t="s">
        <v>5</v>
      </c>
      <c r="R367"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474-COM-08605</v>
      </c>
      <c r="S367" s="133" t="str">
        <f>HYPERLINK("https://www.mouser.com/ProductDetail/" &amp;MouserListTable[[#This Row],[Mouser SKU]])</f>
        <v>https://www.mouser.com/ProductDetail/474-COM-08605</v>
      </c>
      <c r="T367" s="94">
        <v>1</v>
      </c>
      <c r="U367" s="94">
        <v>0</v>
      </c>
      <c r="V367" s="94">
        <v>0</v>
      </c>
      <c r="W367" s="94">
        <f>MouserListTable[[#This Row],['#/Unit]]*FilterSpecs!$C$3+MouserListTable[[#This Row],[Extra]]</f>
        <v>5</v>
      </c>
      <c r="X367" s="94">
        <f>IF(MouserListTable[[#This Row],[Tag]]=FilterSpecs!$F$7,MouserListTable[[#This Row],['#/Unit]]*MouserListTable[[#This Row],[Price (USD)]],0)</f>
        <v>0.5</v>
      </c>
      <c r="Y367" s="94">
        <f>MouserListTable[[#This Row],[Tot '#]]*MouserListTable[[#This Row],[Price (USD)]]</f>
        <v>2.5</v>
      </c>
      <c r="Z367"/>
    </row>
    <row r="368" spans="1:26" s="104" customFormat="1" x14ac:dyDescent="0.25">
      <c r="A368" s="78" t="s">
        <v>890</v>
      </c>
      <c r="B368" s="78" t="s">
        <v>884</v>
      </c>
      <c r="C368" s="78" t="s">
        <v>1892</v>
      </c>
      <c r="D368" s="81" t="str">
        <f>IF(MouserListTable[[#This Row],[Vendor]]=FilterSpecs!$A$8,MouserListTable[[#This Row],[Mouser SKU]], MouserListTable[[#This Row],[Supplier SKU]])</f>
        <v>474-COM-09190</v>
      </c>
      <c r="E368" s="94">
        <f>MouserListTable[[#This Row],[Tot '#]]-MouserListTable[[#This Row],['# Initial]]</f>
        <v>0</v>
      </c>
      <c r="F368" s="94">
        <f>IF(AND(MouserListTable[[#This Row],[Tag]]&lt;&gt;FilterSpecs!$F$12, MouserListTable[[#This Row],[Tag]]&lt;&gt;FilterSpecs!$F$9), MouserListTable[[#This Row],['#/Unit]]*FilterSpecs!$B$3+MouserListTable[[#This Row],[Extra Initial]],0)</f>
        <v>5</v>
      </c>
      <c r="G368" s="78" t="s">
        <v>617</v>
      </c>
      <c r="H368" s="150" t="s">
        <v>618</v>
      </c>
      <c r="I368" s="78" t="s">
        <v>619</v>
      </c>
      <c r="J368" s="78">
        <v>1</v>
      </c>
      <c r="K368" s="117">
        <v>0.5</v>
      </c>
      <c r="L368" s="78" t="s">
        <v>1897</v>
      </c>
      <c r="M368" s="78"/>
      <c r="N368" s="154">
        <f>MouserListTable[[#This Row],['# Initial]]*MouserListTable[[#This Row],[Price (USD)]]</f>
        <v>2.5</v>
      </c>
      <c r="O368" s="81" t="s">
        <v>616</v>
      </c>
      <c r="P368" s="150">
        <f t="shared" si="5"/>
        <v>355</v>
      </c>
      <c r="Q368" s="78" t="s">
        <v>5</v>
      </c>
      <c r="R368"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474-COM-09190</v>
      </c>
      <c r="S368" s="133" t="str">
        <f>HYPERLINK("https://www.mouser.com/ProductDetail/" &amp;MouserListTable[[#This Row],[Mouser SKU]])</f>
        <v>https://www.mouser.com/ProductDetail/474-COM-09190</v>
      </c>
      <c r="T368" s="94">
        <v>1</v>
      </c>
      <c r="U368" s="94">
        <v>0</v>
      </c>
      <c r="V368" s="94">
        <v>0</v>
      </c>
      <c r="W368" s="94">
        <f>MouserListTable[[#This Row],['#/Unit]]*FilterSpecs!$C$3+MouserListTable[[#This Row],[Extra]]</f>
        <v>5</v>
      </c>
      <c r="X368" s="94">
        <f>IF(MouserListTable[[#This Row],[Tag]]=FilterSpecs!$F$7,MouserListTable[[#This Row],['#/Unit]]*MouserListTable[[#This Row],[Price (USD)]],0)</f>
        <v>0.5</v>
      </c>
      <c r="Y368" s="94">
        <f>MouserListTable[[#This Row],[Tot '#]]*MouserListTable[[#This Row],[Price (USD)]]</f>
        <v>2.5</v>
      </c>
      <c r="Z368"/>
    </row>
    <row r="369" spans="1:26" s="104" customFormat="1" x14ac:dyDescent="0.25">
      <c r="A369" s="78" t="s">
        <v>890</v>
      </c>
      <c r="B369" s="78" t="s">
        <v>884</v>
      </c>
      <c r="C369" s="78" t="s">
        <v>1892</v>
      </c>
      <c r="D369" s="81" t="str">
        <f>IF(MouserListTable[[#This Row],[Vendor]]=FilterSpecs!$A$8,MouserListTable[[#This Row],[Mouser SKU]], MouserListTable[[#This Row],[Supplier SKU]])</f>
        <v>485-3105</v>
      </c>
      <c r="E369" s="94">
        <f>MouserListTable[[#This Row],[Tot '#]]-MouserListTable[[#This Row],['# Initial]]</f>
        <v>0</v>
      </c>
      <c r="F369" s="94">
        <f>IF(AND(MouserListTable[[#This Row],[Tag]]&lt;&gt;FilterSpecs!$F$12, MouserListTable[[#This Row],[Tag]]&lt;&gt;FilterSpecs!$F$9), MouserListTable[[#This Row],['#/Unit]]*FilterSpecs!$B$3+MouserListTable[[#This Row],[Extra Initial]],0)</f>
        <v>0</v>
      </c>
      <c r="G369" s="78"/>
      <c r="H369" s="150"/>
      <c r="I369" s="97" t="s">
        <v>2100</v>
      </c>
      <c r="J369" s="106"/>
      <c r="K369" s="118">
        <v>1.95</v>
      </c>
      <c r="L369" s="97" t="s">
        <v>1896</v>
      </c>
      <c r="M369" s="106"/>
      <c r="N369" s="154">
        <f>MouserListTable[[#This Row],['# Initial]]*MouserListTable[[#This Row],[Price (USD)]]</f>
        <v>0</v>
      </c>
      <c r="O369" s="81" t="s">
        <v>2099</v>
      </c>
      <c r="P369" s="150">
        <f t="shared" si="5"/>
        <v>356</v>
      </c>
      <c r="Q369" s="78" t="s">
        <v>1884</v>
      </c>
      <c r="R369"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485-3105</v>
      </c>
      <c r="S369" s="133" t="str">
        <f>HYPERLINK("https://www.mouser.com/ProductDetail/" &amp;MouserListTable[[#This Row],[Mouser SKU]])</f>
        <v>https://www.mouser.com/ProductDetail/485-3105</v>
      </c>
      <c r="T369" s="94">
        <v>0</v>
      </c>
      <c r="U369" s="94">
        <v>0</v>
      </c>
      <c r="V369" s="94">
        <v>0</v>
      </c>
      <c r="W369" s="94">
        <f>MouserListTable[[#This Row],['#/Unit]]*FilterSpecs!$C$3+MouserListTable[[#This Row],[Extra]]</f>
        <v>0</v>
      </c>
      <c r="X369" s="94">
        <f>IF(MouserListTable[[#This Row],[Tag]]=FilterSpecs!$F$7,MouserListTable[[#This Row],['#/Unit]]*MouserListTable[[#This Row],[Price (USD)]],0)</f>
        <v>0</v>
      </c>
      <c r="Y369" s="94">
        <f>MouserListTable[[#This Row],[Tot '#]]*MouserListTable[[#This Row],[Price (USD)]]</f>
        <v>0</v>
      </c>
      <c r="Z369"/>
    </row>
    <row r="370" spans="1:26" s="106" customFormat="1" x14ac:dyDescent="0.25">
      <c r="A370" s="78" t="s">
        <v>890</v>
      </c>
      <c r="B370" s="78" t="s">
        <v>884</v>
      </c>
      <c r="C370" s="78" t="s">
        <v>1892</v>
      </c>
      <c r="D370" s="81" t="str">
        <f>IF(MouserListTable[[#This Row],[Vendor]]=FilterSpecs!$A$8,MouserListTable[[#This Row],[Mouser SKU]], MouserListTable[[#This Row],[Supplier SKU]])</f>
        <v>485-3104</v>
      </c>
      <c r="E370" s="94">
        <f>MouserListTable[[#This Row],[Tot '#]]-MouserListTable[[#This Row],['# Initial]]</f>
        <v>0</v>
      </c>
      <c r="F370" s="94">
        <f>IF(AND(MouserListTable[[#This Row],[Tag]]&lt;&gt;FilterSpecs!$F$12, MouserListTable[[#This Row],[Tag]]&lt;&gt;FilterSpecs!$F$9), MouserListTable[[#This Row],['#/Unit]]*FilterSpecs!$B$3+MouserListTable[[#This Row],[Extra Initial]],0)</f>
        <v>0</v>
      </c>
      <c r="G370" s="78"/>
      <c r="H370" s="150"/>
      <c r="I370" s="97" t="s">
        <v>2102</v>
      </c>
      <c r="K370" s="118">
        <v>1.95</v>
      </c>
      <c r="L370" s="97" t="s">
        <v>1896</v>
      </c>
      <c r="N370" s="154">
        <f>MouserListTable[[#This Row],['# Initial]]*MouserListTable[[#This Row],[Price (USD)]]</f>
        <v>0</v>
      </c>
      <c r="O370" s="81" t="s">
        <v>2101</v>
      </c>
      <c r="P370" s="150">
        <f t="shared" si="5"/>
        <v>357</v>
      </c>
      <c r="Q370" s="78" t="s">
        <v>1884</v>
      </c>
      <c r="R370"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485-3104</v>
      </c>
      <c r="S370" s="133" t="str">
        <f>HYPERLINK("https://www.mouser.com/ProductDetail/" &amp;MouserListTable[[#This Row],[Mouser SKU]])</f>
        <v>https://www.mouser.com/ProductDetail/485-3104</v>
      </c>
      <c r="T370" s="94">
        <v>0</v>
      </c>
      <c r="U370" s="94">
        <v>0</v>
      </c>
      <c r="V370" s="94">
        <v>0</v>
      </c>
      <c r="W370" s="94">
        <f>MouserListTable[[#This Row],['#/Unit]]*FilterSpecs!$C$3+MouserListTable[[#This Row],[Extra]]</f>
        <v>0</v>
      </c>
      <c r="X370" s="94">
        <f>IF(MouserListTable[[#This Row],[Tag]]=FilterSpecs!$F$7,MouserListTable[[#This Row],['#/Unit]]*MouserListTable[[#This Row],[Price (USD)]],0)</f>
        <v>0</v>
      </c>
      <c r="Y370" s="94">
        <f>MouserListTable[[#This Row],[Tot '#]]*MouserListTable[[#This Row],[Price (USD)]]</f>
        <v>0</v>
      </c>
      <c r="Z370"/>
    </row>
    <row r="371" spans="1:26" s="106" customFormat="1" x14ac:dyDescent="0.25">
      <c r="A371" s="78" t="s">
        <v>890</v>
      </c>
      <c r="B371" s="78" t="s">
        <v>884</v>
      </c>
      <c r="C371" s="78" t="s">
        <v>1892</v>
      </c>
      <c r="D371" s="81" t="str">
        <f>IF(MouserListTable[[#This Row],[Vendor]]=FilterSpecs!$A$8,MouserListTable[[#This Row],[Mouser SKU]], MouserListTable[[#This Row],[Supplier SKU]])</f>
        <v>474-COM-10791</v>
      </c>
      <c r="E371" s="94">
        <f>MouserListTable[[#This Row],[Tot '#]]-MouserListTable[[#This Row],['# Initial]]</f>
        <v>0</v>
      </c>
      <c r="F371" s="94">
        <f>IF(AND(MouserListTable[[#This Row],[Tag]]&lt;&gt;FilterSpecs!$F$12, MouserListTable[[#This Row],[Tag]]&lt;&gt;FilterSpecs!$F$9), MouserListTable[[#This Row],['#/Unit]]*FilterSpecs!$B$3+MouserListTable[[#This Row],[Extra Initial]],0)</f>
        <v>5</v>
      </c>
      <c r="G371" s="78" t="s">
        <v>613</v>
      </c>
      <c r="H371" s="150" t="s">
        <v>614</v>
      </c>
      <c r="I371" s="78" t="s">
        <v>615</v>
      </c>
      <c r="J371" s="78">
        <v>1</v>
      </c>
      <c r="K371" s="117">
        <v>0.5</v>
      </c>
      <c r="L371" s="78" t="s">
        <v>1897</v>
      </c>
      <c r="M371" s="78"/>
      <c r="N371" s="154">
        <f>MouserListTable[[#This Row],['# Initial]]*MouserListTable[[#This Row],[Price (USD)]]</f>
        <v>2.5</v>
      </c>
      <c r="O371" s="81" t="s">
        <v>612</v>
      </c>
      <c r="P371" s="150">
        <f t="shared" si="5"/>
        <v>358</v>
      </c>
      <c r="Q371" s="78" t="s">
        <v>5</v>
      </c>
      <c r="R371"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474-COM-10791</v>
      </c>
      <c r="S371" s="133" t="str">
        <f>HYPERLINK("https://www.mouser.com/ProductDetail/" &amp;MouserListTable[[#This Row],[Mouser SKU]])</f>
        <v>https://www.mouser.com/ProductDetail/474-COM-10791</v>
      </c>
      <c r="T371" s="94">
        <v>1</v>
      </c>
      <c r="U371" s="94">
        <v>0</v>
      </c>
      <c r="V371" s="94">
        <v>0</v>
      </c>
      <c r="W371" s="94">
        <f>MouserListTable[[#This Row],['#/Unit]]*FilterSpecs!$C$3+MouserListTable[[#This Row],[Extra]]</f>
        <v>5</v>
      </c>
      <c r="X371" s="94">
        <f>IF(MouserListTable[[#This Row],[Tag]]=FilterSpecs!$F$7,MouserListTable[[#This Row],['#/Unit]]*MouserListTable[[#This Row],[Price (USD)]],0)</f>
        <v>0.5</v>
      </c>
      <c r="Y371" s="94">
        <f>MouserListTable[[#This Row],[Tot '#]]*MouserListTable[[#This Row],[Price (USD)]]</f>
        <v>2.5</v>
      </c>
      <c r="Z371"/>
    </row>
    <row r="372" spans="1:26" s="106" customFormat="1" x14ac:dyDescent="0.25">
      <c r="A372" s="78" t="s">
        <v>890</v>
      </c>
      <c r="B372" s="78" t="s">
        <v>884</v>
      </c>
      <c r="C372" s="78" t="s">
        <v>1892</v>
      </c>
      <c r="D372" s="81" t="str">
        <f>IF(MouserListTable[[#This Row],[Vendor]]=FilterSpecs!$A$8,MouserListTable[[#This Row],[Mouser SKU]], MouserListTable[[#This Row],[Supplier SKU]])</f>
        <v>474-COM-08837</v>
      </c>
      <c r="E372" s="94">
        <f>MouserListTable[[#This Row],[Tot '#]]-MouserListTable[[#This Row],['# Initial]]</f>
        <v>2</v>
      </c>
      <c r="F372" s="94">
        <f>IF(AND(MouserListTable[[#This Row],[Tag]]&lt;&gt;FilterSpecs!$F$12, MouserListTable[[#This Row],[Tag]]&lt;&gt;FilterSpecs!$F$9), MouserListTable[[#This Row],['#/Unit]]*FilterSpecs!$B$3+MouserListTable[[#This Row],[Extra Initial]],0)</f>
        <v>5</v>
      </c>
      <c r="G372" s="78" t="s">
        <v>525</v>
      </c>
      <c r="H372" s="150" t="s">
        <v>526</v>
      </c>
      <c r="I372" s="78" t="s">
        <v>527</v>
      </c>
      <c r="J372" s="78">
        <v>1</v>
      </c>
      <c r="K372" s="117">
        <v>0.95</v>
      </c>
      <c r="L372" s="81" t="s">
        <v>1897</v>
      </c>
      <c r="M372" s="78"/>
      <c r="N372" s="154">
        <f>MouserListTable[[#This Row],['# Initial]]*MouserListTable[[#This Row],[Price (USD)]]</f>
        <v>4.75</v>
      </c>
      <c r="O372" s="81" t="s">
        <v>524</v>
      </c>
      <c r="P372" s="150">
        <f t="shared" si="5"/>
        <v>359</v>
      </c>
      <c r="Q372" s="78" t="s">
        <v>5</v>
      </c>
      <c r="R372"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474-COM-08837</v>
      </c>
      <c r="S372" s="133" t="str">
        <f>HYPERLINK("https://www.mouser.com/ProductDetail/" &amp;MouserListTable[[#This Row],[Mouser SKU]])</f>
        <v>https://www.mouser.com/ProductDetail/474-COM-08837</v>
      </c>
      <c r="T372" s="94">
        <v>1</v>
      </c>
      <c r="U372" s="94">
        <v>2</v>
      </c>
      <c r="V372" s="94">
        <v>0</v>
      </c>
      <c r="W372" s="94">
        <f>MouserListTable[[#This Row],['#/Unit]]*FilterSpecs!$C$3+MouserListTable[[#This Row],[Extra]]</f>
        <v>7</v>
      </c>
      <c r="X372" s="94">
        <f>IF(MouserListTable[[#This Row],[Tag]]=FilterSpecs!$F$7,MouserListTable[[#This Row],['#/Unit]]*MouserListTable[[#This Row],[Price (USD)]],0)</f>
        <v>0.95</v>
      </c>
      <c r="Y372" s="94">
        <f>MouserListTable[[#This Row],[Tot '#]]*MouserListTable[[#This Row],[Price (USD)]]</f>
        <v>6.6499999999999995</v>
      </c>
      <c r="Z372"/>
    </row>
    <row r="373" spans="1:26" s="106" customFormat="1" x14ac:dyDescent="0.25">
      <c r="A373" s="78" t="s">
        <v>890</v>
      </c>
      <c r="B373" s="78" t="s">
        <v>884</v>
      </c>
      <c r="C373" s="78" t="s">
        <v>1892</v>
      </c>
      <c r="D373" s="81" t="str">
        <f>IF(MouserListTable[[#This Row],[Vendor]]=FilterSpecs!$A$8,MouserListTable[[#This Row],[Mouser SKU]], MouserListTable[[#This Row],[Supplier SKU]])</f>
        <v>474-COM-00102</v>
      </c>
      <c r="E373" s="94">
        <f>MouserListTable[[#This Row],[Tot '#]]-MouserListTable[[#This Row],['# Initial]]</f>
        <v>0</v>
      </c>
      <c r="F373" s="94">
        <f>IF(AND(MouserListTable[[#This Row],[Tag]]&lt;&gt;FilterSpecs!$F$12, MouserListTable[[#This Row],[Tag]]&lt;&gt;FilterSpecs!$F$9), MouserListTable[[#This Row],['#/Unit]]*FilterSpecs!$B$3+MouserListTable[[#This Row],[Extra Initial]],0)</f>
        <v>5</v>
      </c>
      <c r="G373" s="78" t="s">
        <v>625</v>
      </c>
      <c r="H373" s="150" t="s">
        <v>626</v>
      </c>
      <c r="I373" s="78" t="s">
        <v>2549</v>
      </c>
      <c r="J373" s="78">
        <v>1</v>
      </c>
      <c r="K373" s="117">
        <v>1.5</v>
      </c>
      <c r="L373" s="78" t="s">
        <v>1897</v>
      </c>
      <c r="M373" s="78"/>
      <c r="N373" s="154">
        <f>MouserListTable[[#This Row],['# Initial]]*MouserListTable[[#This Row],[Price (USD)]]</f>
        <v>7.5</v>
      </c>
      <c r="O373" s="81" t="s">
        <v>624</v>
      </c>
      <c r="P373" s="150">
        <f t="shared" si="5"/>
        <v>360</v>
      </c>
      <c r="Q373" s="78" t="s">
        <v>5</v>
      </c>
      <c r="R373"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474-COM-00102</v>
      </c>
      <c r="S373" s="133" t="str">
        <f>HYPERLINK("https://www.mouser.com/ProductDetail/" &amp;MouserListTable[[#This Row],[Mouser SKU]])</f>
        <v>https://www.mouser.com/ProductDetail/474-COM-00102</v>
      </c>
      <c r="T373" s="94">
        <v>1</v>
      </c>
      <c r="U373" s="94">
        <v>0</v>
      </c>
      <c r="V373" s="94">
        <v>0</v>
      </c>
      <c r="W373" s="94">
        <f>MouserListTable[[#This Row],['#/Unit]]*FilterSpecs!$C$3+MouserListTable[[#This Row],[Extra]]</f>
        <v>5</v>
      </c>
      <c r="X373" s="94">
        <f>IF(MouserListTable[[#This Row],[Tag]]=FilterSpecs!$F$7,MouserListTable[[#This Row],['#/Unit]]*MouserListTable[[#This Row],[Price (USD)]],0)</f>
        <v>1.5</v>
      </c>
      <c r="Y373" s="94">
        <f>MouserListTable[[#This Row],[Tot '#]]*MouserListTable[[#This Row],[Price (USD)]]</f>
        <v>7.5</v>
      </c>
      <c r="Z373"/>
    </row>
    <row r="374" spans="1:26" s="106" customFormat="1" x14ac:dyDescent="0.25">
      <c r="A374" s="78" t="s">
        <v>890</v>
      </c>
      <c r="B374" s="78" t="s">
        <v>884</v>
      </c>
      <c r="C374" s="78" t="s">
        <v>1892</v>
      </c>
      <c r="D374" s="81" t="str">
        <f>IF(MouserListTable[[#This Row],[Vendor]]=FilterSpecs!$A$8,MouserListTable[[#This Row],[Mouser SKU]], MouserListTable[[#This Row],[Supplier SKU]])</f>
        <v>474-COM-09609</v>
      </c>
      <c r="E374" s="94">
        <f>MouserListTable[[#This Row],[Tot '#]]-MouserListTable[[#This Row],['# Initial]]</f>
        <v>0</v>
      </c>
      <c r="F374" s="94">
        <f>IF(AND(MouserListTable[[#This Row],[Tag]]&lt;&gt;FilterSpecs!$F$12, MouserListTable[[#This Row],[Tag]]&lt;&gt;FilterSpecs!$F$9), MouserListTable[[#This Row],['#/Unit]]*FilterSpecs!$B$3+MouserListTable[[#This Row],[Extra Initial]],0)</f>
        <v>0</v>
      </c>
      <c r="G374" s="78" t="s">
        <v>1322</v>
      </c>
      <c r="H374" s="150" t="s">
        <v>1323</v>
      </c>
      <c r="I374" s="78" t="s">
        <v>1324</v>
      </c>
      <c r="J374" s="78">
        <v>1</v>
      </c>
      <c r="K374" s="117">
        <v>0.75</v>
      </c>
      <c r="L374" s="78" t="s">
        <v>2461</v>
      </c>
      <c r="M374" s="78"/>
      <c r="N374" s="154">
        <f>MouserListTable[[#This Row],['# Initial]]*MouserListTable[[#This Row],[Price (USD)]]</f>
        <v>0</v>
      </c>
      <c r="O374" s="81" t="s">
        <v>1321</v>
      </c>
      <c r="P374" s="150">
        <f t="shared" si="5"/>
        <v>361</v>
      </c>
      <c r="Q374" s="78" t="s">
        <v>5</v>
      </c>
      <c r="R374"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474-COM-09609</v>
      </c>
      <c r="S374" s="133" t="str">
        <f>HYPERLINK("https://www.mouser.com/ProductDetail/" &amp;MouserListTable[[#This Row],[Mouser SKU]])</f>
        <v>https://www.mouser.com/ProductDetail/474-COM-09609</v>
      </c>
      <c r="T374" s="94">
        <v>0</v>
      </c>
      <c r="U374" s="94">
        <v>0</v>
      </c>
      <c r="V374" s="94">
        <v>0</v>
      </c>
      <c r="W374" s="94">
        <f>MouserListTable[[#This Row],['#/Unit]]*FilterSpecs!$C$3+MouserListTable[[#This Row],[Extra]]</f>
        <v>0</v>
      </c>
      <c r="X374" s="94">
        <f>IF(MouserListTable[[#This Row],[Tag]]=FilterSpecs!$F$7,MouserListTable[[#This Row],['#/Unit]]*MouserListTable[[#This Row],[Price (USD)]],0)</f>
        <v>0</v>
      </c>
      <c r="Y374" s="94">
        <f>MouserListTable[[#This Row],[Tot '#]]*MouserListTable[[#This Row],[Price (USD)]]</f>
        <v>0</v>
      </c>
      <c r="Z374"/>
    </row>
    <row r="375" spans="1:26" s="104" customFormat="1" x14ac:dyDescent="0.25">
      <c r="A375" s="78" t="s">
        <v>890</v>
      </c>
      <c r="B375" s="78" t="s">
        <v>884</v>
      </c>
      <c r="C375" s="78" t="s">
        <v>1892</v>
      </c>
      <c r="D375" s="81" t="str">
        <f>IF(MouserListTable[[#This Row],[Vendor]]=FilterSpecs!$A$8,MouserListTable[[#This Row],[Mouser SKU]], MouserListTable[[#This Row],[Supplier SKU]])</f>
        <v>474-COM-13834</v>
      </c>
      <c r="E375" s="94">
        <f>MouserListTable[[#This Row],[Tot '#]]-MouserListTable[[#This Row],['# Initial]]</f>
        <v>1</v>
      </c>
      <c r="F375" s="94">
        <f>IF(AND(MouserListTable[[#This Row],[Tag]]&lt;&gt;FilterSpecs!$F$12, MouserListTable[[#This Row],[Tag]]&lt;&gt;FilterSpecs!$F$9), MouserListTable[[#This Row],['#/Unit]]*FilterSpecs!$B$3+MouserListTable[[#This Row],[Extra Initial]],0)</f>
        <v>0</v>
      </c>
      <c r="G375" s="78" t="s">
        <v>1664</v>
      </c>
      <c r="H375" s="150" t="s">
        <v>1665</v>
      </c>
      <c r="I375" s="78" t="s">
        <v>1666</v>
      </c>
      <c r="J375" s="78">
        <v>1</v>
      </c>
      <c r="K375" s="117">
        <v>0.95</v>
      </c>
      <c r="L375" s="78" t="s">
        <v>1896</v>
      </c>
      <c r="M375" s="78"/>
      <c r="N375" s="154">
        <f>MouserListTable[[#This Row],['# Initial]]*MouserListTable[[#This Row],[Price (USD)]]</f>
        <v>0</v>
      </c>
      <c r="O375" s="81" t="s">
        <v>1663</v>
      </c>
      <c r="P375" s="150">
        <f t="shared" si="5"/>
        <v>362</v>
      </c>
      <c r="Q375" s="78" t="s">
        <v>5</v>
      </c>
      <c r="R375"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474-COM-13834</v>
      </c>
      <c r="S375" s="133" t="str">
        <f>HYPERLINK("https://www.mouser.com/ProductDetail/" &amp;MouserListTable[[#This Row],[Mouser SKU]])</f>
        <v>https://www.mouser.com/ProductDetail/474-COM-13834</v>
      </c>
      <c r="T375" s="94">
        <v>0</v>
      </c>
      <c r="U375" s="94">
        <v>1</v>
      </c>
      <c r="V375" s="94">
        <v>0</v>
      </c>
      <c r="W375" s="94">
        <f>MouserListTable[[#This Row],['#/Unit]]*FilterSpecs!$C$3+MouserListTable[[#This Row],[Extra]]</f>
        <v>1</v>
      </c>
      <c r="X375" s="94">
        <f>IF(MouserListTable[[#This Row],[Tag]]=FilterSpecs!$F$7,MouserListTable[[#This Row],['#/Unit]]*MouserListTable[[#This Row],[Price (USD)]],0)</f>
        <v>0</v>
      </c>
      <c r="Y375" s="94">
        <f>MouserListTable[[#This Row],[Tot '#]]*MouserListTable[[#This Row],[Price (USD)]]</f>
        <v>0.95</v>
      </c>
      <c r="Z375"/>
    </row>
    <row r="376" spans="1:26" s="104" customFormat="1" x14ac:dyDescent="0.25">
      <c r="A376" s="78" t="s">
        <v>890</v>
      </c>
      <c r="B376" s="78" t="s">
        <v>884</v>
      </c>
      <c r="C376" s="78" t="s">
        <v>1892</v>
      </c>
      <c r="D376" s="81" t="str">
        <f>IF(MouserListTable[[#This Row],[Vendor]]=FilterSpecs!$A$8,MouserListTable[[#This Row],[Mouser SKU]], MouserListTable[[#This Row],[Supplier SKU]])</f>
        <v>474-COM-10063</v>
      </c>
      <c r="E376" s="94">
        <f>MouserListTable[[#This Row],[Tot '#]]-MouserListTable[[#This Row],['# Initial]]</f>
        <v>1</v>
      </c>
      <c r="F376" s="94">
        <f>IF(AND(MouserListTable[[#This Row],[Tag]]&lt;&gt;FilterSpecs!$F$12, MouserListTable[[#This Row],[Tag]]&lt;&gt;FilterSpecs!$F$9), MouserListTable[[#This Row],['#/Unit]]*FilterSpecs!$B$3+MouserListTable[[#This Row],[Extra Initial]],0)</f>
        <v>0</v>
      </c>
      <c r="G376" s="78" t="s">
        <v>1680</v>
      </c>
      <c r="H376" s="150" t="s">
        <v>1681</v>
      </c>
      <c r="I376" s="78" t="s">
        <v>1682</v>
      </c>
      <c r="J376" s="78">
        <v>1</v>
      </c>
      <c r="K376" s="117">
        <v>1.95</v>
      </c>
      <c r="L376" s="78" t="s">
        <v>1896</v>
      </c>
      <c r="M376" s="78"/>
      <c r="N376" s="154">
        <f>MouserListTable[[#This Row],['# Initial]]*MouserListTable[[#This Row],[Price (USD)]]</f>
        <v>0</v>
      </c>
      <c r="O376" s="81" t="s">
        <v>1679</v>
      </c>
      <c r="P376" s="150">
        <f t="shared" si="5"/>
        <v>363</v>
      </c>
      <c r="Q376" s="78" t="s">
        <v>5</v>
      </c>
      <c r="R376"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474-COM-10063</v>
      </c>
      <c r="S376" s="133" t="str">
        <f>HYPERLINK("https://www.mouser.com/ProductDetail/" &amp;MouserListTable[[#This Row],[Mouser SKU]])</f>
        <v>https://www.mouser.com/ProductDetail/474-COM-10063</v>
      </c>
      <c r="T376" s="94">
        <v>0</v>
      </c>
      <c r="U376" s="94">
        <v>1</v>
      </c>
      <c r="V376" s="94">
        <v>0</v>
      </c>
      <c r="W376" s="94">
        <f>MouserListTable[[#This Row],['#/Unit]]*FilterSpecs!$C$3+MouserListTable[[#This Row],[Extra]]</f>
        <v>1</v>
      </c>
      <c r="X376" s="94">
        <f>IF(MouserListTable[[#This Row],[Tag]]=FilterSpecs!$F$7,MouserListTable[[#This Row],['#/Unit]]*MouserListTable[[#This Row],[Price (USD)]],0)</f>
        <v>0</v>
      </c>
      <c r="Y376" s="94">
        <f>MouserListTable[[#This Row],[Tot '#]]*MouserListTable[[#This Row],[Price (USD)]]</f>
        <v>1.95</v>
      </c>
      <c r="Z376"/>
    </row>
    <row r="377" spans="1:26" s="104" customFormat="1" x14ac:dyDescent="0.25">
      <c r="A377" s="78" t="s">
        <v>890</v>
      </c>
      <c r="B377" s="78" t="s">
        <v>884</v>
      </c>
      <c r="C377" s="78" t="s">
        <v>1892</v>
      </c>
      <c r="D377" s="81" t="str">
        <f>IF(MouserListTable[[#This Row],[Vendor]]=FilterSpecs!$A$8,MouserListTable[[#This Row],[Mouser SKU]], MouserListTable[[#This Row],[Supplier SKU]])</f>
        <v>474-COM-09426</v>
      </c>
      <c r="E377" s="94">
        <f>MouserListTable[[#This Row],[Tot '#]]-MouserListTable[[#This Row],['# Initial]]</f>
        <v>1</v>
      </c>
      <c r="F377" s="94">
        <f>IF(AND(MouserListTable[[#This Row],[Tag]]&lt;&gt;FilterSpecs!$F$12, MouserListTable[[#This Row],[Tag]]&lt;&gt;FilterSpecs!$F$9), MouserListTable[[#This Row],['#/Unit]]*FilterSpecs!$B$3+MouserListTable[[#This Row],[Extra Initial]],0)</f>
        <v>0</v>
      </c>
      <c r="G377" s="78" t="s">
        <v>1676</v>
      </c>
      <c r="H377" s="150" t="s">
        <v>1677</v>
      </c>
      <c r="I377" s="78" t="s">
        <v>1678</v>
      </c>
      <c r="J377" s="78">
        <v>1</v>
      </c>
      <c r="K377" s="117">
        <v>3.5</v>
      </c>
      <c r="L377" s="78" t="s">
        <v>2461</v>
      </c>
      <c r="M377" s="78"/>
      <c r="N377" s="154">
        <f>MouserListTable[[#This Row],['# Initial]]*MouserListTable[[#This Row],[Price (USD)]]</f>
        <v>0</v>
      </c>
      <c r="O377" s="81" t="s">
        <v>1675</v>
      </c>
      <c r="P377" s="150">
        <f t="shared" si="5"/>
        <v>364</v>
      </c>
      <c r="Q377" s="78" t="s">
        <v>5</v>
      </c>
      <c r="R377"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474-COM-09426</v>
      </c>
      <c r="S377" s="133" t="str">
        <f>HYPERLINK("https://www.mouser.com/ProductDetail/" &amp;MouserListTable[[#This Row],[Mouser SKU]])</f>
        <v>https://www.mouser.com/ProductDetail/474-COM-09426</v>
      </c>
      <c r="T377" s="94">
        <v>0</v>
      </c>
      <c r="U377" s="94">
        <v>1</v>
      </c>
      <c r="V377" s="94">
        <v>0</v>
      </c>
      <c r="W377" s="94">
        <f>MouserListTable[[#This Row],['#/Unit]]*FilterSpecs!$C$3+MouserListTable[[#This Row],[Extra]]</f>
        <v>1</v>
      </c>
      <c r="X377" s="94">
        <f>IF(MouserListTable[[#This Row],[Tag]]=FilterSpecs!$F$7,MouserListTable[[#This Row],['#/Unit]]*MouserListTable[[#This Row],[Price (USD)]],0)</f>
        <v>0</v>
      </c>
      <c r="Y377" s="94">
        <f>MouserListTable[[#This Row],[Tot '#]]*MouserListTable[[#This Row],[Price (USD)]]</f>
        <v>3.5</v>
      </c>
      <c r="Z377"/>
    </row>
    <row r="378" spans="1:26" s="106" customFormat="1" x14ac:dyDescent="0.25">
      <c r="A378" s="78" t="s">
        <v>890</v>
      </c>
      <c r="B378" s="78" t="s">
        <v>884</v>
      </c>
      <c r="C378" s="78" t="s">
        <v>1892</v>
      </c>
      <c r="D378" s="81" t="str">
        <f>IF(MouserListTable[[#This Row],[Vendor]]=FilterSpecs!$A$8,MouserListTable[[#This Row],[Mouser SKU]], MouserListTable[[#This Row],[Supplier SKU]])</f>
        <v>474-COM-10002</v>
      </c>
      <c r="E378" s="94">
        <f>MouserListTable[[#This Row],[Tot '#]]-MouserListTable[[#This Row],['# Initial]]</f>
        <v>3</v>
      </c>
      <c r="F378" s="94">
        <f>IF(AND(MouserListTable[[#This Row],[Tag]]&lt;&gt;FilterSpecs!$F$12, MouserListTable[[#This Row],[Tag]]&lt;&gt;FilterSpecs!$F$9), MouserListTable[[#This Row],['#/Unit]]*FilterSpecs!$B$3+MouserListTable[[#This Row],[Extra Initial]],0)</f>
        <v>0</v>
      </c>
      <c r="G378" s="78" t="s">
        <v>725</v>
      </c>
      <c r="H378" s="150" t="s">
        <v>726</v>
      </c>
      <c r="I378" s="78" t="s">
        <v>727</v>
      </c>
      <c r="J378" s="78"/>
      <c r="K378" s="117">
        <v>1.5</v>
      </c>
      <c r="L378" s="78" t="s">
        <v>1896</v>
      </c>
      <c r="M378" s="81"/>
      <c r="N378" s="154">
        <f>MouserListTable[[#This Row],['# Initial]]*MouserListTable[[#This Row],[Price (USD)]]</f>
        <v>0</v>
      </c>
      <c r="O378" s="81" t="s">
        <v>724</v>
      </c>
      <c r="P378" s="150">
        <f t="shared" si="5"/>
        <v>365</v>
      </c>
      <c r="Q378" s="78" t="s">
        <v>5</v>
      </c>
      <c r="R378"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474-COM-10002</v>
      </c>
      <c r="S378" s="133" t="str">
        <f>HYPERLINK("https://www.mouser.com/ProductDetail/" &amp;MouserListTable[[#This Row],[Mouser SKU]])</f>
        <v>https://www.mouser.com/ProductDetail/474-COM-10002</v>
      </c>
      <c r="T378" s="94">
        <v>0</v>
      </c>
      <c r="U378" s="94">
        <v>3</v>
      </c>
      <c r="V378" s="94">
        <v>0</v>
      </c>
      <c r="W378" s="94">
        <f>MouserListTable[[#This Row],['#/Unit]]*FilterSpecs!$C$3+MouserListTable[[#This Row],[Extra]]</f>
        <v>3</v>
      </c>
      <c r="X378" s="94">
        <f>IF(MouserListTable[[#This Row],[Tag]]=FilterSpecs!$F$7,MouserListTable[[#This Row],['#/Unit]]*MouserListTable[[#This Row],[Price (USD)]],0)</f>
        <v>0</v>
      </c>
      <c r="Y378" s="94">
        <f>MouserListTable[[#This Row],[Tot '#]]*MouserListTable[[#This Row],[Price (USD)]]</f>
        <v>4.5</v>
      </c>
      <c r="Z378"/>
    </row>
    <row r="379" spans="1:26" s="106" customFormat="1" x14ac:dyDescent="0.25">
      <c r="A379" s="78" t="s">
        <v>890</v>
      </c>
      <c r="B379" s="78" t="s">
        <v>884</v>
      </c>
      <c r="C379" s="78" t="s">
        <v>1892</v>
      </c>
      <c r="D379" s="81" t="str">
        <f>IF(MouserListTable[[#This Row],[Vendor]]=FilterSpecs!$A$8,MouserListTable[[#This Row],[Mouser SKU]], MouserListTable[[#This Row],[Supplier SKU]])</f>
        <v>474-COM-10001</v>
      </c>
      <c r="E379" s="94">
        <f>MouserListTable[[#This Row],[Tot '#]]-MouserListTable[[#This Row],['# Initial]]</f>
        <v>0</v>
      </c>
      <c r="F379" s="94">
        <f>IF(AND(MouserListTable[[#This Row],[Tag]]&lt;&gt;FilterSpecs!$F$12, MouserListTable[[#This Row],[Tag]]&lt;&gt;FilterSpecs!$F$9), MouserListTable[[#This Row],['#/Unit]]*FilterSpecs!$B$3+MouserListTable[[#This Row],[Extra Initial]],0)</f>
        <v>0</v>
      </c>
      <c r="G379" s="78" t="s">
        <v>725</v>
      </c>
      <c r="H379" s="150" t="s">
        <v>726</v>
      </c>
      <c r="I379" s="78" t="s">
        <v>1653</v>
      </c>
      <c r="J379" s="78"/>
      <c r="K379" s="117">
        <v>1.5</v>
      </c>
      <c r="L379" s="78" t="s">
        <v>2461</v>
      </c>
      <c r="N379" s="154">
        <f>MouserListTable[[#This Row],['# Initial]]*MouserListTable[[#This Row],[Price (USD)]]</f>
        <v>0</v>
      </c>
      <c r="O379" s="81" t="s">
        <v>1654</v>
      </c>
      <c r="P379" s="150">
        <f t="shared" si="5"/>
        <v>366</v>
      </c>
      <c r="Q379" s="78" t="s">
        <v>5</v>
      </c>
      <c r="R379"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474-COM-10001</v>
      </c>
      <c r="S379" s="133" t="str">
        <f>HYPERLINK("https://www.mouser.com/ProductDetail/" &amp;MouserListTable[[#This Row],[Mouser SKU]])</f>
        <v>https://www.mouser.com/ProductDetail/474-COM-10001</v>
      </c>
      <c r="T379" s="94">
        <v>0</v>
      </c>
      <c r="U379" s="94">
        <v>0</v>
      </c>
      <c r="V379" s="94">
        <v>0</v>
      </c>
      <c r="W379" s="94">
        <f>MouserListTable[[#This Row],['#/Unit]]*FilterSpecs!$C$3+MouserListTable[[#This Row],[Extra]]</f>
        <v>0</v>
      </c>
      <c r="X379" s="94">
        <f>IF(MouserListTable[[#This Row],[Tag]]=FilterSpecs!$F$7,MouserListTable[[#This Row],['#/Unit]]*MouserListTable[[#This Row],[Price (USD)]],0)</f>
        <v>0</v>
      </c>
      <c r="Y379" s="94">
        <f>MouserListTable[[#This Row],[Tot '#]]*MouserListTable[[#This Row],[Price (USD)]]</f>
        <v>0</v>
      </c>
      <c r="Z379"/>
    </row>
    <row r="380" spans="1:26" s="104" customFormat="1" x14ac:dyDescent="0.25">
      <c r="A380" s="78" t="s">
        <v>890</v>
      </c>
      <c r="B380" s="78" t="s">
        <v>884</v>
      </c>
      <c r="C380" s="78" t="s">
        <v>1892</v>
      </c>
      <c r="D380" s="81" t="str">
        <f>IF(MouserListTable[[#This Row],[Vendor]]=FilterSpecs!$A$8,MouserListTable[[#This Row],[Mouser SKU]], MouserListTable[[#This Row],[Supplier SKU]])</f>
        <v>485-2047</v>
      </c>
      <c r="E380" s="94">
        <f>MouserListTable[[#This Row],[Tot '#]]-MouserListTable[[#This Row],['# Initial]]</f>
        <v>0</v>
      </c>
      <c r="F380" s="94">
        <f>IF(AND(MouserListTable[[#This Row],[Tag]]&lt;&gt;FilterSpecs!$F$12, MouserListTable[[#This Row],[Tag]]&lt;&gt;FilterSpecs!$F$9), MouserListTable[[#This Row],['#/Unit]]*FilterSpecs!$B$3+MouserListTable[[#This Row],[Extra Initial]],0)</f>
        <v>10</v>
      </c>
      <c r="G380" s="78"/>
      <c r="H380" s="150"/>
      <c r="I380" s="97" t="s">
        <v>2104</v>
      </c>
      <c r="J380" s="106"/>
      <c r="K380" s="118">
        <v>0.5</v>
      </c>
      <c r="L380" s="97" t="s">
        <v>1897</v>
      </c>
      <c r="M380" s="106"/>
      <c r="N380" s="154">
        <f>MouserListTable[[#This Row],['# Initial]]*MouserListTable[[#This Row],[Price (USD)]]</f>
        <v>5</v>
      </c>
      <c r="O380" s="81" t="s">
        <v>2103</v>
      </c>
      <c r="P380" s="150">
        <f t="shared" si="5"/>
        <v>367</v>
      </c>
      <c r="Q380" s="78" t="s">
        <v>1884</v>
      </c>
      <c r="R380"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485-2047</v>
      </c>
      <c r="S380" s="133" t="str">
        <f>HYPERLINK("https://www.mouser.com/ProductDetail/" &amp;MouserListTable[[#This Row],[Mouser SKU]])</f>
        <v>https://www.mouser.com/ProductDetail/485-2047</v>
      </c>
      <c r="T380" s="94">
        <f>SUM(T581:T588)</f>
        <v>2</v>
      </c>
      <c r="U380" s="94">
        <f t="shared" ref="U380:V380" si="6">SUM(U580:U587)</f>
        <v>0</v>
      </c>
      <c r="V380" s="94">
        <f t="shared" si="6"/>
        <v>0</v>
      </c>
      <c r="W380" s="94">
        <f>MouserListTable[[#This Row],['#/Unit]]*FilterSpecs!$C$3+MouserListTable[[#This Row],[Extra]]</f>
        <v>10</v>
      </c>
      <c r="X380" s="94">
        <f>IF(MouserListTable[[#This Row],[Tag]]=FilterSpecs!$F$7,MouserListTable[[#This Row],['#/Unit]]*MouserListTable[[#This Row],[Price (USD)]],0)</f>
        <v>1</v>
      </c>
      <c r="Y380" s="94">
        <f>MouserListTable[[#This Row],[Tot '#]]*MouserListTable[[#This Row],[Price (USD)]]</f>
        <v>5</v>
      </c>
      <c r="Z380"/>
    </row>
    <row r="381" spans="1:26" s="104" customFormat="1" x14ac:dyDescent="0.25">
      <c r="A381" s="78" t="s">
        <v>890</v>
      </c>
      <c r="B381" s="78" t="s">
        <v>884</v>
      </c>
      <c r="C381" s="78" t="s">
        <v>1892</v>
      </c>
      <c r="D381" s="81" t="str">
        <f>IF(MouserListTable[[#This Row],[Vendor]]=FilterSpecs!$A$8,MouserListTable[[#This Row],[Mouser SKU]], MouserListTable[[#This Row],[Supplier SKU]])</f>
        <v>485-2055</v>
      </c>
      <c r="E381" s="94">
        <f>MouserListTable[[#This Row],[Tot '#]]-MouserListTable[[#This Row],['# Initial]]</f>
        <v>0</v>
      </c>
      <c r="F381" s="94">
        <f>IF(AND(MouserListTable[[#This Row],[Tag]]&lt;&gt;FilterSpecs!$F$12, MouserListTable[[#This Row],[Tag]]&lt;&gt;FilterSpecs!$F$9), MouserListTable[[#This Row],['#/Unit]]*FilterSpecs!$B$3+MouserListTable[[#This Row],[Extra Initial]],0)</f>
        <v>0</v>
      </c>
      <c r="G381" s="78"/>
      <c r="H381" s="150"/>
      <c r="I381" s="97" t="s">
        <v>2106</v>
      </c>
      <c r="J381" s="106"/>
      <c r="K381" s="118">
        <v>0.95</v>
      </c>
      <c r="L381" s="97" t="s">
        <v>1896</v>
      </c>
      <c r="M381" s="106"/>
      <c r="N381" s="154">
        <f>MouserListTable[[#This Row],['# Initial]]*MouserListTable[[#This Row],[Price (USD)]]</f>
        <v>0</v>
      </c>
      <c r="O381" s="81" t="s">
        <v>2105</v>
      </c>
      <c r="P381" s="150">
        <f t="shared" si="5"/>
        <v>368</v>
      </c>
      <c r="Q381" s="78" t="s">
        <v>1884</v>
      </c>
      <c r="R381"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485-2055</v>
      </c>
      <c r="S381" s="133" t="str">
        <f>HYPERLINK("https://www.mouser.com/ProductDetail/" &amp;MouserListTable[[#This Row],[Mouser SKU]])</f>
        <v>https://www.mouser.com/ProductDetail/485-2055</v>
      </c>
      <c r="T381" s="94">
        <v>0</v>
      </c>
      <c r="U381" s="94">
        <v>0</v>
      </c>
      <c r="V381" s="94">
        <v>0</v>
      </c>
      <c r="W381" s="94">
        <f>MouserListTable[[#This Row],['#/Unit]]*FilterSpecs!$C$3+MouserListTable[[#This Row],[Extra]]</f>
        <v>0</v>
      </c>
      <c r="X381" s="94">
        <f>IF(MouserListTable[[#This Row],[Tag]]=FilterSpecs!$F$7,MouserListTable[[#This Row],['#/Unit]]*MouserListTable[[#This Row],[Price (USD)]],0)</f>
        <v>0</v>
      </c>
      <c r="Y381" s="94">
        <f>MouserListTable[[#This Row],[Tot '#]]*MouserListTable[[#This Row],[Price (USD)]]</f>
        <v>0</v>
      </c>
      <c r="Z381"/>
    </row>
    <row r="382" spans="1:26" s="104" customFormat="1" x14ac:dyDescent="0.25">
      <c r="A382" s="78" t="s">
        <v>890</v>
      </c>
      <c r="B382" s="78" t="s">
        <v>884</v>
      </c>
      <c r="C382" s="78" t="s">
        <v>1892</v>
      </c>
      <c r="D382" s="81" t="str">
        <f>IF(MouserListTable[[#This Row],[Vendor]]=FilterSpecs!$A$8,MouserListTable[[#This Row],[Mouser SKU]], MouserListTable[[#This Row],[Supplier SKU]])</f>
        <v>485-2058</v>
      </c>
      <c r="E382" s="94">
        <f>MouserListTable[[#This Row],[Tot '#]]-MouserListTable[[#This Row],['# Initial]]</f>
        <v>0</v>
      </c>
      <c r="F382" s="94">
        <f>IF(AND(MouserListTable[[#This Row],[Tag]]&lt;&gt;FilterSpecs!$F$12, MouserListTable[[#This Row],[Tag]]&lt;&gt;FilterSpecs!$F$9), MouserListTable[[#This Row],['#/Unit]]*FilterSpecs!$B$3+MouserListTable[[#This Row],[Extra Initial]],0)</f>
        <v>0</v>
      </c>
      <c r="G382" s="78"/>
      <c r="H382" s="150"/>
      <c r="I382" s="97" t="s">
        <v>2108</v>
      </c>
      <c r="J382" s="106"/>
      <c r="K382" s="118">
        <v>0.95</v>
      </c>
      <c r="L382" s="97" t="s">
        <v>1896</v>
      </c>
      <c r="M382" s="106"/>
      <c r="N382" s="154">
        <f>MouserListTable[[#This Row],['# Initial]]*MouserListTable[[#This Row],[Price (USD)]]</f>
        <v>0</v>
      </c>
      <c r="O382" s="81" t="s">
        <v>2107</v>
      </c>
      <c r="P382" s="150">
        <f t="shared" si="5"/>
        <v>369</v>
      </c>
      <c r="Q382" s="78" t="s">
        <v>1884</v>
      </c>
      <c r="R382"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485-2058</v>
      </c>
      <c r="S382" s="133" t="str">
        <f>HYPERLINK("https://www.mouser.com/ProductDetail/" &amp;MouserListTable[[#This Row],[Mouser SKU]])</f>
        <v>https://www.mouser.com/ProductDetail/485-2058</v>
      </c>
      <c r="T382" s="94">
        <v>0</v>
      </c>
      <c r="U382" s="94">
        <v>0</v>
      </c>
      <c r="V382" s="94">
        <v>0</v>
      </c>
      <c r="W382" s="94">
        <f>MouserListTable[[#This Row],['#/Unit]]*FilterSpecs!$C$3+MouserListTable[[#This Row],[Extra]]</f>
        <v>0</v>
      </c>
      <c r="X382" s="94">
        <f>IF(MouserListTable[[#This Row],[Tag]]=FilterSpecs!$F$7,MouserListTable[[#This Row],['#/Unit]]*MouserListTable[[#This Row],[Price (USD)]],0)</f>
        <v>0</v>
      </c>
      <c r="Y382" s="94">
        <f>MouserListTable[[#This Row],[Tot '#]]*MouserListTable[[#This Row],[Price (USD)]]</f>
        <v>0</v>
      </c>
      <c r="Z382"/>
    </row>
    <row r="383" spans="1:26" s="104" customFormat="1" x14ac:dyDescent="0.25">
      <c r="A383" s="78" t="s">
        <v>890</v>
      </c>
      <c r="B383" s="78" t="s">
        <v>884</v>
      </c>
      <c r="C383" s="78" t="s">
        <v>1892</v>
      </c>
      <c r="D383" s="81" t="str">
        <f>IF(MouserListTable[[#This Row],[Vendor]]=FilterSpecs!$A$8,MouserListTable[[#This Row],[Mouser SKU]], MouserListTable[[#This Row],[Supplier SKU]])</f>
        <v>485-2056</v>
      </c>
      <c r="E383" s="94">
        <f>MouserListTable[[#This Row],[Tot '#]]-MouserListTable[[#This Row],['# Initial]]</f>
        <v>0</v>
      </c>
      <c r="F383" s="94">
        <f>IF(AND(MouserListTable[[#This Row],[Tag]]&lt;&gt;FilterSpecs!$F$12, MouserListTable[[#This Row],[Tag]]&lt;&gt;FilterSpecs!$F$9), MouserListTable[[#This Row],['#/Unit]]*FilterSpecs!$B$3+MouserListTable[[#This Row],[Extra Initial]],0)</f>
        <v>0</v>
      </c>
      <c r="G383" s="78"/>
      <c r="H383" s="150"/>
      <c r="I383" s="97" t="s">
        <v>2110</v>
      </c>
      <c r="J383" s="106"/>
      <c r="K383" s="118">
        <v>3.95</v>
      </c>
      <c r="L383" s="97" t="s">
        <v>1896</v>
      </c>
      <c r="M383" s="106"/>
      <c r="N383" s="154">
        <f>MouserListTable[[#This Row],['# Initial]]*MouserListTable[[#This Row],[Price (USD)]]</f>
        <v>0</v>
      </c>
      <c r="O383" s="81" t="s">
        <v>2109</v>
      </c>
      <c r="P383" s="150">
        <f t="shared" si="5"/>
        <v>370</v>
      </c>
      <c r="Q383" s="78" t="s">
        <v>1884</v>
      </c>
      <c r="R383"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485-2056</v>
      </c>
      <c r="S383" s="133" t="str">
        <f>HYPERLINK("https://www.mouser.com/ProductDetail/" &amp;MouserListTable[[#This Row],[Mouser SKU]])</f>
        <v>https://www.mouser.com/ProductDetail/485-2056</v>
      </c>
      <c r="T383" s="94">
        <v>0</v>
      </c>
      <c r="U383" s="94">
        <v>0</v>
      </c>
      <c r="V383" s="94">
        <v>0</v>
      </c>
      <c r="W383" s="94">
        <f>MouserListTable[[#This Row],['#/Unit]]*FilterSpecs!$C$3+MouserListTable[[#This Row],[Extra]]</f>
        <v>0</v>
      </c>
      <c r="X383" s="94">
        <f>IF(MouserListTable[[#This Row],[Tag]]=FilterSpecs!$F$7,MouserListTable[[#This Row],['#/Unit]]*MouserListTable[[#This Row],[Price (USD)]],0)</f>
        <v>0</v>
      </c>
      <c r="Y383" s="94">
        <f>MouserListTable[[#This Row],[Tot '#]]*MouserListTable[[#This Row],[Price (USD)]]</f>
        <v>0</v>
      </c>
      <c r="Z383"/>
    </row>
    <row r="384" spans="1:26" s="104" customFormat="1" x14ac:dyDescent="0.25">
      <c r="A384" s="81" t="s">
        <v>890</v>
      </c>
      <c r="B384" s="81" t="s">
        <v>2004</v>
      </c>
      <c r="C384" s="78" t="s">
        <v>1892</v>
      </c>
      <c r="D384" s="81" t="str">
        <f>IF(MouserListTable[[#This Row],[Vendor]]=FilterSpecs!$A$8,MouserListTable[[#This Row],[Mouser SKU]], MouserListTable[[#This Row],[Supplier SKU]])</f>
        <v>485-2103</v>
      </c>
      <c r="E384" s="94">
        <f>MouserListTable[[#This Row],[Tot '#]]-MouserListTable[[#This Row],['# Initial]]</f>
        <v>0</v>
      </c>
      <c r="F384" s="94">
        <f>IF(AND(MouserListTable[[#This Row],[Tag]]&lt;&gt;FilterSpecs!$F$12, MouserListTable[[#This Row],[Tag]]&lt;&gt;FilterSpecs!$F$9), MouserListTable[[#This Row],['#/Unit]]*FilterSpecs!$B$3+MouserListTable[[#This Row],[Extra Initial]],0)</f>
        <v>0</v>
      </c>
      <c r="G384" s="78"/>
      <c r="H384" s="150"/>
      <c r="I384" s="106" t="s">
        <v>2114</v>
      </c>
      <c r="J384" s="106"/>
      <c r="K384" s="118">
        <v>1.95</v>
      </c>
      <c r="L384" s="106" t="s">
        <v>1896</v>
      </c>
      <c r="M384" s="106"/>
      <c r="N384" s="154">
        <f>MouserListTable[[#This Row],['# Initial]]*MouserListTable[[#This Row],[Price (USD)]]</f>
        <v>0</v>
      </c>
      <c r="O384" s="81" t="s">
        <v>2113</v>
      </c>
      <c r="P384" s="150">
        <f t="shared" si="5"/>
        <v>371</v>
      </c>
      <c r="Q384" s="78" t="s">
        <v>1884</v>
      </c>
      <c r="R384"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485-2103</v>
      </c>
      <c r="S384" s="133" t="str">
        <f>HYPERLINK("https://www.mouser.com/ProductDetail/" &amp;MouserListTable[[#This Row],[Mouser SKU]])</f>
        <v>https://www.mouser.com/ProductDetail/485-2103</v>
      </c>
      <c r="T384" s="94">
        <v>0</v>
      </c>
      <c r="U384" s="94">
        <v>0</v>
      </c>
      <c r="V384" s="94">
        <v>0</v>
      </c>
      <c r="W384" s="94">
        <f>MouserListTable[[#This Row],['#/Unit]]*FilterSpecs!$C$3+MouserListTable[[#This Row],[Extra]]</f>
        <v>0</v>
      </c>
      <c r="X384" s="94">
        <f>IF(MouserListTable[[#This Row],[Tag]]=FilterSpecs!$F$7,MouserListTable[[#This Row],['#/Unit]]*MouserListTable[[#This Row],[Price (USD)]],0)</f>
        <v>0</v>
      </c>
      <c r="Y384" s="94">
        <f>MouserListTable[[#This Row],[Tot '#]]*MouserListTable[[#This Row],[Price (USD)]]</f>
        <v>0</v>
      </c>
      <c r="Z384"/>
    </row>
    <row r="385" spans="1:26" s="104" customFormat="1" x14ac:dyDescent="0.25">
      <c r="A385" s="81" t="s">
        <v>890</v>
      </c>
      <c r="B385" s="81" t="s">
        <v>2004</v>
      </c>
      <c r="C385" s="78" t="s">
        <v>1892</v>
      </c>
      <c r="D385" s="81" t="str">
        <f>IF(MouserListTable[[#This Row],[Vendor]]=FilterSpecs!$A$8,MouserListTable[[#This Row],[Mouser SKU]], MouserListTable[[#This Row],[Supplier SKU]])</f>
        <v>485-2270</v>
      </c>
      <c r="E385" s="94">
        <f>MouserListTable[[#This Row],[Tot '#]]-MouserListTable[[#This Row],['# Initial]]</f>
        <v>0</v>
      </c>
      <c r="F385" s="94">
        <f>IF(AND(MouserListTable[[#This Row],[Tag]]&lt;&gt;FilterSpecs!$F$12, MouserListTable[[#This Row],[Tag]]&lt;&gt;FilterSpecs!$F$9), MouserListTable[[#This Row],['#/Unit]]*FilterSpecs!$B$3+MouserListTable[[#This Row],[Extra Initial]],0)</f>
        <v>0</v>
      </c>
      <c r="G385" s="78"/>
      <c r="H385" s="150"/>
      <c r="I385" s="106" t="s">
        <v>2116</v>
      </c>
      <c r="J385" s="106"/>
      <c r="K385" s="118">
        <v>2.25</v>
      </c>
      <c r="L385" s="106" t="s">
        <v>1896</v>
      </c>
      <c r="M385" s="106"/>
      <c r="N385" s="154">
        <f>MouserListTable[[#This Row],['# Initial]]*MouserListTable[[#This Row],[Price (USD)]]</f>
        <v>0</v>
      </c>
      <c r="O385" s="81" t="s">
        <v>2115</v>
      </c>
      <c r="P385" s="150">
        <f t="shared" si="5"/>
        <v>372</v>
      </c>
      <c r="Q385" s="78" t="s">
        <v>1884</v>
      </c>
      <c r="R385"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485-2270</v>
      </c>
      <c r="S385" s="133" t="str">
        <f>HYPERLINK("https://www.mouser.com/ProductDetail/" &amp;MouserListTable[[#This Row],[Mouser SKU]])</f>
        <v>https://www.mouser.com/ProductDetail/485-2270</v>
      </c>
      <c r="T385" s="94">
        <v>0</v>
      </c>
      <c r="U385" s="94">
        <v>0</v>
      </c>
      <c r="V385" s="94">
        <v>0</v>
      </c>
      <c r="W385" s="94">
        <f>MouserListTable[[#This Row],['#/Unit]]*FilterSpecs!$C$3+MouserListTable[[#This Row],[Extra]]</f>
        <v>0</v>
      </c>
      <c r="X385" s="94">
        <f>IF(MouserListTable[[#This Row],[Tag]]=FilterSpecs!$F$7,MouserListTable[[#This Row],['#/Unit]]*MouserListTable[[#This Row],[Price (USD)]],0)</f>
        <v>0</v>
      </c>
      <c r="Y385" s="94">
        <f>MouserListTable[[#This Row],[Tot '#]]*MouserListTable[[#This Row],[Price (USD)]]</f>
        <v>0</v>
      </c>
      <c r="Z385"/>
    </row>
    <row r="386" spans="1:26" s="104" customFormat="1" x14ac:dyDescent="0.25">
      <c r="A386" s="81" t="s">
        <v>890</v>
      </c>
      <c r="B386" s="81" t="s">
        <v>2004</v>
      </c>
      <c r="C386" s="78" t="s">
        <v>1892</v>
      </c>
      <c r="D386" s="81" t="str">
        <f>IF(MouserListTable[[#This Row],[Vendor]]=FilterSpecs!$A$8,MouserListTable[[#This Row],[Mouser SKU]], MouserListTable[[#This Row],[Supplier SKU]])</f>
        <v>485-2102</v>
      </c>
      <c r="E386" s="94">
        <f>MouserListTable[[#This Row],[Tot '#]]-MouserListTable[[#This Row],['# Initial]]</f>
        <v>0</v>
      </c>
      <c r="F386" s="94">
        <f>IF(AND(MouserListTable[[#This Row],[Tag]]&lt;&gt;FilterSpecs!$F$12, MouserListTable[[#This Row],[Tag]]&lt;&gt;FilterSpecs!$F$9), MouserListTable[[#This Row],['#/Unit]]*FilterSpecs!$B$3+MouserListTable[[#This Row],[Extra Initial]],0)</f>
        <v>10</v>
      </c>
      <c r="G386" s="78"/>
      <c r="H386" s="150"/>
      <c r="I386" s="81" t="s">
        <v>2118</v>
      </c>
      <c r="J386" s="106"/>
      <c r="K386" s="117">
        <v>0.95</v>
      </c>
      <c r="L386" s="81" t="s">
        <v>1897</v>
      </c>
      <c r="M386" s="81"/>
      <c r="N386" s="154">
        <f>MouserListTable[[#This Row],['# Initial]]*MouserListTable[[#This Row],[Price (USD)]]</f>
        <v>9.5</v>
      </c>
      <c r="O386" s="81" t="s">
        <v>2117</v>
      </c>
      <c r="P386" s="150">
        <f t="shared" si="5"/>
        <v>373</v>
      </c>
      <c r="Q386" s="78" t="s">
        <v>1884</v>
      </c>
      <c r="R386"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485-2102</v>
      </c>
      <c r="S386" s="133" t="str">
        <f>HYPERLINK("https://www.mouser.com/ProductDetail/" &amp;MouserListTable[[#This Row],[Mouser SKU]])</f>
        <v>https://www.mouser.com/ProductDetail/485-2102</v>
      </c>
      <c r="T386" s="94">
        <v>2</v>
      </c>
      <c r="U386" s="94">
        <v>0</v>
      </c>
      <c r="V386" s="94">
        <v>0</v>
      </c>
      <c r="W386" s="94">
        <f>MouserListTable[[#This Row],['#/Unit]]*FilterSpecs!$C$3+MouserListTable[[#This Row],[Extra]]</f>
        <v>10</v>
      </c>
      <c r="X386" s="94">
        <f>IF(MouserListTable[[#This Row],[Tag]]=FilterSpecs!$F$7,MouserListTable[[#This Row],['#/Unit]]*MouserListTable[[#This Row],[Price (USD)]],0)</f>
        <v>1.9</v>
      </c>
      <c r="Y386" s="94">
        <f>MouserListTable[[#This Row],[Tot '#]]*MouserListTable[[#This Row],[Price (USD)]]</f>
        <v>9.5</v>
      </c>
      <c r="Z386"/>
    </row>
    <row r="387" spans="1:26" s="104" customFormat="1" x14ac:dyDescent="0.25">
      <c r="A387" s="81" t="s">
        <v>890</v>
      </c>
      <c r="B387" s="81" t="s">
        <v>1870</v>
      </c>
      <c r="C387" s="78" t="s">
        <v>1892</v>
      </c>
      <c r="D387" s="81" t="str">
        <f>IF(MouserListTable[[#This Row],[Vendor]]=FilterSpecs!$A$8,MouserListTable[[#This Row],[Mouser SKU]], MouserListTable[[#This Row],[Supplier SKU]])</f>
        <v>474-PRT-09749</v>
      </c>
      <c r="E387" s="94">
        <f>MouserListTable[[#This Row],[Tot '#]]-MouserListTable[[#This Row],['# Initial]]</f>
        <v>0</v>
      </c>
      <c r="F387" s="94">
        <f>IF(AND(MouserListTable[[#This Row],[Tag]]&lt;&gt;FilterSpecs!$F$12, MouserListTable[[#This Row],[Tag]]&lt;&gt;FilterSpecs!$F$9), MouserListTable[[#This Row],['#/Unit]]*FilterSpecs!$B$3+MouserListTable[[#This Row],[Extra Initial]],0)</f>
        <v>10</v>
      </c>
      <c r="G387" s="78" t="s">
        <v>439</v>
      </c>
      <c r="H387" s="150" t="s">
        <v>440</v>
      </c>
      <c r="I387" s="81" t="s">
        <v>441</v>
      </c>
      <c r="J387" s="78">
        <v>1</v>
      </c>
      <c r="K387" s="117">
        <v>0.95</v>
      </c>
      <c r="L387" s="81" t="s">
        <v>1897</v>
      </c>
      <c r="M387" s="78"/>
      <c r="N387" s="154">
        <f>MouserListTable[[#This Row],['# Initial]]*MouserListTable[[#This Row],[Price (USD)]]</f>
        <v>9.5</v>
      </c>
      <c r="O387" s="81" t="s">
        <v>438</v>
      </c>
      <c r="P387" s="150">
        <f t="shared" si="5"/>
        <v>374</v>
      </c>
      <c r="Q387" s="78" t="s">
        <v>5</v>
      </c>
      <c r="R387"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474-PRT-09749</v>
      </c>
      <c r="S387" s="133" t="str">
        <f>HYPERLINK("https://www.mouser.com/ProductDetail/" &amp;MouserListTable[[#This Row],[Mouser SKU]])</f>
        <v>https://www.mouser.com/ProductDetail/474-PRT-09749</v>
      </c>
      <c r="T387" s="94">
        <v>2</v>
      </c>
      <c r="U387" s="94">
        <v>0</v>
      </c>
      <c r="V387" s="94">
        <v>0</v>
      </c>
      <c r="W387" s="94">
        <f>MouserListTable[[#This Row],['#/Unit]]*FilterSpecs!$C$3+MouserListTable[[#This Row],[Extra]]</f>
        <v>10</v>
      </c>
      <c r="X387" s="94">
        <f>IF(MouserListTable[[#This Row],[Tag]]=FilterSpecs!$F$7,MouserListTable[[#This Row],['#/Unit]]*MouserListTable[[#This Row],[Price (USD)]],0)</f>
        <v>1.9</v>
      </c>
      <c r="Y387" s="94">
        <f>MouserListTable[[#This Row],[Tot '#]]*MouserListTable[[#This Row],[Price (USD)]]</f>
        <v>9.5</v>
      </c>
      <c r="Z387"/>
    </row>
    <row r="388" spans="1:26" s="104" customFormat="1" x14ac:dyDescent="0.25">
      <c r="A388" s="81" t="s">
        <v>890</v>
      </c>
      <c r="B388" s="81" t="s">
        <v>1870</v>
      </c>
      <c r="C388" s="78" t="s">
        <v>1892</v>
      </c>
      <c r="D388" s="81" t="str">
        <f>IF(MouserListTable[[#This Row],[Vendor]]=FilterSpecs!$A$8,MouserListTable[[#This Row],[Mouser SKU]], MouserListTable[[#This Row],[Supplier SKU]])</f>
        <v>474-PRT-09750</v>
      </c>
      <c r="E388" s="94">
        <f>MouserListTable[[#This Row],[Tot '#]]-MouserListTable[[#This Row],['# Initial]]</f>
        <v>0</v>
      </c>
      <c r="F388" s="94">
        <f>IF(AND(MouserListTable[[#This Row],[Tag]]&lt;&gt;FilterSpecs!$F$12, MouserListTable[[#This Row],[Tag]]&lt;&gt;FilterSpecs!$F$9), MouserListTable[[#This Row],['#/Unit]]*FilterSpecs!$B$3+MouserListTable[[#This Row],[Extra Initial]],0)</f>
        <v>5</v>
      </c>
      <c r="G388" s="78" t="s">
        <v>1842</v>
      </c>
      <c r="H388" s="150" t="s">
        <v>1843</v>
      </c>
      <c r="I388" s="81" t="s">
        <v>1844</v>
      </c>
      <c r="J388" s="78">
        <v>1</v>
      </c>
      <c r="K388" s="117">
        <v>0.95</v>
      </c>
      <c r="L388" s="81" t="s">
        <v>1897</v>
      </c>
      <c r="M388" s="78"/>
      <c r="N388" s="154">
        <f>MouserListTable[[#This Row],['# Initial]]*MouserListTable[[#This Row],[Price (USD)]]</f>
        <v>4.75</v>
      </c>
      <c r="O388" s="81" t="s">
        <v>1841</v>
      </c>
      <c r="P388" s="150">
        <f t="shared" si="5"/>
        <v>375</v>
      </c>
      <c r="Q388" s="78" t="s">
        <v>5</v>
      </c>
      <c r="R388"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474-PRT-09750</v>
      </c>
      <c r="S388" s="133" t="str">
        <f>HYPERLINK("https://www.mouser.com/ProductDetail/" &amp;MouserListTable[[#This Row],[Mouser SKU]])</f>
        <v>https://www.mouser.com/ProductDetail/474-PRT-09750</v>
      </c>
      <c r="T388" s="94">
        <v>1</v>
      </c>
      <c r="U388" s="94">
        <v>0</v>
      </c>
      <c r="V388" s="94">
        <v>0</v>
      </c>
      <c r="W388" s="94">
        <f>MouserListTable[[#This Row],['#/Unit]]*FilterSpecs!$C$3+MouserListTable[[#This Row],[Extra]]</f>
        <v>5</v>
      </c>
      <c r="X388" s="94">
        <f>IF(MouserListTable[[#This Row],[Tag]]=FilterSpecs!$F$7,MouserListTable[[#This Row],['#/Unit]]*MouserListTable[[#This Row],[Price (USD)]],0)</f>
        <v>0.95</v>
      </c>
      <c r="Y388" s="94">
        <f>MouserListTable[[#This Row],[Tot '#]]*MouserListTable[[#This Row],[Price (USD)]]</f>
        <v>4.75</v>
      </c>
      <c r="Z388"/>
    </row>
    <row r="389" spans="1:26" s="104" customFormat="1" x14ac:dyDescent="0.25">
      <c r="A389" s="106" t="s">
        <v>890</v>
      </c>
      <c r="B389" s="106" t="s">
        <v>1870</v>
      </c>
      <c r="C389" s="78" t="s">
        <v>1892</v>
      </c>
      <c r="D389" s="81" t="str">
        <f>IF(MouserListTable[[#This Row],[Vendor]]=FilterSpecs!$A$8,MouserListTable[[#This Row],[Mouser SKU]], MouserListTable[[#This Row],[Supplier SKU]])</f>
        <v>474-PRT-10501</v>
      </c>
      <c r="E389" s="94">
        <f>MouserListTable[[#This Row],[Tot '#]]-MouserListTable[[#This Row],['# Initial]]</f>
        <v>0</v>
      </c>
      <c r="F389" s="94">
        <f>IF(AND(MouserListTable[[#This Row],[Tag]]&lt;&gt;FilterSpecs!$F$12, MouserListTable[[#This Row],[Tag]]&lt;&gt;FilterSpecs!$F$9), MouserListTable[[#This Row],['#/Unit]]*FilterSpecs!$B$3+MouserListTable[[#This Row],[Extra Initial]],0)</f>
        <v>0</v>
      </c>
      <c r="G389" s="78" t="s">
        <v>1349</v>
      </c>
      <c r="H389" s="150" t="s">
        <v>1350</v>
      </c>
      <c r="I389" s="81" t="s">
        <v>1351</v>
      </c>
      <c r="J389" s="78"/>
      <c r="K389" s="117">
        <v>0.5</v>
      </c>
      <c r="L389" s="81" t="s">
        <v>1896</v>
      </c>
      <c r="M389" s="78"/>
      <c r="N389" s="154">
        <f>MouserListTable[[#This Row],['# Initial]]*MouserListTable[[#This Row],[Price (USD)]]</f>
        <v>0</v>
      </c>
      <c r="O389" s="81" t="s">
        <v>1348</v>
      </c>
      <c r="P389" s="150">
        <f t="shared" si="5"/>
        <v>376</v>
      </c>
      <c r="Q389" s="78" t="s">
        <v>5</v>
      </c>
      <c r="R389"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474-PRT-10501</v>
      </c>
      <c r="S389" s="133" t="str">
        <f>HYPERLINK("https://www.mouser.com/ProductDetail/" &amp;MouserListTable[[#This Row],[Mouser SKU]])</f>
        <v>https://www.mouser.com/ProductDetail/474-PRT-10501</v>
      </c>
      <c r="T389" s="94">
        <v>0</v>
      </c>
      <c r="U389" s="94">
        <v>0</v>
      </c>
      <c r="V389" s="94">
        <v>0</v>
      </c>
      <c r="W389" s="94">
        <f>MouserListTable[[#This Row],['#/Unit]]*FilterSpecs!$C$3+MouserListTable[[#This Row],[Extra]]</f>
        <v>0</v>
      </c>
      <c r="X389" s="94">
        <f>IF(MouserListTable[[#This Row],[Tag]]=FilterSpecs!$F$7,MouserListTable[[#This Row],['#/Unit]]*MouserListTable[[#This Row],[Price (USD)]],0)</f>
        <v>0</v>
      </c>
      <c r="Y389" s="94">
        <f>MouserListTable[[#This Row],[Tot '#]]*MouserListTable[[#This Row],[Price (USD)]]</f>
        <v>0</v>
      </c>
      <c r="Z389"/>
    </row>
    <row r="390" spans="1:26" s="104" customFormat="1" x14ac:dyDescent="0.25">
      <c r="A390" s="106" t="s">
        <v>890</v>
      </c>
      <c r="B390" s="106" t="s">
        <v>1870</v>
      </c>
      <c r="C390" s="78" t="s">
        <v>1892</v>
      </c>
      <c r="D390" s="81" t="str">
        <f>IF(MouserListTable[[#This Row],[Vendor]]=FilterSpecs!$A$8,MouserListTable[[#This Row],[Mouser SKU]], MouserListTable[[#This Row],[Supplier SKU]])</f>
        <v>474-PRT-08612</v>
      </c>
      <c r="E390" s="94">
        <f>MouserListTable[[#This Row],[Tot '#]]-MouserListTable[[#This Row],['# Initial]]</f>
        <v>0</v>
      </c>
      <c r="F390" s="94">
        <f>IF(AND(MouserListTable[[#This Row],[Tag]]&lt;&gt;FilterSpecs!$F$12, MouserListTable[[#This Row],[Tag]]&lt;&gt;FilterSpecs!$F$9), MouserListTable[[#This Row],['#/Unit]]*FilterSpecs!$B$3+MouserListTable[[#This Row],[Extra Initial]],0)</f>
        <v>0</v>
      </c>
      <c r="G390" s="78" t="s">
        <v>1746</v>
      </c>
      <c r="H390" s="150" t="s">
        <v>1747</v>
      </c>
      <c r="I390" s="81" t="s">
        <v>1748</v>
      </c>
      <c r="J390" s="78">
        <v>1</v>
      </c>
      <c r="K390" s="117">
        <v>0.95</v>
      </c>
      <c r="L390" s="81" t="s">
        <v>1896</v>
      </c>
      <c r="M390" s="78"/>
      <c r="N390" s="154">
        <f>MouserListTable[[#This Row],['# Initial]]*MouserListTable[[#This Row],[Price (USD)]]</f>
        <v>0</v>
      </c>
      <c r="O390" s="81" t="s">
        <v>1745</v>
      </c>
      <c r="P390" s="150">
        <f t="shared" si="5"/>
        <v>377</v>
      </c>
      <c r="Q390" s="78" t="s">
        <v>5</v>
      </c>
      <c r="R390"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474-PRT-08612</v>
      </c>
      <c r="S390" s="133" t="str">
        <f>HYPERLINK("https://www.mouser.com/ProductDetail/" &amp;MouserListTable[[#This Row],[Mouser SKU]])</f>
        <v>https://www.mouser.com/ProductDetail/474-PRT-08612</v>
      </c>
      <c r="T390" s="94">
        <v>0</v>
      </c>
      <c r="U390" s="94">
        <v>0</v>
      </c>
      <c r="V390" s="94">
        <v>0</v>
      </c>
      <c r="W390" s="94">
        <f>MouserListTable[[#This Row],['#/Unit]]*FilterSpecs!$C$3+MouserListTable[[#This Row],[Extra]]</f>
        <v>0</v>
      </c>
      <c r="X390" s="94">
        <f>IF(MouserListTable[[#This Row],[Tag]]=FilterSpecs!$F$7,MouserListTable[[#This Row],['#/Unit]]*MouserListTable[[#This Row],[Price (USD)]],0)</f>
        <v>0</v>
      </c>
      <c r="Y390" s="94">
        <f>MouserListTable[[#This Row],[Tot '#]]*MouserListTable[[#This Row],[Price (USD)]]</f>
        <v>0</v>
      </c>
      <c r="Z390"/>
    </row>
    <row r="391" spans="1:26" s="104" customFormat="1" x14ac:dyDescent="0.25">
      <c r="A391" s="106" t="s">
        <v>890</v>
      </c>
      <c r="B391" s="106" t="s">
        <v>1870</v>
      </c>
      <c r="C391" s="78" t="s">
        <v>1892</v>
      </c>
      <c r="D391" s="81" t="str">
        <f>IF(MouserListTable[[#This Row],[Vendor]]=FilterSpecs!$A$8,MouserListTable[[#This Row],[Mouser SKU]], MouserListTable[[#This Row],[Supplier SKU]])</f>
        <v>474-PRT-08613</v>
      </c>
      <c r="E391" s="94">
        <f>MouserListTable[[#This Row],[Tot '#]]-MouserListTable[[#This Row],['# Initial]]</f>
        <v>0</v>
      </c>
      <c r="F391" s="94">
        <f>IF(AND(MouserListTable[[#This Row],[Tag]]&lt;&gt;FilterSpecs!$F$12, MouserListTable[[#This Row],[Tag]]&lt;&gt;FilterSpecs!$F$9), MouserListTable[[#This Row],['#/Unit]]*FilterSpecs!$B$3+MouserListTable[[#This Row],[Extra Initial]],0)</f>
        <v>0</v>
      </c>
      <c r="G391" s="78" t="s">
        <v>1750</v>
      </c>
      <c r="H391" s="150" t="s">
        <v>1751</v>
      </c>
      <c r="I391" s="81" t="s">
        <v>1752</v>
      </c>
      <c r="J391" s="78">
        <v>1</v>
      </c>
      <c r="K391" s="117">
        <v>0.95</v>
      </c>
      <c r="L391" s="81" t="s">
        <v>1896</v>
      </c>
      <c r="M391" s="78"/>
      <c r="N391" s="154">
        <f>MouserListTable[[#This Row],['# Initial]]*MouserListTable[[#This Row],[Price (USD)]]</f>
        <v>0</v>
      </c>
      <c r="O391" s="81" t="s">
        <v>1749</v>
      </c>
      <c r="P391" s="150">
        <f t="shared" si="5"/>
        <v>378</v>
      </c>
      <c r="Q391" s="78" t="s">
        <v>5</v>
      </c>
      <c r="R391"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474-PRT-08613</v>
      </c>
      <c r="S391" s="133" t="str">
        <f>HYPERLINK("https://www.mouser.com/ProductDetail/" &amp;MouserListTable[[#This Row],[Mouser SKU]])</f>
        <v>https://www.mouser.com/ProductDetail/474-PRT-08613</v>
      </c>
      <c r="T391" s="94">
        <v>0</v>
      </c>
      <c r="U391" s="94">
        <v>0</v>
      </c>
      <c r="V391" s="94">
        <v>0</v>
      </c>
      <c r="W391" s="94">
        <f>MouserListTable[[#This Row],['#/Unit]]*FilterSpecs!$C$3+MouserListTable[[#This Row],[Extra]]</f>
        <v>0</v>
      </c>
      <c r="X391" s="94">
        <f>IF(MouserListTable[[#This Row],[Tag]]=FilterSpecs!$F$7,MouserListTable[[#This Row],['#/Unit]]*MouserListTable[[#This Row],[Price (USD)]],0)</f>
        <v>0</v>
      </c>
      <c r="Y391" s="94">
        <f>MouserListTable[[#This Row],[Tot '#]]*MouserListTable[[#This Row],[Price (USD)]]</f>
        <v>0</v>
      </c>
      <c r="Z391"/>
    </row>
    <row r="392" spans="1:26" s="104" customFormat="1" x14ac:dyDescent="0.25">
      <c r="A392" s="81" t="s">
        <v>890</v>
      </c>
      <c r="B392" s="81" t="s">
        <v>1870</v>
      </c>
      <c r="C392" s="78" t="s">
        <v>1892</v>
      </c>
      <c r="D392" s="81" t="str">
        <f>IF(MouserListTable[[#This Row],[Vendor]]=FilterSpecs!$A$8,MouserListTable[[#This Row],[Mouser SKU]], MouserListTable[[#This Row],[Supplier SKU]])</f>
        <v>485-1862</v>
      </c>
      <c r="E392" s="94">
        <f>MouserListTable[[#This Row],[Tot '#]]-MouserListTable[[#This Row],['# Initial]]</f>
        <v>0</v>
      </c>
      <c r="F392" s="94">
        <f>IF(AND(MouserListTable[[#This Row],[Tag]]&lt;&gt;FilterSpecs!$F$12, MouserListTable[[#This Row],[Tag]]&lt;&gt;FilterSpecs!$F$9), MouserListTable[[#This Row],['#/Unit]]*FilterSpecs!$B$3+MouserListTable[[#This Row],[Extra Initial]],0)</f>
        <v>0</v>
      </c>
      <c r="G392" s="78"/>
      <c r="H392" s="150"/>
      <c r="I392" s="106" t="s">
        <v>2120</v>
      </c>
      <c r="J392" s="106"/>
      <c r="K392" s="118">
        <v>1.5</v>
      </c>
      <c r="L392" s="106" t="s">
        <v>1896</v>
      </c>
      <c r="M392" s="106"/>
      <c r="N392" s="154">
        <f>MouserListTable[[#This Row],['# Initial]]*MouserListTable[[#This Row],[Price (USD)]]</f>
        <v>0</v>
      </c>
      <c r="O392" s="81" t="s">
        <v>2119</v>
      </c>
      <c r="P392" s="150">
        <f t="shared" si="5"/>
        <v>379</v>
      </c>
      <c r="Q392" s="78" t="s">
        <v>1884</v>
      </c>
      <c r="R392"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485-1862</v>
      </c>
      <c r="S392" s="133" t="str">
        <f>HYPERLINK("https://www.mouser.com/ProductDetail/" &amp;MouserListTable[[#This Row],[Mouser SKU]])</f>
        <v>https://www.mouser.com/ProductDetail/485-1862</v>
      </c>
      <c r="T392" s="94">
        <v>0</v>
      </c>
      <c r="U392" s="94">
        <v>0</v>
      </c>
      <c r="V392" s="94">
        <v>0</v>
      </c>
      <c r="W392" s="94">
        <f>MouserListTable[[#This Row],['#/Unit]]*FilterSpecs!$C$3+MouserListTable[[#This Row],[Extra]]</f>
        <v>0</v>
      </c>
      <c r="X392" s="94">
        <f>IF(MouserListTable[[#This Row],[Tag]]=FilterSpecs!$F$7,MouserListTable[[#This Row],['#/Unit]]*MouserListTable[[#This Row],[Price (USD)]],0)</f>
        <v>0</v>
      </c>
      <c r="Y392" s="94">
        <f>MouserListTable[[#This Row],[Tot '#]]*MouserListTable[[#This Row],[Price (USD)]]</f>
        <v>0</v>
      </c>
      <c r="Z392"/>
    </row>
    <row r="393" spans="1:26" s="104" customFormat="1" x14ac:dyDescent="0.25">
      <c r="A393" s="81" t="s">
        <v>890</v>
      </c>
      <c r="B393" s="81" t="s">
        <v>1870</v>
      </c>
      <c r="C393" s="78" t="s">
        <v>1892</v>
      </c>
      <c r="D393" s="81" t="str">
        <f>IF(MouserListTable[[#This Row],[Vendor]]=FilterSpecs!$A$8,MouserListTable[[#This Row],[Mouser SKU]], MouserListTable[[#This Row],[Supplier SKU]])</f>
        <v>485-1769</v>
      </c>
      <c r="E393" s="94">
        <f>MouserListTable[[#This Row],[Tot '#]]-MouserListTable[[#This Row],['# Initial]]</f>
        <v>0</v>
      </c>
      <c r="F393" s="94">
        <f>IF(AND(MouserListTable[[#This Row],[Tag]]&lt;&gt;FilterSpecs!$F$12, MouserListTable[[#This Row],[Tag]]&lt;&gt;FilterSpecs!$F$9), MouserListTable[[#This Row],['#/Unit]]*FilterSpecs!$B$3+MouserListTable[[#This Row],[Extra Initial]],0)</f>
        <v>0</v>
      </c>
      <c r="G393" s="78"/>
      <c r="H393" s="150"/>
      <c r="I393" s="106" t="s">
        <v>2122</v>
      </c>
      <c r="J393" s="106"/>
      <c r="K393" s="118">
        <v>0.75</v>
      </c>
      <c r="L393" s="106" t="s">
        <v>1896</v>
      </c>
      <c r="M393" s="106"/>
      <c r="N393" s="154">
        <f>MouserListTable[[#This Row],['# Initial]]*MouserListTable[[#This Row],[Price (USD)]]</f>
        <v>0</v>
      </c>
      <c r="O393" s="81" t="s">
        <v>2121</v>
      </c>
      <c r="P393" s="150">
        <f t="shared" si="5"/>
        <v>380</v>
      </c>
      <c r="Q393" s="78" t="s">
        <v>1884</v>
      </c>
      <c r="R393"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485-1769</v>
      </c>
      <c r="S393" s="133" t="str">
        <f>HYPERLINK("https://www.mouser.com/ProductDetail/" &amp;MouserListTable[[#This Row],[Mouser SKU]])</f>
        <v>https://www.mouser.com/ProductDetail/485-1769</v>
      </c>
      <c r="T393" s="94">
        <v>0</v>
      </c>
      <c r="U393" s="94">
        <v>0</v>
      </c>
      <c r="V393" s="94">
        <v>0</v>
      </c>
      <c r="W393" s="94">
        <f>MouserListTable[[#This Row],['#/Unit]]*FilterSpecs!$C$3+MouserListTable[[#This Row],[Extra]]</f>
        <v>0</v>
      </c>
      <c r="X393" s="94">
        <f>IF(MouserListTable[[#This Row],[Tag]]=FilterSpecs!$F$7,MouserListTable[[#This Row],['#/Unit]]*MouserListTable[[#This Row],[Price (USD)]],0)</f>
        <v>0</v>
      </c>
      <c r="Y393" s="94">
        <f>MouserListTable[[#This Row],[Tot '#]]*MouserListTable[[#This Row],[Price (USD)]]</f>
        <v>0</v>
      </c>
      <c r="Z393"/>
    </row>
    <row r="394" spans="1:26" s="104" customFormat="1" x14ac:dyDescent="0.25">
      <c r="A394" s="81" t="s">
        <v>890</v>
      </c>
      <c r="B394" s="81" t="s">
        <v>1870</v>
      </c>
      <c r="C394" s="78" t="s">
        <v>1892</v>
      </c>
      <c r="D394" s="81" t="str">
        <f>IF(MouserListTable[[#This Row],[Vendor]]=FilterSpecs!$A$8,MouserListTable[[#This Row],[Mouser SKU]], MouserListTable[[#This Row],[Supplier SKU]])</f>
        <v>485-1863</v>
      </c>
      <c r="E394" s="94">
        <f>MouserListTable[[#This Row],[Tot '#]]-MouserListTable[[#This Row],['# Initial]]</f>
        <v>0</v>
      </c>
      <c r="F394" s="94">
        <f>IF(AND(MouserListTable[[#This Row],[Tag]]&lt;&gt;FilterSpecs!$F$12, MouserListTable[[#This Row],[Tag]]&lt;&gt;FilterSpecs!$F$9), MouserListTable[[#This Row],['#/Unit]]*FilterSpecs!$B$3+MouserListTable[[#This Row],[Extra Initial]],0)</f>
        <v>0</v>
      </c>
      <c r="G394" s="78"/>
      <c r="H394" s="150"/>
      <c r="I394" s="106" t="s">
        <v>2124</v>
      </c>
      <c r="J394" s="106"/>
      <c r="K394" s="118">
        <v>2.5</v>
      </c>
      <c r="L394" s="106" t="s">
        <v>1896</v>
      </c>
      <c r="M394" s="106"/>
      <c r="N394" s="154">
        <f>MouserListTable[[#This Row],['# Initial]]*MouserListTable[[#This Row],[Price (USD)]]</f>
        <v>0</v>
      </c>
      <c r="O394" s="81" t="s">
        <v>2123</v>
      </c>
      <c r="P394" s="150">
        <f t="shared" si="5"/>
        <v>381</v>
      </c>
      <c r="Q394" s="78" t="s">
        <v>1884</v>
      </c>
      <c r="R394"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485-1863</v>
      </c>
      <c r="S394" s="133" t="str">
        <f>HYPERLINK("https://www.mouser.com/ProductDetail/" &amp;MouserListTable[[#This Row],[Mouser SKU]])</f>
        <v>https://www.mouser.com/ProductDetail/485-1863</v>
      </c>
      <c r="T394" s="94">
        <v>0</v>
      </c>
      <c r="U394" s="94">
        <v>0</v>
      </c>
      <c r="V394" s="94">
        <v>0</v>
      </c>
      <c r="W394" s="94">
        <f>MouserListTable[[#This Row],['#/Unit]]*FilterSpecs!$C$3+MouserListTable[[#This Row],[Extra]]</f>
        <v>0</v>
      </c>
      <c r="X394" s="94">
        <f>IF(MouserListTable[[#This Row],[Tag]]=FilterSpecs!$F$7,MouserListTable[[#This Row],['#/Unit]]*MouserListTable[[#This Row],[Price (USD)]],0)</f>
        <v>0</v>
      </c>
      <c r="Y394" s="94">
        <f>MouserListTable[[#This Row],[Tot '#]]*MouserListTable[[#This Row],[Price (USD)]]</f>
        <v>0</v>
      </c>
      <c r="Z394"/>
    </row>
    <row r="395" spans="1:26" s="104" customFormat="1" x14ac:dyDescent="0.25">
      <c r="A395" s="106" t="s">
        <v>890</v>
      </c>
      <c r="B395" s="106" t="s">
        <v>1872</v>
      </c>
      <c r="C395" s="78" t="s">
        <v>1892</v>
      </c>
      <c r="D395" s="81" t="str">
        <f>IF(MouserListTable[[#This Row],[Vendor]]=FilterSpecs!$A$8,MouserListTable[[#This Row],[Mouser SKU]], MouserListTable[[#This Row],[Supplier SKU]])</f>
        <v>474-PRT-08233</v>
      </c>
      <c r="E395" s="94">
        <f>MouserListTable[[#This Row],[Tot '#]]-MouserListTable[[#This Row],['# Initial]]</f>
        <v>0</v>
      </c>
      <c r="F395" s="94">
        <f>IF(AND(MouserListTable[[#This Row],[Tag]]&lt;&gt;FilterSpecs!$F$12, MouserListTable[[#This Row],[Tag]]&lt;&gt;FilterSpecs!$F$9), MouserListTable[[#This Row],['#/Unit]]*FilterSpecs!$B$3+MouserListTable[[#This Row],[Extra Initial]],0)</f>
        <v>0</v>
      </c>
      <c r="G395" s="78" t="s">
        <v>1353</v>
      </c>
      <c r="H395" s="150" t="s">
        <v>1354</v>
      </c>
      <c r="I395" s="81" t="s">
        <v>1355</v>
      </c>
      <c r="J395" s="78">
        <v>1</v>
      </c>
      <c r="K395" s="117">
        <v>0.45</v>
      </c>
      <c r="L395" s="81" t="s">
        <v>1896</v>
      </c>
      <c r="M395" s="78"/>
      <c r="N395" s="154">
        <f>MouserListTable[[#This Row],['# Initial]]*MouserListTable[[#This Row],[Price (USD)]]</f>
        <v>0</v>
      </c>
      <c r="O395" s="81" t="s">
        <v>1352</v>
      </c>
      <c r="P395" s="150">
        <f t="shared" si="5"/>
        <v>382</v>
      </c>
      <c r="Q395" s="78" t="s">
        <v>5</v>
      </c>
      <c r="R395"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474-PRT-08233</v>
      </c>
      <c r="S395" s="133" t="str">
        <f>HYPERLINK("https://www.mouser.com/ProductDetail/" &amp;MouserListTable[[#This Row],[Mouser SKU]])</f>
        <v>https://www.mouser.com/ProductDetail/474-PRT-08233</v>
      </c>
      <c r="T395" s="94">
        <v>0</v>
      </c>
      <c r="U395" s="94">
        <v>0</v>
      </c>
      <c r="V395" s="94">
        <v>0</v>
      </c>
      <c r="W395" s="94">
        <f>MouserListTable[[#This Row],['#/Unit]]*FilterSpecs!$C$3+MouserListTable[[#This Row],[Extra]]</f>
        <v>0</v>
      </c>
      <c r="X395" s="94">
        <f>IF(MouserListTable[[#This Row],[Tag]]=FilterSpecs!$F$7,MouserListTable[[#This Row],['#/Unit]]*MouserListTable[[#This Row],[Price (USD)]],0)</f>
        <v>0</v>
      </c>
      <c r="Y395" s="94">
        <f>MouserListTable[[#This Row],[Tot '#]]*MouserListTable[[#This Row],[Price (USD)]]</f>
        <v>0</v>
      </c>
      <c r="Z395"/>
    </row>
    <row r="396" spans="1:26" s="104" customFormat="1" x14ac:dyDescent="0.25">
      <c r="A396" s="106" t="s">
        <v>890</v>
      </c>
      <c r="B396" s="106" t="s">
        <v>1872</v>
      </c>
      <c r="C396" s="78" t="s">
        <v>1892</v>
      </c>
      <c r="D396" s="81" t="str">
        <f>IF(MouserListTable[[#This Row],[Vendor]]=FilterSpecs!$A$8,MouserListTable[[#This Row],[Mouser SKU]], MouserListTable[[#This Row],[Supplier SKU]])</f>
        <v>474-PRT-08095</v>
      </c>
      <c r="E396" s="94">
        <f>MouserListTable[[#This Row],[Tot '#]]-MouserListTable[[#This Row],['# Initial]]</f>
        <v>0</v>
      </c>
      <c r="F396" s="94">
        <f>IF(AND(MouserListTable[[#This Row],[Tag]]&lt;&gt;FilterSpecs!$F$12, MouserListTable[[#This Row],[Tag]]&lt;&gt;FilterSpecs!$F$9), MouserListTable[[#This Row],['#/Unit]]*FilterSpecs!$B$3+MouserListTable[[#This Row],[Extra Initial]],0)</f>
        <v>0</v>
      </c>
      <c r="G396" s="78" t="s">
        <v>1361</v>
      </c>
      <c r="H396" s="150" t="s">
        <v>1362</v>
      </c>
      <c r="I396" s="81" t="s">
        <v>1363</v>
      </c>
      <c r="J396" s="78">
        <v>1</v>
      </c>
      <c r="K396" s="117">
        <v>0.45</v>
      </c>
      <c r="L396" s="81" t="s">
        <v>1896</v>
      </c>
      <c r="M396" s="78"/>
      <c r="N396" s="154">
        <f>MouserListTable[[#This Row],['# Initial]]*MouserListTable[[#This Row],[Price (USD)]]</f>
        <v>0</v>
      </c>
      <c r="O396" s="81" t="s">
        <v>1360</v>
      </c>
      <c r="P396" s="150">
        <f t="shared" si="5"/>
        <v>383</v>
      </c>
      <c r="Q396" s="78" t="s">
        <v>5</v>
      </c>
      <c r="R396"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474-PRT-08095</v>
      </c>
      <c r="S396" s="133" t="str">
        <f>HYPERLINK("https://www.mouser.com/ProductDetail/" &amp;MouserListTable[[#This Row],[Mouser SKU]])</f>
        <v>https://www.mouser.com/ProductDetail/474-PRT-08095</v>
      </c>
      <c r="T396" s="94">
        <v>0</v>
      </c>
      <c r="U396" s="94">
        <v>0</v>
      </c>
      <c r="V396" s="94">
        <v>0</v>
      </c>
      <c r="W396" s="94">
        <f>MouserListTable[[#This Row],['#/Unit]]*FilterSpecs!$C$3+MouserListTable[[#This Row],[Extra]]</f>
        <v>0</v>
      </c>
      <c r="X396" s="94">
        <f>IF(MouserListTable[[#This Row],[Tag]]=FilterSpecs!$F$7,MouserListTable[[#This Row],['#/Unit]]*MouserListTable[[#This Row],[Price (USD)]],0)</f>
        <v>0</v>
      </c>
      <c r="Y396" s="94">
        <f>MouserListTable[[#This Row],[Tot '#]]*MouserListTable[[#This Row],[Price (USD)]]</f>
        <v>0</v>
      </c>
      <c r="Z396"/>
    </row>
    <row r="397" spans="1:26" s="104" customFormat="1" x14ac:dyDescent="0.25">
      <c r="A397" s="81" t="s">
        <v>890</v>
      </c>
      <c r="B397" s="81" t="s">
        <v>1872</v>
      </c>
      <c r="C397" s="78" t="s">
        <v>1892</v>
      </c>
      <c r="D397" s="81" t="str">
        <f>IF(MouserListTable[[#This Row],[Vendor]]=FilterSpecs!$A$8,MouserListTable[[#This Row],[Mouser SKU]], MouserListTable[[#This Row],[Supplier SKU]])</f>
        <v>474-PRT-08232</v>
      </c>
      <c r="E397" s="94">
        <f>MouserListTable[[#This Row],[Tot '#]]-MouserListTable[[#This Row],['# Initial]]</f>
        <v>0</v>
      </c>
      <c r="F397" s="94">
        <f>IF(AND(MouserListTable[[#This Row],[Tag]]&lt;&gt;FilterSpecs!$F$12, MouserListTable[[#This Row],[Tag]]&lt;&gt;FilterSpecs!$F$9), MouserListTable[[#This Row],['#/Unit]]*FilterSpecs!$B$3+MouserListTable[[#This Row],[Extra Initial]],0)</f>
        <v>16</v>
      </c>
      <c r="G397" s="78" t="s">
        <v>1369</v>
      </c>
      <c r="H397" s="150" t="s">
        <v>1370</v>
      </c>
      <c r="I397" s="81" t="s">
        <v>1371</v>
      </c>
      <c r="J397" s="78">
        <v>1</v>
      </c>
      <c r="K397" s="117">
        <v>0.45</v>
      </c>
      <c r="L397" s="81" t="s">
        <v>1897</v>
      </c>
      <c r="M397" s="78"/>
      <c r="N397" s="154">
        <f>MouserListTable[[#This Row],['# Initial]]*MouserListTable[[#This Row],[Price (USD)]]</f>
        <v>7.2</v>
      </c>
      <c r="O397" s="81" t="s">
        <v>1368</v>
      </c>
      <c r="P397" s="150">
        <f t="shared" si="5"/>
        <v>384</v>
      </c>
      <c r="Q397" s="78" t="s">
        <v>5</v>
      </c>
      <c r="R397"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474-PRT-08232</v>
      </c>
      <c r="S397" s="133" t="str">
        <f>HYPERLINK("https://www.mouser.com/ProductDetail/" &amp;MouserListTable[[#This Row],[Mouser SKU]])</f>
        <v>https://www.mouser.com/ProductDetail/474-PRT-08232</v>
      </c>
      <c r="T397" s="94">
        <v>3</v>
      </c>
      <c r="U397" s="94">
        <v>1</v>
      </c>
      <c r="V397" s="94">
        <v>1</v>
      </c>
      <c r="W397" s="94">
        <f>MouserListTable[[#This Row],['#/Unit]]*FilterSpecs!$C$3+MouserListTable[[#This Row],[Extra]]</f>
        <v>16</v>
      </c>
      <c r="X397" s="94">
        <f>IF(MouserListTable[[#This Row],[Tag]]=FilterSpecs!$F$7,MouserListTable[[#This Row],['#/Unit]]*MouserListTable[[#This Row],[Price (USD)]],0)</f>
        <v>1.35</v>
      </c>
      <c r="Y397" s="94">
        <f>MouserListTable[[#This Row],[Tot '#]]*MouserListTable[[#This Row],[Price (USD)]]</f>
        <v>7.2</v>
      </c>
      <c r="Z397"/>
    </row>
    <row r="398" spans="1:26" s="104" customFormat="1" x14ac:dyDescent="0.25">
      <c r="A398" s="81" t="s">
        <v>890</v>
      </c>
      <c r="B398" s="81" t="s">
        <v>1872</v>
      </c>
      <c r="C398" s="78" t="s">
        <v>1892</v>
      </c>
      <c r="D398" s="81" t="str">
        <f>IF(MouserListTable[[#This Row],[Vendor]]=FilterSpecs!$A$8,MouserListTable[[#This Row],[Mouser SKU]], MouserListTable[[#This Row],[Supplier SKU]])</f>
        <v>474-PRT-08096</v>
      </c>
      <c r="E398" s="94">
        <f>MouserListTable[[#This Row],[Tot '#]]-MouserListTable[[#This Row],['# Initial]]</f>
        <v>0</v>
      </c>
      <c r="F398" s="94">
        <f>IF(AND(MouserListTable[[#This Row],[Tag]]&lt;&gt;FilterSpecs!$F$12, MouserListTable[[#This Row],[Tag]]&lt;&gt;FilterSpecs!$F$9), MouserListTable[[#This Row],['#/Unit]]*FilterSpecs!$B$3+MouserListTable[[#This Row],[Extra Initial]],0)</f>
        <v>16</v>
      </c>
      <c r="G398" s="78" t="s">
        <v>1373</v>
      </c>
      <c r="H398" s="150" t="s">
        <v>1374</v>
      </c>
      <c r="I398" s="81" t="s">
        <v>1375</v>
      </c>
      <c r="J398" s="78">
        <v>1</v>
      </c>
      <c r="K398" s="117">
        <v>0.45</v>
      </c>
      <c r="L398" s="81" t="s">
        <v>1897</v>
      </c>
      <c r="M398" s="78"/>
      <c r="N398" s="154">
        <f>MouserListTable[[#This Row],['# Initial]]*MouserListTable[[#This Row],[Price (USD)]]</f>
        <v>7.2</v>
      </c>
      <c r="O398" s="81" t="s">
        <v>1372</v>
      </c>
      <c r="P398" s="150">
        <f t="shared" si="5"/>
        <v>385</v>
      </c>
      <c r="Q398" s="78" t="s">
        <v>5</v>
      </c>
      <c r="R398"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474-PRT-08096</v>
      </c>
      <c r="S398" s="133" t="str">
        <f>HYPERLINK("https://www.mouser.com/ProductDetail/" &amp;MouserListTable[[#This Row],[Mouser SKU]])</f>
        <v>https://www.mouser.com/ProductDetail/474-PRT-08096</v>
      </c>
      <c r="T398" s="94">
        <v>3</v>
      </c>
      <c r="U398" s="94">
        <v>1</v>
      </c>
      <c r="V398" s="94">
        <v>1</v>
      </c>
      <c r="W398" s="94">
        <f>MouserListTable[[#This Row],['#/Unit]]*FilterSpecs!$C$3+MouserListTable[[#This Row],[Extra]]</f>
        <v>16</v>
      </c>
      <c r="X398" s="94">
        <f>IF(MouserListTable[[#This Row],[Tag]]=FilterSpecs!$F$7,MouserListTable[[#This Row],['#/Unit]]*MouserListTable[[#This Row],[Price (USD)]],0)</f>
        <v>1.35</v>
      </c>
      <c r="Y398" s="94">
        <f>MouserListTable[[#This Row],[Tot '#]]*MouserListTable[[#This Row],[Price (USD)]]</f>
        <v>7.2</v>
      </c>
      <c r="Z398"/>
    </row>
    <row r="399" spans="1:26" s="104" customFormat="1" x14ac:dyDescent="0.25">
      <c r="A399" s="81" t="s">
        <v>890</v>
      </c>
      <c r="B399" s="81" t="s">
        <v>1872</v>
      </c>
      <c r="C399" s="78" t="s">
        <v>1892</v>
      </c>
      <c r="D399" s="81" t="str">
        <f>IF(MouserListTable[[#This Row],[Vendor]]=FilterSpecs!$A$8,MouserListTable[[#This Row],[Mouser SKU]], MouserListTable[[#This Row],[Supplier SKU]])</f>
        <v>474-PRT-08231</v>
      </c>
      <c r="E399" s="94">
        <f>MouserListTable[[#This Row],[Tot '#]]-MouserListTable[[#This Row],['# Initial]]</f>
        <v>0</v>
      </c>
      <c r="F399" s="94">
        <f>IF(AND(MouserListTable[[#This Row],[Tag]]&lt;&gt;FilterSpecs!$F$12, MouserListTable[[#This Row],[Tag]]&lt;&gt;FilterSpecs!$F$9), MouserListTable[[#This Row],['#/Unit]]*FilterSpecs!$B$3+MouserListTable[[#This Row],[Extra Initial]],0)</f>
        <v>16</v>
      </c>
      <c r="G399" s="78" t="s">
        <v>1357</v>
      </c>
      <c r="H399" s="150" t="s">
        <v>1358</v>
      </c>
      <c r="I399" s="81" t="s">
        <v>1359</v>
      </c>
      <c r="J399" s="78">
        <v>1</v>
      </c>
      <c r="K399" s="117">
        <v>0.45</v>
      </c>
      <c r="L399" s="81" t="s">
        <v>1897</v>
      </c>
      <c r="M399" s="78"/>
      <c r="N399" s="154">
        <f>MouserListTable[[#This Row],['# Initial]]*MouserListTable[[#This Row],[Price (USD)]]</f>
        <v>7.2</v>
      </c>
      <c r="O399" s="81" t="s">
        <v>1356</v>
      </c>
      <c r="P399" s="150">
        <f t="shared" si="5"/>
        <v>386</v>
      </c>
      <c r="Q399" s="78" t="s">
        <v>5</v>
      </c>
      <c r="R399"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474-PRT-08231</v>
      </c>
      <c r="S399" s="133" t="str">
        <f>HYPERLINK("https://www.mouser.com/ProductDetail/" &amp;MouserListTable[[#This Row],[Mouser SKU]])</f>
        <v>https://www.mouser.com/ProductDetail/474-PRT-08231</v>
      </c>
      <c r="T399" s="94">
        <v>3</v>
      </c>
      <c r="U399" s="94">
        <v>1</v>
      </c>
      <c r="V399" s="94">
        <v>1</v>
      </c>
      <c r="W399" s="94">
        <f>MouserListTable[[#This Row],['#/Unit]]*FilterSpecs!$C$3+MouserListTable[[#This Row],[Extra]]</f>
        <v>16</v>
      </c>
      <c r="X399" s="94">
        <f>IF(MouserListTable[[#This Row],[Tag]]=FilterSpecs!$F$7,MouserListTable[[#This Row],['#/Unit]]*MouserListTable[[#This Row],[Price (USD)]],0)</f>
        <v>1.35</v>
      </c>
      <c r="Y399" s="94">
        <f>MouserListTable[[#This Row],[Tot '#]]*MouserListTable[[#This Row],[Price (USD)]]</f>
        <v>7.2</v>
      </c>
      <c r="Z399"/>
    </row>
    <row r="400" spans="1:26" s="104" customFormat="1" x14ac:dyDescent="0.25">
      <c r="A400" s="81" t="s">
        <v>890</v>
      </c>
      <c r="B400" s="81" t="s">
        <v>1872</v>
      </c>
      <c r="C400" s="78" t="s">
        <v>1892</v>
      </c>
      <c r="D400" s="81" t="str">
        <f>IF(MouserListTable[[#This Row],[Vendor]]=FilterSpecs!$A$8,MouserListTable[[#This Row],[Mouser SKU]], MouserListTable[[#This Row],[Supplier SKU]])</f>
        <v>474-PRT-08097</v>
      </c>
      <c r="E400" s="94">
        <f>MouserListTable[[#This Row],[Tot '#]]-MouserListTable[[#This Row],['# Initial]]</f>
        <v>0</v>
      </c>
      <c r="F400" s="94">
        <f>IF(AND(MouserListTable[[#This Row],[Tag]]&lt;&gt;FilterSpecs!$F$12, MouserListTable[[#This Row],[Tag]]&lt;&gt;FilterSpecs!$F$9), MouserListTable[[#This Row],['#/Unit]]*FilterSpecs!$B$3+MouserListTable[[#This Row],[Extra Initial]],0)</f>
        <v>16</v>
      </c>
      <c r="G400" s="78" t="s">
        <v>1345</v>
      </c>
      <c r="H400" s="150" t="s">
        <v>1346</v>
      </c>
      <c r="I400" s="81" t="s">
        <v>1347</v>
      </c>
      <c r="J400" s="78">
        <v>1</v>
      </c>
      <c r="K400" s="117">
        <v>0.45</v>
      </c>
      <c r="L400" s="81" t="s">
        <v>1897</v>
      </c>
      <c r="M400" s="78"/>
      <c r="N400" s="154">
        <f>MouserListTable[[#This Row],['# Initial]]*MouserListTable[[#This Row],[Price (USD)]]</f>
        <v>7.2</v>
      </c>
      <c r="O400" s="81" t="s">
        <v>1344</v>
      </c>
      <c r="P400" s="150">
        <f t="shared" si="5"/>
        <v>387</v>
      </c>
      <c r="Q400" s="78" t="s">
        <v>5</v>
      </c>
      <c r="R400"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474-PRT-08097</v>
      </c>
      <c r="S400" s="133" t="str">
        <f>HYPERLINK("https://www.mouser.com/ProductDetail/" &amp;MouserListTable[[#This Row],[Mouser SKU]])</f>
        <v>https://www.mouser.com/ProductDetail/474-PRT-08097</v>
      </c>
      <c r="T400" s="94">
        <v>3</v>
      </c>
      <c r="U400" s="94">
        <v>1</v>
      </c>
      <c r="V400" s="94">
        <v>1</v>
      </c>
      <c r="W400" s="94">
        <f>MouserListTable[[#This Row],['#/Unit]]*FilterSpecs!$C$3+MouserListTable[[#This Row],[Extra]]</f>
        <v>16</v>
      </c>
      <c r="X400" s="94">
        <f>IF(MouserListTable[[#This Row],[Tag]]=FilterSpecs!$F$7,MouserListTable[[#This Row],['#/Unit]]*MouserListTable[[#This Row],[Price (USD)]],0)</f>
        <v>1.35</v>
      </c>
      <c r="Y400" s="94">
        <f>MouserListTable[[#This Row],[Tot '#]]*MouserListTable[[#This Row],[Price (USD)]]</f>
        <v>7.2</v>
      </c>
      <c r="Z400"/>
    </row>
    <row r="401" spans="1:26" s="104" customFormat="1" x14ac:dyDescent="0.25">
      <c r="A401" s="81" t="s">
        <v>890</v>
      </c>
      <c r="B401" s="81" t="s">
        <v>1872</v>
      </c>
      <c r="C401" s="78" t="s">
        <v>1892</v>
      </c>
      <c r="D401" s="81" t="str">
        <f>IF(MouserListTable[[#This Row],[Vendor]]=FilterSpecs!$A$8,MouserListTable[[#This Row],[Mouser SKU]], MouserListTable[[#This Row],[Supplier SKU]])</f>
        <v>474-PRT-08100</v>
      </c>
      <c r="E401" s="94">
        <f>MouserListTable[[#This Row],[Tot '#]]-MouserListTable[[#This Row],['# Initial]]</f>
        <v>0</v>
      </c>
      <c r="F401" s="94">
        <f>IF(AND(MouserListTable[[#This Row],[Tag]]&lt;&gt;FilterSpecs!$F$12, MouserListTable[[#This Row],[Tag]]&lt;&gt;FilterSpecs!$F$9), MouserListTable[[#This Row],['#/Unit]]*FilterSpecs!$B$3+MouserListTable[[#This Row],[Extra Initial]],0)</f>
        <v>16</v>
      </c>
      <c r="G401" s="78" t="s">
        <v>2401</v>
      </c>
      <c r="H401" s="150" t="s">
        <v>2402</v>
      </c>
      <c r="I401" s="81" t="s">
        <v>2403</v>
      </c>
      <c r="J401" s="78">
        <v>1</v>
      </c>
      <c r="K401" s="117">
        <v>1.95</v>
      </c>
      <c r="L401" s="81" t="s">
        <v>1897</v>
      </c>
      <c r="M401" s="81"/>
      <c r="N401" s="154">
        <f>MouserListTable[[#This Row],['# Initial]]*MouserListTable[[#This Row],[Price (USD)]]</f>
        <v>31.2</v>
      </c>
      <c r="O401" s="81" t="s">
        <v>2400</v>
      </c>
      <c r="P401" s="150">
        <f t="shared" si="5"/>
        <v>388</v>
      </c>
      <c r="Q401" s="78" t="s">
        <v>5</v>
      </c>
      <c r="R401"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474-PRT-08100</v>
      </c>
      <c r="S401" s="133" t="str">
        <f>HYPERLINK("https://www.mouser.com/ProductDetail/" &amp;MouserListTable[[#This Row],[Mouser SKU]])</f>
        <v>https://www.mouser.com/ProductDetail/474-PRT-08100</v>
      </c>
      <c r="T401" s="94">
        <v>3</v>
      </c>
      <c r="U401" s="94">
        <v>1</v>
      </c>
      <c r="V401" s="94">
        <v>1</v>
      </c>
      <c r="W401" s="94">
        <f>MouserListTable[[#This Row],['#/Unit]]*FilterSpecs!$C$3+MouserListTable[[#This Row],[Extra]]</f>
        <v>16</v>
      </c>
      <c r="X401" s="94">
        <f>IF(MouserListTable[[#This Row],[Tag]]=FilterSpecs!$F$7,MouserListTable[[#This Row],['#/Unit]]*MouserListTable[[#This Row],[Price (USD)]],0)</f>
        <v>5.85</v>
      </c>
      <c r="Y401" s="94">
        <f>MouserListTable[[#This Row],[Tot '#]]*MouserListTable[[#This Row],[Price (USD)]]</f>
        <v>31.2</v>
      </c>
      <c r="Z401"/>
    </row>
    <row r="402" spans="1:26" s="106" customFormat="1" x14ac:dyDescent="0.25">
      <c r="A402" s="81" t="s">
        <v>890</v>
      </c>
      <c r="B402" s="81" t="s">
        <v>1871</v>
      </c>
      <c r="C402" s="78" t="s">
        <v>1892</v>
      </c>
      <c r="D402" s="81" t="str">
        <f>IF(MouserListTable[[#This Row],[Vendor]]=FilterSpecs!$A$8,MouserListTable[[#This Row],[Mouser SKU]], MouserListTable[[#This Row],[Supplier SKU]])</f>
        <v>474-PRT-10651</v>
      </c>
      <c r="E402" s="94">
        <f>MouserListTable[[#This Row],[Tot '#]]-MouserListTable[[#This Row],['# Initial]]</f>
        <v>0</v>
      </c>
      <c r="F402" s="94">
        <f>IF(AND(MouserListTable[[#This Row],[Tag]]&lt;&gt;FilterSpecs!$F$12, MouserListTable[[#This Row],[Tag]]&lt;&gt;FilterSpecs!$F$9), MouserListTable[[#This Row],['#/Unit]]*FilterSpecs!$B$3+MouserListTable[[#This Row],[Extra Initial]],0)</f>
        <v>10</v>
      </c>
      <c r="G402" s="78" t="s">
        <v>1574</v>
      </c>
      <c r="H402" s="150" t="s">
        <v>1575</v>
      </c>
      <c r="I402" s="81" t="s">
        <v>1576</v>
      </c>
      <c r="J402" s="78">
        <v>1</v>
      </c>
      <c r="K402" s="117">
        <v>0.35</v>
      </c>
      <c r="L402" s="81" t="s">
        <v>1897</v>
      </c>
      <c r="M402" s="78"/>
      <c r="N402" s="154">
        <f>MouserListTable[[#This Row],['# Initial]]*MouserListTable[[#This Row],[Price (USD)]]</f>
        <v>3.5</v>
      </c>
      <c r="O402" s="81" t="s">
        <v>1573</v>
      </c>
      <c r="P402" s="150">
        <f t="shared" si="5"/>
        <v>389</v>
      </c>
      <c r="Q402" s="78" t="s">
        <v>5</v>
      </c>
      <c r="R402"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474-PRT-10651</v>
      </c>
      <c r="S402" s="133" t="str">
        <f>HYPERLINK("https://www.mouser.com/ProductDetail/" &amp;MouserListTable[[#This Row],[Mouser SKU]])</f>
        <v>https://www.mouser.com/ProductDetail/474-PRT-10651</v>
      </c>
      <c r="T402" s="94">
        <v>2</v>
      </c>
      <c r="U402" s="94">
        <v>0</v>
      </c>
      <c r="V402" s="94">
        <v>0</v>
      </c>
      <c r="W402" s="94">
        <f>MouserListTable[[#This Row],['#/Unit]]*FilterSpecs!$C$3+MouserListTable[[#This Row],[Extra]]</f>
        <v>10</v>
      </c>
      <c r="X402" s="94">
        <f>IF(MouserListTable[[#This Row],[Tag]]=FilterSpecs!$F$7,MouserListTable[[#This Row],['#/Unit]]*MouserListTable[[#This Row],[Price (USD)]],0)</f>
        <v>0.7</v>
      </c>
      <c r="Y402" s="94">
        <f>MouserListTable[[#This Row],[Tot '#]]*MouserListTable[[#This Row],[Price (USD)]]</f>
        <v>3.5</v>
      </c>
      <c r="Z402"/>
    </row>
    <row r="403" spans="1:26" s="106" customFormat="1" x14ac:dyDescent="0.25">
      <c r="A403" s="81" t="s">
        <v>890</v>
      </c>
      <c r="B403" s="81" t="s">
        <v>1871</v>
      </c>
      <c r="C403" s="78" t="s">
        <v>1892</v>
      </c>
      <c r="D403" s="81" t="str">
        <f>IF(MouserListTable[[#This Row],[Vendor]]=FilterSpecs!$A$8,MouserListTable[[#This Row],[Mouser SKU]], MouserListTable[[#This Row],[Supplier SKU]])</f>
        <v>474-PRT-10650</v>
      </c>
      <c r="E403" s="94">
        <f>MouserListTable[[#This Row],[Tot '#]]-MouserListTable[[#This Row],['# Initial]]</f>
        <v>0</v>
      </c>
      <c r="F403" s="94">
        <f>IF(AND(MouserListTable[[#This Row],[Tag]]&lt;&gt;FilterSpecs!$F$12, MouserListTable[[#This Row],[Tag]]&lt;&gt;FilterSpecs!$F$9), MouserListTable[[#This Row],['#/Unit]]*FilterSpecs!$B$3+MouserListTable[[#This Row],[Extra Initial]],0)</f>
        <v>10</v>
      </c>
      <c r="G403" s="78" t="s">
        <v>1570</v>
      </c>
      <c r="H403" s="150" t="s">
        <v>1571</v>
      </c>
      <c r="I403" s="81" t="s">
        <v>1572</v>
      </c>
      <c r="J403" s="78">
        <v>1</v>
      </c>
      <c r="K403" s="117">
        <v>0.5</v>
      </c>
      <c r="L403" s="81" t="s">
        <v>1897</v>
      </c>
      <c r="M403" s="78"/>
      <c r="N403" s="154">
        <f>MouserListTable[[#This Row],['# Initial]]*MouserListTable[[#This Row],[Price (USD)]]</f>
        <v>5</v>
      </c>
      <c r="O403" s="81" t="s">
        <v>1569</v>
      </c>
      <c r="P403" s="150">
        <f t="shared" si="5"/>
        <v>390</v>
      </c>
      <c r="Q403" s="78" t="s">
        <v>5</v>
      </c>
      <c r="R403"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474-PRT-10650</v>
      </c>
      <c r="S403" s="133" t="str">
        <f>HYPERLINK("https://www.mouser.com/ProductDetail/" &amp;MouserListTable[[#This Row],[Mouser SKU]])</f>
        <v>https://www.mouser.com/ProductDetail/474-PRT-10650</v>
      </c>
      <c r="T403" s="94">
        <v>2</v>
      </c>
      <c r="U403" s="94">
        <v>0</v>
      </c>
      <c r="V403" s="94">
        <v>0</v>
      </c>
      <c r="W403" s="94">
        <f>MouserListTable[[#This Row],['#/Unit]]*FilterSpecs!$C$3+MouserListTable[[#This Row],[Extra]]</f>
        <v>10</v>
      </c>
      <c r="X403" s="94">
        <f>IF(MouserListTable[[#This Row],[Tag]]=FilterSpecs!$F$7,MouserListTable[[#This Row],['#/Unit]]*MouserListTable[[#This Row],[Price (USD)]],0)</f>
        <v>1</v>
      </c>
      <c r="Y403" s="94">
        <f>MouserListTable[[#This Row],[Tot '#]]*MouserListTable[[#This Row],[Price (USD)]]</f>
        <v>5</v>
      </c>
      <c r="Z403"/>
    </row>
    <row r="404" spans="1:26" s="106" customFormat="1" x14ac:dyDescent="0.25">
      <c r="A404" s="106" t="s">
        <v>890</v>
      </c>
      <c r="B404" s="106" t="s">
        <v>1874</v>
      </c>
      <c r="C404" s="78" t="s">
        <v>1892</v>
      </c>
      <c r="D404" s="81" t="str">
        <f>IF(MouserListTable[[#This Row],[Vendor]]=FilterSpecs!$A$8,MouserListTable[[#This Row],[Mouser SKU]], MouserListTable[[#This Row],[Supplier SKU]])</f>
        <v>474-PRT-10571</v>
      </c>
      <c r="E404" s="94">
        <f>MouserListTable[[#This Row],[Tot '#]]-MouserListTable[[#This Row],['# Initial]]</f>
        <v>0</v>
      </c>
      <c r="F404" s="94">
        <f>IF(AND(MouserListTable[[#This Row],[Tag]]&lt;&gt;FilterSpecs!$F$12, MouserListTable[[#This Row],[Tag]]&lt;&gt;FilterSpecs!$F$9), MouserListTable[[#This Row],['#/Unit]]*FilterSpecs!$B$3+MouserListTable[[#This Row],[Extra Initial]],0)</f>
        <v>0</v>
      </c>
      <c r="G404" s="78" t="s">
        <v>451</v>
      </c>
      <c r="H404" s="150" t="s">
        <v>452</v>
      </c>
      <c r="I404" s="81" t="s">
        <v>453</v>
      </c>
      <c r="J404" s="78">
        <v>1</v>
      </c>
      <c r="K404" s="117">
        <v>0.75</v>
      </c>
      <c r="L404" s="81" t="s">
        <v>1896</v>
      </c>
      <c r="M404" s="78"/>
      <c r="N404" s="154">
        <f>MouserListTable[[#This Row],['# Initial]]*MouserListTable[[#This Row],[Price (USD)]]</f>
        <v>0</v>
      </c>
      <c r="O404" s="81" t="s">
        <v>450</v>
      </c>
      <c r="P404" s="150">
        <f t="shared" si="5"/>
        <v>391</v>
      </c>
      <c r="Q404" s="78" t="s">
        <v>5</v>
      </c>
      <c r="R404"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474-PRT-10571</v>
      </c>
      <c r="S404" s="133" t="str">
        <f>HYPERLINK("https://www.mouser.com/ProductDetail/" &amp;MouserListTable[[#This Row],[Mouser SKU]])</f>
        <v>https://www.mouser.com/ProductDetail/474-PRT-10571</v>
      </c>
      <c r="T404" s="94">
        <v>0</v>
      </c>
      <c r="U404" s="94">
        <v>0</v>
      </c>
      <c r="V404" s="94">
        <v>0</v>
      </c>
      <c r="W404" s="94">
        <f>MouserListTable[[#This Row],['#/Unit]]*FilterSpecs!$C$3+MouserListTable[[#This Row],[Extra]]</f>
        <v>0</v>
      </c>
      <c r="X404" s="94">
        <f>IF(MouserListTable[[#This Row],[Tag]]=FilterSpecs!$F$7,MouserListTable[[#This Row],['#/Unit]]*MouserListTable[[#This Row],[Price (USD)]],0)</f>
        <v>0</v>
      </c>
      <c r="Y404" s="94">
        <f>MouserListTable[[#This Row],[Tot '#]]*MouserListTable[[#This Row],[Price (USD)]]</f>
        <v>0</v>
      </c>
      <c r="Z404"/>
    </row>
    <row r="405" spans="1:26" s="106" customFormat="1" x14ac:dyDescent="0.25">
      <c r="A405" s="81" t="s">
        <v>890</v>
      </c>
      <c r="B405" s="81" t="s">
        <v>1874</v>
      </c>
      <c r="C405" s="78" t="s">
        <v>1892</v>
      </c>
      <c r="D405" s="81" t="str">
        <f>IF(MouserListTable[[#This Row],[Vendor]]=FilterSpecs!$A$8,MouserListTable[[#This Row],[Mouser SKU]], MouserListTable[[#This Row],[Supplier SKU]])</f>
        <v>474-PRT-08432</v>
      </c>
      <c r="E405" s="94">
        <f>MouserListTable[[#This Row],[Tot '#]]-MouserListTable[[#This Row],['# Initial]]</f>
        <v>0</v>
      </c>
      <c r="F405" s="94">
        <f>IF(AND(MouserListTable[[#This Row],[Tag]]&lt;&gt;FilterSpecs!$F$12, MouserListTable[[#This Row],[Tag]]&lt;&gt;FilterSpecs!$F$9), MouserListTable[[#This Row],['#/Unit]]*FilterSpecs!$B$3+MouserListTable[[#This Row],[Extra Initial]],0)</f>
        <v>10</v>
      </c>
      <c r="G405" s="78" t="s">
        <v>894</v>
      </c>
      <c r="H405" s="150" t="s">
        <v>895</v>
      </c>
      <c r="I405" s="81" t="s">
        <v>896</v>
      </c>
      <c r="J405" s="78">
        <v>1</v>
      </c>
      <c r="K405" s="117">
        <v>0.95</v>
      </c>
      <c r="L405" s="81" t="s">
        <v>1897</v>
      </c>
      <c r="M405" s="78"/>
      <c r="N405" s="154">
        <f>MouserListTable[[#This Row],['# Initial]]*MouserListTable[[#This Row],[Price (USD)]]</f>
        <v>9.5</v>
      </c>
      <c r="O405" s="81" t="s">
        <v>893</v>
      </c>
      <c r="P405" s="150">
        <f t="shared" si="5"/>
        <v>392</v>
      </c>
      <c r="Q405" s="78" t="s">
        <v>5</v>
      </c>
      <c r="R405"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474-PRT-08432</v>
      </c>
      <c r="S405" s="133" t="str">
        <f>HYPERLINK("https://www.mouser.com/ProductDetail/" &amp;MouserListTable[[#This Row],[Mouser SKU]])</f>
        <v>https://www.mouser.com/ProductDetail/474-PRT-08432</v>
      </c>
      <c r="T405" s="94">
        <v>2</v>
      </c>
      <c r="U405" s="94">
        <v>0</v>
      </c>
      <c r="V405" s="94">
        <v>0</v>
      </c>
      <c r="W405" s="94">
        <f>MouserListTable[[#This Row],['#/Unit]]*FilterSpecs!$C$3+MouserListTable[[#This Row],[Extra]]</f>
        <v>10</v>
      </c>
      <c r="X405" s="94">
        <f>IF(MouserListTable[[#This Row],[Tag]]=FilterSpecs!$F$7,MouserListTable[[#This Row],['#/Unit]]*MouserListTable[[#This Row],[Price (USD)]],0)</f>
        <v>1.9</v>
      </c>
      <c r="Y405" s="94">
        <f>MouserListTable[[#This Row],[Tot '#]]*MouserListTable[[#This Row],[Price (USD)]]</f>
        <v>9.5</v>
      </c>
      <c r="Z405"/>
    </row>
    <row r="406" spans="1:26" s="106" customFormat="1" x14ac:dyDescent="0.25">
      <c r="A406" s="81" t="s">
        <v>890</v>
      </c>
      <c r="B406" s="81" t="s">
        <v>1874</v>
      </c>
      <c r="C406" s="78" t="s">
        <v>1892</v>
      </c>
      <c r="D406" s="81" t="str">
        <f>IF(MouserListTable[[#This Row],[Vendor]]=FilterSpecs!$A$8,MouserListTable[[#This Row],[Mouser SKU]], MouserListTable[[#This Row],[Supplier SKU]])</f>
        <v>474-PRT-08433</v>
      </c>
      <c r="E406" s="94">
        <f>MouserListTable[[#This Row],[Tot '#]]-MouserListTable[[#This Row],['# Initial]]</f>
        <v>0</v>
      </c>
      <c r="F406" s="94">
        <f>IF(AND(MouserListTable[[#This Row],[Tag]]&lt;&gt;FilterSpecs!$F$12, MouserListTable[[#This Row],[Tag]]&lt;&gt;FilterSpecs!$F$9), MouserListTable[[#This Row],['#/Unit]]*FilterSpecs!$B$3+MouserListTable[[#This Row],[Extra Initial]],0)</f>
        <v>10</v>
      </c>
      <c r="G406" s="78" t="s">
        <v>1401</v>
      </c>
      <c r="H406" s="150" t="s">
        <v>1402</v>
      </c>
      <c r="I406" s="81" t="s">
        <v>1403</v>
      </c>
      <c r="J406" s="78">
        <v>1</v>
      </c>
      <c r="K406" s="117">
        <v>0.95</v>
      </c>
      <c r="L406" s="81" t="s">
        <v>1897</v>
      </c>
      <c r="M406" s="78"/>
      <c r="N406" s="154">
        <f>MouserListTable[[#This Row],['# Initial]]*MouserListTable[[#This Row],[Price (USD)]]</f>
        <v>9.5</v>
      </c>
      <c r="O406" s="81" t="s">
        <v>1400</v>
      </c>
      <c r="P406" s="150">
        <f t="shared" si="5"/>
        <v>393</v>
      </c>
      <c r="Q406" s="78" t="s">
        <v>5</v>
      </c>
      <c r="R406"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474-PRT-08433</v>
      </c>
      <c r="S406" s="133" t="str">
        <f>HYPERLINK("https://www.mouser.com/ProductDetail/" &amp;MouserListTable[[#This Row],[Mouser SKU]])</f>
        <v>https://www.mouser.com/ProductDetail/474-PRT-08433</v>
      </c>
      <c r="T406" s="94">
        <v>2</v>
      </c>
      <c r="U406" s="94">
        <v>0</v>
      </c>
      <c r="V406" s="94">
        <v>0</v>
      </c>
      <c r="W406" s="94">
        <f>MouserListTable[[#This Row],['#/Unit]]*FilterSpecs!$C$3+MouserListTable[[#This Row],[Extra]]</f>
        <v>10</v>
      </c>
      <c r="X406" s="94">
        <f>IF(MouserListTable[[#This Row],[Tag]]=FilterSpecs!$F$7,MouserListTable[[#This Row],['#/Unit]]*MouserListTable[[#This Row],[Price (USD)]],0)</f>
        <v>1.9</v>
      </c>
      <c r="Y406" s="94">
        <f>MouserListTable[[#This Row],[Tot '#]]*MouserListTable[[#This Row],[Price (USD)]]</f>
        <v>9.5</v>
      </c>
      <c r="Z406"/>
    </row>
    <row r="407" spans="1:26" s="106" customFormat="1" x14ac:dyDescent="0.25">
      <c r="A407" s="106" t="s">
        <v>890</v>
      </c>
      <c r="B407" s="106" t="s">
        <v>1874</v>
      </c>
      <c r="C407" s="78" t="s">
        <v>1892</v>
      </c>
      <c r="D407" s="81" t="str">
        <f>IF(MouserListTable[[#This Row],[Vendor]]=FilterSpecs!$A$8,MouserListTable[[#This Row],[Mouser SKU]], MouserListTable[[#This Row],[Supplier SKU]])</f>
        <v>474-PRT-08073</v>
      </c>
      <c r="E407" s="94">
        <f>MouserListTable[[#This Row],[Tot '#]]-MouserListTable[[#This Row],['# Initial]]</f>
        <v>0</v>
      </c>
      <c r="F407" s="94">
        <f>IF(AND(MouserListTable[[#This Row],[Tag]]&lt;&gt;FilterSpecs!$F$12, MouserListTable[[#This Row],[Tag]]&lt;&gt;FilterSpecs!$F$9), MouserListTable[[#This Row],['#/Unit]]*FilterSpecs!$B$3+MouserListTable[[#This Row],[Extra Initial]],0)</f>
        <v>0</v>
      </c>
      <c r="G407" s="78" t="s">
        <v>1365</v>
      </c>
      <c r="H407" s="150" t="s">
        <v>1366</v>
      </c>
      <c r="I407" s="81" t="s">
        <v>1367</v>
      </c>
      <c r="J407" s="78">
        <v>1</v>
      </c>
      <c r="K407" s="117">
        <v>1.5</v>
      </c>
      <c r="L407" s="81" t="s">
        <v>1896</v>
      </c>
      <c r="M407" s="78"/>
      <c r="N407" s="154">
        <f>MouserListTable[[#This Row],['# Initial]]*MouserListTable[[#This Row],[Price (USD)]]</f>
        <v>0</v>
      </c>
      <c r="O407" s="81" t="s">
        <v>1364</v>
      </c>
      <c r="P407" s="150">
        <f t="shared" si="5"/>
        <v>394</v>
      </c>
      <c r="Q407" s="78" t="s">
        <v>5</v>
      </c>
      <c r="R407"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474-PRT-08073</v>
      </c>
      <c r="S407" s="133" t="str">
        <f>HYPERLINK("https://www.mouser.com/ProductDetail/" &amp;MouserListTable[[#This Row],[Mouser SKU]])</f>
        <v>https://www.mouser.com/ProductDetail/474-PRT-08073</v>
      </c>
      <c r="T407" s="94">
        <v>0</v>
      </c>
      <c r="U407" s="94">
        <v>0</v>
      </c>
      <c r="V407" s="94">
        <v>0</v>
      </c>
      <c r="W407" s="94">
        <f>MouserListTable[[#This Row],['#/Unit]]*FilterSpecs!$C$3+MouserListTable[[#This Row],[Extra]]</f>
        <v>0</v>
      </c>
      <c r="X407" s="94">
        <f>IF(MouserListTable[[#This Row],[Tag]]=FilterSpecs!$F$7,MouserListTable[[#This Row],['#/Unit]]*MouserListTable[[#This Row],[Price (USD)]],0)</f>
        <v>0</v>
      </c>
      <c r="Y407" s="94">
        <f>MouserListTable[[#This Row],[Tot '#]]*MouserListTable[[#This Row],[Price (USD)]]</f>
        <v>0</v>
      </c>
      <c r="Z407"/>
    </row>
    <row r="408" spans="1:26" s="104" customFormat="1" x14ac:dyDescent="0.25">
      <c r="A408" s="106" t="s">
        <v>890</v>
      </c>
      <c r="B408" s="106" t="s">
        <v>1874</v>
      </c>
      <c r="C408" s="78" t="s">
        <v>1892</v>
      </c>
      <c r="D408" s="81" t="str">
        <f>IF(MouserListTable[[#This Row],[Vendor]]=FilterSpecs!$A$8,MouserListTable[[#This Row],[Mouser SKU]], MouserListTable[[#This Row],[Supplier SKU]])</f>
        <v>474-PRT-08074</v>
      </c>
      <c r="E408" s="94">
        <f>MouserListTable[[#This Row],[Tot '#]]-MouserListTable[[#This Row],['# Initial]]</f>
        <v>0</v>
      </c>
      <c r="F408" s="94">
        <f>IF(AND(MouserListTable[[#This Row],[Tag]]&lt;&gt;FilterSpecs!$F$12, MouserListTable[[#This Row],[Tag]]&lt;&gt;FilterSpecs!$F$9), MouserListTable[[#This Row],['#/Unit]]*FilterSpecs!$B$3+MouserListTable[[#This Row],[Extra Initial]],0)</f>
        <v>0</v>
      </c>
      <c r="G408" s="78" t="s">
        <v>1405</v>
      </c>
      <c r="H408" s="150" t="s">
        <v>1406</v>
      </c>
      <c r="I408" s="81" t="s">
        <v>1407</v>
      </c>
      <c r="J408" s="78">
        <v>1</v>
      </c>
      <c r="K408" s="117">
        <v>1.5</v>
      </c>
      <c r="L408" s="81" t="s">
        <v>1896</v>
      </c>
      <c r="M408" s="78"/>
      <c r="N408" s="154">
        <f>MouserListTable[[#This Row],['# Initial]]*MouserListTable[[#This Row],[Price (USD)]]</f>
        <v>0</v>
      </c>
      <c r="O408" s="81" t="s">
        <v>1404</v>
      </c>
      <c r="P408" s="150">
        <f t="shared" si="5"/>
        <v>395</v>
      </c>
      <c r="Q408" s="78" t="s">
        <v>5</v>
      </c>
      <c r="R408"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474-PRT-08074</v>
      </c>
      <c r="S408" s="133" t="str">
        <f>HYPERLINK("https://www.mouser.com/ProductDetail/" &amp;MouserListTable[[#This Row],[Mouser SKU]])</f>
        <v>https://www.mouser.com/ProductDetail/474-PRT-08074</v>
      </c>
      <c r="T408" s="94">
        <v>0</v>
      </c>
      <c r="U408" s="94">
        <v>0</v>
      </c>
      <c r="V408" s="94">
        <v>0</v>
      </c>
      <c r="W408" s="94">
        <f>MouserListTable[[#This Row],['#/Unit]]*FilterSpecs!$C$3+MouserListTable[[#This Row],[Extra]]</f>
        <v>0</v>
      </c>
      <c r="X408" s="94">
        <f>IF(MouserListTable[[#This Row],[Tag]]=FilterSpecs!$F$7,MouserListTable[[#This Row],['#/Unit]]*MouserListTable[[#This Row],[Price (USD)]],0)</f>
        <v>0</v>
      </c>
      <c r="Y408" s="94">
        <f>MouserListTable[[#This Row],[Tot '#]]*MouserListTable[[#This Row],[Price (USD)]]</f>
        <v>0</v>
      </c>
      <c r="Z408"/>
    </row>
    <row r="409" spans="1:26" s="104" customFormat="1" x14ac:dyDescent="0.25">
      <c r="A409" s="106" t="s">
        <v>890</v>
      </c>
      <c r="B409" s="106" t="s">
        <v>1874</v>
      </c>
      <c r="C409" s="78" t="s">
        <v>1892</v>
      </c>
      <c r="D409" s="81" t="str">
        <f>IF(MouserListTable[[#This Row],[Vendor]]=FilterSpecs!$A$8,MouserListTable[[#This Row],[Mouser SKU]], MouserListTable[[#This Row],[Supplier SKU]])</f>
        <v>474-PRT-08075</v>
      </c>
      <c r="E409" s="94">
        <f>MouserListTable[[#This Row],[Tot '#]]-MouserListTable[[#This Row],['# Initial]]</f>
        <v>0</v>
      </c>
      <c r="F409" s="94">
        <f>IF(AND(MouserListTable[[#This Row],[Tag]]&lt;&gt;FilterSpecs!$F$12, MouserListTable[[#This Row],[Tag]]&lt;&gt;FilterSpecs!$F$9), MouserListTable[[#This Row],['#/Unit]]*FilterSpecs!$B$3+MouserListTable[[#This Row],[Extra Initial]],0)</f>
        <v>0</v>
      </c>
      <c r="G409" s="78" t="s">
        <v>447</v>
      </c>
      <c r="H409" s="150" t="s">
        <v>448</v>
      </c>
      <c r="I409" s="81" t="s">
        <v>449</v>
      </c>
      <c r="J409" s="78">
        <v>1</v>
      </c>
      <c r="K409" s="117">
        <v>1.5</v>
      </c>
      <c r="L409" s="81" t="s">
        <v>1896</v>
      </c>
      <c r="M409" s="78"/>
      <c r="N409" s="154">
        <f>MouserListTable[[#This Row],['# Initial]]*MouserListTable[[#This Row],[Price (USD)]]</f>
        <v>0</v>
      </c>
      <c r="O409" s="81" t="s">
        <v>446</v>
      </c>
      <c r="P409" s="150">
        <f t="shared" si="5"/>
        <v>396</v>
      </c>
      <c r="Q409" s="78" t="s">
        <v>5</v>
      </c>
      <c r="R409"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474-PRT-08075</v>
      </c>
      <c r="S409" s="133" t="str">
        <f>HYPERLINK("https://www.mouser.com/ProductDetail/" &amp;MouserListTable[[#This Row],[Mouser SKU]])</f>
        <v>https://www.mouser.com/ProductDetail/474-PRT-08075</v>
      </c>
      <c r="T409" s="94">
        <v>0</v>
      </c>
      <c r="U409" s="94">
        <v>0</v>
      </c>
      <c r="V409" s="94">
        <v>0</v>
      </c>
      <c r="W409" s="94">
        <f>MouserListTable[[#This Row],['#/Unit]]*FilterSpecs!$C$3+MouserListTable[[#This Row],[Extra]]</f>
        <v>0</v>
      </c>
      <c r="X409" s="94">
        <f>IF(MouserListTable[[#This Row],[Tag]]=FilterSpecs!$F$7,MouserListTable[[#This Row],['#/Unit]]*MouserListTable[[#This Row],[Price (USD)]],0)</f>
        <v>0</v>
      </c>
      <c r="Y409" s="94">
        <f>MouserListTable[[#This Row],[Tot '#]]*MouserListTable[[#This Row],[Price (USD)]]</f>
        <v>0</v>
      </c>
      <c r="Z409"/>
    </row>
    <row r="410" spans="1:26" s="104" customFormat="1" x14ac:dyDescent="0.25">
      <c r="A410" s="81" t="s">
        <v>890</v>
      </c>
      <c r="B410" s="81" t="s">
        <v>1874</v>
      </c>
      <c r="C410" s="78" t="s">
        <v>1892</v>
      </c>
      <c r="D410" s="81" t="str">
        <f>IF(MouserListTable[[#This Row],[Vendor]]=FilterSpecs!$A$8,MouserListTable[[#This Row],[Mouser SKU]], MouserListTable[[#This Row],[Supplier SKU]])</f>
        <v>474-PRT-08077</v>
      </c>
      <c r="E410" s="94">
        <f>MouserListTable[[#This Row],[Tot '#]]-MouserListTable[[#This Row],['# Initial]]</f>
        <v>0</v>
      </c>
      <c r="F410" s="94">
        <f>IF(AND(MouserListTable[[#This Row],[Tag]]&lt;&gt;FilterSpecs!$F$12, MouserListTable[[#This Row],[Tag]]&lt;&gt;FilterSpecs!$F$9), MouserListTable[[#This Row],['#/Unit]]*FilterSpecs!$B$3+MouserListTable[[#This Row],[Extra Initial]],0)</f>
        <v>2</v>
      </c>
      <c r="G410" s="78" t="s">
        <v>443</v>
      </c>
      <c r="H410" s="150" t="s">
        <v>444</v>
      </c>
      <c r="I410" s="81" t="s">
        <v>445</v>
      </c>
      <c r="J410" s="78">
        <v>1</v>
      </c>
      <c r="K410" s="117">
        <v>1.5</v>
      </c>
      <c r="L410" s="81" t="s">
        <v>1896</v>
      </c>
      <c r="M410" s="78"/>
      <c r="N410" s="154">
        <f>MouserListTable[[#This Row],['# Initial]]*MouserListTable[[#This Row],[Price (USD)]]</f>
        <v>3</v>
      </c>
      <c r="O410" s="81" t="s">
        <v>442</v>
      </c>
      <c r="P410" s="150">
        <f t="shared" ref="P410:P473" si="7">IF($P409="List #",1,$P409+1)</f>
        <v>397</v>
      </c>
      <c r="Q410" s="78" t="s">
        <v>5</v>
      </c>
      <c r="R410"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474-PRT-08077</v>
      </c>
      <c r="S410" s="133" t="str">
        <f>HYPERLINK("https://www.mouser.com/ProductDetail/" &amp;MouserListTable[[#This Row],[Mouser SKU]])</f>
        <v>https://www.mouser.com/ProductDetail/474-PRT-08077</v>
      </c>
      <c r="T410" s="94">
        <v>0</v>
      </c>
      <c r="U410" s="94">
        <v>2</v>
      </c>
      <c r="V410" s="94">
        <v>2</v>
      </c>
      <c r="W410" s="94">
        <f>MouserListTable[[#This Row],['#/Unit]]*FilterSpecs!$C$3+MouserListTable[[#This Row],[Extra]]</f>
        <v>2</v>
      </c>
      <c r="X410" s="94">
        <f>IF(MouserListTable[[#This Row],[Tag]]=FilterSpecs!$F$7,MouserListTable[[#This Row],['#/Unit]]*MouserListTable[[#This Row],[Price (USD)]],0)</f>
        <v>0</v>
      </c>
      <c r="Y410" s="94">
        <f>MouserListTable[[#This Row],[Tot '#]]*MouserListTable[[#This Row],[Price (USD)]]</f>
        <v>3</v>
      </c>
      <c r="Z410"/>
    </row>
    <row r="411" spans="1:26" s="104" customFormat="1" x14ac:dyDescent="0.25">
      <c r="A411" s="106" t="s">
        <v>890</v>
      </c>
      <c r="B411" s="106" t="s">
        <v>1873</v>
      </c>
      <c r="C411" s="78" t="s">
        <v>1892</v>
      </c>
      <c r="D411" s="81" t="str">
        <f>IF(MouserListTable[[#This Row],[Vendor]]=FilterSpecs!$A$8,MouserListTable[[#This Row],[Mouser SKU]], MouserListTable[[#This Row],[Supplier SKU]])</f>
        <v>474-PRT-00139</v>
      </c>
      <c r="E411" s="94">
        <f>MouserListTable[[#This Row],[Tot '#]]-MouserListTable[[#This Row],['# Initial]]</f>
        <v>0</v>
      </c>
      <c r="F411" s="94">
        <f>IF(AND(MouserListTable[[#This Row],[Tag]]&lt;&gt;FilterSpecs!$F$12, MouserListTable[[#This Row],[Tag]]&lt;&gt;FilterSpecs!$F$9), MouserListTable[[#This Row],['#/Unit]]*FilterSpecs!$B$3+MouserListTable[[#This Row],[Extra Initial]],0)</f>
        <v>0</v>
      </c>
      <c r="G411" s="78" t="s">
        <v>1656</v>
      </c>
      <c r="H411" s="150" t="s">
        <v>1657</v>
      </c>
      <c r="I411" s="81" t="s">
        <v>1658</v>
      </c>
      <c r="J411" s="78">
        <v>1</v>
      </c>
      <c r="K411" s="117">
        <v>1.25</v>
      </c>
      <c r="L411" s="81" t="s">
        <v>1896</v>
      </c>
      <c r="M411" s="78"/>
      <c r="N411" s="154">
        <f>MouserListTable[[#This Row],['# Initial]]*MouserListTable[[#This Row],[Price (USD)]]</f>
        <v>0</v>
      </c>
      <c r="O411" s="81" t="s">
        <v>1655</v>
      </c>
      <c r="P411" s="150">
        <f t="shared" si="7"/>
        <v>398</v>
      </c>
      <c r="Q411" s="78" t="s">
        <v>5</v>
      </c>
      <c r="R411"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474-PRT-00139</v>
      </c>
      <c r="S411" s="133" t="str">
        <f>HYPERLINK("https://www.mouser.com/ProductDetail/" &amp;MouserListTable[[#This Row],[Mouser SKU]])</f>
        <v>https://www.mouser.com/ProductDetail/474-PRT-00139</v>
      </c>
      <c r="T411" s="94">
        <v>0</v>
      </c>
      <c r="U411" s="94">
        <v>0</v>
      </c>
      <c r="V411" s="94">
        <v>0</v>
      </c>
      <c r="W411" s="94">
        <f>MouserListTable[[#This Row],['#/Unit]]*FilterSpecs!$C$3+MouserListTable[[#This Row],[Extra]]</f>
        <v>0</v>
      </c>
      <c r="X411" s="94">
        <f>IF(MouserListTable[[#This Row],[Tag]]=FilterSpecs!$F$7,MouserListTable[[#This Row],['#/Unit]]*MouserListTable[[#This Row],[Price (USD)]],0)</f>
        <v>0</v>
      </c>
      <c r="Y411" s="94">
        <f>MouserListTable[[#This Row],[Tot '#]]*MouserListTable[[#This Row],[Price (USD)]]</f>
        <v>0</v>
      </c>
      <c r="Z411"/>
    </row>
    <row r="412" spans="1:26" s="104" customFormat="1" x14ac:dyDescent="0.25">
      <c r="A412" s="106" t="s">
        <v>890</v>
      </c>
      <c r="B412" s="106" t="s">
        <v>1873</v>
      </c>
      <c r="C412" s="78" t="s">
        <v>1892</v>
      </c>
      <c r="D412" s="81" t="str">
        <f>IF(MouserListTable[[#This Row],[Vendor]]=FilterSpecs!$A$8,MouserListTable[[#This Row],[Mouser SKU]], MouserListTable[[#This Row],[Supplier SKU]])</f>
        <v>474-BOB-12035</v>
      </c>
      <c r="E412" s="94">
        <f>MouserListTable[[#This Row],[Tot '#]]-MouserListTable[[#This Row],['# Initial]]</f>
        <v>0</v>
      </c>
      <c r="F412" s="94">
        <f>IF(AND(MouserListTable[[#This Row],[Tag]]&lt;&gt;FilterSpecs!$F$12, MouserListTable[[#This Row],[Tag]]&lt;&gt;FilterSpecs!$F$9), MouserListTable[[#This Row],['#/Unit]]*FilterSpecs!$B$3+MouserListTable[[#This Row],[Extra Initial]],0)</f>
        <v>0</v>
      </c>
      <c r="G412" s="78" t="s">
        <v>1708</v>
      </c>
      <c r="H412" s="150" t="s">
        <v>1709</v>
      </c>
      <c r="I412" s="81" t="s">
        <v>1710</v>
      </c>
      <c r="J412" s="78">
        <v>1</v>
      </c>
      <c r="K412" s="117">
        <v>1.95</v>
      </c>
      <c r="L412" s="81" t="s">
        <v>1896</v>
      </c>
      <c r="M412" s="78"/>
      <c r="N412" s="154">
        <f>MouserListTable[[#This Row],['# Initial]]*MouserListTable[[#This Row],[Price (USD)]]</f>
        <v>0</v>
      </c>
      <c r="O412" s="81" t="s">
        <v>1707</v>
      </c>
      <c r="P412" s="150">
        <f t="shared" si="7"/>
        <v>399</v>
      </c>
      <c r="Q412" s="78" t="s">
        <v>5</v>
      </c>
      <c r="R412"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474-BOB-12035</v>
      </c>
      <c r="S412" s="133" t="str">
        <f>HYPERLINK("https://www.mouser.com/ProductDetail/" &amp;MouserListTable[[#This Row],[Mouser SKU]])</f>
        <v>https://www.mouser.com/ProductDetail/474-BOB-12035</v>
      </c>
      <c r="T412" s="94">
        <v>0</v>
      </c>
      <c r="U412" s="94">
        <v>0</v>
      </c>
      <c r="V412" s="94">
        <v>0</v>
      </c>
      <c r="W412" s="94">
        <f>MouserListTable[[#This Row],['#/Unit]]*FilterSpecs!$C$3+MouserListTable[[#This Row],[Extra]]</f>
        <v>0</v>
      </c>
      <c r="X412" s="94">
        <f>IF(MouserListTable[[#This Row],[Tag]]=FilterSpecs!$F$7,MouserListTable[[#This Row],['#/Unit]]*MouserListTable[[#This Row],[Price (USD)]],0)</f>
        <v>0</v>
      </c>
      <c r="Y412" s="94">
        <f>MouserListTable[[#This Row],[Tot '#]]*MouserListTable[[#This Row],[Price (USD)]]</f>
        <v>0</v>
      </c>
      <c r="Z412"/>
    </row>
    <row r="413" spans="1:26" s="104" customFormat="1" x14ac:dyDescent="0.25">
      <c r="A413" s="106" t="s">
        <v>890</v>
      </c>
      <c r="B413" s="106" t="s">
        <v>1873</v>
      </c>
      <c r="C413" s="78" t="s">
        <v>1892</v>
      </c>
      <c r="D413" s="81" t="str">
        <f>IF(MouserListTable[[#This Row],[Vendor]]=FilterSpecs!$A$8,MouserListTable[[#This Row],[Mouser SKU]], MouserListTable[[#This Row],[Supplier SKU]])</f>
        <v>474-BOB-10031</v>
      </c>
      <c r="E413" s="94">
        <f>MouserListTable[[#This Row],[Tot '#]]-MouserListTable[[#This Row],['# Initial]]</f>
        <v>0</v>
      </c>
      <c r="F413" s="94">
        <f>IF(AND(MouserListTable[[#This Row],[Tag]]&lt;&gt;FilterSpecs!$F$12, MouserListTable[[#This Row],[Tag]]&lt;&gt;FilterSpecs!$F$9), MouserListTable[[#This Row],['#/Unit]]*FilterSpecs!$B$3+MouserListTable[[#This Row],[Extra Initial]],0)</f>
        <v>0</v>
      </c>
      <c r="G413" s="78" t="s">
        <v>1712</v>
      </c>
      <c r="H413" s="150" t="s">
        <v>1713</v>
      </c>
      <c r="I413" s="81" t="s">
        <v>1714</v>
      </c>
      <c r="J413" s="78">
        <v>1</v>
      </c>
      <c r="K413" s="117">
        <v>3.95</v>
      </c>
      <c r="L413" s="81" t="s">
        <v>1896</v>
      </c>
      <c r="M413" s="78"/>
      <c r="N413" s="154">
        <f>MouserListTable[[#This Row],['# Initial]]*MouserListTable[[#This Row],[Price (USD)]]</f>
        <v>0</v>
      </c>
      <c r="O413" s="81" t="s">
        <v>1711</v>
      </c>
      <c r="P413" s="150">
        <f t="shared" si="7"/>
        <v>400</v>
      </c>
      <c r="Q413" s="78" t="s">
        <v>5</v>
      </c>
      <c r="R413"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474-BOB-10031</v>
      </c>
      <c r="S413" s="133" t="str">
        <f>HYPERLINK("https://www.mouser.com/ProductDetail/" &amp;MouserListTable[[#This Row],[Mouser SKU]])</f>
        <v>https://www.mouser.com/ProductDetail/474-BOB-10031</v>
      </c>
      <c r="T413" s="94">
        <v>0</v>
      </c>
      <c r="U413" s="94">
        <v>0</v>
      </c>
      <c r="V413" s="94">
        <v>0</v>
      </c>
      <c r="W413" s="94">
        <f>MouserListTable[[#This Row],['#/Unit]]*FilterSpecs!$C$3+MouserListTable[[#This Row],[Extra]]</f>
        <v>0</v>
      </c>
      <c r="X413" s="94">
        <f>IF(MouserListTable[[#This Row],[Tag]]=FilterSpecs!$F$7,MouserListTable[[#This Row],['#/Unit]]*MouserListTable[[#This Row],[Price (USD)]],0)</f>
        <v>0</v>
      </c>
      <c r="Y413" s="94">
        <f>MouserListTable[[#This Row],[Tot '#]]*MouserListTable[[#This Row],[Price (USD)]]</f>
        <v>0</v>
      </c>
      <c r="Z413"/>
    </row>
    <row r="414" spans="1:26" s="104" customFormat="1" x14ac:dyDescent="0.25">
      <c r="A414" s="106" t="s">
        <v>890</v>
      </c>
      <c r="B414" s="106" t="s">
        <v>1873</v>
      </c>
      <c r="C414" s="78" t="s">
        <v>1892</v>
      </c>
      <c r="D414" s="81" t="str">
        <f>IF(MouserListTable[[#This Row],[Vendor]]=FilterSpecs!$A$8,MouserListTable[[#This Row],[Mouser SKU]], MouserListTable[[#This Row],[Supplier SKU]])</f>
        <v>474-BOB-09966</v>
      </c>
      <c r="E414" s="94">
        <f>MouserListTable[[#This Row],[Tot '#]]-MouserListTable[[#This Row],['# Initial]]</f>
        <v>0</v>
      </c>
      <c r="F414" s="94">
        <f>IF(AND(MouserListTable[[#This Row],[Tag]]&lt;&gt;FilterSpecs!$F$12, MouserListTable[[#This Row],[Tag]]&lt;&gt;FilterSpecs!$F$9), MouserListTable[[#This Row],['#/Unit]]*FilterSpecs!$B$3+MouserListTable[[#This Row],[Extra Initial]],0)</f>
        <v>0</v>
      </c>
      <c r="G414" s="78" t="s">
        <v>1704</v>
      </c>
      <c r="H414" s="150" t="s">
        <v>1705</v>
      </c>
      <c r="I414" s="81" t="s">
        <v>1706</v>
      </c>
      <c r="J414" s="78">
        <v>1</v>
      </c>
      <c r="K414" s="117">
        <v>1.95</v>
      </c>
      <c r="L414" s="81" t="s">
        <v>1896</v>
      </c>
      <c r="M414" s="78"/>
      <c r="N414" s="154">
        <f>MouserListTable[[#This Row],['# Initial]]*MouserListTable[[#This Row],[Price (USD)]]</f>
        <v>0</v>
      </c>
      <c r="O414" s="81" t="s">
        <v>1703</v>
      </c>
      <c r="P414" s="150">
        <f t="shared" si="7"/>
        <v>401</v>
      </c>
      <c r="Q414" s="78" t="s">
        <v>5</v>
      </c>
      <c r="R414"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474-BOB-09966</v>
      </c>
      <c r="S414" s="133" t="str">
        <f>HYPERLINK("https://www.mouser.com/ProductDetail/" &amp;MouserListTable[[#This Row],[Mouser SKU]])</f>
        <v>https://www.mouser.com/ProductDetail/474-BOB-09966</v>
      </c>
      <c r="T414" s="94">
        <v>0</v>
      </c>
      <c r="U414" s="94">
        <v>0</v>
      </c>
      <c r="V414" s="94">
        <v>0</v>
      </c>
      <c r="W414" s="94">
        <f>MouserListTable[[#This Row],['#/Unit]]*FilterSpecs!$C$3+MouserListTable[[#This Row],[Extra]]</f>
        <v>0</v>
      </c>
      <c r="X414" s="94">
        <f>IF(MouserListTable[[#This Row],[Tag]]=FilterSpecs!$F$7,MouserListTable[[#This Row],['#/Unit]]*MouserListTable[[#This Row],[Price (USD)]],0)</f>
        <v>0</v>
      </c>
      <c r="Y414" s="94">
        <f>MouserListTable[[#This Row],[Tot '#]]*MouserListTable[[#This Row],[Price (USD)]]</f>
        <v>0</v>
      </c>
      <c r="Z414"/>
    </row>
    <row r="415" spans="1:26" s="146" customFormat="1" x14ac:dyDescent="0.25">
      <c r="A415" s="153" t="s">
        <v>890</v>
      </c>
      <c r="B415" s="153" t="s">
        <v>1875</v>
      </c>
      <c r="C415" s="150" t="s">
        <v>1892</v>
      </c>
      <c r="D415" s="151" t="str">
        <f>IF(MouserListTable[[#This Row],[Vendor]]=FilterSpecs!$A$8,MouserListTable[[#This Row],[Mouser SKU]], MouserListTable[[#This Row],[Supplier SKU]])</f>
        <v>474-PRT-09740</v>
      </c>
      <c r="E415" s="152">
        <f>MouserListTable[[#This Row],[Tot '#]]-MouserListTable[[#This Row],['# Initial]]</f>
        <v>0</v>
      </c>
      <c r="F415" s="152">
        <f>IF(AND(MouserListTable[[#This Row],[Tag]]&lt;&gt;FilterSpecs!$F$12, MouserListTable[[#This Row],[Tag]]&lt;&gt;FilterSpecs!$F$9), MouserListTable[[#This Row],['#/Unit]]*FilterSpecs!$B$3+MouserListTable[[#This Row],[Extra Initial]],0)</f>
        <v>0</v>
      </c>
      <c r="G415" s="147" t="s">
        <v>1566</v>
      </c>
      <c r="H415" s="150" t="s">
        <v>1567</v>
      </c>
      <c r="I415" s="151" t="s">
        <v>1568</v>
      </c>
      <c r="J415" s="150">
        <v>1</v>
      </c>
      <c r="K415" s="154">
        <v>0.35</v>
      </c>
      <c r="L415" s="151" t="s">
        <v>1896</v>
      </c>
      <c r="M415" s="150"/>
      <c r="N415" s="154">
        <f>MouserListTable[[#This Row],['# Initial]]*MouserListTable[[#This Row],[Price (USD)]]</f>
        <v>0</v>
      </c>
      <c r="O415" s="151" t="s">
        <v>1565</v>
      </c>
      <c r="P415" s="150">
        <f t="shared" si="7"/>
        <v>402</v>
      </c>
      <c r="Q415" s="150" t="s">
        <v>5</v>
      </c>
      <c r="R41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474-PRT-09740</v>
      </c>
      <c r="S415" s="157" t="str">
        <f>HYPERLINK("https://www.mouser.com/ProductDetail/" &amp;MouserListTable[[#This Row],[Mouser SKU]])</f>
        <v>https://www.mouser.com/ProductDetail/474-PRT-09740</v>
      </c>
      <c r="T415" s="152">
        <v>0</v>
      </c>
      <c r="U415" s="152">
        <v>0</v>
      </c>
      <c r="V415" s="152">
        <v>0</v>
      </c>
      <c r="W415" s="152">
        <f>MouserListTable[[#This Row],['#/Unit]]*FilterSpecs!$C$3+MouserListTable[[#This Row],[Extra]]</f>
        <v>0</v>
      </c>
      <c r="X415" s="152">
        <f>IF(MouserListTable[[#This Row],[Tag]]=FilterSpecs!$F$7,MouserListTable[[#This Row],['#/Unit]]*MouserListTable[[#This Row],[Price (USD)]],0)</f>
        <v>0</v>
      </c>
      <c r="Y415" s="152">
        <f>MouserListTable[[#This Row],[Tot '#]]*MouserListTable[[#This Row],[Price (USD)]]</f>
        <v>0</v>
      </c>
    </row>
    <row r="416" spans="1:26" s="146" customFormat="1" x14ac:dyDescent="0.25">
      <c r="A416" s="153" t="s">
        <v>890</v>
      </c>
      <c r="B416" s="153" t="s">
        <v>1875</v>
      </c>
      <c r="C416" s="150" t="s">
        <v>1892</v>
      </c>
      <c r="D416" s="151" t="str">
        <f>IF(MouserListTable[[#This Row],[Vendor]]=FilterSpecs!$A$8,MouserListTable[[#This Row],[Mouser SKU]], MouserListTable[[#This Row],[Supplier SKU]])</f>
        <v>474-PRT-09739</v>
      </c>
      <c r="E416" s="152">
        <f>MouserListTable[[#This Row],[Tot '#]]-MouserListTable[[#This Row],['# Initial]]</f>
        <v>0</v>
      </c>
      <c r="F416" s="152">
        <f>IF(AND(MouserListTable[[#This Row],[Tag]]&lt;&gt;FilterSpecs!$F$12, MouserListTable[[#This Row],[Tag]]&lt;&gt;FilterSpecs!$F$9), MouserListTable[[#This Row],['#/Unit]]*FilterSpecs!$B$3+MouserListTable[[#This Row],[Extra Initial]],0)</f>
        <v>0</v>
      </c>
      <c r="G416" s="147" t="s">
        <v>1538</v>
      </c>
      <c r="H416" s="150" t="s">
        <v>1539</v>
      </c>
      <c r="I416" s="151" t="s">
        <v>1540</v>
      </c>
      <c r="J416" s="150">
        <v>1</v>
      </c>
      <c r="K416" s="154">
        <v>0.35</v>
      </c>
      <c r="L416" s="151" t="s">
        <v>1896</v>
      </c>
      <c r="M416" s="150"/>
      <c r="N416" s="154">
        <f>MouserListTable[[#This Row],['# Initial]]*MouserListTable[[#This Row],[Price (USD)]]</f>
        <v>0</v>
      </c>
      <c r="O416" s="151" t="s">
        <v>1537</v>
      </c>
      <c r="P416" s="150">
        <f t="shared" si="7"/>
        <v>403</v>
      </c>
      <c r="Q416" s="150" t="s">
        <v>5</v>
      </c>
      <c r="R41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474-PRT-09739</v>
      </c>
      <c r="S416" s="157" t="str">
        <f>HYPERLINK("https://www.mouser.com/ProductDetail/" &amp;MouserListTable[[#This Row],[Mouser SKU]])</f>
        <v>https://www.mouser.com/ProductDetail/474-PRT-09739</v>
      </c>
      <c r="T416" s="152">
        <v>0</v>
      </c>
      <c r="U416" s="152">
        <v>0</v>
      </c>
      <c r="V416" s="152">
        <v>0</v>
      </c>
      <c r="W416" s="152">
        <f>MouserListTable[[#This Row],['#/Unit]]*FilterSpecs!$C$3+MouserListTable[[#This Row],[Extra]]</f>
        <v>0</v>
      </c>
      <c r="X416" s="152">
        <f>IF(MouserListTable[[#This Row],[Tag]]=FilterSpecs!$F$7,MouserListTable[[#This Row],['#/Unit]]*MouserListTable[[#This Row],[Price (USD)]],0)</f>
        <v>0</v>
      </c>
      <c r="Y416" s="152">
        <f>MouserListTable[[#This Row],[Tot '#]]*MouserListTable[[#This Row],[Price (USD)]]</f>
        <v>0</v>
      </c>
    </row>
    <row r="417" spans="1:26" s="104" customFormat="1" x14ac:dyDescent="0.25">
      <c r="A417" s="106" t="s">
        <v>890</v>
      </c>
      <c r="B417" s="106" t="s">
        <v>1875</v>
      </c>
      <c r="C417" s="78" t="s">
        <v>1892</v>
      </c>
      <c r="D417" s="81" t="str">
        <f>IF(MouserListTable[[#This Row],[Vendor]]=FilterSpecs!$A$8,MouserListTable[[#This Row],[Mouser SKU]], MouserListTable[[#This Row],[Supplier SKU]])</f>
        <v>474-COM-14194</v>
      </c>
      <c r="E417" s="94">
        <f>MouserListTable[[#This Row],[Tot '#]]-MouserListTable[[#This Row],['# Initial]]</f>
        <v>4</v>
      </c>
      <c r="F417" s="94">
        <f>IF(AND(MouserListTable[[#This Row],[Tag]]&lt;&gt;FilterSpecs!$F$12, MouserListTable[[#This Row],[Tag]]&lt;&gt;FilterSpecs!$F$9), MouserListTable[[#This Row],['#/Unit]]*FilterSpecs!$B$3+MouserListTable[[#This Row],[Extra Initial]],0)</f>
        <v>5</v>
      </c>
      <c r="G417" s="78" t="s">
        <v>697</v>
      </c>
      <c r="H417" s="150" t="s">
        <v>698</v>
      </c>
      <c r="I417" s="81" t="s">
        <v>699</v>
      </c>
      <c r="J417" s="78">
        <v>1</v>
      </c>
      <c r="K417" s="117">
        <v>1.95</v>
      </c>
      <c r="L417" s="81" t="s">
        <v>1897</v>
      </c>
      <c r="M417" s="78"/>
      <c r="N417" s="154">
        <f>MouserListTable[[#This Row],['# Initial]]*MouserListTable[[#This Row],[Price (USD)]]</f>
        <v>9.75</v>
      </c>
      <c r="O417" s="81" t="s">
        <v>696</v>
      </c>
      <c r="P417" s="150">
        <f t="shared" si="7"/>
        <v>404</v>
      </c>
      <c r="Q417" s="78" t="s">
        <v>5</v>
      </c>
      <c r="R417"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474-COM-14194</v>
      </c>
      <c r="S417" s="133" t="str">
        <f>HYPERLINK("https://www.mouser.com/ProductDetail/" &amp;MouserListTable[[#This Row],[Mouser SKU]])</f>
        <v>https://www.mouser.com/ProductDetail/474-COM-14194</v>
      </c>
      <c r="T417" s="94">
        <f>SUM(T146:T157)</f>
        <v>1</v>
      </c>
      <c r="U417" s="94">
        <f>SUM(U146:U157)</f>
        <v>4</v>
      </c>
      <c r="V417" s="94">
        <f>SUM(V146:V157)</f>
        <v>0</v>
      </c>
      <c r="W417" s="94">
        <f>MouserListTable[[#This Row],['#/Unit]]*FilterSpecs!$C$3+MouserListTable[[#This Row],[Extra]]</f>
        <v>9</v>
      </c>
      <c r="X417" s="94">
        <f>IF(MouserListTable[[#This Row],[Tag]]=FilterSpecs!$F$7,MouserListTable[[#This Row],['#/Unit]]*MouserListTable[[#This Row],[Price (USD)]],0)</f>
        <v>1.95</v>
      </c>
      <c r="Y417" s="94">
        <f>MouserListTable[[#This Row],[Tot '#]]*MouserListTable[[#This Row],[Price (USD)]]</f>
        <v>17.55</v>
      </c>
      <c r="Z417"/>
    </row>
    <row r="418" spans="1:26" s="104" customFormat="1" x14ac:dyDescent="0.25">
      <c r="A418" s="81" t="s">
        <v>890</v>
      </c>
      <c r="B418" s="81" t="s">
        <v>1875</v>
      </c>
      <c r="C418" s="78" t="s">
        <v>1892</v>
      </c>
      <c r="D418" s="81" t="str">
        <f>IF(MouserListTable[[#This Row],[Vendor]]=FilterSpecs!$A$8,MouserListTable[[#This Row],[Mouser SKU]], MouserListTable[[#This Row],[Supplier SKU]])</f>
        <v>474-COM-14195</v>
      </c>
      <c r="E418" s="94">
        <f>MouserListTable[[#This Row],[Tot '#]]-MouserListTable[[#This Row],['# Initial]]</f>
        <v>4</v>
      </c>
      <c r="F418" s="94">
        <f>IF(AND(MouserListTable[[#This Row],[Tag]]&lt;&gt;FilterSpecs!$F$12, MouserListTable[[#This Row],[Tag]]&lt;&gt;FilterSpecs!$F$9), MouserListTable[[#This Row],['#/Unit]]*FilterSpecs!$B$3+MouserListTable[[#This Row],[Extra Initial]],0)</f>
        <v>5</v>
      </c>
      <c r="G418" s="78" t="s">
        <v>693</v>
      </c>
      <c r="H418" s="150" t="s">
        <v>694</v>
      </c>
      <c r="I418" s="81" t="s">
        <v>695</v>
      </c>
      <c r="J418" s="78">
        <v>1</v>
      </c>
      <c r="K418" s="117">
        <v>1.95</v>
      </c>
      <c r="L418" s="81" t="s">
        <v>1897</v>
      </c>
      <c r="M418" s="78"/>
      <c r="N418" s="154">
        <f>MouserListTable[[#This Row],['# Initial]]*MouserListTable[[#This Row],[Price (USD)]]</f>
        <v>9.75</v>
      </c>
      <c r="O418" s="81" t="s">
        <v>692</v>
      </c>
      <c r="P418" s="150">
        <f t="shared" si="7"/>
        <v>405</v>
      </c>
      <c r="Q418" s="78" t="s">
        <v>5</v>
      </c>
      <c r="R418"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474-COM-14195</v>
      </c>
      <c r="S418" s="133" t="str">
        <f>HYPERLINK("https://www.mouser.com/ProductDetail/" &amp;MouserListTable[[#This Row],[Mouser SKU]])</f>
        <v>https://www.mouser.com/ProductDetail/474-COM-14195</v>
      </c>
      <c r="T418" s="94">
        <f>SUM(T146:T157)</f>
        <v>1</v>
      </c>
      <c r="U418" s="94">
        <f>SUM(U146:U157)</f>
        <v>4</v>
      </c>
      <c r="V418" s="94">
        <f>SUM(V146:V157)</f>
        <v>0</v>
      </c>
      <c r="W418" s="94">
        <f>MouserListTable[[#This Row],['#/Unit]]*FilterSpecs!$C$3+MouserListTable[[#This Row],[Extra]]</f>
        <v>9</v>
      </c>
      <c r="X418" s="94">
        <f>IF(MouserListTable[[#This Row],[Tag]]=FilterSpecs!$F$7,MouserListTable[[#This Row],['#/Unit]]*MouserListTable[[#This Row],[Price (USD)]],0)</f>
        <v>1.95</v>
      </c>
      <c r="Y418" s="94">
        <f>MouserListTable[[#This Row],[Tot '#]]*MouserListTable[[#This Row],[Price (USD)]]</f>
        <v>17.55</v>
      </c>
      <c r="Z418"/>
    </row>
    <row r="419" spans="1:26" s="106" customFormat="1" x14ac:dyDescent="0.25">
      <c r="A419" s="106" t="s">
        <v>890</v>
      </c>
      <c r="B419" s="106" t="s">
        <v>1875</v>
      </c>
      <c r="C419" s="78" t="s">
        <v>1892</v>
      </c>
      <c r="D419" s="81" t="str">
        <f>IF(MouserListTable[[#This Row],[Vendor]]=FilterSpecs!$A$8,MouserListTable[[#This Row],[Mouser SKU]], MouserListTable[[#This Row],[Supplier SKU]])</f>
        <v>474-PRT-09044</v>
      </c>
      <c r="E419" s="94">
        <f>MouserListTable[[#This Row],[Tot '#]]-MouserListTable[[#This Row],['# Initial]]</f>
        <v>0</v>
      </c>
      <c r="F419" s="94">
        <f>IF(AND(MouserListTable[[#This Row],[Tag]]&lt;&gt;FilterSpecs!$F$12, MouserListTable[[#This Row],[Tag]]&lt;&gt;FilterSpecs!$F$9), MouserListTable[[#This Row],['#/Unit]]*FilterSpecs!$B$3+MouserListTable[[#This Row],[Extra Initial]],0)</f>
        <v>0</v>
      </c>
      <c r="G419" s="78" t="s">
        <v>745</v>
      </c>
      <c r="H419" s="150" t="s">
        <v>746</v>
      </c>
      <c r="I419" s="81" t="s">
        <v>747</v>
      </c>
      <c r="J419" s="78">
        <v>1</v>
      </c>
      <c r="K419" s="117">
        <v>0.35</v>
      </c>
      <c r="L419" s="81" t="s">
        <v>1896</v>
      </c>
      <c r="M419" s="78"/>
      <c r="N419" s="154">
        <f>MouserListTable[[#This Row],['# Initial]]*MouserListTable[[#This Row],[Price (USD)]]</f>
        <v>0</v>
      </c>
      <c r="O419" s="81" t="s">
        <v>744</v>
      </c>
      <c r="P419" s="150">
        <f t="shared" si="7"/>
        <v>406</v>
      </c>
      <c r="Q419" s="78" t="s">
        <v>5</v>
      </c>
      <c r="R419"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474-PRT-09044</v>
      </c>
      <c r="S419" s="133" t="str">
        <f>HYPERLINK("https://www.mouser.com/ProductDetail/" &amp;MouserListTable[[#This Row],[Mouser SKU]])</f>
        <v>https://www.mouser.com/ProductDetail/474-PRT-09044</v>
      </c>
      <c r="T419" s="94">
        <v>0</v>
      </c>
      <c r="U419" s="94">
        <v>0</v>
      </c>
      <c r="V419" s="94">
        <v>0</v>
      </c>
      <c r="W419" s="94">
        <f>MouserListTable[[#This Row],['#/Unit]]*FilterSpecs!$C$3+MouserListTable[[#This Row],[Extra]]</f>
        <v>0</v>
      </c>
      <c r="X419" s="94">
        <f>IF(MouserListTable[[#This Row],[Tag]]=FilterSpecs!$F$7,MouserListTable[[#This Row],['#/Unit]]*MouserListTable[[#This Row],[Price (USD)]],0)</f>
        <v>0</v>
      </c>
      <c r="Y419" s="94">
        <f>MouserListTable[[#This Row],[Tot '#]]*MouserListTable[[#This Row],[Price (USD)]]</f>
        <v>0</v>
      </c>
      <c r="Z419"/>
    </row>
    <row r="420" spans="1:26" s="106" customFormat="1" x14ac:dyDescent="0.25">
      <c r="A420" s="81" t="s">
        <v>890</v>
      </c>
      <c r="B420" s="81" t="s">
        <v>1875</v>
      </c>
      <c r="C420" s="78" t="s">
        <v>1892</v>
      </c>
      <c r="D420" s="81" t="str">
        <f>IF(MouserListTable[[#This Row],[Vendor]]=FilterSpecs!$A$8,MouserListTable[[#This Row],[Mouser SKU]], MouserListTable[[#This Row],[Supplier SKU]])</f>
        <v>485-3525</v>
      </c>
      <c r="E420" s="94">
        <f>MouserListTable[[#This Row],[Tot '#]]-MouserListTable[[#This Row],['# Initial]]</f>
        <v>0</v>
      </c>
      <c r="F420" s="94">
        <f>IF(AND(MouserListTable[[#This Row],[Tag]]&lt;&gt;FilterSpecs!$F$12, MouserListTable[[#This Row],[Tag]]&lt;&gt;FilterSpecs!$F$9), MouserListTable[[#This Row],['#/Unit]]*FilterSpecs!$B$3+MouserListTable[[#This Row],[Extra Initial]],0)</f>
        <v>1</v>
      </c>
      <c r="G420" s="78"/>
      <c r="H420" s="150"/>
      <c r="I420" s="81" t="s">
        <v>2125</v>
      </c>
      <c r="K420" s="117">
        <v>0.95</v>
      </c>
      <c r="L420" s="81" t="s">
        <v>1896</v>
      </c>
      <c r="M420" s="81"/>
      <c r="N420" s="154">
        <f>MouserListTable[[#This Row],['# Initial]]*MouserListTable[[#This Row],[Price (USD)]]</f>
        <v>0.95</v>
      </c>
      <c r="O420" s="81">
        <v>3525</v>
      </c>
      <c r="P420" s="150">
        <f t="shared" si="7"/>
        <v>407</v>
      </c>
      <c r="Q420" s="78" t="s">
        <v>1884</v>
      </c>
      <c r="R420"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485-3525</v>
      </c>
      <c r="S420" s="133" t="str">
        <f>HYPERLINK("https://www.mouser.com/ProductDetail/" &amp;MouserListTable[[#This Row],[Mouser SKU]])</f>
        <v>https://www.mouser.com/ProductDetail/485-3525</v>
      </c>
      <c r="T420" s="94">
        <v>0</v>
      </c>
      <c r="U420" s="94">
        <v>1</v>
      </c>
      <c r="V420" s="94">
        <v>1</v>
      </c>
      <c r="W420" s="94">
        <f>MouserListTable[[#This Row],['#/Unit]]*FilterSpecs!$C$3+MouserListTable[[#This Row],[Extra]]</f>
        <v>1</v>
      </c>
      <c r="X420" s="94">
        <f>IF(MouserListTable[[#This Row],[Tag]]=FilterSpecs!$F$7,MouserListTable[[#This Row],['#/Unit]]*MouserListTable[[#This Row],[Price (USD)]],0)</f>
        <v>0</v>
      </c>
      <c r="Y420" s="94">
        <f>MouserListTable[[#This Row],[Tot '#]]*MouserListTable[[#This Row],[Price (USD)]]</f>
        <v>0.95</v>
      </c>
      <c r="Z420"/>
    </row>
    <row r="421" spans="1:26" s="106" customFormat="1" x14ac:dyDescent="0.25">
      <c r="A421" s="97" t="s">
        <v>890</v>
      </c>
      <c r="B421" s="106" t="s">
        <v>1603</v>
      </c>
      <c r="C421" s="78" t="s">
        <v>1892</v>
      </c>
      <c r="D421" s="81" t="str">
        <f>IF(MouserListTable[[#This Row],[Vendor]]=FilterSpecs!$A$8,MouserListTable[[#This Row],[Mouser SKU]], MouserListTable[[#This Row],[Supplier SKU]])</f>
        <v>474-KIT-13973</v>
      </c>
      <c r="E421" s="94">
        <f>MouserListTable[[#This Row],[Tot '#]]-MouserListTable[[#This Row],['# Initial]]</f>
        <v>0</v>
      </c>
      <c r="F421" s="94">
        <f>IF(AND(MouserListTable[[#This Row],[Tag]]&lt;&gt;FilterSpecs!$F$12, MouserListTable[[#This Row],[Tag]]&lt;&gt;FilterSpecs!$F$9), MouserListTable[[#This Row],['#/Unit]]*FilterSpecs!$B$3+MouserListTable[[#This Row],[Extra Initial]],0)</f>
        <v>0</v>
      </c>
      <c r="G421" s="78" t="s">
        <v>361</v>
      </c>
      <c r="H421" s="150" t="s">
        <v>362</v>
      </c>
      <c r="I421" s="81" t="s">
        <v>363</v>
      </c>
      <c r="J421" s="78">
        <v>1</v>
      </c>
      <c r="K421" s="117">
        <v>14.95</v>
      </c>
      <c r="L421" s="81" t="s">
        <v>2461</v>
      </c>
      <c r="M421" s="78"/>
      <c r="N421" s="154">
        <f>MouserListTable[[#This Row],['# Initial]]*MouserListTable[[#This Row],[Price (USD)]]</f>
        <v>0</v>
      </c>
      <c r="O421" s="81" t="s">
        <v>360</v>
      </c>
      <c r="P421" s="150">
        <f t="shared" si="7"/>
        <v>408</v>
      </c>
      <c r="Q421" s="78" t="s">
        <v>5</v>
      </c>
      <c r="R421"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474-KIT-13973</v>
      </c>
      <c r="S421" s="133" t="str">
        <f>HYPERLINK("https://www.mouser.com/ProductDetail/" &amp;MouserListTable[[#This Row],[Mouser SKU]])</f>
        <v>https://www.mouser.com/ProductDetail/474-KIT-13973</v>
      </c>
      <c r="T421" s="94">
        <v>0</v>
      </c>
      <c r="U421" s="94">
        <v>0</v>
      </c>
      <c r="V421" s="94">
        <v>0</v>
      </c>
      <c r="W421" s="94">
        <f>MouserListTable[[#This Row],['#/Unit]]*FilterSpecs!$C$3+MouserListTable[[#This Row],[Extra]]</f>
        <v>0</v>
      </c>
      <c r="X421" s="94">
        <f>IF(MouserListTable[[#This Row],[Tag]]=FilterSpecs!$F$7,MouserListTable[[#This Row],['#/Unit]]*MouserListTable[[#This Row],[Price (USD)]],0)</f>
        <v>0</v>
      </c>
      <c r="Y421" s="94">
        <f>MouserListTable[[#This Row],[Tot '#]]*MouserListTable[[#This Row],[Price (USD)]]</f>
        <v>0</v>
      </c>
      <c r="Z421"/>
    </row>
    <row r="422" spans="1:26" s="106" customFormat="1" x14ac:dyDescent="0.25">
      <c r="A422" s="78" t="s">
        <v>890</v>
      </c>
      <c r="B422" s="81" t="s">
        <v>1603</v>
      </c>
      <c r="C422" s="78" t="s">
        <v>1892</v>
      </c>
      <c r="D422" s="81" t="str">
        <f>IF(MouserListTable[[#This Row],[Vendor]]=FilterSpecs!$A$8,MouserListTable[[#This Row],[Mouser SKU]], MouserListTable[[#This Row],[Supplier SKU]])</f>
        <v>485-2975</v>
      </c>
      <c r="E422" s="94">
        <f>MouserListTable[[#This Row],[Tot '#]]-MouserListTable[[#This Row],['# Initial]]</f>
        <v>0</v>
      </c>
      <c r="F422" s="94">
        <f>IF(AND(MouserListTable[[#This Row],[Tag]]&lt;&gt;FilterSpecs!$F$12, MouserListTable[[#This Row],[Tag]]&lt;&gt;FilterSpecs!$F$9), MouserListTable[[#This Row],['#/Unit]]*FilterSpecs!$B$3+MouserListTable[[#This Row],[Extra Initial]],0)</f>
        <v>1</v>
      </c>
      <c r="G422" s="78"/>
      <c r="H422" s="150"/>
      <c r="I422" s="81" t="s">
        <v>2129</v>
      </c>
      <c r="K422" s="117">
        <v>19.95</v>
      </c>
      <c r="L422" s="81" t="s">
        <v>1896</v>
      </c>
      <c r="M422" s="81"/>
      <c r="N422" s="154">
        <f>MouserListTable[[#This Row],['# Initial]]*MouserListTable[[#This Row],[Price (USD)]]</f>
        <v>19.95</v>
      </c>
      <c r="O422" s="81" t="s">
        <v>2128</v>
      </c>
      <c r="P422" s="150">
        <f t="shared" si="7"/>
        <v>409</v>
      </c>
      <c r="Q422" s="78" t="s">
        <v>1884</v>
      </c>
      <c r="R422"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485-2975</v>
      </c>
      <c r="S422" s="133" t="str">
        <f>HYPERLINK("https://www.mouser.com/ProductDetail/" &amp;MouserListTable[[#This Row],[Mouser SKU]])</f>
        <v>https://www.mouser.com/ProductDetail/485-2975</v>
      </c>
      <c r="T422" s="94">
        <v>0</v>
      </c>
      <c r="U422" s="94">
        <v>1</v>
      </c>
      <c r="V422" s="94">
        <v>1</v>
      </c>
      <c r="W422" s="94">
        <f>MouserListTable[[#This Row],['#/Unit]]*FilterSpecs!$C$3+MouserListTable[[#This Row],[Extra]]</f>
        <v>1</v>
      </c>
      <c r="X422" s="94">
        <f>IF(MouserListTable[[#This Row],[Tag]]=FilterSpecs!$F$7,MouserListTable[[#This Row],['#/Unit]]*MouserListTable[[#This Row],[Price (USD)]],0)</f>
        <v>0</v>
      </c>
      <c r="Y422" s="94">
        <f>MouserListTable[[#This Row],[Tot '#]]*MouserListTable[[#This Row],[Price (USD)]]</f>
        <v>19.95</v>
      </c>
      <c r="Z422"/>
    </row>
    <row r="423" spans="1:26" s="106" customFormat="1" x14ac:dyDescent="0.25">
      <c r="A423" s="97" t="s">
        <v>890</v>
      </c>
      <c r="B423" s="106" t="s">
        <v>1603</v>
      </c>
      <c r="C423" s="78" t="s">
        <v>1892</v>
      </c>
      <c r="D423" s="81" t="str">
        <f>IF(MouserListTable[[#This Row],[Vendor]]=FilterSpecs!$A$8,MouserListTable[[#This Row],[Mouser SKU]], MouserListTable[[#This Row],[Supplier SKU]])</f>
        <v>474-COM-00522</v>
      </c>
      <c r="E423" s="94">
        <f>MouserListTable[[#This Row],[Tot '#]]-MouserListTable[[#This Row],['# Initial]]</f>
        <v>0</v>
      </c>
      <c r="F423" s="94">
        <f>IF(AND(MouserListTable[[#This Row],[Tag]]&lt;&gt;FilterSpecs!$F$12, MouserListTable[[#This Row],[Tag]]&lt;&gt;FilterSpecs!$F$9), MouserListTable[[#This Row],['#/Unit]]*FilterSpecs!$B$3+MouserListTable[[#This Row],[Extra Initial]],0)</f>
        <v>0</v>
      </c>
      <c r="G423" s="78" t="s">
        <v>1554</v>
      </c>
      <c r="H423" s="150" t="s">
        <v>1555</v>
      </c>
      <c r="I423" s="81" t="s">
        <v>1556</v>
      </c>
      <c r="J423" s="78">
        <v>1</v>
      </c>
      <c r="K423" s="117">
        <v>0.5</v>
      </c>
      <c r="L423" s="81" t="s">
        <v>1896</v>
      </c>
      <c r="M423" s="78"/>
      <c r="N423" s="154">
        <f>MouserListTable[[#This Row],['# Initial]]*MouserListTable[[#This Row],[Price (USD)]]</f>
        <v>0</v>
      </c>
      <c r="O423" s="81" t="s">
        <v>1553</v>
      </c>
      <c r="P423" s="150">
        <f t="shared" si="7"/>
        <v>410</v>
      </c>
      <c r="Q423" s="78" t="s">
        <v>5</v>
      </c>
      <c r="R423"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474-COM-00522</v>
      </c>
      <c r="S423" s="133" t="str">
        <f>HYPERLINK("https://www.mouser.com/ProductDetail/" &amp;MouserListTable[[#This Row],[Mouser SKU]])</f>
        <v>https://www.mouser.com/ProductDetail/474-COM-00522</v>
      </c>
      <c r="T423" s="94">
        <v>0</v>
      </c>
      <c r="U423" s="94">
        <v>0</v>
      </c>
      <c r="V423" s="94">
        <v>0</v>
      </c>
      <c r="W423" s="94">
        <f>MouserListTable[[#This Row],['#/Unit]]*FilterSpecs!$C$3+MouserListTable[[#This Row],[Extra]]</f>
        <v>0</v>
      </c>
      <c r="X423" s="94">
        <f>IF(MouserListTable[[#This Row],[Tag]]=FilterSpecs!$F$7,MouserListTable[[#This Row],['#/Unit]]*MouserListTable[[#This Row],[Price (USD)]],0)</f>
        <v>0</v>
      </c>
      <c r="Y423" s="94">
        <f>MouserListTable[[#This Row],[Tot '#]]*MouserListTable[[#This Row],[Price (USD)]]</f>
        <v>0</v>
      </c>
      <c r="Z423"/>
    </row>
    <row r="424" spans="1:26" s="106" customFormat="1" x14ac:dyDescent="0.25">
      <c r="A424" s="97" t="s">
        <v>890</v>
      </c>
      <c r="B424" s="106" t="s">
        <v>1603</v>
      </c>
      <c r="C424" s="78" t="s">
        <v>1892</v>
      </c>
      <c r="D424" s="81" t="str">
        <f>IF(MouserListTable[[#This Row],[Vendor]]=FilterSpecs!$A$8,MouserListTable[[#This Row],[Mouser SKU]], MouserListTable[[#This Row],[Supplier SKU]])</f>
        <v>474-COM-00521</v>
      </c>
      <c r="E424" s="94">
        <f>MouserListTable[[#This Row],[Tot '#]]-MouserListTable[[#This Row],['# Initial]]</f>
        <v>0</v>
      </c>
      <c r="F424" s="94">
        <f>IF(AND(MouserListTable[[#This Row],[Tag]]&lt;&gt;FilterSpecs!$F$12, MouserListTable[[#This Row],[Tag]]&lt;&gt;FilterSpecs!$F$9), MouserListTable[[#This Row],['#/Unit]]*FilterSpecs!$B$3+MouserListTable[[#This Row],[Extra Initial]],0)</f>
        <v>0</v>
      </c>
      <c r="G424" s="78" t="s">
        <v>1558</v>
      </c>
      <c r="H424" s="150" t="s">
        <v>1559</v>
      </c>
      <c r="I424" s="81" t="s">
        <v>1560</v>
      </c>
      <c r="J424" s="78">
        <v>1</v>
      </c>
      <c r="K424" s="117">
        <v>0.5</v>
      </c>
      <c r="L424" s="81" t="s">
        <v>1896</v>
      </c>
      <c r="M424" s="78"/>
      <c r="N424" s="154">
        <f>MouserListTable[[#This Row],['# Initial]]*MouserListTable[[#This Row],[Price (USD)]]</f>
        <v>0</v>
      </c>
      <c r="O424" s="81" t="s">
        <v>1557</v>
      </c>
      <c r="P424" s="150">
        <f t="shared" si="7"/>
        <v>411</v>
      </c>
      <c r="Q424" s="78" t="s">
        <v>5</v>
      </c>
      <c r="R424"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474-COM-00521</v>
      </c>
      <c r="S424" s="133" t="str">
        <f>HYPERLINK("https://www.mouser.com/ProductDetail/" &amp;MouserListTable[[#This Row],[Mouser SKU]])</f>
        <v>https://www.mouser.com/ProductDetail/474-COM-00521</v>
      </c>
      <c r="T424" s="94">
        <v>0</v>
      </c>
      <c r="U424" s="94">
        <v>0</v>
      </c>
      <c r="V424" s="94">
        <v>0</v>
      </c>
      <c r="W424" s="94">
        <f>MouserListTable[[#This Row],['#/Unit]]*FilterSpecs!$C$3+MouserListTable[[#This Row],[Extra]]</f>
        <v>0</v>
      </c>
      <c r="X424" s="94">
        <f>IF(MouserListTable[[#This Row],[Tag]]=FilterSpecs!$F$7,MouserListTable[[#This Row],['#/Unit]]*MouserListTable[[#This Row],[Price (USD)]],0)</f>
        <v>0</v>
      </c>
      <c r="Y424" s="94">
        <f>MouserListTable[[#This Row],[Tot '#]]*MouserListTable[[#This Row],[Price (USD)]]</f>
        <v>0</v>
      </c>
      <c r="Z424"/>
    </row>
    <row r="425" spans="1:26" s="106" customFormat="1" x14ac:dyDescent="0.25">
      <c r="A425" s="97" t="s">
        <v>890</v>
      </c>
      <c r="B425" s="106" t="s">
        <v>1603</v>
      </c>
      <c r="C425" s="78" t="s">
        <v>1892</v>
      </c>
      <c r="D425" s="81" t="str">
        <f>IF(MouserListTable[[#This Row],[Vendor]]=FilterSpecs!$A$8,MouserListTable[[#This Row],[Mouser SKU]], MouserListTable[[#This Row],[Supplier SKU]])</f>
        <v>474-COM-08928</v>
      </c>
      <c r="E425" s="94">
        <f>MouserListTable[[#This Row],[Tot '#]]-MouserListTable[[#This Row],['# Initial]]</f>
        <v>0</v>
      </c>
      <c r="F425" s="94">
        <f>IF(AND(MouserListTable[[#This Row],[Tag]]&lt;&gt;FilterSpecs!$F$12, MouserListTable[[#This Row],[Tag]]&lt;&gt;FilterSpecs!$F$9), MouserListTable[[#This Row],['#/Unit]]*FilterSpecs!$B$3+MouserListTable[[#This Row],[Extra Initial]],0)</f>
        <v>0</v>
      </c>
      <c r="G425" s="78" t="s">
        <v>1542</v>
      </c>
      <c r="H425" s="150" t="s">
        <v>1543</v>
      </c>
      <c r="I425" s="81" t="s">
        <v>1544</v>
      </c>
      <c r="J425" s="78">
        <v>1</v>
      </c>
      <c r="K425" s="117">
        <v>0.5</v>
      </c>
      <c r="L425" s="81" t="s">
        <v>2461</v>
      </c>
      <c r="M425" s="78"/>
      <c r="N425" s="154">
        <f>MouserListTable[[#This Row],['# Initial]]*MouserListTable[[#This Row],[Price (USD)]]</f>
        <v>0</v>
      </c>
      <c r="O425" s="81" t="s">
        <v>1541</v>
      </c>
      <c r="P425" s="150">
        <f t="shared" si="7"/>
        <v>412</v>
      </c>
      <c r="Q425" s="78" t="s">
        <v>5</v>
      </c>
      <c r="R425"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474-COM-08928</v>
      </c>
      <c r="S425" s="133" t="str">
        <f>HYPERLINK("https://www.mouser.com/ProductDetail/" &amp;MouserListTable[[#This Row],[Mouser SKU]])</f>
        <v>https://www.mouser.com/ProductDetail/474-COM-08928</v>
      </c>
      <c r="T425" s="94">
        <v>0</v>
      </c>
      <c r="U425" s="94">
        <v>0</v>
      </c>
      <c r="V425" s="94">
        <v>0</v>
      </c>
      <c r="W425" s="94">
        <f>MouserListTable[[#This Row],['#/Unit]]*FilterSpecs!$C$3+MouserListTable[[#This Row],[Extra]]</f>
        <v>0</v>
      </c>
      <c r="X425" s="94">
        <f>IF(MouserListTable[[#This Row],[Tag]]=FilterSpecs!$F$7,MouserListTable[[#This Row],['#/Unit]]*MouserListTable[[#This Row],[Price (USD)]],0)</f>
        <v>0</v>
      </c>
      <c r="Y425" s="94">
        <f>MouserListTable[[#This Row],[Tot '#]]*MouserListTable[[#This Row],[Price (USD)]]</f>
        <v>0</v>
      </c>
      <c r="Z425"/>
    </row>
    <row r="426" spans="1:26" s="106" customFormat="1" x14ac:dyDescent="0.25">
      <c r="A426" s="97" t="s">
        <v>890</v>
      </c>
      <c r="B426" s="106" t="s">
        <v>1603</v>
      </c>
      <c r="C426" s="78" t="s">
        <v>1892</v>
      </c>
      <c r="D426" s="81" t="str">
        <f>IF(MouserListTable[[#This Row],[Vendor]]=FilterSpecs!$A$8,MouserListTable[[#This Row],[Mouser SKU]], MouserListTable[[#This Row],[Supplier SKU]])</f>
        <v>474-COM-10213</v>
      </c>
      <c r="E426" s="94">
        <f>MouserListTable[[#This Row],[Tot '#]]-MouserListTable[[#This Row],['# Initial]]</f>
        <v>0</v>
      </c>
      <c r="F426" s="94">
        <f>IF(AND(MouserListTable[[#This Row],[Tag]]&lt;&gt;FilterSpecs!$F$12, MouserListTable[[#This Row],[Tag]]&lt;&gt;FilterSpecs!$F$9), MouserListTable[[#This Row],['#/Unit]]*FilterSpecs!$B$3+MouserListTable[[#This Row],[Extra Initial]],0)</f>
        <v>0</v>
      </c>
      <c r="G426" s="78" t="s">
        <v>1546</v>
      </c>
      <c r="H426" s="150" t="s">
        <v>1547</v>
      </c>
      <c r="I426" s="81" t="s">
        <v>1548</v>
      </c>
      <c r="J426" s="78">
        <v>1</v>
      </c>
      <c r="K426" s="117">
        <v>0.95</v>
      </c>
      <c r="L426" s="81" t="s">
        <v>1896</v>
      </c>
      <c r="M426" s="78"/>
      <c r="N426" s="154">
        <f>MouserListTable[[#This Row],['# Initial]]*MouserListTable[[#This Row],[Price (USD)]]</f>
        <v>0</v>
      </c>
      <c r="O426" s="81" t="s">
        <v>1545</v>
      </c>
      <c r="P426" s="150">
        <f t="shared" si="7"/>
        <v>413</v>
      </c>
      <c r="Q426" s="78" t="s">
        <v>5</v>
      </c>
      <c r="R426"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474-COM-10213</v>
      </c>
      <c r="S426" s="133" t="str">
        <f>HYPERLINK("https://www.mouser.com/ProductDetail/" &amp;MouserListTable[[#This Row],[Mouser SKU]])</f>
        <v>https://www.mouser.com/ProductDetail/474-COM-10213</v>
      </c>
      <c r="T426" s="94">
        <v>0</v>
      </c>
      <c r="U426" s="94">
        <v>0</v>
      </c>
      <c r="V426" s="94">
        <v>0</v>
      </c>
      <c r="W426" s="94">
        <f>MouserListTable[[#This Row],['#/Unit]]*FilterSpecs!$C$3+MouserListTable[[#This Row],[Extra]]</f>
        <v>0</v>
      </c>
      <c r="X426" s="94">
        <f>IF(MouserListTable[[#This Row],[Tag]]=FilterSpecs!$F$7,MouserListTable[[#This Row],['#/Unit]]*MouserListTable[[#This Row],[Price (USD)]],0)</f>
        <v>0</v>
      </c>
      <c r="Y426" s="94">
        <f>MouserListTable[[#This Row],[Tot '#]]*MouserListTable[[#This Row],[Price (USD)]]</f>
        <v>0</v>
      </c>
      <c r="Z426"/>
    </row>
    <row r="427" spans="1:26" s="106" customFormat="1" x14ac:dyDescent="0.25">
      <c r="A427" s="97" t="s">
        <v>890</v>
      </c>
      <c r="B427" s="106" t="s">
        <v>1603</v>
      </c>
      <c r="C427" s="78" t="s">
        <v>1892</v>
      </c>
      <c r="D427" s="81" t="str">
        <f>IF(MouserListTable[[#This Row],[Vendor]]=FilterSpecs!$A$8,MouserListTable[[#This Row],[Mouser SKU]], MouserListTable[[#This Row],[Supplier SKU]])</f>
        <v>474-COM-10349</v>
      </c>
      <c r="E427" s="94">
        <f>MouserListTable[[#This Row],[Tot '#]]-MouserListTable[[#This Row],['# Initial]]</f>
        <v>0</v>
      </c>
      <c r="F427" s="94">
        <f>IF(AND(MouserListTable[[#This Row],[Tag]]&lt;&gt;FilterSpecs!$F$12, MouserListTable[[#This Row],[Tag]]&lt;&gt;FilterSpecs!$F$9), MouserListTable[[#This Row],['#/Unit]]*FilterSpecs!$B$3+MouserListTable[[#This Row],[Extra Initial]],0)</f>
        <v>0</v>
      </c>
      <c r="G427" s="78" t="s">
        <v>1550</v>
      </c>
      <c r="H427" s="150" t="s">
        <v>1551</v>
      </c>
      <c r="I427" s="81" t="s">
        <v>1552</v>
      </c>
      <c r="J427" s="78">
        <v>1</v>
      </c>
      <c r="K427" s="117">
        <v>0.95</v>
      </c>
      <c r="L427" s="81" t="s">
        <v>1899</v>
      </c>
      <c r="M427" s="78"/>
      <c r="N427" s="154">
        <f>MouserListTable[[#This Row],['# Initial]]*MouserListTable[[#This Row],[Price (USD)]]</f>
        <v>0</v>
      </c>
      <c r="O427" s="81" t="s">
        <v>1549</v>
      </c>
      <c r="P427" s="150">
        <f t="shared" si="7"/>
        <v>414</v>
      </c>
      <c r="Q427" s="78" t="s">
        <v>5</v>
      </c>
      <c r="R427"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474-COM-10349</v>
      </c>
      <c r="S427" s="133" t="str">
        <f>HYPERLINK("https://www.mouser.com/ProductDetail/" &amp;MouserListTable[[#This Row],[Mouser SKU]])</f>
        <v>https://www.mouser.com/ProductDetail/474-COM-10349</v>
      </c>
      <c r="T427" s="94">
        <v>0</v>
      </c>
      <c r="U427" s="94">
        <v>0</v>
      </c>
      <c r="V427" s="94">
        <v>0</v>
      </c>
      <c r="W427" s="94">
        <f>MouserListTable[[#This Row],['#/Unit]]*FilterSpecs!$C$3+MouserListTable[[#This Row],[Extra]]</f>
        <v>0</v>
      </c>
      <c r="X427" s="94">
        <f>IF(MouserListTable[[#This Row],[Tag]]=FilterSpecs!$F$7,MouserListTable[[#This Row],['#/Unit]]*MouserListTable[[#This Row],[Price (USD)]],0)</f>
        <v>0</v>
      </c>
      <c r="Y427" s="94">
        <f>MouserListTable[[#This Row],[Tot '#]]*MouserListTable[[#This Row],[Price (USD)]]</f>
        <v>0</v>
      </c>
      <c r="Z427"/>
    </row>
    <row r="428" spans="1:26" s="106" customFormat="1" x14ac:dyDescent="0.25">
      <c r="A428" s="97" t="s">
        <v>890</v>
      </c>
      <c r="B428" s="106" t="s">
        <v>1603</v>
      </c>
      <c r="C428" s="78" t="s">
        <v>1892</v>
      </c>
      <c r="D428" s="81" t="str">
        <f>IF(MouserListTable[[#This Row],[Vendor]]=FilterSpecs!$A$8,MouserListTable[[#This Row],[Mouser SKU]], MouserListTable[[#This Row],[Supplier SKU]])</f>
        <v>474-COM-12901</v>
      </c>
      <c r="E428" s="94">
        <f>MouserListTable[[#This Row],[Tot '#]]-MouserListTable[[#This Row],['# Initial]]</f>
        <v>0</v>
      </c>
      <c r="F428" s="94">
        <f>IF(AND(MouserListTable[[#This Row],[Tag]]&lt;&gt;FilterSpecs!$F$12, MouserListTable[[#This Row],[Tag]]&lt;&gt;FilterSpecs!$F$9), MouserListTable[[#This Row],['#/Unit]]*FilterSpecs!$B$3+MouserListTable[[#This Row],[Extra Initial]],0)</f>
        <v>0</v>
      </c>
      <c r="G428" s="78" t="s">
        <v>1562</v>
      </c>
      <c r="H428" s="150" t="s">
        <v>1563</v>
      </c>
      <c r="I428" s="81" t="s">
        <v>1564</v>
      </c>
      <c r="J428" s="78"/>
      <c r="K428" s="117">
        <v>1.95</v>
      </c>
      <c r="L428" s="81" t="s">
        <v>1899</v>
      </c>
      <c r="M428" s="78"/>
      <c r="N428" s="154">
        <f>MouserListTable[[#This Row],['# Initial]]*MouserListTable[[#This Row],[Price (USD)]]</f>
        <v>0</v>
      </c>
      <c r="O428" s="81" t="s">
        <v>1561</v>
      </c>
      <c r="P428" s="150">
        <f t="shared" si="7"/>
        <v>415</v>
      </c>
      <c r="Q428" s="78" t="s">
        <v>5</v>
      </c>
      <c r="R428"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474-COM-12901</v>
      </c>
      <c r="S428" s="133" t="str">
        <f>HYPERLINK("https://www.mouser.com/ProductDetail/" &amp;MouserListTable[[#This Row],[Mouser SKU]])</f>
        <v>https://www.mouser.com/ProductDetail/474-COM-12901</v>
      </c>
      <c r="T428" s="94">
        <v>0</v>
      </c>
      <c r="U428" s="94">
        <v>0</v>
      </c>
      <c r="V428" s="94">
        <v>0</v>
      </c>
      <c r="W428" s="94">
        <f>MouserListTable[[#This Row],['#/Unit]]*FilterSpecs!$C$3+MouserListTable[[#This Row],[Extra]]</f>
        <v>0</v>
      </c>
      <c r="X428" s="94">
        <f>IF(MouserListTable[[#This Row],[Tag]]=FilterSpecs!$F$7,MouserListTable[[#This Row],['#/Unit]]*MouserListTable[[#This Row],[Price (USD)]],0)</f>
        <v>0</v>
      </c>
      <c r="Y428" s="94">
        <f>MouserListTable[[#This Row],[Tot '#]]*MouserListTable[[#This Row],[Price (USD)]]</f>
        <v>0</v>
      </c>
      <c r="Z428"/>
    </row>
    <row r="429" spans="1:26" s="106" customFormat="1" x14ac:dyDescent="0.25">
      <c r="A429" s="78" t="s">
        <v>890</v>
      </c>
      <c r="B429" s="81" t="s">
        <v>1603</v>
      </c>
      <c r="C429" s="78" t="s">
        <v>1892</v>
      </c>
      <c r="D429" s="81" t="str">
        <f>IF(MouserListTable[[#This Row],[Vendor]]=FilterSpecs!$A$8,MouserListTable[[#This Row],[Mouser SKU]], MouserListTable[[#This Row],[Supplier SKU]])</f>
        <v>474-COM-11078</v>
      </c>
      <c r="E429" s="94">
        <f>MouserListTable[[#This Row],[Tot '#]]-MouserListTable[[#This Row],['# Initial]]</f>
        <v>0</v>
      </c>
      <c r="F429" s="94">
        <f>IF(AND(MouserListTable[[#This Row],[Tag]]&lt;&gt;FilterSpecs!$F$12, MouserListTable[[#This Row],[Tag]]&lt;&gt;FilterSpecs!$F$9), MouserListTable[[#This Row],['#/Unit]]*FilterSpecs!$B$3+MouserListTable[[#This Row],[Extra Initial]],0)</f>
        <v>5</v>
      </c>
      <c r="G429" s="78" t="s">
        <v>385</v>
      </c>
      <c r="H429" s="150" t="s">
        <v>386</v>
      </c>
      <c r="I429" s="81" t="s">
        <v>387</v>
      </c>
      <c r="J429" s="78">
        <v>1</v>
      </c>
      <c r="K429" s="117">
        <v>0.5</v>
      </c>
      <c r="L429" s="81" t="s">
        <v>1897</v>
      </c>
      <c r="M429" s="78"/>
      <c r="N429" s="154">
        <f>MouserListTable[[#This Row],['# Initial]]*MouserListTable[[#This Row],[Price (USD)]]</f>
        <v>2.5</v>
      </c>
      <c r="O429" s="81" t="s">
        <v>384</v>
      </c>
      <c r="P429" s="150">
        <f t="shared" si="7"/>
        <v>416</v>
      </c>
      <c r="Q429" s="78" t="s">
        <v>5</v>
      </c>
      <c r="R429"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474-COM-11078</v>
      </c>
      <c r="S429" s="133" t="str">
        <f>HYPERLINK("https://www.mouser.com/ProductDetail/" &amp;MouserListTable[[#This Row],[Mouser SKU]])</f>
        <v>https://www.mouser.com/ProductDetail/474-COM-11078</v>
      </c>
      <c r="T429" s="94">
        <v>1</v>
      </c>
      <c r="U429" s="94">
        <v>0</v>
      </c>
      <c r="V429" s="94">
        <v>0</v>
      </c>
      <c r="W429" s="94">
        <f>MouserListTable[[#This Row],['#/Unit]]*FilterSpecs!$C$3+MouserListTable[[#This Row],[Extra]]</f>
        <v>5</v>
      </c>
      <c r="X429" s="94">
        <f>IF(MouserListTable[[#This Row],[Tag]]=FilterSpecs!$F$7,MouserListTable[[#This Row],['#/Unit]]*MouserListTable[[#This Row],[Price (USD)]],0)</f>
        <v>0.5</v>
      </c>
      <c r="Y429" s="94">
        <f>MouserListTable[[#This Row],[Tot '#]]*MouserListTable[[#This Row],[Price (USD)]]</f>
        <v>2.5</v>
      </c>
      <c r="Z429"/>
    </row>
    <row r="430" spans="1:26" s="106" customFormat="1" x14ac:dyDescent="0.25">
      <c r="A430" s="78" t="s">
        <v>890</v>
      </c>
      <c r="B430" s="81" t="s">
        <v>1603</v>
      </c>
      <c r="C430" s="78" t="s">
        <v>1892</v>
      </c>
      <c r="D430" s="81" t="str">
        <f>IF(MouserListTable[[#This Row],[Vendor]]=FilterSpecs!$A$8,MouserListTable[[#This Row],[Mouser SKU]], MouserListTable[[#This Row],[Supplier SKU]])</f>
        <v>474-COM-00526</v>
      </c>
      <c r="E430" s="94">
        <f>MouserListTable[[#This Row],[Tot '#]]-MouserListTable[[#This Row],['# Initial]]</f>
        <v>0</v>
      </c>
      <c r="F430" s="94">
        <f>IF(AND(MouserListTable[[#This Row],[Tag]]&lt;&gt;FilterSpecs!$F$12, MouserListTable[[#This Row],[Tag]]&lt;&gt;FilterSpecs!$F$9), MouserListTable[[#This Row],['#/Unit]]*FilterSpecs!$B$3+MouserListTable[[#This Row],[Extra Initial]],0)</f>
        <v>5</v>
      </c>
      <c r="G430" s="78" t="s">
        <v>373</v>
      </c>
      <c r="H430" s="150" t="s">
        <v>374</v>
      </c>
      <c r="I430" s="81" t="s">
        <v>375</v>
      </c>
      <c r="J430" s="78">
        <v>1</v>
      </c>
      <c r="K430" s="117">
        <v>1.95</v>
      </c>
      <c r="L430" s="81" t="s">
        <v>1897</v>
      </c>
      <c r="M430" s="78"/>
      <c r="N430" s="154">
        <f>MouserListTable[[#This Row],['# Initial]]*MouserListTable[[#This Row],[Price (USD)]]</f>
        <v>9.75</v>
      </c>
      <c r="O430" s="81" t="s">
        <v>372</v>
      </c>
      <c r="P430" s="150">
        <f t="shared" si="7"/>
        <v>417</v>
      </c>
      <c r="Q430" s="78" t="s">
        <v>5</v>
      </c>
      <c r="R430"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474-COM-00526</v>
      </c>
      <c r="S430" s="133" t="str">
        <f>HYPERLINK("https://www.mouser.com/ProductDetail/" &amp;MouserListTable[[#This Row],[Mouser SKU]])</f>
        <v>https://www.mouser.com/ProductDetail/474-COM-00526</v>
      </c>
      <c r="T430" s="94">
        <v>1</v>
      </c>
      <c r="U430" s="94">
        <v>0</v>
      </c>
      <c r="V430" s="94">
        <v>0</v>
      </c>
      <c r="W430" s="94">
        <f>MouserListTable[[#This Row],['#/Unit]]*FilterSpecs!$C$3+MouserListTable[[#This Row],[Extra]]</f>
        <v>5</v>
      </c>
      <c r="X430" s="94">
        <f>IF(MouserListTable[[#This Row],[Tag]]=FilterSpecs!$F$7,MouserListTable[[#This Row],['#/Unit]]*MouserListTable[[#This Row],[Price (USD)]],0)</f>
        <v>1.95</v>
      </c>
      <c r="Y430" s="94">
        <f>MouserListTable[[#This Row],[Tot '#]]*MouserListTable[[#This Row],[Price (USD)]]</f>
        <v>9.75</v>
      </c>
      <c r="Z430"/>
    </row>
    <row r="431" spans="1:26" s="106" customFormat="1" x14ac:dyDescent="0.25">
      <c r="A431" s="78" t="s">
        <v>890</v>
      </c>
      <c r="B431" s="81" t="s">
        <v>1603</v>
      </c>
      <c r="C431" s="78" t="s">
        <v>1892</v>
      </c>
      <c r="D431" s="81" t="str">
        <f>IF(MouserListTable[[#This Row],[Vendor]]=FilterSpecs!$A$8,MouserListTable[[#This Row],[Mouser SKU]], MouserListTable[[#This Row],[Supplier SKU]])</f>
        <v>474-COM-00107</v>
      </c>
      <c r="E431" s="94">
        <f>MouserListTable[[#This Row],[Tot '#]]-MouserListTable[[#This Row],['# Initial]]</f>
        <v>0</v>
      </c>
      <c r="F431" s="94">
        <f>IF(AND(MouserListTable[[#This Row],[Tag]]&lt;&gt;FilterSpecs!$F$12, MouserListTable[[#This Row],[Tag]]&lt;&gt;FilterSpecs!$F$9), MouserListTable[[#This Row],['#/Unit]]*FilterSpecs!$B$3+MouserListTable[[#This Row],[Extra Initial]],0)</f>
        <v>5</v>
      </c>
      <c r="G431" s="78" t="s">
        <v>389</v>
      </c>
      <c r="H431" s="150" t="s">
        <v>390</v>
      </c>
      <c r="I431" s="81" t="s">
        <v>391</v>
      </c>
      <c r="J431" s="78">
        <v>1</v>
      </c>
      <c r="K431" s="117">
        <v>0.95</v>
      </c>
      <c r="L431" s="81" t="s">
        <v>1897</v>
      </c>
      <c r="M431" s="78"/>
      <c r="N431" s="154">
        <f>MouserListTable[[#This Row],['# Initial]]*MouserListTable[[#This Row],[Price (USD)]]</f>
        <v>4.75</v>
      </c>
      <c r="O431" s="81" t="s">
        <v>388</v>
      </c>
      <c r="P431" s="150">
        <f t="shared" si="7"/>
        <v>418</v>
      </c>
      <c r="Q431" s="78" t="s">
        <v>5</v>
      </c>
      <c r="R431"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474-COM-00107</v>
      </c>
      <c r="S431" s="133" t="str">
        <f>HYPERLINK("https://www.mouser.com/ProductDetail/" &amp;MouserListTable[[#This Row],[Mouser SKU]])</f>
        <v>https://www.mouser.com/ProductDetail/474-COM-00107</v>
      </c>
      <c r="T431" s="94">
        <v>1</v>
      </c>
      <c r="U431" s="94">
        <v>0</v>
      </c>
      <c r="V431" s="94">
        <v>0</v>
      </c>
      <c r="W431" s="94">
        <f>MouserListTable[[#This Row],['#/Unit]]*FilterSpecs!$C$3+MouserListTable[[#This Row],[Extra]]</f>
        <v>5</v>
      </c>
      <c r="X431" s="94">
        <f>IF(MouserListTable[[#This Row],[Tag]]=FilterSpecs!$F$7,MouserListTable[[#This Row],['#/Unit]]*MouserListTable[[#This Row],[Price (USD)]],0)</f>
        <v>0.95</v>
      </c>
      <c r="Y431" s="94">
        <f>MouserListTable[[#This Row],[Tot '#]]*MouserListTable[[#This Row],[Price (USD)]]</f>
        <v>4.75</v>
      </c>
      <c r="Z431"/>
    </row>
    <row r="432" spans="1:26" s="106" customFormat="1" x14ac:dyDescent="0.25">
      <c r="A432" s="78" t="s">
        <v>890</v>
      </c>
      <c r="B432" s="81" t="s">
        <v>1603</v>
      </c>
      <c r="C432" s="78" t="s">
        <v>1892</v>
      </c>
      <c r="D432" s="81" t="str">
        <f>IF(MouserListTable[[#This Row],[Vendor]]=FilterSpecs!$A$8,MouserListTable[[#This Row],[Mouser SKU]], MouserListTable[[#This Row],[Supplier SKU]])</f>
        <v>474-COM-12766</v>
      </c>
      <c r="E432" s="94">
        <f>MouserListTable[[#This Row],[Tot '#]]-MouserListTable[[#This Row],['# Initial]]</f>
        <v>2</v>
      </c>
      <c r="F432" s="94">
        <f>IF(AND(MouserListTable[[#This Row],[Tag]]&lt;&gt;FilterSpecs!$F$12, MouserListTable[[#This Row],[Tag]]&lt;&gt;FilterSpecs!$F$9), MouserListTable[[#This Row],['#/Unit]]*FilterSpecs!$B$3+MouserListTable[[#This Row],[Extra Initial]],0)</f>
        <v>0</v>
      </c>
      <c r="G432" s="78" t="s">
        <v>1261</v>
      </c>
      <c r="H432" s="150" t="s">
        <v>1262</v>
      </c>
      <c r="I432" s="81" t="s">
        <v>1263</v>
      </c>
      <c r="J432" s="78">
        <v>1</v>
      </c>
      <c r="K432" s="117">
        <v>1.5</v>
      </c>
      <c r="L432" s="81" t="s">
        <v>1896</v>
      </c>
      <c r="M432" s="78"/>
      <c r="N432" s="154">
        <f>MouserListTable[[#This Row],['# Initial]]*MouserListTable[[#This Row],[Price (USD)]]</f>
        <v>0</v>
      </c>
      <c r="O432" s="81" t="s">
        <v>1260</v>
      </c>
      <c r="P432" s="150">
        <f t="shared" si="7"/>
        <v>419</v>
      </c>
      <c r="Q432" s="78" t="s">
        <v>5</v>
      </c>
      <c r="R432"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474-COM-12766</v>
      </c>
      <c r="S432" s="133" t="str">
        <f>HYPERLINK("https://www.mouser.com/ProductDetail/" &amp;MouserListTable[[#This Row],[Mouser SKU]])</f>
        <v>https://www.mouser.com/ProductDetail/474-COM-12766</v>
      </c>
      <c r="T432" s="94">
        <v>0</v>
      </c>
      <c r="U432" s="94">
        <v>2</v>
      </c>
      <c r="V432" s="94">
        <v>0</v>
      </c>
      <c r="W432" s="94">
        <f>MouserListTable[[#This Row],['#/Unit]]*FilterSpecs!$C$3+MouserListTable[[#This Row],[Extra]]</f>
        <v>2</v>
      </c>
      <c r="X432" s="94">
        <f>IF(MouserListTable[[#This Row],[Tag]]=FilterSpecs!$F$7,MouserListTable[[#This Row],['#/Unit]]*MouserListTable[[#This Row],[Price (USD)]],0)</f>
        <v>0</v>
      </c>
      <c r="Y432" s="94">
        <f>MouserListTable[[#This Row],[Tot '#]]*MouserListTable[[#This Row],[Price (USD)]]</f>
        <v>3</v>
      </c>
      <c r="Z432"/>
    </row>
    <row r="433" spans="1:26" s="106" customFormat="1" x14ac:dyDescent="0.25">
      <c r="A433" s="78" t="s">
        <v>890</v>
      </c>
      <c r="B433" s="81" t="s">
        <v>1603</v>
      </c>
      <c r="C433" s="78" t="s">
        <v>1892</v>
      </c>
      <c r="D433" s="81" t="str">
        <f>IF(MouserListTable[[#This Row],[Vendor]]=FilterSpecs!$A$8,MouserListTable[[#This Row],[Mouser SKU]], MouserListTable[[#This Row],[Supplier SKU]])</f>
        <v>474-COM-00527</v>
      </c>
      <c r="E433" s="94">
        <f>MouserListTable[[#This Row],[Tot '#]]-MouserListTable[[#This Row],['# Initial]]</f>
        <v>1</v>
      </c>
      <c r="F433" s="94">
        <f>IF(AND(MouserListTable[[#This Row],[Tag]]&lt;&gt;FilterSpecs!$F$12, MouserListTable[[#This Row],[Tag]]&lt;&gt;FilterSpecs!$F$9), MouserListTable[[#This Row],['#/Unit]]*FilterSpecs!$B$3+MouserListTable[[#This Row],[Extra Initial]],0)</f>
        <v>0</v>
      </c>
      <c r="G433" s="78" t="s">
        <v>377</v>
      </c>
      <c r="H433" s="150" t="s">
        <v>378</v>
      </c>
      <c r="I433" s="81" t="s">
        <v>379</v>
      </c>
      <c r="J433" s="78">
        <v>1</v>
      </c>
      <c r="K433" s="117">
        <v>1.95</v>
      </c>
      <c r="L433" s="81" t="s">
        <v>2461</v>
      </c>
      <c r="M433" s="78"/>
      <c r="N433" s="154">
        <f>MouserListTable[[#This Row],['# Initial]]*MouserListTable[[#This Row],[Price (USD)]]</f>
        <v>0</v>
      </c>
      <c r="O433" s="81" t="s">
        <v>376</v>
      </c>
      <c r="P433" s="150">
        <f t="shared" si="7"/>
        <v>420</v>
      </c>
      <c r="Q433" s="78" t="s">
        <v>5</v>
      </c>
      <c r="R433"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474-COM-00527</v>
      </c>
      <c r="S433" s="133" t="str">
        <f>HYPERLINK("https://www.mouser.com/ProductDetail/" &amp;MouserListTable[[#This Row],[Mouser SKU]])</f>
        <v>https://www.mouser.com/ProductDetail/474-COM-00527</v>
      </c>
      <c r="T433" s="94">
        <v>0</v>
      </c>
      <c r="U433" s="94">
        <v>1</v>
      </c>
      <c r="V433" s="94">
        <v>0</v>
      </c>
      <c r="W433" s="94">
        <f>MouserListTable[[#This Row],['#/Unit]]*FilterSpecs!$C$3+MouserListTable[[#This Row],[Extra]]</f>
        <v>1</v>
      </c>
      <c r="X433" s="94">
        <f>IF(MouserListTable[[#This Row],[Tag]]=FilterSpecs!$F$7,MouserListTable[[#This Row],['#/Unit]]*MouserListTable[[#This Row],[Price (USD)]],0)</f>
        <v>0</v>
      </c>
      <c r="Y433" s="94">
        <f>MouserListTable[[#This Row],[Tot '#]]*MouserListTable[[#This Row],[Price (USD)]]</f>
        <v>1.95</v>
      </c>
      <c r="Z433"/>
    </row>
    <row r="434" spans="1:26" s="106" customFormat="1" x14ac:dyDescent="0.25">
      <c r="A434" s="78" t="s">
        <v>890</v>
      </c>
      <c r="B434" s="81" t="s">
        <v>1603</v>
      </c>
      <c r="C434" s="78" t="s">
        <v>1892</v>
      </c>
      <c r="D434" s="81" t="str">
        <f>IF(MouserListTable[[#This Row],[Vendor]]=FilterSpecs!$A$8,MouserListTable[[#This Row],[Mouser SKU]], MouserListTable[[#This Row],[Supplier SKU]])</f>
        <v>474-PRT-07937</v>
      </c>
      <c r="E434" s="94">
        <f>MouserListTable[[#This Row],[Tot '#]]-MouserListTable[[#This Row],['# Initial]]</f>
        <v>1</v>
      </c>
      <c r="F434" s="94">
        <f>IF(AND(MouserListTable[[#This Row],[Tag]]&lt;&gt;FilterSpecs!$F$12, MouserListTable[[#This Row],[Tag]]&lt;&gt;FilterSpecs!$F$9), MouserListTable[[#This Row],['#/Unit]]*FilterSpecs!$B$3+MouserListTable[[#This Row],[Extra Initial]],0)</f>
        <v>25</v>
      </c>
      <c r="G434" s="78" t="s">
        <v>1830</v>
      </c>
      <c r="H434" s="150" t="s">
        <v>1831</v>
      </c>
      <c r="I434" s="81" t="s">
        <v>1832</v>
      </c>
      <c r="J434" s="78">
        <v>1</v>
      </c>
      <c r="K434" s="117">
        <v>0.5</v>
      </c>
      <c r="L434" s="81" t="s">
        <v>1897</v>
      </c>
      <c r="M434" s="78"/>
      <c r="N434" s="154">
        <f>MouserListTable[[#This Row],['# Initial]]*MouserListTable[[#This Row],[Price (USD)]]</f>
        <v>12.5</v>
      </c>
      <c r="O434" s="81" t="s">
        <v>1829</v>
      </c>
      <c r="P434" s="150">
        <f t="shared" si="7"/>
        <v>421</v>
      </c>
      <c r="Q434" s="78" t="s">
        <v>5</v>
      </c>
      <c r="R434"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474-PRT-07937</v>
      </c>
      <c r="S434" s="133" t="str">
        <f>HYPERLINK("https://www.mouser.com/ProductDetail/" &amp;MouserListTable[[#This Row],[Mouser SKU]])</f>
        <v>https://www.mouser.com/ProductDetail/474-PRT-07937</v>
      </c>
      <c r="T434" s="94">
        <f>SUM(T436:T442)</f>
        <v>5</v>
      </c>
      <c r="U434" s="94">
        <v>1</v>
      </c>
      <c r="V434" s="94">
        <v>0</v>
      </c>
      <c r="W434" s="94">
        <f>MouserListTable[[#This Row],['#/Unit]]*FilterSpecs!$C$3+MouserListTable[[#This Row],[Extra]]</f>
        <v>26</v>
      </c>
      <c r="X434" s="94">
        <f>IF(MouserListTable[[#This Row],[Tag]]=FilterSpecs!$F$7,MouserListTable[[#This Row],['#/Unit]]*MouserListTable[[#This Row],[Price (USD)]],0)</f>
        <v>2.5</v>
      </c>
      <c r="Y434" s="94">
        <f>MouserListTable[[#This Row],[Tot '#]]*MouserListTable[[#This Row],[Price (USD)]]</f>
        <v>13</v>
      </c>
      <c r="Z434"/>
    </row>
    <row r="435" spans="1:26" s="106" customFormat="1" x14ac:dyDescent="0.25">
      <c r="A435" s="98" t="s">
        <v>890</v>
      </c>
      <c r="B435" s="98" t="s">
        <v>1603</v>
      </c>
      <c r="C435" s="78" t="s">
        <v>1892</v>
      </c>
      <c r="D435" s="81" t="str">
        <f>IF(MouserListTable[[#This Row],[Vendor]]=FilterSpecs!$A$8,MouserListTable[[#This Row],[Mouser SKU]], MouserListTable[[#This Row],[Supplier SKU]])</f>
        <v>485-2202</v>
      </c>
      <c r="E435" s="94">
        <f>MouserListTable[[#This Row],[Tot '#]]-MouserListTable[[#This Row],['# Initial]]</f>
        <v>0</v>
      </c>
      <c r="F435" s="94">
        <f>IF(AND(MouserListTable[[#This Row],[Tag]]&lt;&gt;FilterSpecs!$F$12, MouserListTable[[#This Row],[Tag]]&lt;&gt;FilterSpecs!$F$9), MouserListTable[[#This Row],['#/Unit]]*FilterSpecs!$B$3+MouserListTable[[#This Row],[Extra Initial]],0)</f>
        <v>0</v>
      </c>
      <c r="H435" s="150"/>
      <c r="I435" s="98" t="s">
        <v>2450</v>
      </c>
      <c r="J435" s="113">
        <v>114</v>
      </c>
      <c r="K435" s="119">
        <v>0.75</v>
      </c>
      <c r="L435" s="97" t="s">
        <v>1896</v>
      </c>
      <c r="N435" s="154">
        <f>MouserListTable[[#This Row],['# Initial]]*MouserListTable[[#This Row],[Price (USD)]]</f>
        <v>0</v>
      </c>
      <c r="O435" s="113" t="s">
        <v>2451</v>
      </c>
      <c r="P435" s="150">
        <f t="shared" si="7"/>
        <v>422</v>
      </c>
      <c r="Q435" s="78" t="s">
        <v>1884</v>
      </c>
      <c r="R435"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485-2202</v>
      </c>
      <c r="S435" s="133" t="str">
        <f>HYPERLINK("https://www.mouser.com/ProductDetail/" &amp;MouserListTable[[#This Row],[Mouser SKU]])</f>
        <v>https://www.mouser.com/ProductDetail/485-2202</v>
      </c>
      <c r="T435" s="94">
        <v>0</v>
      </c>
      <c r="U435" s="94">
        <v>0</v>
      </c>
      <c r="V435" s="94">
        <v>0</v>
      </c>
      <c r="W435" s="94">
        <f>MouserListTable[[#This Row],['#/Unit]]*FilterSpecs!$C$3+MouserListTable[[#This Row],[Extra]]</f>
        <v>0</v>
      </c>
      <c r="X435" s="94">
        <f>IF(MouserListTable[[#This Row],[Tag]]=FilterSpecs!$F$7,MouserListTable[[#This Row],['#/Unit]]*MouserListTable[[#This Row],[Price (USD)]],0)</f>
        <v>0</v>
      </c>
      <c r="Y435" s="94">
        <f>MouserListTable[[#This Row],[Tot '#]]*MouserListTable[[#This Row],[Price (USD)]]</f>
        <v>0</v>
      </c>
      <c r="Z435"/>
    </row>
    <row r="436" spans="1:26" s="106" customFormat="1" x14ac:dyDescent="0.25">
      <c r="A436" s="78" t="s">
        <v>890</v>
      </c>
      <c r="B436" s="81" t="s">
        <v>1603</v>
      </c>
      <c r="C436" s="78" t="s">
        <v>1892</v>
      </c>
      <c r="D436" s="81" t="str">
        <f>IF(MouserListTable[[#This Row],[Vendor]]=FilterSpecs!$A$8,MouserListTable[[#This Row],[Mouser SKU]], MouserListTable[[#This Row],[Supplier SKU]])</f>
        <v>474-COM-09456</v>
      </c>
      <c r="E436" s="94">
        <f>MouserListTable[[#This Row],[Tot '#]]-MouserListTable[[#This Row],['# Initial]]</f>
        <v>0</v>
      </c>
      <c r="F436" s="94">
        <f>IF(AND(MouserListTable[[#This Row],[Tag]]&lt;&gt;FilterSpecs!$F$12, MouserListTable[[#This Row],[Tag]]&lt;&gt;FilterSpecs!$F$9), MouserListTable[[#This Row],['#/Unit]]*FilterSpecs!$B$3+MouserListTable[[#This Row],[Extra Initial]],0)</f>
        <v>10</v>
      </c>
      <c r="G436" s="78" t="s">
        <v>657</v>
      </c>
      <c r="H436" s="150" t="s">
        <v>658</v>
      </c>
      <c r="I436" s="81" t="s">
        <v>659</v>
      </c>
      <c r="J436" s="78">
        <v>1</v>
      </c>
      <c r="K436" s="117">
        <v>0.95</v>
      </c>
      <c r="L436" s="81" t="s">
        <v>1897</v>
      </c>
      <c r="M436" s="78"/>
      <c r="N436" s="154">
        <f>MouserListTable[[#This Row],['# Initial]]*MouserListTable[[#This Row],[Price (USD)]]</f>
        <v>9.5</v>
      </c>
      <c r="O436" s="81" t="s">
        <v>656</v>
      </c>
      <c r="P436" s="150">
        <f t="shared" si="7"/>
        <v>423</v>
      </c>
      <c r="Q436" s="78" t="s">
        <v>5</v>
      </c>
      <c r="R436"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474-COM-09456</v>
      </c>
      <c r="S436" s="133" t="str">
        <f>HYPERLINK("https://www.mouser.com/ProductDetail/" &amp;MouserListTable[[#This Row],[Mouser SKU]])</f>
        <v>https://www.mouser.com/ProductDetail/474-COM-09456</v>
      </c>
      <c r="T436" s="94">
        <v>2</v>
      </c>
      <c r="U436" s="94">
        <v>0</v>
      </c>
      <c r="V436" s="94">
        <v>0</v>
      </c>
      <c r="W436" s="94">
        <f>MouserListTable[[#This Row],['#/Unit]]*FilterSpecs!$C$3+MouserListTable[[#This Row],[Extra]]</f>
        <v>10</v>
      </c>
      <c r="X436" s="94">
        <f>IF(MouserListTable[[#This Row],[Tag]]=FilterSpecs!$F$7,MouserListTable[[#This Row],['#/Unit]]*MouserListTable[[#This Row],[Price (USD)]],0)</f>
        <v>1.9</v>
      </c>
      <c r="Y436" s="94">
        <f>MouserListTable[[#This Row],[Tot '#]]*MouserListTable[[#This Row],[Price (USD)]]</f>
        <v>9.5</v>
      </c>
      <c r="Z436"/>
    </row>
    <row r="437" spans="1:26" s="106" customFormat="1" x14ac:dyDescent="0.25">
      <c r="A437" s="78" t="s">
        <v>890</v>
      </c>
      <c r="B437" s="81" t="s">
        <v>1603</v>
      </c>
      <c r="C437" s="78" t="s">
        <v>1892</v>
      </c>
      <c r="D437" s="81" t="str">
        <f>IF(MouserListTable[[#This Row],[Vendor]]=FilterSpecs!$A$8,MouserListTable[[#This Row],[Mouser SKU]], MouserListTable[[#This Row],[Supplier SKU]])</f>
        <v>474-COM-10613</v>
      </c>
      <c r="E437" s="94">
        <f>MouserListTable[[#This Row],[Tot '#]]-MouserListTable[[#This Row],['# Initial]]</f>
        <v>0</v>
      </c>
      <c r="F437" s="94">
        <f>IF(AND(MouserListTable[[#This Row],[Tag]]&lt;&gt;FilterSpecs!$F$12, MouserListTable[[#This Row],[Tag]]&lt;&gt;FilterSpecs!$F$9), MouserListTable[[#This Row],['#/Unit]]*FilterSpecs!$B$3+MouserListTable[[#This Row],[Extra Initial]],0)</f>
        <v>5</v>
      </c>
      <c r="G437" s="78" t="s">
        <v>954</v>
      </c>
      <c r="H437" s="150" t="s">
        <v>955</v>
      </c>
      <c r="I437" s="81" t="s">
        <v>956</v>
      </c>
      <c r="J437" s="78">
        <v>1</v>
      </c>
      <c r="K437" s="117">
        <v>1.5</v>
      </c>
      <c r="L437" s="81" t="s">
        <v>1897</v>
      </c>
      <c r="M437" s="78"/>
      <c r="N437" s="154">
        <f>MouserListTable[[#This Row],['# Initial]]*MouserListTable[[#This Row],[Price (USD)]]</f>
        <v>7.5</v>
      </c>
      <c r="O437" s="81" t="s">
        <v>953</v>
      </c>
      <c r="P437" s="150">
        <f t="shared" si="7"/>
        <v>424</v>
      </c>
      <c r="Q437" s="78" t="s">
        <v>5</v>
      </c>
      <c r="R437"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474-COM-10613</v>
      </c>
      <c r="S437" s="133" t="str">
        <f>HYPERLINK("https://www.mouser.com/ProductDetail/" &amp;MouserListTable[[#This Row],[Mouser SKU]])</f>
        <v>https://www.mouser.com/ProductDetail/474-COM-10613</v>
      </c>
      <c r="T437" s="94">
        <v>1</v>
      </c>
      <c r="U437" s="94">
        <v>0</v>
      </c>
      <c r="V437" s="94">
        <v>0</v>
      </c>
      <c r="W437" s="94">
        <f>MouserListTable[[#This Row],['#/Unit]]*FilterSpecs!$C$3+MouserListTable[[#This Row],[Extra]]</f>
        <v>5</v>
      </c>
      <c r="X437" s="94">
        <f>IF(MouserListTable[[#This Row],[Tag]]=FilterSpecs!$F$7,MouserListTable[[#This Row],['#/Unit]]*MouserListTable[[#This Row],[Price (USD)]],0)</f>
        <v>1.5</v>
      </c>
      <c r="Y437" s="94">
        <f>MouserListTable[[#This Row],[Tot '#]]*MouserListTable[[#This Row],[Price (USD)]]</f>
        <v>7.5</v>
      </c>
      <c r="Z437"/>
    </row>
    <row r="438" spans="1:26" s="106" customFormat="1" x14ac:dyDescent="0.25">
      <c r="A438" s="78" t="s">
        <v>890</v>
      </c>
      <c r="B438" s="81" t="s">
        <v>1603</v>
      </c>
      <c r="C438" s="78" t="s">
        <v>1892</v>
      </c>
      <c r="D438" s="81" t="str">
        <f>IF(MouserListTable[[#This Row],[Vendor]]=FilterSpecs!$A$8,MouserListTable[[#This Row],[Mouser SKU]], MouserListTable[[#This Row],[Supplier SKU]])</f>
        <v>474-COM-09273</v>
      </c>
      <c r="E438" s="94">
        <f>MouserListTable[[#This Row],[Tot '#]]-MouserListTable[[#This Row],['# Initial]]</f>
        <v>0</v>
      </c>
      <c r="F438" s="94">
        <f>IF(AND(MouserListTable[[#This Row],[Tag]]&lt;&gt;FilterSpecs!$F$12, MouserListTable[[#This Row],[Tag]]&lt;&gt;FilterSpecs!$F$9), MouserListTable[[#This Row],['#/Unit]]*FilterSpecs!$B$3+MouserListTable[[#This Row],[Extra Initial]],0)</f>
        <v>5</v>
      </c>
      <c r="G438" s="78" t="s">
        <v>397</v>
      </c>
      <c r="H438" s="150" t="s">
        <v>398</v>
      </c>
      <c r="I438" s="81" t="s">
        <v>399</v>
      </c>
      <c r="J438" s="78">
        <v>1</v>
      </c>
      <c r="K438" s="117">
        <v>0.95</v>
      </c>
      <c r="L438" s="81" t="s">
        <v>1897</v>
      </c>
      <c r="M438" s="78"/>
      <c r="N438" s="154">
        <f>MouserListTable[[#This Row],['# Initial]]*MouserListTable[[#This Row],[Price (USD)]]</f>
        <v>4.75</v>
      </c>
      <c r="O438" s="81" t="s">
        <v>396</v>
      </c>
      <c r="P438" s="150">
        <f t="shared" si="7"/>
        <v>425</v>
      </c>
      <c r="Q438" s="78" t="s">
        <v>5</v>
      </c>
      <c r="R438"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474-COM-09273</v>
      </c>
      <c r="S438" s="133" t="str">
        <f>HYPERLINK("https://www.mouser.com/ProductDetail/" &amp;MouserListTable[[#This Row],[Mouser SKU]])</f>
        <v>https://www.mouser.com/ProductDetail/474-COM-09273</v>
      </c>
      <c r="T438" s="94">
        <v>1</v>
      </c>
      <c r="U438" s="94">
        <v>0</v>
      </c>
      <c r="V438" s="94">
        <v>0</v>
      </c>
      <c r="W438" s="94">
        <f>MouserListTable[[#This Row],['#/Unit]]*FilterSpecs!$C$3+MouserListTable[[#This Row],[Extra]]</f>
        <v>5</v>
      </c>
      <c r="X438" s="94">
        <f>IF(MouserListTable[[#This Row],[Tag]]=FilterSpecs!$F$7,MouserListTable[[#This Row],['#/Unit]]*MouserListTable[[#This Row],[Price (USD)]],0)</f>
        <v>0.95</v>
      </c>
      <c r="Y438" s="94">
        <f>MouserListTable[[#This Row],[Tot '#]]*MouserListTable[[#This Row],[Price (USD)]]</f>
        <v>4.75</v>
      </c>
      <c r="Z438"/>
    </row>
    <row r="439" spans="1:26" s="106" customFormat="1" x14ac:dyDescent="0.25">
      <c r="A439" s="78" t="s">
        <v>890</v>
      </c>
      <c r="B439" s="81" t="s">
        <v>1603</v>
      </c>
      <c r="C439" s="78" t="s">
        <v>1892</v>
      </c>
      <c r="D439" s="81" t="str">
        <f>IF(MouserListTable[[#This Row],[Vendor]]=FilterSpecs!$A$8,MouserListTable[[#This Row],[Mouser SKU]], MouserListTable[[#This Row],[Supplier SKU]])</f>
        <v>474-COM-08636</v>
      </c>
      <c r="E439" s="94">
        <f>MouserListTable[[#This Row],[Tot '#]]-MouserListTable[[#This Row],['# Initial]]</f>
        <v>0</v>
      </c>
      <c r="F439" s="94">
        <f>IF(AND(MouserListTable[[#This Row],[Tag]]&lt;&gt;FilterSpecs!$F$12, MouserListTable[[#This Row],[Tag]]&lt;&gt;FilterSpecs!$F$9), MouserListTable[[#This Row],['#/Unit]]*FilterSpecs!$B$3+MouserListTable[[#This Row],[Extra Initial]],0)</f>
        <v>5</v>
      </c>
      <c r="G439" s="78" t="s">
        <v>393</v>
      </c>
      <c r="H439" s="150" t="s">
        <v>394</v>
      </c>
      <c r="I439" s="81" t="s">
        <v>395</v>
      </c>
      <c r="J439" s="78">
        <v>1</v>
      </c>
      <c r="K439" s="117">
        <v>2.38</v>
      </c>
      <c r="L439" s="81" t="s">
        <v>1897</v>
      </c>
      <c r="M439" s="78"/>
      <c r="N439" s="154">
        <f>MouserListTable[[#This Row],['# Initial]]*MouserListTable[[#This Row],[Price (USD)]]</f>
        <v>11.899999999999999</v>
      </c>
      <c r="O439" s="81" t="s">
        <v>392</v>
      </c>
      <c r="P439" s="150">
        <f t="shared" si="7"/>
        <v>426</v>
      </c>
      <c r="Q439" s="78" t="s">
        <v>5</v>
      </c>
      <c r="R439"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474-COM-08636</v>
      </c>
      <c r="S439" s="133" t="str">
        <f>HYPERLINK("https://www.mouser.com/ProductDetail/" &amp;MouserListTable[[#This Row],[Mouser SKU]])</f>
        <v>https://www.mouser.com/ProductDetail/474-COM-08636</v>
      </c>
      <c r="T439" s="94">
        <v>1</v>
      </c>
      <c r="U439" s="94">
        <v>0</v>
      </c>
      <c r="V439" s="94">
        <v>0</v>
      </c>
      <c r="W439" s="94">
        <f>MouserListTable[[#This Row],['#/Unit]]*FilterSpecs!$C$3+MouserListTable[[#This Row],[Extra]]</f>
        <v>5</v>
      </c>
      <c r="X439" s="94">
        <f>IF(MouserListTable[[#This Row],[Tag]]=FilterSpecs!$F$7,MouserListTable[[#This Row],['#/Unit]]*MouserListTable[[#This Row],[Price (USD)]],0)</f>
        <v>2.38</v>
      </c>
      <c r="Y439" s="94">
        <f>MouserListTable[[#This Row],[Tot '#]]*MouserListTable[[#This Row],[Price (USD)]]</f>
        <v>11.899999999999999</v>
      </c>
      <c r="Z439"/>
    </row>
    <row r="440" spans="1:26" s="106" customFormat="1" x14ac:dyDescent="0.25">
      <c r="A440" s="78" t="s">
        <v>890</v>
      </c>
      <c r="B440" s="81" t="s">
        <v>1603</v>
      </c>
      <c r="C440" s="78" t="s">
        <v>1892</v>
      </c>
      <c r="D440" s="81" t="str">
        <f>IF(MouserListTable[[#This Row],[Vendor]]=FilterSpecs!$A$8,MouserListTable[[#This Row],[Mouser SKU]], MouserListTable[[#This Row],[Supplier SKU]])</f>
        <v>474-COM-00317</v>
      </c>
      <c r="E440" s="94">
        <f>MouserListTable[[#This Row],[Tot '#]]-MouserListTable[[#This Row],['# Initial]]</f>
        <v>1</v>
      </c>
      <c r="F440" s="94">
        <f>IF(AND(MouserListTable[[#This Row],[Tag]]&lt;&gt;FilterSpecs!$F$12, MouserListTable[[#This Row],[Tag]]&lt;&gt;FilterSpecs!$F$9), MouserListTable[[#This Row],['#/Unit]]*FilterSpecs!$B$3+MouserListTable[[#This Row],[Extra Initial]],0)</f>
        <v>0</v>
      </c>
      <c r="G440" s="78" t="s">
        <v>1085</v>
      </c>
      <c r="H440" s="150" t="s">
        <v>1086</v>
      </c>
      <c r="I440" s="81" t="s">
        <v>1087</v>
      </c>
      <c r="J440" s="78">
        <v>1</v>
      </c>
      <c r="K440" s="117">
        <v>1.95</v>
      </c>
      <c r="L440" s="81" t="s">
        <v>1896</v>
      </c>
      <c r="M440" s="78"/>
      <c r="N440" s="154">
        <f>MouserListTable[[#This Row],['# Initial]]*MouserListTable[[#This Row],[Price (USD)]]</f>
        <v>0</v>
      </c>
      <c r="O440" s="81" t="s">
        <v>1084</v>
      </c>
      <c r="P440" s="150">
        <f t="shared" si="7"/>
        <v>427</v>
      </c>
      <c r="Q440" s="78" t="s">
        <v>5</v>
      </c>
      <c r="R440"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474-COM-00317</v>
      </c>
      <c r="S440" s="133" t="str">
        <f>HYPERLINK("https://www.mouser.com/ProductDetail/" &amp;MouserListTable[[#This Row],[Mouser SKU]])</f>
        <v>https://www.mouser.com/ProductDetail/474-COM-00317</v>
      </c>
      <c r="T440" s="94">
        <v>0</v>
      </c>
      <c r="U440" s="94">
        <v>1</v>
      </c>
      <c r="V440" s="94">
        <v>0</v>
      </c>
      <c r="W440" s="94">
        <f>MouserListTable[[#This Row],['#/Unit]]*FilterSpecs!$C$3+MouserListTable[[#This Row],[Extra]]</f>
        <v>1</v>
      </c>
      <c r="X440" s="94">
        <f>IF(MouserListTable[[#This Row],[Tag]]=FilterSpecs!$F$7,MouserListTable[[#This Row],['#/Unit]]*MouserListTable[[#This Row],[Price (USD)]],0)</f>
        <v>0</v>
      </c>
      <c r="Y440" s="94">
        <f>MouserListTable[[#This Row],[Tot '#]]*MouserListTable[[#This Row],[Price (USD)]]</f>
        <v>1.95</v>
      </c>
      <c r="Z440"/>
    </row>
    <row r="441" spans="1:26" s="106" customFormat="1" x14ac:dyDescent="0.25">
      <c r="A441" s="78" t="s">
        <v>890</v>
      </c>
      <c r="B441" s="81" t="s">
        <v>1603</v>
      </c>
      <c r="C441" s="78" t="s">
        <v>1892</v>
      </c>
      <c r="D441" s="81" t="str">
        <f>IF(MouserListTable[[#This Row],[Vendor]]=FilterSpecs!$A$8,MouserListTable[[#This Row],[Mouser SKU]], MouserListTable[[#This Row],[Supplier SKU]])</f>
        <v>485-1787</v>
      </c>
      <c r="E441" s="94">
        <f>MouserListTable[[#This Row],[Tot '#]]-MouserListTable[[#This Row],['# Initial]]</f>
        <v>0</v>
      </c>
      <c r="F441" s="94">
        <f>IF(AND(MouserListTable[[#This Row],[Tag]]&lt;&gt;FilterSpecs!$F$12, MouserListTable[[#This Row],[Tag]]&lt;&gt;FilterSpecs!$F$9), MouserListTable[[#This Row],['#/Unit]]*FilterSpecs!$B$3+MouserListTable[[#This Row],[Extra Initial]],0)</f>
        <v>0</v>
      </c>
      <c r="G441" s="78"/>
      <c r="H441" s="150"/>
      <c r="I441" s="106" t="s">
        <v>2127</v>
      </c>
      <c r="K441" s="118">
        <v>1.5</v>
      </c>
      <c r="L441" s="106" t="s">
        <v>1896</v>
      </c>
      <c r="N441" s="154">
        <f>MouserListTable[[#This Row],['# Initial]]*MouserListTable[[#This Row],[Price (USD)]]</f>
        <v>0</v>
      </c>
      <c r="O441" s="81" t="s">
        <v>2126</v>
      </c>
      <c r="P441" s="150">
        <f t="shared" si="7"/>
        <v>428</v>
      </c>
      <c r="Q441" s="78" t="s">
        <v>1884</v>
      </c>
      <c r="R441"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485-1787</v>
      </c>
      <c r="S441" s="133" t="str">
        <f>HYPERLINK("https://www.mouser.com/ProductDetail/" &amp;MouserListTable[[#This Row],[Mouser SKU]])</f>
        <v>https://www.mouser.com/ProductDetail/485-1787</v>
      </c>
      <c r="T441" s="94">
        <v>0</v>
      </c>
      <c r="U441" s="94">
        <v>0</v>
      </c>
      <c r="V441" s="94">
        <v>0</v>
      </c>
      <c r="W441" s="94">
        <f>MouserListTable[[#This Row],['#/Unit]]*FilterSpecs!$C$3+MouserListTable[[#This Row],[Extra]]</f>
        <v>0</v>
      </c>
      <c r="X441" s="94">
        <f>IF(MouserListTable[[#This Row],[Tag]]=FilterSpecs!$F$7,MouserListTable[[#This Row],['#/Unit]]*MouserListTable[[#This Row],[Price (USD)]],0)</f>
        <v>0</v>
      </c>
      <c r="Y441" s="94">
        <f>MouserListTable[[#This Row],[Tot '#]]*MouserListTable[[#This Row],[Price (USD)]]</f>
        <v>0</v>
      </c>
      <c r="Z441"/>
    </row>
    <row r="442" spans="1:26" s="106" customFormat="1" x14ac:dyDescent="0.25">
      <c r="A442" s="97" t="s">
        <v>890</v>
      </c>
      <c r="B442" s="106" t="s">
        <v>1603</v>
      </c>
      <c r="C442" s="78" t="s">
        <v>1892</v>
      </c>
      <c r="D442" s="81" t="str">
        <f>IF(MouserListTable[[#This Row],[Vendor]]=FilterSpecs!$A$8,MouserListTable[[#This Row],[Mouser SKU]], MouserListTable[[#This Row],[Supplier SKU]])</f>
        <v>474-COM-00525</v>
      </c>
      <c r="E442" s="94">
        <f>MouserListTable[[#This Row],[Tot '#]]-MouserListTable[[#This Row],['# Initial]]</f>
        <v>0</v>
      </c>
      <c r="F442" s="94">
        <f>IF(AND(MouserListTable[[#This Row],[Tag]]&lt;&gt;FilterSpecs!$F$12, MouserListTable[[#This Row],[Tag]]&lt;&gt;FilterSpecs!$F$9), MouserListTable[[#This Row],['#/Unit]]*FilterSpecs!$B$3+MouserListTable[[#This Row],[Extra Initial]],0)</f>
        <v>0</v>
      </c>
      <c r="G442" s="78" t="s">
        <v>673</v>
      </c>
      <c r="H442" s="150" t="s">
        <v>674</v>
      </c>
      <c r="I442" s="81" t="s">
        <v>675</v>
      </c>
      <c r="J442" s="78">
        <v>1</v>
      </c>
      <c r="K442" s="117">
        <v>1.95</v>
      </c>
      <c r="L442" s="81" t="s">
        <v>1896</v>
      </c>
      <c r="M442" s="78"/>
      <c r="N442" s="154">
        <f>MouserListTable[[#This Row],['# Initial]]*MouserListTable[[#This Row],[Price (USD)]]</f>
        <v>0</v>
      </c>
      <c r="O442" s="81" t="s">
        <v>672</v>
      </c>
      <c r="P442" s="150">
        <f t="shared" si="7"/>
        <v>429</v>
      </c>
      <c r="Q442" s="78" t="s">
        <v>5</v>
      </c>
      <c r="R442"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474-COM-00525</v>
      </c>
      <c r="S442" s="133" t="str">
        <f>HYPERLINK("https://www.mouser.com/ProductDetail/" &amp;MouserListTable[[#This Row],[Mouser SKU]])</f>
        <v>https://www.mouser.com/ProductDetail/474-COM-00525</v>
      </c>
      <c r="T442" s="94">
        <v>0</v>
      </c>
      <c r="U442" s="94">
        <v>0</v>
      </c>
      <c r="V442" s="94">
        <v>0</v>
      </c>
      <c r="W442" s="94">
        <f>MouserListTable[[#This Row],['#/Unit]]*FilterSpecs!$C$3+MouserListTable[[#This Row],[Extra]]</f>
        <v>0</v>
      </c>
      <c r="X442" s="94">
        <f>IF(MouserListTable[[#This Row],[Tag]]=FilterSpecs!$F$7,MouserListTable[[#This Row],['#/Unit]]*MouserListTable[[#This Row],[Price (USD)]],0)</f>
        <v>0</v>
      </c>
      <c r="Y442" s="94">
        <f>MouserListTable[[#This Row],[Tot '#]]*MouserListTable[[#This Row],[Price (USD)]]</f>
        <v>0</v>
      </c>
      <c r="Z442"/>
    </row>
    <row r="443" spans="1:26" s="106" customFormat="1" x14ac:dyDescent="0.25">
      <c r="A443" s="97" t="s">
        <v>890</v>
      </c>
      <c r="B443" s="106" t="s">
        <v>1603</v>
      </c>
      <c r="C443" s="78" t="s">
        <v>1892</v>
      </c>
      <c r="D443" s="81" t="str">
        <f>IF(MouserListTable[[#This Row],[Vendor]]=FilterSpecs!$A$8,MouserListTable[[#This Row],[Mouser SKU]], MouserListTable[[#This Row],[Supplier SKU]])</f>
        <v>474-COM-13699</v>
      </c>
      <c r="E443" s="94">
        <f>MouserListTable[[#This Row],[Tot '#]]-MouserListTable[[#This Row],['# Initial]]</f>
        <v>0</v>
      </c>
      <c r="F443" s="94">
        <f>IF(AND(MouserListTable[[#This Row],[Tag]]&lt;&gt;FilterSpecs!$F$12, MouserListTable[[#This Row],[Tag]]&lt;&gt;FilterSpecs!$F$9), MouserListTable[[#This Row],['#/Unit]]*FilterSpecs!$B$3+MouserListTable[[#This Row],[Extra Initial]],0)</f>
        <v>0</v>
      </c>
      <c r="G443" s="78" t="s">
        <v>401</v>
      </c>
      <c r="H443" s="150" t="s">
        <v>402</v>
      </c>
      <c r="I443" s="81" t="s">
        <v>403</v>
      </c>
      <c r="J443" s="78">
        <v>1</v>
      </c>
      <c r="K443" s="117">
        <v>0.95</v>
      </c>
      <c r="L443" s="81" t="s">
        <v>1896</v>
      </c>
      <c r="M443" s="78"/>
      <c r="N443" s="154">
        <f>MouserListTable[[#This Row],['# Initial]]*MouserListTable[[#This Row],[Price (USD)]]</f>
        <v>0</v>
      </c>
      <c r="O443" s="81" t="s">
        <v>400</v>
      </c>
      <c r="P443" s="150">
        <f t="shared" si="7"/>
        <v>430</v>
      </c>
      <c r="Q443" s="78" t="s">
        <v>5</v>
      </c>
      <c r="R443"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474-COM-13699</v>
      </c>
      <c r="S443" s="133" t="str">
        <f>HYPERLINK("https://www.mouser.com/ProductDetail/" &amp;MouserListTable[[#This Row],[Mouser SKU]])</f>
        <v>https://www.mouser.com/ProductDetail/474-COM-13699</v>
      </c>
      <c r="T443" s="94">
        <v>0</v>
      </c>
      <c r="U443" s="94">
        <v>0</v>
      </c>
      <c r="V443" s="94">
        <v>0</v>
      </c>
      <c r="W443" s="94">
        <f>MouserListTable[[#This Row],['#/Unit]]*FilterSpecs!$C$3+MouserListTable[[#This Row],[Extra]]</f>
        <v>0</v>
      </c>
      <c r="X443" s="94">
        <f>IF(MouserListTable[[#This Row],[Tag]]=FilterSpecs!$F$7,MouserListTable[[#This Row],['#/Unit]]*MouserListTable[[#This Row],[Price (USD)]],0)</f>
        <v>0</v>
      </c>
      <c r="Y443" s="94">
        <f>MouserListTable[[#This Row],[Tot '#]]*MouserListTable[[#This Row],[Price (USD)]]</f>
        <v>0</v>
      </c>
      <c r="Z443"/>
    </row>
    <row r="444" spans="1:26" s="106" customFormat="1" x14ac:dyDescent="0.25">
      <c r="A444" s="97" t="s">
        <v>890</v>
      </c>
      <c r="B444" s="106" t="s">
        <v>1603</v>
      </c>
      <c r="C444" s="78" t="s">
        <v>1892</v>
      </c>
      <c r="D444" s="81" t="str">
        <f>IF(MouserListTable[[#This Row],[Vendor]]=FilterSpecs!$A$8,MouserListTable[[#This Row],[Mouser SKU]], MouserListTable[[#This Row],[Supplier SKU]])</f>
        <v>474-BOB-11733</v>
      </c>
      <c r="E444" s="94">
        <f>MouserListTable[[#This Row],[Tot '#]]-MouserListTable[[#This Row],['# Initial]]</f>
        <v>0</v>
      </c>
      <c r="F444" s="94">
        <f>IF(AND(MouserListTable[[#This Row],[Tag]]&lt;&gt;FilterSpecs!$F$12, MouserListTable[[#This Row],[Tag]]&lt;&gt;FilterSpecs!$F$9), MouserListTable[[#This Row],['#/Unit]]*FilterSpecs!$B$3+MouserListTable[[#This Row],[Extra Initial]],0)</f>
        <v>0</v>
      </c>
      <c r="G444" s="78" t="s">
        <v>405</v>
      </c>
      <c r="H444" s="150" t="s">
        <v>406</v>
      </c>
      <c r="I444" s="81" t="s">
        <v>214</v>
      </c>
      <c r="J444" s="78">
        <v>1</v>
      </c>
      <c r="K444" s="117">
        <v>3.95</v>
      </c>
      <c r="L444" s="81" t="s">
        <v>2464</v>
      </c>
      <c r="M444" s="78"/>
      <c r="N444" s="154">
        <f>MouserListTable[[#This Row],['# Initial]]*MouserListTable[[#This Row],[Price (USD)]]</f>
        <v>0</v>
      </c>
      <c r="O444" s="81" t="s">
        <v>404</v>
      </c>
      <c r="P444" s="150">
        <f t="shared" si="7"/>
        <v>431</v>
      </c>
      <c r="Q444" s="78" t="s">
        <v>5</v>
      </c>
      <c r="R444"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474-BOB-11733</v>
      </c>
      <c r="S444" s="133" t="str">
        <f>HYPERLINK("https://www.mouser.com/ProductDetail/" &amp;MouserListTable[[#This Row],[Mouser SKU]])</f>
        <v>https://www.mouser.com/ProductDetail/474-BOB-11733</v>
      </c>
      <c r="T444" s="94">
        <v>0</v>
      </c>
      <c r="U444" s="94">
        <v>0</v>
      </c>
      <c r="V444" s="94">
        <v>0</v>
      </c>
      <c r="W444" s="94">
        <f>MouserListTable[[#This Row],['#/Unit]]*FilterSpecs!$C$3+MouserListTable[[#This Row],[Extra]]</f>
        <v>0</v>
      </c>
      <c r="X444" s="94">
        <f>IF(MouserListTable[[#This Row],[Tag]]=FilterSpecs!$F$7,MouserListTable[[#This Row],['#/Unit]]*MouserListTable[[#This Row],[Price (USD)]],0)</f>
        <v>0</v>
      </c>
      <c r="Y444" s="94">
        <f>MouserListTable[[#This Row],[Tot '#]]*MouserListTable[[#This Row],[Price (USD)]]</f>
        <v>0</v>
      </c>
      <c r="Z444"/>
    </row>
    <row r="445" spans="1:26" s="106" customFormat="1" x14ac:dyDescent="0.25">
      <c r="A445" s="78" t="s">
        <v>890</v>
      </c>
      <c r="B445" s="81" t="s">
        <v>1603</v>
      </c>
      <c r="C445" s="78" t="s">
        <v>1892</v>
      </c>
      <c r="D445" s="81" t="str">
        <f>IF(MouserListTable[[#This Row],[Vendor]]=FilterSpecs!$A$8,MouserListTable[[#This Row],[Mouser SKU]], MouserListTable[[#This Row],[Supplier SKU]])</f>
        <v>474-COM-08034</v>
      </c>
      <c r="E445" s="94">
        <f>MouserListTable[[#This Row],[Tot '#]]-MouserListTable[[#This Row],['# Initial]]</f>
        <v>0</v>
      </c>
      <c r="F445" s="94">
        <f>IF(AND(MouserListTable[[#This Row],[Tag]]&lt;&gt;FilterSpecs!$F$12, MouserListTable[[#This Row],[Tag]]&lt;&gt;FilterSpecs!$F$9), MouserListTable[[#This Row],['#/Unit]]*FilterSpecs!$B$3+MouserListTable[[#This Row],[Extra Initial]],0)</f>
        <v>5</v>
      </c>
      <c r="G445" s="78" t="s">
        <v>427</v>
      </c>
      <c r="H445" s="150" t="s">
        <v>428</v>
      </c>
      <c r="I445" s="81" t="s">
        <v>429</v>
      </c>
      <c r="J445" s="78">
        <v>1</v>
      </c>
      <c r="K445" s="117">
        <v>1.5</v>
      </c>
      <c r="L445" s="81" t="s">
        <v>1897</v>
      </c>
      <c r="M445" s="78"/>
      <c r="N445" s="154">
        <f>MouserListTable[[#This Row],['# Initial]]*MouserListTable[[#This Row],[Price (USD)]]</f>
        <v>7.5</v>
      </c>
      <c r="O445" s="81" t="s">
        <v>426</v>
      </c>
      <c r="P445" s="150">
        <f t="shared" si="7"/>
        <v>432</v>
      </c>
      <c r="Q445" s="78" t="s">
        <v>5</v>
      </c>
      <c r="R445"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474-COM-08034</v>
      </c>
      <c r="S445" s="133" t="str">
        <f>HYPERLINK("https://www.mouser.com/ProductDetail/" &amp;MouserListTable[[#This Row],[Mouser SKU]])</f>
        <v>https://www.mouser.com/ProductDetail/474-COM-08034</v>
      </c>
      <c r="T445" s="94">
        <v>1</v>
      </c>
      <c r="U445" s="94">
        <v>0</v>
      </c>
      <c r="V445" s="94">
        <v>0</v>
      </c>
      <c r="W445" s="94">
        <f>MouserListTable[[#This Row],['#/Unit]]*FilterSpecs!$C$3+MouserListTable[[#This Row],[Extra]]</f>
        <v>5</v>
      </c>
      <c r="X445" s="94">
        <f>IF(MouserListTable[[#This Row],[Tag]]=FilterSpecs!$F$7,MouserListTable[[#This Row],['#/Unit]]*MouserListTable[[#This Row],[Price (USD)]],0)</f>
        <v>1.5</v>
      </c>
      <c r="Y445" s="94">
        <f>MouserListTable[[#This Row],[Tot '#]]*MouserListTable[[#This Row],[Price (USD)]]</f>
        <v>7.5</v>
      </c>
      <c r="Z445"/>
    </row>
    <row r="446" spans="1:26" s="146" customFormat="1" x14ac:dyDescent="0.25">
      <c r="A446" s="150" t="s">
        <v>890</v>
      </c>
      <c r="B446" s="151" t="s">
        <v>1603</v>
      </c>
      <c r="C446" s="150" t="s">
        <v>1892</v>
      </c>
      <c r="D446" s="151" t="str">
        <f>IF(MouserListTable[[#This Row],[Vendor]]=FilterSpecs!$A$8,MouserListTable[[#This Row],[Mouser SKU]], MouserListTable[[#This Row],[Supplier SKU]])</f>
        <v>474-COM-10827</v>
      </c>
      <c r="E446" s="152">
        <f>MouserListTable[[#This Row],[Tot '#]]-MouserListTable[[#This Row],['# Initial]]</f>
        <v>0</v>
      </c>
      <c r="F446" s="152">
        <f>IF(AND(MouserListTable[[#This Row],[Tag]]&lt;&gt;FilterSpecs!$F$12, MouserListTable[[#This Row],[Tag]]&lt;&gt;FilterSpecs!$F$9), MouserListTable[[#This Row],['#/Unit]]*FilterSpecs!$B$3+MouserListTable[[#This Row],[Extra Initial]],0)</f>
        <v>0</v>
      </c>
      <c r="G446" s="147" t="s">
        <v>1265</v>
      </c>
      <c r="H446" s="150" t="s">
        <v>1266</v>
      </c>
      <c r="I446" s="151" t="s">
        <v>1267</v>
      </c>
      <c r="J446" s="150">
        <v>1</v>
      </c>
      <c r="K446" s="154">
        <v>0.25</v>
      </c>
      <c r="L446" s="151" t="s">
        <v>1896</v>
      </c>
      <c r="M446" s="150"/>
      <c r="N446" s="154">
        <f>MouserListTable[[#This Row],['# Initial]]*MouserListTable[[#This Row],[Price (USD)]]</f>
        <v>0</v>
      </c>
      <c r="O446" s="151" t="s">
        <v>1264</v>
      </c>
      <c r="P446" s="150">
        <f t="shared" si="7"/>
        <v>433</v>
      </c>
      <c r="Q446" s="150" t="s">
        <v>5</v>
      </c>
      <c r="R44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474-COM-10827</v>
      </c>
      <c r="S446" s="157" t="str">
        <f>HYPERLINK("https://www.mouser.com/ProductDetail/" &amp;MouserListTable[[#This Row],[Mouser SKU]])</f>
        <v>https://www.mouser.com/ProductDetail/474-COM-10827</v>
      </c>
      <c r="T446" s="152">
        <v>0</v>
      </c>
      <c r="U446" s="152">
        <v>0</v>
      </c>
      <c r="V446" s="152">
        <v>0</v>
      </c>
      <c r="W446" s="152">
        <f>MouserListTable[[#This Row],['#/Unit]]*FilterSpecs!$C$3+MouserListTable[[#This Row],[Extra]]</f>
        <v>0</v>
      </c>
      <c r="X446" s="152">
        <f>IF(MouserListTable[[#This Row],[Tag]]=FilterSpecs!$F$7,MouserListTable[[#This Row],['#/Unit]]*MouserListTable[[#This Row],[Price (USD)]],0)</f>
        <v>0</v>
      </c>
      <c r="Y446" s="152">
        <f>MouserListTable[[#This Row],[Tot '#]]*MouserListTable[[#This Row],[Price (USD)]]</f>
        <v>0</v>
      </c>
    </row>
    <row r="447" spans="1:26" s="146" customFormat="1" x14ac:dyDescent="0.25">
      <c r="A447" s="150" t="s">
        <v>890</v>
      </c>
      <c r="B447" s="151" t="s">
        <v>1603</v>
      </c>
      <c r="C447" s="150" t="s">
        <v>1892</v>
      </c>
      <c r="D447" s="151" t="str">
        <f>IF(MouserListTable[[#This Row],[Vendor]]=FilterSpecs!$A$8,MouserListTable[[#This Row],[Mouser SKU]], MouserListTable[[#This Row],[Supplier SKU]])</f>
        <v>474-COM-00595</v>
      </c>
      <c r="E447" s="152">
        <f>MouserListTable[[#This Row],[Tot '#]]-MouserListTable[[#This Row],['# Initial]]</f>
        <v>0</v>
      </c>
      <c r="F447" s="152">
        <f>IF(AND(MouserListTable[[#This Row],[Tag]]&lt;&gt;FilterSpecs!$F$12, MouserListTable[[#This Row],[Tag]]&lt;&gt;FilterSpecs!$F$9), MouserListTable[[#This Row],['#/Unit]]*FilterSpecs!$B$3+MouserListTable[[#This Row],[Extra Initial]],0)</f>
        <v>0</v>
      </c>
      <c r="G447" s="147" t="s">
        <v>1277</v>
      </c>
      <c r="H447" s="150" t="s">
        <v>1278</v>
      </c>
      <c r="I447" s="151" t="s">
        <v>1279</v>
      </c>
      <c r="J447" s="150">
        <v>1</v>
      </c>
      <c r="K447" s="154">
        <v>1.5</v>
      </c>
      <c r="L447" s="151" t="s">
        <v>1896</v>
      </c>
      <c r="M447" s="150"/>
      <c r="N447" s="154">
        <f>MouserListTable[[#This Row],['# Initial]]*MouserListTable[[#This Row],[Price (USD)]]</f>
        <v>0</v>
      </c>
      <c r="O447" s="151" t="s">
        <v>1276</v>
      </c>
      <c r="P447" s="150">
        <f t="shared" si="7"/>
        <v>434</v>
      </c>
      <c r="Q447" s="150" t="s">
        <v>5</v>
      </c>
      <c r="R44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474-COM-00595</v>
      </c>
      <c r="S447" s="157" t="str">
        <f>HYPERLINK("https://www.mouser.com/ProductDetail/" &amp;MouserListTable[[#This Row],[Mouser SKU]])</f>
        <v>https://www.mouser.com/ProductDetail/474-COM-00595</v>
      </c>
      <c r="T447" s="152">
        <v>0</v>
      </c>
      <c r="U447" s="152">
        <v>0</v>
      </c>
      <c r="V447" s="152">
        <v>0</v>
      </c>
      <c r="W447" s="152">
        <f>MouserListTable[[#This Row],['#/Unit]]*FilterSpecs!$C$3+MouserListTable[[#This Row],[Extra]]</f>
        <v>0</v>
      </c>
      <c r="X447" s="152">
        <f>IF(MouserListTable[[#This Row],[Tag]]=FilterSpecs!$F$7,MouserListTable[[#This Row],['#/Unit]]*MouserListTable[[#This Row],[Price (USD)]],0)</f>
        <v>0</v>
      </c>
      <c r="Y447" s="152">
        <f>MouserListTable[[#This Row],[Tot '#]]*MouserListTable[[#This Row],[Price (USD)]]</f>
        <v>0</v>
      </c>
    </row>
    <row r="448" spans="1:26" s="146" customFormat="1" x14ac:dyDescent="0.25">
      <c r="A448" s="150" t="s">
        <v>890</v>
      </c>
      <c r="B448" s="151" t="s">
        <v>1603</v>
      </c>
      <c r="C448" s="150" t="s">
        <v>1892</v>
      </c>
      <c r="D448" s="151" t="str">
        <f>IF(MouserListTable[[#This Row],[Vendor]]=FilterSpecs!$A$8,MouserListTable[[#This Row],[Mouser SKU]], MouserListTable[[#This Row],[Supplier SKU]])</f>
        <v>474-COM-10828</v>
      </c>
      <c r="E448" s="152">
        <f>MouserListTable[[#This Row],[Tot '#]]-MouserListTable[[#This Row],['# Initial]]</f>
        <v>0</v>
      </c>
      <c r="F448" s="152">
        <f>IF(AND(MouserListTable[[#This Row],[Tag]]&lt;&gt;FilterSpecs!$F$12, MouserListTable[[#This Row],[Tag]]&lt;&gt;FilterSpecs!$F$9), MouserListTable[[#This Row],['#/Unit]]*FilterSpecs!$B$3+MouserListTable[[#This Row],[Extra Initial]],0)</f>
        <v>0</v>
      </c>
      <c r="G448" s="147" t="s">
        <v>1273</v>
      </c>
      <c r="H448" s="150" t="s">
        <v>1274</v>
      </c>
      <c r="I448" s="151" t="s">
        <v>1275</v>
      </c>
      <c r="J448" s="150">
        <v>1</v>
      </c>
      <c r="K448" s="154">
        <v>0.1</v>
      </c>
      <c r="L448" s="151" t="s">
        <v>1896</v>
      </c>
      <c r="M448" s="150"/>
      <c r="N448" s="154">
        <f>MouserListTable[[#This Row],['# Initial]]*MouserListTable[[#This Row],[Price (USD)]]</f>
        <v>0</v>
      </c>
      <c r="O448" s="151" t="s">
        <v>1272</v>
      </c>
      <c r="P448" s="150">
        <f t="shared" si="7"/>
        <v>435</v>
      </c>
      <c r="Q448" s="150" t="s">
        <v>5</v>
      </c>
      <c r="R44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474-COM-10828</v>
      </c>
      <c r="S448" s="157" t="str">
        <f>HYPERLINK("https://www.mouser.com/ProductDetail/" &amp;MouserListTable[[#This Row],[Mouser SKU]])</f>
        <v>https://www.mouser.com/ProductDetail/474-COM-10828</v>
      </c>
      <c r="T448" s="152">
        <v>0</v>
      </c>
      <c r="U448" s="152">
        <v>0</v>
      </c>
      <c r="V448" s="152">
        <v>0</v>
      </c>
      <c r="W448" s="152">
        <f>MouserListTable[[#This Row],['#/Unit]]*FilterSpecs!$C$3+MouserListTable[[#This Row],[Extra]]</f>
        <v>0</v>
      </c>
      <c r="X448" s="152">
        <f>IF(MouserListTable[[#This Row],[Tag]]=FilterSpecs!$F$7,MouserListTable[[#This Row],['#/Unit]]*MouserListTable[[#This Row],[Price (USD)]],0)</f>
        <v>0</v>
      </c>
      <c r="Y448" s="152">
        <f>MouserListTable[[#This Row],[Tot '#]]*MouserListTable[[#This Row],[Price (USD)]]</f>
        <v>0</v>
      </c>
    </row>
    <row r="449" spans="1:26" s="146" customFormat="1" x14ac:dyDescent="0.25">
      <c r="A449" s="150" t="s">
        <v>890</v>
      </c>
      <c r="B449" s="151" t="s">
        <v>1603</v>
      </c>
      <c r="C449" s="150" t="s">
        <v>1892</v>
      </c>
      <c r="D449" s="151" t="str">
        <f>IF(MouserListTable[[#This Row],[Vendor]]=FilterSpecs!$A$8,MouserListTable[[#This Row],[Mouser SKU]], MouserListTable[[#This Row],[Supplier SKU]])</f>
        <v>474-COM-00312</v>
      </c>
      <c r="E449" s="152">
        <f>MouserListTable[[#This Row],[Tot '#]]-MouserListTable[[#This Row],['# Initial]]</f>
        <v>0</v>
      </c>
      <c r="F449" s="152">
        <f>IF(AND(MouserListTable[[#This Row],[Tag]]&lt;&gt;FilterSpecs!$F$12, MouserListTable[[#This Row],[Tag]]&lt;&gt;FilterSpecs!$F$9), MouserListTable[[#This Row],['#/Unit]]*FilterSpecs!$B$3+MouserListTable[[#This Row],[Extra Initial]],0)</f>
        <v>0</v>
      </c>
      <c r="G449" s="147" t="s">
        <v>1437</v>
      </c>
      <c r="H449" s="150" t="s">
        <v>1438</v>
      </c>
      <c r="I449" s="151" t="s">
        <v>1439</v>
      </c>
      <c r="J449" s="150">
        <v>1</v>
      </c>
      <c r="K449" s="154">
        <v>1.95</v>
      </c>
      <c r="L449" s="151" t="s">
        <v>1896</v>
      </c>
      <c r="M449" s="150"/>
      <c r="N449" s="154">
        <f>MouserListTable[[#This Row],['# Initial]]*MouserListTable[[#This Row],[Price (USD)]]</f>
        <v>0</v>
      </c>
      <c r="O449" s="151" t="s">
        <v>1436</v>
      </c>
      <c r="P449" s="150">
        <f t="shared" si="7"/>
        <v>436</v>
      </c>
      <c r="Q449" s="150" t="s">
        <v>5</v>
      </c>
      <c r="R44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474-COM-00312</v>
      </c>
      <c r="S449" s="157" t="str">
        <f>HYPERLINK("https://www.mouser.com/ProductDetail/" &amp;MouserListTable[[#This Row],[Mouser SKU]])</f>
        <v>https://www.mouser.com/ProductDetail/474-COM-00312</v>
      </c>
      <c r="T449" s="152">
        <v>0</v>
      </c>
      <c r="U449" s="152">
        <v>0</v>
      </c>
      <c r="V449" s="152">
        <v>0</v>
      </c>
      <c r="W449" s="152">
        <f>MouserListTable[[#This Row],['#/Unit]]*FilterSpecs!$C$3+MouserListTable[[#This Row],[Extra]]</f>
        <v>0</v>
      </c>
      <c r="X449" s="152">
        <f>IF(MouserListTable[[#This Row],[Tag]]=FilterSpecs!$F$7,MouserListTable[[#This Row],['#/Unit]]*MouserListTable[[#This Row],[Price (USD)]],0)</f>
        <v>0</v>
      </c>
      <c r="Y449" s="152">
        <f>MouserListTable[[#This Row],[Tot '#]]*MouserListTable[[#This Row],[Price (USD)]]</f>
        <v>0</v>
      </c>
    </row>
    <row r="450" spans="1:26" s="146" customFormat="1" x14ac:dyDescent="0.25">
      <c r="A450" s="150" t="s">
        <v>890</v>
      </c>
      <c r="B450" s="151" t="s">
        <v>1603</v>
      </c>
      <c r="C450" s="150" t="s">
        <v>1892</v>
      </c>
      <c r="D450" s="151" t="str">
        <f>IF(MouserListTable[[#This Row],[Vendor]]=FilterSpecs!$A$8,MouserListTable[[#This Row],[Mouser SKU]], MouserListTable[[#This Row],[Supplier SKU]])</f>
        <v>474-COM-13885</v>
      </c>
      <c r="E450" s="152">
        <f>MouserListTable[[#This Row],[Tot '#]]-MouserListTable[[#This Row],['# Initial]]</f>
        <v>0</v>
      </c>
      <c r="F450" s="152">
        <f>IF(AND(MouserListTable[[#This Row],[Tag]]&lt;&gt;FilterSpecs!$F$12, MouserListTable[[#This Row],[Tag]]&lt;&gt;FilterSpecs!$F$9), MouserListTable[[#This Row],['#/Unit]]*FilterSpecs!$B$3+MouserListTable[[#This Row],[Extra Initial]],0)</f>
        <v>0</v>
      </c>
      <c r="G450" s="147" t="s">
        <v>1441</v>
      </c>
      <c r="H450" s="150" t="s">
        <v>1442</v>
      </c>
      <c r="I450" s="151" t="s">
        <v>1443</v>
      </c>
      <c r="J450" s="150">
        <v>1</v>
      </c>
      <c r="K450" s="154">
        <v>1.95</v>
      </c>
      <c r="L450" s="151" t="s">
        <v>1896</v>
      </c>
      <c r="M450" s="150"/>
      <c r="N450" s="154">
        <f>MouserListTable[[#This Row],['# Initial]]*MouserListTable[[#This Row],[Price (USD)]]</f>
        <v>0</v>
      </c>
      <c r="O450" s="151" t="s">
        <v>1440</v>
      </c>
      <c r="P450" s="150">
        <f t="shared" si="7"/>
        <v>437</v>
      </c>
      <c r="Q450" s="150" t="s">
        <v>5</v>
      </c>
      <c r="R45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474-COM-13885</v>
      </c>
      <c r="S450" s="157" t="str">
        <f>HYPERLINK("https://www.mouser.com/ProductDetail/" &amp;MouserListTable[[#This Row],[Mouser SKU]])</f>
        <v>https://www.mouser.com/ProductDetail/474-COM-13885</v>
      </c>
      <c r="T450" s="152">
        <v>0</v>
      </c>
      <c r="U450" s="152">
        <v>0</v>
      </c>
      <c r="V450" s="152">
        <v>0</v>
      </c>
      <c r="W450" s="152">
        <f>MouserListTable[[#This Row],['#/Unit]]*FilterSpecs!$C$3+MouserListTable[[#This Row],[Extra]]</f>
        <v>0</v>
      </c>
      <c r="X450" s="152">
        <f>IF(MouserListTable[[#This Row],[Tag]]=FilterSpecs!$F$7,MouserListTable[[#This Row],['#/Unit]]*MouserListTable[[#This Row],[Price (USD)]],0)</f>
        <v>0</v>
      </c>
      <c r="Y450" s="152">
        <f>MouserListTable[[#This Row],[Tot '#]]*MouserListTable[[#This Row],[Price (USD)]]</f>
        <v>0</v>
      </c>
    </row>
    <row r="451" spans="1:26" s="146" customFormat="1" x14ac:dyDescent="0.25">
      <c r="A451" s="150" t="s">
        <v>890</v>
      </c>
      <c r="B451" s="151" t="s">
        <v>1603</v>
      </c>
      <c r="C451" s="150" t="s">
        <v>1892</v>
      </c>
      <c r="D451" s="151" t="str">
        <f>IF(MouserListTable[[#This Row],[Vendor]]=FilterSpecs!$A$8,MouserListTable[[#This Row],[Mouser SKU]], MouserListTable[[#This Row],[Supplier SKU]])</f>
        <v>474-COM-11107</v>
      </c>
      <c r="E451" s="152">
        <f>MouserListTable[[#This Row],[Tot '#]]-MouserListTable[[#This Row],['# Initial]]</f>
        <v>0</v>
      </c>
      <c r="F451" s="152">
        <f>IF(AND(MouserListTable[[#This Row],[Tag]]&lt;&gt;FilterSpecs!$F$12, MouserListTable[[#This Row],[Tag]]&lt;&gt;FilterSpecs!$F$9), MouserListTable[[#This Row],['#/Unit]]*FilterSpecs!$B$3+MouserListTable[[#This Row],[Extra Initial]],0)</f>
        <v>0</v>
      </c>
      <c r="G451" s="147" t="s">
        <v>1469</v>
      </c>
      <c r="H451" s="150" t="s">
        <v>1470</v>
      </c>
      <c r="I451" s="151" t="s">
        <v>1471</v>
      </c>
      <c r="J451" s="150">
        <v>1</v>
      </c>
      <c r="K451" s="154">
        <v>1.95</v>
      </c>
      <c r="L451" s="151" t="s">
        <v>1896</v>
      </c>
      <c r="M451" s="150"/>
      <c r="N451" s="154">
        <f>MouserListTable[[#This Row],['# Initial]]*MouserListTable[[#This Row],[Price (USD)]]</f>
        <v>0</v>
      </c>
      <c r="O451" s="151" t="s">
        <v>1468</v>
      </c>
      <c r="P451" s="150">
        <f t="shared" si="7"/>
        <v>438</v>
      </c>
      <c r="Q451" s="150" t="s">
        <v>5</v>
      </c>
      <c r="R45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474-COM-11107</v>
      </c>
      <c r="S451" s="157" t="str">
        <f>HYPERLINK("https://www.mouser.com/ProductDetail/" &amp;MouserListTable[[#This Row],[Mouser SKU]])</f>
        <v>https://www.mouser.com/ProductDetail/474-COM-11107</v>
      </c>
      <c r="T451" s="152">
        <v>0</v>
      </c>
      <c r="U451" s="152">
        <v>0</v>
      </c>
      <c r="V451" s="152">
        <v>0</v>
      </c>
      <c r="W451" s="152">
        <f>MouserListTable[[#This Row],['#/Unit]]*FilterSpecs!$C$3+MouserListTable[[#This Row],[Extra]]</f>
        <v>0</v>
      </c>
      <c r="X451" s="152">
        <f>IF(MouserListTable[[#This Row],[Tag]]=FilterSpecs!$F$7,MouserListTable[[#This Row],['#/Unit]]*MouserListTable[[#This Row],[Price (USD)]],0)</f>
        <v>0</v>
      </c>
      <c r="Y451" s="152">
        <f>MouserListTable[[#This Row],[Tot '#]]*MouserListTable[[#This Row],[Price (USD)]]</f>
        <v>0</v>
      </c>
    </row>
    <row r="452" spans="1:26" s="106" customFormat="1" x14ac:dyDescent="0.25">
      <c r="A452" s="97" t="s">
        <v>890</v>
      </c>
      <c r="B452" s="97" t="s">
        <v>1879</v>
      </c>
      <c r="C452" s="78" t="s">
        <v>1892</v>
      </c>
      <c r="D452" s="81" t="str">
        <f>IF(MouserListTable[[#This Row],[Vendor]]=FilterSpecs!$A$8,MouserListTable[[#This Row],[Mouser SKU]], MouserListTable[[#This Row],[Supplier SKU]])</f>
        <v>474-PRT-13875</v>
      </c>
      <c r="E452" s="94">
        <f>MouserListTable[[#This Row],[Tot '#]]-MouserListTable[[#This Row],['# Initial]]</f>
        <v>0</v>
      </c>
      <c r="F452" s="94">
        <f>IF(AND(MouserListTable[[#This Row],[Tag]]&lt;&gt;FilterSpecs!$F$12, MouserListTable[[#This Row],[Tag]]&lt;&gt;FilterSpecs!$F$9), MouserListTable[[#This Row],['#/Unit]]*FilterSpecs!$B$3+MouserListTable[[#This Row],[Extra Initial]],0)</f>
        <v>0</v>
      </c>
      <c r="G452" s="78" t="s">
        <v>769</v>
      </c>
      <c r="H452" s="150" t="s">
        <v>770</v>
      </c>
      <c r="I452" s="78" t="s">
        <v>771</v>
      </c>
      <c r="J452" s="78">
        <v>1</v>
      </c>
      <c r="K452" s="117">
        <v>0.5</v>
      </c>
      <c r="L452" s="78" t="s">
        <v>1896</v>
      </c>
      <c r="M452" s="78"/>
      <c r="N452" s="154">
        <f>MouserListTable[[#This Row],['# Initial]]*MouserListTable[[#This Row],[Price (USD)]]</f>
        <v>0</v>
      </c>
      <c r="O452" s="81" t="s">
        <v>768</v>
      </c>
      <c r="P452" s="150">
        <f t="shared" si="7"/>
        <v>439</v>
      </c>
      <c r="Q452" s="78" t="s">
        <v>5</v>
      </c>
      <c r="R452"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474-PRT-13875</v>
      </c>
      <c r="S452" s="133" t="str">
        <f>HYPERLINK("https://www.mouser.com/ProductDetail/" &amp;MouserListTable[[#This Row],[Mouser SKU]])</f>
        <v>https://www.mouser.com/ProductDetail/474-PRT-13875</v>
      </c>
      <c r="T452" s="94">
        <v>0</v>
      </c>
      <c r="U452" s="94">
        <v>0</v>
      </c>
      <c r="V452" s="94">
        <v>0</v>
      </c>
      <c r="W452" s="94">
        <f>MouserListTable[[#This Row],['#/Unit]]*FilterSpecs!$C$3+MouserListTable[[#This Row],[Extra]]</f>
        <v>0</v>
      </c>
      <c r="X452" s="94">
        <f>IF(MouserListTable[[#This Row],[Tag]]=FilterSpecs!$F$7,MouserListTable[[#This Row],['#/Unit]]*MouserListTable[[#This Row],[Price (USD)]],0)</f>
        <v>0</v>
      </c>
      <c r="Y452" s="94">
        <f>MouserListTable[[#This Row],[Tot '#]]*MouserListTable[[#This Row],[Price (USD)]]</f>
        <v>0</v>
      </c>
      <c r="Z452"/>
    </row>
    <row r="453" spans="1:26" s="106" customFormat="1" x14ac:dyDescent="0.25">
      <c r="A453" s="78" t="s">
        <v>890</v>
      </c>
      <c r="B453" s="78" t="s">
        <v>1879</v>
      </c>
      <c r="C453" s="78" t="s">
        <v>1892</v>
      </c>
      <c r="D453" s="81" t="str">
        <f>IF(MouserListTable[[#This Row],[Vendor]]=FilterSpecs!$A$8,MouserListTable[[#This Row],[Mouser SKU]], MouserListTable[[#This Row],[Supplier SKU]])</f>
        <v>474-PRT-12790</v>
      </c>
      <c r="E453" s="94">
        <f>MouserListTable[[#This Row],[Tot '#]]-MouserListTable[[#This Row],['# Initial]]</f>
        <v>1</v>
      </c>
      <c r="F453" s="94">
        <f>IF(AND(MouserListTable[[#This Row],[Tag]]&lt;&gt;FilterSpecs!$F$12, MouserListTable[[#This Row],[Tag]]&lt;&gt;FilterSpecs!$F$9), MouserListTable[[#This Row],['#/Unit]]*FilterSpecs!$B$3+MouserListTable[[#This Row],[Extra Initial]],0)</f>
        <v>0</v>
      </c>
      <c r="G453" s="78" t="s">
        <v>1762</v>
      </c>
      <c r="H453" s="150" t="s">
        <v>1763</v>
      </c>
      <c r="I453" s="78" t="s">
        <v>1764</v>
      </c>
      <c r="J453" s="78">
        <v>1</v>
      </c>
      <c r="K453" s="117">
        <v>2.95</v>
      </c>
      <c r="L453" s="78" t="s">
        <v>1896</v>
      </c>
      <c r="M453" s="78"/>
      <c r="N453" s="154">
        <f>MouserListTable[[#This Row],['# Initial]]*MouserListTable[[#This Row],[Price (USD)]]</f>
        <v>0</v>
      </c>
      <c r="O453" s="81" t="s">
        <v>1761</v>
      </c>
      <c r="P453" s="150">
        <f t="shared" si="7"/>
        <v>440</v>
      </c>
      <c r="Q453" s="78" t="s">
        <v>5</v>
      </c>
      <c r="R453"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474-PRT-12790</v>
      </c>
      <c r="S453" s="133" t="str">
        <f>HYPERLINK("https://www.mouser.com/ProductDetail/" &amp;MouserListTable[[#This Row],[Mouser SKU]])</f>
        <v>https://www.mouser.com/ProductDetail/474-PRT-12790</v>
      </c>
      <c r="T453" s="94">
        <v>0</v>
      </c>
      <c r="U453" s="94">
        <v>1</v>
      </c>
      <c r="V453" s="94">
        <v>0</v>
      </c>
      <c r="W453" s="94">
        <f>MouserListTable[[#This Row],['#/Unit]]*FilterSpecs!$C$3+MouserListTable[[#This Row],[Extra]]</f>
        <v>1</v>
      </c>
      <c r="X453" s="94">
        <f>IF(MouserListTable[[#This Row],[Tag]]=FilterSpecs!$F$7,MouserListTable[[#This Row],['#/Unit]]*MouserListTable[[#This Row],[Price (USD)]],0)</f>
        <v>0</v>
      </c>
      <c r="Y453" s="94">
        <f>MouserListTable[[#This Row],[Tot '#]]*MouserListTable[[#This Row],[Price (USD)]]</f>
        <v>2.95</v>
      </c>
      <c r="Z453"/>
    </row>
    <row r="454" spans="1:26" s="106" customFormat="1" x14ac:dyDescent="0.25">
      <c r="A454" s="97" t="s">
        <v>890</v>
      </c>
      <c r="B454" s="97" t="s">
        <v>1879</v>
      </c>
      <c r="C454" s="78" t="s">
        <v>1892</v>
      </c>
      <c r="D454" s="81" t="str">
        <f>IF(MouserListTable[[#This Row],[Vendor]]=FilterSpecs!$A$8,MouserListTable[[#This Row],[Mouser SKU]], MouserListTable[[#This Row],[Supplier SKU]])</f>
        <v>474-PRT-10007</v>
      </c>
      <c r="E454" s="94">
        <f>MouserListTable[[#This Row],[Tot '#]]-MouserListTable[[#This Row],['# Initial]]</f>
        <v>0</v>
      </c>
      <c r="F454" s="94">
        <f>IF(AND(MouserListTable[[#This Row],[Tag]]&lt;&gt;FilterSpecs!$F$12, MouserListTable[[#This Row],[Tag]]&lt;&gt;FilterSpecs!$F$9), MouserListTable[[#This Row],['#/Unit]]*FilterSpecs!$B$3+MouserListTable[[#This Row],[Extra Initial]],0)</f>
        <v>0</v>
      </c>
      <c r="G454" s="78" t="s">
        <v>517</v>
      </c>
      <c r="H454" s="150" t="s">
        <v>518</v>
      </c>
      <c r="I454" s="78" t="s">
        <v>519</v>
      </c>
      <c r="J454" s="78">
        <v>1</v>
      </c>
      <c r="K454" s="117">
        <v>1.5</v>
      </c>
      <c r="L454" s="78" t="s">
        <v>1896</v>
      </c>
      <c r="M454" s="78"/>
      <c r="N454" s="154">
        <f>MouserListTable[[#This Row],['# Initial]]*MouserListTable[[#This Row],[Price (USD)]]</f>
        <v>0</v>
      </c>
      <c r="O454" s="81" t="s">
        <v>516</v>
      </c>
      <c r="P454" s="150">
        <f t="shared" si="7"/>
        <v>441</v>
      </c>
      <c r="Q454" s="78" t="s">
        <v>5</v>
      </c>
      <c r="R454"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474-PRT-10007</v>
      </c>
      <c r="S454" s="133" t="str">
        <f>HYPERLINK("https://www.mouser.com/ProductDetail/" &amp;MouserListTable[[#This Row],[Mouser SKU]])</f>
        <v>https://www.mouser.com/ProductDetail/474-PRT-10007</v>
      </c>
      <c r="T454" s="94">
        <v>0</v>
      </c>
      <c r="U454" s="94">
        <v>0</v>
      </c>
      <c r="V454" s="94">
        <v>0</v>
      </c>
      <c r="W454" s="94">
        <f>MouserListTable[[#This Row],['#/Unit]]*FilterSpecs!$C$3+MouserListTable[[#This Row],[Extra]]</f>
        <v>0</v>
      </c>
      <c r="X454" s="94">
        <f>IF(MouserListTable[[#This Row],[Tag]]=FilterSpecs!$F$7,MouserListTable[[#This Row],['#/Unit]]*MouserListTable[[#This Row],[Price (USD)]],0)</f>
        <v>0</v>
      </c>
      <c r="Y454" s="94">
        <f>MouserListTable[[#This Row],[Tot '#]]*MouserListTable[[#This Row],[Price (USD)]]</f>
        <v>0</v>
      </c>
      <c r="Z454"/>
    </row>
    <row r="455" spans="1:26" s="106" customFormat="1" x14ac:dyDescent="0.25">
      <c r="A455" s="97" t="s">
        <v>890</v>
      </c>
      <c r="B455" s="97" t="s">
        <v>1879</v>
      </c>
      <c r="C455" s="78" t="s">
        <v>1892</v>
      </c>
      <c r="D455" s="81" t="str">
        <f>IF(MouserListTable[[#This Row],[Vendor]]=FilterSpecs!$A$8,MouserListTable[[#This Row],[Mouser SKU]], MouserListTable[[#This Row],[Supplier SKU]])</f>
        <v>474-PRT-11376</v>
      </c>
      <c r="E455" s="94">
        <f>MouserListTable[[#This Row],[Tot '#]]-MouserListTable[[#This Row],['# Initial]]</f>
        <v>0</v>
      </c>
      <c r="F455" s="94">
        <f>IF(AND(MouserListTable[[#This Row],[Tag]]&lt;&gt;FilterSpecs!$F$12, MouserListTable[[#This Row],[Tag]]&lt;&gt;FilterSpecs!$F$9), MouserListTable[[#This Row],['#/Unit]]*FilterSpecs!$B$3+MouserListTable[[#This Row],[Extra Initial]],0)</f>
        <v>0</v>
      </c>
      <c r="G455" s="78" t="s">
        <v>521</v>
      </c>
      <c r="H455" s="150" t="s">
        <v>522</v>
      </c>
      <c r="I455" s="78" t="s">
        <v>523</v>
      </c>
      <c r="J455" s="78">
        <v>1</v>
      </c>
      <c r="K455" s="117">
        <v>0.5</v>
      </c>
      <c r="L455" s="78" t="s">
        <v>1896</v>
      </c>
      <c r="M455" s="78"/>
      <c r="N455" s="154">
        <f>MouserListTable[[#This Row],['# Initial]]*MouserListTable[[#This Row],[Price (USD)]]</f>
        <v>0</v>
      </c>
      <c r="O455" s="81" t="s">
        <v>520</v>
      </c>
      <c r="P455" s="150">
        <f t="shared" si="7"/>
        <v>442</v>
      </c>
      <c r="Q455" s="78" t="s">
        <v>5</v>
      </c>
      <c r="R455"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474-PRT-11376</v>
      </c>
      <c r="S455" s="133" t="str">
        <f>HYPERLINK("https://www.mouser.com/ProductDetail/" &amp;MouserListTable[[#This Row],[Mouser SKU]])</f>
        <v>https://www.mouser.com/ProductDetail/474-PRT-11376</v>
      </c>
      <c r="T455" s="94">
        <v>0</v>
      </c>
      <c r="U455" s="94">
        <v>0</v>
      </c>
      <c r="V455" s="94">
        <v>0</v>
      </c>
      <c r="W455" s="94">
        <f>MouserListTable[[#This Row],['#/Unit]]*FilterSpecs!$C$3+MouserListTable[[#This Row],[Extra]]</f>
        <v>0</v>
      </c>
      <c r="X455" s="94">
        <f>IF(MouserListTable[[#This Row],[Tag]]=FilterSpecs!$F$7,MouserListTable[[#This Row],['#/Unit]]*MouserListTable[[#This Row],[Price (USD)]],0)</f>
        <v>0</v>
      </c>
      <c r="Y455" s="94">
        <f>MouserListTable[[#This Row],[Tot '#]]*MouserListTable[[#This Row],[Price (USD)]]</f>
        <v>0</v>
      </c>
      <c r="Z455"/>
    </row>
    <row r="456" spans="1:26" s="106" customFormat="1" x14ac:dyDescent="0.25">
      <c r="A456" s="97" t="s">
        <v>890</v>
      </c>
      <c r="B456" s="97" t="s">
        <v>1879</v>
      </c>
      <c r="C456" s="78" t="s">
        <v>1892</v>
      </c>
      <c r="D456" s="81" t="str">
        <f>IF(MouserListTable[[#This Row],[Vendor]]=FilterSpecs!$A$8,MouserListTable[[#This Row],[Mouser SKU]], MouserListTable[[#This Row],[Supplier SKU]])</f>
        <v>474-PRT-14311</v>
      </c>
      <c r="E456" s="94">
        <f>MouserListTable[[#This Row],[Tot '#]]-MouserListTable[[#This Row],['# Initial]]</f>
        <v>0</v>
      </c>
      <c r="F456" s="94">
        <f>IF(AND(MouserListTable[[#This Row],[Tag]]&lt;&gt;FilterSpecs!$F$12, MouserListTable[[#This Row],[Tag]]&lt;&gt;FilterSpecs!$F$9), MouserListTable[[#This Row],['#/Unit]]*FilterSpecs!$B$3+MouserListTable[[#This Row],[Extra Initial]],0)</f>
        <v>0</v>
      </c>
      <c r="G456" s="78" t="s">
        <v>573</v>
      </c>
      <c r="H456" s="150" t="s">
        <v>574</v>
      </c>
      <c r="I456" s="78" t="s">
        <v>575</v>
      </c>
      <c r="J456" s="78">
        <v>1</v>
      </c>
      <c r="K456" s="117">
        <v>1.5</v>
      </c>
      <c r="L456" s="78" t="s">
        <v>1896</v>
      </c>
      <c r="M456" s="78"/>
      <c r="N456" s="154">
        <f>MouserListTable[[#This Row],['# Initial]]*MouserListTable[[#This Row],[Price (USD)]]</f>
        <v>0</v>
      </c>
      <c r="O456" s="81" t="s">
        <v>572</v>
      </c>
      <c r="P456" s="150">
        <f t="shared" si="7"/>
        <v>443</v>
      </c>
      <c r="Q456" s="78" t="s">
        <v>5</v>
      </c>
      <c r="R456"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474-PRT-14311</v>
      </c>
      <c r="S456" s="133" t="str">
        <f>HYPERLINK("https://www.mouser.com/ProductDetail/" &amp;MouserListTable[[#This Row],[Mouser SKU]])</f>
        <v>https://www.mouser.com/ProductDetail/474-PRT-14311</v>
      </c>
      <c r="T456" s="94">
        <v>0</v>
      </c>
      <c r="U456" s="94">
        <v>0</v>
      </c>
      <c r="V456" s="94">
        <v>0</v>
      </c>
      <c r="W456" s="94">
        <f>MouserListTable[[#This Row],['#/Unit]]*FilterSpecs!$C$3+MouserListTable[[#This Row],[Extra]]</f>
        <v>0</v>
      </c>
      <c r="X456" s="94">
        <f>IF(MouserListTable[[#This Row],[Tag]]=FilterSpecs!$F$7,MouserListTable[[#This Row],['#/Unit]]*MouserListTable[[#This Row],[Price (USD)]],0)</f>
        <v>0</v>
      </c>
      <c r="Y456" s="94">
        <f>MouserListTable[[#This Row],[Tot '#]]*MouserListTable[[#This Row],[Price (USD)]]</f>
        <v>0</v>
      </c>
      <c r="Z456"/>
    </row>
    <row r="457" spans="1:26" s="106" customFormat="1" x14ac:dyDescent="0.25">
      <c r="A457" s="97" t="s">
        <v>890</v>
      </c>
      <c r="B457" s="97" t="s">
        <v>1879</v>
      </c>
      <c r="C457" s="78" t="s">
        <v>1892</v>
      </c>
      <c r="D457" s="81" t="str">
        <f>IF(MouserListTable[[#This Row],[Vendor]]=FilterSpecs!$A$8,MouserListTable[[#This Row],[Mouser SKU]], MouserListTable[[#This Row],[Supplier SKU]])</f>
        <v>474-PRT-14322</v>
      </c>
      <c r="E457" s="94">
        <f>MouserListTable[[#This Row],[Tot '#]]-MouserListTable[[#This Row],['# Initial]]</f>
        <v>0</v>
      </c>
      <c r="F457" s="94">
        <f>IF(AND(MouserListTable[[#This Row],[Tag]]&lt;&gt;FilterSpecs!$F$12, MouserListTable[[#This Row],[Tag]]&lt;&gt;FilterSpecs!$F$9), MouserListTable[[#This Row],['#/Unit]]*FilterSpecs!$B$3+MouserListTable[[#This Row],[Extra Initial]],0)</f>
        <v>0</v>
      </c>
      <c r="G457" s="78" t="s">
        <v>475</v>
      </c>
      <c r="H457" s="150" t="s">
        <v>476</v>
      </c>
      <c r="I457" s="78" t="s">
        <v>477</v>
      </c>
      <c r="J457" s="78"/>
      <c r="K457" s="117">
        <v>0.5</v>
      </c>
      <c r="L457" s="78" t="s">
        <v>1896</v>
      </c>
      <c r="M457" s="78"/>
      <c r="N457" s="154">
        <f>MouserListTable[[#This Row],['# Initial]]*MouserListTable[[#This Row],[Price (USD)]]</f>
        <v>0</v>
      </c>
      <c r="O457" s="81" t="s">
        <v>474</v>
      </c>
      <c r="P457" s="150">
        <f t="shared" si="7"/>
        <v>444</v>
      </c>
      <c r="Q457" s="78" t="s">
        <v>5</v>
      </c>
      <c r="R457"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474-PRT-14322</v>
      </c>
      <c r="S457" s="133" t="str">
        <f>HYPERLINK("https://www.mouser.com/ProductDetail/" &amp;MouserListTable[[#This Row],[Mouser SKU]])</f>
        <v>https://www.mouser.com/ProductDetail/474-PRT-14322</v>
      </c>
      <c r="T457" s="94">
        <v>0</v>
      </c>
      <c r="U457" s="94">
        <v>0</v>
      </c>
      <c r="V457" s="94">
        <v>0</v>
      </c>
      <c r="W457" s="94">
        <f>MouserListTable[[#This Row],['#/Unit]]*FilterSpecs!$C$3+MouserListTable[[#This Row],[Extra]]</f>
        <v>0</v>
      </c>
      <c r="X457" s="94">
        <f>IF(MouserListTable[[#This Row],[Tag]]=FilterSpecs!$F$7,MouserListTable[[#This Row],['#/Unit]]*MouserListTable[[#This Row],[Price (USD)]],0)</f>
        <v>0</v>
      </c>
      <c r="Y457" s="94">
        <f>MouserListTable[[#This Row],[Tot '#]]*MouserListTable[[#This Row],[Price (USD)]]</f>
        <v>0</v>
      </c>
      <c r="Z457"/>
    </row>
    <row r="458" spans="1:26" s="106" customFormat="1" x14ac:dyDescent="0.25">
      <c r="A458" s="97" t="s">
        <v>890</v>
      </c>
      <c r="B458" s="97" t="s">
        <v>1879</v>
      </c>
      <c r="C458" s="78" t="s">
        <v>1892</v>
      </c>
      <c r="D458" s="81" t="str">
        <f>IF(MouserListTable[[#This Row],[Vendor]]=FilterSpecs!$A$8,MouserListTable[[#This Row],[Mouser SKU]], MouserListTable[[#This Row],[Supplier SKU]])</f>
        <v>474-PRT-13925</v>
      </c>
      <c r="E458" s="94">
        <f>MouserListTable[[#This Row],[Tot '#]]-MouserListTable[[#This Row],['# Initial]]</f>
        <v>0</v>
      </c>
      <c r="F458" s="94">
        <f>IF(AND(MouserListTable[[#This Row],[Tag]]&lt;&gt;FilterSpecs!$F$12, MouserListTable[[#This Row],[Tag]]&lt;&gt;FilterSpecs!$F$9), MouserListTable[[#This Row],['#/Unit]]*FilterSpecs!$B$3+MouserListTable[[#This Row],[Extra Initial]],0)</f>
        <v>0</v>
      </c>
      <c r="G458" s="78" t="s">
        <v>471</v>
      </c>
      <c r="H458" s="150" t="s">
        <v>472</v>
      </c>
      <c r="I458" s="78" t="s">
        <v>473</v>
      </c>
      <c r="J458" s="78">
        <v>1</v>
      </c>
      <c r="K458" s="117">
        <v>1.5</v>
      </c>
      <c r="L458" s="78" t="s">
        <v>1896</v>
      </c>
      <c r="M458" s="78"/>
      <c r="N458" s="154">
        <f>MouserListTable[[#This Row],['# Initial]]*MouserListTable[[#This Row],[Price (USD)]]</f>
        <v>0</v>
      </c>
      <c r="O458" s="81" t="s">
        <v>470</v>
      </c>
      <c r="P458" s="150">
        <f t="shared" si="7"/>
        <v>445</v>
      </c>
      <c r="Q458" s="78" t="s">
        <v>5</v>
      </c>
      <c r="R458"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474-PRT-13925</v>
      </c>
      <c r="S458" s="133" t="str">
        <f>HYPERLINK("https://www.mouser.com/ProductDetail/" &amp;MouserListTable[[#This Row],[Mouser SKU]])</f>
        <v>https://www.mouser.com/ProductDetail/474-PRT-13925</v>
      </c>
      <c r="T458" s="94">
        <v>0</v>
      </c>
      <c r="U458" s="94">
        <v>0</v>
      </c>
      <c r="V458" s="94">
        <v>0</v>
      </c>
      <c r="W458" s="94">
        <f>MouserListTable[[#This Row],['#/Unit]]*FilterSpecs!$C$3+MouserListTable[[#This Row],[Extra]]</f>
        <v>0</v>
      </c>
      <c r="X458" s="94">
        <f>IF(MouserListTable[[#This Row],[Tag]]=FilterSpecs!$F$7,MouserListTable[[#This Row],['#/Unit]]*MouserListTable[[#This Row],[Price (USD)]],0)</f>
        <v>0</v>
      </c>
      <c r="Y458" s="94">
        <f>MouserListTable[[#This Row],[Tot '#]]*MouserListTable[[#This Row],[Price (USD)]]</f>
        <v>0</v>
      </c>
      <c r="Z458"/>
    </row>
    <row r="459" spans="1:26" s="106" customFormat="1" x14ac:dyDescent="0.25">
      <c r="A459" s="78" t="s">
        <v>890</v>
      </c>
      <c r="B459" s="78" t="s">
        <v>1879</v>
      </c>
      <c r="C459" s="78" t="s">
        <v>1892</v>
      </c>
      <c r="D459" s="81" t="str">
        <f>IF(MouserListTable[[#This Row],[Vendor]]=FilterSpecs!$A$8,MouserListTable[[#This Row],[Mouser SKU]], MouserListTable[[#This Row],[Supplier SKU]])</f>
        <v>485-85</v>
      </c>
      <c r="E459" s="94">
        <f>MouserListTable[[#This Row],[Tot '#]]-MouserListTable[[#This Row],['# Initial]]</f>
        <v>0</v>
      </c>
      <c r="F459" s="94">
        <f>IF(AND(MouserListTable[[#This Row],[Tag]]&lt;&gt;FilterSpecs!$F$12, MouserListTable[[#This Row],[Tag]]&lt;&gt;FilterSpecs!$F$9), MouserListTable[[#This Row],['#/Unit]]*FilterSpecs!$B$3+MouserListTable[[#This Row],[Extra Initial]],0)</f>
        <v>10</v>
      </c>
      <c r="G459" s="78"/>
      <c r="H459" s="150"/>
      <c r="I459" s="78" t="s">
        <v>2169</v>
      </c>
      <c r="K459" s="117">
        <v>1.95</v>
      </c>
      <c r="L459" s="78" t="s">
        <v>1897</v>
      </c>
      <c r="M459" s="81"/>
      <c r="N459" s="154">
        <f>MouserListTable[[#This Row],['# Initial]]*MouserListTable[[#This Row],[Price (USD)]]</f>
        <v>19.5</v>
      </c>
      <c r="O459" s="81" t="s">
        <v>2168</v>
      </c>
      <c r="P459" s="150">
        <f t="shared" si="7"/>
        <v>446</v>
      </c>
      <c r="Q459" s="78" t="s">
        <v>1884</v>
      </c>
      <c r="R459"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485-85</v>
      </c>
      <c r="S459" s="133" t="str">
        <f>HYPERLINK("https://www.mouser.com/ProductDetail/" &amp;MouserListTable[[#This Row],[Mouser SKU]])</f>
        <v>https://www.mouser.com/ProductDetail/485-85</v>
      </c>
      <c r="T459" s="94">
        <v>2</v>
      </c>
      <c r="U459" s="94">
        <v>0</v>
      </c>
      <c r="V459" s="94">
        <v>0</v>
      </c>
      <c r="W459" s="94">
        <f>MouserListTable[[#This Row],['#/Unit]]*FilterSpecs!$C$3+MouserListTable[[#This Row],[Extra]]</f>
        <v>10</v>
      </c>
      <c r="X459" s="94">
        <f>IF(MouserListTable[[#This Row],[Tag]]=FilterSpecs!$F$7,MouserListTable[[#This Row],['#/Unit]]*MouserListTable[[#This Row],[Price (USD)]],0)</f>
        <v>3.9</v>
      </c>
      <c r="Y459" s="94">
        <f>MouserListTable[[#This Row],[Tot '#]]*MouserListTable[[#This Row],[Price (USD)]]</f>
        <v>19.5</v>
      </c>
      <c r="Z459"/>
    </row>
    <row r="460" spans="1:26" s="106" customFormat="1" x14ac:dyDescent="0.25">
      <c r="A460" s="78" t="s">
        <v>890</v>
      </c>
      <c r="B460" s="78" t="s">
        <v>1879</v>
      </c>
      <c r="C460" s="78" t="s">
        <v>1892</v>
      </c>
      <c r="D460" s="81" t="str">
        <f>IF(MouserListTable[[#This Row],[Vendor]]=FilterSpecs!$A$8,MouserListTable[[#This Row],[Mouser SKU]], MouserListTable[[#This Row],[Supplier SKU]])</f>
        <v>485-3366</v>
      </c>
      <c r="E460" s="94">
        <f>MouserListTable[[#This Row],[Tot '#]]-MouserListTable[[#This Row],['# Initial]]</f>
        <v>0</v>
      </c>
      <c r="F460" s="94">
        <f>IF(AND(MouserListTable[[#This Row],[Tag]]&lt;&gt;FilterSpecs!$F$12, MouserListTable[[#This Row],[Tag]]&lt;&gt;FilterSpecs!$F$9), MouserListTable[[#This Row],['#/Unit]]*FilterSpecs!$B$3+MouserListTable[[#This Row],[Extra Initial]],0)</f>
        <v>1</v>
      </c>
      <c r="G460" s="78"/>
      <c r="H460" s="150"/>
      <c r="I460" s="78" t="s">
        <v>2151</v>
      </c>
      <c r="K460" s="117">
        <v>2.95</v>
      </c>
      <c r="L460" s="78" t="s">
        <v>1896</v>
      </c>
      <c r="M460" s="81"/>
      <c r="N460" s="154">
        <f>MouserListTable[[#This Row],['# Initial]]*MouserListTable[[#This Row],[Price (USD)]]</f>
        <v>2.95</v>
      </c>
      <c r="O460" s="81" t="s">
        <v>2150</v>
      </c>
      <c r="P460" s="150">
        <f t="shared" si="7"/>
        <v>447</v>
      </c>
      <c r="Q460" s="78" t="s">
        <v>1884</v>
      </c>
      <c r="R460"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485-3366</v>
      </c>
      <c r="S460" s="133" t="str">
        <f>HYPERLINK("https://www.mouser.com/ProductDetail/" &amp;MouserListTable[[#This Row],[Mouser SKU]])</f>
        <v>https://www.mouser.com/ProductDetail/485-3366</v>
      </c>
      <c r="T460" s="94">
        <v>0</v>
      </c>
      <c r="U460" s="94">
        <v>1</v>
      </c>
      <c r="V460" s="94">
        <v>1</v>
      </c>
      <c r="W460" s="94">
        <f>MouserListTable[[#This Row],['#/Unit]]*FilterSpecs!$C$3+MouserListTable[[#This Row],[Extra]]</f>
        <v>1</v>
      </c>
      <c r="X460" s="94">
        <f>IF(MouserListTable[[#This Row],[Tag]]=FilterSpecs!$F$7,MouserListTable[[#This Row],['#/Unit]]*MouserListTable[[#This Row],[Price (USD)]],0)</f>
        <v>0</v>
      </c>
      <c r="Y460" s="94">
        <f>MouserListTable[[#This Row],[Tot '#]]*MouserListTable[[#This Row],[Price (USD)]]</f>
        <v>2.95</v>
      </c>
      <c r="Z460"/>
    </row>
    <row r="461" spans="1:26" s="106" customFormat="1" x14ac:dyDescent="0.25">
      <c r="A461" s="97" t="s">
        <v>890</v>
      </c>
      <c r="B461" s="97" t="s">
        <v>1877</v>
      </c>
      <c r="C461" s="78" t="s">
        <v>1892</v>
      </c>
      <c r="D461" s="81" t="str">
        <f>IF(MouserListTable[[#This Row],[Vendor]]=FilterSpecs!$A$8,MouserListTable[[#This Row],[Mouser SKU]], MouserListTable[[#This Row],[Supplier SKU]])</f>
        <v>474-PRT-12807</v>
      </c>
      <c r="E461" s="94">
        <f>MouserListTable[[#This Row],[Tot '#]]-MouserListTable[[#This Row],['# Initial]]</f>
        <v>0</v>
      </c>
      <c r="F461" s="94">
        <f>IF(AND(MouserListTable[[#This Row],[Tag]]&lt;&gt;FilterSpecs!$F$12, MouserListTable[[#This Row],[Tag]]&lt;&gt;FilterSpecs!$F$9), MouserListTable[[#This Row],['#/Unit]]*FilterSpecs!$B$3+MouserListTable[[#This Row],[Extra Initial]],0)</f>
        <v>0</v>
      </c>
      <c r="G461" s="78" t="s">
        <v>765</v>
      </c>
      <c r="H461" s="150" t="s">
        <v>766</v>
      </c>
      <c r="I461" s="78" t="s">
        <v>767</v>
      </c>
      <c r="J461" s="78">
        <v>1</v>
      </c>
      <c r="K461" s="117">
        <v>0.5</v>
      </c>
      <c r="L461" s="78" t="s">
        <v>1896</v>
      </c>
      <c r="M461" s="78"/>
      <c r="N461" s="154">
        <f>MouserListTable[[#This Row],['# Initial]]*MouserListTable[[#This Row],[Price (USD)]]</f>
        <v>0</v>
      </c>
      <c r="O461" s="81" t="s">
        <v>764</v>
      </c>
      <c r="P461" s="150">
        <f t="shared" si="7"/>
        <v>448</v>
      </c>
      <c r="Q461" s="78" t="s">
        <v>5</v>
      </c>
      <c r="R461"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474-PRT-12807</v>
      </c>
      <c r="S461" s="133" t="str">
        <f>HYPERLINK("https://www.mouser.com/ProductDetail/" &amp;MouserListTable[[#This Row],[Mouser SKU]])</f>
        <v>https://www.mouser.com/ProductDetail/474-PRT-12807</v>
      </c>
      <c r="T461" s="94">
        <v>0</v>
      </c>
      <c r="U461" s="94">
        <v>0</v>
      </c>
      <c r="V461" s="94">
        <v>0</v>
      </c>
      <c r="W461" s="94">
        <f>MouserListTable[[#This Row],['#/Unit]]*FilterSpecs!$C$3+MouserListTable[[#This Row],[Extra]]</f>
        <v>0</v>
      </c>
      <c r="X461" s="94">
        <f>IF(MouserListTable[[#This Row],[Tag]]=FilterSpecs!$F$7,MouserListTable[[#This Row],['#/Unit]]*MouserListTable[[#This Row],[Price (USD)]],0)</f>
        <v>0</v>
      </c>
      <c r="Y461" s="94">
        <f>MouserListTable[[#This Row],[Tot '#]]*MouserListTable[[#This Row],[Price (USD)]]</f>
        <v>0</v>
      </c>
      <c r="Z461"/>
    </row>
    <row r="462" spans="1:26" s="106" customFormat="1" x14ac:dyDescent="0.25">
      <c r="A462" s="97" t="s">
        <v>890</v>
      </c>
      <c r="B462" s="97" t="s">
        <v>1877</v>
      </c>
      <c r="C462" s="78" t="s">
        <v>1892</v>
      </c>
      <c r="D462" s="81" t="str">
        <f>IF(MouserListTable[[#This Row],[Vendor]]=FilterSpecs!$A$8,MouserListTable[[#This Row],[Mouser SKU]], MouserListTable[[#This Row],[Supplier SKU]])</f>
        <v>474-PRT-13156</v>
      </c>
      <c r="E462" s="94">
        <f>MouserListTable[[#This Row],[Tot '#]]-MouserListTable[[#This Row],['# Initial]]</f>
        <v>0</v>
      </c>
      <c r="F462" s="94">
        <f>IF(AND(MouserListTable[[#This Row],[Tag]]&lt;&gt;FilterSpecs!$F$12, MouserListTable[[#This Row],[Tag]]&lt;&gt;FilterSpecs!$F$9), MouserListTable[[#This Row],['#/Unit]]*FilterSpecs!$B$3+MouserListTable[[#This Row],[Extra Initial]],0)</f>
        <v>0</v>
      </c>
      <c r="G462" s="78" t="s">
        <v>509</v>
      </c>
      <c r="H462" s="150" t="s">
        <v>510</v>
      </c>
      <c r="I462" s="78" t="s">
        <v>511</v>
      </c>
      <c r="J462" s="78">
        <v>1</v>
      </c>
      <c r="K462" s="117">
        <v>0.95</v>
      </c>
      <c r="L462" s="78" t="s">
        <v>1896</v>
      </c>
      <c r="M462" s="78"/>
      <c r="N462" s="154">
        <f>MouserListTable[[#This Row],['# Initial]]*MouserListTable[[#This Row],[Price (USD)]]</f>
        <v>0</v>
      </c>
      <c r="O462" s="81" t="s">
        <v>508</v>
      </c>
      <c r="P462" s="150">
        <f t="shared" si="7"/>
        <v>449</v>
      </c>
      <c r="Q462" s="78" t="s">
        <v>5</v>
      </c>
      <c r="R462"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474-PRT-13156</v>
      </c>
      <c r="S462" s="133" t="str">
        <f>HYPERLINK("https://www.mouser.com/ProductDetail/" &amp;MouserListTable[[#This Row],[Mouser SKU]])</f>
        <v>https://www.mouser.com/ProductDetail/474-PRT-13156</v>
      </c>
      <c r="T462" s="94">
        <v>0</v>
      </c>
      <c r="U462" s="94">
        <v>0</v>
      </c>
      <c r="V462" s="94">
        <v>0</v>
      </c>
      <c r="W462" s="94">
        <f>MouserListTable[[#This Row],['#/Unit]]*FilterSpecs!$C$3+MouserListTable[[#This Row],[Extra]]</f>
        <v>0</v>
      </c>
      <c r="X462" s="94">
        <f>IF(MouserListTable[[#This Row],[Tag]]=FilterSpecs!$F$7,MouserListTable[[#This Row],['#/Unit]]*MouserListTable[[#This Row],[Price (USD)]],0)</f>
        <v>0</v>
      </c>
      <c r="Y462" s="94">
        <f>MouserListTable[[#This Row],[Tot '#]]*MouserListTable[[#This Row],[Price (USD)]]</f>
        <v>0</v>
      </c>
      <c r="Z462"/>
    </row>
    <row r="463" spans="1:26" s="106" customFormat="1" x14ac:dyDescent="0.25">
      <c r="A463" s="78" t="s">
        <v>890</v>
      </c>
      <c r="B463" s="78" t="s">
        <v>1877</v>
      </c>
      <c r="C463" s="78" t="s">
        <v>1892</v>
      </c>
      <c r="D463" s="81" t="str">
        <f>IF(MouserListTable[[#This Row],[Vendor]]=FilterSpecs!$A$8,MouserListTable[[#This Row],[Mouser SKU]], MouserListTable[[#This Row],[Supplier SKU]])</f>
        <v>474-PRT-12791</v>
      </c>
      <c r="E463" s="94">
        <f>MouserListTable[[#This Row],[Tot '#]]-MouserListTable[[#This Row],['# Initial]]</f>
        <v>1</v>
      </c>
      <c r="F463" s="94">
        <f>IF(AND(MouserListTable[[#This Row],[Tag]]&lt;&gt;FilterSpecs!$F$12, MouserListTable[[#This Row],[Tag]]&lt;&gt;FilterSpecs!$F$9), MouserListTable[[#This Row],['#/Unit]]*FilterSpecs!$B$3+MouserListTable[[#This Row],[Extra Initial]],0)</f>
        <v>0</v>
      </c>
      <c r="G463" s="78" t="s">
        <v>1778</v>
      </c>
      <c r="H463" s="150" t="s">
        <v>1779</v>
      </c>
      <c r="I463" s="78" t="s">
        <v>1780</v>
      </c>
      <c r="J463" s="78">
        <v>1</v>
      </c>
      <c r="K463" s="117">
        <v>0.95</v>
      </c>
      <c r="L463" s="78" t="s">
        <v>1896</v>
      </c>
      <c r="M463" s="78"/>
      <c r="N463" s="154">
        <f>MouserListTable[[#This Row],['# Initial]]*MouserListTable[[#This Row],[Price (USD)]]</f>
        <v>0</v>
      </c>
      <c r="O463" s="81" t="s">
        <v>1777</v>
      </c>
      <c r="P463" s="150">
        <f t="shared" si="7"/>
        <v>450</v>
      </c>
      <c r="Q463" s="78" t="s">
        <v>5</v>
      </c>
      <c r="R463"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474-PRT-12791</v>
      </c>
      <c r="S463" s="133" t="str">
        <f>HYPERLINK("https://www.mouser.com/ProductDetail/" &amp;MouserListTable[[#This Row],[Mouser SKU]])</f>
        <v>https://www.mouser.com/ProductDetail/474-PRT-12791</v>
      </c>
      <c r="T463" s="94">
        <v>0</v>
      </c>
      <c r="U463" s="94">
        <v>1</v>
      </c>
      <c r="V463" s="94">
        <v>0</v>
      </c>
      <c r="W463" s="94">
        <f>MouserListTable[[#This Row],['#/Unit]]*FilterSpecs!$C$3+MouserListTable[[#This Row],[Extra]]</f>
        <v>1</v>
      </c>
      <c r="X463" s="94">
        <f>IF(MouserListTable[[#This Row],[Tag]]=FilterSpecs!$F$7,MouserListTable[[#This Row],['#/Unit]]*MouserListTable[[#This Row],[Price (USD)]],0)</f>
        <v>0</v>
      </c>
      <c r="Y463" s="94">
        <f>MouserListTable[[#This Row],[Tot '#]]*MouserListTable[[#This Row],[Price (USD)]]</f>
        <v>0.95</v>
      </c>
      <c r="Z463"/>
    </row>
    <row r="464" spans="1:26" s="106" customFormat="1" x14ac:dyDescent="0.25">
      <c r="A464" s="97" t="s">
        <v>890</v>
      </c>
      <c r="B464" s="97" t="s">
        <v>1877</v>
      </c>
      <c r="C464" s="78" t="s">
        <v>1892</v>
      </c>
      <c r="D464" s="81" t="str">
        <f>IF(MouserListTable[[#This Row],[Vendor]]=FilterSpecs!$A$8,MouserListTable[[#This Row],[Mouser SKU]], MouserListTable[[#This Row],[Supplier SKU]])</f>
        <v>474-PRT-00116</v>
      </c>
      <c r="E464" s="94">
        <f>MouserListTable[[#This Row],[Tot '#]]-MouserListTable[[#This Row],['# Initial]]</f>
        <v>0</v>
      </c>
      <c r="F464" s="94">
        <f>IF(AND(MouserListTable[[#This Row],[Tag]]&lt;&gt;FilterSpecs!$F$12, MouserListTable[[#This Row],[Tag]]&lt;&gt;FilterSpecs!$F$9), MouserListTable[[#This Row],['#/Unit]]*FilterSpecs!$B$3+MouserListTable[[#This Row],[Extra Initial]],0)</f>
        <v>0</v>
      </c>
      <c r="G464" s="78" t="s">
        <v>749</v>
      </c>
      <c r="H464" s="150" t="s">
        <v>750</v>
      </c>
      <c r="I464" s="78" t="s">
        <v>751</v>
      </c>
      <c r="J464" s="78">
        <v>1</v>
      </c>
      <c r="K464" s="117">
        <v>1.5</v>
      </c>
      <c r="L464" s="78" t="s">
        <v>1896</v>
      </c>
      <c r="M464" s="78"/>
      <c r="N464" s="154">
        <f>MouserListTable[[#This Row],['# Initial]]*MouserListTable[[#This Row],[Price (USD)]]</f>
        <v>0</v>
      </c>
      <c r="O464" s="81" t="s">
        <v>748</v>
      </c>
      <c r="P464" s="150">
        <f t="shared" si="7"/>
        <v>451</v>
      </c>
      <c r="Q464" s="78" t="s">
        <v>5</v>
      </c>
      <c r="R464"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474-PRT-00116</v>
      </c>
      <c r="S464" s="133" t="str">
        <f>HYPERLINK("https://www.mouser.com/ProductDetail/" &amp;MouserListTable[[#This Row],[Mouser SKU]])</f>
        <v>https://www.mouser.com/ProductDetail/474-PRT-00116</v>
      </c>
      <c r="T464" s="94">
        <v>0</v>
      </c>
      <c r="U464" s="94">
        <v>0</v>
      </c>
      <c r="V464" s="94">
        <v>0</v>
      </c>
      <c r="W464" s="94">
        <f>MouserListTable[[#This Row],['#/Unit]]*FilterSpecs!$C$3+MouserListTable[[#This Row],[Extra]]</f>
        <v>0</v>
      </c>
      <c r="X464" s="94">
        <f>IF(MouserListTable[[#This Row],[Tag]]=FilterSpecs!$F$7,MouserListTable[[#This Row],['#/Unit]]*MouserListTable[[#This Row],[Price (USD)]],0)</f>
        <v>0</v>
      </c>
      <c r="Y464" s="94">
        <f>MouserListTable[[#This Row],[Tot '#]]*MouserListTable[[#This Row],[Price (USD)]]</f>
        <v>0</v>
      </c>
      <c r="Z464"/>
    </row>
    <row r="465" spans="1:26" s="106" customFormat="1" x14ac:dyDescent="0.25">
      <c r="A465" s="78" t="s">
        <v>890</v>
      </c>
      <c r="B465" s="78" t="s">
        <v>1877</v>
      </c>
      <c r="C465" s="78" t="s">
        <v>1892</v>
      </c>
      <c r="D465" s="81" t="str">
        <f>IF(MouserListTable[[#This Row],[Vendor]]=FilterSpecs!$A$8,MouserListTable[[#This Row],[Mouser SKU]], MouserListTable[[#This Row],[Supplier SKU]])</f>
        <v>485-392</v>
      </c>
      <c r="E465" s="94">
        <f>MouserListTable[[#This Row],[Tot '#]]-MouserListTable[[#This Row],['# Initial]]</f>
        <v>0</v>
      </c>
      <c r="F465" s="94">
        <f>IF(AND(MouserListTable[[#This Row],[Tag]]&lt;&gt;FilterSpecs!$F$12, MouserListTable[[#This Row],[Tag]]&lt;&gt;FilterSpecs!$F$9), MouserListTable[[#This Row],['#/Unit]]*FilterSpecs!$B$3+MouserListTable[[#This Row],[Extra Initial]],0)</f>
        <v>1</v>
      </c>
      <c r="G465" s="78"/>
      <c r="H465" s="150"/>
      <c r="I465" s="78" t="s">
        <v>2165</v>
      </c>
      <c r="K465" s="117">
        <v>4.95</v>
      </c>
      <c r="L465" s="78" t="s">
        <v>1896</v>
      </c>
      <c r="M465" s="81"/>
      <c r="N465" s="154">
        <f>MouserListTable[[#This Row],['# Initial]]*MouserListTable[[#This Row],[Price (USD)]]</f>
        <v>4.95</v>
      </c>
      <c r="O465" s="81" t="s">
        <v>2164</v>
      </c>
      <c r="P465" s="150">
        <f t="shared" si="7"/>
        <v>452</v>
      </c>
      <c r="Q465" s="78" t="s">
        <v>1884</v>
      </c>
      <c r="R465"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485-392</v>
      </c>
      <c r="S465" s="133" t="str">
        <f>HYPERLINK("https://www.mouser.com/ProductDetail/" &amp;MouserListTable[[#This Row],[Mouser SKU]])</f>
        <v>https://www.mouser.com/ProductDetail/485-392</v>
      </c>
      <c r="T465" s="94">
        <v>0</v>
      </c>
      <c r="U465" s="94">
        <v>1</v>
      </c>
      <c r="V465" s="94">
        <v>1</v>
      </c>
      <c r="W465" s="94">
        <f>MouserListTable[[#This Row],['#/Unit]]*FilterSpecs!$C$3+MouserListTable[[#This Row],[Extra]]</f>
        <v>1</v>
      </c>
      <c r="X465" s="94">
        <f>IF(MouserListTable[[#This Row],[Tag]]=FilterSpecs!$F$7,MouserListTable[[#This Row],['#/Unit]]*MouserListTable[[#This Row],[Price (USD)]],0)</f>
        <v>0</v>
      </c>
      <c r="Y465" s="94">
        <f>MouserListTable[[#This Row],[Tot '#]]*MouserListTable[[#This Row],[Price (USD)]]</f>
        <v>4.95</v>
      </c>
      <c r="Z465"/>
    </row>
    <row r="466" spans="1:26" s="106" customFormat="1" x14ac:dyDescent="0.25">
      <c r="A466" s="78" t="s">
        <v>890</v>
      </c>
      <c r="B466" s="78" t="s">
        <v>1877</v>
      </c>
      <c r="C466" s="78" t="s">
        <v>1892</v>
      </c>
      <c r="D466" s="81" t="str">
        <f>IF(MouserListTable[[#This Row],[Vendor]]=FilterSpecs!$A$8,MouserListTable[[#This Row],[Mouser SKU]], MouserListTable[[#This Row],[Supplier SKU]])</f>
        <v>485-3009</v>
      </c>
      <c r="E466" s="94">
        <f>MouserListTable[[#This Row],[Tot '#]]-MouserListTable[[#This Row],['# Initial]]</f>
        <v>0</v>
      </c>
      <c r="F466" s="94">
        <f>IF(AND(MouserListTable[[#This Row],[Tag]]&lt;&gt;FilterSpecs!$F$12, MouserListTable[[#This Row],[Tag]]&lt;&gt;FilterSpecs!$F$9), MouserListTable[[#This Row],['#/Unit]]*FilterSpecs!$B$3+MouserListTable[[#This Row],[Extra Initial]],0)</f>
        <v>1</v>
      </c>
      <c r="G466" s="78"/>
      <c r="H466" s="150"/>
      <c r="I466" s="78" t="s">
        <v>2157</v>
      </c>
      <c r="K466" s="117">
        <v>4.95</v>
      </c>
      <c r="L466" s="78" t="s">
        <v>1896</v>
      </c>
      <c r="M466" s="81"/>
      <c r="N466" s="154">
        <f>MouserListTable[[#This Row],['# Initial]]*MouserListTable[[#This Row],[Price (USD)]]</f>
        <v>4.95</v>
      </c>
      <c r="O466" s="81" t="s">
        <v>2156</v>
      </c>
      <c r="P466" s="150">
        <f t="shared" si="7"/>
        <v>453</v>
      </c>
      <c r="Q466" s="78" t="s">
        <v>1884</v>
      </c>
      <c r="R466"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485-3009</v>
      </c>
      <c r="S466" s="133" t="str">
        <f>HYPERLINK("https://www.mouser.com/ProductDetail/" &amp;MouserListTable[[#This Row],[Mouser SKU]])</f>
        <v>https://www.mouser.com/ProductDetail/485-3009</v>
      </c>
      <c r="T466" s="94">
        <v>0</v>
      </c>
      <c r="U466" s="94">
        <v>1</v>
      </c>
      <c r="V466" s="94">
        <v>1</v>
      </c>
      <c r="W466" s="94">
        <f>MouserListTable[[#This Row],['#/Unit]]*FilterSpecs!$C$3+MouserListTable[[#This Row],[Extra]]</f>
        <v>1</v>
      </c>
      <c r="X466" s="94">
        <f>IF(MouserListTable[[#This Row],[Tag]]=FilterSpecs!$F$7,MouserListTable[[#This Row],['#/Unit]]*MouserListTable[[#This Row],[Price (USD)]],0)</f>
        <v>0</v>
      </c>
      <c r="Y466" s="94">
        <f>MouserListTable[[#This Row],[Tot '#]]*MouserListTable[[#This Row],[Price (USD)]]</f>
        <v>4.95</v>
      </c>
      <c r="Z466"/>
    </row>
    <row r="467" spans="1:26" s="106" customFormat="1" x14ac:dyDescent="0.25">
      <c r="A467" s="78" t="s">
        <v>890</v>
      </c>
      <c r="B467" s="78" t="s">
        <v>1877</v>
      </c>
      <c r="C467" s="78" t="s">
        <v>1892</v>
      </c>
      <c r="D467" s="81" t="str">
        <f>IF(MouserListTable[[#This Row],[Vendor]]=FilterSpecs!$A$8,MouserListTable[[#This Row],[Mouser SKU]], MouserListTable[[#This Row],[Supplier SKU]])</f>
        <v>474-PRT-10158</v>
      </c>
      <c r="E467" s="94">
        <f>MouserListTable[[#This Row],[Tot '#]]-MouserListTable[[#This Row],['# Initial]]</f>
        <v>0</v>
      </c>
      <c r="F467" s="94">
        <f>IF(AND(MouserListTable[[#This Row],[Tag]]&lt;&gt;FilterSpecs!$F$12, MouserListTable[[#This Row],[Tag]]&lt;&gt;FilterSpecs!$F$9), MouserListTable[[#This Row],['#/Unit]]*FilterSpecs!$B$3+MouserListTable[[#This Row],[Extra Initial]],0)</f>
        <v>5</v>
      </c>
      <c r="G467" s="78" t="s">
        <v>483</v>
      </c>
      <c r="H467" s="150" t="s">
        <v>484</v>
      </c>
      <c r="I467" s="78" t="s">
        <v>485</v>
      </c>
      <c r="J467" s="78">
        <v>1</v>
      </c>
      <c r="K467" s="117">
        <v>2.95</v>
      </c>
      <c r="L467" s="78" t="s">
        <v>1897</v>
      </c>
      <c r="M467" s="78"/>
      <c r="N467" s="154">
        <f>MouserListTable[[#This Row],['# Initial]]*MouserListTable[[#This Row],[Price (USD)]]</f>
        <v>14.75</v>
      </c>
      <c r="O467" s="81" t="s">
        <v>482</v>
      </c>
      <c r="P467" s="150">
        <f t="shared" si="7"/>
        <v>454</v>
      </c>
      <c r="Q467" s="78" t="s">
        <v>5</v>
      </c>
      <c r="R467"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474-PRT-10158</v>
      </c>
      <c r="S467" s="133" t="str">
        <f>HYPERLINK("https://www.mouser.com/ProductDetail/" &amp;MouserListTable[[#This Row],[Mouser SKU]])</f>
        <v>https://www.mouser.com/ProductDetail/474-PRT-10158</v>
      </c>
      <c r="T467" s="94">
        <v>1</v>
      </c>
      <c r="U467" s="94">
        <v>0</v>
      </c>
      <c r="V467" s="94">
        <v>0</v>
      </c>
      <c r="W467" s="94">
        <f>MouserListTable[[#This Row],['#/Unit]]*FilterSpecs!$C$3+MouserListTable[[#This Row],[Extra]]</f>
        <v>5</v>
      </c>
      <c r="X467" s="94">
        <f>IF(MouserListTable[[#This Row],[Tag]]=FilterSpecs!$F$7,MouserListTable[[#This Row],['#/Unit]]*MouserListTable[[#This Row],[Price (USD)]],0)</f>
        <v>2.95</v>
      </c>
      <c r="Y467" s="94">
        <f>MouserListTable[[#This Row],[Tot '#]]*MouserListTable[[#This Row],[Price (USD)]]</f>
        <v>14.75</v>
      </c>
      <c r="Z467"/>
    </row>
    <row r="468" spans="1:26" s="106" customFormat="1" x14ac:dyDescent="0.25">
      <c r="A468" s="78" t="s">
        <v>890</v>
      </c>
      <c r="B468" s="78" t="s">
        <v>1877</v>
      </c>
      <c r="C468" s="78" t="s">
        <v>1892</v>
      </c>
      <c r="D468" s="81" t="str">
        <f>IF(MouserListTable[[#This Row],[Vendor]]=FilterSpecs!$A$8,MouserListTable[[#This Row],[Mouser SKU]], MouserListTable[[#This Row],[Supplier SKU]])</f>
        <v>474-PRT-12693</v>
      </c>
      <c r="E468" s="94">
        <f>MouserListTable[[#This Row],[Tot '#]]-MouserListTable[[#This Row],['# Initial]]</f>
        <v>0</v>
      </c>
      <c r="F468" s="94">
        <f>IF(AND(MouserListTable[[#This Row],[Tag]]&lt;&gt;FilterSpecs!$F$12, MouserListTable[[#This Row],[Tag]]&lt;&gt;FilterSpecs!$F$9), MouserListTable[[#This Row],['#/Unit]]*FilterSpecs!$B$3+MouserListTable[[#This Row],[Extra Initial]],0)</f>
        <v>5</v>
      </c>
      <c r="G468" s="78" t="s">
        <v>467</v>
      </c>
      <c r="H468" s="150" t="s">
        <v>468</v>
      </c>
      <c r="I468" s="78" t="s">
        <v>469</v>
      </c>
      <c r="J468" s="78">
        <v>1</v>
      </c>
      <c r="K468" s="117">
        <v>0.75</v>
      </c>
      <c r="L468" s="78" t="s">
        <v>1897</v>
      </c>
      <c r="M468" s="78"/>
      <c r="N468" s="154">
        <f>MouserListTable[[#This Row],['# Initial]]*MouserListTable[[#This Row],[Price (USD)]]</f>
        <v>3.75</v>
      </c>
      <c r="O468" s="81" t="s">
        <v>466</v>
      </c>
      <c r="P468" s="150">
        <f t="shared" si="7"/>
        <v>455</v>
      </c>
      <c r="Q468" s="78" t="s">
        <v>5</v>
      </c>
      <c r="R468"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474-PRT-12693</v>
      </c>
      <c r="S468" s="133" t="str">
        <f>HYPERLINK("https://www.mouser.com/ProductDetail/" &amp;MouserListTable[[#This Row],[Mouser SKU]])</f>
        <v>https://www.mouser.com/ProductDetail/474-PRT-12693</v>
      </c>
      <c r="T468" s="94">
        <v>1</v>
      </c>
      <c r="U468" s="94">
        <v>0</v>
      </c>
      <c r="V468" s="94">
        <v>0</v>
      </c>
      <c r="W468" s="94">
        <f>MouserListTable[[#This Row],['#/Unit]]*FilterSpecs!$C$3+MouserListTable[[#This Row],[Extra]]</f>
        <v>5</v>
      </c>
      <c r="X468" s="94">
        <f>IF(MouserListTable[[#This Row],[Tag]]=FilterSpecs!$F$7,MouserListTable[[#This Row],['#/Unit]]*MouserListTable[[#This Row],[Price (USD)]],0)</f>
        <v>0.75</v>
      </c>
      <c r="Y468" s="94">
        <f>MouserListTable[[#This Row],[Tot '#]]*MouserListTable[[#This Row],[Price (USD)]]</f>
        <v>3.75</v>
      </c>
      <c r="Z468"/>
    </row>
    <row r="469" spans="1:26" s="106" customFormat="1" x14ac:dyDescent="0.25">
      <c r="A469" s="98" t="s">
        <v>890</v>
      </c>
      <c r="B469" s="98" t="s">
        <v>1877</v>
      </c>
      <c r="C469" s="78" t="s">
        <v>1892</v>
      </c>
      <c r="D469" s="81" t="str">
        <f>IF(MouserListTable[[#This Row],[Vendor]]=FilterSpecs!$A$8,MouserListTable[[#This Row],[Mouser SKU]], MouserListTable[[#This Row],[Supplier SKU]])</f>
        <v>485-400</v>
      </c>
      <c r="E469" s="94">
        <f>MouserListTable[[#This Row],[Tot '#]]-MouserListTable[[#This Row],['# Initial]]</f>
        <v>0</v>
      </c>
      <c r="F469" s="94">
        <f>IF(AND(MouserListTable[[#This Row],[Tag]]&lt;&gt;FilterSpecs!$F$12, MouserListTable[[#This Row],[Tag]]&lt;&gt;FilterSpecs!$F$9), MouserListTable[[#This Row],['#/Unit]]*FilterSpecs!$B$3+MouserListTable[[#This Row],[Extra Initial]],0)</f>
        <v>1</v>
      </c>
      <c r="H469" s="150"/>
      <c r="I469" s="98" t="s">
        <v>2456</v>
      </c>
      <c r="J469" s="113">
        <v>117</v>
      </c>
      <c r="K469" s="119">
        <v>3</v>
      </c>
      <c r="L469" s="97" t="s">
        <v>1896</v>
      </c>
      <c r="N469" s="154">
        <f>MouserListTable[[#This Row],['# Initial]]*MouserListTable[[#This Row],[Price (USD)]]</f>
        <v>3</v>
      </c>
      <c r="O469" s="113" t="s">
        <v>2457</v>
      </c>
      <c r="P469" s="150">
        <f t="shared" si="7"/>
        <v>456</v>
      </c>
      <c r="Q469" s="78" t="s">
        <v>1884</v>
      </c>
      <c r="R469"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485-400</v>
      </c>
      <c r="S469" s="133" t="str">
        <f>HYPERLINK("https://www.mouser.com/ProductDetail/" &amp;MouserListTable[[#This Row],[Mouser SKU]])</f>
        <v>https://www.mouser.com/ProductDetail/485-400</v>
      </c>
      <c r="T469" s="94">
        <v>0</v>
      </c>
      <c r="U469" s="94">
        <v>1</v>
      </c>
      <c r="V469" s="94">
        <v>1</v>
      </c>
      <c r="W469" s="94">
        <f>MouserListTable[[#This Row],['#/Unit]]*FilterSpecs!$C$3+MouserListTable[[#This Row],[Extra]]</f>
        <v>1</v>
      </c>
      <c r="X469" s="94">
        <f>IF(MouserListTable[[#This Row],[Tag]]=FilterSpecs!$F$7,MouserListTable[[#This Row],['#/Unit]]*MouserListTable[[#This Row],[Price (USD)]],0)</f>
        <v>0</v>
      </c>
      <c r="Y469" s="94">
        <f>MouserListTable[[#This Row],[Tot '#]]*MouserListTable[[#This Row],[Price (USD)]]</f>
        <v>3</v>
      </c>
      <c r="Z469"/>
    </row>
    <row r="470" spans="1:26" s="106" customFormat="1" x14ac:dyDescent="0.25">
      <c r="A470" s="97" t="s">
        <v>890</v>
      </c>
      <c r="B470" s="97" t="s">
        <v>1877</v>
      </c>
      <c r="C470" s="78" t="s">
        <v>1892</v>
      </c>
      <c r="D470" s="81" t="str">
        <f>IF(MouserListTable[[#This Row],[Vendor]]=FilterSpecs!$A$8,MouserListTable[[#This Row],[Mouser SKU]], MouserListTable[[#This Row],[Supplier SKU]])</f>
        <v>474-PRT-00553</v>
      </c>
      <c r="E470" s="94">
        <f>MouserListTable[[#This Row],[Tot '#]]-MouserListTable[[#This Row],['# Initial]]</f>
        <v>0</v>
      </c>
      <c r="F470" s="94">
        <f>IF(AND(MouserListTable[[#This Row],[Tag]]&lt;&gt;FilterSpecs!$F$12, MouserListTable[[#This Row],[Tag]]&lt;&gt;FilterSpecs!$F$9), MouserListTable[[#This Row],['#/Unit]]*FilterSpecs!$B$3+MouserListTable[[#This Row],[Extra Initial]],0)</f>
        <v>0</v>
      </c>
      <c r="G470" s="78" t="s">
        <v>753</v>
      </c>
      <c r="H470" s="150" t="s">
        <v>754</v>
      </c>
      <c r="I470" s="78" t="s">
        <v>755</v>
      </c>
      <c r="J470" s="78">
        <v>1</v>
      </c>
      <c r="K470" s="117">
        <v>1.95</v>
      </c>
      <c r="L470" s="78" t="s">
        <v>1896</v>
      </c>
      <c r="M470" s="78"/>
      <c r="N470" s="154">
        <f>MouserListTable[[#This Row],['# Initial]]*MouserListTable[[#This Row],[Price (USD)]]</f>
        <v>0</v>
      </c>
      <c r="O470" s="81" t="s">
        <v>752</v>
      </c>
      <c r="P470" s="150">
        <f t="shared" si="7"/>
        <v>457</v>
      </c>
      <c r="Q470" s="78" t="s">
        <v>5</v>
      </c>
      <c r="R470"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474-PRT-00553</v>
      </c>
      <c r="S470" s="133" t="str">
        <f>HYPERLINK("https://www.mouser.com/ProductDetail/" &amp;MouserListTable[[#This Row],[Mouser SKU]])</f>
        <v>https://www.mouser.com/ProductDetail/474-PRT-00553</v>
      </c>
      <c r="T470" s="94">
        <v>0</v>
      </c>
      <c r="U470" s="94">
        <v>0</v>
      </c>
      <c r="V470" s="94">
        <v>0</v>
      </c>
      <c r="W470" s="94">
        <f>MouserListTable[[#This Row],['#/Unit]]*FilterSpecs!$C$3+MouserListTable[[#This Row],[Extra]]</f>
        <v>0</v>
      </c>
      <c r="X470" s="94">
        <f>IF(MouserListTable[[#This Row],[Tag]]=FilterSpecs!$F$7,MouserListTable[[#This Row],['#/Unit]]*MouserListTable[[#This Row],[Price (USD)]],0)</f>
        <v>0</v>
      </c>
      <c r="Y470" s="94">
        <f>MouserListTable[[#This Row],[Tot '#]]*MouserListTable[[#This Row],[Price (USD)]]</f>
        <v>0</v>
      </c>
      <c r="Z470"/>
    </row>
    <row r="471" spans="1:26" s="106" customFormat="1" x14ac:dyDescent="0.25">
      <c r="A471" s="78" t="s">
        <v>890</v>
      </c>
      <c r="B471" s="78" t="s">
        <v>1877</v>
      </c>
      <c r="C471" s="78" t="s">
        <v>1892</v>
      </c>
      <c r="D471" s="81" t="str">
        <f>IF(MouserListTable[[#This Row],[Vendor]]=FilterSpecs!$A$8,MouserListTable[[#This Row],[Mouser SKU]], MouserListTable[[#This Row],[Supplier SKU]])</f>
        <v>485-1540</v>
      </c>
      <c r="E471" s="94">
        <f>MouserListTable[[#This Row],[Tot '#]]-MouserListTable[[#This Row],['# Initial]]</f>
        <v>1</v>
      </c>
      <c r="F471" s="94">
        <f>IF(AND(MouserListTable[[#This Row],[Tag]]&lt;&gt;FilterSpecs!$F$12, MouserListTable[[#This Row],[Tag]]&lt;&gt;FilterSpecs!$F$9), MouserListTable[[#This Row],['#/Unit]]*FilterSpecs!$B$3+MouserListTable[[#This Row],[Extra Initial]],0)</f>
        <v>0</v>
      </c>
      <c r="G471" s="78"/>
      <c r="H471" s="150"/>
      <c r="I471" s="97" t="s">
        <v>2167</v>
      </c>
      <c r="K471" s="118">
        <v>5.95</v>
      </c>
      <c r="L471" s="97" t="s">
        <v>2461</v>
      </c>
      <c r="N471" s="154">
        <f>MouserListTable[[#This Row],['# Initial]]*MouserListTable[[#This Row],[Price (USD)]]</f>
        <v>0</v>
      </c>
      <c r="O471" s="81" t="s">
        <v>2166</v>
      </c>
      <c r="P471" s="150">
        <f t="shared" si="7"/>
        <v>458</v>
      </c>
      <c r="Q471" s="78" t="s">
        <v>1884</v>
      </c>
      <c r="R471"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485-1540</v>
      </c>
      <c r="S471" s="133" t="str">
        <f>HYPERLINK("https://www.mouser.com/ProductDetail/" &amp;MouserListTable[[#This Row],[Mouser SKU]])</f>
        <v>https://www.mouser.com/ProductDetail/485-1540</v>
      </c>
      <c r="T471" s="94">
        <v>0</v>
      </c>
      <c r="U471" s="94">
        <v>1</v>
      </c>
      <c r="V471" s="94">
        <v>1</v>
      </c>
      <c r="W471" s="94">
        <f>MouserListTable[[#This Row],['#/Unit]]*FilterSpecs!$C$3+MouserListTable[[#This Row],[Extra]]</f>
        <v>1</v>
      </c>
      <c r="X471" s="94">
        <f>IF(MouserListTable[[#This Row],[Tag]]=FilterSpecs!$F$7,MouserListTable[[#This Row],['#/Unit]]*MouserListTable[[#This Row],[Price (USD)]],0)</f>
        <v>0</v>
      </c>
      <c r="Y471" s="94">
        <f>MouserListTable[[#This Row],[Tot '#]]*MouserListTable[[#This Row],[Price (USD)]]</f>
        <v>5.95</v>
      </c>
      <c r="Z471"/>
    </row>
    <row r="472" spans="1:26" s="106" customFormat="1" x14ac:dyDescent="0.25">
      <c r="A472" s="78" t="s">
        <v>890</v>
      </c>
      <c r="B472" s="78" t="s">
        <v>1877</v>
      </c>
      <c r="C472" s="78" t="s">
        <v>1892</v>
      </c>
      <c r="D472" s="81" t="str">
        <f>IF(MouserListTable[[#This Row],[Vendor]]=FilterSpecs!$A$8,MouserListTable[[#This Row],[Mouser SKU]], MouserListTable[[#This Row],[Supplier SKU]])</f>
        <v>485-2822</v>
      </c>
      <c r="E472" s="94">
        <f>MouserListTable[[#This Row],[Tot '#]]-MouserListTable[[#This Row],['# Initial]]</f>
        <v>0</v>
      </c>
      <c r="F472" s="94">
        <f>IF(AND(MouserListTable[[#This Row],[Tag]]&lt;&gt;FilterSpecs!$F$12, MouserListTable[[#This Row],[Tag]]&lt;&gt;FilterSpecs!$F$9), MouserListTable[[#This Row],['#/Unit]]*FilterSpecs!$B$3+MouserListTable[[#This Row],[Extra Initial]],0)</f>
        <v>0</v>
      </c>
      <c r="G472" s="78"/>
      <c r="H472" s="150"/>
      <c r="I472" s="97" t="s">
        <v>2159</v>
      </c>
      <c r="K472" s="118">
        <v>0.95</v>
      </c>
      <c r="L472" s="97" t="s">
        <v>1896</v>
      </c>
      <c r="N472" s="154">
        <f>MouserListTable[[#This Row],['# Initial]]*MouserListTable[[#This Row],[Price (USD)]]</f>
        <v>0</v>
      </c>
      <c r="O472" s="81" t="s">
        <v>2158</v>
      </c>
      <c r="P472" s="150">
        <f t="shared" si="7"/>
        <v>459</v>
      </c>
      <c r="Q472" s="78" t="s">
        <v>1884</v>
      </c>
      <c r="R472"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485-2822</v>
      </c>
      <c r="S472" s="133" t="str">
        <f>HYPERLINK("https://www.mouser.com/ProductDetail/" &amp;MouserListTable[[#This Row],[Mouser SKU]])</f>
        <v>https://www.mouser.com/ProductDetail/485-2822</v>
      </c>
      <c r="T472" s="94">
        <v>0</v>
      </c>
      <c r="U472" s="94">
        <v>0</v>
      </c>
      <c r="V472" s="94">
        <v>0</v>
      </c>
      <c r="W472" s="94">
        <f>MouserListTable[[#This Row],['#/Unit]]*FilterSpecs!$C$3+MouserListTable[[#This Row],[Extra]]</f>
        <v>0</v>
      </c>
      <c r="X472" s="94">
        <f>IF(MouserListTable[[#This Row],[Tag]]=FilterSpecs!$F$7,MouserListTable[[#This Row],['#/Unit]]*MouserListTable[[#This Row],[Price (USD)]],0)</f>
        <v>0</v>
      </c>
      <c r="Y472" s="94">
        <f>MouserListTable[[#This Row],[Tot '#]]*MouserListTable[[#This Row],[Price (USD)]]</f>
        <v>0</v>
      </c>
      <c r="Z472"/>
    </row>
    <row r="473" spans="1:26" s="106" customFormat="1" x14ac:dyDescent="0.25">
      <c r="A473" s="78" t="s">
        <v>890</v>
      </c>
      <c r="B473" s="78" t="s">
        <v>1877</v>
      </c>
      <c r="C473" s="78" t="s">
        <v>1892</v>
      </c>
      <c r="D473" s="81" t="str">
        <f>IF(MouserListTable[[#This Row],[Vendor]]=FilterSpecs!$A$8,MouserListTable[[#This Row],[Mouser SKU]], MouserListTable[[#This Row],[Supplier SKU]])</f>
        <v>485-1539</v>
      </c>
      <c r="E473" s="94">
        <f>MouserListTable[[#This Row],[Tot '#]]-MouserListTable[[#This Row],['# Initial]]</f>
        <v>0</v>
      </c>
      <c r="F473" s="94">
        <f>IF(AND(MouserListTable[[#This Row],[Tag]]&lt;&gt;FilterSpecs!$F$12, MouserListTable[[#This Row],[Tag]]&lt;&gt;FilterSpecs!$F$9), MouserListTable[[#This Row],['#/Unit]]*FilterSpecs!$B$3+MouserListTable[[#This Row],[Extra Initial]],0)</f>
        <v>1</v>
      </c>
      <c r="G473" s="78"/>
      <c r="H473" s="150"/>
      <c r="I473" s="78" t="s">
        <v>2161</v>
      </c>
      <c r="K473" s="117">
        <v>7.5</v>
      </c>
      <c r="L473" s="78" t="s">
        <v>1896</v>
      </c>
      <c r="M473" s="81"/>
      <c r="N473" s="154">
        <f>MouserListTable[[#This Row],['# Initial]]*MouserListTable[[#This Row],[Price (USD)]]</f>
        <v>7.5</v>
      </c>
      <c r="O473" s="81" t="s">
        <v>2160</v>
      </c>
      <c r="P473" s="150">
        <f t="shared" si="7"/>
        <v>460</v>
      </c>
      <c r="Q473" s="78" t="s">
        <v>1884</v>
      </c>
      <c r="R473"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485-1539</v>
      </c>
      <c r="S473" s="133" t="str">
        <f>HYPERLINK("https://www.mouser.com/ProductDetail/" &amp;MouserListTable[[#This Row],[Mouser SKU]])</f>
        <v>https://www.mouser.com/ProductDetail/485-1539</v>
      </c>
      <c r="T473" s="94">
        <v>0</v>
      </c>
      <c r="U473" s="94">
        <v>1</v>
      </c>
      <c r="V473" s="94">
        <v>1</v>
      </c>
      <c r="W473" s="94">
        <f>MouserListTable[[#This Row],['#/Unit]]*FilterSpecs!$C$3+MouserListTable[[#This Row],[Extra]]</f>
        <v>1</v>
      </c>
      <c r="X473" s="94">
        <f>IF(MouserListTable[[#This Row],[Tag]]=FilterSpecs!$F$7,MouserListTable[[#This Row],['#/Unit]]*MouserListTable[[#This Row],[Price (USD)]],0)</f>
        <v>0</v>
      </c>
      <c r="Y473" s="94">
        <f>MouserListTable[[#This Row],[Tot '#]]*MouserListTable[[#This Row],[Price (USD)]]</f>
        <v>7.5</v>
      </c>
      <c r="Z473"/>
    </row>
    <row r="474" spans="1:26" s="106" customFormat="1" x14ac:dyDescent="0.25">
      <c r="A474" s="78" t="s">
        <v>890</v>
      </c>
      <c r="B474" s="78" t="s">
        <v>1877</v>
      </c>
      <c r="C474" s="78" t="s">
        <v>1892</v>
      </c>
      <c r="D474" s="81" t="str">
        <f>IF(MouserListTable[[#This Row],[Vendor]]=FilterSpecs!$A$8,MouserListTable[[#This Row],[Mouser SKU]], MouserListTable[[#This Row],[Supplier SKU]])</f>
        <v>485-1541</v>
      </c>
      <c r="E474" s="94">
        <f>MouserListTable[[#This Row],[Tot '#]]-MouserListTable[[#This Row],['# Initial]]</f>
        <v>0</v>
      </c>
      <c r="F474" s="94">
        <f>IF(AND(MouserListTable[[#This Row],[Tag]]&lt;&gt;FilterSpecs!$F$12, MouserListTable[[#This Row],[Tag]]&lt;&gt;FilterSpecs!$F$9), MouserListTable[[#This Row],['#/Unit]]*FilterSpecs!$B$3+MouserListTable[[#This Row],[Extra Initial]],0)</f>
        <v>1</v>
      </c>
      <c r="G474" s="78"/>
      <c r="H474" s="150"/>
      <c r="I474" s="78" t="s">
        <v>2163</v>
      </c>
      <c r="K474" s="117">
        <v>5.95</v>
      </c>
      <c r="L474" s="78" t="s">
        <v>1896</v>
      </c>
      <c r="M474" s="81"/>
      <c r="N474" s="154">
        <f>MouserListTable[[#This Row],['# Initial]]*MouserListTable[[#This Row],[Price (USD)]]</f>
        <v>5.95</v>
      </c>
      <c r="O474" s="81" t="s">
        <v>2162</v>
      </c>
      <c r="P474" s="150">
        <f t="shared" ref="P474:P537" si="8">IF($P473="List #",1,$P473+1)</f>
        <v>461</v>
      </c>
      <c r="Q474" s="78" t="s">
        <v>1884</v>
      </c>
      <c r="R474"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485-1541</v>
      </c>
      <c r="S474" s="133" t="str">
        <f>HYPERLINK("https://www.mouser.com/ProductDetail/" &amp;MouserListTable[[#This Row],[Mouser SKU]])</f>
        <v>https://www.mouser.com/ProductDetail/485-1541</v>
      </c>
      <c r="T474" s="94">
        <v>0</v>
      </c>
      <c r="U474" s="94">
        <v>1</v>
      </c>
      <c r="V474" s="94">
        <v>1</v>
      </c>
      <c r="W474" s="94">
        <f>MouserListTable[[#This Row],['#/Unit]]*FilterSpecs!$C$3+MouserListTable[[#This Row],[Extra]]</f>
        <v>1</v>
      </c>
      <c r="X474" s="94">
        <f>IF(MouserListTable[[#This Row],[Tag]]=FilterSpecs!$F$7,MouserListTable[[#This Row],['#/Unit]]*MouserListTable[[#This Row],[Price (USD)]],0)</f>
        <v>0</v>
      </c>
      <c r="Y474" s="94">
        <f>MouserListTable[[#This Row],[Tot '#]]*MouserListTable[[#This Row],[Price (USD)]]</f>
        <v>5.95</v>
      </c>
      <c r="Z474"/>
    </row>
    <row r="475" spans="1:26" s="106" customFormat="1" x14ac:dyDescent="0.25">
      <c r="A475" s="97" t="s">
        <v>890</v>
      </c>
      <c r="B475" s="97" t="s">
        <v>1877</v>
      </c>
      <c r="C475" s="78" t="s">
        <v>1892</v>
      </c>
      <c r="D475" s="81" t="str">
        <f>IF(MouserListTable[[#This Row],[Vendor]]=FilterSpecs!$A$8,MouserListTable[[#This Row],[Mouser SKU]], MouserListTable[[#This Row],[Supplier SKU]])</f>
        <v>474-COM-12792</v>
      </c>
      <c r="E475" s="94">
        <f>MouserListTable[[#This Row],[Tot '#]]-MouserListTable[[#This Row],['# Initial]]</f>
        <v>0</v>
      </c>
      <c r="F475" s="94">
        <f>IF(AND(MouserListTable[[#This Row],[Tag]]&lt;&gt;FilterSpecs!$F$12, MouserListTable[[#This Row],[Tag]]&lt;&gt;FilterSpecs!$F$9), MouserListTable[[#This Row],['#/Unit]]*FilterSpecs!$B$3+MouserListTable[[#This Row],[Extra Initial]],0)</f>
        <v>0</v>
      </c>
      <c r="G475" s="78" t="s">
        <v>757</v>
      </c>
      <c r="H475" s="150" t="s">
        <v>758</v>
      </c>
      <c r="I475" s="78" t="s">
        <v>759</v>
      </c>
      <c r="J475" s="78">
        <v>1</v>
      </c>
      <c r="K475" s="117">
        <v>1.95</v>
      </c>
      <c r="L475" s="78" t="s">
        <v>1896</v>
      </c>
      <c r="M475" s="78"/>
      <c r="N475" s="154">
        <f>MouserListTable[[#This Row],['# Initial]]*MouserListTable[[#This Row],[Price (USD)]]</f>
        <v>0</v>
      </c>
      <c r="O475" s="81" t="s">
        <v>756</v>
      </c>
      <c r="P475" s="150">
        <f t="shared" si="8"/>
        <v>462</v>
      </c>
      <c r="Q475" s="78" t="s">
        <v>5</v>
      </c>
      <c r="R475"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474-COM-12792</v>
      </c>
      <c r="S475" s="133" t="str">
        <f>HYPERLINK("https://www.mouser.com/ProductDetail/" &amp;MouserListTable[[#This Row],[Mouser SKU]])</f>
        <v>https://www.mouser.com/ProductDetail/474-COM-12792</v>
      </c>
      <c r="T475" s="94">
        <v>0</v>
      </c>
      <c r="U475" s="94">
        <v>0</v>
      </c>
      <c r="V475" s="94">
        <v>0</v>
      </c>
      <c r="W475" s="94">
        <f>MouserListTable[[#This Row],['#/Unit]]*FilterSpecs!$C$3+MouserListTable[[#This Row],[Extra]]</f>
        <v>0</v>
      </c>
      <c r="X475" s="94">
        <f>IF(MouserListTable[[#This Row],[Tag]]=FilterSpecs!$F$7,MouserListTable[[#This Row],['#/Unit]]*MouserListTable[[#This Row],[Price (USD)]],0)</f>
        <v>0</v>
      </c>
      <c r="Y475" s="94">
        <f>MouserListTable[[#This Row],[Tot '#]]*MouserListTable[[#This Row],[Price (USD)]]</f>
        <v>0</v>
      </c>
      <c r="Z475"/>
    </row>
    <row r="476" spans="1:26" s="106" customFormat="1" x14ac:dyDescent="0.25">
      <c r="A476" s="97" t="s">
        <v>890</v>
      </c>
      <c r="B476" s="97" t="s">
        <v>1877</v>
      </c>
      <c r="C476" s="78" t="s">
        <v>1892</v>
      </c>
      <c r="D476" s="81" t="str">
        <f>IF(MouserListTable[[#This Row],[Vendor]]=FilterSpecs!$A$8,MouserListTable[[#This Row],[Mouser SKU]], MouserListTable[[#This Row],[Supplier SKU]])</f>
        <v>474-COM-10095</v>
      </c>
      <c r="E476" s="94">
        <f>MouserListTable[[#This Row],[Tot '#]]-MouserListTable[[#This Row],['# Initial]]</f>
        <v>0</v>
      </c>
      <c r="F476" s="94">
        <f>IF(AND(MouserListTable[[#This Row],[Tag]]&lt;&gt;FilterSpecs!$F$12, MouserListTable[[#This Row],[Tag]]&lt;&gt;FilterSpecs!$F$9), MouserListTable[[#This Row],['#/Unit]]*FilterSpecs!$B$3+MouserListTable[[#This Row],[Extra Initial]],0)</f>
        <v>0</v>
      </c>
      <c r="G476" s="78" t="s">
        <v>1292</v>
      </c>
      <c r="H476" s="150" t="s">
        <v>1293</v>
      </c>
      <c r="I476" s="78" t="s">
        <v>1294</v>
      </c>
      <c r="J476" s="78">
        <v>1</v>
      </c>
      <c r="K476" s="117">
        <v>4.95</v>
      </c>
      <c r="L476" s="78" t="s">
        <v>1896</v>
      </c>
      <c r="M476" s="78"/>
      <c r="N476" s="154">
        <f>MouserListTable[[#This Row],['# Initial]]*MouserListTable[[#This Row],[Price (USD)]]</f>
        <v>0</v>
      </c>
      <c r="O476" s="81" t="s">
        <v>1291</v>
      </c>
      <c r="P476" s="150">
        <f t="shared" si="8"/>
        <v>463</v>
      </c>
      <c r="Q476" s="78" t="s">
        <v>5</v>
      </c>
      <c r="R476"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474-COM-10095</v>
      </c>
      <c r="S476" s="133" t="str">
        <f>HYPERLINK("https://www.mouser.com/ProductDetail/" &amp;MouserListTable[[#This Row],[Mouser SKU]])</f>
        <v>https://www.mouser.com/ProductDetail/474-COM-10095</v>
      </c>
      <c r="T476" s="94">
        <v>0</v>
      </c>
      <c r="U476" s="94">
        <v>0</v>
      </c>
      <c r="V476" s="94">
        <v>0</v>
      </c>
      <c r="W476" s="94">
        <f>MouserListTable[[#This Row],['#/Unit]]*FilterSpecs!$C$3+MouserListTable[[#This Row],[Extra]]</f>
        <v>0</v>
      </c>
      <c r="X476" s="94">
        <f>IF(MouserListTable[[#This Row],[Tag]]=FilterSpecs!$F$7,MouserListTable[[#This Row],['#/Unit]]*MouserListTable[[#This Row],[Price (USD)]],0)</f>
        <v>0</v>
      </c>
      <c r="Y476" s="94">
        <f>MouserListTable[[#This Row],[Tot '#]]*MouserListTable[[#This Row],[Price (USD)]]</f>
        <v>0</v>
      </c>
      <c r="Z476"/>
    </row>
    <row r="477" spans="1:26" s="106" customFormat="1" x14ac:dyDescent="0.25">
      <c r="A477" s="97" t="s">
        <v>890</v>
      </c>
      <c r="B477" s="97" t="s">
        <v>1877</v>
      </c>
      <c r="C477" s="78" t="s">
        <v>1892</v>
      </c>
      <c r="D477" s="81" t="str">
        <f>IF(MouserListTable[[#This Row],[Vendor]]=FilterSpecs!$A$8,MouserListTable[[#This Row],[Mouser SKU]], MouserListTable[[#This Row],[Supplier SKU]])</f>
        <v>474-PRT-10112</v>
      </c>
      <c r="E477" s="94">
        <f>MouserListTable[[#This Row],[Tot '#]]-MouserListTable[[#This Row],['# Initial]]</f>
        <v>0</v>
      </c>
      <c r="F477" s="94">
        <f>IF(AND(MouserListTable[[#This Row],[Tag]]&lt;&gt;FilterSpecs!$F$12, MouserListTable[[#This Row],[Tag]]&lt;&gt;FilterSpecs!$F$9), MouserListTable[[#This Row],['#/Unit]]*FilterSpecs!$B$3+MouserListTable[[#This Row],[Extra Initial]],0)</f>
        <v>0</v>
      </c>
      <c r="G477" s="78" t="s">
        <v>777</v>
      </c>
      <c r="H477" s="150" t="s">
        <v>778</v>
      </c>
      <c r="I477" s="78" t="s">
        <v>779</v>
      </c>
      <c r="J477" s="78">
        <v>1</v>
      </c>
      <c r="K477" s="117">
        <v>0.95</v>
      </c>
      <c r="L477" s="78" t="s">
        <v>1896</v>
      </c>
      <c r="M477" s="78"/>
      <c r="N477" s="154">
        <f>MouserListTable[[#This Row],['# Initial]]*MouserListTable[[#This Row],[Price (USD)]]</f>
        <v>0</v>
      </c>
      <c r="O477" s="81" t="s">
        <v>776</v>
      </c>
      <c r="P477" s="150">
        <f t="shared" si="8"/>
        <v>464</v>
      </c>
      <c r="Q477" s="78" t="s">
        <v>5</v>
      </c>
      <c r="R477"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474-PRT-10112</v>
      </c>
      <c r="S477" s="133" t="str">
        <f>HYPERLINK("https://www.mouser.com/ProductDetail/" &amp;MouserListTable[[#This Row],[Mouser SKU]])</f>
        <v>https://www.mouser.com/ProductDetail/474-PRT-10112</v>
      </c>
      <c r="T477" s="94">
        <v>0</v>
      </c>
      <c r="U477" s="94">
        <v>0</v>
      </c>
      <c r="V477" s="94">
        <v>0</v>
      </c>
      <c r="W477" s="94">
        <f>MouserListTable[[#This Row],['#/Unit]]*FilterSpecs!$C$3+MouserListTable[[#This Row],[Extra]]</f>
        <v>0</v>
      </c>
      <c r="X477" s="94">
        <f>IF(MouserListTable[[#This Row],[Tag]]=FilterSpecs!$F$7,MouserListTable[[#This Row],['#/Unit]]*MouserListTable[[#This Row],[Price (USD)]],0)</f>
        <v>0</v>
      </c>
      <c r="Y477" s="94">
        <f>MouserListTable[[#This Row],[Tot '#]]*MouserListTable[[#This Row],[Price (USD)]]</f>
        <v>0</v>
      </c>
      <c r="Z477"/>
    </row>
    <row r="478" spans="1:26" s="106" customFormat="1" x14ac:dyDescent="0.25">
      <c r="A478" s="78" t="s">
        <v>890</v>
      </c>
      <c r="B478" s="78" t="s">
        <v>1877</v>
      </c>
      <c r="C478" s="78" t="s">
        <v>1892</v>
      </c>
      <c r="D478" s="81" t="str">
        <f>IF(MouserListTable[[#This Row],[Vendor]]=FilterSpecs!$A$8,MouserListTable[[#This Row],[Mouser SKU]], MouserListTable[[#This Row],[Supplier SKU]])</f>
        <v>485-2671</v>
      </c>
      <c r="E478" s="94">
        <f>MouserListTable[[#This Row],[Tot '#]]-MouserListTable[[#This Row],['# Initial]]</f>
        <v>0</v>
      </c>
      <c r="F478" s="94">
        <f>IF(AND(MouserListTable[[#This Row],[Tag]]&lt;&gt;FilterSpecs!$F$12, MouserListTable[[#This Row],[Tag]]&lt;&gt;FilterSpecs!$F$9), MouserListTable[[#This Row],['#/Unit]]*FilterSpecs!$B$3+MouserListTable[[#This Row],[Extra Initial]],0)</f>
        <v>1</v>
      </c>
      <c r="G478" s="78"/>
      <c r="H478" s="150"/>
      <c r="I478" s="78" t="s">
        <v>2155</v>
      </c>
      <c r="K478" s="117">
        <v>2.95</v>
      </c>
      <c r="L478" s="78" t="s">
        <v>1896</v>
      </c>
      <c r="M478" s="81"/>
      <c r="N478" s="154">
        <f>MouserListTable[[#This Row],['# Initial]]*MouserListTable[[#This Row],[Price (USD)]]</f>
        <v>2.95</v>
      </c>
      <c r="O478" s="81" t="s">
        <v>2154</v>
      </c>
      <c r="P478" s="150">
        <f t="shared" si="8"/>
        <v>465</v>
      </c>
      <c r="Q478" s="78" t="s">
        <v>1884</v>
      </c>
      <c r="R478"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485-2671</v>
      </c>
      <c r="S478" s="133" t="str">
        <f>HYPERLINK("https://www.mouser.com/ProductDetail/" &amp;MouserListTable[[#This Row],[Mouser SKU]])</f>
        <v>https://www.mouser.com/ProductDetail/485-2671</v>
      </c>
      <c r="T478" s="94">
        <v>0</v>
      </c>
      <c r="U478" s="94">
        <v>1</v>
      </c>
      <c r="V478" s="94">
        <v>1</v>
      </c>
      <c r="W478" s="94">
        <f>MouserListTable[[#This Row],['#/Unit]]*FilterSpecs!$C$3+MouserListTable[[#This Row],[Extra]]</f>
        <v>1</v>
      </c>
      <c r="X478" s="94">
        <f>IF(MouserListTable[[#This Row],[Tag]]=FilterSpecs!$F$7,MouserListTable[[#This Row],['#/Unit]]*MouserListTable[[#This Row],[Price (USD)]],0)</f>
        <v>0</v>
      </c>
      <c r="Y478" s="94">
        <f>MouserListTable[[#This Row],[Tot '#]]*MouserListTable[[#This Row],[Price (USD)]]</f>
        <v>2.95</v>
      </c>
      <c r="Z478"/>
    </row>
    <row r="479" spans="1:26" s="106" customFormat="1" x14ac:dyDescent="0.25">
      <c r="A479" s="78" t="s">
        <v>890</v>
      </c>
      <c r="B479" s="78" t="s">
        <v>1878</v>
      </c>
      <c r="C479" s="78" t="s">
        <v>1892</v>
      </c>
      <c r="D479" s="81" t="str">
        <f>IF(MouserListTable[[#This Row],[Vendor]]=FilterSpecs!$A$8,MouserListTable[[#This Row],[Mouser SKU]], MouserListTable[[#This Row],[Supplier SKU]])</f>
        <v>485-2886</v>
      </c>
      <c r="E479" s="94">
        <f>MouserListTable[[#This Row],[Tot '#]]-MouserListTable[[#This Row],['# Initial]]</f>
        <v>0</v>
      </c>
      <c r="F479" s="94">
        <f>IF(AND(MouserListTable[[#This Row],[Tag]]&lt;&gt;FilterSpecs!$F$12, MouserListTable[[#This Row],[Tag]]&lt;&gt;FilterSpecs!$F$9), MouserListTable[[#This Row],['#/Unit]]*FilterSpecs!$B$3+MouserListTable[[#This Row],[Extra Initial]],0)</f>
        <v>0</v>
      </c>
      <c r="G479" s="78"/>
      <c r="H479" s="150"/>
      <c r="I479" s="97" t="s">
        <v>2153</v>
      </c>
      <c r="K479" s="118">
        <v>0.95</v>
      </c>
      <c r="L479" s="97" t="s">
        <v>1896</v>
      </c>
      <c r="N479" s="154">
        <f>MouserListTable[[#This Row],['# Initial]]*MouserListTable[[#This Row],[Price (USD)]]</f>
        <v>0</v>
      </c>
      <c r="O479" s="81" t="s">
        <v>2152</v>
      </c>
      <c r="P479" s="150">
        <f t="shared" si="8"/>
        <v>466</v>
      </c>
      <c r="Q479" s="78" t="s">
        <v>1884</v>
      </c>
      <c r="R479"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485-2886</v>
      </c>
      <c r="S479" s="133" t="str">
        <f>HYPERLINK("https://www.mouser.com/ProductDetail/" &amp;MouserListTable[[#This Row],[Mouser SKU]])</f>
        <v>https://www.mouser.com/ProductDetail/485-2886</v>
      </c>
      <c r="T479" s="94">
        <v>0</v>
      </c>
      <c r="U479" s="94">
        <v>0</v>
      </c>
      <c r="V479" s="94">
        <v>0</v>
      </c>
      <c r="W479" s="94">
        <f>MouserListTable[[#This Row],['#/Unit]]*FilterSpecs!$C$3+MouserListTable[[#This Row],[Extra]]</f>
        <v>0</v>
      </c>
      <c r="X479" s="94">
        <f>IF(MouserListTable[[#This Row],[Tag]]=FilterSpecs!$F$7,MouserListTable[[#This Row],['#/Unit]]*MouserListTable[[#This Row],[Price (USD)]],0)</f>
        <v>0</v>
      </c>
      <c r="Y479" s="94">
        <f>MouserListTable[[#This Row],[Tot '#]]*MouserListTable[[#This Row],[Price (USD)]]</f>
        <v>0</v>
      </c>
      <c r="Z479"/>
    </row>
    <row r="480" spans="1:26" s="106" customFormat="1" x14ac:dyDescent="0.25">
      <c r="A480" s="78" t="s">
        <v>890</v>
      </c>
      <c r="B480" s="78" t="s">
        <v>1878</v>
      </c>
      <c r="C480" s="78" t="s">
        <v>1892</v>
      </c>
      <c r="D480" s="81" t="str">
        <f>IF(MouserListTable[[#This Row],[Vendor]]=FilterSpecs!$A$8,MouserListTable[[#This Row],[Mouser SKU]], MouserListTable[[#This Row],[Supplier SKU]])</f>
        <v>485-598</v>
      </c>
      <c r="E480" s="94">
        <f>MouserListTable[[#This Row],[Tot '#]]-MouserListTable[[#This Row],['# Initial]]</f>
        <v>0</v>
      </c>
      <c r="F480" s="94">
        <f>IF(AND(MouserListTable[[#This Row],[Tag]]&lt;&gt;FilterSpecs!$F$12, MouserListTable[[#This Row],[Tag]]&lt;&gt;FilterSpecs!$F$9), MouserListTable[[#This Row],['#/Unit]]*FilterSpecs!$B$3+MouserListTable[[#This Row],[Extra Initial]],0)</f>
        <v>1</v>
      </c>
      <c r="G480" s="78"/>
      <c r="H480" s="150"/>
      <c r="I480" s="78" t="s">
        <v>2147</v>
      </c>
      <c r="K480" s="117">
        <v>2.95</v>
      </c>
      <c r="L480" s="78" t="s">
        <v>1896</v>
      </c>
      <c r="M480" s="81"/>
      <c r="N480" s="154">
        <f>MouserListTable[[#This Row],['# Initial]]*MouserListTable[[#This Row],[Price (USD)]]</f>
        <v>2.95</v>
      </c>
      <c r="O480" s="81" t="s">
        <v>2146</v>
      </c>
      <c r="P480" s="150">
        <f t="shared" si="8"/>
        <v>467</v>
      </c>
      <c r="Q480" s="78" t="s">
        <v>1884</v>
      </c>
      <c r="R480"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485-598</v>
      </c>
      <c r="S480" s="133" t="str">
        <f>HYPERLINK("https://www.mouser.com/ProductDetail/" &amp;MouserListTable[[#This Row],[Mouser SKU]])</f>
        <v>https://www.mouser.com/ProductDetail/485-598</v>
      </c>
      <c r="T480" s="94">
        <v>0</v>
      </c>
      <c r="U480" s="94">
        <v>1</v>
      </c>
      <c r="V480" s="94">
        <v>1</v>
      </c>
      <c r="W480" s="94">
        <f>MouserListTable[[#This Row],['#/Unit]]*FilterSpecs!$C$3+MouserListTable[[#This Row],[Extra]]</f>
        <v>1</v>
      </c>
      <c r="X480" s="94">
        <f>IF(MouserListTable[[#This Row],[Tag]]=FilterSpecs!$F$7,MouserListTable[[#This Row],['#/Unit]]*MouserListTable[[#This Row],[Price (USD)]],0)</f>
        <v>0</v>
      </c>
      <c r="Y480" s="94">
        <f>MouserListTable[[#This Row],[Tot '#]]*MouserListTable[[#This Row],[Price (USD)]]</f>
        <v>2.95</v>
      </c>
      <c r="Z480"/>
    </row>
    <row r="481" spans="1:26" s="106" customFormat="1" x14ac:dyDescent="0.25">
      <c r="A481" s="78" t="s">
        <v>890</v>
      </c>
      <c r="B481" s="78" t="s">
        <v>1878</v>
      </c>
      <c r="C481" s="78" t="s">
        <v>1892</v>
      </c>
      <c r="D481" s="81" t="str">
        <f>IF(MouserListTable[[#This Row],[Vendor]]=FilterSpecs!$A$8,MouserListTable[[#This Row],[Mouser SKU]], MouserListTable[[#This Row],[Supplier SKU]])</f>
        <v>485-3008</v>
      </c>
      <c r="E481" s="94">
        <f>MouserListTable[[#This Row],[Tot '#]]-MouserListTable[[#This Row],['# Initial]]</f>
        <v>0</v>
      </c>
      <c r="F481" s="94">
        <f>IF(AND(MouserListTable[[#This Row],[Tag]]&lt;&gt;FilterSpecs!$F$12, MouserListTable[[#This Row],[Tag]]&lt;&gt;FilterSpecs!$F$9), MouserListTable[[#This Row],['#/Unit]]*FilterSpecs!$B$3+MouserListTable[[#This Row],[Extra Initial]],0)</f>
        <v>1</v>
      </c>
      <c r="G481" s="78"/>
      <c r="H481" s="150"/>
      <c r="I481" s="78" t="s">
        <v>2149</v>
      </c>
      <c r="K481" s="117">
        <v>7.95</v>
      </c>
      <c r="L481" s="78" t="s">
        <v>1896</v>
      </c>
      <c r="M481" s="81"/>
      <c r="N481" s="154">
        <f>MouserListTable[[#This Row],['# Initial]]*MouserListTable[[#This Row],[Price (USD)]]</f>
        <v>7.95</v>
      </c>
      <c r="O481" s="81" t="s">
        <v>2148</v>
      </c>
      <c r="P481" s="150">
        <f t="shared" si="8"/>
        <v>468</v>
      </c>
      <c r="Q481" s="78" t="s">
        <v>1884</v>
      </c>
      <c r="R481"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485-3008</v>
      </c>
      <c r="S481" s="133" t="str">
        <f>HYPERLINK("https://www.mouser.com/ProductDetail/" &amp;MouserListTable[[#This Row],[Mouser SKU]])</f>
        <v>https://www.mouser.com/ProductDetail/485-3008</v>
      </c>
      <c r="T481" s="94">
        <v>0</v>
      </c>
      <c r="U481" s="94">
        <v>1</v>
      </c>
      <c r="V481" s="94">
        <v>1</v>
      </c>
      <c r="W481" s="94">
        <f>MouserListTable[[#This Row],['#/Unit]]*FilterSpecs!$C$3+MouserListTable[[#This Row],[Extra]]</f>
        <v>1</v>
      </c>
      <c r="X481" s="94">
        <f>IF(MouserListTable[[#This Row],[Tag]]=FilterSpecs!$F$7,MouserListTable[[#This Row],['#/Unit]]*MouserListTable[[#This Row],[Price (USD)]],0)</f>
        <v>0</v>
      </c>
      <c r="Y481" s="94">
        <f>MouserListTable[[#This Row],[Tot '#]]*MouserListTable[[#This Row],[Price (USD)]]</f>
        <v>7.95</v>
      </c>
      <c r="Z481"/>
    </row>
    <row r="482" spans="1:26" s="106" customFormat="1" x14ac:dyDescent="0.25">
      <c r="A482" s="78" t="s">
        <v>890</v>
      </c>
      <c r="B482" s="78" t="s">
        <v>1878</v>
      </c>
      <c r="C482" s="78" t="s">
        <v>1892</v>
      </c>
      <c r="D482" s="81" t="str">
        <f>IF(MouserListTable[[#This Row],[Vendor]]=FilterSpecs!$A$8,MouserListTable[[#This Row],[Mouser SKU]], MouserListTable[[#This Row],[Supplier SKU]])</f>
        <v>485-1542</v>
      </c>
      <c r="E482" s="94">
        <f>MouserListTable[[#This Row],[Tot '#]]-MouserListTable[[#This Row],['# Initial]]</f>
        <v>0</v>
      </c>
      <c r="F482" s="94">
        <f>IF(AND(MouserListTable[[#This Row],[Tag]]&lt;&gt;FilterSpecs!$F$12, MouserListTable[[#This Row],[Tag]]&lt;&gt;FilterSpecs!$F$9), MouserListTable[[#This Row],['#/Unit]]*FilterSpecs!$B$3+MouserListTable[[#This Row],[Extra Initial]],0)</f>
        <v>1</v>
      </c>
      <c r="G482" s="78"/>
      <c r="H482" s="150"/>
      <c r="I482" s="78" t="s">
        <v>2139</v>
      </c>
      <c r="K482" s="117">
        <v>4.95</v>
      </c>
      <c r="L482" s="78" t="s">
        <v>1896</v>
      </c>
      <c r="M482" s="81"/>
      <c r="N482" s="154">
        <f>MouserListTable[[#This Row],['# Initial]]*MouserListTable[[#This Row],[Price (USD)]]</f>
        <v>4.95</v>
      </c>
      <c r="O482" s="81" t="s">
        <v>2138</v>
      </c>
      <c r="P482" s="150">
        <f t="shared" si="8"/>
        <v>469</v>
      </c>
      <c r="Q482" s="78" t="s">
        <v>1884</v>
      </c>
      <c r="R482"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485-1542</v>
      </c>
      <c r="S482" s="133" t="str">
        <f>HYPERLINK("https://www.mouser.com/ProductDetail/" &amp;MouserListTable[[#This Row],[Mouser SKU]])</f>
        <v>https://www.mouser.com/ProductDetail/485-1542</v>
      </c>
      <c r="T482" s="94">
        <v>0</v>
      </c>
      <c r="U482" s="94">
        <v>1</v>
      </c>
      <c r="V482" s="94">
        <v>1</v>
      </c>
      <c r="W482" s="94">
        <f>MouserListTable[[#This Row],['#/Unit]]*FilterSpecs!$C$3+MouserListTable[[#This Row],[Extra]]</f>
        <v>1</v>
      </c>
      <c r="X482" s="94">
        <f>IF(MouserListTable[[#This Row],[Tag]]=FilterSpecs!$F$7,MouserListTable[[#This Row],['#/Unit]]*MouserListTable[[#This Row],[Price (USD)]],0)</f>
        <v>0</v>
      </c>
      <c r="Y482" s="94">
        <f>MouserListTable[[#This Row],[Tot '#]]*MouserListTable[[#This Row],[Price (USD)]]</f>
        <v>4.95</v>
      </c>
      <c r="Z482"/>
    </row>
    <row r="483" spans="1:26" s="106" customFormat="1" x14ac:dyDescent="0.25">
      <c r="A483" s="78" t="s">
        <v>890</v>
      </c>
      <c r="B483" s="78" t="s">
        <v>1878</v>
      </c>
      <c r="C483" s="78" t="s">
        <v>1892</v>
      </c>
      <c r="D483" s="81" t="str">
        <f>IF(MouserListTable[[#This Row],[Vendor]]=FilterSpecs!$A$8,MouserListTable[[#This Row],[Mouser SKU]], MouserListTable[[#This Row],[Supplier SKU]])</f>
        <v>485-1544</v>
      </c>
      <c r="E483" s="94">
        <f>MouserListTable[[#This Row],[Tot '#]]-MouserListTable[[#This Row],['# Initial]]</f>
        <v>0</v>
      </c>
      <c r="F483" s="94">
        <f>IF(AND(MouserListTable[[#This Row],[Tag]]&lt;&gt;FilterSpecs!$F$12, MouserListTable[[#This Row],[Tag]]&lt;&gt;FilterSpecs!$F$9), MouserListTable[[#This Row],['#/Unit]]*FilterSpecs!$B$3+MouserListTable[[#This Row],[Extra Initial]],0)</f>
        <v>1</v>
      </c>
      <c r="G483" s="78"/>
      <c r="H483" s="150"/>
      <c r="I483" s="78" t="s">
        <v>2137</v>
      </c>
      <c r="K483" s="117">
        <v>5.95</v>
      </c>
      <c r="L483" s="78" t="s">
        <v>1896</v>
      </c>
      <c r="M483" s="81"/>
      <c r="N483" s="154">
        <f>MouserListTable[[#This Row],['# Initial]]*MouserListTable[[#This Row],[Price (USD)]]</f>
        <v>5.95</v>
      </c>
      <c r="O483" s="81" t="s">
        <v>2136</v>
      </c>
      <c r="P483" s="150">
        <f t="shared" si="8"/>
        <v>470</v>
      </c>
      <c r="Q483" s="78" t="s">
        <v>1884</v>
      </c>
      <c r="R483"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485-1544</v>
      </c>
      <c r="S483" s="133" t="str">
        <f>HYPERLINK("https://www.mouser.com/ProductDetail/" &amp;MouserListTable[[#This Row],[Mouser SKU]])</f>
        <v>https://www.mouser.com/ProductDetail/485-1544</v>
      </c>
      <c r="T483" s="94">
        <v>0</v>
      </c>
      <c r="U483" s="94">
        <v>1</v>
      </c>
      <c r="V483" s="94">
        <v>1</v>
      </c>
      <c r="W483" s="94">
        <f>MouserListTable[[#This Row],['#/Unit]]*FilterSpecs!$C$3+MouserListTable[[#This Row],[Extra]]</f>
        <v>1</v>
      </c>
      <c r="X483" s="94">
        <f>IF(MouserListTable[[#This Row],[Tag]]=FilterSpecs!$F$7,MouserListTable[[#This Row],['#/Unit]]*MouserListTable[[#This Row],[Price (USD)]],0)</f>
        <v>0</v>
      </c>
      <c r="Y483" s="94">
        <f>MouserListTable[[#This Row],[Tot '#]]*MouserListTable[[#This Row],[Price (USD)]]</f>
        <v>5.95</v>
      </c>
      <c r="Z483"/>
    </row>
    <row r="484" spans="1:26" s="106" customFormat="1" x14ac:dyDescent="0.25">
      <c r="A484" s="78" t="s">
        <v>890</v>
      </c>
      <c r="B484" s="78" t="s">
        <v>1878</v>
      </c>
      <c r="C484" s="78" t="s">
        <v>1892</v>
      </c>
      <c r="D484" s="81" t="str">
        <f>IF(MouserListTable[[#This Row],[Vendor]]=FilterSpecs!$A$8,MouserListTable[[#This Row],[Mouser SKU]], MouserListTable[[#This Row],[Supplier SKU]])</f>
        <v>485-2823</v>
      </c>
      <c r="E484" s="94">
        <f>MouserListTable[[#This Row],[Tot '#]]-MouserListTable[[#This Row],['# Initial]]</f>
        <v>0</v>
      </c>
      <c r="F484" s="94">
        <f>IF(AND(MouserListTable[[#This Row],[Tag]]&lt;&gt;FilterSpecs!$F$12, MouserListTable[[#This Row],[Tag]]&lt;&gt;FilterSpecs!$F$9), MouserListTable[[#This Row],['#/Unit]]*FilterSpecs!$B$3+MouserListTable[[#This Row],[Extra Initial]],0)</f>
        <v>0</v>
      </c>
      <c r="G484" s="78"/>
      <c r="H484" s="150"/>
      <c r="I484" s="97" t="s">
        <v>2133</v>
      </c>
      <c r="K484" s="118">
        <v>1.5</v>
      </c>
      <c r="L484" s="97" t="s">
        <v>1896</v>
      </c>
      <c r="N484" s="154">
        <f>MouserListTable[[#This Row],['# Initial]]*MouserListTable[[#This Row],[Price (USD)]]</f>
        <v>0</v>
      </c>
      <c r="O484" s="81" t="s">
        <v>2132</v>
      </c>
      <c r="P484" s="150">
        <f t="shared" si="8"/>
        <v>471</v>
      </c>
      <c r="Q484" s="78" t="s">
        <v>1884</v>
      </c>
      <c r="R484"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485-2823</v>
      </c>
      <c r="S484" s="133" t="str">
        <f>HYPERLINK("https://www.mouser.com/ProductDetail/" &amp;MouserListTable[[#This Row],[Mouser SKU]])</f>
        <v>https://www.mouser.com/ProductDetail/485-2823</v>
      </c>
      <c r="T484" s="94">
        <v>0</v>
      </c>
      <c r="U484" s="94">
        <v>0</v>
      </c>
      <c r="V484" s="94">
        <v>0</v>
      </c>
      <c r="W484" s="94">
        <f>MouserListTable[[#This Row],['#/Unit]]*FilterSpecs!$C$3+MouserListTable[[#This Row],[Extra]]</f>
        <v>0</v>
      </c>
      <c r="X484" s="94">
        <f>IF(MouserListTable[[#This Row],[Tag]]=FilterSpecs!$F$7,MouserListTable[[#This Row],['#/Unit]]*MouserListTable[[#This Row],[Price (USD)]],0)</f>
        <v>0</v>
      </c>
      <c r="Y484" s="94">
        <f>MouserListTable[[#This Row],[Tot '#]]*MouserListTable[[#This Row],[Price (USD)]]</f>
        <v>0</v>
      </c>
      <c r="Z484"/>
    </row>
    <row r="485" spans="1:26" s="106" customFormat="1" x14ac:dyDescent="0.25">
      <c r="A485" s="78" t="s">
        <v>890</v>
      </c>
      <c r="B485" s="78" t="s">
        <v>1878</v>
      </c>
      <c r="C485" s="78" t="s">
        <v>1892</v>
      </c>
      <c r="D485" s="81" t="str">
        <f>IF(MouserListTable[[#This Row],[Vendor]]=FilterSpecs!$A$8,MouserListTable[[#This Row],[Mouser SKU]], MouserListTable[[#This Row],[Supplier SKU]])</f>
        <v>485-1543</v>
      </c>
      <c r="E485" s="94">
        <f>MouserListTable[[#This Row],[Tot '#]]-MouserListTable[[#This Row],['# Initial]]</f>
        <v>0</v>
      </c>
      <c r="F485" s="94">
        <f>IF(AND(MouserListTable[[#This Row],[Tag]]&lt;&gt;FilterSpecs!$F$12, MouserListTable[[#This Row],[Tag]]&lt;&gt;FilterSpecs!$F$9), MouserListTable[[#This Row],['#/Unit]]*FilterSpecs!$B$3+MouserListTable[[#This Row],[Extra Initial]],0)</f>
        <v>1</v>
      </c>
      <c r="G485" s="78"/>
      <c r="H485" s="150"/>
      <c r="I485" s="78" t="s">
        <v>2135</v>
      </c>
      <c r="K485" s="117">
        <v>7.95</v>
      </c>
      <c r="L485" s="78" t="s">
        <v>1896</v>
      </c>
      <c r="M485" s="81"/>
      <c r="N485" s="154">
        <f>MouserListTable[[#This Row],['# Initial]]*MouserListTable[[#This Row],[Price (USD)]]</f>
        <v>7.95</v>
      </c>
      <c r="O485" s="81" t="s">
        <v>2134</v>
      </c>
      <c r="P485" s="150">
        <f t="shared" si="8"/>
        <v>472</v>
      </c>
      <c r="Q485" s="78" t="s">
        <v>1884</v>
      </c>
      <c r="R485"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485-1543</v>
      </c>
      <c r="S485" s="133" t="str">
        <f>HYPERLINK("https://www.mouser.com/ProductDetail/" &amp;MouserListTable[[#This Row],[Mouser SKU]])</f>
        <v>https://www.mouser.com/ProductDetail/485-1543</v>
      </c>
      <c r="T485" s="94">
        <v>0</v>
      </c>
      <c r="U485" s="94">
        <v>1</v>
      </c>
      <c r="V485" s="94">
        <v>1</v>
      </c>
      <c r="W485" s="94">
        <f>MouserListTable[[#This Row],['#/Unit]]*FilterSpecs!$C$3+MouserListTable[[#This Row],[Extra]]</f>
        <v>1</v>
      </c>
      <c r="X485" s="94">
        <f>IF(MouserListTable[[#This Row],[Tag]]=FilterSpecs!$F$7,MouserListTable[[#This Row],['#/Unit]]*MouserListTable[[#This Row],[Price (USD)]],0)</f>
        <v>0</v>
      </c>
      <c r="Y485" s="94">
        <f>MouserListTable[[#This Row],[Tot '#]]*MouserListTable[[#This Row],[Price (USD)]]</f>
        <v>7.95</v>
      </c>
      <c r="Z485"/>
    </row>
    <row r="486" spans="1:26" s="106" customFormat="1" x14ac:dyDescent="0.25">
      <c r="A486" s="78" t="s">
        <v>890</v>
      </c>
      <c r="B486" s="78" t="s">
        <v>1878</v>
      </c>
      <c r="C486" s="78" t="s">
        <v>1892</v>
      </c>
      <c r="D486" s="81" t="str">
        <f>IF(MouserListTable[[#This Row],[Vendor]]=FilterSpecs!$A$8,MouserListTable[[#This Row],[Mouser SKU]], MouserListTable[[#This Row],[Supplier SKU]])</f>
        <v>485-3342</v>
      </c>
      <c r="E486" s="94">
        <f>MouserListTable[[#This Row],[Tot '#]]-MouserListTable[[#This Row],['# Initial]]</f>
        <v>0</v>
      </c>
      <c r="F486" s="94">
        <f>IF(AND(MouserListTable[[#This Row],[Tag]]&lt;&gt;FilterSpecs!$F$12, MouserListTable[[#This Row],[Tag]]&lt;&gt;FilterSpecs!$F$9), MouserListTable[[#This Row],['#/Unit]]*FilterSpecs!$B$3+MouserListTable[[#This Row],[Extra Initial]],0)</f>
        <v>0</v>
      </c>
      <c r="G486" s="78"/>
      <c r="H486" s="150"/>
      <c r="I486" s="97" t="s">
        <v>2145</v>
      </c>
      <c r="K486" s="118">
        <v>0</v>
      </c>
      <c r="L486" s="97" t="s">
        <v>1896</v>
      </c>
      <c r="N486" s="154">
        <f>MouserListTable[[#This Row],['# Initial]]*MouserListTable[[#This Row],[Price (USD)]]</f>
        <v>0</v>
      </c>
      <c r="O486" s="81" t="s">
        <v>2144</v>
      </c>
      <c r="P486" s="150">
        <f t="shared" si="8"/>
        <v>473</v>
      </c>
      <c r="Q486" s="78" t="s">
        <v>1884</v>
      </c>
      <c r="R486"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485-3342</v>
      </c>
      <c r="S486" s="133" t="str">
        <f>HYPERLINK("https://www.mouser.com/ProductDetail/" &amp;MouserListTable[[#This Row],[Mouser SKU]])</f>
        <v>https://www.mouser.com/ProductDetail/485-3342</v>
      </c>
      <c r="T486" s="94">
        <v>0</v>
      </c>
      <c r="U486" s="94">
        <v>0</v>
      </c>
      <c r="V486" s="94">
        <v>0</v>
      </c>
      <c r="W486" s="94">
        <f>MouserListTable[[#This Row],['#/Unit]]*FilterSpecs!$C$3+MouserListTable[[#This Row],[Extra]]</f>
        <v>0</v>
      </c>
      <c r="X486" s="94">
        <f>IF(MouserListTable[[#This Row],[Tag]]=FilterSpecs!$F$7,MouserListTable[[#This Row],['#/Unit]]*MouserListTable[[#This Row],[Price (USD)]],0)</f>
        <v>0</v>
      </c>
      <c r="Y486" s="94">
        <f>MouserListTable[[#This Row],[Tot '#]]*MouserListTable[[#This Row],[Price (USD)]]</f>
        <v>0</v>
      </c>
      <c r="Z486"/>
    </row>
    <row r="487" spans="1:26" s="106" customFormat="1" x14ac:dyDescent="0.25">
      <c r="A487" s="97" t="s">
        <v>890</v>
      </c>
      <c r="B487" s="97" t="s">
        <v>1878</v>
      </c>
      <c r="C487" s="78" t="s">
        <v>1892</v>
      </c>
      <c r="D487" s="81" t="str">
        <f>IF(MouserListTable[[#This Row],[Vendor]]=FilterSpecs!$A$8,MouserListTable[[#This Row],[Mouser SKU]], MouserListTable[[#This Row],[Supplier SKU]])</f>
        <v>474-PRT-13010</v>
      </c>
      <c r="E487" s="94">
        <f>MouserListTable[[#This Row],[Tot '#]]-MouserListTable[[#This Row],['# Initial]]</f>
        <v>0</v>
      </c>
      <c r="F487" s="94">
        <f>IF(AND(MouserListTable[[#This Row],[Tag]]&lt;&gt;FilterSpecs!$F$12, MouserListTable[[#This Row],[Tag]]&lt;&gt;FilterSpecs!$F$9), MouserListTable[[#This Row],['#/Unit]]*FilterSpecs!$B$3+MouserListTable[[#This Row],[Extra Initial]],0)</f>
        <v>0</v>
      </c>
      <c r="G487" s="78" t="s">
        <v>761</v>
      </c>
      <c r="H487" s="150" t="s">
        <v>762</v>
      </c>
      <c r="I487" s="78" t="s">
        <v>763</v>
      </c>
      <c r="J487" s="78">
        <v>1</v>
      </c>
      <c r="K487" s="117">
        <v>0.5</v>
      </c>
      <c r="L487" s="78" t="s">
        <v>1896</v>
      </c>
      <c r="M487" s="78"/>
      <c r="N487" s="154">
        <f>MouserListTable[[#This Row],['# Initial]]*MouserListTable[[#This Row],[Price (USD)]]</f>
        <v>0</v>
      </c>
      <c r="O487" s="81" t="s">
        <v>760</v>
      </c>
      <c r="P487" s="150">
        <f t="shared" si="8"/>
        <v>474</v>
      </c>
      <c r="Q487" s="78" t="s">
        <v>5</v>
      </c>
      <c r="R487"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474-PRT-13010</v>
      </c>
      <c r="S487" s="133" t="str">
        <f>HYPERLINK("https://www.mouser.com/ProductDetail/" &amp;MouserListTable[[#This Row],[Mouser SKU]])</f>
        <v>https://www.mouser.com/ProductDetail/474-PRT-13010</v>
      </c>
      <c r="T487" s="94">
        <v>0</v>
      </c>
      <c r="U487" s="94">
        <v>0</v>
      </c>
      <c r="V487" s="94">
        <v>0</v>
      </c>
      <c r="W487" s="94">
        <f>MouserListTable[[#This Row],['#/Unit]]*FilterSpecs!$C$3+MouserListTable[[#This Row],[Extra]]</f>
        <v>0</v>
      </c>
      <c r="X487" s="94">
        <f>IF(MouserListTable[[#This Row],[Tag]]=FilterSpecs!$F$7,MouserListTable[[#This Row],['#/Unit]]*MouserListTable[[#This Row],[Price (USD)]],0)</f>
        <v>0</v>
      </c>
      <c r="Y487" s="94">
        <f>MouserListTable[[#This Row],[Tot '#]]*MouserListTable[[#This Row],[Price (USD)]]</f>
        <v>0</v>
      </c>
      <c r="Z487"/>
    </row>
    <row r="488" spans="1:26" s="106" customFormat="1" x14ac:dyDescent="0.25">
      <c r="A488" s="78" t="s">
        <v>890</v>
      </c>
      <c r="B488" s="78" t="s">
        <v>1878</v>
      </c>
      <c r="C488" s="78" t="s">
        <v>1892</v>
      </c>
      <c r="D488" s="81" t="str">
        <f>IF(MouserListTable[[#This Row],[Vendor]]=FilterSpecs!$A$8,MouserListTable[[#This Row],[Mouser SKU]], MouserListTable[[#This Row],[Supplier SKU]])</f>
        <v>474-PRT-10877</v>
      </c>
      <c r="E488" s="94">
        <f>MouserListTable[[#This Row],[Tot '#]]-MouserListTable[[#This Row],['# Initial]]</f>
        <v>5</v>
      </c>
      <c r="F488" s="94">
        <f>IF(AND(MouserListTable[[#This Row],[Tag]]&lt;&gt;FilterSpecs!$F$12, MouserListTable[[#This Row],[Tag]]&lt;&gt;FilterSpecs!$F$9), MouserListTable[[#This Row],['#/Unit]]*FilterSpecs!$B$3+MouserListTable[[#This Row],[Extra Initial]],0)</f>
        <v>5</v>
      </c>
      <c r="G488" s="78" t="s">
        <v>1522</v>
      </c>
      <c r="H488" s="150" t="s">
        <v>1523</v>
      </c>
      <c r="I488" s="78" t="s">
        <v>1524</v>
      </c>
      <c r="J488" s="78">
        <v>1</v>
      </c>
      <c r="K488" s="117">
        <v>1.5</v>
      </c>
      <c r="L488" s="78" t="s">
        <v>1897</v>
      </c>
      <c r="M488" s="78"/>
      <c r="N488" s="154">
        <f>MouserListTable[[#This Row],['# Initial]]*MouserListTable[[#This Row],[Price (USD)]]</f>
        <v>7.5</v>
      </c>
      <c r="O488" s="81" t="s">
        <v>1521</v>
      </c>
      <c r="P488" s="150">
        <f t="shared" si="8"/>
        <v>475</v>
      </c>
      <c r="Q488" s="78" t="s">
        <v>5</v>
      </c>
      <c r="R488"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474-PRT-10877</v>
      </c>
      <c r="S488" s="133" t="str">
        <f>HYPERLINK("https://www.mouser.com/ProductDetail/" &amp;MouserListTable[[#This Row],[Mouser SKU]])</f>
        <v>https://www.mouser.com/ProductDetail/474-PRT-10877</v>
      </c>
      <c r="T488" s="94">
        <v>1</v>
      </c>
      <c r="U488" s="94">
        <v>5</v>
      </c>
      <c r="V488" s="94">
        <v>0</v>
      </c>
      <c r="W488" s="94">
        <f>MouserListTable[[#This Row],['#/Unit]]*FilterSpecs!$C$3+MouserListTable[[#This Row],[Extra]]</f>
        <v>10</v>
      </c>
      <c r="X488" s="94">
        <f>IF(MouserListTable[[#This Row],[Tag]]=FilterSpecs!$F$7,MouserListTable[[#This Row],['#/Unit]]*MouserListTable[[#This Row],[Price (USD)]],0)</f>
        <v>1.5</v>
      </c>
      <c r="Y488" s="94">
        <f>MouserListTable[[#This Row],[Tot '#]]*MouserListTable[[#This Row],[Price (USD)]]</f>
        <v>15</v>
      </c>
      <c r="Z488"/>
    </row>
    <row r="489" spans="1:26" s="106" customFormat="1" x14ac:dyDescent="0.25">
      <c r="A489" s="78" t="s">
        <v>890</v>
      </c>
      <c r="B489" s="78" t="s">
        <v>1878</v>
      </c>
      <c r="C489" s="78" t="s">
        <v>1892</v>
      </c>
      <c r="D489" s="81" t="str">
        <f>IF(MouserListTable[[#This Row],[Vendor]]=FilterSpecs!$A$8,MouserListTable[[#This Row],[Mouser SKU]], MouserListTable[[#This Row],[Supplier SKU]])</f>
        <v>474-PRT-08506</v>
      </c>
      <c r="E489" s="94">
        <f>MouserListTable[[#This Row],[Tot '#]]-MouserListTable[[#This Row],['# Initial]]</f>
        <v>5</v>
      </c>
      <c r="F489" s="94">
        <f>IF(AND(MouserListTable[[#This Row],[Tag]]&lt;&gt;FilterSpecs!$F$12, MouserListTable[[#This Row],[Tag]]&lt;&gt;FilterSpecs!$F$9), MouserListTable[[#This Row],['#/Unit]]*FilterSpecs!$B$3+MouserListTable[[#This Row],[Extra Initial]],0)</f>
        <v>5</v>
      </c>
      <c r="G489" s="78" t="s">
        <v>1526</v>
      </c>
      <c r="H489" s="150" t="s">
        <v>1527</v>
      </c>
      <c r="I489" s="78" t="s">
        <v>1528</v>
      </c>
      <c r="J489" s="78">
        <v>1</v>
      </c>
      <c r="K489" s="117">
        <v>1.5</v>
      </c>
      <c r="L489" s="78" t="s">
        <v>1897</v>
      </c>
      <c r="M489" s="78"/>
      <c r="N489" s="154">
        <f>MouserListTable[[#This Row],['# Initial]]*MouserListTable[[#This Row],[Price (USD)]]</f>
        <v>7.5</v>
      </c>
      <c r="O489" s="81" t="s">
        <v>1525</v>
      </c>
      <c r="P489" s="150">
        <f t="shared" si="8"/>
        <v>476</v>
      </c>
      <c r="Q489" s="78" t="s">
        <v>5</v>
      </c>
      <c r="R489"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474-PRT-08506</v>
      </c>
      <c r="S489" s="133" t="str">
        <f>HYPERLINK("https://www.mouser.com/ProductDetail/" &amp;MouserListTable[[#This Row],[Mouser SKU]])</f>
        <v>https://www.mouser.com/ProductDetail/474-PRT-08506</v>
      </c>
      <c r="T489" s="94">
        <v>1</v>
      </c>
      <c r="U489" s="94">
        <v>5</v>
      </c>
      <c r="V489" s="94">
        <v>0</v>
      </c>
      <c r="W489" s="94">
        <f>MouserListTable[[#This Row],['#/Unit]]*FilterSpecs!$C$3+MouserListTable[[#This Row],[Extra]]</f>
        <v>10</v>
      </c>
      <c r="X489" s="94">
        <f>IF(MouserListTable[[#This Row],[Tag]]=FilterSpecs!$F$7,MouserListTable[[#This Row],['#/Unit]]*MouserListTable[[#This Row],[Price (USD)]],0)</f>
        <v>1.5</v>
      </c>
      <c r="Y489" s="94">
        <f>MouserListTable[[#This Row],[Tot '#]]*MouserListTable[[#This Row],[Price (USD)]]</f>
        <v>15</v>
      </c>
      <c r="Z489"/>
    </row>
    <row r="490" spans="1:26" s="106" customFormat="1" x14ac:dyDescent="0.25">
      <c r="A490" s="98" t="s">
        <v>890</v>
      </c>
      <c r="B490" s="98" t="s">
        <v>1878</v>
      </c>
      <c r="C490" s="78" t="s">
        <v>1892</v>
      </c>
      <c r="D490" s="81" t="str">
        <f>IF(MouserListTable[[#This Row],[Vendor]]=FilterSpecs!$A$8,MouserListTable[[#This Row],[Mouser SKU]], MouserListTable[[#This Row],[Supplier SKU]])</f>
        <v>485-1465</v>
      </c>
      <c r="E490" s="94">
        <f>MouserListTable[[#This Row],[Tot '#]]-MouserListTable[[#This Row],['# Initial]]</f>
        <v>0</v>
      </c>
      <c r="F490" s="94">
        <f>IF(AND(MouserListTable[[#This Row],[Tag]]&lt;&gt;FilterSpecs!$F$12, MouserListTable[[#This Row],[Tag]]&lt;&gt;FilterSpecs!$F$9), MouserListTable[[#This Row],['#/Unit]]*FilterSpecs!$B$3+MouserListTable[[#This Row],[Extra Initial]],0)</f>
        <v>0</v>
      </c>
      <c r="H490" s="150"/>
      <c r="I490" s="98" t="s">
        <v>2454</v>
      </c>
      <c r="J490" s="113">
        <v>116</v>
      </c>
      <c r="K490" s="119">
        <v>0.95</v>
      </c>
      <c r="L490" s="97" t="s">
        <v>1896</v>
      </c>
      <c r="N490" s="154">
        <f>MouserListTable[[#This Row],['# Initial]]*MouserListTable[[#This Row],[Price (USD)]]</f>
        <v>0</v>
      </c>
      <c r="O490" s="113" t="s">
        <v>2455</v>
      </c>
      <c r="P490" s="150">
        <f t="shared" si="8"/>
        <v>477</v>
      </c>
      <c r="Q490" s="78" t="s">
        <v>1884</v>
      </c>
      <c r="R490"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485-1465</v>
      </c>
      <c r="S490" s="133" t="str">
        <f>HYPERLINK("https://www.mouser.com/ProductDetail/" &amp;MouserListTable[[#This Row],[Mouser SKU]])</f>
        <v>https://www.mouser.com/ProductDetail/485-1465</v>
      </c>
      <c r="T490" s="94">
        <v>0</v>
      </c>
      <c r="U490" s="94">
        <v>0</v>
      </c>
      <c r="V490" s="94">
        <v>0</v>
      </c>
      <c r="W490" s="94">
        <f>MouserListTable[[#This Row],['#/Unit]]*FilterSpecs!$C$3+MouserListTable[[#This Row],[Extra]]</f>
        <v>0</v>
      </c>
      <c r="X490" s="94">
        <f>IF(MouserListTable[[#This Row],[Tag]]=FilterSpecs!$F$7,MouserListTable[[#This Row],['#/Unit]]*MouserListTable[[#This Row],[Price (USD)]],0)</f>
        <v>0</v>
      </c>
      <c r="Y490" s="94">
        <f>MouserListTable[[#This Row],[Tot '#]]*MouserListTable[[#This Row],[Price (USD)]]</f>
        <v>0</v>
      </c>
      <c r="Z490"/>
    </row>
    <row r="491" spans="1:26" s="106" customFormat="1" x14ac:dyDescent="0.25">
      <c r="A491" s="97" t="s">
        <v>890</v>
      </c>
      <c r="B491" s="97" t="s">
        <v>1878</v>
      </c>
      <c r="C491" s="78" t="s">
        <v>1892</v>
      </c>
      <c r="D491" s="81" t="str">
        <f>IF(MouserListTable[[#This Row],[Vendor]]=FilterSpecs!$A$8,MouserListTable[[#This Row],[Mouser SKU]], MouserListTable[[#This Row],[Supplier SKU]])</f>
        <v>474-PRT-08272</v>
      </c>
      <c r="E491" s="94">
        <f>MouserListTable[[#This Row],[Tot '#]]-MouserListTable[[#This Row],['# Initial]]</f>
        <v>0</v>
      </c>
      <c r="F491" s="94">
        <f>IF(AND(MouserListTable[[#This Row],[Tag]]&lt;&gt;FilterSpecs!$F$12, MouserListTable[[#This Row],[Tag]]&lt;&gt;FilterSpecs!$F$9), MouserListTable[[#This Row],['#/Unit]]*FilterSpecs!$B$3+MouserListTable[[#This Row],[Extra Initial]],0)</f>
        <v>0</v>
      </c>
      <c r="G491" s="78" t="s">
        <v>773</v>
      </c>
      <c r="H491" s="150" t="s">
        <v>774</v>
      </c>
      <c r="I491" s="78" t="s">
        <v>775</v>
      </c>
      <c r="J491" s="78">
        <v>1</v>
      </c>
      <c r="K491" s="117">
        <v>1</v>
      </c>
      <c r="L491" s="78" t="s">
        <v>1896</v>
      </c>
      <c r="M491" s="78"/>
      <c r="N491" s="154">
        <f>MouserListTable[[#This Row],['# Initial]]*MouserListTable[[#This Row],[Price (USD)]]</f>
        <v>0</v>
      </c>
      <c r="O491" s="81" t="s">
        <v>772</v>
      </c>
      <c r="P491" s="150">
        <f t="shared" si="8"/>
        <v>478</v>
      </c>
      <c r="Q491" s="78" t="s">
        <v>5</v>
      </c>
      <c r="R491"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474-PRT-08272</v>
      </c>
      <c r="S491" s="133" t="str">
        <f>HYPERLINK("https://www.mouser.com/ProductDetail/" &amp;MouserListTable[[#This Row],[Mouser SKU]])</f>
        <v>https://www.mouser.com/ProductDetail/474-PRT-08272</v>
      </c>
      <c r="T491" s="94">
        <v>0</v>
      </c>
      <c r="U491" s="94">
        <v>0</v>
      </c>
      <c r="V491" s="94">
        <v>0</v>
      </c>
      <c r="W491" s="94">
        <f>MouserListTable[[#This Row],['#/Unit]]*FilterSpecs!$C$3+MouserListTable[[#This Row],[Extra]]</f>
        <v>0</v>
      </c>
      <c r="X491" s="94">
        <f>IF(MouserListTable[[#This Row],[Tag]]=FilterSpecs!$F$7,MouserListTable[[#This Row],['#/Unit]]*MouserListTable[[#This Row],[Price (USD)]],0)</f>
        <v>0</v>
      </c>
      <c r="Y491" s="94">
        <f>MouserListTable[[#This Row],[Tot '#]]*MouserListTable[[#This Row],[Price (USD)]]</f>
        <v>0</v>
      </c>
      <c r="Z491"/>
    </row>
    <row r="492" spans="1:26" s="106" customFormat="1" x14ac:dyDescent="0.25">
      <c r="A492" s="78" t="s">
        <v>890</v>
      </c>
      <c r="B492" s="78" t="s">
        <v>1878</v>
      </c>
      <c r="C492" s="78" t="s">
        <v>1892</v>
      </c>
      <c r="D492" s="81" t="str">
        <f>IF(MouserListTable[[#This Row],[Vendor]]=FilterSpecs!$A$8,MouserListTable[[#This Row],[Mouser SKU]], MouserListTable[[#This Row],[Supplier SKU]])</f>
        <v>485-366</v>
      </c>
      <c r="E492" s="94">
        <f>MouserListTable[[#This Row],[Tot '#]]-MouserListTable[[#This Row],['# Initial]]</f>
        <v>0</v>
      </c>
      <c r="F492" s="94">
        <f>IF(AND(MouserListTable[[#This Row],[Tag]]&lt;&gt;FilterSpecs!$F$12, MouserListTable[[#This Row],[Tag]]&lt;&gt;FilterSpecs!$F$9), MouserListTable[[#This Row],['#/Unit]]*FilterSpecs!$B$3+MouserListTable[[#This Row],[Extra Initial]],0)</f>
        <v>10</v>
      </c>
      <c r="G492" s="78"/>
      <c r="H492" s="150"/>
      <c r="I492" s="78" t="s">
        <v>2141</v>
      </c>
      <c r="K492" s="117">
        <v>0.95</v>
      </c>
      <c r="L492" s="78" t="s">
        <v>1896</v>
      </c>
      <c r="M492" s="81"/>
      <c r="N492" s="154">
        <f>MouserListTable[[#This Row],['# Initial]]*MouserListTable[[#This Row],[Price (USD)]]</f>
        <v>9.5</v>
      </c>
      <c r="O492" s="81" t="s">
        <v>2140</v>
      </c>
      <c r="P492" s="150">
        <f t="shared" si="8"/>
        <v>479</v>
      </c>
      <c r="Q492" s="78" t="s">
        <v>1884</v>
      </c>
      <c r="R492"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485-366</v>
      </c>
      <c r="S492" s="133" t="str">
        <f>HYPERLINK("https://www.mouser.com/ProductDetail/" &amp;MouserListTable[[#This Row],[Mouser SKU]])</f>
        <v>https://www.mouser.com/ProductDetail/485-366</v>
      </c>
      <c r="T492" s="94">
        <v>2</v>
      </c>
      <c r="U492" s="94">
        <v>0</v>
      </c>
      <c r="V492" s="94">
        <v>0</v>
      </c>
      <c r="W492" s="94">
        <f>MouserListTable[[#This Row],['#/Unit]]*FilterSpecs!$C$3+MouserListTable[[#This Row],[Extra]]</f>
        <v>10</v>
      </c>
      <c r="X492" s="94">
        <f>IF(MouserListTable[[#This Row],[Tag]]=FilterSpecs!$F$7,MouserListTable[[#This Row],['#/Unit]]*MouserListTable[[#This Row],[Price (USD)]],0)</f>
        <v>0</v>
      </c>
      <c r="Y492" s="94">
        <f>MouserListTable[[#This Row],[Tot '#]]*MouserListTable[[#This Row],[Price (USD)]]</f>
        <v>9.5</v>
      </c>
      <c r="Z492"/>
    </row>
    <row r="493" spans="1:26" s="106" customFormat="1" x14ac:dyDescent="0.25">
      <c r="A493" s="78" t="s">
        <v>890</v>
      </c>
      <c r="B493" s="78" t="s">
        <v>1878</v>
      </c>
      <c r="C493" s="78" t="s">
        <v>1892</v>
      </c>
      <c r="D493" s="81" t="str">
        <f>IF(MouserListTable[[#This Row],[Vendor]]=FilterSpecs!$A$8,MouserListTable[[#This Row],[Mouser SKU]], MouserListTable[[#This Row],[Supplier SKU]])</f>
        <v>485-2672</v>
      </c>
      <c r="E493" s="94">
        <f>MouserListTable[[#This Row],[Tot '#]]-MouserListTable[[#This Row],['# Initial]]</f>
        <v>0</v>
      </c>
      <c r="F493" s="94">
        <f>IF(AND(MouserListTable[[#This Row],[Tag]]&lt;&gt;FilterSpecs!$F$12, MouserListTable[[#This Row],[Tag]]&lt;&gt;FilterSpecs!$F$9), MouserListTable[[#This Row],['#/Unit]]*FilterSpecs!$B$3+MouserListTable[[#This Row],[Extra Initial]],0)</f>
        <v>1</v>
      </c>
      <c r="G493" s="78"/>
      <c r="H493" s="150"/>
      <c r="I493" s="78" t="s">
        <v>2143</v>
      </c>
      <c r="K493" s="117">
        <v>3.95</v>
      </c>
      <c r="L493" s="78" t="s">
        <v>1896</v>
      </c>
      <c r="M493" s="81"/>
      <c r="N493" s="154">
        <f>MouserListTable[[#This Row],['# Initial]]*MouserListTable[[#This Row],[Price (USD)]]</f>
        <v>3.95</v>
      </c>
      <c r="O493" s="81" t="s">
        <v>2142</v>
      </c>
      <c r="P493" s="150">
        <f t="shared" si="8"/>
        <v>480</v>
      </c>
      <c r="Q493" s="78" t="s">
        <v>1884</v>
      </c>
      <c r="R493"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485-2672</v>
      </c>
      <c r="S493" s="133" t="str">
        <f>HYPERLINK("https://www.mouser.com/ProductDetail/" &amp;MouserListTable[[#This Row],[Mouser SKU]])</f>
        <v>https://www.mouser.com/ProductDetail/485-2672</v>
      </c>
      <c r="T493" s="94">
        <v>0</v>
      </c>
      <c r="U493" s="94">
        <v>1</v>
      </c>
      <c r="V493" s="94">
        <v>1</v>
      </c>
      <c r="W493" s="94">
        <f>MouserListTable[[#This Row],['#/Unit]]*FilterSpecs!$C$3+MouserListTable[[#This Row],[Extra]]</f>
        <v>1</v>
      </c>
      <c r="X493" s="94">
        <f>IF(MouserListTable[[#This Row],[Tag]]=FilterSpecs!$F$7,MouserListTable[[#This Row],['#/Unit]]*MouserListTable[[#This Row],[Price (USD)]],0)</f>
        <v>0</v>
      </c>
      <c r="Y493" s="94">
        <f>MouserListTable[[#This Row],[Tot '#]]*MouserListTable[[#This Row],[Price (USD)]]</f>
        <v>3.95</v>
      </c>
      <c r="Z493"/>
    </row>
    <row r="494" spans="1:26" s="106" customFormat="1" x14ac:dyDescent="0.25">
      <c r="A494" s="78" t="s">
        <v>890</v>
      </c>
      <c r="B494" s="78" t="s">
        <v>1876</v>
      </c>
      <c r="C494" s="78" t="s">
        <v>1892</v>
      </c>
      <c r="D494" s="81" t="str">
        <f>IF(MouserListTable[[#This Row],[Vendor]]=FilterSpecs!$A$8,MouserListTable[[#This Row],[Mouser SKU]], MouserListTable[[#This Row],[Supplier SKU]])</f>
        <v>474-COM-14087</v>
      </c>
      <c r="E494" s="94">
        <f>MouserListTable[[#This Row],[Tot '#]]-MouserListTable[[#This Row],['# Initial]]</f>
        <v>15</v>
      </c>
      <c r="F494" s="94">
        <f>IF(AND(MouserListTable[[#This Row],[Tag]]&lt;&gt;FilterSpecs!$F$12, MouserListTable[[#This Row],[Tag]]&lt;&gt;FilterSpecs!$F$9), MouserListTable[[#This Row],['#/Unit]]*FilterSpecs!$B$3+MouserListTable[[#This Row],[Extra Initial]],0)</f>
        <v>0</v>
      </c>
      <c r="G494" s="78" t="s">
        <v>817</v>
      </c>
      <c r="H494" s="150" t="s">
        <v>818</v>
      </c>
      <c r="I494" s="78" t="s">
        <v>819</v>
      </c>
      <c r="J494" s="78">
        <v>1</v>
      </c>
      <c r="K494" s="117">
        <v>1.95</v>
      </c>
      <c r="L494" s="78" t="s">
        <v>2461</v>
      </c>
      <c r="M494" s="78"/>
      <c r="N494" s="154">
        <f>MouserListTable[[#This Row],['# Initial]]*MouserListTable[[#This Row],[Price (USD)]]</f>
        <v>0</v>
      </c>
      <c r="O494" s="81" t="s">
        <v>816</v>
      </c>
      <c r="P494" s="150">
        <f t="shared" si="8"/>
        <v>481</v>
      </c>
      <c r="Q494" s="78" t="s">
        <v>5</v>
      </c>
      <c r="R494"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474-COM-14087</v>
      </c>
      <c r="S494" s="133" t="str">
        <f>HYPERLINK("https://www.mouser.com/ProductDetail/" &amp;MouserListTable[[#This Row],[Mouser SKU]])</f>
        <v>https://www.mouser.com/ProductDetail/474-COM-14087</v>
      </c>
      <c r="T494" s="94">
        <v>3</v>
      </c>
      <c r="U494" s="94">
        <v>0</v>
      </c>
      <c r="V494" s="94">
        <v>0</v>
      </c>
      <c r="W494" s="94">
        <f>MouserListTable[[#This Row],['#/Unit]]*FilterSpecs!$C$3+MouserListTable[[#This Row],[Extra]]</f>
        <v>15</v>
      </c>
      <c r="X494" s="94">
        <f>IF(MouserListTable[[#This Row],[Tag]]=FilterSpecs!$F$7,MouserListTable[[#This Row],['#/Unit]]*MouserListTable[[#This Row],[Price (USD)]],0)</f>
        <v>0</v>
      </c>
      <c r="Y494" s="94">
        <f>MouserListTable[[#This Row],[Tot '#]]*MouserListTable[[#This Row],[Price (USD)]]</f>
        <v>29.25</v>
      </c>
      <c r="Z494"/>
    </row>
    <row r="495" spans="1:26" s="153" customFormat="1" x14ac:dyDescent="0.25">
      <c r="A495" s="150" t="s">
        <v>890</v>
      </c>
      <c r="B495" s="150" t="s">
        <v>1876</v>
      </c>
      <c r="C495" s="150" t="s">
        <v>1892</v>
      </c>
      <c r="D495" s="151" t="str">
        <f>IF(MouserListTable[[#This Row],[Vendor]]=FilterSpecs!$A$8,MouserListTable[[#This Row],[Mouser SKU]], MouserListTable[[#This Row],[Supplier SKU]])</f>
        <v>474-COM-14086</v>
      </c>
      <c r="E495" s="152">
        <f>MouserListTable[[#This Row],[Tot '#]]-MouserListTable[[#This Row],['# Initial]]</f>
        <v>0</v>
      </c>
      <c r="F495" s="152">
        <f>IF(AND(MouserListTable[[#This Row],[Tag]]&lt;&gt;FilterSpecs!$F$12, MouserListTable[[#This Row],[Tag]]&lt;&gt;FilterSpecs!$F$9), MouserListTable[[#This Row],['#/Unit]]*FilterSpecs!$B$3+MouserListTable[[#This Row],[Extra Initial]],0)</f>
        <v>0</v>
      </c>
      <c r="G495" s="150"/>
      <c r="H495" s="150"/>
      <c r="I495" s="150" t="s">
        <v>2569</v>
      </c>
      <c r="J495" s="150"/>
      <c r="K495" s="154">
        <v>1.63</v>
      </c>
      <c r="L495" s="150" t="s">
        <v>1897</v>
      </c>
      <c r="M495" s="150"/>
      <c r="N495" s="154">
        <f>MouserListTable[[#This Row],['# Initial]]*MouserListTable[[#This Row],[Price (USD)]]</f>
        <v>0</v>
      </c>
      <c r="O495" s="151" t="s">
        <v>2568</v>
      </c>
      <c r="P495" s="150">
        <f t="shared" si="8"/>
        <v>482</v>
      </c>
      <c r="Q495" s="150" t="s">
        <v>5</v>
      </c>
      <c r="R49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474-COM-14086</v>
      </c>
      <c r="S495" s="157" t="str">
        <f>HYPERLINK("https://www.mouser.com/ProductDetail/" &amp;MouserListTable[[#This Row],[Mouser SKU]])</f>
        <v>https://www.mouser.com/ProductDetail/474-COM-14086</v>
      </c>
      <c r="T495" s="152">
        <v>0</v>
      </c>
      <c r="U495" s="152">
        <v>0</v>
      </c>
      <c r="V495" s="152">
        <v>0</v>
      </c>
      <c r="W495" s="152">
        <f>MouserListTable[[#This Row],['#/Unit]]*FilterSpecs!$C$3+MouserListTable[[#This Row],[Extra]]</f>
        <v>0</v>
      </c>
      <c r="X495" s="152">
        <f>IF(MouserListTable[[#This Row],[Tag]]=FilterSpecs!$F$7,MouserListTable[[#This Row],['#/Unit]]*MouserListTable[[#This Row],[Price (USD)]],0)</f>
        <v>0</v>
      </c>
      <c r="Y495" s="152">
        <f>MouserListTable[[#This Row],[Tot '#]]*MouserListTable[[#This Row],[Price (USD)]]</f>
        <v>0</v>
      </c>
      <c r="Z495" s="146"/>
    </row>
    <row r="496" spans="1:26" s="106" customFormat="1" x14ac:dyDescent="0.25">
      <c r="A496" s="97" t="s">
        <v>890</v>
      </c>
      <c r="B496" s="97" t="s">
        <v>1876</v>
      </c>
      <c r="C496" s="78" t="s">
        <v>1892</v>
      </c>
      <c r="D496" s="81" t="str">
        <f>IF(MouserListTable[[#This Row],[Vendor]]=FilterSpecs!$A$8,MouserListTable[[#This Row],[Mouser SKU]], MouserListTable[[#This Row],[Supplier SKU]])</f>
        <v>474-COM-14085</v>
      </c>
      <c r="E496" s="94">
        <f>MouserListTable[[#This Row],[Tot '#]]-MouserListTable[[#This Row],['# Initial]]</f>
        <v>0</v>
      </c>
      <c r="F496" s="94">
        <f>IF(AND(MouserListTable[[#This Row],[Tag]]&lt;&gt;FilterSpecs!$F$12, MouserListTable[[#This Row],[Tag]]&lt;&gt;FilterSpecs!$F$9), MouserListTable[[#This Row],['#/Unit]]*FilterSpecs!$B$3+MouserListTable[[#This Row],[Extra Initial]],0)</f>
        <v>25</v>
      </c>
      <c r="G496" s="78" t="s">
        <v>813</v>
      </c>
      <c r="H496" s="150" t="s">
        <v>814</v>
      </c>
      <c r="I496" s="78" t="s">
        <v>815</v>
      </c>
      <c r="J496" s="78">
        <v>1</v>
      </c>
      <c r="K496" s="117">
        <v>0.95</v>
      </c>
      <c r="L496" s="78" t="s">
        <v>1896</v>
      </c>
      <c r="M496" s="78"/>
      <c r="N496" s="154">
        <f>MouserListTable[[#This Row],['# Initial]]*MouserListTable[[#This Row],[Price (USD)]]</f>
        <v>23.75</v>
      </c>
      <c r="O496" s="81" t="s">
        <v>812</v>
      </c>
      <c r="P496" s="150">
        <f t="shared" si="8"/>
        <v>483</v>
      </c>
      <c r="Q496" s="78" t="s">
        <v>5</v>
      </c>
      <c r="R496"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474-COM-14085</v>
      </c>
      <c r="S496" s="133" t="str">
        <f>HYPERLINK("https://www.mouser.com/ProductDetail/" &amp;MouserListTable[[#This Row],[Mouser SKU]])</f>
        <v>https://www.mouser.com/ProductDetail/474-COM-14085</v>
      </c>
      <c r="T496" s="94">
        <v>5</v>
      </c>
      <c r="U496" s="94">
        <v>0</v>
      </c>
      <c r="V496" s="94">
        <v>0</v>
      </c>
      <c r="W496" s="94">
        <f>MouserListTable[[#This Row],['#/Unit]]*FilterSpecs!$C$3+MouserListTable[[#This Row],[Extra]]</f>
        <v>25</v>
      </c>
      <c r="X496" s="94">
        <f>IF(MouserListTable[[#This Row],[Tag]]=FilterSpecs!$F$7,MouserListTable[[#This Row],['#/Unit]]*MouserListTable[[#This Row],[Price (USD)]],0)</f>
        <v>0</v>
      </c>
      <c r="Y496" s="94">
        <f>MouserListTable[[#This Row],[Tot '#]]*MouserListTable[[#This Row],[Price (USD)]]</f>
        <v>23.75</v>
      </c>
      <c r="Z496"/>
    </row>
    <row r="497" spans="1:26" s="104" customFormat="1" x14ac:dyDescent="0.25">
      <c r="A497" s="81" t="s">
        <v>890</v>
      </c>
      <c r="B497" s="81" t="s">
        <v>2002</v>
      </c>
      <c r="C497" s="78" t="s">
        <v>1892</v>
      </c>
      <c r="D497" s="81" t="str">
        <f>IF(MouserListTable[[#This Row],[Vendor]]=FilterSpecs!$A$8,MouserListTable[[#This Row],[Mouser SKU]], MouserListTable[[#This Row],[Supplier SKU]])</f>
        <v>485-3145</v>
      </c>
      <c r="E497" s="94">
        <f>MouserListTable[[#This Row],[Tot '#]]-MouserListTable[[#This Row],['# Initial]]</f>
        <v>0</v>
      </c>
      <c r="F497" s="94">
        <f>IF(AND(MouserListTable[[#This Row],[Tag]]&lt;&gt;FilterSpecs!$F$12, MouserListTable[[#This Row],[Tag]]&lt;&gt;FilterSpecs!$F$9), MouserListTable[[#This Row],['#/Unit]]*FilterSpecs!$B$3+MouserListTable[[#This Row],[Extra Initial]],0)</f>
        <v>3</v>
      </c>
      <c r="G497" s="78"/>
      <c r="H497" s="150"/>
      <c r="I497" s="81" t="s">
        <v>2181</v>
      </c>
      <c r="J497" s="106"/>
      <c r="K497" s="117">
        <v>1.95</v>
      </c>
      <c r="L497" s="81" t="s">
        <v>1896</v>
      </c>
      <c r="M497" s="81"/>
      <c r="N497" s="154">
        <f>MouserListTable[[#This Row],['# Initial]]*MouserListTable[[#This Row],[Price (USD)]]</f>
        <v>5.85</v>
      </c>
      <c r="O497" s="81" t="s">
        <v>2180</v>
      </c>
      <c r="P497" s="150">
        <f t="shared" si="8"/>
        <v>484</v>
      </c>
      <c r="Q497" s="78" t="s">
        <v>1884</v>
      </c>
      <c r="R497"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485-3145</v>
      </c>
      <c r="S497" s="133" t="str">
        <f>HYPERLINK("https://www.mouser.com/ProductDetail/" &amp;MouserListTable[[#This Row],[Mouser SKU]])</f>
        <v>https://www.mouser.com/ProductDetail/485-3145</v>
      </c>
      <c r="T497" s="94">
        <v>0</v>
      </c>
      <c r="U497" s="94">
        <v>3</v>
      </c>
      <c r="V497" s="94">
        <v>3</v>
      </c>
      <c r="W497" s="94">
        <f>MouserListTable[[#This Row],['#/Unit]]*FilterSpecs!$C$3+MouserListTable[[#This Row],[Extra]]</f>
        <v>3</v>
      </c>
      <c r="X497" s="94">
        <f>IF(MouserListTable[[#This Row],[Tag]]=FilterSpecs!$F$7,MouserListTable[[#This Row],['#/Unit]]*MouserListTable[[#This Row],[Price (USD)]],0)</f>
        <v>0</v>
      </c>
      <c r="Y497" s="94">
        <f>MouserListTable[[#This Row],[Tot '#]]*MouserListTable[[#This Row],[Price (USD)]]</f>
        <v>5.85</v>
      </c>
      <c r="Z497"/>
    </row>
    <row r="498" spans="1:26" s="104" customFormat="1" x14ac:dyDescent="0.25">
      <c r="A498" s="81" t="s">
        <v>890</v>
      </c>
      <c r="B498" s="81" t="s">
        <v>2002</v>
      </c>
      <c r="C498" s="78" t="s">
        <v>1892</v>
      </c>
      <c r="D498" s="81" t="str">
        <f>IF(MouserListTable[[#This Row],[Vendor]]=FilterSpecs!$A$8,MouserListTable[[#This Row],[Mouser SKU]], MouserListTable[[#This Row],[Supplier SKU]])</f>
        <v>485-3144</v>
      </c>
      <c r="E498" s="94">
        <f>MouserListTable[[#This Row],[Tot '#]]-MouserListTable[[#This Row],['# Initial]]</f>
        <v>0</v>
      </c>
      <c r="F498" s="94">
        <f>IF(AND(MouserListTable[[#This Row],[Tag]]&lt;&gt;FilterSpecs!$F$12, MouserListTable[[#This Row],[Tag]]&lt;&gt;FilterSpecs!$F$9), MouserListTable[[#This Row],['#/Unit]]*FilterSpecs!$B$3+MouserListTable[[#This Row],[Extra Initial]],0)</f>
        <v>1</v>
      </c>
      <c r="G498" s="78"/>
      <c r="H498" s="150"/>
      <c r="I498" s="81" t="s">
        <v>2171</v>
      </c>
      <c r="J498" s="106"/>
      <c r="K498" s="117">
        <v>3.95</v>
      </c>
      <c r="L498" s="81" t="s">
        <v>1896</v>
      </c>
      <c r="M498" s="81"/>
      <c r="N498" s="154">
        <f>MouserListTable[[#This Row],['# Initial]]*MouserListTable[[#This Row],[Price (USD)]]</f>
        <v>3.95</v>
      </c>
      <c r="O498" s="81" t="s">
        <v>2170</v>
      </c>
      <c r="P498" s="150">
        <f t="shared" si="8"/>
        <v>485</v>
      </c>
      <c r="Q498" s="78" t="s">
        <v>1884</v>
      </c>
      <c r="R498"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485-3144</v>
      </c>
      <c r="S498" s="133" t="str">
        <f>HYPERLINK("https://www.mouser.com/ProductDetail/" &amp;MouserListTable[[#This Row],[Mouser SKU]])</f>
        <v>https://www.mouser.com/ProductDetail/485-3144</v>
      </c>
      <c r="T498" s="94">
        <v>0</v>
      </c>
      <c r="U498" s="94">
        <v>1</v>
      </c>
      <c r="V498" s="94">
        <v>1</v>
      </c>
      <c r="W498" s="94">
        <f>MouserListTable[[#This Row],['#/Unit]]*FilterSpecs!$C$3+MouserListTable[[#This Row],[Extra]]</f>
        <v>1</v>
      </c>
      <c r="X498" s="94">
        <f>IF(MouserListTable[[#This Row],[Tag]]=FilterSpecs!$F$7,MouserListTable[[#This Row],['#/Unit]]*MouserListTable[[#This Row],[Price (USD)]],0)</f>
        <v>0</v>
      </c>
      <c r="Y498" s="94">
        <f>MouserListTable[[#This Row],[Tot '#]]*MouserListTable[[#This Row],[Price (USD)]]</f>
        <v>3.95</v>
      </c>
      <c r="Z498"/>
    </row>
    <row r="499" spans="1:26" s="104" customFormat="1" x14ac:dyDescent="0.25">
      <c r="A499" s="81" t="s">
        <v>890</v>
      </c>
      <c r="B499" s="81" t="s">
        <v>2002</v>
      </c>
      <c r="C499" s="78" t="s">
        <v>1892</v>
      </c>
      <c r="D499" s="81" t="str">
        <f>IF(MouserListTable[[#This Row],[Vendor]]=FilterSpecs!$A$8,MouserListTable[[#This Row],[Mouser SKU]], MouserListTable[[#This Row],[Supplier SKU]])</f>
        <v>485-3143</v>
      </c>
      <c r="E499" s="94">
        <f>MouserListTable[[#This Row],[Tot '#]]-MouserListTable[[#This Row],['# Initial]]</f>
        <v>0</v>
      </c>
      <c r="F499" s="94">
        <f>IF(AND(MouserListTable[[#This Row],[Tag]]&lt;&gt;FilterSpecs!$F$12, MouserListTable[[#This Row],[Tag]]&lt;&gt;FilterSpecs!$F$9), MouserListTable[[#This Row],['#/Unit]]*FilterSpecs!$B$3+MouserListTable[[#This Row],[Extra Initial]],0)</f>
        <v>2</v>
      </c>
      <c r="G499" s="78"/>
      <c r="H499" s="150"/>
      <c r="I499" s="81" t="s">
        <v>2179</v>
      </c>
      <c r="J499" s="106"/>
      <c r="K499" s="117">
        <v>1.95</v>
      </c>
      <c r="L499" s="81" t="s">
        <v>1896</v>
      </c>
      <c r="M499" s="81"/>
      <c r="N499" s="154">
        <f>MouserListTable[[#This Row],['# Initial]]*MouserListTable[[#This Row],[Price (USD)]]</f>
        <v>3.9</v>
      </c>
      <c r="O499" s="81" t="s">
        <v>2178</v>
      </c>
      <c r="P499" s="150">
        <f t="shared" si="8"/>
        <v>486</v>
      </c>
      <c r="Q499" s="78" t="s">
        <v>1884</v>
      </c>
      <c r="R499"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485-3143</v>
      </c>
      <c r="S499" s="133" t="str">
        <f>HYPERLINK("https://www.mouser.com/ProductDetail/" &amp;MouserListTable[[#This Row],[Mouser SKU]])</f>
        <v>https://www.mouser.com/ProductDetail/485-3143</v>
      </c>
      <c r="T499" s="94">
        <v>0</v>
      </c>
      <c r="U499" s="94">
        <v>2</v>
      </c>
      <c r="V499" s="94">
        <v>2</v>
      </c>
      <c r="W499" s="94">
        <f>MouserListTable[[#This Row],['#/Unit]]*FilterSpecs!$C$3+MouserListTable[[#This Row],[Extra]]</f>
        <v>2</v>
      </c>
      <c r="X499" s="94">
        <f>IF(MouserListTable[[#This Row],[Tag]]=FilterSpecs!$F$7,MouserListTable[[#This Row],['#/Unit]]*MouserListTable[[#This Row],[Price (USD)]],0)</f>
        <v>0</v>
      </c>
      <c r="Y499" s="94">
        <f>MouserListTable[[#This Row],[Tot '#]]*MouserListTable[[#This Row],[Price (USD)]]</f>
        <v>3.9</v>
      </c>
      <c r="Z499"/>
    </row>
    <row r="500" spans="1:26" s="104" customFormat="1" x14ac:dyDescent="0.25">
      <c r="A500" s="81" t="s">
        <v>890</v>
      </c>
      <c r="B500" s="81" t="s">
        <v>2002</v>
      </c>
      <c r="C500" s="78" t="s">
        <v>1892</v>
      </c>
      <c r="D500" s="81" t="str">
        <f>IF(MouserListTable[[#This Row],[Vendor]]=FilterSpecs!$A$8,MouserListTable[[#This Row],[Mouser SKU]], MouserListTable[[#This Row],[Supplier SKU]])</f>
        <v>485-3146</v>
      </c>
      <c r="E500" s="94">
        <f>MouserListTable[[#This Row],[Tot '#]]-MouserListTable[[#This Row],['# Initial]]</f>
        <v>0</v>
      </c>
      <c r="F500" s="94">
        <f>IF(AND(MouserListTable[[#This Row],[Tag]]&lt;&gt;FilterSpecs!$F$12, MouserListTable[[#This Row],[Tag]]&lt;&gt;FilterSpecs!$F$9), MouserListTable[[#This Row],['#/Unit]]*FilterSpecs!$B$3+MouserListTable[[#This Row],[Extra Initial]],0)</f>
        <v>1</v>
      </c>
      <c r="G500" s="78"/>
      <c r="H500" s="150"/>
      <c r="I500" s="81" t="s">
        <v>2173</v>
      </c>
      <c r="J500" s="106"/>
      <c r="K500" s="117">
        <v>2.95</v>
      </c>
      <c r="L500" s="81" t="s">
        <v>1896</v>
      </c>
      <c r="M500" s="81"/>
      <c r="N500" s="154">
        <f>MouserListTable[[#This Row],['# Initial]]*MouserListTable[[#This Row],[Price (USD)]]</f>
        <v>2.95</v>
      </c>
      <c r="O500" s="81" t="s">
        <v>2172</v>
      </c>
      <c r="P500" s="150">
        <f t="shared" si="8"/>
        <v>487</v>
      </c>
      <c r="Q500" s="78" t="s">
        <v>1884</v>
      </c>
      <c r="R500"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485-3146</v>
      </c>
      <c r="S500" s="133" t="str">
        <f>HYPERLINK("https://www.mouser.com/ProductDetail/" &amp;MouserListTable[[#This Row],[Mouser SKU]])</f>
        <v>https://www.mouser.com/ProductDetail/485-3146</v>
      </c>
      <c r="T500" s="94">
        <v>0</v>
      </c>
      <c r="U500" s="94">
        <v>1</v>
      </c>
      <c r="V500" s="94">
        <v>1</v>
      </c>
      <c r="W500" s="94">
        <f>MouserListTable[[#This Row],['#/Unit]]*FilterSpecs!$C$3+MouserListTable[[#This Row],[Extra]]</f>
        <v>1</v>
      </c>
      <c r="X500" s="94">
        <f>IF(MouserListTable[[#This Row],[Tag]]=FilterSpecs!$F$7,MouserListTable[[#This Row],['#/Unit]]*MouserListTable[[#This Row],[Price (USD)]],0)</f>
        <v>0</v>
      </c>
      <c r="Y500" s="94">
        <f>MouserListTable[[#This Row],[Tot '#]]*MouserListTable[[#This Row],[Price (USD)]]</f>
        <v>2.95</v>
      </c>
      <c r="Z500"/>
    </row>
    <row r="501" spans="1:26" s="104" customFormat="1" x14ac:dyDescent="0.25">
      <c r="A501" s="81" t="s">
        <v>890</v>
      </c>
      <c r="B501" s="81" t="s">
        <v>2002</v>
      </c>
      <c r="C501" s="78" t="s">
        <v>1892</v>
      </c>
      <c r="D501" s="81" t="str">
        <f>IF(MouserListTable[[#This Row],[Vendor]]=FilterSpecs!$A$8,MouserListTable[[#This Row],[Mouser SKU]], MouserListTable[[#This Row],[Supplier SKU]])</f>
        <v>485-3141</v>
      </c>
      <c r="E501" s="94">
        <f>MouserListTable[[#This Row],[Tot '#]]-MouserListTable[[#This Row],['# Initial]]</f>
        <v>5</v>
      </c>
      <c r="F501" s="94">
        <f>IF(AND(MouserListTable[[#This Row],[Tag]]&lt;&gt;FilterSpecs!$F$12, MouserListTable[[#This Row],[Tag]]&lt;&gt;FilterSpecs!$F$9), MouserListTable[[#This Row],['#/Unit]]*FilterSpecs!$B$3+MouserListTable[[#This Row],[Extra Initial]],0)</f>
        <v>5</v>
      </c>
      <c r="G501" s="78"/>
      <c r="H501" s="150"/>
      <c r="I501" s="81" t="s">
        <v>2175</v>
      </c>
      <c r="J501" s="106"/>
      <c r="K501" s="117">
        <v>2.95</v>
      </c>
      <c r="L501" s="81" t="s">
        <v>1897</v>
      </c>
      <c r="M501" s="81"/>
      <c r="N501" s="154">
        <f>MouserListTable[[#This Row],['# Initial]]*MouserListTable[[#This Row],[Price (USD)]]</f>
        <v>14.75</v>
      </c>
      <c r="O501" s="81" t="s">
        <v>2174</v>
      </c>
      <c r="P501" s="150">
        <f t="shared" si="8"/>
        <v>488</v>
      </c>
      <c r="Q501" s="78" t="s">
        <v>1884</v>
      </c>
      <c r="R501"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485-3141</v>
      </c>
      <c r="S501" s="133" t="str">
        <f>HYPERLINK("https://www.mouser.com/ProductDetail/" &amp;MouserListTable[[#This Row],[Mouser SKU]])</f>
        <v>https://www.mouser.com/ProductDetail/485-3141</v>
      </c>
      <c r="T501" s="94">
        <v>1</v>
      </c>
      <c r="U501" s="94">
        <v>5</v>
      </c>
      <c r="V501" s="94">
        <v>0</v>
      </c>
      <c r="W501" s="94">
        <f>MouserListTable[[#This Row],['#/Unit]]*FilterSpecs!$C$3+MouserListTable[[#This Row],[Extra]]</f>
        <v>10</v>
      </c>
      <c r="X501" s="94">
        <f>IF(MouserListTable[[#This Row],[Tag]]=FilterSpecs!$F$7,MouserListTable[[#This Row],['#/Unit]]*MouserListTable[[#This Row],[Price (USD)]],0)</f>
        <v>2.95</v>
      </c>
      <c r="Y501" s="94">
        <f>MouserListTable[[#This Row],[Tot '#]]*MouserListTable[[#This Row],[Price (USD)]]</f>
        <v>29.5</v>
      </c>
      <c r="Z501"/>
    </row>
    <row r="502" spans="1:26" s="104" customFormat="1" x14ac:dyDescent="0.25">
      <c r="A502" s="81" t="s">
        <v>890</v>
      </c>
      <c r="B502" s="81" t="s">
        <v>2002</v>
      </c>
      <c r="C502" s="78" t="s">
        <v>1892</v>
      </c>
      <c r="D502" s="81" t="str">
        <f>IF(MouserListTable[[#This Row],[Vendor]]=FilterSpecs!$A$8,MouserListTable[[#This Row],[Mouser SKU]], MouserListTable[[#This Row],[Supplier SKU]])</f>
        <v>485-3142</v>
      </c>
      <c r="E502" s="94">
        <f>MouserListTable[[#This Row],[Tot '#]]-MouserListTable[[#This Row],['# Initial]]</f>
        <v>5</v>
      </c>
      <c r="F502" s="94">
        <f>IF(AND(MouserListTable[[#This Row],[Tag]]&lt;&gt;FilterSpecs!$F$12, MouserListTable[[#This Row],[Tag]]&lt;&gt;FilterSpecs!$F$9), MouserListTable[[#This Row],['#/Unit]]*FilterSpecs!$B$3+MouserListTable[[#This Row],[Extra Initial]],0)</f>
        <v>5</v>
      </c>
      <c r="G502" s="78"/>
      <c r="H502" s="150"/>
      <c r="I502" s="81" t="s">
        <v>2177</v>
      </c>
      <c r="J502" s="106"/>
      <c r="K502" s="117">
        <v>3.95</v>
      </c>
      <c r="L502" s="81" t="s">
        <v>1897</v>
      </c>
      <c r="M502" s="81"/>
      <c r="N502" s="154">
        <f>MouserListTable[[#This Row],['# Initial]]*MouserListTable[[#This Row],[Price (USD)]]</f>
        <v>19.75</v>
      </c>
      <c r="O502" s="81" t="s">
        <v>2176</v>
      </c>
      <c r="P502" s="150">
        <f t="shared" si="8"/>
        <v>489</v>
      </c>
      <c r="Q502" s="78" t="s">
        <v>1884</v>
      </c>
      <c r="R502"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485-3142</v>
      </c>
      <c r="S502" s="133" t="str">
        <f>HYPERLINK("https://www.mouser.com/ProductDetail/" &amp;MouserListTable[[#This Row],[Mouser SKU]])</f>
        <v>https://www.mouser.com/ProductDetail/485-3142</v>
      </c>
      <c r="T502" s="94">
        <v>1</v>
      </c>
      <c r="U502" s="94">
        <v>5</v>
      </c>
      <c r="V502" s="94">
        <v>0</v>
      </c>
      <c r="W502" s="94">
        <f>MouserListTable[[#This Row],['#/Unit]]*FilterSpecs!$C$3+MouserListTable[[#This Row],[Extra]]</f>
        <v>10</v>
      </c>
      <c r="X502" s="94">
        <f>IF(MouserListTable[[#This Row],[Tag]]=FilterSpecs!$F$7,MouserListTable[[#This Row],['#/Unit]]*MouserListTable[[#This Row],[Price (USD)]],0)</f>
        <v>3.95</v>
      </c>
      <c r="Y502" s="94">
        <f>MouserListTable[[#This Row],[Tot '#]]*MouserListTable[[#This Row],[Price (USD)]]</f>
        <v>39.5</v>
      </c>
      <c r="Z502"/>
    </row>
    <row r="503" spans="1:26" s="104" customFormat="1" x14ac:dyDescent="0.25">
      <c r="A503" s="106" t="s">
        <v>890</v>
      </c>
      <c r="B503" s="106" t="s">
        <v>2408</v>
      </c>
      <c r="C503" s="78" t="s">
        <v>1892</v>
      </c>
      <c r="D503" s="81" t="str">
        <f>IF(MouserListTable[[#This Row],[Vendor]]=FilterSpecs!$A$8,MouserListTable[[#This Row],[Mouser SKU]], MouserListTable[[#This Row],[Supplier SKU]])</f>
        <v>474-PRT-08671</v>
      </c>
      <c r="E503" s="94">
        <f>MouserListTable[[#This Row],[Tot '#]]-MouserListTable[[#This Row],['# Initial]]</f>
        <v>0</v>
      </c>
      <c r="F503" s="94">
        <f>IF(AND(MouserListTable[[#This Row],[Tag]]&lt;&gt;FilterSpecs!$F$12, MouserListTable[[#This Row],[Tag]]&lt;&gt;FilterSpecs!$F$9), MouserListTable[[#This Row],['#/Unit]]*FilterSpecs!$B$3+MouserListTable[[#This Row],[Extra Initial]],0)</f>
        <v>0</v>
      </c>
      <c r="G503" s="78" t="s">
        <v>589</v>
      </c>
      <c r="H503" s="150" t="s">
        <v>590</v>
      </c>
      <c r="I503" s="81" t="s">
        <v>591</v>
      </c>
      <c r="J503" s="78">
        <v>1</v>
      </c>
      <c r="K503" s="117">
        <v>0.95</v>
      </c>
      <c r="L503" s="81" t="s">
        <v>1896</v>
      </c>
      <c r="M503" s="78" t="s">
        <v>2373</v>
      </c>
      <c r="N503" s="154">
        <f>MouserListTable[[#This Row],['# Initial]]*MouserListTable[[#This Row],[Price (USD)]]</f>
        <v>0</v>
      </c>
      <c r="O503" s="81" t="s">
        <v>588</v>
      </c>
      <c r="P503" s="150">
        <f t="shared" si="8"/>
        <v>490</v>
      </c>
      <c r="Q503" s="78" t="s">
        <v>5</v>
      </c>
      <c r="R503"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474-PRT-08671</v>
      </c>
      <c r="S503" s="133" t="str">
        <f>HYPERLINK("https://www.mouser.com/ProductDetail/" &amp;MouserListTable[[#This Row],[Mouser SKU]])</f>
        <v>https://www.mouser.com/ProductDetail/474-PRT-08671</v>
      </c>
      <c r="T503" s="94">
        <v>0</v>
      </c>
      <c r="U503" s="94">
        <v>0</v>
      </c>
      <c r="V503" s="94">
        <v>0</v>
      </c>
      <c r="W503" s="94">
        <f>MouserListTable[[#This Row],['#/Unit]]*FilterSpecs!$C$3+MouserListTable[[#This Row],[Extra]]</f>
        <v>0</v>
      </c>
      <c r="X503" s="94">
        <f>IF(MouserListTable[[#This Row],[Tag]]=FilterSpecs!$F$7,MouserListTable[[#This Row],['#/Unit]]*MouserListTable[[#This Row],[Price (USD)]],0)</f>
        <v>0</v>
      </c>
      <c r="Y503" s="94">
        <f>MouserListTable[[#This Row],[Tot '#]]*MouserListTable[[#This Row],[Price (USD)]]</f>
        <v>0</v>
      </c>
      <c r="Z503"/>
    </row>
    <row r="504" spans="1:26" s="104" customFormat="1" x14ac:dyDescent="0.25">
      <c r="A504" s="106" t="s">
        <v>890</v>
      </c>
      <c r="B504" s="106" t="s">
        <v>2408</v>
      </c>
      <c r="C504" s="78" t="s">
        <v>1892</v>
      </c>
      <c r="D504" s="81" t="str">
        <f>IF(MouserListTable[[#This Row],[Vendor]]=FilterSpecs!$A$8,MouserListTable[[#This Row],[Mouser SKU]], MouserListTable[[#This Row],[Supplier SKU]])</f>
        <v>474-PRT-08670</v>
      </c>
      <c r="E504" s="94">
        <f>MouserListTable[[#This Row],[Tot '#]]-MouserListTable[[#This Row],['# Initial]]</f>
        <v>0</v>
      </c>
      <c r="F504" s="94">
        <f>IF(AND(MouserListTable[[#This Row],[Tag]]&lt;&gt;FilterSpecs!$F$12, MouserListTable[[#This Row],[Tag]]&lt;&gt;FilterSpecs!$F$9), MouserListTable[[#This Row],['#/Unit]]*FilterSpecs!$B$3+MouserListTable[[#This Row],[Extra Initial]],0)</f>
        <v>0</v>
      </c>
      <c r="G504" s="78" t="s">
        <v>585</v>
      </c>
      <c r="H504" s="150" t="s">
        <v>586</v>
      </c>
      <c r="I504" s="81" t="s">
        <v>587</v>
      </c>
      <c r="J504" s="78">
        <v>1</v>
      </c>
      <c r="K504" s="117">
        <v>0.95</v>
      </c>
      <c r="L504" s="81" t="s">
        <v>1896</v>
      </c>
      <c r="M504" s="78" t="s">
        <v>2373</v>
      </c>
      <c r="N504" s="154">
        <f>MouserListTable[[#This Row],['# Initial]]*MouserListTable[[#This Row],[Price (USD)]]</f>
        <v>0</v>
      </c>
      <c r="O504" s="81" t="s">
        <v>584</v>
      </c>
      <c r="P504" s="150">
        <f t="shared" si="8"/>
        <v>491</v>
      </c>
      <c r="Q504" s="78" t="s">
        <v>5</v>
      </c>
      <c r="R504"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474-PRT-08670</v>
      </c>
      <c r="S504" s="133" t="str">
        <f>HYPERLINK("https://www.mouser.com/ProductDetail/" &amp;MouserListTable[[#This Row],[Mouser SKU]])</f>
        <v>https://www.mouser.com/ProductDetail/474-PRT-08670</v>
      </c>
      <c r="T504" s="94">
        <v>0</v>
      </c>
      <c r="U504" s="94">
        <v>0</v>
      </c>
      <c r="V504" s="94">
        <v>0</v>
      </c>
      <c r="W504" s="94">
        <f>MouserListTable[[#This Row],['#/Unit]]*FilterSpecs!$C$3+MouserListTable[[#This Row],[Extra]]</f>
        <v>0</v>
      </c>
      <c r="X504" s="94">
        <f>IF(MouserListTable[[#This Row],[Tag]]=FilterSpecs!$F$7,MouserListTable[[#This Row],['#/Unit]]*MouserListTable[[#This Row],[Price (USD)]],0)</f>
        <v>0</v>
      </c>
      <c r="Y504" s="94">
        <f>MouserListTable[[#This Row],[Tot '#]]*MouserListTable[[#This Row],[Price (USD)]]</f>
        <v>0</v>
      </c>
      <c r="Z504"/>
    </row>
    <row r="505" spans="1:26" s="104" customFormat="1" x14ac:dyDescent="0.25">
      <c r="A505" s="81" t="s">
        <v>890</v>
      </c>
      <c r="B505" s="81" t="s">
        <v>2408</v>
      </c>
      <c r="C505" s="78" t="s">
        <v>1892</v>
      </c>
      <c r="D505" s="81" t="str">
        <f>IF(MouserListTable[[#This Row],[Vendor]]=FilterSpecs!$A$8,MouserListTable[[#This Row],[Mouser SKU]], MouserListTable[[#This Row],[Supplier SKU]])</f>
        <v>474-PRT-09914</v>
      </c>
      <c r="E505" s="94">
        <f>MouserListTable[[#This Row],[Tot '#]]-MouserListTable[[#This Row],['# Initial]]</f>
        <v>0</v>
      </c>
      <c r="F505" s="94">
        <f>IF(AND(MouserListTable[[#This Row],[Tag]]&lt;&gt;FilterSpecs!$F$12, MouserListTable[[#This Row],[Tag]]&lt;&gt;FilterSpecs!$F$9), MouserListTable[[#This Row],['#/Unit]]*FilterSpecs!$B$3+MouserListTable[[#This Row],[Extra Initial]],0)</f>
        <v>10</v>
      </c>
      <c r="G505" s="78" t="s">
        <v>505</v>
      </c>
      <c r="H505" s="150" t="s">
        <v>506</v>
      </c>
      <c r="I505" s="81" t="s">
        <v>507</v>
      </c>
      <c r="J505" s="78">
        <v>1</v>
      </c>
      <c r="K505" s="117">
        <v>0.95</v>
      </c>
      <c r="L505" s="81" t="s">
        <v>1897</v>
      </c>
      <c r="M505" s="78" t="s">
        <v>2373</v>
      </c>
      <c r="N505" s="154">
        <f>MouserListTable[[#This Row],['# Initial]]*MouserListTable[[#This Row],[Price (USD)]]</f>
        <v>9.5</v>
      </c>
      <c r="O505" s="81" t="s">
        <v>504</v>
      </c>
      <c r="P505" s="150">
        <f t="shared" si="8"/>
        <v>492</v>
      </c>
      <c r="Q505" s="78" t="s">
        <v>5</v>
      </c>
      <c r="R505"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474-PRT-09914</v>
      </c>
      <c r="S505" s="133" t="str">
        <f>HYPERLINK("https://www.mouser.com/ProductDetail/" &amp;MouserListTable[[#This Row],[Mouser SKU]])</f>
        <v>https://www.mouser.com/ProductDetail/474-PRT-09914</v>
      </c>
      <c r="T505" s="94">
        <v>2</v>
      </c>
      <c r="U505" s="94">
        <v>0</v>
      </c>
      <c r="V505" s="94">
        <v>0</v>
      </c>
      <c r="W505" s="94">
        <f>MouserListTable[[#This Row],['#/Unit]]*FilterSpecs!$C$3+MouserListTable[[#This Row],[Extra]]</f>
        <v>10</v>
      </c>
      <c r="X505" s="94">
        <f>IF(MouserListTable[[#This Row],[Tag]]=FilterSpecs!$F$7,MouserListTable[[#This Row],['#/Unit]]*MouserListTable[[#This Row],[Price (USD)]],0)</f>
        <v>1.9</v>
      </c>
      <c r="Y505" s="94">
        <f>MouserListTable[[#This Row],[Tot '#]]*MouserListTable[[#This Row],[Price (USD)]]</f>
        <v>9.5</v>
      </c>
      <c r="Z505"/>
    </row>
    <row r="506" spans="1:26" s="104" customFormat="1" x14ac:dyDescent="0.25">
      <c r="A506" s="81" t="s">
        <v>890</v>
      </c>
      <c r="B506" s="81" t="s">
        <v>2408</v>
      </c>
      <c r="C506" s="78" t="s">
        <v>1892</v>
      </c>
      <c r="D506" s="81" t="str">
        <f>IF(MouserListTable[[#This Row],[Vendor]]=FilterSpecs!$A$8,MouserListTable[[#This Row],[Mouser SKU]], MouserListTable[[#This Row],[Supplier SKU]])</f>
        <v>474-PRT-09915</v>
      </c>
      <c r="E506" s="94">
        <f>MouserListTable[[#This Row],[Tot '#]]-MouserListTable[[#This Row],['# Initial]]</f>
        <v>0</v>
      </c>
      <c r="F506" s="94">
        <f>IF(AND(MouserListTable[[#This Row],[Tag]]&lt;&gt;FilterSpecs!$F$12, MouserListTable[[#This Row],[Tag]]&lt;&gt;FilterSpecs!$F$9), MouserListTable[[#This Row],['#/Unit]]*FilterSpecs!$B$3+MouserListTable[[#This Row],[Extra Initial]],0)</f>
        <v>5</v>
      </c>
      <c r="G506" s="78" t="s">
        <v>1341</v>
      </c>
      <c r="H506" s="150" t="s">
        <v>1342</v>
      </c>
      <c r="I506" s="81" t="s">
        <v>1343</v>
      </c>
      <c r="J506" s="78">
        <v>1</v>
      </c>
      <c r="K506" s="117">
        <v>1.5</v>
      </c>
      <c r="L506" s="81" t="s">
        <v>1897</v>
      </c>
      <c r="M506" s="78" t="s">
        <v>2373</v>
      </c>
      <c r="N506" s="154">
        <f>MouserListTable[[#This Row],['# Initial]]*MouserListTable[[#This Row],[Price (USD)]]</f>
        <v>7.5</v>
      </c>
      <c r="O506" s="81" t="s">
        <v>1340</v>
      </c>
      <c r="P506" s="150">
        <f t="shared" si="8"/>
        <v>493</v>
      </c>
      <c r="Q506" s="78" t="s">
        <v>5</v>
      </c>
      <c r="R506"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474-PRT-09915</v>
      </c>
      <c r="S506" s="133" t="str">
        <f>HYPERLINK("https://www.mouser.com/ProductDetail/" &amp;MouserListTable[[#This Row],[Mouser SKU]])</f>
        <v>https://www.mouser.com/ProductDetail/474-PRT-09915</v>
      </c>
      <c r="T506" s="94">
        <v>1</v>
      </c>
      <c r="U506" s="94">
        <v>0</v>
      </c>
      <c r="V506" s="94">
        <v>0</v>
      </c>
      <c r="W506" s="94">
        <f>MouserListTable[[#This Row],['#/Unit]]*FilterSpecs!$C$3+MouserListTable[[#This Row],[Extra]]</f>
        <v>5</v>
      </c>
      <c r="X506" s="94">
        <f>IF(MouserListTable[[#This Row],[Tag]]=FilterSpecs!$F$7,MouserListTable[[#This Row],['#/Unit]]*MouserListTable[[#This Row],[Price (USD)]],0)</f>
        <v>1.5</v>
      </c>
      <c r="Y506" s="94">
        <f>MouserListTable[[#This Row],[Tot '#]]*MouserListTable[[#This Row],[Price (USD)]]</f>
        <v>7.5</v>
      </c>
      <c r="Z506"/>
    </row>
    <row r="507" spans="1:26" s="104" customFormat="1" x14ac:dyDescent="0.25">
      <c r="A507" s="81" t="s">
        <v>890</v>
      </c>
      <c r="B507" s="81" t="s">
        <v>2408</v>
      </c>
      <c r="C507" s="78" t="s">
        <v>1892</v>
      </c>
      <c r="D507" s="81" t="str">
        <f>IF(MouserListTable[[#This Row],[Vendor]]=FilterSpecs!$A$8,MouserListTable[[#This Row],[Mouser SKU]], MouserListTable[[#This Row],[Supplier SKU]])</f>
        <v>474-PRT-09916</v>
      </c>
      <c r="E507" s="94">
        <f>MouserListTable[[#This Row],[Tot '#]]-MouserListTable[[#This Row],['# Initial]]</f>
        <v>0</v>
      </c>
      <c r="F507" s="94">
        <f>IF(AND(MouserListTable[[#This Row],[Tag]]&lt;&gt;FilterSpecs!$F$12, MouserListTable[[#This Row],[Tag]]&lt;&gt;FilterSpecs!$F$9), MouserListTable[[#This Row],['#/Unit]]*FilterSpecs!$B$3+MouserListTable[[#This Row],[Extra Initial]],0)</f>
        <v>10</v>
      </c>
      <c r="G507" s="78" t="s">
        <v>479</v>
      </c>
      <c r="H507" s="150" t="s">
        <v>480</v>
      </c>
      <c r="I507" s="81" t="s">
        <v>481</v>
      </c>
      <c r="J507" s="78"/>
      <c r="K507" s="117">
        <v>1.5</v>
      </c>
      <c r="L507" s="81" t="s">
        <v>1897</v>
      </c>
      <c r="M507" s="78" t="s">
        <v>2373</v>
      </c>
      <c r="N507" s="154">
        <f>MouserListTable[[#This Row],['# Initial]]*MouserListTable[[#This Row],[Price (USD)]]</f>
        <v>15</v>
      </c>
      <c r="O507" s="81" t="s">
        <v>478</v>
      </c>
      <c r="P507" s="150">
        <f t="shared" si="8"/>
        <v>494</v>
      </c>
      <c r="Q507" s="78" t="s">
        <v>5</v>
      </c>
      <c r="R507"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474-PRT-09916</v>
      </c>
      <c r="S507" s="133" t="str">
        <f>HYPERLINK("https://www.mouser.com/ProductDetail/" &amp;MouserListTable[[#This Row],[Mouser SKU]])</f>
        <v>https://www.mouser.com/ProductDetail/474-PRT-09916</v>
      </c>
      <c r="T507" s="94">
        <v>2</v>
      </c>
      <c r="U507" s="94">
        <v>0</v>
      </c>
      <c r="V507" s="94">
        <v>0</v>
      </c>
      <c r="W507" s="94">
        <f>MouserListTable[[#This Row],['#/Unit]]*FilterSpecs!$C$3+MouserListTable[[#This Row],[Extra]]</f>
        <v>10</v>
      </c>
      <c r="X507" s="94">
        <f>IF(MouserListTable[[#This Row],[Tag]]=FilterSpecs!$F$7,MouserListTable[[#This Row],['#/Unit]]*MouserListTable[[#This Row],[Price (USD)]],0)</f>
        <v>3</v>
      </c>
      <c r="Y507" s="94">
        <f>MouserListTable[[#This Row],[Tot '#]]*MouserListTable[[#This Row],[Price (USD)]]</f>
        <v>15</v>
      </c>
      <c r="Z507"/>
    </row>
    <row r="508" spans="1:26" s="104" customFormat="1" x14ac:dyDescent="0.25">
      <c r="A508" s="81" t="s">
        <v>890</v>
      </c>
      <c r="B508" s="81" t="s">
        <v>2408</v>
      </c>
      <c r="C508" s="78" t="s">
        <v>1892</v>
      </c>
      <c r="D508" s="81" t="str">
        <f>IF(MouserListTable[[#This Row],[Vendor]]=FilterSpecs!$A$8,MouserListTable[[#This Row],[Mouser SKU]], MouserListTable[[#This Row],[Supplier SKU]])</f>
        <v>485-3064</v>
      </c>
      <c r="E508" s="94">
        <f>MouserListTable[[#This Row],[Tot '#]]-MouserListTable[[#This Row],['# Initial]]</f>
        <v>0</v>
      </c>
      <c r="F508" s="94">
        <f>IF(AND(MouserListTable[[#This Row],[Tag]]&lt;&gt;FilterSpecs!$F$12, MouserListTable[[#This Row],[Tag]]&lt;&gt;FilterSpecs!$F$9), MouserListTable[[#This Row],['#/Unit]]*FilterSpecs!$B$3+MouserListTable[[#This Row],[Extra Initial]],0)</f>
        <v>5</v>
      </c>
      <c r="G508" s="78"/>
      <c r="H508" s="150"/>
      <c r="I508" s="81" t="s">
        <v>2185</v>
      </c>
      <c r="J508" s="106"/>
      <c r="K508" s="117">
        <v>2.95</v>
      </c>
      <c r="L508" s="81" t="s">
        <v>1897</v>
      </c>
      <c r="M508" s="81" t="s">
        <v>2373</v>
      </c>
      <c r="N508" s="154">
        <f>MouserListTable[[#This Row],['# Initial]]*MouserListTable[[#This Row],[Price (USD)]]</f>
        <v>14.75</v>
      </c>
      <c r="O508" s="81" t="s">
        <v>2184</v>
      </c>
      <c r="P508" s="150">
        <f t="shared" si="8"/>
        <v>495</v>
      </c>
      <c r="Q508" s="78" t="s">
        <v>1884</v>
      </c>
      <c r="R508"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485-3064</v>
      </c>
      <c r="S508" s="133" t="str">
        <f>HYPERLINK("https://www.mouser.com/ProductDetail/" &amp;MouserListTable[[#This Row],[Mouser SKU]])</f>
        <v>https://www.mouser.com/ProductDetail/485-3064</v>
      </c>
      <c r="T508" s="94">
        <v>1</v>
      </c>
      <c r="U508" s="94">
        <v>0</v>
      </c>
      <c r="V508" s="94">
        <v>0</v>
      </c>
      <c r="W508" s="94">
        <f>MouserListTable[[#This Row],['#/Unit]]*FilterSpecs!$C$3+MouserListTable[[#This Row],[Extra]]</f>
        <v>5</v>
      </c>
      <c r="X508" s="94">
        <f>IF(MouserListTable[[#This Row],[Tag]]=FilterSpecs!$F$7,MouserListTable[[#This Row],['#/Unit]]*MouserListTable[[#This Row],[Price (USD)]],0)</f>
        <v>2.95</v>
      </c>
      <c r="Y508" s="94">
        <f>MouserListTable[[#This Row],[Tot '#]]*MouserListTable[[#This Row],[Price (USD)]]</f>
        <v>14.75</v>
      </c>
      <c r="Z508"/>
    </row>
    <row r="509" spans="1:26" s="104" customFormat="1" x14ac:dyDescent="0.25">
      <c r="A509" s="81" t="s">
        <v>890</v>
      </c>
      <c r="B509" s="81" t="s">
        <v>2408</v>
      </c>
      <c r="C509" s="78" t="s">
        <v>1892</v>
      </c>
      <c r="D509" s="81" t="str">
        <f>IF(MouserListTable[[#This Row],[Vendor]]=FilterSpecs!$A$8,MouserListTable[[#This Row],[Mouser SKU]], MouserListTable[[#This Row],[Supplier SKU]])</f>
        <v>485-3568</v>
      </c>
      <c r="E509" s="94">
        <f>MouserListTable[[#This Row],[Tot '#]]-MouserListTable[[#This Row],['# Initial]]</f>
        <v>0</v>
      </c>
      <c r="F509" s="94">
        <f>IF(AND(MouserListTable[[#This Row],[Tag]]&lt;&gt;FilterSpecs!$F$12, MouserListTable[[#This Row],[Tag]]&lt;&gt;FilterSpecs!$F$9), MouserListTable[[#This Row],['#/Unit]]*FilterSpecs!$B$3+MouserListTable[[#This Row],[Extra Initial]],0)</f>
        <v>0</v>
      </c>
      <c r="G509" s="78"/>
      <c r="H509" s="150"/>
      <c r="I509" s="106" t="s">
        <v>2187</v>
      </c>
      <c r="J509" s="106"/>
      <c r="K509" s="118">
        <v>0.75</v>
      </c>
      <c r="L509" s="106" t="s">
        <v>1896</v>
      </c>
      <c r="M509" s="106" t="s">
        <v>2373</v>
      </c>
      <c r="N509" s="154">
        <f>MouserListTable[[#This Row],['# Initial]]*MouserListTable[[#This Row],[Price (USD)]]</f>
        <v>0</v>
      </c>
      <c r="O509" s="81" t="s">
        <v>2186</v>
      </c>
      <c r="P509" s="150">
        <f t="shared" si="8"/>
        <v>496</v>
      </c>
      <c r="Q509" s="78" t="s">
        <v>1884</v>
      </c>
      <c r="R509"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485-3568</v>
      </c>
      <c r="S509" s="133" t="str">
        <f>HYPERLINK("https://www.mouser.com/ProductDetail/" &amp;MouserListTable[[#This Row],[Mouser SKU]])</f>
        <v>https://www.mouser.com/ProductDetail/485-3568</v>
      </c>
      <c r="T509" s="94">
        <v>0</v>
      </c>
      <c r="U509" s="94">
        <v>0</v>
      </c>
      <c r="V509" s="94">
        <v>0</v>
      </c>
      <c r="W509" s="94">
        <f>MouserListTable[[#This Row],['#/Unit]]*FilterSpecs!$C$3+MouserListTable[[#This Row],[Extra]]</f>
        <v>0</v>
      </c>
      <c r="X509" s="94">
        <f>IF(MouserListTable[[#This Row],[Tag]]=FilterSpecs!$F$7,MouserListTable[[#This Row],['#/Unit]]*MouserListTable[[#This Row],[Price (USD)]],0)</f>
        <v>0</v>
      </c>
      <c r="Y509" s="94">
        <f>MouserListTable[[#This Row],[Tot '#]]*MouserListTable[[#This Row],[Price (USD)]]</f>
        <v>0</v>
      </c>
      <c r="Z509"/>
    </row>
    <row r="510" spans="1:26" s="104" customFormat="1" x14ac:dyDescent="0.25">
      <c r="A510" s="81" t="s">
        <v>890</v>
      </c>
      <c r="B510" s="81" t="s">
        <v>2409</v>
      </c>
      <c r="C510" s="78" t="s">
        <v>1892</v>
      </c>
      <c r="D510" s="81" t="str">
        <f>IF(MouserListTable[[#This Row],[Vendor]]=FilterSpecs!$A$8,MouserListTable[[#This Row],[Mouser SKU]], MouserListTable[[#This Row],[Supplier SKU]])</f>
        <v>474-PRT-10359</v>
      </c>
      <c r="E510" s="94">
        <f>MouserListTable[[#This Row],[Tot '#]]-MouserListTable[[#This Row],['# Initial]]</f>
        <v>0</v>
      </c>
      <c r="F510" s="94">
        <f>IF(AND(MouserListTable[[#This Row],[Tag]]&lt;&gt;FilterSpecs!$F$12, MouserListTable[[#This Row],[Tag]]&lt;&gt;FilterSpecs!$F$9), MouserListTable[[#This Row],['#/Unit]]*FilterSpecs!$B$3+MouserListTable[[#This Row],[Extra Initial]],0)</f>
        <v>5</v>
      </c>
      <c r="G510" s="78" t="s">
        <v>1806</v>
      </c>
      <c r="H510" s="150" t="s">
        <v>1807</v>
      </c>
      <c r="I510" s="81" t="s">
        <v>1808</v>
      </c>
      <c r="J510" s="78"/>
      <c r="K510" s="117">
        <v>1.5</v>
      </c>
      <c r="L510" s="81" t="s">
        <v>1897</v>
      </c>
      <c r="M510" s="78" t="s">
        <v>2372</v>
      </c>
      <c r="N510" s="154">
        <f>MouserListTable[[#This Row],['# Initial]]*MouserListTable[[#This Row],[Price (USD)]]</f>
        <v>7.5</v>
      </c>
      <c r="O510" s="81" t="s">
        <v>1805</v>
      </c>
      <c r="P510" s="150">
        <f t="shared" si="8"/>
        <v>497</v>
      </c>
      <c r="Q510" s="78" t="s">
        <v>5</v>
      </c>
      <c r="R510"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474-PRT-10359</v>
      </c>
      <c r="S510" s="133" t="str">
        <f>HYPERLINK("https://www.mouser.com/ProductDetail/" &amp;MouserListTable[[#This Row],[Mouser SKU]])</f>
        <v>https://www.mouser.com/ProductDetail/474-PRT-10359</v>
      </c>
      <c r="T510" s="94">
        <v>1</v>
      </c>
      <c r="U510" s="94">
        <v>0</v>
      </c>
      <c r="V510" s="94">
        <v>0</v>
      </c>
      <c r="W510" s="94">
        <f>MouserListTable[[#This Row],['#/Unit]]*FilterSpecs!$C$3+MouserListTable[[#This Row],[Extra]]</f>
        <v>5</v>
      </c>
      <c r="X510" s="94">
        <f>IF(MouserListTable[[#This Row],[Tag]]=FilterSpecs!$F$7,MouserListTable[[#This Row],['#/Unit]]*MouserListTable[[#This Row],[Price (USD)]],0)</f>
        <v>1.5</v>
      </c>
      <c r="Y510" s="94">
        <f>MouserListTable[[#This Row],[Tot '#]]*MouserListTable[[#This Row],[Price (USD)]]</f>
        <v>7.5</v>
      </c>
      <c r="Z510"/>
    </row>
    <row r="511" spans="1:26" s="104" customFormat="1" x14ac:dyDescent="0.25">
      <c r="A511" s="106" t="s">
        <v>890</v>
      </c>
      <c r="B511" s="106" t="s">
        <v>2409</v>
      </c>
      <c r="C511" s="78" t="s">
        <v>1892</v>
      </c>
      <c r="D511" s="81" t="str">
        <f>IF(MouserListTable[[#This Row],[Vendor]]=FilterSpecs!$A$8,MouserListTable[[#This Row],[Mouser SKU]], MouserListTable[[#This Row],[Supplier SKU]])</f>
        <v>474-GPS-00574</v>
      </c>
      <c r="E511" s="94">
        <f>MouserListTable[[#This Row],[Tot '#]]-MouserListTable[[#This Row],['# Initial]]</f>
        <v>0</v>
      </c>
      <c r="F511" s="94">
        <f>IF(AND(MouserListTable[[#This Row],[Tag]]&lt;&gt;FilterSpecs!$F$12, MouserListTable[[#This Row],[Tag]]&lt;&gt;FilterSpecs!$F$9), MouserListTable[[#This Row],['#/Unit]]*FilterSpecs!$B$3+MouserListTable[[#This Row],[Extra Initial]],0)</f>
        <v>0</v>
      </c>
      <c r="G511" s="78" t="s">
        <v>1798</v>
      </c>
      <c r="H511" s="150" t="s">
        <v>1799</v>
      </c>
      <c r="I511" s="81" t="s">
        <v>1800</v>
      </c>
      <c r="J511" s="78"/>
      <c r="K511" s="117">
        <v>2.95</v>
      </c>
      <c r="L511" s="81" t="s">
        <v>1896</v>
      </c>
      <c r="M511" s="78" t="s">
        <v>2372</v>
      </c>
      <c r="N511" s="154">
        <f>MouserListTable[[#This Row],['# Initial]]*MouserListTable[[#This Row],[Price (USD)]]</f>
        <v>0</v>
      </c>
      <c r="O511" s="81" t="s">
        <v>1797</v>
      </c>
      <c r="P511" s="150">
        <f t="shared" si="8"/>
        <v>498</v>
      </c>
      <c r="Q511" s="78" t="s">
        <v>5</v>
      </c>
      <c r="R511"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474-GPS-00574</v>
      </c>
      <c r="S511" s="133" t="str">
        <f>HYPERLINK("https://www.mouser.com/ProductDetail/" &amp;MouserListTable[[#This Row],[Mouser SKU]])</f>
        <v>https://www.mouser.com/ProductDetail/474-GPS-00574</v>
      </c>
      <c r="T511" s="94">
        <v>0</v>
      </c>
      <c r="U511" s="94">
        <v>0</v>
      </c>
      <c r="V511" s="94">
        <v>0</v>
      </c>
      <c r="W511" s="94">
        <f>MouserListTable[[#This Row],['#/Unit]]*FilterSpecs!$C$3+MouserListTable[[#This Row],[Extra]]</f>
        <v>0</v>
      </c>
      <c r="X511" s="94">
        <f>IF(MouserListTable[[#This Row],[Tag]]=FilterSpecs!$F$7,MouserListTable[[#This Row],['#/Unit]]*MouserListTable[[#This Row],[Price (USD)]],0)</f>
        <v>0</v>
      </c>
      <c r="Y511" s="94">
        <f>MouserListTable[[#This Row],[Tot '#]]*MouserListTable[[#This Row],[Price (USD)]]</f>
        <v>0</v>
      </c>
      <c r="Z511"/>
    </row>
    <row r="512" spans="1:26" s="104" customFormat="1" x14ac:dyDescent="0.25">
      <c r="A512" s="106" t="s">
        <v>890</v>
      </c>
      <c r="B512" s="106" t="s">
        <v>2409</v>
      </c>
      <c r="C512" s="78" t="s">
        <v>1892</v>
      </c>
      <c r="D512" s="81" t="str">
        <f>IF(MouserListTable[[#This Row],[Vendor]]=FilterSpecs!$A$8,MouserListTable[[#This Row],[Mouser SKU]], MouserListTable[[#This Row],[Supplier SKU]])</f>
        <v>474-PRT-10361</v>
      </c>
      <c r="E512" s="94">
        <f>MouserListTable[[#This Row],[Tot '#]]-MouserListTable[[#This Row],['# Initial]]</f>
        <v>0</v>
      </c>
      <c r="F512" s="94">
        <f>IF(AND(MouserListTable[[#This Row],[Tag]]&lt;&gt;FilterSpecs!$F$12, MouserListTable[[#This Row],[Tag]]&lt;&gt;FilterSpecs!$F$9), MouserListTable[[#This Row],['#/Unit]]*FilterSpecs!$B$3+MouserListTable[[#This Row],[Extra Initial]],0)</f>
        <v>0</v>
      </c>
      <c r="G512" s="78" t="s">
        <v>1790</v>
      </c>
      <c r="H512" s="150" t="s">
        <v>1791</v>
      </c>
      <c r="I512" s="81" t="s">
        <v>1792</v>
      </c>
      <c r="J512" s="78"/>
      <c r="K512" s="117">
        <v>1.5</v>
      </c>
      <c r="L512" s="81" t="s">
        <v>1896</v>
      </c>
      <c r="M512" s="78" t="s">
        <v>2372</v>
      </c>
      <c r="N512" s="154">
        <f>MouserListTable[[#This Row],['# Initial]]*MouserListTable[[#This Row],[Price (USD)]]</f>
        <v>0</v>
      </c>
      <c r="O512" s="81" t="s">
        <v>1789</v>
      </c>
      <c r="P512" s="150">
        <f t="shared" si="8"/>
        <v>499</v>
      </c>
      <c r="Q512" s="78" t="s">
        <v>5</v>
      </c>
      <c r="R512"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474-PRT-10361</v>
      </c>
      <c r="S512" s="133" t="str">
        <f>HYPERLINK("https://www.mouser.com/ProductDetail/" &amp;MouserListTable[[#This Row],[Mouser SKU]])</f>
        <v>https://www.mouser.com/ProductDetail/474-PRT-10361</v>
      </c>
      <c r="T512" s="94">
        <v>0</v>
      </c>
      <c r="U512" s="94">
        <v>0</v>
      </c>
      <c r="V512" s="94">
        <v>0</v>
      </c>
      <c r="W512" s="94">
        <f>MouserListTable[[#This Row],['#/Unit]]*FilterSpecs!$C$3+MouserListTable[[#This Row],[Extra]]</f>
        <v>0</v>
      </c>
      <c r="X512" s="94">
        <f>IF(MouserListTable[[#This Row],[Tag]]=FilterSpecs!$F$7,MouserListTable[[#This Row],['#/Unit]]*MouserListTable[[#This Row],[Price (USD)]],0)</f>
        <v>0</v>
      </c>
      <c r="Y512" s="94">
        <f>MouserListTable[[#This Row],[Tot '#]]*MouserListTable[[#This Row],[Price (USD)]]</f>
        <v>0</v>
      </c>
      <c r="Z512"/>
    </row>
    <row r="513" spans="1:26" s="104" customFormat="1" x14ac:dyDescent="0.25">
      <c r="A513" s="106" t="s">
        <v>890</v>
      </c>
      <c r="B513" s="106" t="s">
        <v>2409</v>
      </c>
      <c r="C513" s="78" t="s">
        <v>1892</v>
      </c>
      <c r="D513" s="81" t="str">
        <f>IF(MouserListTable[[#This Row],[Vendor]]=FilterSpecs!$A$8,MouserListTable[[#This Row],[Mouser SKU]], MouserListTable[[#This Row],[Supplier SKU]])</f>
        <v>474-GPS-09123</v>
      </c>
      <c r="E513" s="94">
        <f>MouserListTable[[#This Row],[Tot '#]]-MouserListTable[[#This Row],['# Initial]]</f>
        <v>0</v>
      </c>
      <c r="F513" s="94">
        <f>IF(AND(MouserListTable[[#This Row],[Tag]]&lt;&gt;FilterSpecs!$F$12, MouserListTable[[#This Row],[Tag]]&lt;&gt;FilterSpecs!$F$9), MouserListTable[[#This Row],['#/Unit]]*FilterSpecs!$B$3+MouserListTable[[#This Row],[Extra Initial]],0)</f>
        <v>0</v>
      </c>
      <c r="G513" s="78" t="s">
        <v>1802</v>
      </c>
      <c r="H513" s="150" t="s">
        <v>1803</v>
      </c>
      <c r="I513" s="81" t="s">
        <v>1804</v>
      </c>
      <c r="J513" s="78">
        <v>1</v>
      </c>
      <c r="K513" s="117">
        <v>2.95</v>
      </c>
      <c r="L513" s="81" t="s">
        <v>1896</v>
      </c>
      <c r="M513" s="78" t="s">
        <v>2372</v>
      </c>
      <c r="N513" s="154">
        <f>MouserListTable[[#This Row],['# Initial]]*MouserListTable[[#This Row],[Price (USD)]]</f>
        <v>0</v>
      </c>
      <c r="O513" s="81" t="s">
        <v>1801</v>
      </c>
      <c r="P513" s="150">
        <f t="shared" si="8"/>
        <v>500</v>
      </c>
      <c r="Q513" s="78" t="s">
        <v>5</v>
      </c>
      <c r="R513"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474-GPS-09123</v>
      </c>
      <c r="S513" s="133" t="str">
        <f>HYPERLINK("https://www.mouser.com/ProductDetail/" &amp;MouserListTable[[#This Row],[Mouser SKU]])</f>
        <v>https://www.mouser.com/ProductDetail/474-GPS-09123</v>
      </c>
      <c r="T513" s="94">
        <v>0</v>
      </c>
      <c r="U513" s="94">
        <v>0</v>
      </c>
      <c r="V513" s="94">
        <v>0</v>
      </c>
      <c r="W513" s="94">
        <f>MouserListTable[[#This Row],['#/Unit]]*FilterSpecs!$C$3+MouserListTable[[#This Row],[Extra]]</f>
        <v>0</v>
      </c>
      <c r="X513" s="94">
        <f>IF(MouserListTable[[#This Row],[Tag]]=FilterSpecs!$F$7,MouserListTable[[#This Row],['#/Unit]]*MouserListTable[[#This Row],[Price (USD)]],0)</f>
        <v>0</v>
      </c>
      <c r="Y513" s="94">
        <f>MouserListTable[[#This Row],[Tot '#]]*MouserListTable[[#This Row],[Price (USD)]]</f>
        <v>0</v>
      </c>
      <c r="Z513"/>
    </row>
    <row r="514" spans="1:26" s="104" customFormat="1" x14ac:dyDescent="0.25">
      <c r="A514" s="106" t="s">
        <v>890</v>
      </c>
      <c r="B514" s="106" t="s">
        <v>2409</v>
      </c>
      <c r="C514" s="78" t="s">
        <v>1892</v>
      </c>
      <c r="D514" s="81" t="str">
        <f>IF(MouserListTable[[#This Row],[Vendor]]=FilterSpecs!$A$8,MouserListTable[[#This Row],[Mouser SKU]], MouserListTable[[#This Row],[Supplier SKU]])</f>
        <v>474-PRT-10853</v>
      </c>
      <c r="E514" s="94">
        <f>MouserListTable[[#This Row],[Tot '#]]-MouserListTable[[#This Row],['# Initial]]</f>
        <v>0</v>
      </c>
      <c r="F514" s="94">
        <f>IF(AND(MouserListTable[[#This Row],[Tag]]&lt;&gt;FilterSpecs!$F$12, MouserListTable[[#This Row],[Tag]]&lt;&gt;FilterSpecs!$F$9), MouserListTable[[#This Row],['#/Unit]]*FilterSpecs!$B$3+MouserListTable[[#This Row],[Extra Initial]],0)</f>
        <v>0</v>
      </c>
      <c r="G514" s="78" t="s">
        <v>2405</v>
      </c>
      <c r="H514" s="150" t="s">
        <v>2406</v>
      </c>
      <c r="I514" s="81" t="s">
        <v>2407</v>
      </c>
      <c r="J514" s="78">
        <v>1</v>
      </c>
      <c r="K514" s="117">
        <v>0.95</v>
      </c>
      <c r="L514" s="106" t="s">
        <v>1896</v>
      </c>
      <c r="M514" s="106" t="s">
        <v>2372</v>
      </c>
      <c r="N514" s="154">
        <f>MouserListTable[[#This Row],['# Initial]]*MouserListTable[[#This Row],[Price (USD)]]</f>
        <v>0</v>
      </c>
      <c r="O514" s="81" t="s">
        <v>2404</v>
      </c>
      <c r="P514" s="150">
        <f t="shared" si="8"/>
        <v>501</v>
      </c>
      <c r="Q514" s="78" t="s">
        <v>5</v>
      </c>
      <c r="R514"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474-PRT-10853</v>
      </c>
      <c r="S514" s="133" t="str">
        <f>HYPERLINK("https://www.mouser.com/ProductDetail/" &amp;MouserListTable[[#This Row],[Mouser SKU]])</f>
        <v>https://www.mouser.com/ProductDetail/474-PRT-10853</v>
      </c>
      <c r="T514" s="94">
        <v>0</v>
      </c>
      <c r="U514" s="94">
        <v>0</v>
      </c>
      <c r="V514" s="94">
        <v>0</v>
      </c>
      <c r="W514" s="94">
        <f>MouserListTable[[#This Row],['#/Unit]]*FilterSpecs!$C$3+MouserListTable[[#This Row],[Extra]]</f>
        <v>0</v>
      </c>
      <c r="X514" s="94">
        <f>IF(MouserListTable[[#This Row],[Tag]]=FilterSpecs!$F$7,MouserListTable[[#This Row],['#/Unit]]*MouserListTable[[#This Row],[Price (USD)]],0)</f>
        <v>0</v>
      </c>
      <c r="Y514" s="94">
        <f>MouserListTable[[#This Row],[Tot '#]]*MouserListTable[[#This Row],[Price (USD)]]</f>
        <v>0</v>
      </c>
      <c r="Z514"/>
    </row>
    <row r="515" spans="1:26" s="104" customFormat="1" x14ac:dyDescent="0.25">
      <c r="A515" s="81" t="s">
        <v>890</v>
      </c>
      <c r="B515" s="81" t="s">
        <v>2410</v>
      </c>
      <c r="C515" s="78" t="s">
        <v>1892</v>
      </c>
      <c r="D515" s="81" t="str">
        <f>IF(MouserListTable[[#This Row],[Vendor]]=FilterSpecs!$A$8,MouserListTable[[#This Row],[Mouser SKU]], MouserListTable[[#This Row],[Supplier SKU]])</f>
        <v>485-578</v>
      </c>
      <c r="E515" s="94">
        <f>MouserListTable[[#This Row],[Tot '#]]-MouserListTable[[#This Row],['# Initial]]</f>
        <v>0</v>
      </c>
      <c r="F515" s="94">
        <f>IF(AND(MouserListTable[[#This Row],[Tag]]&lt;&gt;FilterSpecs!$F$12, MouserListTable[[#This Row],[Tag]]&lt;&gt;FilterSpecs!$F$9), MouserListTable[[#This Row],['#/Unit]]*FilterSpecs!$B$3+MouserListTable[[#This Row],[Extra Initial]],0)</f>
        <v>0</v>
      </c>
      <c r="G515" s="78"/>
      <c r="H515" s="150"/>
      <c r="I515" s="106" t="s">
        <v>2183</v>
      </c>
      <c r="J515" s="106"/>
      <c r="K515" s="118">
        <v>1.5</v>
      </c>
      <c r="L515" s="106" t="s">
        <v>1899</v>
      </c>
      <c r="M515" s="106" t="s">
        <v>2373</v>
      </c>
      <c r="N515" s="154">
        <f>MouserListTable[[#This Row],['# Initial]]*MouserListTable[[#This Row],[Price (USD)]]</f>
        <v>0</v>
      </c>
      <c r="O515" s="81" t="s">
        <v>2182</v>
      </c>
      <c r="P515" s="150">
        <f t="shared" si="8"/>
        <v>502</v>
      </c>
      <c r="Q515" s="78" t="s">
        <v>1884</v>
      </c>
      <c r="R515"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485-578</v>
      </c>
      <c r="S515" s="133" t="str">
        <f>HYPERLINK("https://www.mouser.com/ProductDetail/" &amp;MouserListTable[[#This Row],[Mouser SKU]])</f>
        <v>https://www.mouser.com/ProductDetail/485-578</v>
      </c>
      <c r="T515" s="94">
        <v>0</v>
      </c>
      <c r="U515" s="94">
        <v>0</v>
      </c>
      <c r="V515" s="94">
        <v>0</v>
      </c>
      <c r="W515" s="94">
        <f>MouserListTable[[#This Row],['#/Unit]]*FilterSpecs!$C$3+MouserListTable[[#This Row],[Extra]]</f>
        <v>0</v>
      </c>
      <c r="X515" s="94">
        <f>IF(MouserListTable[[#This Row],[Tag]]=FilterSpecs!$F$7,MouserListTable[[#This Row],['#/Unit]]*MouserListTable[[#This Row],[Price (USD)]],0)</f>
        <v>0</v>
      </c>
      <c r="Y515" s="94">
        <f>MouserListTable[[#This Row],[Tot '#]]*MouserListTable[[#This Row],[Price (USD)]]</f>
        <v>0</v>
      </c>
      <c r="Z515"/>
    </row>
    <row r="516" spans="1:26" s="104" customFormat="1" x14ac:dyDescent="0.25">
      <c r="A516" s="81" t="s">
        <v>890</v>
      </c>
      <c r="B516" s="81" t="s">
        <v>1597</v>
      </c>
      <c r="C516" s="78" t="s">
        <v>1892</v>
      </c>
      <c r="D516" s="81" t="str">
        <f>IF(MouserListTable[[#This Row],[Vendor]]=FilterSpecs!$A$8,MouserListTable[[#This Row],[Mouser SKU]], MouserListTable[[#This Row],[Supplier SKU]])</f>
        <v>474-CAB-13685</v>
      </c>
      <c r="E516" s="94">
        <f>MouserListTable[[#This Row],[Tot '#]]-MouserListTable[[#This Row],['# Initial]]</f>
        <v>1</v>
      </c>
      <c r="F516" s="94">
        <f>IF(AND(MouserListTable[[#This Row],[Tag]]&lt;&gt;FilterSpecs!$F$12, MouserListTable[[#This Row],[Tag]]&lt;&gt;FilterSpecs!$F$9), MouserListTable[[#This Row],['#/Unit]]*FilterSpecs!$B$3+MouserListTable[[#This Row],[Extra Initial]],0)</f>
        <v>5</v>
      </c>
      <c r="G516" s="78" t="s">
        <v>513</v>
      </c>
      <c r="H516" s="150" t="s">
        <v>514</v>
      </c>
      <c r="I516" s="81" t="s">
        <v>515</v>
      </c>
      <c r="J516" s="78">
        <v>1</v>
      </c>
      <c r="K516" s="117">
        <v>1.5</v>
      </c>
      <c r="L516" s="81" t="s">
        <v>1897</v>
      </c>
      <c r="M516" s="78" t="s">
        <v>2373</v>
      </c>
      <c r="N516" s="154">
        <f>MouserListTable[[#This Row],['# Initial]]*MouserListTable[[#This Row],[Price (USD)]]</f>
        <v>7.5</v>
      </c>
      <c r="O516" s="81" t="s">
        <v>512</v>
      </c>
      <c r="P516" s="150">
        <f t="shared" si="8"/>
        <v>503</v>
      </c>
      <c r="Q516" s="78" t="s">
        <v>5</v>
      </c>
      <c r="R516"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474-CAB-13685</v>
      </c>
      <c r="S516" s="133" t="str">
        <f>HYPERLINK("https://www.mouser.com/ProductDetail/" &amp;MouserListTable[[#This Row],[Mouser SKU]])</f>
        <v>https://www.mouser.com/ProductDetail/474-CAB-13685</v>
      </c>
      <c r="T516" s="94">
        <v>1</v>
      </c>
      <c r="U516" s="94">
        <v>1</v>
      </c>
      <c r="V516" s="94">
        <v>0</v>
      </c>
      <c r="W516" s="94">
        <f>MouserListTable[[#This Row],['#/Unit]]*FilterSpecs!$C$3+MouserListTable[[#This Row],[Extra]]</f>
        <v>6</v>
      </c>
      <c r="X516" s="94">
        <f>IF(MouserListTable[[#This Row],[Tag]]=FilterSpecs!$F$7,MouserListTable[[#This Row],['#/Unit]]*MouserListTable[[#This Row],[Price (USD)]],0)</f>
        <v>1.5</v>
      </c>
      <c r="Y516" s="94">
        <f>MouserListTable[[#This Row],[Tot '#]]*MouserListTable[[#This Row],[Price (USD)]]</f>
        <v>9</v>
      </c>
      <c r="Z516"/>
    </row>
    <row r="517" spans="1:26" s="104" customFormat="1" x14ac:dyDescent="0.25">
      <c r="A517" s="106" t="s">
        <v>890</v>
      </c>
      <c r="B517" s="106" t="s">
        <v>1597</v>
      </c>
      <c r="C517" s="78" t="s">
        <v>1892</v>
      </c>
      <c r="D517" s="81" t="str">
        <f>IF(MouserListTable[[#This Row],[Vendor]]=FilterSpecs!$A$8,MouserListTable[[#This Row],[Mouser SKU]], MouserListTable[[#This Row],[Supplier SKU]])</f>
        <v>474-PRT-08599</v>
      </c>
      <c r="E517" s="94">
        <f>MouserListTable[[#This Row],[Tot '#]]-MouserListTable[[#This Row],['# Initial]]</f>
        <v>0</v>
      </c>
      <c r="F517" s="94">
        <f>IF(AND(MouserListTable[[#This Row],[Tag]]&lt;&gt;FilterSpecs!$F$12, MouserListTable[[#This Row],[Tag]]&lt;&gt;FilterSpecs!$F$9), MouserListTable[[#This Row],['#/Unit]]*FilterSpecs!$B$3+MouserListTable[[#This Row],[Extra Initial]],0)</f>
        <v>0</v>
      </c>
      <c r="G517" s="78" t="s">
        <v>577</v>
      </c>
      <c r="H517" s="150" t="s">
        <v>578</v>
      </c>
      <c r="I517" s="81" t="s">
        <v>579</v>
      </c>
      <c r="J517" s="78">
        <v>1</v>
      </c>
      <c r="K517" s="117">
        <v>1.5</v>
      </c>
      <c r="L517" s="81" t="s">
        <v>1896</v>
      </c>
      <c r="M517" s="78" t="s">
        <v>2373</v>
      </c>
      <c r="N517" s="154">
        <f>MouserListTable[[#This Row],['# Initial]]*MouserListTable[[#This Row],[Price (USD)]]</f>
        <v>0</v>
      </c>
      <c r="O517" s="81" t="s">
        <v>576</v>
      </c>
      <c r="P517" s="150">
        <f t="shared" si="8"/>
        <v>504</v>
      </c>
      <c r="Q517" s="78" t="s">
        <v>5</v>
      </c>
      <c r="R517"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474-PRT-08599</v>
      </c>
      <c r="S517" s="133" t="str">
        <f>HYPERLINK("https://www.mouser.com/ProductDetail/" &amp;MouserListTable[[#This Row],[Mouser SKU]])</f>
        <v>https://www.mouser.com/ProductDetail/474-PRT-08599</v>
      </c>
      <c r="T517" s="94">
        <v>0</v>
      </c>
      <c r="U517" s="94">
        <v>0</v>
      </c>
      <c r="V517" s="94">
        <v>0</v>
      </c>
      <c r="W517" s="94">
        <f>MouserListTable[[#This Row],['#/Unit]]*FilterSpecs!$C$3+MouserListTable[[#This Row],[Extra]]</f>
        <v>0</v>
      </c>
      <c r="X517" s="94">
        <f>IF(MouserListTable[[#This Row],[Tag]]=FilterSpecs!$F$7,MouserListTable[[#This Row],['#/Unit]]*MouserListTable[[#This Row],[Price (USD)]],0)</f>
        <v>0</v>
      </c>
      <c r="Y517" s="94">
        <f>MouserListTable[[#This Row],[Tot '#]]*MouserListTable[[#This Row],[Price (USD)]]</f>
        <v>0</v>
      </c>
      <c r="Z517"/>
    </row>
    <row r="518" spans="1:26" s="104" customFormat="1" x14ac:dyDescent="0.25">
      <c r="A518" s="106" t="s">
        <v>890</v>
      </c>
      <c r="B518" s="106" t="s">
        <v>1597</v>
      </c>
      <c r="C518" s="78" t="s">
        <v>1892</v>
      </c>
      <c r="D518" s="81" t="str">
        <f>IF(MouserListTable[[#This Row],[Vendor]]=FilterSpecs!$A$8,MouserListTable[[#This Row],[Mouser SKU]], MouserListTable[[#This Row],[Supplier SKU]])</f>
        <v>474-PRT-08598</v>
      </c>
      <c r="E518" s="94">
        <f>MouserListTable[[#This Row],[Tot '#]]-MouserListTable[[#This Row],['# Initial]]</f>
        <v>0</v>
      </c>
      <c r="F518" s="94">
        <f>IF(AND(MouserListTable[[#This Row],[Tag]]&lt;&gt;FilterSpecs!$F$12, MouserListTable[[#This Row],[Tag]]&lt;&gt;FilterSpecs!$F$9), MouserListTable[[#This Row],['#/Unit]]*FilterSpecs!$B$3+MouserListTable[[#This Row],[Extra Initial]],0)</f>
        <v>0</v>
      </c>
      <c r="G518" s="78" t="s">
        <v>1738</v>
      </c>
      <c r="H518" s="150" t="s">
        <v>1739</v>
      </c>
      <c r="I518" s="81" t="s">
        <v>1740</v>
      </c>
      <c r="J518" s="78">
        <v>1</v>
      </c>
      <c r="K518" s="117">
        <v>1.5</v>
      </c>
      <c r="L518" s="81" t="s">
        <v>1899</v>
      </c>
      <c r="M518" s="78" t="s">
        <v>2373</v>
      </c>
      <c r="N518" s="154">
        <f>MouserListTable[[#This Row],['# Initial]]*MouserListTable[[#This Row],[Price (USD)]]</f>
        <v>0</v>
      </c>
      <c r="O518" s="81" t="s">
        <v>1737</v>
      </c>
      <c r="P518" s="150">
        <f t="shared" si="8"/>
        <v>505</v>
      </c>
      <c r="Q518" s="78" t="s">
        <v>5</v>
      </c>
      <c r="R518"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474-PRT-08598</v>
      </c>
      <c r="S518" s="133" t="str">
        <f>HYPERLINK("https://www.mouser.com/ProductDetail/" &amp;MouserListTable[[#This Row],[Mouser SKU]])</f>
        <v>https://www.mouser.com/ProductDetail/474-PRT-08598</v>
      </c>
      <c r="T518" s="94">
        <v>0</v>
      </c>
      <c r="U518" s="94">
        <v>0</v>
      </c>
      <c r="V518" s="94">
        <v>0</v>
      </c>
      <c r="W518" s="94">
        <f>MouserListTable[[#This Row],['#/Unit]]*FilterSpecs!$C$3+MouserListTable[[#This Row],[Extra]]</f>
        <v>0</v>
      </c>
      <c r="X518" s="94">
        <f>IF(MouserListTable[[#This Row],[Tag]]=FilterSpecs!$F$7,MouserListTable[[#This Row],['#/Unit]]*MouserListTable[[#This Row],[Price (USD)]],0)</f>
        <v>0</v>
      </c>
      <c r="Y518" s="94">
        <f>MouserListTable[[#This Row],[Tot '#]]*MouserListTable[[#This Row],[Price (USD)]]</f>
        <v>0</v>
      </c>
      <c r="Z518"/>
    </row>
    <row r="519" spans="1:26" s="104" customFormat="1" x14ac:dyDescent="0.25">
      <c r="A519" s="98" t="s">
        <v>890</v>
      </c>
      <c r="B519" s="98" t="s">
        <v>1597</v>
      </c>
      <c r="C519" s="78" t="s">
        <v>1892</v>
      </c>
      <c r="D519" s="81" t="str">
        <f>IF(MouserListTable[[#This Row],[Vendor]]=FilterSpecs!$A$8,MouserListTable[[#This Row],[Mouser SKU]], MouserListTable[[#This Row],[Supplier SKU]])</f>
        <v>485-425</v>
      </c>
      <c r="E519" s="94">
        <f>MouserListTable[[#This Row],[Tot '#]]-MouserListTable[[#This Row],['# Initial]]</f>
        <v>0</v>
      </c>
      <c r="F519" s="94">
        <f>IF(AND(MouserListTable[[#This Row],[Tag]]&lt;&gt;FilterSpecs!$F$12, MouserListTable[[#This Row],[Tag]]&lt;&gt;FilterSpecs!$F$9), MouserListTable[[#This Row],['#/Unit]]*FilterSpecs!$B$3+MouserListTable[[#This Row],[Extra Initial]],0)</f>
        <v>0</v>
      </c>
      <c r="G519" s="106"/>
      <c r="H519" s="150"/>
      <c r="I519" s="98" t="s">
        <v>2436</v>
      </c>
      <c r="J519" s="113">
        <v>107</v>
      </c>
      <c r="K519" s="119">
        <v>1.95</v>
      </c>
      <c r="L519" s="97" t="s">
        <v>1896</v>
      </c>
      <c r="M519" s="106"/>
      <c r="N519" s="154">
        <f>MouserListTable[[#This Row],['# Initial]]*MouserListTable[[#This Row],[Price (USD)]]</f>
        <v>0</v>
      </c>
      <c r="O519" s="113" t="s">
        <v>2437</v>
      </c>
      <c r="P519" s="150">
        <f t="shared" si="8"/>
        <v>506</v>
      </c>
      <c r="Q519" s="78" t="s">
        <v>1884</v>
      </c>
      <c r="R519"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485-425</v>
      </c>
      <c r="S519" s="133" t="str">
        <f>HYPERLINK("https://www.mouser.com/ProductDetail/" &amp;MouserListTable[[#This Row],[Mouser SKU]])</f>
        <v>https://www.mouser.com/ProductDetail/485-425</v>
      </c>
      <c r="T519" s="94">
        <v>0</v>
      </c>
      <c r="U519" s="94">
        <v>0</v>
      </c>
      <c r="V519" s="94">
        <v>0</v>
      </c>
      <c r="W519" s="94">
        <f>MouserListTable[[#This Row],['#/Unit]]*FilterSpecs!$C$3+MouserListTable[[#This Row],[Extra]]</f>
        <v>0</v>
      </c>
      <c r="X519" s="94">
        <f>IF(MouserListTable[[#This Row],[Tag]]=FilterSpecs!$F$7,MouserListTable[[#This Row],['#/Unit]]*MouserListTable[[#This Row],[Price (USD)]],0)</f>
        <v>0</v>
      </c>
      <c r="Y519" s="94">
        <f>MouserListTable[[#This Row],[Tot '#]]*MouserListTable[[#This Row],[Price (USD)]]</f>
        <v>0</v>
      </c>
      <c r="Z519"/>
    </row>
    <row r="520" spans="1:26" s="104" customFormat="1" x14ac:dyDescent="0.25">
      <c r="A520" s="98" t="s">
        <v>890</v>
      </c>
      <c r="B520" s="98" t="s">
        <v>2410</v>
      </c>
      <c r="C520" s="78" t="s">
        <v>1892</v>
      </c>
      <c r="D520" s="81" t="str">
        <f>IF(MouserListTable[[#This Row],[Vendor]]=FilterSpecs!$A$8,MouserListTable[[#This Row],[Mouser SKU]], MouserListTable[[#This Row],[Supplier SKU]])</f>
        <v>485-2880</v>
      </c>
      <c r="E520" s="94">
        <f>MouserListTable[[#This Row],[Tot '#]]-MouserListTable[[#This Row],['# Initial]]</f>
        <v>0</v>
      </c>
      <c r="F520" s="94">
        <f>IF(AND(MouserListTable[[#This Row],[Tag]]&lt;&gt;FilterSpecs!$F$12, MouserListTable[[#This Row],[Tag]]&lt;&gt;FilterSpecs!$F$9), MouserListTable[[#This Row],['#/Unit]]*FilterSpecs!$B$3+MouserListTable[[#This Row],[Extra Initial]],0)</f>
        <v>0</v>
      </c>
      <c r="G520" s="106"/>
      <c r="H520" s="150"/>
      <c r="I520" s="98" t="s">
        <v>2423</v>
      </c>
      <c r="J520" s="113">
        <v>100</v>
      </c>
      <c r="K520" s="119">
        <v>0.75</v>
      </c>
      <c r="L520" s="97" t="s">
        <v>1896</v>
      </c>
      <c r="M520" s="106"/>
      <c r="N520" s="154">
        <f>MouserListTable[[#This Row],['# Initial]]*MouserListTable[[#This Row],[Price (USD)]]</f>
        <v>0</v>
      </c>
      <c r="O520" s="113" t="s">
        <v>2424</v>
      </c>
      <c r="P520" s="150">
        <f t="shared" si="8"/>
        <v>507</v>
      </c>
      <c r="Q520" s="78" t="s">
        <v>1884</v>
      </c>
      <c r="R520"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485-2880</v>
      </c>
      <c r="S520" s="133" t="str">
        <f>HYPERLINK("https://www.mouser.com/ProductDetail/" &amp;MouserListTable[[#This Row],[Mouser SKU]])</f>
        <v>https://www.mouser.com/ProductDetail/485-2880</v>
      </c>
      <c r="T520" s="94">
        <v>0</v>
      </c>
      <c r="U520" s="94">
        <v>0</v>
      </c>
      <c r="V520" s="94">
        <v>0</v>
      </c>
      <c r="W520" s="94">
        <f>MouserListTable[[#This Row],['#/Unit]]*FilterSpecs!$C$3+MouserListTable[[#This Row],[Extra]]</f>
        <v>0</v>
      </c>
      <c r="X520" s="94">
        <f>IF(MouserListTable[[#This Row],[Tag]]=FilterSpecs!$F$7,MouserListTable[[#This Row],['#/Unit]]*MouserListTable[[#This Row],[Price (USD)]],0)</f>
        <v>0</v>
      </c>
      <c r="Y520" s="94">
        <f>MouserListTable[[#This Row],[Tot '#]]*MouserListTable[[#This Row],[Price (USD)]]</f>
        <v>0</v>
      </c>
      <c r="Z520"/>
    </row>
    <row r="521" spans="1:26" s="104" customFormat="1" x14ac:dyDescent="0.25">
      <c r="A521" s="98" t="s">
        <v>890</v>
      </c>
      <c r="B521" s="98" t="s">
        <v>2408</v>
      </c>
      <c r="C521" s="78" t="s">
        <v>1892</v>
      </c>
      <c r="D521" s="81" t="str">
        <f>IF(MouserListTable[[#This Row],[Vendor]]=FilterSpecs!$A$8,MouserListTable[[#This Row],[Mouser SKU]], MouserListTable[[#This Row],[Supplier SKU]])</f>
        <v>485-261</v>
      </c>
      <c r="E521" s="94">
        <f>MouserListTable[[#This Row],[Tot '#]]-MouserListTable[[#This Row],['# Initial]]</f>
        <v>0</v>
      </c>
      <c r="F521" s="94">
        <f>IF(AND(MouserListTable[[#This Row],[Tag]]&lt;&gt;FilterSpecs!$F$12, MouserListTable[[#This Row],[Tag]]&lt;&gt;FilterSpecs!$F$9), MouserListTable[[#This Row],['#/Unit]]*FilterSpecs!$B$3+MouserListTable[[#This Row],[Extra Initial]],0)</f>
        <v>0</v>
      </c>
      <c r="G521" s="106"/>
      <c r="H521" s="150"/>
      <c r="I521" s="98" t="s">
        <v>2425</v>
      </c>
      <c r="J521" s="113">
        <v>101</v>
      </c>
      <c r="K521" s="119">
        <v>0.75</v>
      </c>
      <c r="L521" s="97" t="s">
        <v>1896</v>
      </c>
      <c r="M521" s="106"/>
      <c r="N521" s="154">
        <f>MouserListTable[[#This Row],['# Initial]]*MouserListTable[[#This Row],[Price (USD)]]</f>
        <v>0</v>
      </c>
      <c r="O521" s="113" t="s">
        <v>2426</v>
      </c>
      <c r="P521" s="150">
        <f t="shared" si="8"/>
        <v>508</v>
      </c>
      <c r="Q521" s="78" t="s">
        <v>1884</v>
      </c>
      <c r="R521"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485-261</v>
      </c>
      <c r="S521" s="133" t="str">
        <f>HYPERLINK("https://www.mouser.com/ProductDetail/" &amp;MouserListTable[[#This Row],[Mouser SKU]])</f>
        <v>https://www.mouser.com/ProductDetail/485-261</v>
      </c>
      <c r="T521" s="94">
        <v>0</v>
      </c>
      <c r="U521" s="94">
        <v>0</v>
      </c>
      <c r="V521" s="94">
        <v>0</v>
      </c>
      <c r="W521" s="94">
        <f>MouserListTable[[#This Row],['#/Unit]]*FilterSpecs!$C$3+MouserListTable[[#This Row],[Extra]]</f>
        <v>0</v>
      </c>
      <c r="X521" s="94">
        <f>IF(MouserListTable[[#This Row],[Tag]]=FilterSpecs!$F$7,MouserListTable[[#This Row],['#/Unit]]*MouserListTable[[#This Row],[Price (USD)]],0)</f>
        <v>0</v>
      </c>
      <c r="Y521" s="94">
        <f>MouserListTable[[#This Row],[Tot '#]]*MouserListTable[[#This Row],[Price (USD)]]</f>
        <v>0</v>
      </c>
      <c r="Z521"/>
    </row>
    <row r="522" spans="1:26" s="104" customFormat="1" x14ac:dyDescent="0.25">
      <c r="A522" s="98" t="s">
        <v>890</v>
      </c>
      <c r="B522" s="98" t="s">
        <v>2408</v>
      </c>
      <c r="C522" s="78" t="s">
        <v>1892</v>
      </c>
      <c r="D522" s="81" t="str">
        <f>IF(MouserListTable[[#This Row],[Vendor]]=FilterSpecs!$A$8,MouserListTable[[#This Row],[Mouser SKU]], MouserListTable[[#This Row],[Supplier SKU]])</f>
        <v>485-1769</v>
      </c>
      <c r="E522" s="94">
        <f>MouserListTable[[#This Row],[Tot '#]]-MouserListTable[[#This Row],['# Initial]]</f>
        <v>0</v>
      </c>
      <c r="F522" s="94">
        <f>IF(AND(MouserListTable[[#This Row],[Tag]]&lt;&gt;FilterSpecs!$F$12, MouserListTable[[#This Row],[Tag]]&lt;&gt;FilterSpecs!$F$9), MouserListTable[[#This Row],['#/Unit]]*FilterSpecs!$B$3+MouserListTable[[#This Row],[Extra Initial]],0)</f>
        <v>0</v>
      </c>
      <c r="G522" s="106"/>
      <c r="H522" s="150"/>
      <c r="I522" s="98" t="s">
        <v>2427</v>
      </c>
      <c r="J522" s="113">
        <v>102</v>
      </c>
      <c r="K522" s="119">
        <v>0.75</v>
      </c>
      <c r="L522" s="97" t="s">
        <v>1896</v>
      </c>
      <c r="M522" s="106"/>
      <c r="N522" s="154">
        <f>MouserListTable[[#This Row],['# Initial]]*MouserListTable[[#This Row],[Price (USD)]]</f>
        <v>0</v>
      </c>
      <c r="O522" s="113" t="s">
        <v>2121</v>
      </c>
      <c r="P522" s="150">
        <f t="shared" si="8"/>
        <v>509</v>
      </c>
      <c r="Q522" s="78" t="s">
        <v>1884</v>
      </c>
      <c r="R522"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485-1769</v>
      </c>
      <c r="S522" s="133" t="str">
        <f>HYPERLINK("https://www.mouser.com/ProductDetail/" &amp;MouserListTable[[#This Row],[Mouser SKU]])</f>
        <v>https://www.mouser.com/ProductDetail/485-1769</v>
      </c>
      <c r="T522" s="94">
        <v>0</v>
      </c>
      <c r="U522" s="94">
        <v>0</v>
      </c>
      <c r="V522" s="94">
        <v>0</v>
      </c>
      <c r="W522" s="94">
        <f>MouserListTable[[#This Row],['#/Unit]]*FilterSpecs!$C$3+MouserListTable[[#This Row],[Extra]]</f>
        <v>0</v>
      </c>
      <c r="X522" s="94">
        <f>IF(MouserListTable[[#This Row],[Tag]]=FilterSpecs!$F$7,MouserListTable[[#This Row],['#/Unit]]*MouserListTable[[#This Row],[Price (USD)]],0)</f>
        <v>0</v>
      </c>
      <c r="Y522" s="94">
        <f>MouserListTable[[#This Row],[Tot '#]]*MouserListTable[[#This Row],[Price (USD)]]</f>
        <v>0</v>
      </c>
      <c r="Z522"/>
    </row>
    <row r="523" spans="1:26" s="104" customFormat="1" x14ac:dyDescent="0.25">
      <c r="A523" s="81" t="s">
        <v>890</v>
      </c>
      <c r="B523" s="81" t="s">
        <v>1869</v>
      </c>
      <c r="C523" s="78" t="s">
        <v>1892</v>
      </c>
      <c r="D523" s="81" t="str">
        <f>IF(MouserListTable[[#This Row],[Vendor]]=FilterSpecs!$A$8,MouserListTable[[#This Row],[Mouser SKU]], MouserListTable[[#This Row],[Supplier SKU]])</f>
        <v>474-PRT-09918</v>
      </c>
      <c r="E523" s="94">
        <f>MouserListTable[[#This Row],[Tot '#]]-MouserListTable[[#This Row],['# Initial]]</f>
        <v>0</v>
      </c>
      <c r="F523" s="94">
        <f>IF(AND(MouserListTable[[#This Row],[Tag]]&lt;&gt;FilterSpecs!$F$12, MouserListTable[[#This Row],[Tag]]&lt;&gt;FilterSpecs!$F$9), MouserListTable[[#This Row],['#/Unit]]*FilterSpecs!$B$3+MouserListTable[[#This Row],[Extra Initial]],0)</f>
        <v>10</v>
      </c>
      <c r="G523" s="78" t="s">
        <v>1742</v>
      </c>
      <c r="H523" s="150" t="s">
        <v>1743</v>
      </c>
      <c r="I523" s="81" t="s">
        <v>1744</v>
      </c>
      <c r="J523" s="78"/>
      <c r="K523" s="117">
        <v>0.95</v>
      </c>
      <c r="L523" s="81" t="s">
        <v>1897</v>
      </c>
      <c r="M523" s="78"/>
      <c r="N523" s="154">
        <f>MouserListTable[[#This Row],['# Initial]]*MouserListTable[[#This Row],[Price (USD)]]</f>
        <v>9.5</v>
      </c>
      <c r="O523" s="81" t="s">
        <v>1741</v>
      </c>
      <c r="P523" s="150">
        <f t="shared" si="8"/>
        <v>510</v>
      </c>
      <c r="Q523" s="78" t="s">
        <v>5</v>
      </c>
      <c r="R523"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474-PRT-09918</v>
      </c>
      <c r="S523" s="133" t="str">
        <f>HYPERLINK("https://www.mouser.com/ProductDetail/" &amp;MouserListTable[[#This Row],[Mouser SKU]])</f>
        <v>https://www.mouser.com/ProductDetail/474-PRT-09918</v>
      </c>
      <c r="T523" s="94">
        <v>2</v>
      </c>
      <c r="U523" s="94">
        <v>0</v>
      </c>
      <c r="V523" s="94">
        <v>0</v>
      </c>
      <c r="W523" s="94">
        <f>MouserListTable[[#This Row],['#/Unit]]*FilterSpecs!$C$3+MouserListTable[[#This Row],[Extra]]</f>
        <v>10</v>
      </c>
      <c r="X523" s="94">
        <f>IF(MouserListTable[[#This Row],[Tag]]=FilterSpecs!$F$7,MouserListTable[[#This Row],['#/Unit]]*MouserListTable[[#This Row],[Price (USD)]],0)</f>
        <v>1.9</v>
      </c>
      <c r="Y523" s="94">
        <f>MouserListTable[[#This Row],[Tot '#]]*MouserListTable[[#This Row],[Price (USD)]]</f>
        <v>9.5</v>
      </c>
      <c r="Z523"/>
    </row>
    <row r="524" spans="1:26" s="104" customFormat="1" x14ac:dyDescent="0.25">
      <c r="A524" s="81" t="s">
        <v>890</v>
      </c>
      <c r="B524" s="81" t="s">
        <v>1869</v>
      </c>
      <c r="C524" s="78" t="s">
        <v>1892</v>
      </c>
      <c r="D524" s="81" t="str">
        <f>IF(MouserListTable[[#This Row],[Vendor]]=FilterSpecs!$A$8,MouserListTable[[#This Row],[Mouser SKU]], MouserListTable[[#This Row],[Supplier SKU]])</f>
        <v>474-PRT-09922</v>
      </c>
      <c r="E524" s="94">
        <f>MouserListTable[[#This Row],[Tot '#]]-MouserListTable[[#This Row],['# Initial]]</f>
        <v>0</v>
      </c>
      <c r="F524" s="94">
        <f>IF(AND(MouserListTable[[#This Row],[Tag]]&lt;&gt;FilterSpecs!$F$12, MouserListTable[[#This Row],[Tag]]&lt;&gt;FilterSpecs!$F$9), MouserListTable[[#This Row],['#/Unit]]*FilterSpecs!$B$3+MouserListTable[[#This Row],[Extra Initial]],0)</f>
        <v>10</v>
      </c>
      <c r="G524" s="78" t="s">
        <v>1754</v>
      </c>
      <c r="H524" s="150" t="s">
        <v>1755</v>
      </c>
      <c r="I524" s="81" t="s">
        <v>1756</v>
      </c>
      <c r="J524" s="78">
        <v>1</v>
      </c>
      <c r="K524" s="117">
        <v>1.95</v>
      </c>
      <c r="L524" s="81" t="s">
        <v>1897</v>
      </c>
      <c r="M524" s="78"/>
      <c r="N524" s="154">
        <f>MouserListTable[[#This Row],['# Initial]]*MouserListTable[[#This Row],[Price (USD)]]</f>
        <v>19.5</v>
      </c>
      <c r="O524" s="81" t="s">
        <v>1753</v>
      </c>
      <c r="P524" s="150">
        <f t="shared" si="8"/>
        <v>511</v>
      </c>
      <c r="Q524" s="78" t="s">
        <v>5</v>
      </c>
      <c r="R524"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474-PRT-09922</v>
      </c>
      <c r="S524" s="133" t="str">
        <f>HYPERLINK("https://www.mouser.com/ProductDetail/" &amp;MouserListTable[[#This Row],[Mouser SKU]])</f>
        <v>https://www.mouser.com/ProductDetail/474-PRT-09922</v>
      </c>
      <c r="T524" s="94">
        <v>2</v>
      </c>
      <c r="U524" s="94">
        <v>0</v>
      </c>
      <c r="V524" s="94">
        <v>0</v>
      </c>
      <c r="W524" s="94">
        <f>MouserListTable[[#This Row],['#/Unit]]*FilterSpecs!$C$3+MouserListTable[[#This Row],[Extra]]</f>
        <v>10</v>
      </c>
      <c r="X524" s="94">
        <f>IF(MouserListTable[[#This Row],[Tag]]=FilterSpecs!$F$7,MouserListTable[[#This Row],['#/Unit]]*MouserListTable[[#This Row],[Price (USD)]],0)</f>
        <v>3.9</v>
      </c>
      <c r="Y524" s="94">
        <f>MouserListTable[[#This Row],[Tot '#]]*MouserListTable[[#This Row],[Price (USD)]]</f>
        <v>19.5</v>
      </c>
      <c r="Z524"/>
    </row>
    <row r="525" spans="1:26" s="104" customFormat="1" x14ac:dyDescent="0.25">
      <c r="A525" s="106" t="s">
        <v>890</v>
      </c>
      <c r="B525" s="106" t="s">
        <v>1594</v>
      </c>
      <c r="C525" s="78" t="s">
        <v>1892</v>
      </c>
      <c r="D525" s="81" t="str">
        <f>IF(MouserListTable[[#This Row],[Vendor]]=FilterSpecs!$A$8,MouserListTable[[#This Row],[Mouser SKU]], MouserListTable[[#This Row],[Supplier SKU]])</f>
        <v>474-PRT-08614</v>
      </c>
      <c r="E525" s="94">
        <f>MouserListTable[[#This Row],[Tot '#]]-MouserListTable[[#This Row],['# Initial]]</f>
        <v>0</v>
      </c>
      <c r="F525" s="94">
        <f>IF(AND(MouserListTable[[#This Row],[Tag]]&lt;&gt;FilterSpecs!$F$12, MouserListTable[[#This Row],[Tag]]&lt;&gt;FilterSpecs!$F$9), MouserListTable[[#This Row],['#/Unit]]*FilterSpecs!$B$3+MouserListTable[[#This Row],[Extra Initial]],0)</f>
        <v>0</v>
      </c>
      <c r="G525" s="78" t="s">
        <v>463</v>
      </c>
      <c r="H525" s="150" t="s">
        <v>464</v>
      </c>
      <c r="I525" s="81" t="s">
        <v>465</v>
      </c>
      <c r="J525" s="78">
        <v>1</v>
      </c>
      <c r="K525" s="117">
        <v>1.5</v>
      </c>
      <c r="L525" s="81" t="s">
        <v>1896</v>
      </c>
      <c r="M525" s="78"/>
      <c r="N525" s="154">
        <f>MouserListTable[[#This Row],['# Initial]]*MouserListTable[[#This Row],[Price (USD)]]</f>
        <v>0</v>
      </c>
      <c r="O525" s="81" t="s">
        <v>462</v>
      </c>
      <c r="P525" s="150">
        <f t="shared" si="8"/>
        <v>512</v>
      </c>
      <c r="Q525" s="78" t="s">
        <v>5</v>
      </c>
      <c r="R525"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474-PRT-08614</v>
      </c>
      <c r="S525" s="133" t="str">
        <f>HYPERLINK("https://www.mouser.com/ProductDetail/" &amp;MouserListTable[[#This Row],[Mouser SKU]])</f>
        <v>https://www.mouser.com/ProductDetail/474-PRT-08614</v>
      </c>
      <c r="T525" s="94">
        <v>0</v>
      </c>
      <c r="U525" s="94">
        <v>0</v>
      </c>
      <c r="V525" s="94">
        <v>0</v>
      </c>
      <c r="W525" s="94">
        <f>MouserListTable[[#This Row],['#/Unit]]*FilterSpecs!$C$3+MouserListTable[[#This Row],[Extra]]</f>
        <v>0</v>
      </c>
      <c r="X525" s="94">
        <f>IF(MouserListTable[[#This Row],[Tag]]=FilterSpecs!$F$7,MouserListTable[[#This Row],['#/Unit]]*MouserListTable[[#This Row],[Price (USD)]],0)</f>
        <v>0</v>
      </c>
      <c r="Y525" s="94">
        <f>MouserListTable[[#This Row],[Tot '#]]*MouserListTable[[#This Row],[Price (USD)]]</f>
        <v>0</v>
      </c>
      <c r="Z525"/>
    </row>
    <row r="526" spans="1:26" s="104" customFormat="1" x14ac:dyDescent="0.25">
      <c r="A526" s="106" t="s">
        <v>890</v>
      </c>
      <c r="B526" s="106" t="s">
        <v>1594</v>
      </c>
      <c r="C526" s="78" t="s">
        <v>1892</v>
      </c>
      <c r="D526" s="81" t="str">
        <f>IF(MouserListTable[[#This Row],[Vendor]]=FilterSpecs!$A$8,MouserListTable[[#This Row],[Mouser SKU]], MouserListTable[[#This Row],[Supplier SKU]])</f>
        <v>474-PRT-08672</v>
      </c>
      <c r="E526" s="94">
        <f>MouserListTable[[#This Row],[Tot '#]]-MouserListTable[[#This Row],['# Initial]]</f>
        <v>0</v>
      </c>
      <c r="F526" s="94">
        <f>IF(AND(MouserListTable[[#This Row],[Tag]]&lt;&gt;FilterSpecs!$F$12, MouserListTable[[#This Row],[Tag]]&lt;&gt;FilterSpecs!$F$9), MouserListTable[[#This Row],['#/Unit]]*FilterSpecs!$B$3+MouserListTable[[#This Row],[Extra Initial]],0)</f>
        <v>0</v>
      </c>
      <c r="G526" s="78" t="s">
        <v>459</v>
      </c>
      <c r="H526" s="150" t="s">
        <v>460</v>
      </c>
      <c r="I526" s="81" t="s">
        <v>461</v>
      </c>
      <c r="J526" s="78">
        <v>1</v>
      </c>
      <c r="K526" s="117">
        <v>0.95</v>
      </c>
      <c r="L526" s="81" t="s">
        <v>1896</v>
      </c>
      <c r="M526" s="78"/>
      <c r="N526" s="154">
        <f>MouserListTable[[#This Row],['# Initial]]*MouserListTable[[#This Row],[Price (USD)]]</f>
        <v>0</v>
      </c>
      <c r="O526" s="81" t="s">
        <v>458</v>
      </c>
      <c r="P526" s="150">
        <f t="shared" si="8"/>
        <v>513</v>
      </c>
      <c r="Q526" s="78" t="s">
        <v>5</v>
      </c>
      <c r="R526"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474-PRT-08672</v>
      </c>
      <c r="S526" s="133" t="str">
        <f>HYPERLINK("https://www.mouser.com/ProductDetail/" &amp;MouserListTable[[#This Row],[Mouser SKU]])</f>
        <v>https://www.mouser.com/ProductDetail/474-PRT-08672</v>
      </c>
      <c r="T526" s="94">
        <v>0</v>
      </c>
      <c r="U526" s="94">
        <v>0</v>
      </c>
      <c r="V526" s="94">
        <v>0</v>
      </c>
      <c r="W526" s="94">
        <f>MouserListTable[[#This Row],['#/Unit]]*FilterSpecs!$C$3+MouserListTable[[#This Row],[Extra]]</f>
        <v>0</v>
      </c>
      <c r="X526" s="94">
        <f>IF(MouserListTable[[#This Row],[Tag]]=FilterSpecs!$F$7,MouserListTable[[#This Row],['#/Unit]]*MouserListTable[[#This Row],[Price (USD)]],0)</f>
        <v>0</v>
      </c>
      <c r="Y526" s="94">
        <f>MouserListTable[[#This Row],[Tot '#]]*MouserListTable[[#This Row],[Price (USD)]]</f>
        <v>0</v>
      </c>
      <c r="Z526"/>
    </row>
    <row r="527" spans="1:26" s="104" customFormat="1" x14ac:dyDescent="0.25">
      <c r="A527" s="106" t="s">
        <v>890</v>
      </c>
      <c r="B527" s="106" t="s">
        <v>1594</v>
      </c>
      <c r="C527" s="78" t="s">
        <v>1892</v>
      </c>
      <c r="D527" s="81" t="str">
        <f>IF(MouserListTable[[#This Row],[Vendor]]=FilterSpecs!$A$8,MouserListTable[[#This Row],[Mouser SKU]], MouserListTable[[#This Row],[Supplier SKU]])</f>
        <v>474-PRT-10367</v>
      </c>
      <c r="E527" s="94">
        <f>MouserListTable[[#This Row],[Tot '#]]-MouserListTable[[#This Row],['# Initial]]</f>
        <v>0</v>
      </c>
      <c r="F527" s="94">
        <f>IF(AND(MouserListTable[[#This Row],[Tag]]&lt;&gt;FilterSpecs!$F$12, MouserListTable[[#This Row],[Tag]]&lt;&gt;FilterSpecs!$F$9), MouserListTable[[#This Row],['#/Unit]]*FilterSpecs!$B$3+MouserListTable[[#This Row],[Extra Initial]],0)</f>
        <v>0</v>
      </c>
      <c r="G527" s="78" t="s">
        <v>581</v>
      </c>
      <c r="H527" s="150" t="s">
        <v>582</v>
      </c>
      <c r="I527" s="81" t="s">
        <v>583</v>
      </c>
      <c r="J527" s="78"/>
      <c r="K527" s="117">
        <v>1.5</v>
      </c>
      <c r="L527" s="81" t="s">
        <v>1896</v>
      </c>
      <c r="M527" s="78"/>
      <c r="N527" s="154">
        <f>MouserListTable[[#This Row],['# Initial]]*MouserListTable[[#This Row],[Price (USD)]]</f>
        <v>0</v>
      </c>
      <c r="O527" s="81" t="s">
        <v>580</v>
      </c>
      <c r="P527" s="150">
        <f t="shared" si="8"/>
        <v>514</v>
      </c>
      <c r="Q527" s="78" t="s">
        <v>5</v>
      </c>
      <c r="R527"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474-PRT-10367</v>
      </c>
      <c r="S527" s="133" t="str">
        <f>HYPERLINK("https://www.mouser.com/ProductDetail/" &amp;MouserListTable[[#This Row],[Mouser SKU]])</f>
        <v>https://www.mouser.com/ProductDetail/474-PRT-10367</v>
      </c>
      <c r="T527" s="94">
        <v>0</v>
      </c>
      <c r="U527" s="94">
        <v>0</v>
      </c>
      <c r="V527" s="94">
        <v>0</v>
      </c>
      <c r="W527" s="94">
        <f>MouserListTable[[#This Row],['#/Unit]]*FilterSpecs!$C$3+MouserListTable[[#This Row],[Extra]]</f>
        <v>0</v>
      </c>
      <c r="X527" s="94">
        <f>IF(MouserListTable[[#This Row],[Tag]]=FilterSpecs!$F$7,MouserListTable[[#This Row],['#/Unit]]*MouserListTable[[#This Row],[Price (USD)]],0)</f>
        <v>0</v>
      </c>
      <c r="Y527" s="94">
        <f>MouserListTable[[#This Row],[Tot '#]]*MouserListTable[[#This Row],[Price (USD)]]</f>
        <v>0</v>
      </c>
      <c r="Z527"/>
    </row>
    <row r="528" spans="1:26" s="104" customFormat="1" x14ac:dyDescent="0.25">
      <c r="A528" s="106" t="s">
        <v>890</v>
      </c>
      <c r="B528" s="106" t="s">
        <v>1594</v>
      </c>
      <c r="C528" s="78" t="s">
        <v>1892</v>
      </c>
      <c r="D528" s="81" t="str">
        <f>IF(MouserListTable[[#This Row],[Vendor]]=FilterSpecs!$A$8,MouserListTable[[#This Row],[Mouser SKU]], MouserListTable[[#This Row],[Supplier SKU]])</f>
        <v>474-PRT-10373</v>
      </c>
      <c r="E528" s="94">
        <f>MouserListTable[[#This Row],[Tot '#]]-MouserListTable[[#This Row],['# Initial]]</f>
        <v>0</v>
      </c>
      <c r="F528" s="94">
        <f>IF(AND(MouserListTable[[#This Row],[Tag]]&lt;&gt;FilterSpecs!$F$12, MouserListTable[[#This Row],[Tag]]&lt;&gt;FilterSpecs!$F$9), MouserListTable[[#This Row],['#/Unit]]*FilterSpecs!$B$3+MouserListTable[[#This Row],[Extra Initial]],0)</f>
        <v>0</v>
      </c>
      <c r="G528" s="78" t="s">
        <v>569</v>
      </c>
      <c r="H528" s="150" t="s">
        <v>570</v>
      </c>
      <c r="I528" s="81" t="s">
        <v>571</v>
      </c>
      <c r="J528" s="78"/>
      <c r="K528" s="117">
        <v>1.95</v>
      </c>
      <c r="L528" s="81" t="s">
        <v>1896</v>
      </c>
      <c r="M528" s="78"/>
      <c r="N528" s="154">
        <f>MouserListTable[[#This Row],['# Initial]]*MouserListTable[[#This Row],[Price (USD)]]</f>
        <v>0</v>
      </c>
      <c r="O528" s="81" t="s">
        <v>568</v>
      </c>
      <c r="P528" s="150">
        <f t="shared" si="8"/>
        <v>515</v>
      </c>
      <c r="Q528" s="78" t="s">
        <v>5</v>
      </c>
      <c r="R528"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474-PRT-10373</v>
      </c>
      <c r="S528" s="133" t="str">
        <f>HYPERLINK("https://www.mouser.com/ProductDetail/" &amp;MouserListTable[[#This Row],[Mouser SKU]])</f>
        <v>https://www.mouser.com/ProductDetail/474-PRT-10373</v>
      </c>
      <c r="T528" s="94">
        <v>0</v>
      </c>
      <c r="U528" s="94">
        <v>0</v>
      </c>
      <c r="V528" s="94">
        <v>0</v>
      </c>
      <c r="W528" s="94">
        <f>MouserListTable[[#This Row],['#/Unit]]*FilterSpecs!$C$3+MouserListTable[[#This Row],[Extra]]</f>
        <v>0</v>
      </c>
      <c r="X528" s="94">
        <f>IF(MouserListTable[[#This Row],[Tag]]=FilterSpecs!$F$7,MouserListTable[[#This Row],['#/Unit]]*MouserListTable[[#This Row],[Price (USD)]],0)</f>
        <v>0</v>
      </c>
      <c r="Y528" s="94">
        <f>MouserListTable[[#This Row],[Tot '#]]*MouserListTable[[#This Row],[Price (USD)]]</f>
        <v>0</v>
      </c>
      <c r="Z528"/>
    </row>
    <row r="529" spans="1:26" s="104" customFormat="1" x14ac:dyDescent="0.25">
      <c r="A529" s="106" t="s">
        <v>890</v>
      </c>
      <c r="B529" s="106" t="s">
        <v>1594</v>
      </c>
      <c r="C529" s="78" t="s">
        <v>1892</v>
      </c>
      <c r="D529" s="81" t="str">
        <f>IF(MouserListTable[[#This Row],[Vendor]]=FilterSpecs!$A$8,MouserListTable[[#This Row],[Mouser SKU]], MouserListTable[[#This Row],[Supplier SKU]])</f>
        <v>474-PRT-13164</v>
      </c>
      <c r="E529" s="94">
        <f>MouserListTable[[#This Row],[Tot '#]]-MouserListTable[[#This Row],['# Initial]]</f>
        <v>0</v>
      </c>
      <c r="F529" s="94">
        <f>IF(AND(MouserListTable[[#This Row],[Tag]]&lt;&gt;FilterSpecs!$F$12, MouserListTable[[#This Row],[Tag]]&lt;&gt;FilterSpecs!$F$9), MouserListTable[[#This Row],['#/Unit]]*FilterSpecs!$B$3+MouserListTable[[#This Row],[Extra Initial]],0)</f>
        <v>0</v>
      </c>
      <c r="G529" s="78" t="s">
        <v>533</v>
      </c>
      <c r="H529" s="150" t="s">
        <v>534</v>
      </c>
      <c r="I529" s="81" t="s">
        <v>535</v>
      </c>
      <c r="J529" s="78">
        <v>1</v>
      </c>
      <c r="K529" s="117">
        <v>1.5</v>
      </c>
      <c r="L529" s="81" t="s">
        <v>1896</v>
      </c>
      <c r="M529" s="78"/>
      <c r="N529" s="154">
        <f>MouserListTable[[#This Row],['# Initial]]*MouserListTable[[#This Row],[Price (USD)]]</f>
        <v>0</v>
      </c>
      <c r="O529" s="81" t="s">
        <v>532</v>
      </c>
      <c r="P529" s="150">
        <f t="shared" si="8"/>
        <v>516</v>
      </c>
      <c r="Q529" s="78" t="s">
        <v>5</v>
      </c>
      <c r="R529"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474-PRT-13164</v>
      </c>
      <c r="S529" s="133" t="str">
        <f>HYPERLINK("https://www.mouser.com/ProductDetail/" &amp;MouserListTable[[#This Row],[Mouser SKU]])</f>
        <v>https://www.mouser.com/ProductDetail/474-PRT-13164</v>
      </c>
      <c r="T529" s="94">
        <v>0</v>
      </c>
      <c r="U529" s="94">
        <v>0</v>
      </c>
      <c r="V529" s="94">
        <v>0</v>
      </c>
      <c r="W529" s="94">
        <f>MouserListTable[[#This Row],['#/Unit]]*FilterSpecs!$C$3+MouserListTable[[#This Row],[Extra]]</f>
        <v>0</v>
      </c>
      <c r="X529" s="94">
        <f>IF(MouserListTable[[#This Row],[Tag]]=FilterSpecs!$F$7,MouserListTable[[#This Row],['#/Unit]]*MouserListTable[[#This Row],[Price (USD)]],0)</f>
        <v>0</v>
      </c>
      <c r="Y529" s="94">
        <f>MouserListTable[[#This Row],[Tot '#]]*MouserListTable[[#This Row],[Price (USD)]]</f>
        <v>0</v>
      </c>
      <c r="Z529"/>
    </row>
    <row r="530" spans="1:26" s="104" customFormat="1" x14ac:dyDescent="0.25">
      <c r="A530" s="106" t="s">
        <v>890</v>
      </c>
      <c r="B530" s="106" t="s">
        <v>1594</v>
      </c>
      <c r="C530" s="78" t="s">
        <v>1892</v>
      </c>
      <c r="D530" s="81" t="str">
        <f>IF(MouserListTable[[#This Row],[Vendor]]=FilterSpecs!$A$8,MouserListTable[[#This Row],[Mouser SKU]], MouserListTable[[#This Row],[Supplier SKU]])</f>
        <v>474-PRT-10369</v>
      </c>
      <c r="E530" s="94">
        <f>MouserListTable[[#This Row],[Tot '#]]-MouserListTable[[#This Row],['# Initial]]</f>
        <v>0</v>
      </c>
      <c r="F530" s="94">
        <f>IF(AND(MouserListTable[[#This Row],[Tag]]&lt;&gt;FilterSpecs!$F$12, MouserListTable[[#This Row],[Tag]]&lt;&gt;FilterSpecs!$F$9), MouserListTable[[#This Row],['#/Unit]]*FilterSpecs!$B$3+MouserListTable[[#This Row],[Extra Initial]],0)</f>
        <v>0</v>
      </c>
      <c r="G530" s="78" t="s">
        <v>493</v>
      </c>
      <c r="H530" s="150" t="s">
        <v>494</v>
      </c>
      <c r="I530" s="81" t="s">
        <v>495</v>
      </c>
      <c r="J530" s="78"/>
      <c r="K530" s="117">
        <v>1.5</v>
      </c>
      <c r="L530" s="81" t="s">
        <v>1896</v>
      </c>
      <c r="M530" s="78"/>
      <c r="N530" s="154">
        <f>MouserListTable[[#This Row],['# Initial]]*MouserListTable[[#This Row],[Price (USD)]]</f>
        <v>0</v>
      </c>
      <c r="O530" s="81" t="s">
        <v>492</v>
      </c>
      <c r="P530" s="150">
        <f t="shared" si="8"/>
        <v>517</v>
      </c>
      <c r="Q530" s="78" t="s">
        <v>5</v>
      </c>
      <c r="R530"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474-PRT-10369</v>
      </c>
      <c r="S530" s="133" t="str">
        <f>HYPERLINK("https://www.mouser.com/ProductDetail/" &amp;MouserListTable[[#This Row],[Mouser SKU]])</f>
        <v>https://www.mouser.com/ProductDetail/474-PRT-10369</v>
      </c>
      <c r="T530" s="94">
        <v>0</v>
      </c>
      <c r="U530" s="94">
        <v>0</v>
      </c>
      <c r="V530" s="94">
        <v>0</v>
      </c>
      <c r="W530" s="94">
        <f>MouserListTable[[#This Row],['#/Unit]]*FilterSpecs!$C$3+MouserListTable[[#This Row],[Extra]]</f>
        <v>0</v>
      </c>
      <c r="X530" s="94">
        <f>IF(MouserListTable[[#This Row],[Tag]]=FilterSpecs!$F$7,MouserListTable[[#This Row],['#/Unit]]*MouserListTable[[#This Row],[Price (USD)]],0)</f>
        <v>0</v>
      </c>
      <c r="Y530" s="94">
        <f>MouserListTable[[#This Row],[Tot '#]]*MouserListTable[[#This Row],[Price (USD)]]</f>
        <v>0</v>
      </c>
      <c r="Z530"/>
    </row>
    <row r="531" spans="1:26" s="104" customFormat="1" x14ac:dyDescent="0.25">
      <c r="A531" s="106" t="s">
        <v>890</v>
      </c>
      <c r="B531" s="106" t="s">
        <v>1594</v>
      </c>
      <c r="C531" s="78" t="s">
        <v>1892</v>
      </c>
      <c r="D531" s="81" t="str">
        <f>IF(MouserListTable[[#This Row],[Vendor]]=FilterSpecs!$A$8,MouserListTable[[#This Row],[Mouser SKU]], MouserListTable[[#This Row],[Supplier SKU]])</f>
        <v>474-PRT-10370</v>
      </c>
      <c r="E531" s="94">
        <f>MouserListTable[[#This Row],[Tot '#]]-MouserListTable[[#This Row],['# Initial]]</f>
        <v>0</v>
      </c>
      <c r="F531" s="94">
        <f>IF(AND(MouserListTable[[#This Row],[Tag]]&lt;&gt;FilterSpecs!$F$12, MouserListTable[[#This Row],[Tag]]&lt;&gt;FilterSpecs!$F$9), MouserListTable[[#This Row],['#/Unit]]*FilterSpecs!$B$3+MouserListTable[[#This Row],[Extra Initial]],0)</f>
        <v>0</v>
      </c>
      <c r="G531" s="78" t="s">
        <v>529</v>
      </c>
      <c r="H531" s="150" t="s">
        <v>530</v>
      </c>
      <c r="I531" s="81" t="s">
        <v>531</v>
      </c>
      <c r="J531" s="78"/>
      <c r="K531" s="117">
        <v>1.5</v>
      </c>
      <c r="L531" s="81" t="s">
        <v>1896</v>
      </c>
      <c r="M531" s="78"/>
      <c r="N531" s="154">
        <f>MouserListTable[[#This Row],['# Initial]]*MouserListTable[[#This Row],[Price (USD)]]</f>
        <v>0</v>
      </c>
      <c r="O531" s="81" t="s">
        <v>528</v>
      </c>
      <c r="P531" s="150">
        <f t="shared" si="8"/>
        <v>518</v>
      </c>
      <c r="Q531" s="78" t="s">
        <v>5</v>
      </c>
      <c r="R531"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474-PRT-10370</v>
      </c>
      <c r="S531" s="133" t="str">
        <f>HYPERLINK("https://www.mouser.com/ProductDetail/" &amp;MouserListTable[[#This Row],[Mouser SKU]])</f>
        <v>https://www.mouser.com/ProductDetail/474-PRT-10370</v>
      </c>
      <c r="T531" s="94">
        <v>0</v>
      </c>
      <c r="U531" s="94">
        <v>0</v>
      </c>
      <c r="V531" s="94">
        <v>0</v>
      </c>
      <c r="W531" s="94">
        <f>MouserListTable[[#This Row],['#/Unit]]*FilterSpecs!$C$3+MouserListTable[[#This Row],[Extra]]</f>
        <v>0</v>
      </c>
      <c r="X531" s="94">
        <f>IF(MouserListTable[[#This Row],[Tag]]=FilterSpecs!$F$7,MouserListTable[[#This Row],['#/Unit]]*MouserListTable[[#This Row],[Price (USD)]],0)</f>
        <v>0</v>
      </c>
      <c r="Y531" s="94">
        <f>MouserListTable[[#This Row],[Tot '#]]*MouserListTable[[#This Row],[Price (USD)]]</f>
        <v>0</v>
      </c>
      <c r="Z531"/>
    </row>
    <row r="532" spans="1:26" s="104" customFormat="1" x14ac:dyDescent="0.25">
      <c r="A532" s="106" t="s">
        <v>890</v>
      </c>
      <c r="B532" s="106" t="s">
        <v>1594</v>
      </c>
      <c r="C532" s="78" t="s">
        <v>1892</v>
      </c>
      <c r="D532" s="81" t="str">
        <f>IF(MouserListTable[[#This Row],[Vendor]]=FilterSpecs!$A$8,MouserListTable[[#This Row],[Mouser SKU]], MouserListTable[[#This Row],[Supplier SKU]])</f>
        <v>474-PRT-10376</v>
      </c>
      <c r="E532" s="94">
        <f>MouserListTable[[#This Row],[Tot '#]]-MouserListTable[[#This Row],['# Initial]]</f>
        <v>0</v>
      </c>
      <c r="F532" s="94">
        <f>IF(AND(MouserListTable[[#This Row],[Tag]]&lt;&gt;FilterSpecs!$F$12, MouserListTable[[#This Row],[Tag]]&lt;&gt;FilterSpecs!$F$9), MouserListTable[[#This Row],['#/Unit]]*FilterSpecs!$B$3+MouserListTable[[#This Row],[Extra Initial]],0)</f>
        <v>0</v>
      </c>
      <c r="G532" s="78" t="s">
        <v>497</v>
      </c>
      <c r="H532" s="150" t="s">
        <v>498</v>
      </c>
      <c r="I532" s="81" t="s">
        <v>499</v>
      </c>
      <c r="J532" s="78"/>
      <c r="K532" s="117">
        <v>1.95</v>
      </c>
      <c r="L532" s="81" t="s">
        <v>1896</v>
      </c>
      <c r="M532" s="78"/>
      <c r="N532" s="154">
        <f>MouserListTable[[#This Row],['# Initial]]*MouserListTable[[#This Row],[Price (USD)]]</f>
        <v>0</v>
      </c>
      <c r="O532" s="81" t="s">
        <v>496</v>
      </c>
      <c r="P532" s="150">
        <f t="shared" si="8"/>
        <v>519</v>
      </c>
      <c r="Q532" s="78" t="s">
        <v>5</v>
      </c>
      <c r="R532"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474-PRT-10376</v>
      </c>
      <c r="S532" s="133" t="str">
        <f>HYPERLINK("https://www.mouser.com/ProductDetail/" &amp;MouserListTable[[#This Row],[Mouser SKU]])</f>
        <v>https://www.mouser.com/ProductDetail/474-PRT-10376</v>
      </c>
      <c r="T532" s="94">
        <v>0</v>
      </c>
      <c r="U532" s="94">
        <v>0</v>
      </c>
      <c r="V532" s="94">
        <v>0</v>
      </c>
      <c r="W532" s="94">
        <f>MouserListTable[[#This Row],['#/Unit]]*FilterSpecs!$C$3+MouserListTable[[#This Row],[Extra]]</f>
        <v>0</v>
      </c>
      <c r="X532" s="94">
        <f>IF(MouserListTable[[#This Row],[Tag]]=FilterSpecs!$F$7,MouserListTable[[#This Row],['#/Unit]]*MouserListTable[[#This Row],[Price (USD)]],0)</f>
        <v>0</v>
      </c>
      <c r="Y532" s="94">
        <f>MouserListTable[[#This Row],[Tot '#]]*MouserListTable[[#This Row],[Price (USD)]]</f>
        <v>0</v>
      </c>
      <c r="Z532"/>
    </row>
    <row r="533" spans="1:26" s="104" customFormat="1" x14ac:dyDescent="0.25">
      <c r="A533" s="106" t="s">
        <v>890</v>
      </c>
      <c r="B533" s="106" t="s">
        <v>1594</v>
      </c>
      <c r="C533" s="78" t="s">
        <v>1892</v>
      </c>
      <c r="D533" s="81" t="str">
        <f>IF(MouserListTable[[#This Row],[Vendor]]=FilterSpecs!$A$8,MouserListTable[[#This Row],[Mouser SKU]], MouserListTable[[#This Row],[Supplier SKU]])</f>
        <v>474-PRT-10371</v>
      </c>
      <c r="E533" s="94">
        <f>MouserListTable[[#This Row],[Tot '#]]-MouserListTable[[#This Row],['# Initial]]</f>
        <v>0</v>
      </c>
      <c r="F533" s="94">
        <f>IF(AND(MouserListTable[[#This Row],[Tag]]&lt;&gt;FilterSpecs!$F$12, MouserListTable[[#This Row],[Tag]]&lt;&gt;FilterSpecs!$F$9), MouserListTable[[#This Row],['#/Unit]]*FilterSpecs!$B$3+MouserListTable[[#This Row],[Extra Initial]],0)</f>
        <v>0</v>
      </c>
      <c r="G533" s="78" t="s">
        <v>501</v>
      </c>
      <c r="H533" s="150" t="s">
        <v>502</v>
      </c>
      <c r="I533" s="81" t="s">
        <v>503</v>
      </c>
      <c r="J533" s="78"/>
      <c r="K533" s="117">
        <v>1.5</v>
      </c>
      <c r="L533" s="81" t="s">
        <v>1896</v>
      </c>
      <c r="M533" s="78"/>
      <c r="N533" s="154">
        <f>MouserListTable[[#This Row],['# Initial]]*MouserListTable[[#This Row],[Price (USD)]]</f>
        <v>0</v>
      </c>
      <c r="O533" s="81" t="s">
        <v>500</v>
      </c>
      <c r="P533" s="150">
        <f t="shared" si="8"/>
        <v>520</v>
      </c>
      <c r="Q533" s="78" t="s">
        <v>5</v>
      </c>
      <c r="R533"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474-PRT-10371</v>
      </c>
      <c r="S533" s="133" t="str">
        <f>HYPERLINK("https://www.mouser.com/ProductDetail/" &amp;MouserListTable[[#This Row],[Mouser SKU]])</f>
        <v>https://www.mouser.com/ProductDetail/474-PRT-10371</v>
      </c>
      <c r="T533" s="94">
        <v>0</v>
      </c>
      <c r="U533" s="94">
        <v>0</v>
      </c>
      <c r="V533" s="94">
        <v>0</v>
      </c>
      <c r="W533" s="94">
        <f>MouserListTable[[#This Row],['#/Unit]]*FilterSpecs!$C$3+MouserListTable[[#This Row],[Extra]]</f>
        <v>0</v>
      </c>
      <c r="X533" s="94">
        <f>IF(MouserListTable[[#This Row],[Tag]]=FilterSpecs!$F$7,MouserListTable[[#This Row],['#/Unit]]*MouserListTable[[#This Row],[Price (USD)]],0)</f>
        <v>0</v>
      </c>
      <c r="Y533" s="94">
        <f>MouserListTable[[#This Row],[Tot '#]]*MouserListTable[[#This Row],[Price (USD)]]</f>
        <v>0</v>
      </c>
      <c r="Z533"/>
    </row>
    <row r="534" spans="1:26" s="104" customFormat="1" x14ac:dyDescent="0.25">
      <c r="A534" s="106" t="s">
        <v>890</v>
      </c>
      <c r="B534" s="106" t="s">
        <v>1594</v>
      </c>
      <c r="C534" s="78" t="s">
        <v>1892</v>
      </c>
      <c r="D534" s="81" t="str">
        <f>IF(MouserListTable[[#This Row],[Vendor]]=FilterSpecs!$A$8,MouserListTable[[#This Row],[Mouser SKU]], MouserListTable[[#This Row],[Supplier SKU]])</f>
        <v>474-PRT-12796</v>
      </c>
      <c r="E534" s="94">
        <f>MouserListTable[[#This Row],[Tot '#]]-MouserListTable[[#This Row],['# Initial]]</f>
        <v>0</v>
      </c>
      <c r="F534" s="94">
        <f>IF(AND(MouserListTable[[#This Row],[Tag]]&lt;&gt;FilterSpecs!$F$12, MouserListTable[[#This Row],[Tag]]&lt;&gt;FilterSpecs!$F$9), MouserListTable[[#This Row],['#/Unit]]*FilterSpecs!$B$3+MouserListTable[[#This Row],[Extra Initial]],0)</f>
        <v>0</v>
      </c>
      <c r="G534" s="78" t="s">
        <v>541</v>
      </c>
      <c r="H534" s="150" t="s">
        <v>542</v>
      </c>
      <c r="I534" s="81" t="s">
        <v>543</v>
      </c>
      <c r="J534" s="78">
        <v>1</v>
      </c>
      <c r="K534" s="117">
        <v>1.95</v>
      </c>
      <c r="L534" s="81" t="s">
        <v>1896</v>
      </c>
      <c r="M534" s="78"/>
      <c r="N534" s="154">
        <f>MouserListTable[[#This Row],['# Initial]]*MouserListTable[[#This Row],[Price (USD)]]</f>
        <v>0</v>
      </c>
      <c r="O534" s="81" t="s">
        <v>540</v>
      </c>
      <c r="P534" s="150">
        <f t="shared" si="8"/>
        <v>521</v>
      </c>
      <c r="Q534" s="78" t="s">
        <v>5</v>
      </c>
      <c r="R534"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474-PRT-12796</v>
      </c>
      <c r="S534" s="133" t="str">
        <f>HYPERLINK("https://www.mouser.com/ProductDetail/" &amp;MouserListTable[[#This Row],[Mouser SKU]])</f>
        <v>https://www.mouser.com/ProductDetail/474-PRT-12796</v>
      </c>
      <c r="T534" s="94">
        <v>0</v>
      </c>
      <c r="U534" s="94">
        <v>0</v>
      </c>
      <c r="V534" s="94">
        <v>0</v>
      </c>
      <c r="W534" s="94">
        <f>MouserListTable[[#This Row],['#/Unit]]*FilterSpecs!$C$3+MouserListTable[[#This Row],[Extra]]</f>
        <v>0</v>
      </c>
      <c r="X534" s="94">
        <f>IF(MouserListTable[[#This Row],[Tag]]=FilterSpecs!$F$7,MouserListTable[[#This Row],['#/Unit]]*MouserListTable[[#This Row],[Price (USD)]],0)</f>
        <v>0</v>
      </c>
      <c r="Y534" s="94">
        <f>MouserListTable[[#This Row],[Tot '#]]*MouserListTable[[#This Row],[Price (USD)]]</f>
        <v>0</v>
      </c>
      <c r="Z534"/>
    </row>
    <row r="535" spans="1:26" s="104" customFormat="1" x14ac:dyDescent="0.25">
      <c r="A535" s="106" t="s">
        <v>890</v>
      </c>
      <c r="B535" s="106" t="s">
        <v>1594</v>
      </c>
      <c r="C535" s="78" t="s">
        <v>1892</v>
      </c>
      <c r="D535" s="81" t="str">
        <f>IF(MouserListTable[[#This Row],[Vendor]]=FilterSpecs!$A$8,MouserListTable[[#This Row],[Mouser SKU]], MouserListTable[[#This Row],[Supplier SKU]])</f>
        <v>474-PRT-11710</v>
      </c>
      <c r="E535" s="94">
        <f>MouserListTable[[#This Row],[Tot '#]]-MouserListTable[[#This Row],['# Initial]]</f>
        <v>0</v>
      </c>
      <c r="F535" s="94">
        <f>IF(AND(MouserListTable[[#This Row],[Tag]]&lt;&gt;FilterSpecs!$F$12, MouserListTable[[#This Row],[Tag]]&lt;&gt;FilterSpecs!$F$9), MouserListTable[[#This Row],['#/Unit]]*FilterSpecs!$B$3+MouserListTable[[#This Row],[Extra Initial]],0)</f>
        <v>0</v>
      </c>
      <c r="G535" s="78" t="s">
        <v>545</v>
      </c>
      <c r="H535" s="150" t="s">
        <v>546</v>
      </c>
      <c r="I535" s="81" t="s">
        <v>547</v>
      </c>
      <c r="J535" s="78">
        <v>1</v>
      </c>
      <c r="K535" s="117">
        <v>4.95</v>
      </c>
      <c r="L535" s="81" t="s">
        <v>1896</v>
      </c>
      <c r="M535" s="78"/>
      <c r="N535" s="154">
        <f>MouserListTable[[#This Row],['# Initial]]*MouserListTable[[#This Row],[Price (USD)]]</f>
        <v>0</v>
      </c>
      <c r="O535" s="81" t="s">
        <v>544</v>
      </c>
      <c r="P535" s="150">
        <f t="shared" si="8"/>
        <v>522</v>
      </c>
      <c r="Q535" s="78" t="s">
        <v>5</v>
      </c>
      <c r="R535"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474-PRT-11710</v>
      </c>
      <c r="S535" s="133" t="str">
        <f>HYPERLINK("https://www.mouser.com/ProductDetail/" &amp;MouserListTable[[#This Row],[Mouser SKU]])</f>
        <v>https://www.mouser.com/ProductDetail/474-PRT-11710</v>
      </c>
      <c r="T535" s="94">
        <v>0</v>
      </c>
      <c r="U535" s="94">
        <v>0</v>
      </c>
      <c r="V535" s="94">
        <v>0</v>
      </c>
      <c r="W535" s="94">
        <f>MouserListTable[[#This Row],['#/Unit]]*FilterSpecs!$C$3+MouserListTable[[#This Row],[Extra]]</f>
        <v>0</v>
      </c>
      <c r="X535" s="94">
        <f>IF(MouserListTable[[#This Row],[Tag]]=FilterSpecs!$F$7,MouserListTable[[#This Row],['#/Unit]]*MouserListTable[[#This Row],[Price (USD)]],0)</f>
        <v>0</v>
      </c>
      <c r="Y535" s="94">
        <f>MouserListTable[[#This Row],[Tot '#]]*MouserListTable[[#This Row],[Price (USD)]]</f>
        <v>0</v>
      </c>
      <c r="Z535"/>
    </row>
    <row r="536" spans="1:26" s="104" customFormat="1" x14ac:dyDescent="0.25">
      <c r="A536" s="106" t="s">
        <v>890</v>
      </c>
      <c r="B536" s="106" t="s">
        <v>1594</v>
      </c>
      <c r="C536" s="78" t="s">
        <v>1892</v>
      </c>
      <c r="D536" s="81" t="str">
        <f>IF(MouserListTable[[#This Row],[Vendor]]=FilterSpecs!$A$8,MouserListTable[[#This Row],[Mouser SKU]], MouserListTable[[#This Row],[Supplier SKU]])</f>
        <v>474-PRT-09389</v>
      </c>
      <c r="E536" s="94">
        <f>MouserListTable[[#This Row],[Tot '#]]-MouserListTable[[#This Row],['# Initial]]</f>
        <v>0</v>
      </c>
      <c r="F536" s="94">
        <f>IF(AND(MouserListTable[[#This Row],[Tag]]&lt;&gt;FilterSpecs!$F$12, MouserListTable[[#This Row],[Tag]]&lt;&gt;FilterSpecs!$F$9), MouserListTable[[#This Row],['#/Unit]]*FilterSpecs!$B$3+MouserListTable[[#This Row],[Extra Initial]],0)</f>
        <v>0</v>
      </c>
      <c r="G536" s="78" t="s">
        <v>593</v>
      </c>
      <c r="H536" s="150" t="s">
        <v>594</v>
      </c>
      <c r="I536" s="81" t="s">
        <v>595</v>
      </c>
      <c r="J536" s="78">
        <v>1</v>
      </c>
      <c r="K536" s="117">
        <v>4.5</v>
      </c>
      <c r="L536" s="81" t="s">
        <v>1896</v>
      </c>
      <c r="M536" s="78"/>
      <c r="N536" s="154">
        <f>MouserListTable[[#This Row],['# Initial]]*MouserListTable[[#This Row],[Price (USD)]]</f>
        <v>0</v>
      </c>
      <c r="O536" s="81" t="s">
        <v>592</v>
      </c>
      <c r="P536" s="150">
        <f t="shared" si="8"/>
        <v>523</v>
      </c>
      <c r="Q536" s="78" t="s">
        <v>5</v>
      </c>
      <c r="R536"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474-PRT-09389</v>
      </c>
      <c r="S536" s="133" t="str">
        <f>HYPERLINK("https://www.mouser.com/ProductDetail/" &amp;MouserListTable[[#This Row],[Mouser SKU]])</f>
        <v>https://www.mouser.com/ProductDetail/474-PRT-09389</v>
      </c>
      <c r="T536" s="94">
        <v>0</v>
      </c>
      <c r="U536" s="94">
        <v>0</v>
      </c>
      <c r="V536" s="94">
        <v>0</v>
      </c>
      <c r="W536" s="94">
        <f>MouserListTable[[#This Row],['#/Unit]]*FilterSpecs!$C$3+MouserListTable[[#This Row],[Extra]]</f>
        <v>0</v>
      </c>
      <c r="X536" s="94">
        <f>IF(MouserListTable[[#This Row],[Tag]]=FilterSpecs!$F$7,MouserListTable[[#This Row],['#/Unit]]*MouserListTable[[#This Row],[Price (USD)]],0)</f>
        <v>0</v>
      </c>
      <c r="Y536" s="94">
        <f>MouserListTable[[#This Row],[Tot '#]]*MouserListTable[[#This Row],[Price (USD)]]</f>
        <v>0</v>
      </c>
      <c r="Z536"/>
    </row>
    <row r="537" spans="1:26" s="104" customFormat="1" x14ac:dyDescent="0.25">
      <c r="A537" s="106" t="s">
        <v>890</v>
      </c>
      <c r="B537" s="106" t="s">
        <v>1594</v>
      </c>
      <c r="C537" s="78" t="s">
        <v>1892</v>
      </c>
      <c r="D537" s="81" t="str">
        <f>IF(MouserListTable[[#This Row],[Vendor]]=FilterSpecs!$A$8,MouserListTable[[#This Row],[Mouser SKU]], MouserListTable[[#This Row],[Supplier SKU]])</f>
        <v>474-PRT-09140</v>
      </c>
      <c r="E537" s="94">
        <f>MouserListTable[[#This Row],[Tot '#]]-MouserListTable[[#This Row],['# Initial]]</f>
        <v>0</v>
      </c>
      <c r="F537" s="94">
        <f>IF(AND(MouserListTable[[#This Row],[Tag]]&lt;&gt;FilterSpecs!$F$12, MouserListTable[[#This Row],[Tag]]&lt;&gt;FilterSpecs!$F$9), MouserListTable[[#This Row],['#/Unit]]*FilterSpecs!$B$3+MouserListTable[[#This Row],[Extra Initial]],0)</f>
        <v>0</v>
      </c>
      <c r="G537" s="78" t="s">
        <v>553</v>
      </c>
      <c r="H537" s="150" t="s">
        <v>554</v>
      </c>
      <c r="I537" s="81" t="s">
        <v>555</v>
      </c>
      <c r="J537" s="78">
        <v>1</v>
      </c>
      <c r="K537" s="117">
        <v>3.95</v>
      </c>
      <c r="L537" s="81" t="s">
        <v>1896</v>
      </c>
      <c r="M537" s="78"/>
      <c r="N537" s="154">
        <f>MouserListTable[[#This Row],['# Initial]]*MouserListTable[[#This Row],[Price (USD)]]</f>
        <v>0</v>
      </c>
      <c r="O537" s="81" t="s">
        <v>552</v>
      </c>
      <c r="P537" s="150">
        <f t="shared" si="8"/>
        <v>524</v>
      </c>
      <c r="Q537" s="78" t="s">
        <v>5</v>
      </c>
      <c r="R537"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474-PRT-09140</v>
      </c>
      <c r="S537" s="133" t="str">
        <f>HYPERLINK("https://www.mouser.com/ProductDetail/" &amp;MouserListTable[[#This Row],[Mouser SKU]])</f>
        <v>https://www.mouser.com/ProductDetail/474-PRT-09140</v>
      </c>
      <c r="T537" s="94">
        <v>0</v>
      </c>
      <c r="U537" s="94">
        <v>0</v>
      </c>
      <c r="V537" s="94">
        <v>0</v>
      </c>
      <c r="W537" s="94">
        <f>MouserListTable[[#This Row],['#/Unit]]*FilterSpecs!$C$3+MouserListTable[[#This Row],[Extra]]</f>
        <v>0</v>
      </c>
      <c r="X537" s="94">
        <f>IF(MouserListTable[[#This Row],[Tag]]=FilterSpecs!$F$7,MouserListTable[[#This Row],['#/Unit]]*MouserListTable[[#This Row],[Price (USD)]],0)</f>
        <v>0</v>
      </c>
      <c r="Y537" s="94">
        <f>MouserListTable[[#This Row],[Tot '#]]*MouserListTable[[#This Row],[Price (USD)]]</f>
        <v>0</v>
      </c>
      <c r="Z537"/>
    </row>
    <row r="538" spans="1:26" s="104" customFormat="1" x14ac:dyDescent="0.25">
      <c r="A538" s="106" t="s">
        <v>890</v>
      </c>
      <c r="B538" s="106" t="s">
        <v>1594</v>
      </c>
      <c r="C538" s="78" t="s">
        <v>1892</v>
      </c>
      <c r="D538" s="81" t="str">
        <f>IF(MouserListTable[[#This Row],[Vendor]]=FilterSpecs!$A$8,MouserListTable[[#This Row],[Mouser SKU]], MouserListTable[[#This Row],[Supplier SKU]])</f>
        <v>474-PRT-09385</v>
      </c>
      <c r="E538" s="94">
        <f>MouserListTable[[#This Row],[Tot '#]]-MouserListTable[[#This Row],['# Initial]]</f>
        <v>0</v>
      </c>
      <c r="F538" s="94">
        <f>IF(AND(MouserListTable[[#This Row],[Tag]]&lt;&gt;FilterSpecs!$F$12, MouserListTable[[#This Row],[Tag]]&lt;&gt;FilterSpecs!$F$9), MouserListTable[[#This Row],['#/Unit]]*FilterSpecs!$B$3+MouserListTable[[#This Row],[Extra Initial]],0)</f>
        <v>0</v>
      </c>
      <c r="G538" s="78" t="s">
        <v>561</v>
      </c>
      <c r="H538" s="150" t="s">
        <v>562</v>
      </c>
      <c r="I538" s="81" t="s">
        <v>563</v>
      </c>
      <c r="J538" s="78">
        <v>1</v>
      </c>
      <c r="K538" s="117">
        <v>4.5</v>
      </c>
      <c r="L538" s="81" t="s">
        <v>1896</v>
      </c>
      <c r="M538" s="78"/>
      <c r="N538" s="154">
        <f>MouserListTable[[#This Row],['# Initial]]*MouserListTable[[#This Row],[Price (USD)]]</f>
        <v>0</v>
      </c>
      <c r="O538" s="81" t="s">
        <v>560</v>
      </c>
      <c r="P538" s="150">
        <f t="shared" ref="P538:P601" si="9">IF($P537="List #",1,$P537+1)</f>
        <v>525</v>
      </c>
      <c r="Q538" s="78" t="s">
        <v>5</v>
      </c>
      <c r="R538"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474-PRT-09385</v>
      </c>
      <c r="S538" s="133" t="str">
        <f>HYPERLINK("https://www.mouser.com/ProductDetail/" &amp;MouserListTable[[#This Row],[Mouser SKU]])</f>
        <v>https://www.mouser.com/ProductDetail/474-PRT-09385</v>
      </c>
      <c r="T538" s="94">
        <v>0</v>
      </c>
      <c r="U538" s="94">
        <v>0</v>
      </c>
      <c r="V538" s="94">
        <v>0</v>
      </c>
      <c r="W538" s="94">
        <f>MouserListTable[[#This Row],['#/Unit]]*FilterSpecs!$C$3+MouserListTable[[#This Row],[Extra]]</f>
        <v>0</v>
      </c>
      <c r="X538" s="94">
        <f>IF(MouserListTable[[#This Row],[Tag]]=FilterSpecs!$F$7,MouserListTable[[#This Row],['#/Unit]]*MouserListTable[[#This Row],[Price (USD)]],0)</f>
        <v>0</v>
      </c>
      <c r="Y538" s="94">
        <f>MouserListTable[[#This Row],[Tot '#]]*MouserListTable[[#This Row],[Price (USD)]]</f>
        <v>0</v>
      </c>
      <c r="Z538"/>
    </row>
    <row r="539" spans="1:26" s="104" customFormat="1" x14ac:dyDescent="0.25">
      <c r="A539" s="106" t="s">
        <v>890</v>
      </c>
      <c r="B539" s="106" t="s">
        <v>1594</v>
      </c>
      <c r="C539" s="78" t="s">
        <v>1892</v>
      </c>
      <c r="D539" s="81" t="str">
        <f>IF(MouserListTable[[#This Row],[Vendor]]=FilterSpecs!$A$8,MouserListTable[[#This Row],[Mouser SKU]], MouserListTable[[#This Row],[Supplier SKU]])</f>
        <v>474-PRT-14284</v>
      </c>
      <c r="E539" s="94">
        <f>MouserListTable[[#This Row],[Tot '#]]-MouserListTable[[#This Row],['# Initial]]</f>
        <v>0</v>
      </c>
      <c r="F539" s="94">
        <f>IF(AND(MouserListTable[[#This Row],[Tag]]&lt;&gt;FilterSpecs!$F$12, MouserListTable[[#This Row],[Tag]]&lt;&gt;FilterSpecs!$F$9), MouserListTable[[#This Row],['#/Unit]]*FilterSpecs!$B$3+MouserListTable[[#This Row],[Extra Initial]],0)</f>
        <v>0</v>
      </c>
      <c r="G539" s="78" t="s">
        <v>537</v>
      </c>
      <c r="H539" s="150" t="s">
        <v>538</v>
      </c>
      <c r="I539" s="81" t="s">
        <v>539</v>
      </c>
      <c r="J539" s="78">
        <v>1</v>
      </c>
      <c r="K539" s="117">
        <v>1.95</v>
      </c>
      <c r="L539" s="81" t="s">
        <v>1896</v>
      </c>
      <c r="M539" s="78"/>
      <c r="N539" s="154">
        <f>MouserListTable[[#This Row],['# Initial]]*MouserListTable[[#This Row],[Price (USD)]]</f>
        <v>0</v>
      </c>
      <c r="O539" s="81" t="s">
        <v>536</v>
      </c>
      <c r="P539" s="150">
        <f t="shared" si="9"/>
        <v>526</v>
      </c>
      <c r="Q539" s="78" t="s">
        <v>5</v>
      </c>
      <c r="R539"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474-PRT-14284</v>
      </c>
      <c r="S539" s="133" t="str">
        <f>HYPERLINK("https://www.mouser.com/ProductDetail/" &amp;MouserListTable[[#This Row],[Mouser SKU]])</f>
        <v>https://www.mouser.com/ProductDetail/474-PRT-14284</v>
      </c>
      <c r="T539" s="94">
        <v>0</v>
      </c>
      <c r="U539" s="94">
        <v>0</v>
      </c>
      <c r="V539" s="94">
        <v>0</v>
      </c>
      <c r="W539" s="94">
        <f>MouserListTable[[#This Row],['#/Unit]]*FilterSpecs!$C$3+MouserListTable[[#This Row],[Extra]]</f>
        <v>0</v>
      </c>
      <c r="X539" s="94">
        <f>IF(MouserListTable[[#This Row],[Tag]]=FilterSpecs!$F$7,MouserListTable[[#This Row],['#/Unit]]*MouserListTable[[#This Row],[Price (USD)]],0)</f>
        <v>0</v>
      </c>
      <c r="Y539" s="94">
        <f>MouserListTable[[#This Row],[Tot '#]]*MouserListTable[[#This Row],[Price (USD)]]</f>
        <v>0</v>
      </c>
      <c r="Z539"/>
    </row>
    <row r="540" spans="1:26" s="104" customFormat="1" x14ac:dyDescent="0.25">
      <c r="A540" s="106" t="s">
        <v>890</v>
      </c>
      <c r="B540" s="106" t="s">
        <v>1594</v>
      </c>
      <c r="C540" s="78" t="s">
        <v>1892</v>
      </c>
      <c r="D540" s="81" t="str">
        <f>IF(MouserListTable[[#This Row],[Vendor]]=FilterSpecs!$A$8,MouserListTable[[#This Row],[Mouser SKU]], MouserListTable[[#This Row],[Supplier SKU]])</f>
        <v>474-PRT-11709</v>
      </c>
      <c r="E540" s="94">
        <f>MouserListTable[[#This Row],[Tot '#]]-MouserListTable[[#This Row],['# Initial]]</f>
        <v>0</v>
      </c>
      <c r="F540" s="94">
        <f>IF(AND(MouserListTable[[#This Row],[Tag]]&lt;&gt;FilterSpecs!$F$12, MouserListTable[[#This Row],[Tag]]&lt;&gt;FilterSpecs!$F$9), MouserListTable[[#This Row],['#/Unit]]*FilterSpecs!$B$3+MouserListTable[[#This Row],[Extra Initial]],0)</f>
        <v>0</v>
      </c>
      <c r="G540" s="78" t="s">
        <v>545</v>
      </c>
      <c r="H540" s="150" t="s">
        <v>546</v>
      </c>
      <c r="I540" s="81" t="s">
        <v>1338</v>
      </c>
      <c r="J540" s="78">
        <v>1</v>
      </c>
      <c r="K540" s="117">
        <v>4.95</v>
      </c>
      <c r="L540" s="81" t="s">
        <v>1896</v>
      </c>
      <c r="M540" s="78"/>
      <c r="N540" s="154">
        <f>MouserListTable[[#This Row],['# Initial]]*MouserListTable[[#This Row],[Price (USD)]]</f>
        <v>0</v>
      </c>
      <c r="O540" s="81" t="s">
        <v>1339</v>
      </c>
      <c r="P540" s="150">
        <f t="shared" si="9"/>
        <v>527</v>
      </c>
      <c r="Q540" s="78" t="s">
        <v>5</v>
      </c>
      <c r="R540"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474-PRT-11709</v>
      </c>
      <c r="S540" s="133" t="str">
        <f>HYPERLINK("https://www.mouser.com/ProductDetail/" &amp;MouserListTable[[#This Row],[Mouser SKU]])</f>
        <v>https://www.mouser.com/ProductDetail/474-PRT-11709</v>
      </c>
      <c r="T540" s="94">
        <v>0</v>
      </c>
      <c r="U540" s="94">
        <v>0</v>
      </c>
      <c r="V540" s="94">
        <v>0</v>
      </c>
      <c r="W540" s="94">
        <f>MouserListTable[[#This Row],['#/Unit]]*FilterSpecs!$C$3+MouserListTable[[#This Row],[Extra]]</f>
        <v>0</v>
      </c>
      <c r="X540" s="94">
        <f>IF(MouserListTable[[#This Row],[Tag]]=FilterSpecs!$F$7,MouserListTable[[#This Row],['#/Unit]]*MouserListTable[[#This Row],[Price (USD)]],0)</f>
        <v>0</v>
      </c>
      <c r="Y540" s="94">
        <f>MouserListTable[[#This Row],[Tot '#]]*MouserListTable[[#This Row],[Price (USD)]]</f>
        <v>0</v>
      </c>
      <c r="Z540"/>
    </row>
    <row r="541" spans="1:26" s="104" customFormat="1" x14ac:dyDescent="0.25">
      <c r="A541" s="106" t="s">
        <v>890</v>
      </c>
      <c r="B541" s="106" t="s">
        <v>1594</v>
      </c>
      <c r="C541" s="78" t="s">
        <v>1892</v>
      </c>
      <c r="D541" s="81" t="str">
        <f>IF(MouserListTable[[#This Row],[Vendor]]=FilterSpecs!$A$8,MouserListTable[[#This Row],[Mouser SKU]], MouserListTable[[#This Row],[Supplier SKU]])</f>
        <v>474-PRT-08431</v>
      </c>
      <c r="E541" s="94">
        <f>MouserListTable[[#This Row],[Tot '#]]-MouserListTable[[#This Row],['# Initial]]</f>
        <v>0</v>
      </c>
      <c r="F541" s="94">
        <f>IF(AND(MouserListTable[[#This Row],[Tag]]&lt;&gt;FilterSpecs!$F$12, MouserListTable[[#This Row],[Tag]]&lt;&gt;FilterSpecs!$F$9), MouserListTable[[#This Row],['#/Unit]]*FilterSpecs!$B$3+MouserListTable[[#This Row],[Extra Initial]],0)</f>
        <v>0</v>
      </c>
      <c r="G541" s="78" t="s">
        <v>557</v>
      </c>
      <c r="H541" s="150" t="s">
        <v>558</v>
      </c>
      <c r="I541" s="81" t="s">
        <v>559</v>
      </c>
      <c r="J541" s="78">
        <v>1</v>
      </c>
      <c r="K541" s="117">
        <v>3.95</v>
      </c>
      <c r="L541" s="81" t="s">
        <v>1896</v>
      </c>
      <c r="M541" s="78"/>
      <c r="N541" s="154">
        <f>MouserListTable[[#This Row],['# Initial]]*MouserListTable[[#This Row],[Price (USD)]]</f>
        <v>0</v>
      </c>
      <c r="O541" s="81" t="s">
        <v>556</v>
      </c>
      <c r="P541" s="150">
        <f t="shared" si="9"/>
        <v>528</v>
      </c>
      <c r="Q541" s="78" t="s">
        <v>5</v>
      </c>
      <c r="R541"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474-PRT-08431</v>
      </c>
      <c r="S541" s="133" t="str">
        <f>HYPERLINK("https://www.mouser.com/ProductDetail/" &amp;MouserListTable[[#This Row],[Mouser SKU]])</f>
        <v>https://www.mouser.com/ProductDetail/474-PRT-08431</v>
      </c>
      <c r="T541" s="94">
        <v>0</v>
      </c>
      <c r="U541" s="94">
        <v>0</v>
      </c>
      <c r="V541" s="94">
        <v>0</v>
      </c>
      <c r="W541" s="94">
        <f>MouserListTable[[#This Row],['#/Unit]]*FilterSpecs!$C$3+MouserListTable[[#This Row],[Extra]]</f>
        <v>0</v>
      </c>
      <c r="X541" s="94">
        <f>IF(MouserListTable[[#This Row],[Tag]]=FilterSpecs!$F$7,MouserListTable[[#This Row],['#/Unit]]*MouserListTable[[#This Row],[Price (USD)]],0)</f>
        <v>0</v>
      </c>
      <c r="Y541" s="94">
        <f>MouserListTable[[#This Row],[Tot '#]]*MouserListTable[[#This Row],[Price (USD)]]</f>
        <v>0</v>
      </c>
      <c r="Z541"/>
    </row>
    <row r="542" spans="1:26" s="104" customFormat="1" x14ac:dyDescent="0.25">
      <c r="A542" s="106" t="s">
        <v>890</v>
      </c>
      <c r="B542" s="106" t="s">
        <v>1594</v>
      </c>
      <c r="C542" s="78" t="s">
        <v>1892</v>
      </c>
      <c r="D542" s="81" t="str">
        <f>IF(MouserListTable[[#This Row],[Vendor]]=FilterSpecs!$A$8,MouserListTable[[#This Row],[Mouser SKU]], MouserListTable[[#This Row],[Supplier SKU]])</f>
        <v>474-PRT-11026</v>
      </c>
      <c r="E542" s="94">
        <f>MouserListTable[[#This Row],[Tot '#]]-MouserListTable[[#This Row],['# Initial]]</f>
        <v>0</v>
      </c>
      <c r="F542" s="94">
        <f>IF(AND(MouserListTable[[#This Row],[Tag]]&lt;&gt;FilterSpecs!$F$12, MouserListTable[[#This Row],[Tag]]&lt;&gt;FilterSpecs!$F$9), MouserListTable[[#This Row],['#/Unit]]*FilterSpecs!$B$3+MouserListTable[[#This Row],[Extra Initial]],0)</f>
        <v>0</v>
      </c>
      <c r="G542" s="78" t="s">
        <v>549</v>
      </c>
      <c r="H542" s="150" t="s">
        <v>550</v>
      </c>
      <c r="I542" s="81" t="s">
        <v>551</v>
      </c>
      <c r="J542" s="78">
        <v>1</v>
      </c>
      <c r="K542" s="117">
        <v>1.95</v>
      </c>
      <c r="L542" s="81" t="s">
        <v>1896</v>
      </c>
      <c r="M542" s="78"/>
      <c r="N542" s="154">
        <f>MouserListTable[[#This Row],['# Initial]]*MouserListTable[[#This Row],[Price (USD)]]</f>
        <v>0</v>
      </c>
      <c r="O542" s="81" t="s">
        <v>548</v>
      </c>
      <c r="P542" s="150">
        <f t="shared" si="9"/>
        <v>529</v>
      </c>
      <c r="Q542" s="78" t="s">
        <v>5</v>
      </c>
      <c r="R542"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474-PRT-11026</v>
      </c>
      <c r="S542" s="133" t="str">
        <f>HYPERLINK("https://www.mouser.com/ProductDetail/" &amp;MouserListTable[[#This Row],[Mouser SKU]])</f>
        <v>https://www.mouser.com/ProductDetail/474-PRT-11026</v>
      </c>
      <c r="T542" s="94">
        <v>0</v>
      </c>
      <c r="U542" s="94">
        <v>0</v>
      </c>
      <c r="V542" s="94">
        <v>0</v>
      </c>
      <c r="W542" s="94">
        <f>MouserListTable[[#This Row],['#/Unit]]*FilterSpecs!$C$3+MouserListTable[[#This Row],[Extra]]</f>
        <v>0</v>
      </c>
      <c r="X542" s="94">
        <f>IF(MouserListTable[[#This Row],[Tag]]=FilterSpecs!$F$7,MouserListTable[[#This Row],['#/Unit]]*MouserListTable[[#This Row],[Price (USD)]],0)</f>
        <v>0</v>
      </c>
      <c r="Y542" s="94">
        <f>MouserListTable[[#This Row],[Tot '#]]*MouserListTable[[#This Row],[Price (USD)]]</f>
        <v>0</v>
      </c>
      <c r="Z542"/>
    </row>
    <row r="543" spans="1:26" s="106" customFormat="1" x14ac:dyDescent="0.25">
      <c r="A543" s="78" t="s">
        <v>890</v>
      </c>
      <c r="B543" s="78" t="s">
        <v>1004</v>
      </c>
      <c r="C543" s="78" t="s">
        <v>1892</v>
      </c>
      <c r="D543" s="81" t="str">
        <f>IF(MouserListTable[[#This Row],[Vendor]]=FilterSpecs!$A$8,MouserListTable[[#This Row],[Mouser SKU]], MouserListTable[[#This Row],[Supplier SKU]])</f>
        <v>474-COM-10969</v>
      </c>
      <c r="E543" s="94">
        <f>MouserListTable[[#This Row],[Tot '#]]-MouserListTable[[#This Row],['# Initial]]</f>
        <v>0</v>
      </c>
      <c r="F543" s="94">
        <f>IF(AND(MouserListTable[[#This Row],[Tag]]&lt;&gt;FilterSpecs!$F$12, MouserListTable[[#This Row],[Tag]]&lt;&gt;FilterSpecs!$F$9), MouserListTable[[#This Row],['#/Unit]]*FilterSpecs!$B$3+MouserListTable[[#This Row],[Extra Initial]],0)</f>
        <v>1</v>
      </c>
      <c r="G543" s="78" t="s">
        <v>365</v>
      </c>
      <c r="H543" s="150" t="s">
        <v>366</v>
      </c>
      <c r="I543" s="78" t="s">
        <v>367</v>
      </c>
      <c r="J543" s="78">
        <v>1</v>
      </c>
      <c r="K543" s="117">
        <v>7.95</v>
      </c>
      <c r="L543" s="78" t="s">
        <v>1896</v>
      </c>
      <c r="M543" s="78"/>
      <c r="N543" s="154">
        <f>MouserListTable[[#This Row],['# Initial]]*MouserListTable[[#This Row],[Price (USD)]]</f>
        <v>7.95</v>
      </c>
      <c r="O543" s="81" t="s">
        <v>364</v>
      </c>
      <c r="P543" s="150">
        <f t="shared" si="9"/>
        <v>530</v>
      </c>
      <c r="Q543" s="78" t="s">
        <v>5</v>
      </c>
      <c r="R543"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474-COM-10969</v>
      </c>
      <c r="S543" s="133" t="str">
        <f>HYPERLINK("https://www.mouser.com/ProductDetail/" &amp;MouserListTable[[#This Row],[Mouser SKU]])</f>
        <v>https://www.mouser.com/ProductDetail/474-COM-10969</v>
      </c>
      <c r="T543" s="94">
        <v>0</v>
      </c>
      <c r="U543" s="94">
        <v>1</v>
      </c>
      <c r="V543" s="94">
        <v>1</v>
      </c>
      <c r="W543" s="94">
        <f>MouserListTable[[#This Row],['#/Unit]]*FilterSpecs!$C$3+MouserListTable[[#This Row],[Extra]]</f>
        <v>1</v>
      </c>
      <c r="X543" s="94">
        <f>IF(MouserListTable[[#This Row],[Tag]]=FilterSpecs!$F$7,MouserListTable[[#This Row],['#/Unit]]*MouserListTable[[#This Row],[Price (USD)]],0)</f>
        <v>0</v>
      </c>
      <c r="Y543" s="94">
        <f>MouserListTable[[#This Row],[Tot '#]]*MouserListTable[[#This Row],[Price (USD)]]</f>
        <v>7.95</v>
      </c>
      <c r="Z543"/>
    </row>
    <row r="544" spans="1:26" s="106" customFormat="1" x14ac:dyDescent="0.25">
      <c r="A544" s="78" t="s">
        <v>890</v>
      </c>
      <c r="B544" s="78" t="s">
        <v>1004</v>
      </c>
      <c r="C544" s="78" t="s">
        <v>1892</v>
      </c>
      <c r="D544" s="81" t="str">
        <f>IF(MouserListTable[[#This Row],[Vendor]]=FilterSpecs!$A$8,MouserListTable[[#This Row],[Mouser SKU]], MouserListTable[[#This Row],[Supplier SKU]])</f>
        <v>474-COM-10856</v>
      </c>
      <c r="E544" s="94">
        <f>MouserListTable[[#This Row],[Tot '#]]-MouserListTable[[#This Row],['# Initial]]</f>
        <v>0</v>
      </c>
      <c r="F544" s="94">
        <f>IF(AND(MouserListTable[[#This Row],[Tag]]&lt;&gt;FilterSpecs!$F$12, MouserListTable[[#This Row],[Tag]]&lt;&gt;FilterSpecs!$F$9), MouserListTable[[#This Row],['#/Unit]]*FilterSpecs!$B$3+MouserListTable[[#This Row],[Extra Initial]],0)</f>
        <v>5</v>
      </c>
      <c r="G544" s="78" t="s">
        <v>431</v>
      </c>
      <c r="H544" s="150" t="s">
        <v>432</v>
      </c>
      <c r="I544" s="78" t="s">
        <v>433</v>
      </c>
      <c r="J544" s="78">
        <v>1</v>
      </c>
      <c r="K544" s="117">
        <v>0.5</v>
      </c>
      <c r="L544" s="78" t="s">
        <v>1897</v>
      </c>
      <c r="M544" s="78"/>
      <c r="N544" s="154">
        <f>MouserListTable[[#This Row],['# Initial]]*MouserListTable[[#This Row],[Price (USD)]]</f>
        <v>2.5</v>
      </c>
      <c r="O544" s="81" t="s">
        <v>430</v>
      </c>
      <c r="P544" s="150">
        <f t="shared" si="9"/>
        <v>531</v>
      </c>
      <c r="Q544" s="78" t="s">
        <v>5</v>
      </c>
      <c r="R544"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474-COM-10856</v>
      </c>
      <c r="S544" s="133" t="str">
        <f>HYPERLINK("https://www.mouser.com/ProductDetail/" &amp;MouserListTable[[#This Row],[Mouser SKU]])</f>
        <v>https://www.mouser.com/ProductDetail/474-COM-10856</v>
      </c>
      <c r="T544" s="94">
        <v>1</v>
      </c>
      <c r="U544" s="94">
        <v>0</v>
      </c>
      <c r="V544" s="94">
        <v>0</v>
      </c>
      <c r="W544" s="94">
        <f>MouserListTable[[#This Row],['#/Unit]]*FilterSpecs!$C$3+MouserListTable[[#This Row],[Extra]]</f>
        <v>5</v>
      </c>
      <c r="X544" s="94">
        <f>IF(MouserListTable[[#This Row],[Tag]]=FilterSpecs!$F$7,MouserListTable[[#This Row],['#/Unit]]*MouserListTable[[#This Row],[Price (USD)]],0)</f>
        <v>0.5</v>
      </c>
      <c r="Y544" s="94">
        <f>MouserListTable[[#This Row],[Tot '#]]*MouserListTable[[#This Row],[Price (USD)]]</f>
        <v>2.5</v>
      </c>
      <c r="Z544"/>
    </row>
    <row r="545" spans="1:26" s="106" customFormat="1" x14ac:dyDescent="0.25">
      <c r="A545" s="78" t="s">
        <v>890</v>
      </c>
      <c r="B545" s="78" t="s">
        <v>1004</v>
      </c>
      <c r="C545" s="78" t="s">
        <v>1892</v>
      </c>
      <c r="D545" s="81" t="str">
        <f>IF(MouserListTable[[#This Row],[Vendor]]=FilterSpecs!$A$8,MouserListTable[[#This Row],[Mouser SKU]], MouserListTable[[#This Row],[Supplier SKU]])</f>
        <v>474-COM-10855</v>
      </c>
      <c r="E545" s="94">
        <f>MouserListTable[[#This Row],[Tot '#]]-MouserListTable[[#This Row],['# Initial]]</f>
        <v>0</v>
      </c>
      <c r="F545" s="94">
        <f>IF(AND(MouserListTable[[#This Row],[Tag]]&lt;&gt;FilterSpecs!$F$12, MouserListTable[[#This Row],[Tag]]&lt;&gt;FilterSpecs!$F$9), MouserListTable[[#This Row],['#/Unit]]*FilterSpecs!$B$3+MouserListTable[[#This Row],[Extra Initial]],0)</f>
        <v>5</v>
      </c>
      <c r="G545" s="78" t="s">
        <v>435</v>
      </c>
      <c r="H545" s="150" t="s">
        <v>436</v>
      </c>
      <c r="I545" s="78" t="s">
        <v>437</v>
      </c>
      <c r="J545" s="78">
        <v>1</v>
      </c>
      <c r="K545" s="117">
        <v>0.5</v>
      </c>
      <c r="L545" s="78" t="s">
        <v>1897</v>
      </c>
      <c r="M545" s="78"/>
      <c r="N545" s="154">
        <f>MouserListTable[[#This Row],['# Initial]]*MouserListTable[[#This Row],[Price (USD)]]</f>
        <v>2.5</v>
      </c>
      <c r="O545" s="81" t="s">
        <v>434</v>
      </c>
      <c r="P545" s="150">
        <f t="shared" si="9"/>
        <v>532</v>
      </c>
      <c r="Q545" s="78" t="s">
        <v>5</v>
      </c>
      <c r="R545"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474-COM-10855</v>
      </c>
      <c r="S545" s="133" t="str">
        <f>HYPERLINK("https://www.mouser.com/ProductDetail/" &amp;MouserListTable[[#This Row],[Mouser SKU]])</f>
        <v>https://www.mouser.com/ProductDetail/474-COM-10855</v>
      </c>
      <c r="T545" s="94">
        <v>1</v>
      </c>
      <c r="U545" s="94">
        <v>0</v>
      </c>
      <c r="V545" s="94">
        <v>0</v>
      </c>
      <c r="W545" s="94">
        <f>MouserListTable[[#This Row],['#/Unit]]*FilterSpecs!$C$3+MouserListTable[[#This Row],[Extra]]</f>
        <v>5</v>
      </c>
      <c r="X545" s="94">
        <f>IF(MouserListTable[[#This Row],[Tag]]=FilterSpecs!$F$7,MouserListTable[[#This Row],['#/Unit]]*MouserListTable[[#This Row],[Price (USD)]],0)</f>
        <v>0.5</v>
      </c>
      <c r="Y545" s="94">
        <f>MouserListTable[[#This Row],[Tot '#]]*MouserListTable[[#This Row],[Price (USD)]]</f>
        <v>2.5</v>
      </c>
      <c r="Z545"/>
    </row>
    <row r="546" spans="1:26" s="106" customFormat="1" x14ac:dyDescent="0.25">
      <c r="A546" s="78" t="s">
        <v>890</v>
      </c>
      <c r="B546" s="78" t="s">
        <v>1004</v>
      </c>
      <c r="C546" s="78" t="s">
        <v>1892</v>
      </c>
      <c r="D546" s="81" t="str">
        <f>IF(MouserListTable[[#This Row],[Vendor]]=FilterSpecs!$A$8,MouserListTable[[#This Row],[Mouser SKU]], MouserListTable[[#This Row],[Supplier SKU]])</f>
        <v>474-COM-09120</v>
      </c>
      <c r="E546" s="94">
        <f>MouserListTable[[#This Row],[Tot '#]]-MouserListTable[[#This Row],['# Initial]]</f>
        <v>1</v>
      </c>
      <c r="F546" s="94">
        <f>IF(AND(MouserListTable[[#This Row],[Tag]]&lt;&gt;FilterSpecs!$F$12, MouserListTable[[#This Row],[Tag]]&lt;&gt;FilterSpecs!$F$9), MouserListTable[[#This Row],['#/Unit]]*FilterSpecs!$B$3+MouserListTable[[#This Row],[Extra Initial]],0)</f>
        <v>0</v>
      </c>
      <c r="G546" s="78" t="s">
        <v>1684</v>
      </c>
      <c r="H546" s="150" t="s">
        <v>1685</v>
      </c>
      <c r="I546" s="78" t="s">
        <v>1686</v>
      </c>
      <c r="J546" s="78">
        <v>1</v>
      </c>
      <c r="K546" s="117">
        <v>0.95</v>
      </c>
      <c r="L546" s="81" t="s">
        <v>1897</v>
      </c>
      <c r="M546" s="78"/>
      <c r="N546" s="154">
        <f>MouserListTable[[#This Row],['# Initial]]*MouserListTable[[#This Row],[Price (USD)]]</f>
        <v>0</v>
      </c>
      <c r="O546" s="81" t="s">
        <v>1683</v>
      </c>
      <c r="P546" s="150">
        <f t="shared" si="9"/>
        <v>533</v>
      </c>
      <c r="Q546" s="78" t="s">
        <v>5</v>
      </c>
      <c r="R546"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474-COM-09120</v>
      </c>
      <c r="S546" s="133" t="str">
        <f>HYPERLINK("https://www.mouser.com/ProductDetail/" &amp;MouserListTable[[#This Row],[Mouser SKU]])</f>
        <v>https://www.mouser.com/ProductDetail/474-COM-09120</v>
      </c>
      <c r="T546" s="94">
        <v>0</v>
      </c>
      <c r="U546" s="94">
        <v>1</v>
      </c>
      <c r="V546" s="94">
        <v>0</v>
      </c>
      <c r="W546" s="94">
        <f>MouserListTable[[#This Row],['#/Unit]]*FilterSpecs!$C$3+MouserListTable[[#This Row],[Extra]]</f>
        <v>1</v>
      </c>
      <c r="X546" s="94">
        <f>IF(MouserListTable[[#This Row],[Tag]]=FilterSpecs!$F$7,MouserListTable[[#This Row],['#/Unit]]*MouserListTable[[#This Row],[Price (USD)]],0)</f>
        <v>0</v>
      </c>
      <c r="Y546" s="94">
        <f>MouserListTable[[#This Row],[Tot '#]]*MouserListTable[[#This Row],[Price (USD)]]</f>
        <v>0.95</v>
      </c>
      <c r="Z546"/>
    </row>
    <row r="547" spans="1:26" s="106" customFormat="1" x14ac:dyDescent="0.25">
      <c r="A547" s="78" t="s">
        <v>890</v>
      </c>
      <c r="B547" s="78" t="s">
        <v>1004</v>
      </c>
      <c r="C547" s="78" t="s">
        <v>1892</v>
      </c>
      <c r="D547" s="81" t="str">
        <f>IF(MouserListTable[[#This Row],[Vendor]]=FilterSpecs!$A$8,MouserListTable[[#This Row],[Mouser SKU]], MouserListTable[[#This Row],[Supplier SKU]])</f>
        <v>474-COM-11620</v>
      </c>
      <c r="E547" s="94">
        <f>MouserListTable[[#This Row],[Tot '#]]-MouserListTable[[#This Row],['# Initial]]</f>
        <v>1</v>
      </c>
      <c r="F547" s="94">
        <f>IF(AND(MouserListTable[[#This Row],[Tag]]&lt;&gt;FilterSpecs!$F$12, MouserListTable[[#This Row],[Tag]]&lt;&gt;FilterSpecs!$F$9), MouserListTable[[#This Row],['#/Unit]]*FilterSpecs!$B$3+MouserListTable[[#This Row],[Extra Initial]],0)</f>
        <v>0</v>
      </c>
      <c r="G547" s="78" t="s">
        <v>1688</v>
      </c>
      <c r="H547" s="150" t="s">
        <v>1689</v>
      </c>
      <c r="I547" s="78" t="s">
        <v>1690</v>
      </c>
      <c r="J547" s="78">
        <v>1</v>
      </c>
      <c r="K547" s="117">
        <v>1.95</v>
      </c>
      <c r="L547" s="78" t="s">
        <v>1896</v>
      </c>
      <c r="M547" s="78"/>
      <c r="N547" s="154">
        <f>MouserListTable[[#This Row],['# Initial]]*MouserListTable[[#This Row],[Price (USD)]]</f>
        <v>0</v>
      </c>
      <c r="O547" s="81" t="s">
        <v>1687</v>
      </c>
      <c r="P547" s="150">
        <f t="shared" si="9"/>
        <v>534</v>
      </c>
      <c r="Q547" s="78" t="s">
        <v>5</v>
      </c>
      <c r="R547"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474-COM-11620</v>
      </c>
      <c r="S547" s="133" t="str">
        <f>HYPERLINK("https://www.mouser.com/ProductDetail/" &amp;MouserListTable[[#This Row],[Mouser SKU]])</f>
        <v>https://www.mouser.com/ProductDetail/474-COM-11620</v>
      </c>
      <c r="T547" s="94">
        <v>0</v>
      </c>
      <c r="U547" s="94">
        <v>1</v>
      </c>
      <c r="V547" s="94">
        <v>0</v>
      </c>
      <c r="W547" s="94">
        <f>MouserListTable[[#This Row],['#/Unit]]*FilterSpecs!$C$3+MouserListTable[[#This Row],[Extra]]</f>
        <v>1</v>
      </c>
      <c r="X547" s="94">
        <f>IF(MouserListTable[[#This Row],[Tag]]=FilterSpecs!$F$7,MouserListTable[[#This Row],['#/Unit]]*MouserListTable[[#This Row],[Price (USD)]],0)</f>
        <v>0</v>
      </c>
      <c r="Y547" s="94">
        <f>MouserListTable[[#This Row],[Tot '#]]*MouserListTable[[#This Row],[Price (USD)]]</f>
        <v>1.95</v>
      </c>
      <c r="Z547"/>
    </row>
    <row r="548" spans="1:26" s="106" customFormat="1" x14ac:dyDescent="0.25">
      <c r="A548" s="78" t="s">
        <v>890</v>
      </c>
      <c r="B548" s="78" t="s">
        <v>1004</v>
      </c>
      <c r="C548" s="78" t="s">
        <v>1892</v>
      </c>
      <c r="D548" s="81" t="str">
        <f>IF(MouserListTable[[#This Row],[Vendor]]=FilterSpecs!$A$8,MouserListTable[[#This Row],[Mouser SKU]], MouserListTable[[#This Row],[Supplier SKU]])</f>
        <v>474-COM-11621</v>
      </c>
      <c r="E548" s="94">
        <f>MouserListTable[[#This Row],[Tot '#]]-MouserListTable[[#This Row],['# Initial]]</f>
        <v>1</v>
      </c>
      <c r="F548" s="94">
        <f>IF(AND(MouserListTable[[#This Row],[Tag]]&lt;&gt;FilterSpecs!$F$12, MouserListTable[[#This Row],[Tag]]&lt;&gt;FilterSpecs!$F$9), MouserListTable[[#This Row],['#/Unit]]*FilterSpecs!$B$3+MouserListTable[[#This Row],[Extra Initial]],0)</f>
        <v>0</v>
      </c>
      <c r="G548" s="78" t="s">
        <v>1668</v>
      </c>
      <c r="H548" s="150" t="s">
        <v>1669</v>
      </c>
      <c r="I548" s="78" t="s">
        <v>1670</v>
      </c>
      <c r="J548" s="78">
        <v>1</v>
      </c>
      <c r="K548" s="117">
        <v>2.5</v>
      </c>
      <c r="L548" s="78" t="s">
        <v>1896</v>
      </c>
      <c r="M548" s="78"/>
      <c r="N548" s="154">
        <f>MouserListTable[[#This Row],['# Initial]]*MouserListTable[[#This Row],[Price (USD)]]</f>
        <v>0</v>
      </c>
      <c r="O548" s="81" t="s">
        <v>1667</v>
      </c>
      <c r="P548" s="150">
        <f t="shared" si="9"/>
        <v>535</v>
      </c>
      <c r="Q548" s="78" t="s">
        <v>5</v>
      </c>
      <c r="R548"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474-COM-11621</v>
      </c>
      <c r="S548" s="133" t="str">
        <f>HYPERLINK("https://www.mouser.com/ProductDetail/" &amp;MouserListTable[[#This Row],[Mouser SKU]])</f>
        <v>https://www.mouser.com/ProductDetail/474-COM-11621</v>
      </c>
      <c r="T548" s="94">
        <v>0</v>
      </c>
      <c r="U548" s="94">
        <v>1</v>
      </c>
      <c r="V548" s="94">
        <v>0</v>
      </c>
      <c r="W548" s="94">
        <f>MouserListTable[[#This Row],['#/Unit]]*FilterSpecs!$C$3+MouserListTable[[#This Row],[Extra]]</f>
        <v>1</v>
      </c>
      <c r="X548" s="94">
        <f>IF(MouserListTable[[#This Row],[Tag]]=FilterSpecs!$F$7,MouserListTable[[#This Row],['#/Unit]]*MouserListTable[[#This Row],[Price (USD)]],0)</f>
        <v>0</v>
      </c>
      <c r="Y548" s="94">
        <f>MouserListTable[[#This Row],[Tot '#]]*MouserListTable[[#This Row],[Price (USD)]]</f>
        <v>2.5</v>
      </c>
      <c r="Z548"/>
    </row>
    <row r="549" spans="1:26" s="106" customFormat="1" x14ac:dyDescent="0.25">
      <c r="A549" s="78" t="s">
        <v>890</v>
      </c>
      <c r="B549" s="78" t="s">
        <v>1004</v>
      </c>
      <c r="C549" s="78" t="s">
        <v>1892</v>
      </c>
      <c r="D549" s="81" t="str">
        <f>IF(MouserListTable[[#This Row],[Vendor]]=FilterSpecs!$A$8,MouserListTable[[#This Row],[Mouser SKU]], MouserListTable[[#This Row],[Supplier SKU]])</f>
        <v>474-COM-09119</v>
      </c>
      <c r="E549" s="94">
        <f>MouserListTable[[#This Row],[Tot '#]]-MouserListTable[[#This Row],['# Initial]]</f>
        <v>1</v>
      </c>
      <c r="F549" s="94">
        <f>IF(AND(MouserListTable[[#This Row],[Tag]]&lt;&gt;FilterSpecs!$F$12, MouserListTable[[#This Row],[Tag]]&lt;&gt;FilterSpecs!$F$9), MouserListTable[[#This Row],['#/Unit]]*FilterSpecs!$B$3+MouserListTable[[#This Row],[Extra Initial]],0)</f>
        <v>0</v>
      </c>
      <c r="G549" s="78" t="s">
        <v>1822</v>
      </c>
      <c r="H549" s="150" t="s">
        <v>1823</v>
      </c>
      <c r="I549" s="78" t="s">
        <v>1824</v>
      </c>
      <c r="J549" s="78">
        <v>1</v>
      </c>
      <c r="K549" s="117">
        <v>2.95</v>
      </c>
      <c r="L549" s="78" t="s">
        <v>1896</v>
      </c>
      <c r="M549" s="78"/>
      <c r="N549" s="154">
        <f>MouserListTable[[#This Row],['# Initial]]*MouserListTable[[#This Row],[Price (USD)]]</f>
        <v>0</v>
      </c>
      <c r="O549" s="81" t="s">
        <v>1821</v>
      </c>
      <c r="P549" s="150">
        <f t="shared" si="9"/>
        <v>536</v>
      </c>
      <c r="Q549" s="78" t="s">
        <v>5</v>
      </c>
      <c r="R549"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474-COM-09119</v>
      </c>
      <c r="S549" s="133" t="str">
        <f>HYPERLINK("https://www.mouser.com/ProductDetail/" &amp;MouserListTable[[#This Row],[Mouser SKU]])</f>
        <v>https://www.mouser.com/ProductDetail/474-COM-09119</v>
      </c>
      <c r="T549" s="94">
        <v>0</v>
      </c>
      <c r="U549" s="94">
        <v>1</v>
      </c>
      <c r="V549" s="94">
        <v>0</v>
      </c>
      <c r="W549" s="94">
        <f>MouserListTable[[#This Row],['#/Unit]]*FilterSpecs!$C$3+MouserListTable[[#This Row],[Extra]]</f>
        <v>1</v>
      </c>
      <c r="X549" s="94">
        <f>IF(MouserListTable[[#This Row],[Tag]]=FilterSpecs!$F$7,MouserListTable[[#This Row],['#/Unit]]*MouserListTable[[#This Row],[Price (USD)]],0)</f>
        <v>0</v>
      </c>
      <c r="Y549" s="94">
        <f>MouserListTable[[#This Row],[Tot '#]]*MouserListTable[[#This Row],[Price (USD)]]</f>
        <v>2.95</v>
      </c>
      <c r="Z549"/>
    </row>
    <row r="550" spans="1:26" s="106" customFormat="1" x14ac:dyDescent="0.25">
      <c r="A550" s="78" t="s">
        <v>890</v>
      </c>
      <c r="B550" s="78" t="s">
        <v>1004</v>
      </c>
      <c r="C550" s="78" t="s">
        <v>1892</v>
      </c>
      <c r="D550" s="81" t="str">
        <f>IF(MouserListTable[[#This Row],[Vendor]]=FilterSpecs!$A$8,MouserListTable[[#This Row],[Mouser SKU]], MouserListTable[[#This Row],[Supplier SKU]])</f>
        <v>474-COM-09806</v>
      </c>
      <c r="E550" s="94">
        <f>MouserListTable[[#This Row],[Tot '#]]-MouserListTable[[#This Row],['# Initial]]</f>
        <v>0</v>
      </c>
      <c r="F550" s="94">
        <f>IF(AND(MouserListTable[[#This Row],[Tag]]&lt;&gt;FilterSpecs!$F$12, MouserListTable[[#This Row],[Tag]]&lt;&gt;FilterSpecs!$F$9), MouserListTable[[#This Row],['#/Unit]]*FilterSpecs!$B$3+MouserListTable[[#This Row],[Extra Initial]],0)</f>
        <v>5</v>
      </c>
      <c r="G550" s="78" t="s">
        <v>605</v>
      </c>
      <c r="H550" s="150" t="s">
        <v>606</v>
      </c>
      <c r="I550" s="78" t="s">
        <v>607</v>
      </c>
      <c r="J550" s="78">
        <v>1</v>
      </c>
      <c r="K550" s="117">
        <v>0.95</v>
      </c>
      <c r="L550" s="78" t="s">
        <v>1897</v>
      </c>
      <c r="M550" s="78"/>
      <c r="N550" s="154">
        <f>MouserListTable[[#This Row],['# Initial]]*MouserListTable[[#This Row],[Price (USD)]]</f>
        <v>4.75</v>
      </c>
      <c r="O550" s="81" t="s">
        <v>604</v>
      </c>
      <c r="P550" s="150">
        <f t="shared" si="9"/>
        <v>537</v>
      </c>
      <c r="Q550" s="78" t="s">
        <v>5</v>
      </c>
      <c r="R550"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474-COM-09806</v>
      </c>
      <c r="S550" s="133" t="str">
        <f>HYPERLINK("https://www.mouser.com/ProductDetail/" &amp;MouserListTable[[#This Row],[Mouser SKU]])</f>
        <v>https://www.mouser.com/ProductDetail/474-COM-09806</v>
      </c>
      <c r="T550" s="94">
        <v>1</v>
      </c>
      <c r="U550" s="94">
        <v>0</v>
      </c>
      <c r="V550" s="94">
        <v>0</v>
      </c>
      <c r="W550" s="94">
        <f>MouserListTable[[#This Row],['#/Unit]]*FilterSpecs!$C$3+MouserListTable[[#This Row],[Extra]]</f>
        <v>5</v>
      </c>
      <c r="X550" s="94">
        <f>IF(MouserListTable[[#This Row],[Tag]]=FilterSpecs!$F$7,MouserListTable[[#This Row],['#/Unit]]*MouserListTable[[#This Row],[Price (USD)]],0)</f>
        <v>0.95</v>
      </c>
      <c r="Y550" s="94">
        <f>MouserListTable[[#This Row],[Tot '#]]*MouserListTable[[#This Row],[Price (USD)]]</f>
        <v>4.75</v>
      </c>
      <c r="Z550"/>
    </row>
    <row r="551" spans="1:26" s="106" customFormat="1" x14ac:dyDescent="0.25">
      <c r="A551" s="78" t="s">
        <v>890</v>
      </c>
      <c r="B551" s="78" t="s">
        <v>1004</v>
      </c>
      <c r="C551" s="78" t="s">
        <v>1892</v>
      </c>
      <c r="D551" s="81" t="str">
        <f>IF(MouserListTable[[#This Row],[Vendor]]=FilterSpecs!$A$8,MouserListTable[[#This Row],[Mouser SKU]], MouserListTable[[#This Row],[Supplier SKU]])</f>
        <v>474-KIT-13698</v>
      </c>
      <c r="E551" s="94">
        <f>MouserListTable[[#This Row],[Tot '#]]-MouserListTable[[#This Row],['# Initial]]</f>
        <v>0</v>
      </c>
      <c r="F551" s="94">
        <f>IF(AND(MouserListTable[[#This Row],[Tag]]&lt;&gt;FilterSpecs!$F$12, MouserListTable[[#This Row],[Tag]]&lt;&gt;FilterSpecs!$F$9), MouserListTable[[#This Row],['#/Unit]]*FilterSpecs!$B$3+MouserListTable[[#This Row],[Extra Initial]],0)</f>
        <v>1</v>
      </c>
      <c r="G551" s="78" t="s">
        <v>369</v>
      </c>
      <c r="H551" s="150" t="s">
        <v>370</v>
      </c>
      <c r="I551" s="78" t="s">
        <v>371</v>
      </c>
      <c r="J551" s="78"/>
      <c r="K551" s="117">
        <v>6.95</v>
      </c>
      <c r="L551" s="78" t="s">
        <v>1896</v>
      </c>
      <c r="M551" s="78"/>
      <c r="N551" s="154">
        <f>MouserListTable[[#This Row],['# Initial]]*MouserListTable[[#This Row],[Price (USD)]]</f>
        <v>6.95</v>
      </c>
      <c r="O551" s="81" t="s">
        <v>368</v>
      </c>
      <c r="P551" s="150">
        <f t="shared" si="9"/>
        <v>538</v>
      </c>
      <c r="Q551" s="78" t="s">
        <v>5</v>
      </c>
      <c r="R551"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474-KIT-13698</v>
      </c>
      <c r="S551" s="133" t="str">
        <f>HYPERLINK("https://www.mouser.com/ProductDetail/" &amp;MouserListTable[[#This Row],[Mouser SKU]])</f>
        <v>https://www.mouser.com/ProductDetail/474-KIT-13698</v>
      </c>
      <c r="T551" s="94">
        <v>0</v>
      </c>
      <c r="U551" s="94">
        <v>1</v>
      </c>
      <c r="V551" s="94">
        <v>1</v>
      </c>
      <c r="W551" s="94">
        <f>MouserListTable[[#This Row],['#/Unit]]*FilterSpecs!$C$3+MouserListTable[[#This Row],[Extra]]</f>
        <v>1</v>
      </c>
      <c r="X551" s="94">
        <f>IF(MouserListTable[[#This Row],[Tag]]=FilterSpecs!$F$7,MouserListTable[[#This Row],['#/Unit]]*MouserListTable[[#This Row],[Price (USD)]],0)</f>
        <v>0</v>
      </c>
      <c r="Y551" s="94">
        <f>MouserListTable[[#This Row],[Tot '#]]*MouserListTable[[#This Row],[Price (USD)]]</f>
        <v>6.95</v>
      </c>
      <c r="Z551"/>
    </row>
    <row r="552" spans="1:26" s="106" customFormat="1" x14ac:dyDescent="0.25">
      <c r="A552" s="78" t="s">
        <v>890</v>
      </c>
      <c r="B552" s="78" t="s">
        <v>1004</v>
      </c>
      <c r="C552" s="78" t="s">
        <v>1892</v>
      </c>
      <c r="D552" s="81" t="str">
        <f>IF(MouserListTable[[#This Row],[Vendor]]=FilterSpecs!$A$8,MouserListTable[[#This Row],[Mouser SKU]], MouserListTable[[#This Row],[Supplier SKU]])</f>
        <v>474-COM-00096</v>
      </c>
      <c r="E552" s="94">
        <f>MouserListTable[[#This Row],[Tot '#]]-MouserListTable[[#This Row],['# Initial]]</f>
        <v>0</v>
      </c>
      <c r="F552" s="94">
        <f>IF(AND(MouserListTable[[#This Row],[Tag]]&lt;&gt;FilterSpecs!$F$12, MouserListTable[[#This Row],[Tag]]&lt;&gt;FilterSpecs!$F$9), MouserListTable[[#This Row],['#/Unit]]*FilterSpecs!$B$3+MouserListTable[[#This Row],[Extra Initial]],0)</f>
        <v>5</v>
      </c>
      <c r="G552" s="78" t="s">
        <v>721</v>
      </c>
      <c r="H552" s="150" t="s">
        <v>722</v>
      </c>
      <c r="I552" s="78" t="s">
        <v>723</v>
      </c>
      <c r="J552" s="78">
        <v>1</v>
      </c>
      <c r="K552" s="117">
        <v>0.35</v>
      </c>
      <c r="L552" s="78" t="s">
        <v>1897</v>
      </c>
      <c r="M552" s="78"/>
      <c r="N552" s="154">
        <f>MouserListTable[[#This Row],['# Initial]]*MouserListTable[[#This Row],[Price (USD)]]</f>
        <v>1.75</v>
      </c>
      <c r="O552" s="81" t="s">
        <v>720</v>
      </c>
      <c r="P552" s="150">
        <f t="shared" si="9"/>
        <v>539</v>
      </c>
      <c r="Q552" s="78" t="s">
        <v>5</v>
      </c>
      <c r="R552"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474-COM-00096</v>
      </c>
      <c r="S552" s="133" t="str">
        <f>HYPERLINK("https://www.mouser.com/ProductDetail/" &amp;MouserListTable[[#This Row],[Mouser SKU]])</f>
        <v>https://www.mouser.com/ProductDetail/474-COM-00096</v>
      </c>
      <c r="T552" s="94">
        <v>1</v>
      </c>
      <c r="U552" s="94">
        <v>0</v>
      </c>
      <c r="V552" s="94">
        <v>0</v>
      </c>
      <c r="W552" s="94">
        <f>MouserListTable[[#This Row],['#/Unit]]*FilterSpecs!$C$3+MouserListTable[[#This Row],[Extra]]</f>
        <v>5</v>
      </c>
      <c r="X552" s="94">
        <f>IF(MouserListTable[[#This Row],[Tag]]=FilterSpecs!$F$7,MouserListTable[[#This Row],['#/Unit]]*MouserListTable[[#This Row],[Price (USD)]],0)</f>
        <v>0.35</v>
      </c>
      <c r="Y552" s="94">
        <f>MouserListTable[[#This Row],[Tot '#]]*MouserListTable[[#This Row],[Price (USD)]]</f>
        <v>1.75</v>
      </c>
      <c r="Z552"/>
    </row>
    <row r="553" spans="1:26" s="106" customFormat="1" x14ac:dyDescent="0.25">
      <c r="A553" s="78" t="s">
        <v>890</v>
      </c>
      <c r="B553" s="78" t="s">
        <v>1004</v>
      </c>
      <c r="C553" s="78" t="s">
        <v>1892</v>
      </c>
      <c r="D553" s="81" t="str">
        <f>IF(MouserListTable[[#This Row],[Vendor]]=FilterSpecs!$A$8,MouserListTable[[#This Row],[Mouser SKU]], MouserListTable[[#This Row],[Supplier SKU]])</f>
        <v>474-COM-00523</v>
      </c>
      <c r="E553" s="94">
        <f>MouserListTable[[#This Row],[Tot '#]]-MouserListTable[[#This Row],['# Initial]]</f>
        <v>0</v>
      </c>
      <c r="F553" s="94">
        <f>IF(AND(MouserListTable[[#This Row],[Tag]]&lt;&gt;FilterSpecs!$F$12, MouserListTable[[#This Row],[Tag]]&lt;&gt;FilterSpecs!$F$9), MouserListTable[[#This Row],['#/Unit]]*FilterSpecs!$B$3+MouserListTable[[#This Row],[Extra Initial]],0)</f>
        <v>5</v>
      </c>
      <c r="G553" s="78" t="s">
        <v>717</v>
      </c>
      <c r="H553" s="150" t="s">
        <v>718</v>
      </c>
      <c r="I553" s="78" t="s">
        <v>719</v>
      </c>
      <c r="J553" s="78">
        <v>1</v>
      </c>
      <c r="K553" s="117">
        <v>0.45</v>
      </c>
      <c r="L553" s="78" t="s">
        <v>1897</v>
      </c>
      <c r="M553" s="78"/>
      <c r="N553" s="154">
        <f>MouserListTable[[#This Row],['# Initial]]*MouserListTable[[#This Row],[Price (USD)]]</f>
        <v>2.25</v>
      </c>
      <c r="O553" s="81" t="s">
        <v>716</v>
      </c>
      <c r="P553" s="150">
        <f t="shared" si="9"/>
        <v>540</v>
      </c>
      <c r="Q553" s="78" t="s">
        <v>5</v>
      </c>
      <c r="R553"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474-COM-00523</v>
      </c>
      <c r="S553" s="133" t="str">
        <f>HYPERLINK("https://www.mouser.com/ProductDetail/" &amp;MouserListTable[[#This Row],[Mouser SKU]])</f>
        <v>https://www.mouser.com/ProductDetail/474-COM-00523</v>
      </c>
      <c r="T553" s="94">
        <v>1</v>
      </c>
      <c r="U553" s="94">
        <v>0</v>
      </c>
      <c r="V553" s="94">
        <v>0</v>
      </c>
      <c r="W553" s="94">
        <f>MouserListTable[[#This Row],['#/Unit]]*FilterSpecs!$C$3+MouserListTable[[#This Row],[Extra]]</f>
        <v>5</v>
      </c>
      <c r="X553" s="94">
        <f>IF(MouserListTable[[#This Row],[Tag]]=FilterSpecs!$F$7,MouserListTable[[#This Row],['#/Unit]]*MouserListTable[[#This Row],[Price (USD)]],0)</f>
        <v>0.45</v>
      </c>
      <c r="Y553" s="94">
        <f>MouserListTable[[#This Row],[Tot '#]]*MouserListTable[[#This Row],[Price (USD)]]</f>
        <v>2.25</v>
      </c>
      <c r="Z553"/>
    </row>
    <row r="554" spans="1:26" s="106" customFormat="1" x14ac:dyDescent="0.25">
      <c r="A554" s="78" t="s">
        <v>890</v>
      </c>
      <c r="B554" s="78" t="s">
        <v>1004</v>
      </c>
      <c r="C554" s="78" t="s">
        <v>1892</v>
      </c>
      <c r="D554" s="81" t="str">
        <f>IF(MouserListTable[[#This Row],[Vendor]]=FilterSpecs!$A$8,MouserListTable[[#This Row],[Mouser SKU]], MouserListTable[[#This Row],[Supplier SKU]])</f>
        <v>474-COM-00746</v>
      </c>
      <c r="E554" s="94">
        <f>MouserListTable[[#This Row],[Tot '#]]-MouserListTable[[#This Row],['# Initial]]</f>
        <v>3</v>
      </c>
      <c r="F554" s="94">
        <f>IF(AND(MouserListTable[[#This Row],[Tag]]&lt;&gt;FilterSpecs!$F$12, MouserListTable[[#This Row],[Tag]]&lt;&gt;FilterSpecs!$F$9), MouserListTable[[#This Row],['#/Unit]]*FilterSpecs!$B$3+MouserListTable[[#This Row],[Extra Initial]],0)</f>
        <v>0</v>
      </c>
      <c r="G554" s="78" t="s">
        <v>709</v>
      </c>
      <c r="H554" s="150" t="s">
        <v>710</v>
      </c>
      <c r="I554" s="78" t="s">
        <v>711</v>
      </c>
      <c r="J554" s="78">
        <v>1</v>
      </c>
      <c r="K554" s="117">
        <v>4.95</v>
      </c>
      <c r="L554" s="78" t="s">
        <v>1896</v>
      </c>
      <c r="M554" s="78"/>
      <c r="N554" s="154">
        <f>MouserListTable[[#This Row],['# Initial]]*MouserListTable[[#This Row],[Price (USD)]]</f>
        <v>0</v>
      </c>
      <c r="O554" s="81" t="s">
        <v>708</v>
      </c>
      <c r="P554" s="150">
        <f t="shared" si="9"/>
        <v>541</v>
      </c>
      <c r="Q554" s="78" t="s">
        <v>5</v>
      </c>
      <c r="R554"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474-COM-00746</v>
      </c>
      <c r="S554" s="133" t="str">
        <f>HYPERLINK("https://www.mouser.com/ProductDetail/" &amp;MouserListTable[[#This Row],[Mouser SKU]])</f>
        <v>https://www.mouser.com/ProductDetail/474-COM-00746</v>
      </c>
      <c r="T554" s="94">
        <v>0</v>
      </c>
      <c r="U554" s="94">
        <v>3</v>
      </c>
      <c r="V554" s="94">
        <v>0</v>
      </c>
      <c r="W554" s="94">
        <f>MouserListTable[[#This Row],['#/Unit]]*FilterSpecs!$C$3+MouserListTable[[#This Row],[Extra]]</f>
        <v>3</v>
      </c>
      <c r="X554" s="94">
        <f>IF(MouserListTable[[#This Row],[Tag]]=FilterSpecs!$F$7,MouserListTable[[#This Row],['#/Unit]]*MouserListTable[[#This Row],[Price (USD)]],0)</f>
        <v>0</v>
      </c>
      <c r="Y554" s="94">
        <f>MouserListTable[[#This Row],[Tot '#]]*MouserListTable[[#This Row],[Price (USD)]]</f>
        <v>14.850000000000001</v>
      </c>
      <c r="Z554"/>
    </row>
    <row r="555" spans="1:26" s="106" customFormat="1" x14ac:dyDescent="0.25">
      <c r="A555" s="78" t="s">
        <v>890</v>
      </c>
      <c r="B555" s="78" t="s">
        <v>1004</v>
      </c>
      <c r="C555" s="78" t="s">
        <v>1892</v>
      </c>
      <c r="D555" s="81" t="str">
        <f>IF(MouserListTable[[#This Row],[Vendor]]=FilterSpecs!$A$8,MouserListTable[[#This Row],[Mouser SKU]], MouserListTable[[#This Row],[Supplier SKU]])</f>
        <v>474-SEN-00250</v>
      </c>
      <c r="E555" s="94">
        <f>MouserListTable[[#This Row],[Tot '#]]-MouserListTable[[#This Row],['# Initial]]</f>
        <v>0</v>
      </c>
      <c r="F555" s="94">
        <f>IF(AND(MouserListTable[[#This Row],[Tag]]&lt;&gt;FilterSpecs!$F$12, MouserListTable[[#This Row],[Tag]]&lt;&gt;FilterSpecs!$F$9), MouserListTable[[#This Row],['#/Unit]]*FilterSpecs!$B$3+MouserListTable[[#This Row],[Extra Initial]],0)</f>
        <v>10</v>
      </c>
      <c r="G555" s="78" t="s">
        <v>705</v>
      </c>
      <c r="H555" s="150" t="s">
        <v>706</v>
      </c>
      <c r="I555" s="78" t="s">
        <v>707</v>
      </c>
      <c r="J555" s="78">
        <v>1</v>
      </c>
      <c r="K555" s="117">
        <v>0.75</v>
      </c>
      <c r="L555" s="78" t="s">
        <v>1897</v>
      </c>
      <c r="M555" s="78"/>
      <c r="N555" s="154">
        <f>MouserListTable[[#This Row],['# Initial]]*MouserListTable[[#This Row],[Price (USD)]]</f>
        <v>7.5</v>
      </c>
      <c r="O555" s="81" t="s">
        <v>704</v>
      </c>
      <c r="P555" s="150">
        <f t="shared" si="9"/>
        <v>542</v>
      </c>
      <c r="Q555" s="78" t="s">
        <v>5</v>
      </c>
      <c r="R555"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474-SEN-00250</v>
      </c>
      <c r="S555" s="133" t="str">
        <f>HYPERLINK("https://www.mouser.com/ProductDetail/" &amp;MouserListTable[[#This Row],[Mouser SKU]])</f>
        <v>https://www.mouser.com/ProductDetail/474-SEN-00250</v>
      </c>
      <c r="T555" s="94">
        <v>2</v>
      </c>
      <c r="U555" s="94">
        <v>0</v>
      </c>
      <c r="V555" s="94">
        <v>0</v>
      </c>
      <c r="W555" s="94">
        <f>MouserListTable[[#This Row],['#/Unit]]*FilterSpecs!$C$3+MouserListTable[[#This Row],[Extra]]</f>
        <v>10</v>
      </c>
      <c r="X555" s="94">
        <f>IF(MouserListTable[[#This Row],[Tag]]=FilterSpecs!$F$7,MouserListTable[[#This Row],['#/Unit]]*MouserListTable[[#This Row],[Price (USD)]],0)</f>
        <v>1.5</v>
      </c>
      <c r="Y555" s="94">
        <f>MouserListTable[[#This Row],[Tot '#]]*MouserListTable[[#This Row],[Price (USD)]]</f>
        <v>7.5</v>
      </c>
      <c r="Z555"/>
    </row>
    <row r="556" spans="1:26" s="106" customFormat="1" x14ac:dyDescent="0.25">
      <c r="A556" s="78" t="s">
        <v>890</v>
      </c>
      <c r="B556" s="78" t="s">
        <v>1004</v>
      </c>
      <c r="C556" s="78" t="s">
        <v>1892</v>
      </c>
      <c r="D556" s="81" t="str">
        <f>IF(MouserListTable[[#This Row],[Vendor]]=FilterSpecs!$A$8,MouserListTable[[#This Row],[Mouser SKU]], MouserListTable[[#This Row],[Supplier SKU]])</f>
        <v>474-COM-08589</v>
      </c>
      <c r="E556" s="94">
        <f>MouserListTable[[#This Row],[Tot '#]]-MouserListTable[[#This Row],['# Initial]]</f>
        <v>0</v>
      </c>
      <c r="F556" s="94">
        <f>IF(AND(MouserListTable[[#This Row],[Tag]]&lt;&gt;FilterSpecs!$F$12, MouserListTable[[#This Row],[Tag]]&lt;&gt;FilterSpecs!$F$9), MouserListTable[[#This Row],['#/Unit]]*FilterSpecs!$B$3+MouserListTable[[#This Row],[Extra Initial]],0)</f>
        <v>10</v>
      </c>
      <c r="G556" s="78" t="s">
        <v>419</v>
      </c>
      <c r="H556" s="150" t="s">
        <v>420</v>
      </c>
      <c r="I556" s="78" t="s">
        <v>421</v>
      </c>
      <c r="J556" s="78">
        <v>1</v>
      </c>
      <c r="K556" s="117">
        <v>0.15</v>
      </c>
      <c r="L556" s="78" t="s">
        <v>1897</v>
      </c>
      <c r="M556" s="78"/>
      <c r="N556" s="154">
        <f>MouserListTable[[#This Row],['# Initial]]*MouserListTable[[#This Row],[Price (USD)]]</f>
        <v>1.5</v>
      </c>
      <c r="O556" s="81" t="s">
        <v>418</v>
      </c>
      <c r="P556" s="150">
        <f t="shared" si="9"/>
        <v>543</v>
      </c>
      <c r="Q556" s="78" t="s">
        <v>5</v>
      </c>
      <c r="R556"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474-COM-08589</v>
      </c>
      <c r="S556" s="133" t="str">
        <f>HYPERLINK("https://www.mouser.com/ProductDetail/" &amp;MouserListTable[[#This Row],[Mouser SKU]])</f>
        <v>https://www.mouser.com/ProductDetail/474-COM-08589</v>
      </c>
      <c r="T556" s="94">
        <v>2</v>
      </c>
      <c r="U556" s="94">
        <v>0</v>
      </c>
      <c r="V556" s="94">
        <v>0</v>
      </c>
      <c r="W556" s="94">
        <f>MouserListTable[[#This Row],['#/Unit]]*FilterSpecs!$C$3+MouserListTable[[#This Row],[Extra]]</f>
        <v>10</v>
      </c>
      <c r="X556" s="94">
        <f>IF(MouserListTable[[#This Row],[Tag]]=FilterSpecs!$F$7,MouserListTable[[#This Row],['#/Unit]]*MouserListTable[[#This Row],[Price (USD)]],0)</f>
        <v>0.3</v>
      </c>
      <c r="Y556" s="94">
        <f>MouserListTable[[#This Row],[Tot '#]]*MouserListTable[[#This Row],[Price (USD)]]</f>
        <v>1.5</v>
      </c>
      <c r="Z556"/>
    </row>
    <row r="557" spans="1:26" s="106" customFormat="1" x14ac:dyDescent="0.25">
      <c r="A557" s="78" t="s">
        <v>890</v>
      </c>
      <c r="B557" s="78" t="s">
        <v>1004</v>
      </c>
      <c r="C557" s="78" t="s">
        <v>1892</v>
      </c>
      <c r="D557" s="81" t="str">
        <f>IF(MouserListTable[[#This Row],[Vendor]]=FilterSpecs!$A$8,MouserListTable[[#This Row],[Mouser SKU]], MouserListTable[[#This Row],[Supplier SKU]])</f>
        <v>474-COM-08588</v>
      </c>
      <c r="E557" s="94">
        <f>MouserListTable[[#This Row],[Tot '#]]-MouserListTable[[#This Row],['# Initial]]</f>
        <v>0</v>
      </c>
      <c r="F557" s="94">
        <f>IF(AND(MouserListTable[[#This Row],[Tag]]&lt;&gt;FilterSpecs!$F$12, MouserListTable[[#This Row],[Tag]]&lt;&gt;FilterSpecs!$F$9), MouserListTable[[#This Row],['#/Unit]]*FilterSpecs!$B$3+MouserListTable[[#This Row],[Extra Initial]],0)</f>
        <v>10</v>
      </c>
      <c r="G557" s="78" t="s">
        <v>423</v>
      </c>
      <c r="H557" s="150" t="s">
        <v>424</v>
      </c>
      <c r="I557" s="78" t="s">
        <v>425</v>
      </c>
      <c r="J557" s="78">
        <v>1</v>
      </c>
      <c r="K557" s="117">
        <v>0.15</v>
      </c>
      <c r="L557" s="78" t="s">
        <v>1897</v>
      </c>
      <c r="M557" s="78"/>
      <c r="N557" s="154">
        <f>MouserListTable[[#This Row],['# Initial]]*MouserListTable[[#This Row],[Price (USD)]]</f>
        <v>1.5</v>
      </c>
      <c r="O557" s="81" t="s">
        <v>422</v>
      </c>
      <c r="P557" s="150">
        <f t="shared" si="9"/>
        <v>544</v>
      </c>
      <c r="Q557" s="78" t="s">
        <v>5</v>
      </c>
      <c r="R557"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474-COM-08588</v>
      </c>
      <c r="S557" s="133" t="str">
        <f>HYPERLINK("https://www.mouser.com/ProductDetail/" &amp;MouserListTable[[#This Row],[Mouser SKU]])</f>
        <v>https://www.mouser.com/ProductDetail/474-COM-08588</v>
      </c>
      <c r="T557" s="94">
        <v>2</v>
      </c>
      <c r="U557" s="94">
        <v>0</v>
      </c>
      <c r="V557" s="94">
        <v>0</v>
      </c>
      <c r="W557" s="94">
        <f>MouserListTable[[#This Row],['#/Unit]]*FilterSpecs!$C$3+MouserListTable[[#This Row],[Extra]]</f>
        <v>10</v>
      </c>
      <c r="X557" s="94">
        <f>IF(MouserListTable[[#This Row],[Tag]]=FilterSpecs!$F$7,MouserListTable[[#This Row],['#/Unit]]*MouserListTable[[#This Row],[Price (USD)]],0)</f>
        <v>0.3</v>
      </c>
      <c r="Y557" s="94">
        <f>MouserListTable[[#This Row],[Tot '#]]*MouserListTable[[#This Row],[Price (USD)]]</f>
        <v>1.5</v>
      </c>
      <c r="Z557"/>
    </row>
    <row r="558" spans="1:26" s="106" customFormat="1" x14ac:dyDescent="0.25">
      <c r="A558" s="78" t="s">
        <v>890</v>
      </c>
      <c r="B558" s="78" t="s">
        <v>1004</v>
      </c>
      <c r="C558" s="78" t="s">
        <v>1892</v>
      </c>
      <c r="D558" s="81" t="str">
        <f>IF(MouserListTable[[#This Row],[Vendor]]=FilterSpecs!$A$8,MouserListTable[[#This Row],[Mouser SKU]], MouserListTable[[#This Row],[Supplier SKU]])</f>
        <v>474-COM-10926</v>
      </c>
      <c r="E558" s="94">
        <f>MouserListTable[[#This Row],[Tot '#]]-MouserListTable[[#This Row],['# Initial]]</f>
        <v>0</v>
      </c>
      <c r="F558" s="94">
        <f>IF(AND(MouserListTable[[#This Row],[Tag]]&lt;&gt;FilterSpecs!$F$12, MouserListTable[[#This Row],[Tag]]&lt;&gt;FilterSpecs!$F$9), MouserListTable[[#This Row],['#/Unit]]*FilterSpecs!$B$3+MouserListTable[[#This Row],[Extra Initial]],0)</f>
        <v>10</v>
      </c>
      <c r="G558" s="78" t="s">
        <v>665</v>
      </c>
      <c r="H558" s="150" t="s">
        <v>666</v>
      </c>
      <c r="I558" s="78" t="s">
        <v>667</v>
      </c>
      <c r="J558" s="78">
        <v>1</v>
      </c>
      <c r="K558" s="117">
        <v>0.15</v>
      </c>
      <c r="L558" s="78" t="s">
        <v>1897</v>
      </c>
      <c r="M558" s="78"/>
      <c r="N558" s="154">
        <f>MouserListTable[[#This Row],['# Initial]]*MouserListTable[[#This Row],[Price (USD)]]</f>
        <v>1.5</v>
      </c>
      <c r="O558" s="81" t="s">
        <v>664</v>
      </c>
      <c r="P558" s="150">
        <f t="shared" si="9"/>
        <v>545</v>
      </c>
      <c r="Q558" s="78" t="s">
        <v>5</v>
      </c>
      <c r="R558"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474-COM-10926</v>
      </c>
      <c r="S558" s="133" t="str">
        <f>HYPERLINK("https://www.mouser.com/ProductDetail/" &amp;MouserListTable[[#This Row],[Mouser SKU]])</f>
        <v>https://www.mouser.com/ProductDetail/474-COM-10926</v>
      </c>
      <c r="T558" s="94">
        <v>2</v>
      </c>
      <c r="U558" s="94">
        <v>0</v>
      </c>
      <c r="V558" s="94">
        <v>0</v>
      </c>
      <c r="W558" s="94">
        <f>MouserListTable[[#This Row],['#/Unit]]*FilterSpecs!$C$3+MouserListTable[[#This Row],[Extra]]</f>
        <v>10</v>
      </c>
      <c r="X558" s="94">
        <f>IF(MouserListTable[[#This Row],[Tag]]=FilterSpecs!$F$7,MouserListTable[[#This Row],['#/Unit]]*MouserListTable[[#This Row],[Price (USD)]],0)</f>
        <v>0.3</v>
      </c>
      <c r="Y558" s="94">
        <f>MouserListTable[[#This Row],[Tot '#]]*MouserListTable[[#This Row],[Price (USD)]]</f>
        <v>1.5</v>
      </c>
      <c r="Z558"/>
    </row>
    <row r="559" spans="1:26" s="106" customFormat="1" x14ac:dyDescent="0.25">
      <c r="A559" s="78" t="s">
        <v>890</v>
      </c>
      <c r="B559" s="78" t="s">
        <v>1004</v>
      </c>
      <c r="C559" s="78" t="s">
        <v>1892</v>
      </c>
      <c r="D559" s="81" t="str">
        <f>IF(MouserListTable[[#This Row],[Vendor]]=FilterSpecs!$A$8,MouserListTable[[#This Row],[Mouser SKU]], MouserListTable[[#This Row],[Supplier SKU]])</f>
        <v>474-COM-10301</v>
      </c>
      <c r="E559" s="94">
        <f>MouserListTable[[#This Row],[Tot '#]]-MouserListTable[[#This Row],['# Initial]]</f>
        <v>10</v>
      </c>
      <c r="F559" s="94">
        <f>IF(AND(MouserListTable[[#This Row],[Tag]]&lt;&gt;FilterSpecs!$F$12, MouserListTable[[#This Row],[Tag]]&lt;&gt;FilterSpecs!$F$9), MouserListTable[[#This Row],['#/Unit]]*FilterSpecs!$B$3+MouserListTable[[#This Row],[Extra Initial]],0)</f>
        <v>0</v>
      </c>
      <c r="G559" s="78" t="s">
        <v>415</v>
      </c>
      <c r="H559" s="150" t="s">
        <v>416</v>
      </c>
      <c r="I559" s="78" t="s">
        <v>417</v>
      </c>
      <c r="J559" s="78">
        <v>1</v>
      </c>
      <c r="K559" s="117">
        <v>0.25</v>
      </c>
      <c r="L559" s="78" t="s">
        <v>2461</v>
      </c>
      <c r="M559" s="78"/>
      <c r="N559" s="154">
        <f>MouserListTable[[#This Row],['# Initial]]*MouserListTable[[#This Row],[Price (USD)]]</f>
        <v>0</v>
      </c>
      <c r="O559" s="81" t="s">
        <v>414</v>
      </c>
      <c r="P559" s="150">
        <f t="shared" si="9"/>
        <v>546</v>
      </c>
      <c r="Q559" s="78" t="s">
        <v>5</v>
      </c>
      <c r="R559"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474-COM-10301</v>
      </c>
      <c r="S559" s="133" t="str">
        <f>HYPERLINK("https://www.mouser.com/ProductDetail/" &amp;MouserListTable[[#This Row],[Mouser SKU]])</f>
        <v>https://www.mouser.com/ProductDetail/474-COM-10301</v>
      </c>
      <c r="T559" s="94">
        <v>2</v>
      </c>
      <c r="U559" s="94">
        <v>0</v>
      </c>
      <c r="V559" s="94">
        <v>0</v>
      </c>
      <c r="W559" s="94">
        <f>MouserListTable[[#This Row],['#/Unit]]*FilterSpecs!$C$3+MouserListTable[[#This Row],[Extra]]</f>
        <v>10</v>
      </c>
      <c r="X559" s="94">
        <f>IF(MouserListTable[[#This Row],[Tag]]=FilterSpecs!$F$7,MouserListTable[[#This Row],['#/Unit]]*MouserListTable[[#This Row],[Price (USD)]],0)</f>
        <v>0</v>
      </c>
      <c r="Y559" s="94">
        <f>MouserListTable[[#This Row],[Tot '#]]*MouserListTable[[#This Row],[Price (USD)]]</f>
        <v>2.5</v>
      </c>
      <c r="Z559"/>
    </row>
    <row r="560" spans="1:26" s="106" customFormat="1" x14ac:dyDescent="0.25">
      <c r="A560" s="78" t="s">
        <v>890</v>
      </c>
      <c r="B560" s="78" t="s">
        <v>1880</v>
      </c>
      <c r="C560" s="78" t="s">
        <v>1892</v>
      </c>
      <c r="D560" s="81" t="str">
        <f>IF(MouserListTable[[#This Row],[Vendor]]=FilterSpecs!$A$8,MouserListTable[[#This Row],[Mouser SKU]], MouserListTable[[#This Row],[Supplier SKU]])</f>
        <v>474-COM-11154</v>
      </c>
      <c r="E560" s="94">
        <f>MouserListTable[[#This Row],[Tot '#]]-MouserListTable[[#This Row],['# Initial]]</f>
        <v>2</v>
      </c>
      <c r="F560" s="94">
        <f>IF(AND(MouserListTable[[#This Row],[Tag]]&lt;&gt;FilterSpecs!$F$12, MouserListTable[[#This Row],[Tag]]&lt;&gt;FilterSpecs!$F$9), MouserListTable[[#This Row],['#/Unit]]*FilterSpecs!$B$3+MouserListTable[[#This Row],[Extra Initial]],0)</f>
        <v>0</v>
      </c>
      <c r="G560" s="78" t="s">
        <v>741</v>
      </c>
      <c r="H560" s="150" t="s">
        <v>742</v>
      </c>
      <c r="I560" s="78" t="s">
        <v>743</v>
      </c>
      <c r="J560" s="78"/>
      <c r="K560" s="117">
        <v>0.5</v>
      </c>
      <c r="L560" s="78" t="s">
        <v>1896</v>
      </c>
      <c r="M560" s="78"/>
      <c r="N560" s="154">
        <f>MouserListTable[[#This Row],['# Initial]]*MouserListTable[[#This Row],[Price (USD)]]</f>
        <v>0</v>
      </c>
      <c r="O560" s="81" t="s">
        <v>740</v>
      </c>
      <c r="P560" s="150">
        <f t="shared" si="9"/>
        <v>547</v>
      </c>
      <c r="Q560" s="78" t="s">
        <v>5</v>
      </c>
      <c r="R560"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474-COM-11154</v>
      </c>
      <c r="S560" s="133" t="str">
        <f>HYPERLINK("https://www.mouser.com/ProductDetail/" &amp;MouserListTable[[#This Row],[Mouser SKU]])</f>
        <v>https://www.mouser.com/ProductDetail/474-COM-11154</v>
      </c>
      <c r="T560" s="94">
        <v>0</v>
      </c>
      <c r="U560" s="94">
        <v>2</v>
      </c>
      <c r="V560" s="94">
        <v>0</v>
      </c>
      <c r="W560" s="94">
        <f>MouserListTable[[#This Row],['#/Unit]]*FilterSpecs!$C$3+MouserListTable[[#This Row],[Extra]]</f>
        <v>2</v>
      </c>
      <c r="X560" s="94">
        <f>IF(MouserListTable[[#This Row],[Tag]]=FilterSpecs!$F$7,MouserListTable[[#This Row],['#/Unit]]*MouserListTable[[#This Row],[Price (USD)]],0)</f>
        <v>0</v>
      </c>
      <c r="Y560" s="94">
        <f>MouserListTable[[#This Row],[Tot '#]]*MouserListTable[[#This Row],[Price (USD)]]</f>
        <v>1</v>
      </c>
      <c r="Z560"/>
    </row>
    <row r="561" spans="1:26" s="106" customFormat="1" x14ac:dyDescent="0.25">
      <c r="A561" s="78" t="s">
        <v>890</v>
      </c>
      <c r="B561" s="78" t="s">
        <v>1880</v>
      </c>
      <c r="C561" s="78" t="s">
        <v>1892</v>
      </c>
      <c r="D561" s="81" t="str">
        <f>IF(MouserListTable[[#This Row],[Vendor]]=FilterSpecs!$A$8,MouserListTable[[#This Row],[Mouser SKU]], MouserListTable[[#This Row],[Supplier SKU]])</f>
        <v>474-PRT-08032</v>
      </c>
      <c r="E561" s="94">
        <f>MouserListTable[[#This Row],[Tot '#]]-MouserListTable[[#This Row],['# Initial]]</f>
        <v>4</v>
      </c>
      <c r="F561" s="94">
        <f>IF(AND(MouserListTable[[#This Row],[Tag]]&lt;&gt;FilterSpecs!$F$12, MouserListTable[[#This Row],[Tag]]&lt;&gt;FilterSpecs!$F$9), MouserListTable[[#This Row],['#/Unit]]*FilterSpecs!$B$3+MouserListTable[[#This Row],[Extra Initial]],0)</f>
        <v>0</v>
      </c>
      <c r="G561" s="78" t="s">
        <v>737</v>
      </c>
      <c r="H561" s="150" t="s">
        <v>738</v>
      </c>
      <c r="I561" s="78" t="s">
        <v>739</v>
      </c>
      <c r="J561" s="78">
        <v>1</v>
      </c>
      <c r="K561" s="117">
        <v>1.5</v>
      </c>
      <c r="L561" s="78" t="s">
        <v>1896</v>
      </c>
      <c r="M561" s="78"/>
      <c r="N561" s="154">
        <f>MouserListTable[[#This Row],['# Initial]]*MouserListTable[[#This Row],[Price (USD)]]</f>
        <v>0</v>
      </c>
      <c r="O561" s="81" t="s">
        <v>736</v>
      </c>
      <c r="P561" s="150">
        <f t="shared" si="9"/>
        <v>548</v>
      </c>
      <c r="Q561" s="78" t="s">
        <v>5</v>
      </c>
      <c r="R561"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474-PRT-08032</v>
      </c>
      <c r="S561" s="133" t="str">
        <f>HYPERLINK("https://www.mouser.com/ProductDetail/" &amp;MouserListTable[[#This Row],[Mouser SKU]])</f>
        <v>https://www.mouser.com/ProductDetail/474-PRT-08032</v>
      </c>
      <c r="T561" s="94">
        <v>0</v>
      </c>
      <c r="U561" s="94">
        <v>4</v>
      </c>
      <c r="V561" s="94">
        <v>0</v>
      </c>
      <c r="W561" s="94">
        <f>MouserListTable[[#This Row],['#/Unit]]*FilterSpecs!$C$3+MouserListTable[[#This Row],[Extra]]</f>
        <v>4</v>
      </c>
      <c r="X561" s="94">
        <f>IF(MouserListTable[[#This Row],[Tag]]=FilterSpecs!$F$7,MouserListTable[[#This Row],['#/Unit]]*MouserListTable[[#This Row],[Price (USD)]],0)</f>
        <v>0</v>
      </c>
      <c r="Y561" s="94">
        <f>MouserListTable[[#This Row],[Tot '#]]*MouserListTable[[#This Row],[Price (USD)]]</f>
        <v>6</v>
      </c>
      <c r="Z561"/>
    </row>
    <row r="562" spans="1:26" s="106" customFormat="1" x14ac:dyDescent="0.25">
      <c r="A562" s="78" t="s">
        <v>890</v>
      </c>
      <c r="B562" s="78" t="s">
        <v>1880</v>
      </c>
      <c r="C562" s="78" t="s">
        <v>1892</v>
      </c>
      <c r="D562" s="81" t="str">
        <f>IF(MouserListTable[[#This Row],[Vendor]]=FilterSpecs!$A$8,MouserListTable[[#This Row],[Mouser SKU]], MouserListTable[[#This Row],[Supplier SKU]])</f>
        <v>474-COM-11143</v>
      </c>
      <c r="E562" s="94">
        <f>MouserListTable[[#This Row],[Tot '#]]-MouserListTable[[#This Row],['# Initial]]</f>
        <v>8</v>
      </c>
      <c r="F562" s="94">
        <f>IF(AND(MouserListTable[[#This Row],[Tag]]&lt;&gt;FilterSpecs!$F$12, MouserListTable[[#This Row],[Tag]]&lt;&gt;FilterSpecs!$F$9), MouserListTable[[#This Row],['#/Unit]]*FilterSpecs!$B$3+MouserListTable[[#This Row],[Extra Initial]],0)</f>
        <v>0</v>
      </c>
      <c r="G562" s="78" t="s">
        <v>733</v>
      </c>
      <c r="H562" s="150" t="s">
        <v>734</v>
      </c>
      <c r="I562" s="78" t="s">
        <v>735</v>
      </c>
      <c r="J562" s="78"/>
      <c r="K562" s="117">
        <v>0.5</v>
      </c>
      <c r="L562" s="78" t="s">
        <v>1896</v>
      </c>
      <c r="M562" s="78"/>
      <c r="N562" s="154">
        <f>MouserListTable[[#This Row],['# Initial]]*MouserListTable[[#This Row],[Price (USD)]]</f>
        <v>0</v>
      </c>
      <c r="O562" s="81" t="s">
        <v>732</v>
      </c>
      <c r="P562" s="150">
        <f t="shared" si="9"/>
        <v>549</v>
      </c>
      <c r="Q562" s="78" t="s">
        <v>5</v>
      </c>
      <c r="R562"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474-COM-11143</v>
      </c>
      <c r="S562" s="133" t="str">
        <f>HYPERLINK("https://www.mouser.com/ProductDetail/" &amp;MouserListTable[[#This Row],[Mouser SKU]])</f>
        <v>https://www.mouser.com/ProductDetail/474-COM-11143</v>
      </c>
      <c r="T562" s="94">
        <v>0</v>
      </c>
      <c r="U562" s="94">
        <v>8</v>
      </c>
      <c r="V562" s="94">
        <v>0</v>
      </c>
      <c r="W562" s="94">
        <f>MouserListTable[[#This Row],['#/Unit]]*FilterSpecs!$C$3+MouserListTable[[#This Row],[Extra]]</f>
        <v>8</v>
      </c>
      <c r="X562" s="94">
        <f>IF(MouserListTable[[#This Row],[Tag]]=FilterSpecs!$F$7,MouserListTable[[#This Row],['#/Unit]]*MouserListTable[[#This Row],[Price (USD)]],0)</f>
        <v>0</v>
      </c>
      <c r="Y562" s="94">
        <f>MouserListTable[[#This Row],[Tot '#]]*MouserListTable[[#This Row],[Price (USD)]]</f>
        <v>4</v>
      </c>
      <c r="Z562"/>
    </row>
    <row r="563" spans="1:26" s="106" customFormat="1" x14ac:dyDescent="0.25">
      <c r="A563" s="78" t="s">
        <v>890</v>
      </c>
      <c r="B563" s="78" t="s">
        <v>1880</v>
      </c>
      <c r="C563" s="78" t="s">
        <v>1892</v>
      </c>
      <c r="D563" s="81" t="str">
        <f>IF(MouserListTable[[#This Row],[Vendor]]=FilterSpecs!$A$8,MouserListTable[[#This Row],[Mouser SKU]], MouserListTable[[#This Row],[Supplier SKU]])</f>
        <v>474-PRT-10588</v>
      </c>
      <c r="E563" s="94">
        <f>MouserListTable[[#This Row],[Tot '#]]-MouserListTable[[#This Row],['# Initial]]</f>
        <v>2</v>
      </c>
      <c r="F563" s="94">
        <f>IF(AND(MouserListTable[[#This Row],[Tag]]&lt;&gt;FilterSpecs!$F$12, MouserListTable[[#This Row],[Tag]]&lt;&gt;FilterSpecs!$F$9), MouserListTable[[#This Row],['#/Unit]]*FilterSpecs!$B$3+MouserListTable[[#This Row],[Extra Initial]],0)</f>
        <v>0</v>
      </c>
      <c r="G563" s="78" t="s">
        <v>898</v>
      </c>
      <c r="H563" s="150" t="s">
        <v>899</v>
      </c>
      <c r="I563" s="78" t="s">
        <v>900</v>
      </c>
      <c r="J563" s="78">
        <v>1</v>
      </c>
      <c r="K563" s="117">
        <v>0.95</v>
      </c>
      <c r="L563" s="81" t="s">
        <v>1896</v>
      </c>
      <c r="M563" s="78"/>
      <c r="N563" s="154">
        <f>MouserListTable[[#This Row],['# Initial]]*MouserListTable[[#This Row],[Price (USD)]]</f>
        <v>0</v>
      </c>
      <c r="O563" s="81" t="s">
        <v>897</v>
      </c>
      <c r="P563" s="150">
        <f t="shared" si="9"/>
        <v>550</v>
      </c>
      <c r="Q563" s="78" t="s">
        <v>5</v>
      </c>
      <c r="R563"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474-PRT-10588</v>
      </c>
      <c r="S563" s="133" t="str">
        <f>HYPERLINK("https://www.mouser.com/ProductDetail/" &amp;MouserListTable[[#This Row],[Mouser SKU]])</f>
        <v>https://www.mouser.com/ProductDetail/474-PRT-10588</v>
      </c>
      <c r="T563" s="94">
        <v>0</v>
      </c>
      <c r="U563" s="94">
        <v>2</v>
      </c>
      <c r="V563" s="94">
        <v>0</v>
      </c>
      <c r="W563" s="94">
        <f>MouserListTable[[#This Row],['#/Unit]]*FilterSpecs!$C$3+MouserListTable[[#This Row],[Extra]]</f>
        <v>2</v>
      </c>
      <c r="X563" s="94">
        <f>IF(MouserListTable[[#This Row],[Tag]]=FilterSpecs!$F$7,MouserListTable[[#This Row],['#/Unit]]*MouserListTable[[#This Row],[Price (USD)]],0)</f>
        <v>0</v>
      </c>
      <c r="Y563" s="94">
        <f>MouserListTable[[#This Row],[Tot '#]]*MouserListTable[[#This Row],[Price (USD)]]</f>
        <v>1.9</v>
      </c>
      <c r="Z563"/>
    </row>
    <row r="564" spans="1:26" s="106" customFormat="1" x14ac:dyDescent="0.25">
      <c r="A564" s="78" t="s">
        <v>890</v>
      </c>
      <c r="B564" s="78" t="s">
        <v>1880</v>
      </c>
      <c r="C564" s="78" t="s">
        <v>1892</v>
      </c>
      <c r="D564" s="81" t="str">
        <f>IF(MouserListTable[[#This Row],[Vendor]]=FilterSpecs!$A$8,MouserListTable[[#This Row],[Mouser SKU]], MouserListTable[[#This Row],[Supplier SKU]])</f>
        <v>485-2911</v>
      </c>
      <c r="E564" s="94">
        <f>MouserListTable[[#This Row],[Tot '#]]-MouserListTable[[#This Row],['# Initial]]</f>
        <v>0</v>
      </c>
      <c r="F564" s="94">
        <f>IF(AND(MouserListTable[[#This Row],[Tag]]&lt;&gt;FilterSpecs!$F$12, MouserListTable[[#This Row],[Tag]]&lt;&gt;FilterSpecs!$F$9), MouserListTable[[#This Row],['#/Unit]]*FilterSpecs!$B$3+MouserListTable[[#This Row],[Extra Initial]],0)</f>
        <v>0</v>
      </c>
      <c r="G564" s="78"/>
      <c r="H564" s="150"/>
      <c r="I564" s="97" t="s">
        <v>2189</v>
      </c>
      <c r="K564" s="118">
        <v>1.95</v>
      </c>
      <c r="L564" s="97" t="s">
        <v>1896</v>
      </c>
      <c r="N564" s="154">
        <f>MouserListTable[[#This Row],['# Initial]]*MouserListTable[[#This Row],[Price (USD)]]</f>
        <v>0</v>
      </c>
      <c r="O564" s="81" t="s">
        <v>2188</v>
      </c>
      <c r="P564" s="150">
        <f t="shared" si="9"/>
        <v>551</v>
      </c>
      <c r="Q564" s="78" t="s">
        <v>1884</v>
      </c>
      <c r="R564"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485-2911</v>
      </c>
      <c r="S564" s="133" t="str">
        <f>HYPERLINK("https://www.mouser.com/ProductDetail/" &amp;MouserListTable[[#This Row],[Mouser SKU]])</f>
        <v>https://www.mouser.com/ProductDetail/485-2911</v>
      </c>
      <c r="T564" s="94">
        <v>0</v>
      </c>
      <c r="U564" s="94">
        <v>0</v>
      </c>
      <c r="V564" s="94">
        <v>0</v>
      </c>
      <c r="W564" s="94">
        <f>MouserListTable[[#This Row],['#/Unit]]*FilterSpecs!$C$3+MouserListTable[[#This Row],[Extra]]</f>
        <v>0</v>
      </c>
      <c r="X564" s="94">
        <f>IF(MouserListTable[[#This Row],[Tag]]=FilterSpecs!$F$7,MouserListTable[[#This Row],['#/Unit]]*MouserListTable[[#This Row],[Price (USD)]],0)</f>
        <v>0</v>
      </c>
      <c r="Y564" s="94">
        <f>MouserListTable[[#This Row],[Tot '#]]*MouserListTable[[#This Row],[Price (USD)]]</f>
        <v>0</v>
      </c>
      <c r="Z564"/>
    </row>
    <row r="565" spans="1:26" s="106" customFormat="1" x14ac:dyDescent="0.25">
      <c r="A565" s="78" t="s">
        <v>890</v>
      </c>
      <c r="B565" s="78" t="s">
        <v>1880</v>
      </c>
      <c r="C565" s="78" t="s">
        <v>1892</v>
      </c>
      <c r="D565" s="81" t="str">
        <f>IF(MouserListTable[[#This Row],[Vendor]]=FilterSpecs!$A$8,MouserListTable[[#This Row],[Mouser SKU]], MouserListTable[[#This Row],[Supplier SKU]])</f>
        <v>485-2791</v>
      </c>
      <c r="E565" s="94">
        <f>MouserListTable[[#This Row],[Tot '#]]-MouserListTable[[#This Row],['# Initial]]</f>
        <v>0</v>
      </c>
      <c r="F565" s="94">
        <f>IF(AND(MouserListTable[[#This Row],[Tag]]&lt;&gt;FilterSpecs!$F$12, MouserListTable[[#This Row],[Tag]]&lt;&gt;FilterSpecs!$F$9), MouserListTable[[#This Row],['#/Unit]]*FilterSpecs!$B$3+MouserListTable[[#This Row],[Extra Initial]],0)</f>
        <v>0</v>
      </c>
      <c r="G565" s="78"/>
      <c r="H565" s="150"/>
      <c r="I565" s="97" t="s">
        <v>2191</v>
      </c>
      <c r="K565" s="118">
        <v>2.5</v>
      </c>
      <c r="L565" s="97" t="s">
        <v>1896</v>
      </c>
      <c r="N565" s="154">
        <f>MouserListTable[[#This Row],['# Initial]]*MouserListTable[[#This Row],[Price (USD)]]</f>
        <v>0</v>
      </c>
      <c r="O565" s="81" t="s">
        <v>2190</v>
      </c>
      <c r="P565" s="150">
        <f t="shared" si="9"/>
        <v>552</v>
      </c>
      <c r="Q565" s="78" t="s">
        <v>1884</v>
      </c>
      <c r="R565"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485-2791</v>
      </c>
      <c r="S565" s="133" t="str">
        <f>HYPERLINK("https://www.mouser.com/ProductDetail/" &amp;MouserListTable[[#This Row],[Mouser SKU]])</f>
        <v>https://www.mouser.com/ProductDetail/485-2791</v>
      </c>
      <c r="T565" s="94">
        <v>0</v>
      </c>
      <c r="U565" s="94">
        <v>0</v>
      </c>
      <c r="V565" s="94">
        <v>0</v>
      </c>
      <c r="W565" s="94">
        <f>MouserListTable[[#This Row],['#/Unit]]*FilterSpecs!$C$3+MouserListTable[[#This Row],[Extra]]</f>
        <v>0</v>
      </c>
      <c r="X565" s="94">
        <f>IF(MouserListTable[[#This Row],[Tag]]=FilterSpecs!$F$7,MouserListTable[[#This Row],['#/Unit]]*MouserListTable[[#This Row],[Price (USD)]],0)</f>
        <v>0</v>
      </c>
      <c r="Y565" s="94">
        <f>MouserListTable[[#This Row],[Tot '#]]*MouserListTable[[#This Row],[Price (USD)]]</f>
        <v>0</v>
      </c>
      <c r="Z565"/>
    </row>
    <row r="566" spans="1:26" s="106" customFormat="1" x14ac:dyDescent="0.25">
      <c r="A566" s="78" t="s">
        <v>890</v>
      </c>
      <c r="B566" s="78" t="s">
        <v>1880</v>
      </c>
      <c r="C566" s="78" t="s">
        <v>1892</v>
      </c>
      <c r="D566" s="81" t="str">
        <f>IF(MouserListTable[[#This Row],[Vendor]]=FilterSpecs!$A$8,MouserListTable[[#This Row],[Mouser SKU]], MouserListTable[[#This Row],[Supplier SKU]])</f>
        <v>485-2790</v>
      </c>
      <c r="E566" s="94">
        <f>MouserListTable[[#This Row],[Tot '#]]-MouserListTable[[#This Row],['# Initial]]</f>
        <v>0</v>
      </c>
      <c r="F566" s="94">
        <f>IF(AND(MouserListTable[[#This Row],[Tag]]&lt;&gt;FilterSpecs!$F$12, MouserListTable[[#This Row],[Tag]]&lt;&gt;FilterSpecs!$F$9), MouserListTable[[#This Row],['#/Unit]]*FilterSpecs!$B$3+MouserListTable[[#This Row],[Extra Initial]],0)</f>
        <v>0</v>
      </c>
      <c r="G566" s="78"/>
      <c r="H566" s="150"/>
      <c r="I566" s="97" t="s">
        <v>2193</v>
      </c>
      <c r="K566" s="118">
        <v>2.5</v>
      </c>
      <c r="L566" s="97" t="s">
        <v>1896</v>
      </c>
      <c r="N566" s="154">
        <f>MouserListTable[[#This Row],['# Initial]]*MouserListTable[[#This Row],[Price (USD)]]</f>
        <v>0</v>
      </c>
      <c r="O566" s="81" t="s">
        <v>2192</v>
      </c>
      <c r="P566" s="150">
        <f t="shared" si="9"/>
        <v>553</v>
      </c>
      <c r="Q566" s="78" t="s">
        <v>1884</v>
      </c>
      <c r="R566"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485-2790</v>
      </c>
      <c r="S566" s="133" t="str">
        <f>HYPERLINK("https://www.mouser.com/ProductDetail/" &amp;MouserListTable[[#This Row],[Mouser SKU]])</f>
        <v>https://www.mouser.com/ProductDetail/485-2790</v>
      </c>
      <c r="T566" s="94">
        <v>0</v>
      </c>
      <c r="U566" s="94">
        <v>0</v>
      </c>
      <c r="V566" s="94">
        <v>0</v>
      </c>
      <c r="W566" s="94">
        <f>MouserListTable[[#This Row],['#/Unit]]*FilterSpecs!$C$3+MouserListTable[[#This Row],[Extra]]</f>
        <v>0</v>
      </c>
      <c r="X566" s="94">
        <f>IF(MouserListTable[[#This Row],[Tag]]=FilterSpecs!$F$7,MouserListTable[[#This Row],['#/Unit]]*MouserListTable[[#This Row],[Price (USD)]],0)</f>
        <v>0</v>
      </c>
      <c r="Y566" s="94">
        <f>MouserListTable[[#This Row],[Tot '#]]*MouserListTable[[#This Row],[Price (USD)]]</f>
        <v>0</v>
      </c>
      <c r="Z566"/>
    </row>
    <row r="567" spans="1:26" s="106" customFormat="1" x14ac:dyDescent="0.25">
      <c r="A567" s="78" t="s">
        <v>890</v>
      </c>
      <c r="B567" s="78" t="s">
        <v>1880</v>
      </c>
      <c r="C567" s="78" t="s">
        <v>1892</v>
      </c>
      <c r="D567" s="81" t="str">
        <f>IF(MouserListTable[[#This Row],[Vendor]]=FilterSpecs!$A$8,MouserListTable[[#This Row],[Mouser SKU]], MouserListTable[[#This Row],[Supplier SKU]])</f>
        <v>485-1699</v>
      </c>
      <c r="E567" s="94">
        <f>MouserListTable[[#This Row],[Tot '#]]-MouserListTable[[#This Row],['# Initial]]</f>
        <v>0</v>
      </c>
      <c r="F567" s="94">
        <f>IF(AND(MouserListTable[[#This Row],[Tag]]&lt;&gt;FilterSpecs!$F$12, MouserListTable[[#This Row],[Tag]]&lt;&gt;FilterSpecs!$F$9), MouserListTable[[#This Row],['#/Unit]]*FilterSpecs!$B$3+MouserListTable[[#This Row],[Extra Initial]],0)</f>
        <v>0</v>
      </c>
      <c r="G567" s="78"/>
      <c r="H567" s="150"/>
      <c r="I567" s="97" t="s">
        <v>2195</v>
      </c>
      <c r="K567" s="118">
        <v>0.95</v>
      </c>
      <c r="L567" s="97" t="s">
        <v>1896</v>
      </c>
      <c r="N567" s="154">
        <f>MouserListTable[[#This Row],['# Initial]]*MouserListTable[[#This Row],[Price (USD)]]</f>
        <v>0</v>
      </c>
      <c r="O567" s="81" t="s">
        <v>2194</v>
      </c>
      <c r="P567" s="150">
        <f t="shared" si="9"/>
        <v>554</v>
      </c>
      <c r="Q567" s="78" t="s">
        <v>1884</v>
      </c>
      <c r="R567"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485-1699</v>
      </c>
      <c r="S567" s="133" t="str">
        <f>HYPERLINK("https://www.mouser.com/ProductDetail/" &amp;MouserListTable[[#This Row],[Mouser SKU]])</f>
        <v>https://www.mouser.com/ProductDetail/485-1699</v>
      </c>
      <c r="T567" s="94">
        <v>0</v>
      </c>
      <c r="U567" s="94">
        <v>0</v>
      </c>
      <c r="V567" s="94">
        <v>0</v>
      </c>
      <c r="W567" s="94">
        <f>MouserListTable[[#This Row],['#/Unit]]*FilterSpecs!$C$3+MouserListTable[[#This Row],[Extra]]</f>
        <v>0</v>
      </c>
      <c r="X567" s="94">
        <f>IF(MouserListTable[[#This Row],[Tag]]=FilterSpecs!$F$7,MouserListTable[[#This Row],['#/Unit]]*MouserListTable[[#This Row],[Price (USD)]],0)</f>
        <v>0</v>
      </c>
      <c r="Y567" s="94">
        <f>MouserListTable[[#This Row],[Tot '#]]*MouserListTable[[#This Row],[Price (USD)]]</f>
        <v>0</v>
      </c>
      <c r="Z567"/>
    </row>
    <row r="568" spans="1:26" s="106" customFormat="1" x14ac:dyDescent="0.25">
      <c r="A568" s="78" t="s">
        <v>890</v>
      </c>
      <c r="B568" s="78" t="s">
        <v>1999</v>
      </c>
      <c r="C568" s="78" t="s">
        <v>1892</v>
      </c>
      <c r="D568" s="81" t="str">
        <f>IF(MouserListTable[[#This Row],[Vendor]]=FilterSpecs!$A$8,MouserListTable[[#This Row],[Mouser SKU]], MouserListTable[[#This Row],[Supplier SKU]])</f>
        <v>485-2429</v>
      </c>
      <c r="E568" s="94">
        <f>MouserListTable[[#This Row],[Tot '#]]-MouserListTable[[#This Row],['# Initial]]</f>
        <v>0</v>
      </c>
      <c r="F568" s="94">
        <f>IF(AND(MouserListTable[[#This Row],[Tag]]&lt;&gt;FilterSpecs!$F$12, MouserListTable[[#This Row],[Tag]]&lt;&gt;FilterSpecs!$F$9), MouserListTable[[#This Row],['#/Unit]]*FilterSpecs!$B$3+MouserListTable[[#This Row],[Extra Initial]],0)</f>
        <v>1</v>
      </c>
      <c r="G568" s="78"/>
      <c r="H568" s="150"/>
      <c r="I568" s="78" t="s">
        <v>2203</v>
      </c>
      <c r="K568" s="117">
        <v>4.95</v>
      </c>
      <c r="L568" s="78" t="s">
        <v>1896</v>
      </c>
      <c r="M568" s="81"/>
      <c r="N568" s="154">
        <f>MouserListTable[[#This Row],['# Initial]]*MouserListTable[[#This Row],[Price (USD)]]</f>
        <v>4.95</v>
      </c>
      <c r="O568" s="81" t="s">
        <v>2202</v>
      </c>
      <c r="P568" s="150">
        <f t="shared" si="9"/>
        <v>555</v>
      </c>
      <c r="Q568" s="78" t="s">
        <v>1884</v>
      </c>
      <c r="R568"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485-2429</v>
      </c>
      <c r="S568" s="133" t="str">
        <f>HYPERLINK("https://www.mouser.com/ProductDetail/" &amp;MouserListTable[[#This Row],[Mouser SKU]])</f>
        <v>https://www.mouser.com/ProductDetail/485-2429</v>
      </c>
      <c r="T568" s="94">
        <v>0</v>
      </c>
      <c r="U568" s="94">
        <v>1</v>
      </c>
      <c r="V568" s="94">
        <v>1</v>
      </c>
      <c r="W568" s="94">
        <f>MouserListTable[[#This Row],['#/Unit]]*FilterSpecs!$C$3+MouserListTable[[#This Row],[Extra]]</f>
        <v>1</v>
      </c>
      <c r="X568" s="94">
        <f>IF(MouserListTable[[#This Row],[Tag]]=FilterSpecs!$F$7,MouserListTable[[#This Row],['#/Unit]]*MouserListTable[[#This Row],[Price (USD)]],0)</f>
        <v>0</v>
      </c>
      <c r="Y568" s="94">
        <f>MouserListTable[[#This Row],[Tot '#]]*MouserListTable[[#This Row],[Price (USD)]]</f>
        <v>4.95</v>
      </c>
      <c r="Z568"/>
    </row>
    <row r="569" spans="1:26" s="106" customFormat="1" x14ac:dyDescent="0.25">
      <c r="A569" s="78" t="s">
        <v>890</v>
      </c>
      <c r="B569" s="78" t="s">
        <v>1999</v>
      </c>
      <c r="C569" s="78" t="s">
        <v>1892</v>
      </c>
      <c r="D569" s="81" t="str">
        <f>IF(MouserListTable[[#This Row],[Vendor]]=FilterSpecs!$A$8,MouserListTable[[#This Row],[Mouser SKU]], MouserListTable[[#This Row],[Supplier SKU]])</f>
        <v>485-2428</v>
      </c>
      <c r="E569" s="94">
        <f>MouserListTable[[#This Row],[Tot '#]]-MouserListTable[[#This Row],['# Initial]]</f>
        <v>0</v>
      </c>
      <c r="F569" s="94">
        <f>IF(AND(MouserListTable[[#This Row],[Tag]]&lt;&gt;FilterSpecs!$F$12, MouserListTable[[#This Row],[Tag]]&lt;&gt;FilterSpecs!$F$9), MouserListTable[[#This Row],['#/Unit]]*FilterSpecs!$B$3+MouserListTable[[#This Row],[Extra Initial]],0)</f>
        <v>1</v>
      </c>
      <c r="G569" s="78"/>
      <c r="H569" s="150"/>
      <c r="I569" s="78" t="s">
        <v>2205</v>
      </c>
      <c r="K569" s="117">
        <v>4.95</v>
      </c>
      <c r="L569" s="78" t="s">
        <v>1896</v>
      </c>
      <c r="M569" s="81"/>
      <c r="N569" s="154">
        <f>MouserListTable[[#This Row],['# Initial]]*MouserListTable[[#This Row],[Price (USD)]]</f>
        <v>4.95</v>
      </c>
      <c r="O569" s="81" t="s">
        <v>2204</v>
      </c>
      <c r="P569" s="150">
        <f t="shared" si="9"/>
        <v>556</v>
      </c>
      <c r="Q569" s="78" t="s">
        <v>1884</v>
      </c>
      <c r="R569"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485-2428</v>
      </c>
      <c r="S569" s="133" t="str">
        <f>HYPERLINK("https://www.mouser.com/ProductDetail/" &amp;MouserListTable[[#This Row],[Mouser SKU]])</f>
        <v>https://www.mouser.com/ProductDetail/485-2428</v>
      </c>
      <c r="T569" s="94">
        <v>0</v>
      </c>
      <c r="U569" s="94">
        <v>1</v>
      </c>
      <c r="V569" s="94">
        <v>1</v>
      </c>
      <c r="W569" s="94">
        <f>MouserListTable[[#This Row],['#/Unit]]*FilterSpecs!$C$3+MouserListTable[[#This Row],[Extra]]</f>
        <v>1</v>
      </c>
      <c r="X569" s="94">
        <f>IF(MouserListTable[[#This Row],[Tag]]=FilterSpecs!$F$7,MouserListTable[[#This Row],['#/Unit]]*MouserListTable[[#This Row],[Price (USD)]],0)</f>
        <v>0</v>
      </c>
      <c r="Y569" s="94">
        <f>MouserListTable[[#This Row],[Tot '#]]*MouserListTable[[#This Row],[Price (USD)]]</f>
        <v>4.95</v>
      </c>
      <c r="Z569"/>
    </row>
    <row r="570" spans="1:26" s="106" customFormat="1" x14ac:dyDescent="0.25">
      <c r="A570" s="78" t="s">
        <v>890</v>
      </c>
      <c r="B570" s="78" t="s">
        <v>1999</v>
      </c>
      <c r="C570" s="78" t="s">
        <v>1892</v>
      </c>
      <c r="D570" s="81" t="str">
        <f>IF(MouserListTable[[#This Row],[Vendor]]=FilterSpecs!$A$8,MouserListTable[[#This Row],[Mouser SKU]], MouserListTable[[#This Row],[Supplier SKU]])</f>
        <v>485-2430</v>
      </c>
      <c r="E570" s="94">
        <f>MouserListTable[[#This Row],[Tot '#]]-MouserListTable[[#This Row],['# Initial]]</f>
        <v>0</v>
      </c>
      <c r="F570" s="94">
        <f>IF(AND(MouserListTable[[#This Row],[Tag]]&lt;&gt;FilterSpecs!$F$12, MouserListTable[[#This Row],[Tag]]&lt;&gt;FilterSpecs!$F$9), MouserListTable[[#This Row],['#/Unit]]*FilterSpecs!$B$3+MouserListTable[[#This Row],[Extra Initial]],0)</f>
        <v>1</v>
      </c>
      <c r="G570" s="78"/>
      <c r="H570" s="150"/>
      <c r="I570" s="78" t="s">
        <v>2207</v>
      </c>
      <c r="K570" s="117">
        <v>4.95</v>
      </c>
      <c r="L570" s="78" t="s">
        <v>1896</v>
      </c>
      <c r="M570" s="81"/>
      <c r="N570" s="154">
        <f>MouserListTable[[#This Row],['# Initial]]*MouserListTable[[#This Row],[Price (USD)]]</f>
        <v>4.95</v>
      </c>
      <c r="O570" s="81" t="s">
        <v>2206</v>
      </c>
      <c r="P570" s="150">
        <f t="shared" si="9"/>
        <v>557</v>
      </c>
      <c r="Q570" s="78" t="s">
        <v>1884</v>
      </c>
      <c r="R570"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485-2430</v>
      </c>
      <c r="S570" s="133" t="str">
        <f>HYPERLINK("https://www.mouser.com/ProductDetail/" &amp;MouserListTable[[#This Row],[Mouser SKU]])</f>
        <v>https://www.mouser.com/ProductDetail/485-2430</v>
      </c>
      <c r="T570" s="94">
        <v>0</v>
      </c>
      <c r="U570" s="94">
        <v>1</v>
      </c>
      <c r="V570" s="94">
        <v>1</v>
      </c>
      <c r="W570" s="94">
        <f>MouserListTable[[#This Row],['#/Unit]]*FilterSpecs!$C$3+MouserListTable[[#This Row],[Extra]]</f>
        <v>1</v>
      </c>
      <c r="X570" s="94">
        <f>IF(MouserListTable[[#This Row],[Tag]]=FilterSpecs!$F$7,MouserListTable[[#This Row],['#/Unit]]*MouserListTable[[#This Row],[Price (USD)]],0)</f>
        <v>0</v>
      </c>
      <c r="Y570" s="94">
        <f>MouserListTable[[#This Row],[Tot '#]]*MouserListTable[[#This Row],[Price (USD)]]</f>
        <v>4.95</v>
      </c>
      <c r="Z570"/>
    </row>
    <row r="571" spans="1:26" s="106" customFormat="1" x14ac:dyDescent="0.25">
      <c r="A571" s="78" t="s">
        <v>890</v>
      </c>
      <c r="B571" s="78" t="s">
        <v>1999</v>
      </c>
      <c r="C571" s="78" t="s">
        <v>1892</v>
      </c>
      <c r="D571" s="81" t="str">
        <f>IF(MouserListTable[[#This Row],[Vendor]]=FilterSpecs!$A$8,MouserListTable[[#This Row],[Mouser SKU]], MouserListTable[[#This Row],[Supplier SKU]])</f>
        <v>485-394</v>
      </c>
      <c r="E571" s="94">
        <f>MouserListTable[[#This Row],[Tot '#]]-MouserListTable[[#This Row],['# Initial]]</f>
        <v>0</v>
      </c>
      <c r="F571" s="94">
        <f>IF(AND(MouserListTable[[#This Row],[Tag]]&lt;&gt;FilterSpecs!$F$12, MouserListTable[[#This Row],[Tag]]&lt;&gt;FilterSpecs!$F$9), MouserListTable[[#This Row],['#/Unit]]*FilterSpecs!$B$3+MouserListTable[[#This Row],[Extra Initial]],0)</f>
        <v>1</v>
      </c>
      <c r="G571" s="78"/>
      <c r="H571" s="150"/>
      <c r="I571" s="78" t="s">
        <v>2209</v>
      </c>
      <c r="K571" s="117">
        <v>7.5</v>
      </c>
      <c r="L571" s="78" t="s">
        <v>1896</v>
      </c>
      <c r="M571" s="81"/>
      <c r="N571" s="154">
        <f>MouserListTable[[#This Row],['# Initial]]*MouserListTable[[#This Row],[Price (USD)]]</f>
        <v>7.5</v>
      </c>
      <c r="O571" s="81" t="s">
        <v>2208</v>
      </c>
      <c r="P571" s="150">
        <f t="shared" si="9"/>
        <v>558</v>
      </c>
      <c r="Q571" s="78" t="s">
        <v>1884</v>
      </c>
      <c r="R571"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485-394</v>
      </c>
      <c r="S571" s="133" t="str">
        <f>HYPERLINK("https://www.mouser.com/ProductDetail/" &amp;MouserListTable[[#This Row],[Mouser SKU]])</f>
        <v>https://www.mouser.com/ProductDetail/485-394</v>
      </c>
      <c r="T571" s="94">
        <v>0</v>
      </c>
      <c r="U571" s="94">
        <v>1</v>
      </c>
      <c r="V571" s="94">
        <v>1</v>
      </c>
      <c r="W571" s="94">
        <f>MouserListTable[[#This Row],['#/Unit]]*FilterSpecs!$C$3+MouserListTable[[#This Row],[Extra]]</f>
        <v>1</v>
      </c>
      <c r="X571" s="94">
        <f>IF(MouserListTable[[#This Row],[Tag]]=FilterSpecs!$F$7,MouserListTable[[#This Row],['#/Unit]]*MouserListTable[[#This Row],[Price (USD)]],0)</f>
        <v>0</v>
      </c>
      <c r="Y571" s="94">
        <f>MouserListTable[[#This Row],[Tot '#]]*MouserListTable[[#This Row],[Price (USD)]]</f>
        <v>7.5</v>
      </c>
      <c r="Z571"/>
    </row>
    <row r="572" spans="1:26" s="106" customFormat="1" x14ac:dyDescent="0.25">
      <c r="A572" s="81" t="s">
        <v>890</v>
      </c>
      <c r="B572" s="81" t="s">
        <v>2001</v>
      </c>
      <c r="C572" s="78" t="s">
        <v>1892</v>
      </c>
      <c r="D572" s="81" t="str">
        <f>IF(MouserListTable[[#This Row],[Vendor]]=FilterSpecs!$A$8,MouserListTable[[#This Row],[Mouser SKU]], MouserListTable[[#This Row],[Supplier SKU]])</f>
        <v>474-CAB-10646</v>
      </c>
      <c r="E572" s="94">
        <f>MouserListTable[[#This Row],[Tot '#]]-MouserListTable[[#This Row],['# Initial]]</f>
        <v>0</v>
      </c>
      <c r="F572" s="94">
        <f>IF(AND(MouserListTable[[#This Row],[Tag]]&lt;&gt;FilterSpecs!$F$12, MouserListTable[[#This Row],[Tag]]&lt;&gt;FilterSpecs!$F$9), MouserListTable[[#This Row],['#/Unit]]*FilterSpecs!$B$3+MouserListTable[[#This Row],[Extra Initial]],0)</f>
        <v>2</v>
      </c>
      <c r="G572" s="78" t="s">
        <v>1582</v>
      </c>
      <c r="H572" s="150" t="s">
        <v>1583</v>
      </c>
      <c r="I572" s="81" t="s">
        <v>1584</v>
      </c>
      <c r="J572" s="78">
        <v>1</v>
      </c>
      <c r="K572" s="117">
        <v>2.95</v>
      </c>
      <c r="L572" s="81" t="s">
        <v>1896</v>
      </c>
      <c r="M572" s="78"/>
      <c r="N572" s="154">
        <f>MouserListTable[[#This Row],['# Initial]]*MouserListTable[[#This Row],[Price (USD)]]</f>
        <v>5.9</v>
      </c>
      <c r="O572" s="81" t="s">
        <v>1581</v>
      </c>
      <c r="P572" s="150">
        <f t="shared" si="9"/>
        <v>559</v>
      </c>
      <c r="Q572" s="78" t="s">
        <v>5</v>
      </c>
      <c r="R572"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474-CAB-10646</v>
      </c>
      <c r="S572" s="133" t="str">
        <f>HYPERLINK("https://www.mouser.com/ProductDetail/" &amp;MouserListTable[[#This Row],[Mouser SKU]])</f>
        <v>https://www.mouser.com/ProductDetail/474-CAB-10646</v>
      </c>
      <c r="T572" s="94">
        <v>0</v>
      </c>
      <c r="U572" s="94">
        <v>2</v>
      </c>
      <c r="V572" s="94">
        <v>2</v>
      </c>
      <c r="W572" s="94">
        <f>MouserListTable[[#This Row],['#/Unit]]*FilterSpecs!$C$3+MouserListTable[[#This Row],[Extra]]</f>
        <v>2</v>
      </c>
      <c r="X572" s="94">
        <f>IF(MouserListTable[[#This Row],[Tag]]=FilterSpecs!$F$7,MouserListTable[[#This Row],['#/Unit]]*MouserListTable[[#This Row],[Price (USD)]],0)</f>
        <v>0</v>
      </c>
      <c r="Y572" s="94">
        <f>MouserListTable[[#This Row],[Tot '#]]*MouserListTable[[#This Row],[Price (USD)]]</f>
        <v>5.9</v>
      </c>
      <c r="Z572"/>
    </row>
    <row r="573" spans="1:26" s="106" customFormat="1" x14ac:dyDescent="0.25">
      <c r="A573" s="98" t="s">
        <v>890</v>
      </c>
      <c r="B573" s="98" t="s">
        <v>2001</v>
      </c>
      <c r="C573" s="78" t="s">
        <v>1892</v>
      </c>
      <c r="D573" s="81" t="str">
        <f>IF(MouserListTable[[#This Row],[Vendor]]=FilterSpecs!$A$8,MouserListTable[[#This Row],[Mouser SKU]], MouserListTable[[#This Row],[Supplier SKU]])</f>
        <v>485-371</v>
      </c>
      <c r="E573" s="94">
        <f>MouserListTable[[#This Row],[Tot '#]]-MouserListTable[[#This Row],['# Initial]]</f>
        <v>0</v>
      </c>
      <c r="F573" s="94">
        <f>IF(AND(MouserListTable[[#This Row],[Tag]]&lt;&gt;FilterSpecs!$F$12, MouserListTable[[#This Row],[Tag]]&lt;&gt;FilterSpecs!$F$9), MouserListTable[[#This Row],['#/Unit]]*FilterSpecs!$B$3+MouserListTable[[#This Row],[Extra Initial]],0)</f>
        <v>0</v>
      </c>
      <c r="H573" s="150"/>
      <c r="I573" s="98" t="s">
        <v>2434</v>
      </c>
      <c r="J573" s="113">
        <v>106</v>
      </c>
      <c r="K573" s="119">
        <v>2</v>
      </c>
      <c r="L573" s="97" t="s">
        <v>1896</v>
      </c>
      <c r="N573" s="154">
        <f>MouserListTable[[#This Row],['# Initial]]*MouserListTable[[#This Row],[Price (USD)]]</f>
        <v>0</v>
      </c>
      <c r="O573" s="113" t="s">
        <v>2435</v>
      </c>
      <c r="P573" s="150">
        <f t="shared" si="9"/>
        <v>560</v>
      </c>
      <c r="Q573" s="78" t="s">
        <v>1884</v>
      </c>
      <c r="R573"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485-371</v>
      </c>
      <c r="S573" s="133" t="str">
        <f>HYPERLINK("https://www.mouser.com/ProductDetail/" &amp;MouserListTable[[#This Row],[Mouser SKU]])</f>
        <v>https://www.mouser.com/ProductDetail/485-371</v>
      </c>
      <c r="T573" s="94">
        <v>0</v>
      </c>
      <c r="U573" s="94">
        <v>0</v>
      </c>
      <c r="V573" s="94">
        <v>0</v>
      </c>
      <c r="W573" s="94">
        <f>MouserListTable[[#This Row],['#/Unit]]*FilterSpecs!$C$3+MouserListTable[[#This Row],[Extra]]</f>
        <v>0</v>
      </c>
      <c r="X573" s="94">
        <f>IF(MouserListTable[[#This Row],[Tag]]=FilterSpecs!$F$7,MouserListTable[[#This Row],['#/Unit]]*MouserListTable[[#This Row],[Price (USD)]],0)</f>
        <v>0</v>
      </c>
      <c r="Y573" s="94">
        <f>MouserListTable[[#This Row],[Tot '#]]*MouserListTable[[#This Row],[Price (USD)]]</f>
        <v>0</v>
      </c>
      <c r="Z573"/>
    </row>
    <row r="574" spans="1:26" s="106" customFormat="1" x14ac:dyDescent="0.25">
      <c r="A574" s="106" t="s">
        <v>890</v>
      </c>
      <c r="B574" s="106" t="s">
        <v>2001</v>
      </c>
      <c r="C574" s="78" t="s">
        <v>1892</v>
      </c>
      <c r="D574" s="81" t="str">
        <f>IF(MouserListTable[[#This Row],[Vendor]]=FilterSpecs!$A$8,MouserListTable[[#This Row],[Mouser SKU]], MouserListTable[[#This Row],[Supplier SKU]])</f>
        <v>474-CAB-10649</v>
      </c>
      <c r="E574" s="94">
        <f>MouserListTable[[#This Row],[Tot '#]]-MouserListTable[[#This Row],['# Initial]]</f>
        <v>0</v>
      </c>
      <c r="F574" s="94">
        <f>IF(AND(MouserListTable[[#This Row],[Tag]]&lt;&gt;FilterSpecs!$F$12, MouserListTable[[#This Row],[Tag]]&lt;&gt;FilterSpecs!$F$9), MouserListTable[[#This Row],['#/Unit]]*FilterSpecs!$B$3+MouserListTable[[#This Row],[Extra Initial]],0)</f>
        <v>0</v>
      </c>
      <c r="G574" s="78" t="s">
        <v>1578</v>
      </c>
      <c r="H574" s="150" t="s">
        <v>1579</v>
      </c>
      <c r="I574" s="81" t="s">
        <v>1580</v>
      </c>
      <c r="J574" s="78">
        <v>1</v>
      </c>
      <c r="K574" s="117">
        <v>0.95</v>
      </c>
      <c r="L574" s="81" t="s">
        <v>1896</v>
      </c>
      <c r="M574" s="78"/>
      <c r="N574" s="154">
        <f>MouserListTable[[#This Row],['# Initial]]*MouserListTable[[#This Row],[Price (USD)]]</f>
        <v>0</v>
      </c>
      <c r="O574" s="81" t="s">
        <v>1577</v>
      </c>
      <c r="P574" s="150">
        <f t="shared" si="9"/>
        <v>561</v>
      </c>
      <c r="Q574" s="78" t="s">
        <v>5</v>
      </c>
      <c r="R574"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474-CAB-10649</v>
      </c>
      <c r="S574" s="133" t="str">
        <f>HYPERLINK("https://www.mouser.com/ProductDetail/" &amp;MouserListTable[[#This Row],[Mouser SKU]])</f>
        <v>https://www.mouser.com/ProductDetail/474-CAB-10649</v>
      </c>
      <c r="T574" s="94">
        <v>0</v>
      </c>
      <c r="U574" s="94">
        <v>0</v>
      </c>
      <c r="V574" s="94">
        <v>0</v>
      </c>
      <c r="W574" s="94">
        <f>MouserListTable[[#This Row],['#/Unit]]*FilterSpecs!$C$3+MouserListTable[[#This Row],[Extra]]</f>
        <v>0</v>
      </c>
      <c r="X574" s="94">
        <f>IF(MouserListTable[[#This Row],[Tag]]=FilterSpecs!$F$7,MouserListTable[[#This Row],['#/Unit]]*MouserListTable[[#This Row],[Price (USD)]],0)</f>
        <v>0</v>
      </c>
      <c r="Y574" s="94">
        <f>MouserListTable[[#This Row],[Tot '#]]*MouserListTable[[#This Row],[Price (USD)]]</f>
        <v>0</v>
      </c>
      <c r="Z574"/>
    </row>
    <row r="575" spans="1:26" s="106" customFormat="1" x14ac:dyDescent="0.25">
      <c r="A575" s="81" t="s">
        <v>890</v>
      </c>
      <c r="B575" s="81" t="s">
        <v>2001</v>
      </c>
      <c r="C575" s="78" t="s">
        <v>1892</v>
      </c>
      <c r="D575" s="81" t="str">
        <f>IF(MouserListTable[[#This Row],[Vendor]]=FilterSpecs!$A$8,MouserListTable[[#This Row],[Mouser SKU]], MouserListTable[[#This Row],[Supplier SKU]])</f>
        <v>474-CAB-10647</v>
      </c>
      <c r="E575" s="94">
        <f>MouserListTable[[#This Row],[Tot '#]]-MouserListTable[[#This Row],['# Initial]]</f>
        <v>0</v>
      </c>
      <c r="F575" s="94">
        <f>IF(AND(MouserListTable[[#This Row],[Tag]]&lt;&gt;FilterSpecs!$F$12, MouserListTable[[#This Row],[Tag]]&lt;&gt;FilterSpecs!$F$9), MouserListTable[[#This Row],['#/Unit]]*FilterSpecs!$B$3+MouserListTable[[#This Row],[Extra Initial]],0)</f>
        <v>1</v>
      </c>
      <c r="G575" s="78" t="s">
        <v>1586</v>
      </c>
      <c r="H575" s="150" t="s">
        <v>1587</v>
      </c>
      <c r="I575" s="81" t="s">
        <v>1588</v>
      </c>
      <c r="J575" s="78">
        <v>1</v>
      </c>
      <c r="K575" s="117">
        <v>4.95</v>
      </c>
      <c r="L575" s="81" t="s">
        <v>1896</v>
      </c>
      <c r="M575" s="78"/>
      <c r="N575" s="154">
        <f>MouserListTable[[#This Row],['# Initial]]*MouserListTable[[#This Row],[Price (USD)]]</f>
        <v>4.95</v>
      </c>
      <c r="O575" s="81" t="s">
        <v>1585</v>
      </c>
      <c r="P575" s="150">
        <f t="shared" si="9"/>
        <v>562</v>
      </c>
      <c r="Q575" s="78" t="s">
        <v>5</v>
      </c>
      <c r="R575"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474-CAB-10647</v>
      </c>
      <c r="S575" s="133" t="str">
        <f>HYPERLINK("https://www.mouser.com/ProductDetail/" &amp;MouserListTable[[#This Row],[Mouser SKU]])</f>
        <v>https://www.mouser.com/ProductDetail/474-CAB-10647</v>
      </c>
      <c r="T575" s="94">
        <v>0</v>
      </c>
      <c r="U575" s="94">
        <v>1</v>
      </c>
      <c r="V575" s="94">
        <v>1</v>
      </c>
      <c r="W575" s="94">
        <f>MouserListTable[[#This Row],['#/Unit]]*FilterSpecs!$C$3+MouserListTable[[#This Row],[Extra]]</f>
        <v>1</v>
      </c>
      <c r="X575" s="94">
        <f>IF(MouserListTable[[#This Row],[Tag]]=FilterSpecs!$F$7,MouserListTable[[#This Row],['#/Unit]]*MouserListTable[[#This Row],[Price (USD)]],0)</f>
        <v>0</v>
      </c>
      <c r="Y575" s="94">
        <f>MouserListTable[[#This Row],[Tot '#]]*MouserListTable[[#This Row],[Price (USD)]]</f>
        <v>4.95</v>
      </c>
      <c r="Z575"/>
    </row>
    <row r="576" spans="1:26" s="106" customFormat="1" x14ac:dyDescent="0.25">
      <c r="A576" s="98" t="s">
        <v>890</v>
      </c>
      <c r="B576" s="98" t="s">
        <v>2001</v>
      </c>
      <c r="C576" s="78" t="s">
        <v>1892</v>
      </c>
      <c r="D576" s="81" t="str">
        <f>IF(MouserListTable[[#This Row],[Vendor]]=FilterSpecs!$A$8,MouserListTable[[#This Row],[Mouser SKU]], MouserListTable[[#This Row],[Supplier SKU]])</f>
        <v>485-556</v>
      </c>
      <c r="E576" s="94">
        <f>MouserListTable[[#This Row],[Tot '#]]-MouserListTable[[#This Row],['# Initial]]</f>
        <v>0</v>
      </c>
      <c r="F576" s="94">
        <f>IF(AND(MouserListTable[[#This Row],[Tag]]&lt;&gt;FilterSpecs!$F$12, MouserListTable[[#This Row],[Tag]]&lt;&gt;FilterSpecs!$F$9), MouserListTable[[#This Row],['#/Unit]]*FilterSpecs!$B$3+MouserListTable[[#This Row],[Extra Initial]],0)</f>
        <v>0</v>
      </c>
      <c r="H576" s="150"/>
      <c r="I576" s="98" t="s">
        <v>2432</v>
      </c>
      <c r="J576" s="113">
        <v>105</v>
      </c>
      <c r="K576" s="119">
        <v>1.5</v>
      </c>
      <c r="L576" s="97" t="s">
        <v>1896</v>
      </c>
      <c r="N576" s="154">
        <f>MouserListTable[[#This Row],['# Initial]]*MouserListTable[[#This Row],[Price (USD)]]</f>
        <v>0</v>
      </c>
      <c r="O576" s="113" t="s">
        <v>2433</v>
      </c>
      <c r="P576" s="150">
        <f t="shared" si="9"/>
        <v>563</v>
      </c>
      <c r="Q576" s="78" t="s">
        <v>1884</v>
      </c>
      <c r="R576"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485-556</v>
      </c>
      <c r="S576" s="133" t="str">
        <f>HYPERLINK("https://www.mouser.com/ProductDetail/" &amp;MouserListTable[[#This Row],[Mouser SKU]])</f>
        <v>https://www.mouser.com/ProductDetail/485-556</v>
      </c>
      <c r="T576" s="94">
        <v>0</v>
      </c>
      <c r="U576" s="94">
        <v>0</v>
      </c>
      <c r="V576" s="94">
        <v>0</v>
      </c>
      <c r="W576" s="94">
        <f>MouserListTable[[#This Row],['#/Unit]]*FilterSpecs!$C$3+MouserListTable[[#This Row],[Extra]]</f>
        <v>0</v>
      </c>
      <c r="X576" s="94">
        <f>IF(MouserListTable[[#This Row],[Tag]]=FilterSpecs!$F$7,MouserListTable[[#This Row],['#/Unit]]*MouserListTable[[#This Row],[Price (USD)]],0)</f>
        <v>0</v>
      </c>
      <c r="Y576" s="94">
        <f>MouserListTable[[#This Row],[Tot '#]]*MouserListTable[[#This Row],[Price (USD)]]</f>
        <v>0</v>
      </c>
      <c r="Z576"/>
    </row>
    <row r="577" spans="1:26" s="106" customFormat="1" x14ac:dyDescent="0.25">
      <c r="A577" s="81" t="s">
        <v>890</v>
      </c>
      <c r="B577" s="81" t="s">
        <v>2001</v>
      </c>
      <c r="C577" s="78" t="s">
        <v>1892</v>
      </c>
      <c r="D577" s="81" t="str">
        <f>IF(MouserListTable[[#This Row],[Vendor]]=FilterSpecs!$A$8,MouserListTable[[#This Row],[Mouser SKU]], MouserListTable[[#This Row],[Supplier SKU]])</f>
        <v>485-370</v>
      </c>
      <c r="E577" s="94">
        <f>MouserListTable[[#This Row],[Tot '#]]-MouserListTable[[#This Row],['# Initial]]</f>
        <v>0</v>
      </c>
      <c r="F577" s="94">
        <f>IF(AND(MouserListTable[[#This Row],[Tag]]&lt;&gt;FilterSpecs!$F$12, MouserListTable[[#This Row],[Tag]]&lt;&gt;FilterSpecs!$F$9), MouserListTable[[#This Row],['#/Unit]]*FilterSpecs!$B$3+MouserListTable[[#This Row],[Extra Initial]],0)</f>
        <v>0</v>
      </c>
      <c r="G577" s="78"/>
      <c r="H577" s="150"/>
      <c r="I577" s="106" t="s">
        <v>2211</v>
      </c>
      <c r="K577" s="118">
        <v>2</v>
      </c>
      <c r="L577" s="106" t="s">
        <v>1896</v>
      </c>
      <c r="N577" s="154">
        <f>MouserListTable[[#This Row],['# Initial]]*MouserListTable[[#This Row],[Price (USD)]]</f>
        <v>0</v>
      </c>
      <c r="O577" s="81" t="s">
        <v>2210</v>
      </c>
      <c r="P577" s="150">
        <f t="shared" si="9"/>
        <v>564</v>
      </c>
      <c r="Q577" s="78" t="s">
        <v>1884</v>
      </c>
      <c r="R577"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485-370</v>
      </c>
      <c r="S577" s="133" t="str">
        <f>HYPERLINK("https://www.mouser.com/ProductDetail/" &amp;MouserListTable[[#This Row],[Mouser SKU]])</f>
        <v>https://www.mouser.com/ProductDetail/485-370</v>
      </c>
      <c r="T577" s="94">
        <v>0</v>
      </c>
      <c r="U577" s="94">
        <v>0</v>
      </c>
      <c r="V577" s="94">
        <v>0</v>
      </c>
      <c r="W577" s="94">
        <f>MouserListTable[[#This Row],['#/Unit]]*FilterSpecs!$C$3+MouserListTable[[#This Row],[Extra]]</f>
        <v>0</v>
      </c>
      <c r="X577" s="94">
        <f>IF(MouserListTable[[#This Row],[Tag]]=FilterSpecs!$F$7,MouserListTable[[#This Row],['#/Unit]]*MouserListTable[[#This Row],[Price (USD)]],0)</f>
        <v>0</v>
      </c>
      <c r="Y577" s="94">
        <f>MouserListTable[[#This Row],[Tot '#]]*MouserListTable[[#This Row],[Price (USD)]]</f>
        <v>0</v>
      </c>
      <c r="Z577"/>
    </row>
    <row r="578" spans="1:26" s="106" customFormat="1" x14ac:dyDescent="0.25">
      <c r="A578" s="98" t="s">
        <v>890</v>
      </c>
      <c r="B578" s="106" t="s">
        <v>2001</v>
      </c>
      <c r="C578" s="78" t="s">
        <v>1892</v>
      </c>
      <c r="D578" s="81" t="str">
        <f>IF(MouserListTable[[#This Row],[Vendor]]=FilterSpecs!$A$8,MouserListTable[[#This Row],[Mouser SKU]], MouserListTable[[#This Row],[Supplier SKU]])</f>
        <v>485-1199</v>
      </c>
      <c r="E578" s="94">
        <f>MouserListTable[[#This Row],[Tot '#]]-MouserListTable[[#This Row],['# Initial]]</f>
        <v>0</v>
      </c>
      <c r="F578" s="94">
        <f>IF(AND(MouserListTable[[#This Row],[Tag]]&lt;&gt;FilterSpecs!$F$12, MouserListTable[[#This Row],[Tag]]&lt;&gt;FilterSpecs!$F$9), MouserListTable[[#This Row],['#/Unit]]*FilterSpecs!$B$3+MouserListTable[[#This Row],[Extra Initial]],0)</f>
        <v>0</v>
      </c>
      <c r="H578" s="150"/>
      <c r="I578" s="98" t="s">
        <v>2430</v>
      </c>
      <c r="J578" s="113">
        <v>104</v>
      </c>
      <c r="K578" s="119">
        <v>3.95</v>
      </c>
      <c r="L578" s="97" t="s">
        <v>1896</v>
      </c>
      <c r="N578" s="154">
        <f>MouserListTable[[#This Row],['# Initial]]*MouserListTable[[#This Row],[Price (USD)]]</f>
        <v>0</v>
      </c>
      <c r="O578" s="113" t="s">
        <v>2431</v>
      </c>
      <c r="P578" s="150">
        <f t="shared" si="9"/>
        <v>565</v>
      </c>
      <c r="Q578" s="78" t="s">
        <v>1884</v>
      </c>
      <c r="R578"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485-1199</v>
      </c>
      <c r="S578" s="133" t="str">
        <f>HYPERLINK("https://www.mouser.com/ProductDetail/" &amp;MouserListTable[[#This Row],[Mouser SKU]])</f>
        <v>https://www.mouser.com/ProductDetail/485-1199</v>
      </c>
      <c r="T578" s="94">
        <v>0</v>
      </c>
      <c r="U578" s="94">
        <v>0</v>
      </c>
      <c r="V578" s="94">
        <v>0</v>
      </c>
      <c r="W578" s="94">
        <f>MouserListTable[[#This Row],['#/Unit]]*FilterSpecs!$C$3+MouserListTable[[#This Row],[Extra]]</f>
        <v>0</v>
      </c>
      <c r="X578" s="94">
        <f>IF(MouserListTable[[#This Row],[Tag]]=FilterSpecs!$F$7,MouserListTable[[#This Row],['#/Unit]]*MouserListTable[[#This Row],[Price (USD)]],0)</f>
        <v>0</v>
      </c>
      <c r="Y578" s="94">
        <f>MouserListTable[[#This Row],[Tot '#]]*MouserListTable[[#This Row],[Price (USD)]]</f>
        <v>0</v>
      </c>
      <c r="Z578"/>
    </row>
    <row r="579" spans="1:26" s="106" customFormat="1" x14ac:dyDescent="0.25">
      <c r="A579" s="106" t="s">
        <v>890</v>
      </c>
      <c r="B579" s="106" t="s">
        <v>2001</v>
      </c>
      <c r="C579" s="78" t="s">
        <v>1892</v>
      </c>
      <c r="D579" s="81" t="str">
        <f>IF(MouserListTable[[#This Row],[Vendor]]=FilterSpecs!$A$8,MouserListTable[[#This Row],[Mouser SKU]], MouserListTable[[#This Row],[Supplier SKU]])</f>
        <v>474-PRT-08535</v>
      </c>
      <c r="E579" s="94">
        <f>MouserListTable[[#This Row],[Tot '#]]-MouserListTable[[#This Row],['# Initial]]</f>
        <v>0</v>
      </c>
      <c r="F579" s="94">
        <f>IF(AND(MouserListTable[[#This Row],[Tag]]&lt;&gt;FilterSpecs!$F$12, MouserListTable[[#This Row],[Tag]]&lt;&gt;FilterSpecs!$F$9), MouserListTable[[#This Row],['#/Unit]]*FilterSpecs!$B$3+MouserListTable[[#This Row],[Extra Initial]],0)</f>
        <v>0</v>
      </c>
      <c r="G579" s="78" t="s">
        <v>1518</v>
      </c>
      <c r="H579" s="150" t="s">
        <v>1519</v>
      </c>
      <c r="I579" s="81" t="s">
        <v>1520</v>
      </c>
      <c r="J579" s="78">
        <v>1</v>
      </c>
      <c r="K579" s="117">
        <v>1.5</v>
      </c>
      <c r="L579" s="81" t="s">
        <v>1896</v>
      </c>
      <c r="M579" s="78"/>
      <c r="N579" s="154">
        <f>MouserListTable[[#This Row],['# Initial]]*MouserListTable[[#This Row],[Price (USD)]]</f>
        <v>0</v>
      </c>
      <c r="O579" s="81" t="s">
        <v>1517</v>
      </c>
      <c r="P579" s="150">
        <f t="shared" si="9"/>
        <v>566</v>
      </c>
      <c r="Q579" s="78" t="s">
        <v>5</v>
      </c>
      <c r="R579"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474-PRT-08535</v>
      </c>
      <c r="S579" s="133" t="str">
        <f>HYPERLINK("https://www.mouser.com/ProductDetail/" &amp;MouserListTable[[#This Row],[Mouser SKU]])</f>
        <v>https://www.mouser.com/ProductDetail/474-PRT-08535</v>
      </c>
      <c r="T579" s="94">
        <v>0</v>
      </c>
      <c r="U579" s="94">
        <v>0</v>
      </c>
      <c r="V579" s="94">
        <v>0</v>
      </c>
      <c r="W579" s="94">
        <f>MouserListTable[[#This Row],['#/Unit]]*FilterSpecs!$C$3+MouserListTable[[#This Row],[Extra]]</f>
        <v>0</v>
      </c>
      <c r="X579" s="94">
        <f>IF(MouserListTable[[#This Row],[Tag]]=FilterSpecs!$F$7,MouserListTable[[#This Row],['#/Unit]]*MouserListTable[[#This Row],[Price (USD)]],0)</f>
        <v>0</v>
      </c>
      <c r="Y579" s="94">
        <f>MouserListTable[[#This Row],[Tot '#]]*MouserListTable[[#This Row],[Price (USD)]]</f>
        <v>0</v>
      </c>
      <c r="Z579"/>
    </row>
    <row r="580" spans="1:26" s="106" customFormat="1" x14ac:dyDescent="0.25">
      <c r="A580" s="98" t="s">
        <v>890</v>
      </c>
      <c r="B580" s="98" t="s">
        <v>2001</v>
      </c>
      <c r="C580" s="78" t="s">
        <v>1892</v>
      </c>
      <c r="D580" s="81" t="str">
        <f>IF(MouserListTable[[#This Row],[Vendor]]=FilterSpecs!$A$8,MouserListTable[[#This Row],[Mouser SKU]], MouserListTable[[#This Row],[Supplier SKU]])</f>
        <v>485-1675</v>
      </c>
      <c r="E580" s="94">
        <f>MouserListTable[[#This Row],[Tot '#]]-MouserListTable[[#This Row],['# Initial]]</f>
        <v>0</v>
      </c>
      <c r="F580" s="94">
        <f>IF(AND(MouserListTable[[#This Row],[Tag]]&lt;&gt;FilterSpecs!$F$12, MouserListTable[[#This Row],[Tag]]&lt;&gt;FilterSpecs!$F$9), MouserListTable[[#This Row],['#/Unit]]*FilterSpecs!$B$3+MouserListTable[[#This Row],[Extra Initial]],0)</f>
        <v>0</v>
      </c>
      <c r="H580" s="150"/>
      <c r="I580" s="98" t="s">
        <v>2428</v>
      </c>
      <c r="J580" s="113">
        <v>103</v>
      </c>
      <c r="K580" s="119">
        <v>2.95</v>
      </c>
      <c r="L580" s="97" t="s">
        <v>1896</v>
      </c>
      <c r="N580" s="154">
        <f>MouserListTable[[#This Row],['# Initial]]*MouserListTable[[#This Row],[Price (USD)]]</f>
        <v>0</v>
      </c>
      <c r="O580" s="113" t="s">
        <v>2429</v>
      </c>
      <c r="P580" s="150">
        <f t="shared" si="9"/>
        <v>567</v>
      </c>
      <c r="Q580" s="78" t="s">
        <v>1884</v>
      </c>
      <c r="R580"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485-1675</v>
      </c>
      <c r="S580" s="133" t="str">
        <f>HYPERLINK("https://www.mouser.com/ProductDetail/" &amp;MouserListTable[[#This Row],[Mouser SKU]])</f>
        <v>https://www.mouser.com/ProductDetail/485-1675</v>
      </c>
      <c r="T580" s="94">
        <v>0</v>
      </c>
      <c r="U580" s="94">
        <v>0</v>
      </c>
      <c r="V580" s="94">
        <v>0</v>
      </c>
      <c r="W580" s="94">
        <f>MouserListTable[[#This Row],['#/Unit]]*FilterSpecs!$C$3+MouserListTable[[#This Row],[Extra]]</f>
        <v>0</v>
      </c>
      <c r="X580" s="94">
        <f>IF(MouserListTable[[#This Row],[Tag]]=FilterSpecs!$F$7,MouserListTable[[#This Row],['#/Unit]]*MouserListTable[[#This Row],[Price (USD)]],0)</f>
        <v>0</v>
      </c>
      <c r="Y580" s="94">
        <f>MouserListTable[[#This Row],[Tot '#]]*MouserListTable[[#This Row],[Price (USD)]]</f>
        <v>0</v>
      </c>
      <c r="Z580"/>
    </row>
    <row r="581" spans="1:26" s="106" customFormat="1" x14ac:dyDescent="0.25">
      <c r="A581" s="97" t="s">
        <v>890</v>
      </c>
      <c r="B581" s="97" t="s">
        <v>2010</v>
      </c>
      <c r="C581" s="78" t="s">
        <v>1892</v>
      </c>
      <c r="D581" s="81" t="str">
        <f>IF(MouserListTable[[#This Row],[Vendor]]=FilterSpecs!$A$8,MouserListTable[[#This Row],[Mouser SKU]], MouserListTable[[#This Row],[Supplier SKU]])</f>
        <v>474-COM-09939</v>
      </c>
      <c r="E581" s="94">
        <f>MouserListTable[[#This Row],[Tot '#]]-MouserListTable[[#This Row],['# Initial]]</f>
        <v>0</v>
      </c>
      <c r="F581" s="94">
        <f>IF(AND(MouserListTable[[#This Row],[Tag]]&lt;&gt;FilterSpecs!$F$12, MouserListTable[[#This Row],[Tag]]&lt;&gt;FilterSpecs!$F$9), MouserListTable[[#This Row],['#/Unit]]*FilterSpecs!$B$3+MouserListTable[[#This Row],[Extra Initial]],0)</f>
        <v>0</v>
      </c>
      <c r="G581" s="78" t="s">
        <v>993</v>
      </c>
      <c r="H581" s="150" t="s">
        <v>994</v>
      </c>
      <c r="I581" s="78" t="s">
        <v>995</v>
      </c>
      <c r="J581" s="78"/>
      <c r="K581" s="117">
        <v>0.95</v>
      </c>
      <c r="L581" s="78" t="s">
        <v>1896</v>
      </c>
      <c r="M581" s="78"/>
      <c r="N581" s="154">
        <f>MouserListTable[[#This Row],['# Initial]]*MouserListTable[[#This Row],[Price (USD)]]</f>
        <v>0</v>
      </c>
      <c r="O581" s="81" t="s">
        <v>992</v>
      </c>
      <c r="P581" s="150">
        <f t="shared" si="9"/>
        <v>568</v>
      </c>
      <c r="Q581" s="78" t="s">
        <v>5</v>
      </c>
      <c r="R581"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474-COM-09939</v>
      </c>
      <c r="S581" s="133" t="str">
        <f>HYPERLINK("https://www.mouser.com/ProductDetail/" &amp;MouserListTable[[#This Row],[Mouser SKU]])</f>
        <v>https://www.mouser.com/ProductDetail/474-COM-09939</v>
      </c>
      <c r="T581" s="94">
        <v>0</v>
      </c>
      <c r="U581" s="94">
        <v>0</v>
      </c>
      <c r="V581" s="94">
        <v>0</v>
      </c>
      <c r="W581" s="94">
        <f>MouserListTable[[#This Row],['#/Unit]]*FilterSpecs!$C$3+MouserListTable[[#This Row],[Extra]]</f>
        <v>0</v>
      </c>
      <c r="X581" s="94">
        <f>IF(MouserListTable[[#This Row],[Tag]]=FilterSpecs!$F$7,MouserListTable[[#This Row],['#/Unit]]*MouserListTable[[#This Row],[Price (USD)]],0)</f>
        <v>0</v>
      </c>
      <c r="Y581" s="94">
        <f>MouserListTable[[#This Row],[Tot '#]]*MouserListTable[[#This Row],[Price (USD)]]</f>
        <v>0</v>
      </c>
      <c r="Z581"/>
    </row>
    <row r="582" spans="1:26" s="106" customFormat="1" x14ac:dyDescent="0.25">
      <c r="A582" s="97" t="s">
        <v>890</v>
      </c>
      <c r="B582" s="97" t="s">
        <v>2010</v>
      </c>
      <c r="C582" s="78" t="s">
        <v>1892</v>
      </c>
      <c r="D582" s="81" t="str">
        <f>IF(MouserListTable[[#This Row],[Vendor]]=FilterSpecs!$A$8,MouserListTable[[#This Row],[Mouser SKU]], MouserListTable[[#This Row],[Supplier SKU]])</f>
        <v>474-COM-09940</v>
      </c>
      <c r="E582" s="94">
        <f>MouserListTable[[#This Row],[Tot '#]]-MouserListTable[[#This Row],['# Initial]]</f>
        <v>0</v>
      </c>
      <c r="F582" s="94">
        <f>IF(AND(MouserListTable[[#This Row],[Tag]]&lt;&gt;FilterSpecs!$F$12, MouserListTable[[#This Row],[Tag]]&lt;&gt;FilterSpecs!$F$9), MouserListTable[[#This Row],['#/Unit]]*FilterSpecs!$B$3+MouserListTable[[#This Row],[Extra Initial]],0)</f>
        <v>0</v>
      </c>
      <c r="G582" s="78" t="s">
        <v>989</v>
      </c>
      <c r="H582" s="150" t="s">
        <v>990</v>
      </c>
      <c r="I582" s="78" t="s">
        <v>991</v>
      </c>
      <c r="J582" s="78">
        <v>1</v>
      </c>
      <c r="K582" s="117">
        <v>0.95</v>
      </c>
      <c r="L582" s="78" t="s">
        <v>1896</v>
      </c>
      <c r="M582" s="78"/>
      <c r="N582" s="154">
        <f>MouserListTable[[#This Row],['# Initial]]*MouserListTable[[#This Row],[Price (USD)]]</f>
        <v>0</v>
      </c>
      <c r="O582" s="81" t="s">
        <v>988</v>
      </c>
      <c r="P582" s="150">
        <f t="shared" si="9"/>
        <v>569</v>
      </c>
      <c r="Q582" s="78" t="s">
        <v>5</v>
      </c>
      <c r="R582"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474-COM-09940</v>
      </c>
      <c r="S582" s="133" t="str">
        <f>HYPERLINK("https://www.mouser.com/ProductDetail/" &amp;MouserListTable[[#This Row],[Mouser SKU]])</f>
        <v>https://www.mouser.com/ProductDetail/474-COM-09940</v>
      </c>
      <c r="T582" s="94">
        <v>0</v>
      </c>
      <c r="U582" s="94">
        <v>0</v>
      </c>
      <c r="V582" s="94">
        <v>0</v>
      </c>
      <c r="W582" s="94">
        <f>MouserListTable[[#This Row],['#/Unit]]*FilterSpecs!$C$3+MouserListTable[[#This Row],[Extra]]</f>
        <v>0</v>
      </c>
      <c r="X582" s="94">
        <f>IF(MouserListTable[[#This Row],[Tag]]=FilterSpecs!$F$7,MouserListTable[[#This Row],['#/Unit]]*MouserListTable[[#This Row],[Price (USD)]],0)</f>
        <v>0</v>
      </c>
      <c r="Y582" s="94">
        <f>MouserListTable[[#This Row],[Tot '#]]*MouserListTable[[#This Row],[Price (USD)]]</f>
        <v>0</v>
      </c>
      <c r="Z582"/>
    </row>
    <row r="583" spans="1:26" s="106" customFormat="1" x14ac:dyDescent="0.25">
      <c r="A583" s="78" t="s">
        <v>890</v>
      </c>
      <c r="B583" s="78" t="s">
        <v>2010</v>
      </c>
      <c r="C583" s="78" t="s">
        <v>1892</v>
      </c>
      <c r="D583" s="81" t="str">
        <f>IF(MouserListTable[[#This Row],[Vendor]]=FilterSpecs!$A$8,MouserListTable[[#This Row],[Mouser SKU]], MouserListTable[[#This Row],[Supplier SKU]])</f>
        <v>474-COM-09288</v>
      </c>
      <c r="E583" s="94">
        <f>MouserListTable[[#This Row],[Tot '#]]-MouserListTable[[#This Row],['# Initial]]</f>
        <v>0</v>
      </c>
      <c r="F583" s="94">
        <f>IF(AND(MouserListTable[[#This Row],[Tag]]&lt;&gt;FilterSpecs!$F$12, MouserListTable[[#This Row],[Tag]]&lt;&gt;FilterSpecs!$F$9), MouserListTable[[#This Row],['#/Unit]]*FilterSpecs!$B$3+MouserListTable[[#This Row],[Extra Initial]],0)</f>
        <v>5</v>
      </c>
      <c r="G583" s="78" t="s">
        <v>997</v>
      </c>
      <c r="H583" s="150" t="s">
        <v>998</v>
      </c>
      <c r="I583" s="78" t="s">
        <v>999</v>
      </c>
      <c r="J583" s="78">
        <v>1</v>
      </c>
      <c r="K583" s="117">
        <v>0.95</v>
      </c>
      <c r="L583" s="81" t="s">
        <v>1897</v>
      </c>
      <c r="M583" s="78"/>
      <c r="N583" s="154">
        <f>MouserListTable[[#This Row],['# Initial]]*MouserListTable[[#This Row],[Price (USD)]]</f>
        <v>4.75</v>
      </c>
      <c r="O583" s="81" t="s">
        <v>996</v>
      </c>
      <c r="P583" s="150">
        <f t="shared" si="9"/>
        <v>570</v>
      </c>
      <c r="Q583" s="78" t="s">
        <v>5</v>
      </c>
      <c r="R583"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474-COM-09288</v>
      </c>
      <c r="S583" s="133" t="str">
        <f>HYPERLINK("https://www.mouser.com/ProductDetail/" &amp;MouserListTable[[#This Row],[Mouser SKU]])</f>
        <v>https://www.mouser.com/ProductDetail/474-COM-09288</v>
      </c>
      <c r="T583" s="94">
        <v>1</v>
      </c>
      <c r="U583" s="94">
        <v>0</v>
      </c>
      <c r="V583" s="94">
        <v>0</v>
      </c>
      <c r="W583" s="94">
        <f>MouserListTable[[#This Row],['#/Unit]]*FilterSpecs!$C$3+MouserListTable[[#This Row],[Extra]]</f>
        <v>5</v>
      </c>
      <c r="X583" s="94">
        <f>IF(MouserListTable[[#This Row],[Tag]]=FilterSpecs!$F$7,MouserListTable[[#This Row],['#/Unit]]*MouserListTable[[#This Row],[Price (USD)]],0)</f>
        <v>0.95</v>
      </c>
      <c r="Y583" s="94">
        <f>MouserListTable[[#This Row],[Tot '#]]*MouserListTable[[#This Row],[Price (USD)]]</f>
        <v>4.75</v>
      </c>
      <c r="Z583"/>
    </row>
    <row r="584" spans="1:26" s="106" customFormat="1" x14ac:dyDescent="0.25">
      <c r="A584" s="78" t="s">
        <v>890</v>
      </c>
      <c r="B584" s="78" t="s">
        <v>2010</v>
      </c>
      <c r="C584" s="78" t="s">
        <v>1892</v>
      </c>
      <c r="D584" s="81" t="str">
        <f>IF(MouserListTable[[#This Row],[Vendor]]=FilterSpecs!$A$8,MouserListTable[[#This Row],[Mouser SKU]], MouserListTable[[#This Row],[Supplier SKU]])</f>
        <v>485-3392</v>
      </c>
      <c r="E584" s="94">
        <f>MouserListTable[[#This Row],[Tot '#]]-MouserListTable[[#This Row],['# Initial]]</f>
        <v>0</v>
      </c>
      <c r="F584" s="94">
        <f>IF(AND(MouserListTable[[#This Row],[Tag]]&lt;&gt;FilterSpecs!$F$12, MouserListTable[[#This Row],[Tag]]&lt;&gt;FilterSpecs!$F$9), MouserListTable[[#This Row],['#/Unit]]*FilterSpecs!$B$3+MouserListTable[[#This Row],[Extra Initial]],0)</f>
        <v>0</v>
      </c>
      <c r="G584" s="78"/>
      <c r="H584" s="150"/>
      <c r="I584" s="97" t="s">
        <v>2215</v>
      </c>
      <c r="K584" s="118">
        <v>1.5</v>
      </c>
      <c r="L584" s="97" t="s">
        <v>1896</v>
      </c>
      <c r="N584" s="154">
        <f>MouserListTable[[#This Row],['# Initial]]*MouserListTable[[#This Row],[Price (USD)]]</f>
        <v>0</v>
      </c>
      <c r="O584" s="81" t="s">
        <v>2214</v>
      </c>
      <c r="P584" s="150">
        <f t="shared" si="9"/>
        <v>571</v>
      </c>
      <c r="Q584" s="78" t="s">
        <v>1884</v>
      </c>
      <c r="R584"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485-3392</v>
      </c>
      <c r="S584" s="133" t="str">
        <f>HYPERLINK("https://www.mouser.com/ProductDetail/" &amp;MouserListTable[[#This Row],[Mouser SKU]])</f>
        <v>https://www.mouser.com/ProductDetail/485-3392</v>
      </c>
      <c r="T584" s="94">
        <v>0</v>
      </c>
      <c r="U584" s="94">
        <v>0</v>
      </c>
      <c r="V584" s="94">
        <v>0</v>
      </c>
      <c r="W584" s="94">
        <f>MouserListTable[[#This Row],['#/Unit]]*FilterSpecs!$C$3+MouserListTable[[#This Row],[Extra]]</f>
        <v>0</v>
      </c>
      <c r="X584" s="94">
        <f>IF(MouserListTable[[#This Row],[Tag]]=FilterSpecs!$F$7,MouserListTable[[#This Row],['#/Unit]]*MouserListTable[[#This Row],[Price (USD)]],0)</f>
        <v>0</v>
      </c>
      <c r="Y584" s="94">
        <f>MouserListTable[[#This Row],[Tot '#]]*MouserListTable[[#This Row],[Price (USD)]]</f>
        <v>0</v>
      </c>
      <c r="Z584"/>
    </row>
    <row r="585" spans="1:26" s="106" customFormat="1" x14ac:dyDescent="0.25">
      <c r="A585" s="78" t="s">
        <v>890</v>
      </c>
      <c r="B585" s="78" t="s">
        <v>2010</v>
      </c>
      <c r="C585" s="78" t="s">
        <v>1892</v>
      </c>
      <c r="D585" s="81" t="str">
        <f>IF(MouserListTable[[#This Row],[Vendor]]=FilterSpecs!$A$8,MouserListTable[[#This Row],[Mouser SKU]], MouserListTable[[#This Row],[Supplier SKU]])</f>
        <v>485-3393</v>
      </c>
      <c r="E585" s="94">
        <f>MouserListTable[[#This Row],[Tot '#]]-MouserListTable[[#This Row],['# Initial]]</f>
        <v>0</v>
      </c>
      <c r="F585" s="94">
        <f>IF(AND(MouserListTable[[#This Row],[Tag]]&lt;&gt;FilterSpecs!$F$12, MouserListTable[[#This Row],[Tag]]&lt;&gt;FilterSpecs!$F$9), MouserListTable[[#This Row],['#/Unit]]*FilterSpecs!$B$3+MouserListTable[[#This Row],[Extra Initial]],0)</f>
        <v>0</v>
      </c>
      <c r="G585" s="78"/>
      <c r="H585" s="150"/>
      <c r="I585" s="97" t="s">
        <v>2217</v>
      </c>
      <c r="K585" s="118">
        <v>1.75</v>
      </c>
      <c r="L585" s="97" t="s">
        <v>1896</v>
      </c>
      <c r="N585" s="154">
        <f>MouserListTable[[#This Row],['# Initial]]*MouserListTable[[#This Row],[Price (USD)]]</f>
        <v>0</v>
      </c>
      <c r="O585" s="81" t="s">
        <v>2216</v>
      </c>
      <c r="P585" s="150">
        <f t="shared" si="9"/>
        <v>572</v>
      </c>
      <c r="Q585" s="78" t="s">
        <v>1884</v>
      </c>
      <c r="R585"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485-3393</v>
      </c>
      <c r="S585" s="133" t="str">
        <f>HYPERLINK("https://www.mouser.com/ProductDetail/" &amp;MouserListTable[[#This Row],[Mouser SKU]])</f>
        <v>https://www.mouser.com/ProductDetail/485-3393</v>
      </c>
      <c r="T585" s="94">
        <v>0</v>
      </c>
      <c r="U585" s="94">
        <v>0</v>
      </c>
      <c r="V585" s="94">
        <v>0</v>
      </c>
      <c r="W585" s="94">
        <f>MouserListTable[[#This Row],['#/Unit]]*FilterSpecs!$C$3+MouserListTable[[#This Row],[Extra]]</f>
        <v>0</v>
      </c>
      <c r="X585" s="94">
        <f>IF(MouserListTable[[#This Row],[Tag]]=FilterSpecs!$F$7,MouserListTable[[#This Row],['#/Unit]]*MouserListTable[[#This Row],[Price (USD)]],0)</f>
        <v>0</v>
      </c>
      <c r="Y585" s="94">
        <f>MouserListTable[[#This Row],[Tot '#]]*MouserListTable[[#This Row],[Price (USD)]]</f>
        <v>0</v>
      </c>
      <c r="Z585"/>
    </row>
    <row r="586" spans="1:26" s="106" customFormat="1" x14ac:dyDescent="0.25">
      <c r="A586" s="78" t="s">
        <v>890</v>
      </c>
      <c r="B586" s="78" t="s">
        <v>2010</v>
      </c>
      <c r="C586" s="78" t="s">
        <v>1892</v>
      </c>
      <c r="D586" s="81" t="str">
        <f>IF(MouserListTable[[#This Row],[Vendor]]=FilterSpecs!$A$8,MouserListTable[[#This Row],[Mouser SKU]], MouserListTable[[#This Row],[Supplier SKU]])</f>
        <v>485-562</v>
      </c>
      <c r="E586" s="94">
        <f>MouserListTable[[#This Row],[Tot '#]]-MouserListTable[[#This Row],['# Initial]]</f>
        <v>0</v>
      </c>
      <c r="F586" s="94">
        <f>IF(AND(MouserListTable[[#This Row],[Tag]]&lt;&gt;FilterSpecs!$F$12, MouserListTable[[#This Row],[Tag]]&lt;&gt;FilterSpecs!$F$9), MouserListTable[[#This Row],['#/Unit]]*FilterSpecs!$B$3+MouserListTable[[#This Row],[Extra Initial]],0)</f>
        <v>0</v>
      </c>
      <c r="G586" s="78"/>
      <c r="H586" s="150"/>
      <c r="I586" s="97" t="s">
        <v>2219</v>
      </c>
      <c r="K586" s="118">
        <v>0.95</v>
      </c>
      <c r="L586" s="97" t="s">
        <v>1896</v>
      </c>
      <c r="N586" s="154">
        <f>MouserListTable[[#This Row],['# Initial]]*MouserListTable[[#This Row],[Price (USD)]]</f>
        <v>0</v>
      </c>
      <c r="O586" s="81" t="s">
        <v>2218</v>
      </c>
      <c r="P586" s="150">
        <f t="shared" si="9"/>
        <v>573</v>
      </c>
      <c r="Q586" s="78" t="s">
        <v>1884</v>
      </c>
      <c r="R586"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485-562</v>
      </c>
      <c r="S586" s="133" t="str">
        <f>HYPERLINK("https://www.mouser.com/ProductDetail/" &amp;MouserListTable[[#This Row],[Mouser SKU]])</f>
        <v>https://www.mouser.com/ProductDetail/485-562</v>
      </c>
      <c r="T586" s="94">
        <v>0</v>
      </c>
      <c r="U586" s="94">
        <v>0</v>
      </c>
      <c r="V586" s="94">
        <v>0</v>
      </c>
      <c r="W586" s="94">
        <f>MouserListTable[[#This Row],['#/Unit]]*FilterSpecs!$C$3+MouserListTable[[#This Row],[Extra]]</f>
        <v>0</v>
      </c>
      <c r="X586" s="94">
        <f>IF(MouserListTable[[#This Row],[Tag]]=FilterSpecs!$F$7,MouserListTable[[#This Row],['#/Unit]]*MouserListTable[[#This Row],[Price (USD)]],0)</f>
        <v>0</v>
      </c>
      <c r="Y586" s="94">
        <f>MouserListTable[[#This Row],[Tot '#]]*MouserListTable[[#This Row],[Price (USD)]]</f>
        <v>0</v>
      </c>
      <c r="Z586"/>
    </row>
    <row r="587" spans="1:26" s="106" customFormat="1" x14ac:dyDescent="0.25">
      <c r="A587" s="78" t="s">
        <v>890</v>
      </c>
      <c r="B587" s="78" t="s">
        <v>2010</v>
      </c>
      <c r="C587" s="78" t="s">
        <v>1892</v>
      </c>
      <c r="D587" s="81" t="str">
        <f>IF(MouserListTable[[#This Row],[Vendor]]=FilterSpecs!$A$8,MouserListTable[[#This Row],[Mouser SKU]], MouserListTable[[#This Row],[Supplier SKU]])</f>
        <v>485-1789</v>
      </c>
      <c r="E587" s="94">
        <f>MouserListTable[[#This Row],[Tot '#]]-MouserListTable[[#This Row],['# Initial]]</f>
        <v>0</v>
      </c>
      <c r="F587" s="94">
        <f>IF(AND(MouserListTable[[#This Row],[Tag]]&lt;&gt;FilterSpecs!$F$12, MouserListTable[[#This Row],[Tag]]&lt;&gt;FilterSpecs!$F$9), MouserListTable[[#This Row],['#/Unit]]*FilterSpecs!$B$3+MouserListTable[[#This Row],[Extra Initial]],0)</f>
        <v>0</v>
      </c>
      <c r="G587" s="78"/>
      <c r="H587" s="150"/>
      <c r="I587" s="97" t="s">
        <v>2221</v>
      </c>
      <c r="K587" s="118">
        <v>0.95</v>
      </c>
      <c r="L587" s="97" t="s">
        <v>1896</v>
      </c>
      <c r="N587" s="154">
        <f>MouserListTable[[#This Row],['# Initial]]*MouserListTable[[#This Row],[Price (USD)]]</f>
        <v>0</v>
      </c>
      <c r="O587" s="81" t="s">
        <v>2220</v>
      </c>
      <c r="P587" s="150">
        <f t="shared" si="9"/>
        <v>574</v>
      </c>
      <c r="Q587" s="78" t="s">
        <v>1884</v>
      </c>
      <c r="R587"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485-1789</v>
      </c>
      <c r="S587" s="133" t="str">
        <f>HYPERLINK("https://www.mouser.com/ProductDetail/" &amp;MouserListTable[[#This Row],[Mouser SKU]])</f>
        <v>https://www.mouser.com/ProductDetail/485-1789</v>
      </c>
      <c r="T587" s="94">
        <v>0</v>
      </c>
      <c r="U587" s="94">
        <v>0</v>
      </c>
      <c r="V587" s="94">
        <v>0</v>
      </c>
      <c r="W587" s="94">
        <f>MouserListTable[[#This Row],['#/Unit]]*FilterSpecs!$C$3+MouserListTable[[#This Row],[Extra]]</f>
        <v>0</v>
      </c>
      <c r="X587" s="94">
        <f>IF(MouserListTable[[#This Row],[Tag]]=FilterSpecs!$F$7,MouserListTable[[#This Row],['#/Unit]]*MouserListTable[[#This Row],[Price (USD)]],0)</f>
        <v>0</v>
      </c>
      <c r="Y587" s="94">
        <f>MouserListTable[[#This Row],[Tot '#]]*MouserListTable[[#This Row],[Price (USD)]]</f>
        <v>0</v>
      </c>
      <c r="Z587"/>
    </row>
    <row r="588" spans="1:26" s="106" customFormat="1" x14ac:dyDescent="0.25">
      <c r="A588" s="78" t="s">
        <v>890</v>
      </c>
      <c r="B588" s="78" t="s">
        <v>2010</v>
      </c>
      <c r="C588" s="78" t="s">
        <v>1892</v>
      </c>
      <c r="D588" s="81" t="str">
        <f>IF(MouserListTable[[#This Row],[Vendor]]=FilterSpecs!$A$8,MouserListTable[[#This Row],[Mouser SKU]], MouserListTable[[#This Row],[Supplier SKU]])</f>
        <v>485-3395</v>
      </c>
      <c r="E588" s="94">
        <f>MouserListTable[[#This Row],[Tot '#]]-MouserListTable[[#This Row],['# Initial]]</f>
        <v>0</v>
      </c>
      <c r="F588" s="94">
        <f>IF(AND(MouserListTable[[#This Row],[Tag]]&lt;&gt;FilterSpecs!$F$12, MouserListTable[[#This Row],[Tag]]&lt;&gt;FilterSpecs!$F$9), MouserListTable[[#This Row],['#/Unit]]*FilterSpecs!$B$3+MouserListTable[[#This Row],[Extra Initial]],0)</f>
        <v>5</v>
      </c>
      <c r="G588" s="78"/>
      <c r="H588" s="150"/>
      <c r="I588" s="78" t="s">
        <v>2223</v>
      </c>
      <c r="K588" s="117">
        <v>1.5</v>
      </c>
      <c r="L588" s="81" t="s">
        <v>1897</v>
      </c>
      <c r="M588" s="81"/>
      <c r="N588" s="154">
        <f>MouserListTable[[#This Row],['# Initial]]*MouserListTable[[#This Row],[Price (USD)]]</f>
        <v>7.5</v>
      </c>
      <c r="O588" s="81" t="s">
        <v>2222</v>
      </c>
      <c r="P588" s="150">
        <f t="shared" si="9"/>
        <v>575</v>
      </c>
      <c r="Q588" s="78" t="s">
        <v>1884</v>
      </c>
      <c r="R588"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485-3395</v>
      </c>
      <c r="S588" s="133" t="str">
        <f>HYPERLINK("https://www.mouser.com/ProductDetail/" &amp;MouserListTable[[#This Row],[Mouser SKU]])</f>
        <v>https://www.mouser.com/ProductDetail/485-3395</v>
      </c>
      <c r="T588" s="94">
        <v>1</v>
      </c>
      <c r="U588" s="94">
        <v>0</v>
      </c>
      <c r="V588" s="94">
        <v>0</v>
      </c>
      <c r="W588" s="94">
        <f>MouserListTable[[#This Row],['#/Unit]]*FilterSpecs!$C$3+MouserListTable[[#This Row],[Extra]]</f>
        <v>5</v>
      </c>
      <c r="X588" s="94">
        <f>IF(MouserListTable[[#This Row],[Tag]]=FilterSpecs!$F$7,MouserListTable[[#This Row],['#/Unit]]*MouserListTable[[#This Row],[Price (USD)]],0)</f>
        <v>1.5</v>
      </c>
      <c r="Y588" s="94">
        <f>MouserListTable[[#This Row],[Tot '#]]*MouserListTable[[#This Row],[Price (USD)]]</f>
        <v>7.5</v>
      </c>
      <c r="Z588"/>
    </row>
    <row r="589" spans="1:26" s="106" customFormat="1" x14ac:dyDescent="0.25">
      <c r="A589" s="97" t="s">
        <v>890</v>
      </c>
      <c r="B589" s="97" t="s">
        <v>2010</v>
      </c>
      <c r="C589" s="78" t="s">
        <v>1892</v>
      </c>
      <c r="D589" s="81" t="str">
        <f>IF(MouserListTable[[#This Row],[Vendor]]=FilterSpecs!$A$8,MouserListTable[[#This Row],[Mouser SKU]], MouserListTable[[#This Row],[Supplier SKU]])</f>
        <v>474-COM-09117</v>
      </c>
      <c r="E589" s="94">
        <f>MouserListTable[[#This Row],[Tot '#]]-MouserListTable[[#This Row],['# Initial]]</f>
        <v>0</v>
      </c>
      <c r="F589" s="94">
        <f>IF(AND(MouserListTable[[#This Row],[Tag]]&lt;&gt;FilterSpecs!$F$12, MouserListTable[[#This Row],[Tag]]&lt;&gt;FilterSpecs!$F$9), MouserListTable[[#This Row],['#/Unit]]*FilterSpecs!$B$3+MouserListTable[[#This Row],[Extra Initial]],0)</f>
        <v>0</v>
      </c>
      <c r="G589" s="78" t="s">
        <v>1001</v>
      </c>
      <c r="H589" s="150" t="s">
        <v>1002</v>
      </c>
      <c r="I589" s="78" t="s">
        <v>1003</v>
      </c>
      <c r="J589" s="78">
        <v>1</v>
      </c>
      <c r="K589" s="117">
        <v>2.95</v>
      </c>
      <c r="L589" s="78" t="s">
        <v>1896</v>
      </c>
      <c r="M589" s="78"/>
      <c r="N589" s="154">
        <f>MouserListTable[[#This Row],['# Initial]]*MouserListTable[[#This Row],[Price (USD)]]</f>
        <v>0</v>
      </c>
      <c r="O589" s="81" t="s">
        <v>1000</v>
      </c>
      <c r="P589" s="150">
        <f t="shared" si="9"/>
        <v>576</v>
      </c>
      <c r="Q589" s="78" t="s">
        <v>5</v>
      </c>
      <c r="R589"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474-COM-09117</v>
      </c>
      <c r="S589" s="133" t="str">
        <f>HYPERLINK("https://www.mouser.com/ProductDetail/" &amp;MouserListTable[[#This Row],[Mouser SKU]])</f>
        <v>https://www.mouser.com/ProductDetail/474-COM-09117</v>
      </c>
      <c r="T589" s="94">
        <v>0</v>
      </c>
      <c r="U589" s="94">
        <v>0</v>
      </c>
      <c r="V589" s="94">
        <v>0</v>
      </c>
      <c r="W589" s="94">
        <f>MouserListTable[[#This Row],['#/Unit]]*FilterSpecs!$C$3+MouserListTable[[#This Row],[Extra]]</f>
        <v>0</v>
      </c>
      <c r="X589" s="94">
        <f>IF(MouserListTable[[#This Row],[Tag]]=FilterSpecs!$F$7,MouserListTable[[#This Row],['#/Unit]]*MouserListTable[[#This Row],[Price (USD)]],0)</f>
        <v>0</v>
      </c>
      <c r="Y589" s="94">
        <f>MouserListTable[[#This Row],[Tot '#]]*MouserListTable[[#This Row],[Price (USD)]]</f>
        <v>0</v>
      </c>
      <c r="Z589"/>
    </row>
    <row r="590" spans="1:26" s="106" customFormat="1" x14ac:dyDescent="0.25">
      <c r="A590" s="97" t="s">
        <v>890</v>
      </c>
      <c r="B590" s="97" t="s">
        <v>2010</v>
      </c>
      <c r="C590" s="78" t="s">
        <v>1892</v>
      </c>
      <c r="D590" s="81" t="str">
        <f>IF(MouserListTable[[#This Row],[Vendor]]=FilterSpecs!$A$8,MouserListTable[[#This Row],[Mouser SKU]], MouserListTable[[#This Row],[Supplier SKU]])</f>
        <v>474-COM-10596</v>
      </c>
      <c r="E590" s="94">
        <f>MouserListTable[[#This Row],[Tot '#]]-MouserListTable[[#This Row],['# Initial]]</f>
        <v>0</v>
      </c>
      <c r="F590" s="94">
        <f>IF(AND(MouserListTable[[#This Row],[Tag]]&lt;&gt;FilterSpecs!$F$12, MouserListTable[[#This Row],[Tag]]&lt;&gt;FilterSpecs!$F$9), MouserListTable[[#This Row],['#/Unit]]*FilterSpecs!$B$3+MouserListTable[[#This Row],[Extra Initial]],0)</f>
        <v>0</v>
      </c>
      <c r="G590" s="78" t="s">
        <v>1692</v>
      </c>
      <c r="H590" s="150" t="s">
        <v>1693</v>
      </c>
      <c r="I590" s="78" t="s">
        <v>1694</v>
      </c>
      <c r="J590" s="78">
        <v>1</v>
      </c>
      <c r="K590" s="117">
        <v>2.95</v>
      </c>
      <c r="L590" s="78" t="s">
        <v>1899</v>
      </c>
      <c r="M590" s="78"/>
      <c r="N590" s="154">
        <f>MouserListTable[[#This Row],['# Initial]]*MouserListTable[[#This Row],[Price (USD)]]</f>
        <v>0</v>
      </c>
      <c r="O590" s="81" t="s">
        <v>1691</v>
      </c>
      <c r="P590" s="150">
        <f t="shared" si="9"/>
        <v>577</v>
      </c>
      <c r="Q590" s="78" t="s">
        <v>5</v>
      </c>
      <c r="R590"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474-COM-10596</v>
      </c>
      <c r="S590" s="133" t="str">
        <f>HYPERLINK("https://www.mouser.com/ProductDetail/" &amp;MouserListTable[[#This Row],[Mouser SKU]])</f>
        <v>https://www.mouser.com/ProductDetail/474-COM-10596</v>
      </c>
      <c r="T590" s="94">
        <v>0</v>
      </c>
      <c r="U590" s="94">
        <v>0</v>
      </c>
      <c r="V590" s="94">
        <v>0</v>
      </c>
      <c r="W590" s="94">
        <f>MouserListTable[[#This Row],['#/Unit]]*FilterSpecs!$C$3+MouserListTable[[#This Row],[Extra]]</f>
        <v>0</v>
      </c>
      <c r="X590" s="94">
        <f>IF(MouserListTable[[#This Row],[Tag]]=FilterSpecs!$F$7,MouserListTable[[#This Row],['#/Unit]]*MouserListTable[[#This Row],[Price (USD)]],0)</f>
        <v>0</v>
      </c>
      <c r="Y590" s="94">
        <f>MouserListTable[[#This Row],[Tot '#]]*MouserListTable[[#This Row],[Price (USD)]]</f>
        <v>0</v>
      </c>
      <c r="Z590"/>
    </row>
    <row r="591" spans="1:26" s="106" customFormat="1" x14ac:dyDescent="0.25">
      <c r="A591" s="97" t="s">
        <v>890</v>
      </c>
      <c r="B591" s="97" t="s">
        <v>2010</v>
      </c>
      <c r="C591" s="78" t="s">
        <v>1892</v>
      </c>
      <c r="D591" s="81" t="str">
        <f>IF(MouserListTable[[#This Row],[Vendor]]=FilterSpecs!$A$8,MouserListTable[[#This Row],[Mouser SKU]], MouserListTable[[#This Row],[Supplier SKU]])</f>
        <v>474-COM-10982</v>
      </c>
      <c r="E591" s="94">
        <f>MouserListTable[[#This Row],[Tot '#]]-MouserListTable[[#This Row],['# Initial]]</f>
        <v>0</v>
      </c>
      <c r="F591" s="94">
        <f>IF(AND(MouserListTable[[#This Row],[Tag]]&lt;&gt;FilterSpecs!$F$12, MouserListTable[[#This Row],[Tag]]&lt;&gt;FilterSpecs!$F$9), MouserListTable[[#This Row],['#/Unit]]*FilterSpecs!$B$3+MouserListTable[[#This Row],[Extra Initial]],0)</f>
        <v>0</v>
      </c>
      <c r="G591" s="78" t="s">
        <v>1672</v>
      </c>
      <c r="H591" s="150" t="s">
        <v>1673</v>
      </c>
      <c r="I591" s="78" t="s">
        <v>1674</v>
      </c>
      <c r="J591" s="78">
        <v>1</v>
      </c>
      <c r="K591" s="117">
        <v>3.95</v>
      </c>
      <c r="L591" s="78" t="s">
        <v>1896</v>
      </c>
      <c r="M591" s="78"/>
      <c r="N591" s="154">
        <f>MouserListTable[[#This Row],['# Initial]]*MouserListTable[[#This Row],[Price (USD)]]</f>
        <v>0</v>
      </c>
      <c r="O591" s="81" t="s">
        <v>1671</v>
      </c>
      <c r="P591" s="150">
        <f t="shared" si="9"/>
        <v>578</v>
      </c>
      <c r="Q591" s="78" t="s">
        <v>5</v>
      </c>
      <c r="R591"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474-COM-10982</v>
      </c>
      <c r="S591" s="133" t="str">
        <f>HYPERLINK("https://www.mouser.com/ProductDetail/" &amp;MouserListTable[[#This Row],[Mouser SKU]])</f>
        <v>https://www.mouser.com/ProductDetail/474-COM-10982</v>
      </c>
      <c r="T591" s="94">
        <v>0</v>
      </c>
      <c r="U591" s="94">
        <v>0</v>
      </c>
      <c r="V591" s="94">
        <v>0</v>
      </c>
      <c r="W591" s="94">
        <f>MouserListTable[[#This Row],['#/Unit]]*FilterSpecs!$C$3+MouserListTable[[#This Row],[Extra]]</f>
        <v>0</v>
      </c>
      <c r="X591" s="94">
        <f>IF(MouserListTable[[#This Row],[Tag]]=FilterSpecs!$F$7,MouserListTable[[#This Row],['#/Unit]]*MouserListTable[[#This Row],[Price (USD)]],0)</f>
        <v>0</v>
      </c>
      <c r="Y591" s="94">
        <f>MouserListTable[[#This Row],[Tot '#]]*MouserListTable[[#This Row],[Price (USD)]]</f>
        <v>0</v>
      </c>
      <c r="Z591"/>
    </row>
    <row r="592" spans="1:26" s="106" customFormat="1" x14ac:dyDescent="0.25">
      <c r="A592" s="97" t="s">
        <v>890</v>
      </c>
      <c r="B592" s="97" t="s">
        <v>2010</v>
      </c>
      <c r="C592" s="78" t="s">
        <v>1892</v>
      </c>
      <c r="D592" s="81" t="str">
        <f>IF(MouserListTable[[#This Row],[Vendor]]=FilterSpecs!$A$8,MouserListTable[[#This Row],[Mouser SKU]], MouserListTable[[#This Row],[Supplier SKU]])</f>
        <v>474-BOB-11722</v>
      </c>
      <c r="E592" s="94">
        <f>MouserListTable[[#This Row],[Tot '#]]-MouserListTable[[#This Row],['# Initial]]</f>
        <v>0</v>
      </c>
      <c r="F592" s="94">
        <f>IF(AND(MouserListTable[[#This Row],[Tag]]&lt;&gt;FilterSpecs!$F$12, MouserListTable[[#This Row],[Tag]]&lt;&gt;FilterSpecs!$F$9), MouserListTable[[#This Row],['#/Unit]]*FilterSpecs!$B$3+MouserListTable[[#This Row],[Extra Initial]],0)</f>
        <v>0</v>
      </c>
      <c r="G592" s="78" t="s">
        <v>1720</v>
      </c>
      <c r="H592" s="150" t="s">
        <v>1721</v>
      </c>
      <c r="I592" s="78" t="s">
        <v>1722</v>
      </c>
      <c r="J592" s="78">
        <v>1</v>
      </c>
      <c r="K592" s="117">
        <v>2.95</v>
      </c>
      <c r="L592" s="78" t="s">
        <v>1898</v>
      </c>
      <c r="M592" s="78"/>
      <c r="N592" s="154">
        <f>MouserListTable[[#This Row],['# Initial]]*MouserListTable[[#This Row],[Price (USD)]]</f>
        <v>0</v>
      </c>
      <c r="O592" s="81" t="s">
        <v>1719</v>
      </c>
      <c r="P592" s="150">
        <f t="shared" si="9"/>
        <v>579</v>
      </c>
      <c r="Q592" s="78" t="s">
        <v>5</v>
      </c>
      <c r="R592"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474-BOB-11722</v>
      </c>
      <c r="S592" s="133" t="str">
        <f>HYPERLINK("https://www.mouser.com/ProductDetail/" &amp;MouserListTable[[#This Row],[Mouser SKU]])</f>
        <v>https://www.mouser.com/ProductDetail/474-BOB-11722</v>
      </c>
      <c r="T592" s="94">
        <v>0</v>
      </c>
      <c r="U592" s="94">
        <v>0</v>
      </c>
      <c r="V592" s="94">
        <v>0</v>
      </c>
      <c r="W592" s="94">
        <f>MouserListTable[[#This Row],['#/Unit]]*FilterSpecs!$C$3+MouserListTable[[#This Row],[Extra]]</f>
        <v>0</v>
      </c>
      <c r="X592" s="94">
        <f>IF(MouserListTable[[#This Row],[Tag]]=FilterSpecs!$F$7,MouserListTable[[#This Row],['#/Unit]]*MouserListTable[[#This Row],[Price (USD)]],0)</f>
        <v>0</v>
      </c>
      <c r="Y592" s="94">
        <f>MouserListTable[[#This Row],[Tot '#]]*MouserListTable[[#This Row],[Price (USD)]]</f>
        <v>0</v>
      </c>
      <c r="Z592"/>
    </row>
    <row r="593" spans="1:26" s="106" customFormat="1" x14ac:dyDescent="0.25">
      <c r="A593" s="78" t="s">
        <v>890</v>
      </c>
      <c r="B593" s="78" t="s">
        <v>2010</v>
      </c>
      <c r="C593" s="78" t="s">
        <v>1892</v>
      </c>
      <c r="D593" s="81" t="str">
        <f>IF(MouserListTable[[#This Row],[Vendor]]=FilterSpecs!$A$8,MouserListTable[[#This Row],[Mouser SKU]], MouserListTable[[#This Row],[Supplier SKU]])</f>
        <v>485-377</v>
      </c>
      <c r="E593" s="94">
        <f>MouserListTable[[#This Row],[Tot '#]]-MouserListTable[[#This Row],['# Initial]]</f>
        <v>0</v>
      </c>
      <c r="F593" s="94">
        <f>IF(AND(MouserListTable[[#This Row],[Tag]]&lt;&gt;FilterSpecs!$F$12, MouserListTable[[#This Row],[Tag]]&lt;&gt;FilterSpecs!$F$9), MouserListTable[[#This Row],['#/Unit]]*FilterSpecs!$B$3+MouserListTable[[#This Row],[Extra Initial]],0)</f>
        <v>0</v>
      </c>
      <c r="G593" s="78"/>
      <c r="H593" s="150"/>
      <c r="I593" s="97" t="s">
        <v>2225</v>
      </c>
      <c r="K593" s="118">
        <v>4.5</v>
      </c>
      <c r="L593" s="97" t="s">
        <v>1898</v>
      </c>
      <c r="N593" s="154">
        <f>MouserListTable[[#This Row],['# Initial]]*MouserListTable[[#This Row],[Price (USD)]]</f>
        <v>0</v>
      </c>
      <c r="O593" s="81" t="s">
        <v>2224</v>
      </c>
      <c r="P593" s="150">
        <f t="shared" si="9"/>
        <v>580</v>
      </c>
      <c r="Q593" s="78" t="s">
        <v>1884</v>
      </c>
      <c r="R593"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485-377</v>
      </c>
      <c r="S593" s="133" t="str">
        <f>HYPERLINK("https://www.mouser.com/ProductDetail/" &amp;MouserListTable[[#This Row],[Mouser SKU]])</f>
        <v>https://www.mouser.com/ProductDetail/485-377</v>
      </c>
      <c r="T593" s="94">
        <v>0</v>
      </c>
      <c r="U593" s="94">
        <v>0</v>
      </c>
      <c r="V593" s="94">
        <v>0</v>
      </c>
      <c r="W593" s="94">
        <f>MouserListTable[[#This Row],['#/Unit]]*FilterSpecs!$C$3+MouserListTable[[#This Row],[Extra]]</f>
        <v>0</v>
      </c>
      <c r="X593" s="94">
        <f>IF(MouserListTable[[#This Row],[Tag]]=FilterSpecs!$F$7,MouserListTable[[#This Row],['#/Unit]]*MouserListTable[[#This Row],[Price (USD)]],0)</f>
        <v>0</v>
      </c>
      <c r="Y593" s="94">
        <f>MouserListTable[[#This Row],[Tot '#]]*MouserListTable[[#This Row],[Price (USD)]]</f>
        <v>0</v>
      </c>
      <c r="Z593"/>
    </row>
    <row r="594" spans="1:26" s="106" customFormat="1" x14ac:dyDescent="0.25">
      <c r="A594" s="78" t="s">
        <v>890</v>
      </c>
      <c r="B594" s="78" t="s">
        <v>2010</v>
      </c>
      <c r="C594" s="78" t="s">
        <v>1892</v>
      </c>
      <c r="D594" s="81" t="str">
        <f>IF(MouserListTable[[#This Row],[Vendor]]=FilterSpecs!$A$8,MouserListTable[[#This Row],[Mouser SKU]], MouserListTable[[#This Row],[Supplier SKU]])</f>
        <v>474-COM-13253</v>
      </c>
      <c r="E594" s="94">
        <f>MouserListTable[[#This Row],[Tot '#]]-MouserListTable[[#This Row],['# Initial]]</f>
        <v>0</v>
      </c>
      <c r="F594" s="94">
        <f>IF(AND(MouserListTable[[#This Row],[Tag]]&lt;&gt;FilterSpecs!$F$12, MouserListTable[[#This Row],[Tag]]&lt;&gt;FilterSpecs!$F$9), MouserListTable[[#This Row],['#/Unit]]*FilterSpecs!$B$3+MouserListTable[[#This Row],[Extra Initial]],0)</f>
        <v>5</v>
      </c>
      <c r="G594" s="78" t="s">
        <v>1109</v>
      </c>
      <c r="H594" s="150" t="s">
        <v>1110</v>
      </c>
      <c r="I594" s="78" t="s">
        <v>1111</v>
      </c>
      <c r="J594" s="78">
        <v>1</v>
      </c>
      <c r="K594" s="117">
        <v>1.95</v>
      </c>
      <c r="L594" s="81" t="s">
        <v>1897</v>
      </c>
      <c r="M594" s="78"/>
      <c r="N594" s="154">
        <f>MouserListTable[[#This Row],['# Initial]]*MouserListTable[[#This Row],[Price (USD)]]</f>
        <v>9.75</v>
      </c>
      <c r="O594" s="81" t="s">
        <v>1108</v>
      </c>
      <c r="P594" s="150">
        <f t="shared" si="9"/>
        <v>581</v>
      </c>
      <c r="Q594" s="78" t="s">
        <v>5</v>
      </c>
      <c r="R594"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474-COM-13253</v>
      </c>
      <c r="S594" s="133" t="str">
        <f>HYPERLINK("https://www.mouser.com/ProductDetail/" &amp;MouserListTable[[#This Row],[Mouser SKU]])</f>
        <v>https://www.mouser.com/ProductDetail/474-COM-13253</v>
      </c>
      <c r="T594" s="94">
        <v>1</v>
      </c>
      <c r="U594" s="94">
        <v>0</v>
      </c>
      <c r="V594" s="94">
        <v>0</v>
      </c>
      <c r="W594" s="94">
        <f>MouserListTable[[#This Row],['#/Unit]]*FilterSpecs!$C$3+MouserListTable[[#This Row],[Extra]]</f>
        <v>5</v>
      </c>
      <c r="X594" s="94">
        <f>IF(MouserListTable[[#This Row],[Tag]]=FilterSpecs!$F$7,MouserListTable[[#This Row],['#/Unit]]*MouserListTable[[#This Row],[Price (USD)]],0)</f>
        <v>1.95</v>
      </c>
      <c r="Y594" s="94">
        <f>MouserListTable[[#This Row],[Tot '#]]*MouserListTable[[#This Row],[Price (USD)]]</f>
        <v>9.75</v>
      </c>
      <c r="Z594"/>
    </row>
    <row r="595" spans="1:26" s="106" customFormat="1" x14ac:dyDescent="0.25">
      <c r="A595" s="78" t="s">
        <v>890</v>
      </c>
      <c r="B595" s="78" t="s">
        <v>2010</v>
      </c>
      <c r="C595" s="78" t="s">
        <v>1892</v>
      </c>
      <c r="D595" s="81" t="str">
        <f>IF(MouserListTable[[#This Row],[Vendor]]=FilterSpecs!$A$8,MouserListTable[[#This Row],[Mouser SKU]], MouserListTable[[#This Row],[Supplier SKU]])</f>
        <v>474-BOB-13098</v>
      </c>
      <c r="E595" s="94">
        <f>MouserListTable[[#This Row],[Tot '#]]-MouserListTable[[#This Row],['# Initial]]</f>
        <v>0</v>
      </c>
      <c r="F595" s="94">
        <f>IF(AND(MouserListTable[[#This Row],[Tag]]&lt;&gt;FilterSpecs!$F$12, MouserListTable[[#This Row],[Tag]]&lt;&gt;FilterSpecs!$F$9), MouserListTable[[#This Row],['#/Unit]]*FilterSpecs!$B$3+MouserListTable[[#This Row],[Extra Initial]],0)</f>
        <v>5</v>
      </c>
      <c r="G595" s="78" t="s">
        <v>1105</v>
      </c>
      <c r="H595" s="150" t="s">
        <v>1106</v>
      </c>
      <c r="I595" s="78" t="s">
        <v>1107</v>
      </c>
      <c r="J595" s="78">
        <v>1</v>
      </c>
      <c r="K595" s="117">
        <v>1.95</v>
      </c>
      <c r="L595" s="81" t="s">
        <v>1897</v>
      </c>
      <c r="M595" s="78"/>
      <c r="N595" s="154">
        <f>MouserListTable[[#This Row],['# Initial]]*MouserListTable[[#This Row],[Price (USD)]]</f>
        <v>9.75</v>
      </c>
      <c r="O595" s="81" t="s">
        <v>1104</v>
      </c>
      <c r="P595" s="150">
        <f t="shared" si="9"/>
        <v>582</v>
      </c>
      <c r="Q595" s="78" t="s">
        <v>5</v>
      </c>
      <c r="R595"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474-BOB-13098</v>
      </c>
      <c r="S595" s="133" t="str">
        <f>HYPERLINK("https://www.mouser.com/ProductDetail/" &amp;MouserListTable[[#This Row],[Mouser SKU]])</f>
        <v>https://www.mouser.com/ProductDetail/474-BOB-13098</v>
      </c>
      <c r="T595" s="94">
        <v>1</v>
      </c>
      <c r="U595" s="94">
        <v>0</v>
      </c>
      <c r="V595" s="94">
        <v>0</v>
      </c>
      <c r="W595" s="94">
        <f>MouserListTable[[#This Row],['#/Unit]]*FilterSpecs!$C$3+MouserListTable[[#This Row],[Extra]]</f>
        <v>5</v>
      </c>
      <c r="X595" s="94">
        <f>IF(MouserListTable[[#This Row],[Tag]]=FilterSpecs!$F$7,MouserListTable[[#This Row],['#/Unit]]*MouserListTable[[#This Row],[Price (USD)]],0)</f>
        <v>1.95</v>
      </c>
      <c r="Y595" s="94">
        <f>MouserListTable[[#This Row],[Tot '#]]*MouserListTable[[#This Row],[Price (USD)]]</f>
        <v>9.75</v>
      </c>
      <c r="Z595"/>
    </row>
    <row r="596" spans="1:26" s="106" customFormat="1" x14ac:dyDescent="0.25">
      <c r="A596" s="78" t="s">
        <v>890</v>
      </c>
      <c r="B596" s="78" t="s">
        <v>2010</v>
      </c>
      <c r="C596" s="78" t="s">
        <v>1892</v>
      </c>
      <c r="D596" s="81" t="str">
        <f>IF(MouserListTable[[#This Row],[Vendor]]=FilterSpecs!$A$8,MouserListTable[[#This Row],[Mouser SKU]], MouserListTable[[#This Row],[Supplier SKU]])</f>
        <v>474-BOB-13099</v>
      </c>
      <c r="E596" s="94">
        <f>MouserListTable[[#This Row],[Tot '#]]-MouserListTable[[#This Row],['# Initial]]</f>
        <v>0</v>
      </c>
      <c r="F596" s="94">
        <f>IF(AND(MouserListTable[[#This Row],[Tag]]&lt;&gt;FilterSpecs!$F$12, MouserListTable[[#This Row],[Tag]]&lt;&gt;FilterSpecs!$F$9), MouserListTable[[#This Row],['#/Unit]]*FilterSpecs!$B$3+MouserListTable[[#This Row],[Extra Initial]],0)</f>
        <v>5</v>
      </c>
      <c r="G596" s="78" t="s">
        <v>1113</v>
      </c>
      <c r="H596" s="150" t="s">
        <v>1114</v>
      </c>
      <c r="I596" s="78" t="s">
        <v>1115</v>
      </c>
      <c r="J596" s="78">
        <v>1</v>
      </c>
      <c r="K596" s="117">
        <v>1.95</v>
      </c>
      <c r="L596" s="81" t="s">
        <v>1897</v>
      </c>
      <c r="M596" s="78"/>
      <c r="N596" s="154">
        <f>MouserListTable[[#This Row],['# Initial]]*MouserListTable[[#This Row],[Price (USD)]]</f>
        <v>9.75</v>
      </c>
      <c r="O596" s="81" t="s">
        <v>1112</v>
      </c>
      <c r="P596" s="150">
        <f t="shared" si="9"/>
        <v>583</v>
      </c>
      <c r="Q596" s="78" t="s">
        <v>5</v>
      </c>
      <c r="R596"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474-BOB-13099</v>
      </c>
      <c r="S596" s="133" t="str">
        <f>HYPERLINK("https://www.mouser.com/ProductDetail/" &amp;MouserListTable[[#This Row],[Mouser SKU]])</f>
        <v>https://www.mouser.com/ProductDetail/474-BOB-13099</v>
      </c>
      <c r="T596" s="94">
        <v>1</v>
      </c>
      <c r="U596" s="94">
        <v>0</v>
      </c>
      <c r="V596" s="94">
        <v>0</v>
      </c>
      <c r="W596" s="94">
        <f>MouserListTable[[#This Row],['#/Unit]]*FilterSpecs!$C$3+MouserListTable[[#This Row],[Extra]]</f>
        <v>5</v>
      </c>
      <c r="X596" s="94">
        <f>IF(MouserListTable[[#This Row],[Tag]]=FilterSpecs!$F$7,MouserListTable[[#This Row],['#/Unit]]*MouserListTable[[#This Row],[Price (USD)]],0)</f>
        <v>1.95</v>
      </c>
      <c r="Y596" s="94">
        <f>MouserListTable[[#This Row],[Tot '#]]*MouserListTable[[#This Row],[Price (USD)]]</f>
        <v>9.75</v>
      </c>
      <c r="Z596"/>
    </row>
    <row r="597" spans="1:26" s="106" customFormat="1" x14ac:dyDescent="0.25">
      <c r="A597" s="78" t="s">
        <v>890</v>
      </c>
      <c r="B597" s="78" t="s">
        <v>2010</v>
      </c>
      <c r="C597" s="78" t="s">
        <v>1892</v>
      </c>
      <c r="D597" s="81" t="str">
        <f>IF(MouserListTable[[#This Row],[Vendor]]=FilterSpecs!$A$8,MouserListTable[[#This Row],[Mouser SKU]], MouserListTable[[#This Row],[Supplier SKU]])</f>
        <v>485-2925</v>
      </c>
      <c r="E597" s="94">
        <f>MouserListTable[[#This Row],[Tot '#]]-MouserListTable[[#This Row],['# Initial]]</f>
        <v>0</v>
      </c>
      <c r="F597" s="94">
        <f>IF(AND(MouserListTable[[#This Row],[Tag]]&lt;&gt;FilterSpecs!$F$12, MouserListTable[[#This Row],[Tag]]&lt;&gt;FilterSpecs!$F$9), MouserListTable[[#This Row],['#/Unit]]*FilterSpecs!$B$3+MouserListTable[[#This Row],[Extra Initial]],0)</f>
        <v>0</v>
      </c>
      <c r="G597" s="78"/>
      <c r="H597" s="150"/>
      <c r="I597" s="97" t="s">
        <v>2213</v>
      </c>
      <c r="K597" s="118">
        <v>1.95</v>
      </c>
      <c r="L597" s="97" t="s">
        <v>1896</v>
      </c>
      <c r="N597" s="154">
        <f>MouserListTable[[#This Row],['# Initial]]*MouserListTable[[#This Row],[Price (USD)]]</f>
        <v>0</v>
      </c>
      <c r="O597" s="81" t="s">
        <v>2212</v>
      </c>
      <c r="P597" s="150">
        <f t="shared" si="9"/>
        <v>584</v>
      </c>
      <c r="Q597" s="78" t="s">
        <v>1884</v>
      </c>
      <c r="R597"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485-2925</v>
      </c>
      <c r="S597" s="133" t="str">
        <f>HYPERLINK("https://www.mouser.com/ProductDetail/" &amp;MouserListTable[[#This Row],[Mouser SKU]])</f>
        <v>https://www.mouser.com/ProductDetail/485-2925</v>
      </c>
      <c r="T597" s="94">
        <v>0</v>
      </c>
      <c r="U597" s="94">
        <v>0</v>
      </c>
      <c r="V597" s="94">
        <v>0</v>
      </c>
      <c r="W597" s="94">
        <f>MouserListTable[[#This Row],['#/Unit]]*FilterSpecs!$C$3+MouserListTable[[#This Row],[Extra]]</f>
        <v>0</v>
      </c>
      <c r="X597" s="94">
        <f>IF(MouserListTable[[#This Row],[Tag]]=FilterSpecs!$F$7,MouserListTable[[#This Row],['#/Unit]]*MouserListTable[[#This Row],[Price (USD)]],0)</f>
        <v>0</v>
      </c>
      <c r="Y597" s="94">
        <f>MouserListTable[[#This Row],[Tot '#]]*MouserListTable[[#This Row],[Price (USD)]]</f>
        <v>0</v>
      </c>
      <c r="Z597"/>
    </row>
    <row r="598" spans="1:26" s="106" customFormat="1" x14ac:dyDescent="0.25">
      <c r="A598" s="97" t="s">
        <v>890</v>
      </c>
      <c r="B598" s="97" t="s">
        <v>1598</v>
      </c>
      <c r="C598" s="78" t="s">
        <v>1892</v>
      </c>
      <c r="D598" s="81" t="str">
        <f>IF(MouserListTable[[#This Row],[Vendor]]=FilterSpecs!$A$8,MouserListTable[[#This Row],[Mouser SKU]], MouserListTable[[#This Row],[Supplier SKU]])</f>
        <v>474-PRT-11367</v>
      </c>
      <c r="E598" s="94">
        <f>MouserListTable[[#This Row],[Tot '#]]-MouserListTable[[#This Row],['# Initial]]</f>
        <v>0</v>
      </c>
      <c r="F598" s="94">
        <f>IF(AND(MouserListTable[[#This Row],[Tag]]&lt;&gt;FilterSpecs!$F$12, MouserListTable[[#This Row],[Tag]]&lt;&gt;FilterSpecs!$F$9), MouserListTable[[#This Row],['#/Unit]]*FilterSpecs!$B$3+MouserListTable[[#This Row],[Extra Initial]],0)</f>
        <v>0</v>
      </c>
      <c r="G598" s="78" t="s">
        <v>1650</v>
      </c>
      <c r="H598" s="150" t="s">
        <v>1651</v>
      </c>
      <c r="I598" s="78" t="s">
        <v>1652</v>
      </c>
      <c r="J598" s="78">
        <v>1</v>
      </c>
      <c r="K598" s="117">
        <v>16.95</v>
      </c>
      <c r="L598" s="78" t="s">
        <v>1896</v>
      </c>
      <c r="M598" s="78"/>
      <c r="N598" s="154">
        <f>MouserListTable[[#This Row],['# Initial]]*MouserListTable[[#This Row],[Price (USD)]]</f>
        <v>0</v>
      </c>
      <c r="O598" s="81" t="s">
        <v>1649</v>
      </c>
      <c r="P598" s="150">
        <f t="shared" si="9"/>
        <v>585</v>
      </c>
      <c r="Q598" s="78" t="s">
        <v>5</v>
      </c>
      <c r="R598"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474-PRT-11367</v>
      </c>
      <c r="S598" s="133" t="str">
        <f>HYPERLINK("https://www.mouser.com/ProductDetail/" &amp;MouserListTable[[#This Row],[Mouser SKU]])</f>
        <v>https://www.mouser.com/ProductDetail/474-PRT-11367</v>
      </c>
      <c r="T598" s="94">
        <v>0</v>
      </c>
      <c r="U598" s="94">
        <v>0</v>
      </c>
      <c r="V598" s="94">
        <v>0</v>
      </c>
      <c r="W598" s="94">
        <f>MouserListTable[[#This Row],['#/Unit]]*FilterSpecs!$C$3+MouserListTable[[#This Row],[Extra]]</f>
        <v>0</v>
      </c>
      <c r="X598" s="94">
        <f>IF(MouserListTable[[#This Row],[Tag]]=FilterSpecs!$F$7,MouserListTable[[#This Row],['#/Unit]]*MouserListTable[[#This Row],[Price (USD)]],0)</f>
        <v>0</v>
      </c>
      <c r="Y598" s="94">
        <f>MouserListTable[[#This Row],[Tot '#]]*MouserListTable[[#This Row],[Price (USD)]]</f>
        <v>0</v>
      </c>
      <c r="Z598"/>
    </row>
    <row r="599" spans="1:26" s="106" customFormat="1" x14ac:dyDescent="0.25">
      <c r="A599" s="78" t="s">
        <v>890</v>
      </c>
      <c r="B599" s="78" t="s">
        <v>1598</v>
      </c>
      <c r="C599" s="78" t="s">
        <v>1892</v>
      </c>
      <c r="D599" s="81" t="str">
        <f>IF(MouserListTable[[#This Row],[Vendor]]=FilterSpecs!$A$8,MouserListTable[[#This Row],[Mouser SKU]], MouserListTable[[#This Row],[Supplier SKU]])</f>
        <v>485-3174</v>
      </c>
      <c r="E599" s="94">
        <f>MouserListTable[[#This Row],[Tot '#]]-MouserListTable[[#This Row],['# Initial]]</f>
        <v>0</v>
      </c>
      <c r="F599" s="94">
        <f>IF(AND(MouserListTable[[#This Row],[Tag]]&lt;&gt;FilterSpecs!$F$12, MouserListTable[[#This Row],[Tag]]&lt;&gt;FilterSpecs!$F$9), MouserListTable[[#This Row],['#/Unit]]*FilterSpecs!$B$3+MouserListTable[[#This Row],[Extra Initial]],0)</f>
        <v>1</v>
      </c>
      <c r="H599" s="150"/>
      <c r="I599" s="78" t="s">
        <v>2440</v>
      </c>
      <c r="J599" s="113">
        <v>109</v>
      </c>
      <c r="K599" s="117">
        <v>27.5</v>
      </c>
      <c r="L599" s="78" t="s">
        <v>1896</v>
      </c>
      <c r="M599" s="81"/>
      <c r="N599" s="154">
        <f>MouserListTable[[#This Row],['# Initial]]*MouserListTable[[#This Row],[Price (USD)]]</f>
        <v>27.5</v>
      </c>
      <c r="O599" s="81" t="s">
        <v>2441</v>
      </c>
      <c r="P599" s="150">
        <f t="shared" si="9"/>
        <v>586</v>
      </c>
      <c r="Q599" s="78" t="s">
        <v>1884</v>
      </c>
      <c r="R599"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485-3174</v>
      </c>
      <c r="S599" s="133" t="str">
        <f>HYPERLINK("https://www.mouser.com/ProductDetail/" &amp;MouserListTable[[#This Row],[Mouser SKU]])</f>
        <v>https://www.mouser.com/ProductDetail/485-3174</v>
      </c>
      <c r="T599" s="94">
        <v>0</v>
      </c>
      <c r="U599" s="94">
        <v>1</v>
      </c>
      <c r="V599" s="94">
        <v>1</v>
      </c>
      <c r="W599" s="94">
        <f>MouserListTable[[#This Row],['#/Unit]]*FilterSpecs!$C$3+MouserListTable[[#This Row],[Extra]]</f>
        <v>1</v>
      </c>
      <c r="X599" s="94">
        <f>IF(MouserListTable[[#This Row],[Tag]]=FilterSpecs!$F$7,MouserListTable[[#This Row],['#/Unit]]*MouserListTable[[#This Row],[Price (USD)]],0)</f>
        <v>0</v>
      </c>
      <c r="Y599" s="94">
        <f>MouserListTable[[#This Row],[Tot '#]]*MouserListTable[[#This Row],[Price (USD)]]</f>
        <v>27.5</v>
      </c>
      <c r="Z599"/>
    </row>
    <row r="600" spans="1:26" s="106" customFormat="1" x14ac:dyDescent="0.25">
      <c r="A600" s="97" t="s">
        <v>890</v>
      </c>
      <c r="B600" s="97" t="s">
        <v>1598</v>
      </c>
      <c r="C600" s="78" t="s">
        <v>1892</v>
      </c>
      <c r="D600" s="81" t="str">
        <f>IF(MouserListTable[[#This Row],[Vendor]]=FilterSpecs!$A$8,MouserListTable[[#This Row],[Mouser SKU]], MouserListTable[[#This Row],[Supplier SKU]])</f>
        <v>474-PRT-08023</v>
      </c>
      <c r="E600" s="94">
        <f>MouserListTable[[#This Row],[Tot '#]]-MouserListTable[[#This Row],['# Initial]]</f>
        <v>0</v>
      </c>
      <c r="F600" s="94">
        <f>IF(AND(MouserListTable[[#This Row],[Tag]]&lt;&gt;FilterSpecs!$F$12, MouserListTable[[#This Row],[Tag]]&lt;&gt;FilterSpecs!$F$9), MouserListTable[[#This Row],['#/Unit]]*FilterSpecs!$B$3+MouserListTable[[#This Row],[Extra Initial]],0)</f>
        <v>0</v>
      </c>
      <c r="G600" s="78" t="s">
        <v>1389</v>
      </c>
      <c r="H600" s="150" t="s">
        <v>1390</v>
      </c>
      <c r="I600" s="78" t="s">
        <v>1391</v>
      </c>
      <c r="J600" s="78">
        <v>1</v>
      </c>
      <c r="K600" s="117">
        <v>2.5</v>
      </c>
      <c r="L600" s="78" t="s">
        <v>1898</v>
      </c>
      <c r="M600" s="78"/>
      <c r="N600" s="154">
        <f>MouserListTable[[#This Row],['# Initial]]*MouserListTable[[#This Row],[Price (USD)]]</f>
        <v>0</v>
      </c>
      <c r="O600" s="81" t="s">
        <v>1388</v>
      </c>
      <c r="P600" s="150">
        <f t="shared" si="9"/>
        <v>587</v>
      </c>
      <c r="Q600" s="78" t="s">
        <v>5</v>
      </c>
      <c r="R600"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474-PRT-08023</v>
      </c>
      <c r="S600" s="133" t="str">
        <f>HYPERLINK("https://www.mouser.com/ProductDetail/" &amp;MouserListTable[[#This Row],[Mouser SKU]])</f>
        <v>https://www.mouser.com/ProductDetail/474-PRT-08023</v>
      </c>
      <c r="T600" s="94">
        <v>0</v>
      </c>
      <c r="U600" s="94">
        <v>0</v>
      </c>
      <c r="V600" s="94">
        <v>0</v>
      </c>
      <c r="W600" s="94">
        <f>MouserListTable[[#This Row],['#/Unit]]*FilterSpecs!$C$3+MouserListTable[[#This Row],[Extra]]</f>
        <v>0</v>
      </c>
      <c r="X600" s="94">
        <f>IF(MouserListTable[[#This Row],[Tag]]=FilterSpecs!$F$7,MouserListTable[[#This Row],['#/Unit]]*MouserListTable[[#This Row],[Price (USD)]],0)</f>
        <v>0</v>
      </c>
      <c r="Y600" s="94">
        <f>MouserListTable[[#This Row],[Tot '#]]*MouserListTable[[#This Row],[Price (USD)]]</f>
        <v>0</v>
      </c>
      <c r="Z600"/>
    </row>
    <row r="601" spans="1:26" s="106" customFormat="1" x14ac:dyDescent="0.25">
      <c r="A601" s="97" t="s">
        <v>890</v>
      </c>
      <c r="B601" s="97" t="s">
        <v>1598</v>
      </c>
      <c r="C601" s="78" t="s">
        <v>1892</v>
      </c>
      <c r="D601" s="81" t="str">
        <f>IF(MouserListTable[[#This Row],[Vendor]]=FilterSpecs!$A$8,MouserListTable[[#This Row],[Mouser SKU]], MouserListTable[[#This Row],[Supplier SKU]])</f>
        <v>474-PRT-08024</v>
      </c>
      <c r="E601" s="94">
        <f>MouserListTable[[#This Row],[Tot '#]]-MouserListTable[[#This Row],['# Initial]]</f>
        <v>0</v>
      </c>
      <c r="F601" s="94">
        <f>IF(AND(MouserListTable[[#This Row],[Tag]]&lt;&gt;FilterSpecs!$F$12, MouserListTable[[#This Row],[Tag]]&lt;&gt;FilterSpecs!$F$9), MouserListTable[[#This Row],['#/Unit]]*FilterSpecs!$B$3+MouserListTable[[#This Row],[Extra Initial]],0)</f>
        <v>0</v>
      </c>
      <c r="G601" s="78" t="s">
        <v>1381</v>
      </c>
      <c r="H601" s="150" t="s">
        <v>1382</v>
      </c>
      <c r="I601" s="78" t="s">
        <v>1383</v>
      </c>
      <c r="J601" s="78">
        <v>1</v>
      </c>
      <c r="K601" s="117">
        <v>2.5</v>
      </c>
      <c r="L601" s="78" t="s">
        <v>1898</v>
      </c>
      <c r="M601" s="78"/>
      <c r="N601" s="154">
        <f>MouserListTable[[#This Row],['# Initial]]*MouserListTable[[#This Row],[Price (USD)]]</f>
        <v>0</v>
      </c>
      <c r="O601" s="81" t="s">
        <v>1380</v>
      </c>
      <c r="P601" s="150">
        <f t="shared" si="9"/>
        <v>588</v>
      </c>
      <c r="Q601" s="78" t="s">
        <v>5</v>
      </c>
      <c r="R601"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474-PRT-08024</v>
      </c>
      <c r="S601" s="133" t="str">
        <f>HYPERLINK("https://www.mouser.com/ProductDetail/" &amp;MouserListTable[[#This Row],[Mouser SKU]])</f>
        <v>https://www.mouser.com/ProductDetail/474-PRT-08024</v>
      </c>
      <c r="T601" s="94">
        <v>0</v>
      </c>
      <c r="U601" s="94">
        <v>0</v>
      </c>
      <c r="V601" s="94">
        <v>0</v>
      </c>
      <c r="W601" s="94">
        <f>MouserListTable[[#This Row],['#/Unit]]*FilterSpecs!$C$3+MouserListTable[[#This Row],[Extra]]</f>
        <v>0</v>
      </c>
      <c r="X601" s="94">
        <f>IF(MouserListTable[[#This Row],[Tag]]=FilterSpecs!$F$7,MouserListTable[[#This Row],['#/Unit]]*MouserListTable[[#This Row],[Price (USD)]],0)</f>
        <v>0</v>
      </c>
      <c r="Y601" s="94">
        <f>MouserListTable[[#This Row],[Tot '#]]*MouserListTable[[#This Row],[Price (USD)]]</f>
        <v>0</v>
      </c>
      <c r="Z601"/>
    </row>
    <row r="602" spans="1:26" s="106" customFormat="1" x14ac:dyDescent="0.25">
      <c r="A602" s="97" t="s">
        <v>890</v>
      </c>
      <c r="B602" s="97" t="s">
        <v>1598</v>
      </c>
      <c r="C602" s="78" t="s">
        <v>1892</v>
      </c>
      <c r="D602" s="81" t="str">
        <f>IF(MouserListTable[[#This Row],[Vendor]]=FilterSpecs!$A$8,MouserListTable[[#This Row],[Mouser SKU]], MouserListTable[[#This Row],[Supplier SKU]])</f>
        <v>474-PRT-08022</v>
      </c>
      <c r="E602" s="94">
        <f>MouserListTable[[#This Row],[Tot '#]]-MouserListTable[[#This Row],['# Initial]]</f>
        <v>0</v>
      </c>
      <c r="F602" s="94">
        <f>IF(AND(MouserListTable[[#This Row],[Tag]]&lt;&gt;FilterSpecs!$F$12, MouserListTable[[#This Row],[Tag]]&lt;&gt;FilterSpecs!$F$9), MouserListTable[[#This Row],['#/Unit]]*FilterSpecs!$B$3+MouserListTable[[#This Row],[Extra Initial]],0)</f>
        <v>0</v>
      </c>
      <c r="G602" s="78" t="s">
        <v>1385</v>
      </c>
      <c r="H602" s="150" t="s">
        <v>1386</v>
      </c>
      <c r="I602" s="78" t="s">
        <v>1387</v>
      </c>
      <c r="J602" s="78">
        <v>1</v>
      </c>
      <c r="K602" s="117">
        <v>2.5</v>
      </c>
      <c r="L602" s="78" t="s">
        <v>1898</v>
      </c>
      <c r="M602" s="78"/>
      <c r="N602" s="154">
        <f>MouserListTable[[#This Row],['# Initial]]*MouserListTable[[#This Row],[Price (USD)]]</f>
        <v>0</v>
      </c>
      <c r="O602" s="81" t="s">
        <v>1384</v>
      </c>
      <c r="P602" s="150">
        <f t="shared" ref="P602:P647" si="10">IF($P601="List #",1,$P601+1)</f>
        <v>589</v>
      </c>
      <c r="Q602" s="78" t="s">
        <v>5</v>
      </c>
      <c r="R602"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474-PRT-08022</v>
      </c>
      <c r="S602" s="133" t="str">
        <f>HYPERLINK("https://www.mouser.com/ProductDetail/" &amp;MouserListTable[[#This Row],[Mouser SKU]])</f>
        <v>https://www.mouser.com/ProductDetail/474-PRT-08022</v>
      </c>
      <c r="T602" s="94">
        <v>0</v>
      </c>
      <c r="U602" s="94">
        <v>0</v>
      </c>
      <c r="V602" s="94">
        <v>0</v>
      </c>
      <c r="W602" s="94">
        <f>MouserListTable[[#This Row],['#/Unit]]*FilterSpecs!$C$3+MouserListTable[[#This Row],[Extra]]</f>
        <v>0</v>
      </c>
      <c r="X602" s="94">
        <f>IF(MouserListTable[[#This Row],[Tag]]=FilterSpecs!$F$7,MouserListTable[[#This Row],['#/Unit]]*MouserListTable[[#This Row],[Price (USD)]],0)</f>
        <v>0</v>
      </c>
      <c r="Y602" s="94">
        <f>MouserListTable[[#This Row],[Tot '#]]*MouserListTable[[#This Row],[Price (USD)]]</f>
        <v>0</v>
      </c>
      <c r="Z602"/>
    </row>
    <row r="603" spans="1:26" s="106" customFormat="1" x14ac:dyDescent="0.25">
      <c r="A603" s="97" t="s">
        <v>890</v>
      </c>
      <c r="B603" s="97" t="s">
        <v>1598</v>
      </c>
      <c r="C603" s="78" t="s">
        <v>1892</v>
      </c>
      <c r="D603" s="81" t="str">
        <f>IF(MouserListTable[[#This Row],[Vendor]]=FilterSpecs!$A$8,MouserListTable[[#This Row],[Mouser SKU]], MouserListTable[[#This Row],[Supplier SKU]])</f>
        <v>474-PRT-08025</v>
      </c>
      <c r="E603" s="94">
        <f>MouserListTable[[#This Row],[Tot '#]]-MouserListTable[[#This Row],['# Initial]]</f>
        <v>0</v>
      </c>
      <c r="F603" s="94">
        <f>IF(AND(MouserListTable[[#This Row],[Tag]]&lt;&gt;FilterSpecs!$F$12, MouserListTable[[#This Row],[Tag]]&lt;&gt;FilterSpecs!$F$9), MouserListTable[[#This Row],['#/Unit]]*FilterSpecs!$B$3+MouserListTable[[#This Row],[Extra Initial]],0)</f>
        <v>0</v>
      </c>
      <c r="G603" s="78" t="s">
        <v>1642</v>
      </c>
      <c r="H603" s="150" t="s">
        <v>1643</v>
      </c>
      <c r="I603" s="78" t="s">
        <v>1644</v>
      </c>
      <c r="J603" s="78"/>
      <c r="K603" s="117">
        <v>2.95</v>
      </c>
      <c r="L603" s="78" t="s">
        <v>1899</v>
      </c>
      <c r="M603" s="78"/>
      <c r="N603" s="154">
        <f>MouserListTable[[#This Row],['# Initial]]*MouserListTable[[#This Row],[Price (USD)]]</f>
        <v>0</v>
      </c>
      <c r="O603" s="81" t="s">
        <v>1641</v>
      </c>
      <c r="P603" s="150">
        <f t="shared" si="10"/>
        <v>590</v>
      </c>
      <c r="Q603" s="78" t="s">
        <v>5</v>
      </c>
      <c r="R603"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474-PRT-08025</v>
      </c>
      <c r="S603" s="133" t="str">
        <f>HYPERLINK("https://www.mouser.com/ProductDetail/" &amp;MouserListTable[[#This Row],[Mouser SKU]])</f>
        <v>https://www.mouser.com/ProductDetail/474-PRT-08025</v>
      </c>
      <c r="T603" s="94">
        <v>0</v>
      </c>
      <c r="U603" s="94">
        <v>0</v>
      </c>
      <c r="V603" s="94">
        <v>0</v>
      </c>
      <c r="W603" s="94">
        <f>MouserListTable[[#This Row],['#/Unit]]*FilterSpecs!$C$3+MouserListTable[[#This Row],[Extra]]</f>
        <v>0</v>
      </c>
      <c r="X603" s="94">
        <f>IF(MouserListTable[[#This Row],[Tag]]=FilterSpecs!$F$7,MouserListTable[[#This Row],['#/Unit]]*MouserListTable[[#This Row],[Price (USD)]],0)</f>
        <v>0</v>
      </c>
      <c r="Y603" s="94">
        <f>MouserListTable[[#This Row],[Tot '#]]*MouserListTable[[#This Row],[Price (USD)]]</f>
        <v>0</v>
      </c>
      <c r="Z603"/>
    </row>
    <row r="604" spans="1:26" s="106" customFormat="1" x14ac:dyDescent="0.25">
      <c r="A604" s="97" t="s">
        <v>890</v>
      </c>
      <c r="B604" s="97" t="s">
        <v>1598</v>
      </c>
      <c r="C604" s="78" t="s">
        <v>1892</v>
      </c>
      <c r="D604" s="81" t="str">
        <f>IF(MouserListTable[[#This Row],[Vendor]]=FilterSpecs!$A$8,MouserListTable[[#This Row],[Mouser SKU]], MouserListTable[[#This Row],[Supplier SKU]])</f>
        <v>474-PRT-08026</v>
      </c>
      <c r="E604" s="94">
        <f>MouserListTable[[#This Row],[Tot '#]]-MouserListTable[[#This Row],['# Initial]]</f>
        <v>0</v>
      </c>
      <c r="F604" s="94">
        <f>IF(AND(MouserListTable[[#This Row],[Tag]]&lt;&gt;FilterSpecs!$F$12, MouserListTable[[#This Row],[Tag]]&lt;&gt;FilterSpecs!$F$9), MouserListTable[[#This Row],['#/Unit]]*FilterSpecs!$B$3+MouserListTable[[#This Row],[Extra Initial]],0)</f>
        <v>0</v>
      </c>
      <c r="G604" s="78" t="s">
        <v>1377</v>
      </c>
      <c r="H604" s="150" t="s">
        <v>1378</v>
      </c>
      <c r="I604" s="78" t="s">
        <v>1379</v>
      </c>
      <c r="J604" s="78">
        <v>1</v>
      </c>
      <c r="K604" s="117">
        <v>2.5</v>
      </c>
      <c r="L604" s="78" t="s">
        <v>1899</v>
      </c>
      <c r="M604" s="78"/>
      <c r="N604" s="154">
        <f>MouserListTable[[#This Row],['# Initial]]*MouserListTable[[#This Row],[Price (USD)]]</f>
        <v>0</v>
      </c>
      <c r="O604" s="81" t="s">
        <v>1376</v>
      </c>
      <c r="P604" s="150">
        <f t="shared" si="10"/>
        <v>591</v>
      </c>
      <c r="Q604" s="78" t="s">
        <v>5</v>
      </c>
      <c r="R604"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474-PRT-08026</v>
      </c>
      <c r="S604" s="133" t="str">
        <f>HYPERLINK("https://www.mouser.com/ProductDetail/" &amp;MouserListTable[[#This Row],[Mouser SKU]])</f>
        <v>https://www.mouser.com/ProductDetail/474-PRT-08026</v>
      </c>
      <c r="T604" s="94">
        <v>0</v>
      </c>
      <c r="U604" s="94">
        <v>0</v>
      </c>
      <c r="V604" s="94">
        <v>0</v>
      </c>
      <c r="W604" s="94">
        <f>MouserListTable[[#This Row],['#/Unit]]*FilterSpecs!$C$3+MouserListTable[[#This Row],[Extra]]</f>
        <v>0</v>
      </c>
      <c r="X604" s="94">
        <f>IF(MouserListTable[[#This Row],[Tag]]=FilterSpecs!$F$7,MouserListTable[[#This Row],['#/Unit]]*MouserListTable[[#This Row],[Price (USD)]],0)</f>
        <v>0</v>
      </c>
      <c r="Y604" s="94">
        <f>MouserListTable[[#This Row],[Tot '#]]*MouserListTable[[#This Row],[Price (USD)]]</f>
        <v>0</v>
      </c>
      <c r="Z604"/>
    </row>
    <row r="605" spans="1:26" s="106" customFormat="1" x14ac:dyDescent="0.25">
      <c r="A605" s="97" t="s">
        <v>890</v>
      </c>
      <c r="B605" s="97" t="s">
        <v>1598</v>
      </c>
      <c r="C605" s="78" t="s">
        <v>1892</v>
      </c>
      <c r="D605" s="81" t="str">
        <f>IF(MouserListTable[[#This Row],[Vendor]]=FilterSpecs!$A$8,MouserListTable[[#This Row],[Mouser SKU]], MouserListTable[[#This Row],[Supplier SKU]])</f>
        <v>474-PRT-08027</v>
      </c>
      <c r="E605" s="94">
        <f>MouserListTable[[#This Row],[Tot '#]]-MouserListTable[[#This Row],['# Initial]]</f>
        <v>0</v>
      </c>
      <c r="F605" s="94">
        <f>IF(AND(MouserListTable[[#This Row],[Tag]]&lt;&gt;FilterSpecs!$F$12, MouserListTable[[#This Row],[Tag]]&lt;&gt;FilterSpecs!$F$9), MouserListTable[[#This Row],['#/Unit]]*FilterSpecs!$B$3+MouserListTable[[#This Row],[Extra Initial]],0)</f>
        <v>0</v>
      </c>
      <c r="G605" s="78" t="s">
        <v>1646</v>
      </c>
      <c r="H605" s="150" t="s">
        <v>1647</v>
      </c>
      <c r="I605" s="78" t="s">
        <v>1648</v>
      </c>
      <c r="J605" s="78"/>
      <c r="K605" s="117">
        <v>2.95</v>
      </c>
      <c r="L605" s="78" t="s">
        <v>1896</v>
      </c>
      <c r="M605" s="78"/>
      <c r="N605" s="154">
        <f>MouserListTable[[#This Row],['# Initial]]*MouserListTable[[#This Row],[Price (USD)]]</f>
        <v>0</v>
      </c>
      <c r="O605" s="81" t="s">
        <v>1645</v>
      </c>
      <c r="P605" s="150">
        <f t="shared" si="10"/>
        <v>592</v>
      </c>
      <c r="Q605" s="78" t="s">
        <v>5</v>
      </c>
      <c r="R605"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474-PRT-08027</v>
      </c>
      <c r="S605" s="133" t="str">
        <f>HYPERLINK("https://www.mouser.com/ProductDetail/" &amp;MouserListTable[[#This Row],[Mouser SKU]])</f>
        <v>https://www.mouser.com/ProductDetail/474-PRT-08027</v>
      </c>
      <c r="T605" s="94">
        <v>0</v>
      </c>
      <c r="U605" s="94">
        <v>0</v>
      </c>
      <c r="V605" s="94">
        <v>0</v>
      </c>
      <c r="W605" s="94">
        <f>MouserListTable[[#This Row],['#/Unit]]*FilterSpecs!$C$3+MouserListTable[[#This Row],[Extra]]</f>
        <v>0</v>
      </c>
      <c r="X605" s="94">
        <f>IF(MouserListTable[[#This Row],[Tag]]=FilterSpecs!$F$7,MouserListTable[[#This Row],['#/Unit]]*MouserListTable[[#This Row],[Price (USD)]],0)</f>
        <v>0</v>
      </c>
      <c r="Y605" s="94">
        <f>MouserListTable[[#This Row],[Tot '#]]*MouserListTable[[#This Row],[Price (USD)]]</f>
        <v>0</v>
      </c>
      <c r="Z605"/>
    </row>
    <row r="606" spans="1:26" s="106" customFormat="1" x14ac:dyDescent="0.25">
      <c r="A606" s="78" t="s">
        <v>890</v>
      </c>
      <c r="B606" s="78" t="s">
        <v>1598</v>
      </c>
      <c r="C606" s="78" t="s">
        <v>1892</v>
      </c>
      <c r="D606" s="81" t="str">
        <f>IF(MouserListTable[[#This Row],[Vendor]]=FilterSpecs!$A$8,MouserListTable[[#This Row],[Mouser SKU]], MouserListTable[[#This Row],[Supplier SKU]])</f>
        <v>474-PRT-00124</v>
      </c>
      <c r="E606" s="94">
        <f>MouserListTable[[#This Row],[Tot '#]]-MouserListTable[[#This Row],['# Initial]]</f>
        <v>0</v>
      </c>
      <c r="F606" s="94">
        <f>IF(AND(MouserListTable[[#This Row],[Tag]]&lt;&gt;FilterSpecs!$F$12, MouserListTable[[#This Row],[Tag]]&lt;&gt;FilterSpecs!$F$9), MouserListTable[[#This Row],['#/Unit]]*FilterSpecs!$B$3+MouserListTable[[#This Row],[Extra Initial]],0)</f>
        <v>2</v>
      </c>
      <c r="G606" s="78" t="s">
        <v>411</v>
      </c>
      <c r="H606" s="150" t="s">
        <v>412</v>
      </c>
      <c r="I606" s="78" t="s">
        <v>413</v>
      </c>
      <c r="J606" s="78">
        <v>1</v>
      </c>
      <c r="K606" s="117">
        <v>6.95</v>
      </c>
      <c r="L606" s="78" t="s">
        <v>1896</v>
      </c>
      <c r="M606" s="78"/>
      <c r="N606" s="154">
        <f>MouserListTable[[#This Row],['# Initial]]*MouserListTable[[#This Row],[Price (USD)]]</f>
        <v>13.9</v>
      </c>
      <c r="O606" s="81" t="s">
        <v>410</v>
      </c>
      <c r="P606" s="150">
        <f t="shared" si="10"/>
        <v>593</v>
      </c>
      <c r="Q606" s="78" t="s">
        <v>5</v>
      </c>
      <c r="R606"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474-PRT-00124</v>
      </c>
      <c r="S606" s="133" t="str">
        <f>HYPERLINK("https://www.mouser.com/ProductDetail/" &amp;MouserListTable[[#This Row],[Mouser SKU]])</f>
        <v>https://www.mouser.com/ProductDetail/474-PRT-00124</v>
      </c>
      <c r="T606" s="94">
        <v>0</v>
      </c>
      <c r="U606" s="94">
        <v>2</v>
      </c>
      <c r="V606" s="94">
        <v>2</v>
      </c>
      <c r="W606" s="94">
        <f>MouserListTable[[#This Row],['#/Unit]]*FilterSpecs!$C$3+MouserListTable[[#This Row],[Extra]]</f>
        <v>2</v>
      </c>
      <c r="X606" s="94">
        <f>IF(MouserListTable[[#This Row],[Tag]]=FilterSpecs!$F$7,MouserListTable[[#This Row],['#/Unit]]*MouserListTable[[#This Row],[Price (USD)]],0)</f>
        <v>0</v>
      </c>
      <c r="Y606" s="94">
        <f>MouserListTable[[#This Row],[Tot '#]]*MouserListTable[[#This Row],[Price (USD)]]</f>
        <v>13.9</v>
      </c>
      <c r="Z606"/>
    </row>
    <row r="607" spans="1:26" s="106" customFormat="1" x14ac:dyDescent="0.25">
      <c r="A607" s="98" t="s">
        <v>890</v>
      </c>
      <c r="B607" s="98" t="s">
        <v>1598</v>
      </c>
      <c r="C607" s="78" t="s">
        <v>1892</v>
      </c>
      <c r="D607" s="81" t="str">
        <f>IF(MouserListTable[[#This Row],[Vendor]]=FilterSpecs!$A$8,MouserListTable[[#This Row],[Mouser SKU]], MouserListTable[[#This Row],[Supplier SKU]])</f>
        <v>485-3314</v>
      </c>
      <c r="E607" s="94">
        <f>MouserListTable[[#This Row],[Tot '#]]-MouserListTable[[#This Row],['# Initial]]</f>
        <v>0</v>
      </c>
      <c r="F607" s="94">
        <f>IF(AND(MouserListTable[[#This Row],[Tag]]&lt;&gt;FilterSpecs!$F$12, MouserListTable[[#This Row],[Tag]]&lt;&gt;FilterSpecs!$F$9), MouserListTable[[#This Row],['#/Unit]]*FilterSpecs!$B$3+MouserListTable[[#This Row],[Extra Initial]],0)</f>
        <v>0</v>
      </c>
      <c r="H607" s="150"/>
      <c r="I607" s="98" t="s">
        <v>2442</v>
      </c>
      <c r="J607" s="113">
        <v>110</v>
      </c>
      <c r="K607" s="119">
        <v>7.95</v>
      </c>
      <c r="L607" s="97" t="s">
        <v>1896</v>
      </c>
      <c r="N607" s="154">
        <f>MouserListTable[[#This Row],['# Initial]]*MouserListTable[[#This Row],[Price (USD)]]</f>
        <v>0</v>
      </c>
      <c r="O607" s="113" t="s">
        <v>2443</v>
      </c>
      <c r="P607" s="150">
        <f t="shared" si="10"/>
        <v>594</v>
      </c>
      <c r="Q607" s="78" t="s">
        <v>1884</v>
      </c>
      <c r="R607"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485-3314</v>
      </c>
      <c r="S607" s="133" t="str">
        <f>HYPERLINK("https://www.mouser.com/ProductDetail/" &amp;MouserListTable[[#This Row],[Mouser SKU]])</f>
        <v>https://www.mouser.com/ProductDetail/485-3314</v>
      </c>
      <c r="T607" s="94">
        <v>0</v>
      </c>
      <c r="U607" s="94">
        <v>0</v>
      </c>
      <c r="V607" s="94">
        <v>0</v>
      </c>
      <c r="W607" s="94">
        <f>MouserListTable[[#This Row],['#/Unit]]*FilterSpecs!$C$3+MouserListTable[[#This Row],[Extra]]</f>
        <v>0</v>
      </c>
      <c r="X607" s="94">
        <f>IF(MouserListTable[[#This Row],[Tag]]=FilterSpecs!$F$7,MouserListTable[[#This Row],['#/Unit]]*MouserListTable[[#This Row],[Price (USD)]],0)</f>
        <v>0</v>
      </c>
      <c r="Y607" s="94">
        <f>MouserListTable[[#This Row],[Tot '#]]*MouserListTable[[#This Row],[Price (USD)]]</f>
        <v>0</v>
      </c>
      <c r="Z607"/>
    </row>
    <row r="608" spans="1:26" s="106" customFormat="1" x14ac:dyDescent="0.25">
      <c r="A608" s="78" t="s">
        <v>13</v>
      </c>
      <c r="B608" s="78" t="s">
        <v>1600</v>
      </c>
      <c r="C608" s="78" t="s">
        <v>1892</v>
      </c>
      <c r="D608" s="81" t="str">
        <f>IF(MouserListTable[[#This Row],[Vendor]]=FilterSpecs!$A$8,MouserListTable[[#This Row],[Mouser SKU]], MouserListTable[[#This Row],[Supplier SKU]])</f>
        <v>474-TOL-13086</v>
      </c>
      <c r="E608" s="94">
        <f>MouserListTable[[#This Row],[Tot '#]]-MouserListTable[[#This Row],['# Initial]]</f>
        <v>0</v>
      </c>
      <c r="F608" s="94">
        <f>IF(AND(MouserListTable[[#This Row],[Tag]]&lt;&gt;FilterSpecs!$F$12, MouserListTable[[#This Row],[Tag]]&lt;&gt;FilterSpecs!$F$9), MouserListTable[[#This Row],['#/Unit]]*FilterSpecs!$B$3+MouserListTable[[#This Row],[Extra Initial]],0)</f>
        <v>0</v>
      </c>
      <c r="G608" s="78" t="s">
        <v>1186</v>
      </c>
      <c r="H608" s="150" t="s">
        <v>1187</v>
      </c>
      <c r="I608" s="78" t="s">
        <v>1188</v>
      </c>
      <c r="J608" s="78">
        <v>1</v>
      </c>
      <c r="K608" s="117">
        <v>34.950000000000003</v>
      </c>
      <c r="L608" s="78" t="s">
        <v>1900</v>
      </c>
      <c r="M608" s="81"/>
      <c r="N608" s="154">
        <f>MouserListTable[[#This Row],['# Initial]]*MouserListTable[[#This Row],[Price (USD)]]</f>
        <v>0</v>
      </c>
      <c r="O608" s="81" t="s">
        <v>1185</v>
      </c>
      <c r="P608" s="150">
        <f t="shared" si="10"/>
        <v>595</v>
      </c>
      <c r="Q608" s="78" t="s">
        <v>5</v>
      </c>
      <c r="R608"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474-TOL-13086</v>
      </c>
      <c r="S608" s="133" t="str">
        <f>HYPERLINK("https://www.mouser.com/ProductDetail/" &amp;MouserListTable[[#This Row],[Mouser SKU]])</f>
        <v>https://www.mouser.com/ProductDetail/474-TOL-13086</v>
      </c>
      <c r="T608" s="94">
        <v>0</v>
      </c>
      <c r="U608" s="94">
        <v>0</v>
      </c>
      <c r="V608" s="94">
        <v>0</v>
      </c>
      <c r="W608" s="94">
        <f>MouserListTable[[#This Row],['#/Unit]]*FilterSpecs!$C$3+MouserListTable[[#This Row],[Extra]]</f>
        <v>0</v>
      </c>
      <c r="X608" s="94">
        <f>IF(MouserListTable[[#This Row],[Tag]]=FilterSpecs!$F$7,MouserListTable[[#This Row],['#/Unit]]*MouserListTable[[#This Row],[Price (USD)]],0)</f>
        <v>0</v>
      </c>
      <c r="Y608" s="94">
        <f>MouserListTable[[#This Row],[Tot '#]]*MouserListTable[[#This Row],[Price (USD)]]</f>
        <v>0</v>
      </c>
      <c r="Z608"/>
    </row>
    <row r="609" spans="1:26" s="106" customFormat="1" x14ac:dyDescent="0.25">
      <c r="A609" s="98" t="s">
        <v>13</v>
      </c>
      <c r="B609" s="98" t="s">
        <v>1600</v>
      </c>
      <c r="C609" s="78" t="s">
        <v>1892</v>
      </c>
      <c r="D609" s="81" t="str">
        <f>IF(MouserListTable[[#This Row],[Vendor]]=FilterSpecs!$A$8,MouserListTable[[#This Row],[Mouser SKU]], MouserListTable[[#This Row],[Supplier SKU]])</f>
        <v>485-136</v>
      </c>
      <c r="E609" s="94">
        <f>MouserListTable[[#This Row],[Tot '#]]-MouserListTable[[#This Row],['# Initial]]</f>
        <v>0</v>
      </c>
      <c r="F609" s="94">
        <f>IF(AND(MouserListTable[[#This Row],[Tag]]&lt;&gt;FilterSpecs!$F$12, MouserListTable[[#This Row],[Tag]]&lt;&gt;FilterSpecs!$F$9), MouserListTable[[#This Row],['#/Unit]]*FilterSpecs!$B$3+MouserListTable[[#This Row],[Extra Initial]],0)</f>
        <v>0</v>
      </c>
      <c r="H609" s="150"/>
      <c r="I609" s="98" t="s">
        <v>2438</v>
      </c>
      <c r="J609" s="113">
        <v>108</v>
      </c>
      <c r="K609" s="119">
        <v>100</v>
      </c>
      <c r="L609" s="97" t="s">
        <v>1896</v>
      </c>
      <c r="N609" s="154">
        <f>MouserListTable[[#This Row],['# Initial]]*MouserListTable[[#This Row],[Price (USD)]]</f>
        <v>0</v>
      </c>
      <c r="O609" s="113" t="s">
        <v>2439</v>
      </c>
      <c r="P609" s="150">
        <f t="shared" si="10"/>
        <v>596</v>
      </c>
      <c r="Q609" s="78" t="s">
        <v>1884</v>
      </c>
      <c r="R609"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485-136</v>
      </c>
      <c r="S609" s="133" t="str">
        <f>HYPERLINK("https://www.mouser.com/ProductDetail/" &amp;MouserListTable[[#This Row],[Mouser SKU]])</f>
        <v>https://www.mouser.com/ProductDetail/485-136</v>
      </c>
      <c r="T609" s="94">
        <v>0</v>
      </c>
      <c r="U609" s="94">
        <v>0</v>
      </c>
      <c r="V609" s="94">
        <v>0</v>
      </c>
      <c r="W609" s="94">
        <f>MouserListTable[[#This Row],['#/Unit]]*FilterSpecs!$C$3+MouserListTable[[#This Row],[Extra]]</f>
        <v>0</v>
      </c>
      <c r="X609" s="94">
        <f>IF(MouserListTable[[#This Row],[Tag]]=FilterSpecs!$F$7,MouserListTable[[#This Row],['#/Unit]]*MouserListTable[[#This Row],[Price (USD)]],0)</f>
        <v>0</v>
      </c>
      <c r="Y609" s="94">
        <f>MouserListTable[[#This Row],[Tot '#]]*MouserListTable[[#This Row],[Price (USD)]]</f>
        <v>0</v>
      </c>
      <c r="Z609"/>
    </row>
    <row r="610" spans="1:26" s="106" customFormat="1" x14ac:dyDescent="0.25">
      <c r="A610" s="97" t="s">
        <v>13</v>
      </c>
      <c r="B610" s="97" t="s">
        <v>1600</v>
      </c>
      <c r="C610" s="78" t="s">
        <v>1892</v>
      </c>
      <c r="D610" s="81" t="str">
        <f>IF(MouserListTable[[#This Row],[Vendor]]=FilterSpecs!$A$8,MouserListTable[[#This Row],[Mouser SKU]], MouserListTable[[#This Row],[Supplier SKU]])</f>
        <v>474-TOL-14226</v>
      </c>
      <c r="E610" s="94">
        <f>MouserListTable[[#This Row],[Tot '#]]-MouserListTable[[#This Row],['# Initial]]</f>
        <v>0</v>
      </c>
      <c r="F610" s="94">
        <f>IF(AND(MouserListTable[[#This Row],[Tag]]&lt;&gt;FilterSpecs!$F$12, MouserListTable[[#This Row],[Tag]]&lt;&gt;FilterSpecs!$F$9), MouserListTable[[#This Row],['#/Unit]]*FilterSpecs!$B$3+MouserListTable[[#This Row],[Extra Initial]],0)</f>
        <v>0</v>
      </c>
      <c r="G610" s="78" t="s">
        <v>1629</v>
      </c>
      <c r="H610" s="150" t="s">
        <v>1630</v>
      </c>
      <c r="I610" s="78" t="s">
        <v>1631</v>
      </c>
      <c r="J610" s="78"/>
      <c r="K610" s="117">
        <v>59.95</v>
      </c>
      <c r="L610" s="78" t="s">
        <v>1900</v>
      </c>
      <c r="N610" s="154">
        <f>MouserListTable[[#This Row],['# Initial]]*MouserListTable[[#This Row],[Price (USD)]]</f>
        <v>0</v>
      </c>
      <c r="O610" s="81" t="s">
        <v>1628</v>
      </c>
      <c r="P610" s="150">
        <f t="shared" si="10"/>
        <v>597</v>
      </c>
      <c r="Q610" s="78" t="s">
        <v>5</v>
      </c>
      <c r="R610"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474-TOL-14226</v>
      </c>
      <c r="S610" s="133" t="str">
        <f>HYPERLINK("https://www.mouser.com/ProductDetail/" &amp;MouserListTable[[#This Row],[Mouser SKU]])</f>
        <v>https://www.mouser.com/ProductDetail/474-TOL-14226</v>
      </c>
      <c r="T610" s="94">
        <v>0</v>
      </c>
      <c r="U610" s="94">
        <v>0</v>
      </c>
      <c r="V610" s="94">
        <v>0</v>
      </c>
      <c r="W610" s="94">
        <f>MouserListTable[[#This Row],['#/Unit]]*FilterSpecs!$C$3+MouserListTable[[#This Row],[Extra]]</f>
        <v>0</v>
      </c>
      <c r="X610" s="94">
        <f>IF(MouserListTable[[#This Row],[Tag]]=FilterSpecs!$F$7,MouserListTable[[#This Row],['#/Unit]]*MouserListTable[[#This Row],[Price (USD)]],0)</f>
        <v>0</v>
      </c>
      <c r="Y610" s="94">
        <f>MouserListTable[[#This Row],[Tot '#]]*MouserListTable[[#This Row],[Price (USD)]]</f>
        <v>0</v>
      </c>
      <c r="Z610"/>
    </row>
    <row r="611" spans="1:26" s="106" customFormat="1" x14ac:dyDescent="0.25">
      <c r="A611" s="78" t="s">
        <v>13</v>
      </c>
      <c r="B611" s="78" t="s">
        <v>1600</v>
      </c>
      <c r="C611" s="78" t="s">
        <v>1892</v>
      </c>
      <c r="D611" s="81" t="str">
        <f>IF(MouserListTable[[#This Row],[Vendor]]=FilterSpecs!$A$8,MouserListTable[[#This Row],[Mouser SKU]], MouserListTable[[#This Row],[Supplier SKU]])</f>
        <v>474-TOL-13203</v>
      </c>
      <c r="E611" s="94">
        <f>MouserListTable[[#This Row],[Tot '#]]-MouserListTable[[#This Row],['# Initial]]</f>
        <v>0</v>
      </c>
      <c r="F611" s="94">
        <f>IF(AND(MouserListTable[[#This Row],[Tag]]&lt;&gt;FilterSpecs!$F$12, MouserListTable[[#This Row],[Tag]]&lt;&gt;FilterSpecs!$F$9), MouserListTable[[#This Row],['#/Unit]]*FilterSpecs!$B$3+MouserListTable[[#This Row],[Extra Initial]],0)</f>
        <v>0</v>
      </c>
      <c r="G611" s="78" t="s">
        <v>1637</v>
      </c>
      <c r="H611" s="150" t="s">
        <v>1638</v>
      </c>
      <c r="I611" s="78" t="s">
        <v>1639</v>
      </c>
      <c r="J611" s="78"/>
      <c r="K611" s="117">
        <v>4.95</v>
      </c>
      <c r="L611" s="78" t="s">
        <v>1900</v>
      </c>
      <c r="M611" s="81"/>
      <c r="N611" s="154">
        <f>MouserListTable[[#This Row],['# Initial]]*MouserListTable[[#This Row],[Price (USD)]]</f>
        <v>0</v>
      </c>
      <c r="O611" s="81" t="s">
        <v>1636</v>
      </c>
      <c r="P611" s="150">
        <f t="shared" si="10"/>
        <v>598</v>
      </c>
      <c r="Q611" s="78" t="s">
        <v>5</v>
      </c>
      <c r="R611"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474-TOL-13203</v>
      </c>
      <c r="S611" s="133" t="str">
        <f>HYPERLINK("https://www.mouser.com/ProductDetail/" &amp;MouserListTable[[#This Row],[Mouser SKU]])</f>
        <v>https://www.mouser.com/ProductDetail/474-TOL-13203</v>
      </c>
      <c r="T611" s="94">
        <v>0</v>
      </c>
      <c r="U611" s="94">
        <v>0</v>
      </c>
      <c r="V611" s="94">
        <v>0</v>
      </c>
      <c r="W611" s="94">
        <f>MouserListTable[[#This Row],['#/Unit]]*FilterSpecs!$C$3+MouserListTable[[#This Row],[Extra]]</f>
        <v>0</v>
      </c>
      <c r="X611" s="94">
        <f>IF(MouserListTable[[#This Row],[Tag]]=FilterSpecs!$F$7,MouserListTable[[#This Row],['#/Unit]]*MouserListTable[[#This Row],[Price (USD)]],0)</f>
        <v>0</v>
      </c>
      <c r="Y611" s="94">
        <f>MouserListTable[[#This Row],[Tot '#]]*MouserListTable[[#This Row],[Price (USD)]]</f>
        <v>0</v>
      </c>
      <c r="Z611"/>
    </row>
    <row r="612" spans="1:26" s="106" customFormat="1" x14ac:dyDescent="0.25">
      <c r="A612" s="78" t="s">
        <v>13</v>
      </c>
      <c r="B612" s="78" t="s">
        <v>1600</v>
      </c>
      <c r="C612" s="78" t="s">
        <v>1892</v>
      </c>
      <c r="D612" s="81" t="str">
        <f>IF(MouserListTable[[#This Row],[Vendor]]=FilterSpecs!$A$8,MouserListTable[[#This Row],[Mouser SKU]], MouserListTable[[#This Row],[Supplier SKU]])</f>
        <v>474-TOL-08964</v>
      </c>
      <c r="E612" s="94">
        <f>MouserListTable[[#This Row],[Tot '#]]-MouserListTable[[#This Row],['# Initial]]</f>
        <v>0</v>
      </c>
      <c r="F612" s="94">
        <f>IF(AND(MouserListTable[[#This Row],[Tag]]&lt;&gt;FilterSpecs!$F$12, MouserListTable[[#This Row],[Tag]]&lt;&gt;FilterSpecs!$F$9), MouserListTable[[#This Row],['#/Unit]]*FilterSpecs!$B$3+MouserListTable[[#This Row],[Extra Initial]],0)</f>
        <v>0</v>
      </c>
      <c r="G612" s="78" t="s">
        <v>1609</v>
      </c>
      <c r="H612" s="150" t="s">
        <v>1610</v>
      </c>
      <c r="I612" s="78" t="s">
        <v>1611</v>
      </c>
      <c r="J612" s="78">
        <v>1</v>
      </c>
      <c r="K612" s="117">
        <v>2.95</v>
      </c>
      <c r="L612" s="78" t="s">
        <v>1900</v>
      </c>
      <c r="M612" s="81"/>
      <c r="N612" s="154">
        <f>MouserListTable[[#This Row],['# Initial]]*MouserListTable[[#This Row],[Price (USD)]]</f>
        <v>0</v>
      </c>
      <c r="O612" s="81" t="s">
        <v>1608</v>
      </c>
      <c r="P612" s="150">
        <f t="shared" si="10"/>
        <v>599</v>
      </c>
      <c r="Q612" s="78" t="s">
        <v>5</v>
      </c>
      <c r="R612"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474-TOL-08964</v>
      </c>
      <c r="S612" s="133" t="str">
        <f>HYPERLINK("https://www.mouser.com/ProductDetail/" &amp;MouserListTable[[#This Row],[Mouser SKU]])</f>
        <v>https://www.mouser.com/ProductDetail/474-TOL-08964</v>
      </c>
      <c r="T612" s="94">
        <v>0</v>
      </c>
      <c r="U612" s="94">
        <v>0</v>
      </c>
      <c r="V612" s="94">
        <v>0</v>
      </c>
      <c r="W612" s="94">
        <f>MouserListTable[[#This Row],['#/Unit]]*FilterSpecs!$C$3+MouserListTable[[#This Row],[Extra]]</f>
        <v>0</v>
      </c>
      <c r="X612" s="94">
        <f>IF(MouserListTable[[#This Row],[Tag]]=FilterSpecs!$F$7,MouserListTable[[#This Row],['#/Unit]]*MouserListTable[[#This Row],[Price (USD)]],0)</f>
        <v>0</v>
      </c>
      <c r="Y612" s="94">
        <f>MouserListTable[[#This Row],[Tot '#]]*MouserListTable[[#This Row],[Price (USD)]]</f>
        <v>0</v>
      </c>
      <c r="Z612"/>
    </row>
    <row r="613" spans="1:26" s="106" customFormat="1" x14ac:dyDescent="0.25">
      <c r="A613" s="78" t="s">
        <v>13</v>
      </c>
      <c r="B613" s="78" t="s">
        <v>1600</v>
      </c>
      <c r="C613" s="78" t="s">
        <v>1892</v>
      </c>
      <c r="D613" s="81" t="str">
        <f>IF(MouserListTable[[#This Row],[Vendor]]=FilterSpecs!$A$8,MouserListTable[[#This Row],[Mouser SKU]], MouserListTable[[#This Row],[Supplier SKU]])</f>
        <v>474-TOL-12878</v>
      </c>
      <c r="E613" s="94">
        <f>MouserListTable[[#This Row],[Tot '#]]-MouserListTable[[#This Row],['# Initial]]</f>
        <v>0</v>
      </c>
      <c r="F613" s="94">
        <f>IF(AND(MouserListTable[[#This Row],[Tag]]&lt;&gt;FilterSpecs!$F$12, MouserListTable[[#This Row],[Tag]]&lt;&gt;FilterSpecs!$F$9), MouserListTable[[#This Row],['#/Unit]]*FilterSpecs!$B$3+MouserListTable[[#This Row],[Extra Initial]],0)</f>
        <v>1</v>
      </c>
      <c r="G613" s="78" t="s">
        <v>1429</v>
      </c>
      <c r="H613" s="150" t="s">
        <v>1430</v>
      </c>
      <c r="I613" s="78" t="s">
        <v>1431</v>
      </c>
      <c r="J613" s="78">
        <v>1</v>
      </c>
      <c r="K613" s="117">
        <v>16.95</v>
      </c>
      <c r="L613" s="78" t="s">
        <v>1900</v>
      </c>
      <c r="M613" s="81"/>
      <c r="N613" s="154">
        <f>MouserListTable[[#This Row],['# Initial]]*MouserListTable[[#This Row],[Price (USD)]]</f>
        <v>16.95</v>
      </c>
      <c r="O613" s="81" t="s">
        <v>1428</v>
      </c>
      <c r="P613" s="150">
        <f t="shared" si="10"/>
        <v>600</v>
      </c>
      <c r="Q613" s="78" t="s">
        <v>5</v>
      </c>
      <c r="R613"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474-TOL-12878</v>
      </c>
      <c r="S613" s="133" t="str">
        <f>HYPERLINK("https://www.mouser.com/ProductDetail/" &amp;MouserListTable[[#This Row],[Mouser SKU]])</f>
        <v>https://www.mouser.com/ProductDetail/474-TOL-12878</v>
      </c>
      <c r="T613" s="94">
        <v>0</v>
      </c>
      <c r="U613" s="94">
        <v>1</v>
      </c>
      <c r="V613" s="94">
        <v>1</v>
      </c>
      <c r="W613" s="94">
        <f>MouserListTable[[#This Row],['#/Unit]]*FilterSpecs!$C$3+MouserListTable[[#This Row],[Extra]]</f>
        <v>1</v>
      </c>
      <c r="X613" s="94">
        <f>IF(MouserListTable[[#This Row],[Tag]]=FilterSpecs!$F$7,MouserListTable[[#This Row],['#/Unit]]*MouserListTable[[#This Row],[Price (USD)]],0)</f>
        <v>0</v>
      </c>
      <c r="Y613" s="94">
        <f>MouserListTable[[#This Row],[Tot '#]]*MouserListTable[[#This Row],[Price (USD)]]</f>
        <v>16.95</v>
      </c>
      <c r="Z613"/>
    </row>
    <row r="614" spans="1:26" s="106" customFormat="1" x14ac:dyDescent="0.25">
      <c r="A614" s="78" t="s">
        <v>13</v>
      </c>
      <c r="B614" s="78" t="s">
        <v>1600</v>
      </c>
      <c r="C614" s="78" t="s">
        <v>1892</v>
      </c>
      <c r="D614" s="81" t="str">
        <f>IF(MouserListTable[[#This Row],[Vendor]]=FilterSpecs!$A$8,MouserListTable[[#This Row],[Mouser SKU]], MouserListTable[[#This Row],[Supplier SKU]])</f>
        <v>474-TOL-10706</v>
      </c>
      <c r="E614" s="94">
        <f>MouserListTable[[#This Row],[Tot '#]]-MouserListTable[[#This Row],['# Initial]]</f>
        <v>0</v>
      </c>
      <c r="F614" s="94">
        <f>IF(AND(MouserListTable[[#This Row],[Tag]]&lt;&gt;FilterSpecs!$F$12, MouserListTable[[#This Row],[Tag]]&lt;&gt;FilterSpecs!$F$9), MouserListTable[[#This Row],['#/Unit]]*FilterSpecs!$B$3+MouserListTable[[#This Row],[Extra Initial]],0)</f>
        <v>0</v>
      </c>
      <c r="G614" s="78" t="s">
        <v>851</v>
      </c>
      <c r="H614" s="150" t="s">
        <v>852</v>
      </c>
      <c r="I614" s="78" t="s">
        <v>853</v>
      </c>
      <c r="J614" s="78"/>
      <c r="K614" s="117">
        <v>114.95</v>
      </c>
      <c r="L614" s="78" t="s">
        <v>1900</v>
      </c>
      <c r="M614" s="78"/>
      <c r="N614" s="154">
        <f>MouserListTable[[#This Row],['# Initial]]*MouserListTable[[#This Row],[Price (USD)]]</f>
        <v>0</v>
      </c>
      <c r="O614" s="81" t="s">
        <v>850</v>
      </c>
      <c r="P614" s="150">
        <f t="shared" si="10"/>
        <v>601</v>
      </c>
      <c r="Q614" s="78" t="s">
        <v>5</v>
      </c>
      <c r="R614"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474-TOL-10706</v>
      </c>
      <c r="S614" s="133" t="str">
        <f>HYPERLINK("https://www.mouser.com/ProductDetail/" &amp;MouserListTable[[#This Row],[Mouser SKU]])</f>
        <v>https://www.mouser.com/ProductDetail/474-TOL-10706</v>
      </c>
      <c r="T614" s="94">
        <v>0</v>
      </c>
      <c r="U614" s="94">
        <v>0</v>
      </c>
      <c r="V614" s="94">
        <v>0</v>
      </c>
      <c r="W614" s="94">
        <f>MouserListTable[[#This Row],['#/Unit]]*FilterSpecs!$C$3+MouserListTable[[#This Row],[Extra]]</f>
        <v>0</v>
      </c>
      <c r="X614" s="94">
        <f>IF(MouserListTable[[#This Row],[Tag]]=FilterSpecs!$F$7,MouserListTable[[#This Row],['#/Unit]]*MouserListTable[[#This Row],[Price (USD)]],0)</f>
        <v>0</v>
      </c>
      <c r="Y614" s="94">
        <f>MouserListTable[[#This Row],[Tot '#]]*MouserListTable[[#This Row],[Price (USD)]]</f>
        <v>0</v>
      </c>
      <c r="Z614"/>
    </row>
    <row r="615" spans="1:26" s="106" customFormat="1" x14ac:dyDescent="0.25">
      <c r="A615" s="78" t="s">
        <v>13</v>
      </c>
      <c r="B615" s="78" t="s">
        <v>1600</v>
      </c>
      <c r="C615" s="78" t="s">
        <v>1892</v>
      </c>
      <c r="D615" s="81" t="str">
        <f>IF(MouserListTable[[#This Row],[Vendor]]=FilterSpecs!$A$8,MouserListTable[[#This Row],[Mouser SKU]], MouserListTable[[#This Row],[Supplier SKU]])</f>
        <v>485-1869</v>
      </c>
      <c r="E615" s="94">
        <f>MouserListTable[[#This Row],[Tot '#]]-MouserListTable[[#This Row],['# Initial]]</f>
        <v>0</v>
      </c>
      <c r="F615" s="94">
        <f>IF(AND(MouserListTable[[#This Row],[Tag]]&lt;&gt;FilterSpecs!$F$12, MouserListTable[[#This Row],[Tag]]&lt;&gt;FilterSpecs!$F$9), MouserListTable[[#This Row],['#/Unit]]*FilterSpecs!$B$3+MouserListTable[[#This Row],[Extra Initial]],0)</f>
        <v>0</v>
      </c>
      <c r="G615" s="78"/>
      <c r="H615" s="150"/>
      <c r="I615" s="97" t="s">
        <v>2367</v>
      </c>
      <c r="K615" s="118">
        <v>97.5</v>
      </c>
      <c r="L615" s="97" t="s">
        <v>1899</v>
      </c>
      <c r="N615" s="154">
        <f>MouserListTable[[#This Row],['# Initial]]*MouserListTable[[#This Row],[Price (USD)]]</f>
        <v>0</v>
      </c>
      <c r="O615" s="81" t="s">
        <v>2366</v>
      </c>
      <c r="P615" s="150">
        <f t="shared" si="10"/>
        <v>602</v>
      </c>
      <c r="Q615" s="78" t="s">
        <v>1884</v>
      </c>
      <c r="R615"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485-1869</v>
      </c>
      <c r="S615" s="133" t="str">
        <f>HYPERLINK("https://www.mouser.com/ProductDetail/" &amp;MouserListTable[[#This Row],[Mouser SKU]])</f>
        <v>https://www.mouser.com/ProductDetail/485-1869</v>
      </c>
      <c r="T615" s="94">
        <v>0</v>
      </c>
      <c r="U615" s="94">
        <v>0</v>
      </c>
      <c r="V615" s="94">
        <v>0</v>
      </c>
      <c r="W615" s="94">
        <f>MouserListTable[[#This Row],['#/Unit]]*FilterSpecs!$C$3+MouserListTable[[#This Row],[Extra]]</f>
        <v>0</v>
      </c>
      <c r="X615" s="94">
        <f>IF(MouserListTable[[#This Row],[Tag]]=FilterSpecs!$F$7,MouserListTable[[#This Row],['#/Unit]]*MouserListTable[[#This Row],[Price (USD)]],0)</f>
        <v>0</v>
      </c>
      <c r="Y615" s="94">
        <f>MouserListTable[[#This Row],[Tot '#]]*MouserListTable[[#This Row],[Price (USD)]]</f>
        <v>0</v>
      </c>
      <c r="Z615"/>
    </row>
    <row r="616" spans="1:26" s="106" customFormat="1" x14ac:dyDescent="0.25">
      <c r="A616" s="78" t="s">
        <v>13</v>
      </c>
      <c r="B616" s="78" t="s">
        <v>1600</v>
      </c>
      <c r="C616" s="78" t="s">
        <v>1892</v>
      </c>
      <c r="D616" s="81" t="str">
        <f>IF(MouserListTable[[#This Row],[Vendor]]=FilterSpecs!$A$8,MouserListTable[[#This Row],[Mouser SKU]], MouserListTable[[#This Row],[Supplier SKU]])</f>
        <v>474-TOL-07925</v>
      </c>
      <c r="E616" s="94">
        <f>MouserListTable[[#This Row],[Tot '#]]-MouserListTable[[#This Row],['# Initial]]</f>
        <v>0</v>
      </c>
      <c r="F616" s="94">
        <f>IF(AND(MouserListTable[[#This Row],[Tag]]&lt;&gt;FilterSpecs!$F$12, MouserListTable[[#This Row],[Tag]]&lt;&gt;FilterSpecs!$F$9), MouserListTable[[#This Row],['#/Unit]]*FilterSpecs!$B$3+MouserListTable[[#This Row],[Extra Initial]],0)</f>
        <v>0</v>
      </c>
      <c r="G616" s="78" t="s">
        <v>1625</v>
      </c>
      <c r="H616" s="150" t="s">
        <v>1626</v>
      </c>
      <c r="I616" s="78" t="s">
        <v>1627</v>
      </c>
      <c r="J616" s="78"/>
      <c r="K616" s="117">
        <v>14.95</v>
      </c>
      <c r="L616" s="78" t="s">
        <v>1900</v>
      </c>
      <c r="M616" s="81"/>
      <c r="N616" s="154">
        <f>MouserListTable[[#This Row],['# Initial]]*MouserListTable[[#This Row],[Price (USD)]]</f>
        <v>0</v>
      </c>
      <c r="O616" s="81" t="s">
        <v>1624</v>
      </c>
      <c r="P616" s="150">
        <f t="shared" si="10"/>
        <v>603</v>
      </c>
      <c r="Q616" s="78" t="s">
        <v>5</v>
      </c>
      <c r="R616"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474-TOL-07925</v>
      </c>
      <c r="S616" s="133" t="str">
        <f>HYPERLINK("https://www.mouser.com/ProductDetail/" &amp;MouserListTable[[#This Row],[Mouser SKU]])</f>
        <v>https://www.mouser.com/ProductDetail/474-TOL-07925</v>
      </c>
      <c r="T616" s="94">
        <v>0</v>
      </c>
      <c r="U616" s="94">
        <v>0</v>
      </c>
      <c r="V616" s="94">
        <v>0</v>
      </c>
      <c r="W616" s="94">
        <f>MouserListTable[[#This Row],['#/Unit]]*FilterSpecs!$C$3+MouserListTable[[#This Row],[Extra]]</f>
        <v>0</v>
      </c>
      <c r="X616" s="94">
        <f>IF(MouserListTable[[#This Row],[Tag]]=FilterSpecs!$F$7,MouserListTable[[#This Row],['#/Unit]]*MouserListTable[[#This Row],[Price (USD)]],0)</f>
        <v>0</v>
      </c>
      <c r="Y616" s="94">
        <f>MouserListTable[[#This Row],[Tot '#]]*MouserListTable[[#This Row],[Price (USD)]]</f>
        <v>0</v>
      </c>
      <c r="Z616"/>
    </row>
    <row r="617" spans="1:26" s="106" customFormat="1" x14ac:dyDescent="0.25">
      <c r="A617" s="97" t="s">
        <v>13</v>
      </c>
      <c r="B617" s="97" t="s">
        <v>1600</v>
      </c>
      <c r="C617" s="78" t="s">
        <v>1892</v>
      </c>
      <c r="D617" s="81" t="str">
        <f>IF(MouserListTable[[#This Row],[Vendor]]=FilterSpecs!$A$8,MouserListTable[[#This Row],[Mouser SKU]], MouserListTable[[#This Row],[Supplier SKU]])</f>
        <v>474-TOL-10326</v>
      </c>
      <c r="E617" s="94">
        <f>MouserListTable[[#This Row],[Tot '#]]-MouserListTable[[#This Row],['# Initial]]</f>
        <v>0</v>
      </c>
      <c r="F617" s="94">
        <f>IF(AND(MouserListTable[[#This Row],[Tag]]&lt;&gt;FilterSpecs!$F$12, MouserListTable[[#This Row],[Tag]]&lt;&gt;FilterSpecs!$F$9), MouserListTable[[#This Row],['#/Unit]]*FilterSpecs!$B$3+MouserListTable[[#This Row],[Extra Initial]],0)</f>
        <v>0</v>
      </c>
      <c r="G617" s="78" t="s">
        <v>843</v>
      </c>
      <c r="H617" s="150" t="s">
        <v>844</v>
      </c>
      <c r="I617" s="78" t="s">
        <v>845</v>
      </c>
      <c r="J617" s="78">
        <v>1</v>
      </c>
      <c r="K617" s="117">
        <v>13.95</v>
      </c>
      <c r="L617" s="78" t="s">
        <v>1900</v>
      </c>
      <c r="M617" s="106" t="s">
        <v>1295</v>
      </c>
      <c r="N617" s="154">
        <f>MouserListTable[[#This Row],['# Initial]]*MouserListTable[[#This Row],[Price (USD)]]</f>
        <v>0</v>
      </c>
      <c r="O617" s="81" t="s">
        <v>842</v>
      </c>
      <c r="P617" s="150">
        <f t="shared" si="10"/>
        <v>604</v>
      </c>
      <c r="Q617" s="78" t="s">
        <v>5</v>
      </c>
      <c r="R617"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474-TOL-10326</v>
      </c>
      <c r="S617" s="133" t="str">
        <f>HYPERLINK("https://www.mouser.com/ProductDetail/" &amp;MouserListTable[[#This Row],[Mouser SKU]])</f>
        <v>https://www.mouser.com/ProductDetail/474-TOL-10326</v>
      </c>
      <c r="T617" s="94">
        <v>0</v>
      </c>
      <c r="U617" s="94">
        <v>0</v>
      </c>
      <c r="V617" s="94">
        <v>0</v>
      </c>
      <c r="W617" s="94">
        <f>MouserListTable[[#This Row],['#/Unit]]*FilterSpecs!$C$3+MouserListTable[[#This Row],[Extra]]</f>
        <v>0</v>
      </c>
      <c r="X617" s="94">
        <f>IF(MouserListTable[[#This Row],[Tag]]=FilterSpecs!$F$7,MouserListTable[[#This Row],['#/Unit]]*MouserListTable[[#This Row],[Price (USD)]],0)</f>
        <v>0</v>
      </c>
      <c r="Y617" s="94">
        <f>MouserListTable[[#This Row],[Tot '#]]*MouserListTable[[#This Row],[Price (USD)]]</f>
        <v>0</v>
      </c>
      <c r="Z617"/>
    </row>
    <row r="618" spans="1:26" s="106" customFormat="1" x14ac:dyDescent="0.25">
      <c r="A618" s="78" t="s">
        <v>13</v>
      </c>
      <c r="B618" s="78" t="s">
        <v>1600</v>
      </c>
      <c r="C618" s="78" t="s">
        <v>1892</v>
      </c>
      <c r="D618" s="81" t="str">
        <f>IF(MouserListTable[[#This Row],[Vendor]]=FilterSpecs!$A$8,MouserListTable[[#This Row],[Mouser SKU]], MouserListTable[[#This Row],[Supplier SKU]])</f>
        <v>485-3536</v>
      </c>
      <c r="E618" s="94">
        <f>MouserListTable[[#This Row],[Tot '#]]-MouserListTable[[#This Row],['# Initial]]</f>
        <v>0</v>
      </c>
      <c r="F618" s="94">
        <f>IF(AND(MouserListTable[[#This Row],[Tag]]&lt;&gt;FilterSpecs!$F$12, MouserListTable[[#This Row],[Tag]]&lt;&gt;FilterSpecs!$F$9), MouserListTable[[#This Row],['#/Unit]]*FilterSpecs!$B$3+MouserListTable[[#This Row],[Extra Initial]],0)</f>
        <v>0</v>
      </c>
      <c r="G618" s="78"/>
      <c r="H618" s="150"/>
      <c r="I618" s="97" t="s">
        <v>2371</v>
      </c>
      <c r="K618" s="118">
        <v>9.9499999999999993</v>
      </c>
      <c r="L618" s="97" t="s">
        <v>1896</v>
      </c>
      <c r="N618" s="154">
        <f>MouserListTable[[#This Row],['# Initial]]*MouserListTable[[#This Row],[Price (USD)]]</f>
        <v>0</v>
      </c>
      <c r="O618" s="81" t="s">
        <v>2370</v>
      </c>
      <c r="P618" s="150">
        <f t="shared" si="10"/>
        <v>605</v>
      </c>
      <c r="Q618" s="78" t="s">
        <v>1884</v>
      </c>
      <c r="R618"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485-3536</v>
      </c>
      <c r="S618" s="133" t="str">
        <f>HYPERLINK("https://www.mouser.com/ProductDetail/" &amp;MouserListTable[[#This Row],[Mouser SKU]])</f>
        <v>https://www.mouser.com/ProductDetail/485-3536</v>
      </c>
      <c r="T618" s="94">
        <v>0</v>
      </c>
      <c r="U618" s="94">
        <v>0</v>
      </c>
      <c r="V618" s="94">
        <v>0</v>
      </c>
      <c r="W618" s="94">
        <f>MouserListTable[[#This Row],['#/Unit]]*FilterSpecs!$C$3+MouserListTable[[#This Row],[Extra]]</f>
        <v>0</v>
      </c>
      <c r="X618" s="94">
        <f>IF(MouserListTable[[#This Row],[Tag]]=FilterSpecs!$F$7,MouserListTable[[#This Row],['#/Unit]]*MouserListTable[[#This Row],[Price (USD)]],0)</f>
        <v>0</v>
      </c>
      <c r="Y618" s="94">
        <f>MouserListTable[[#This Row],[Tot '#]]*MouserListTable[[#This Row],[Price (USD)]]</f>
        <v>0</v>
      </c>
      <c r="Z618"/>
    </row>
    <row r="619" spans="1:26" s="153" customFormat="1" x14ac:dyDescent="0.25">
      <c r="A619" s="150" t="s">
        <v>13</v>
      </c>
      <c r="B619" s="150" t="s">
        <v>1600</v>
      </c>
      <c r="C619" s="150" t="s">
        <v>1892</v>
      </c>
      <c r="D619" s="151" t="str">
        <f>IF(MouserListTable[[#This Row],[Vendor]]=FilterSpecs!$A$8,MouserListTable[[#This Row],[Mouser SKU]], MouserListTable[[#This Row],[Supplier SKU]])</f>
        <v>474-KIT-11488</v>
      </c>
      <c r="E619" s="152">
        <f>MouserListTable[[#This Row],[Tot '#]]-MouserListTable[[#This Row],['# Initial]]</f>
        <v>0</v>
      </c>
      <c r="F619" s="152">
        <f>IF(AND(MouserListTable[[#This Row],[Tag]]&lt;&gt;FilterSpecs!$F$12, MouserListTable[[#This Row],[Tag]]&lt;&gt;FilterSpecs!$F$9), MouserListTable[[#This Row],['#/Unit]]*FilterSpecs!$B$3+MouserListTable[[#This Row],[Extra Initial]],0)</f>
        <v>0</v>
      </c>
      <c r="G619" s="150" t="s">
        <v>1190</v>
      </c>
      <c r="H619" s="150" t="s">
        <v>1191</v>
      </c>
      <c r="I619" s="151" t="s">
        <v>1192</v>
      </c>
      <c r="J619" s="150">
        <v>1</v>
      </c>
      <c r="K619" s="154">
        <v>59.95</v>
      </c>
      <c r="L619" s="97" t="s">
        <v>1896</v>
      </c>
      <c r="N619" s="154">
        <f>MouserListTable[[#This Row],['# Initial]]*MouserListTable[[#This Row],[Price (USD)]]</f>
        <v>0</v>
      </c>
      <c r="O619" s="120" t="s">
        <v>1189</v>
      </c>
      <c r="P619" s="150">
        <f t="shared" si="10"/>
        <v>606</v>
      </c>
      <c r="Q619" s="150" t="s">
        <v>5</v>
      </c>
      <c r="R61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474-KIT-11488</v>
      </c>
      <c r="S619" s="157" t="str">
        <f>HYPERLINK("https://www.mouser.com/ProductDetail/" &amp;MouserListTable[[#This Row],[Mouser SKU]])</f>
        <v>https://www.mouser.com/ProductDetail/474-KIT-11488</v>
      </c>
      <c r="T619" s="152">
        <v>0</v>
      </c>
      <c r="U619" s="152">
        <v>0</v>
      </c>
      <c r="V619" s="152">
        <v>0</v>
      </c>
      <c r="W619" s="152">
        <f>MouserListTable[[#This Row],['#/Unit]]*FilterSpecs!$C$3+MouserListTable[[#This Row],[Extra]]</f>
        <v>0</v>
      </c>
      <c r="X619" s="152">
        <f>IF(MouserListTable[[#This Row],[Tag]]=FilterSpecs!$F$7,MouserListTable[[#This Row],['#/Unit]]*MouserListTable[[#This Row],[Price (USD)]],0)</f>
        <v>0</v>
      </c>
      <c r="Y619" s="152">
        <f>MouserListTable[[#This Row],[Tot '#]]*MouserListTable[[#This Row],[Price (USD)]]</f>
        <v>0</v>
      </c>
      <c r="Z619" s="146"/>
    </row>
    <row r="620" spans="1:26" s="106" customFormat="1" x14ac:dyDescent="0.25">
      <c r="A620" s="97" t="s">
        <v>13</v>
      </c>
      <c r="B620" s="97" t="s">
        <v>1601</v>
      </c>
      <c r="C620" s="78" t="s">
        <v>1892</v>
      </c>
      <c r="D620" s="81" t="str">
        <f>IF(MouserListTable[[#This Row],[Vendor]]=FilterSpecs!$A$8,MouserListTable[[#This Row],[Mouser SKU]], MouserListTable[[#This Row],[Supplier SKU]])</f>
        <v>474-TOL-10410</v>
      </c>
      <c r="E620" s="94">
        <f>MouserListTable[[#This Row],[Tot '#]]-MouserListTable[[#This Row],['# Initial]]</f>
        <v>1</v>
      </c>
      <c r="F620" s="94">
        <f>IF(AND(MouserListTable[[#This Row],[Tag]]&lt;&gt;FilterSpecs!$F$12, MouserListTable[[#This Row],[Tag]]&lt;&gt;FilterSpecs!$F$9), MouserListTable[[#This Row],['#/Unit]]*FilterSpecs!$B$3+MouserListTable[[#This Row],[Extra Initial]],0)</f>
        <v>0</v>
      </c>
      <c r="G620" s="78" t="s">
        <v>875</v>
      </c>
      <c r="H620" s="150" t="s">
        <v>876</v>
      </c>
      <c r="I620" s="78" t="s">
        <v>877</v>
      </c>
      <c r="J620" s="78"/>
      <c r="K620" s="117">
        <v>33.75</v>
      </c>
      <c r="L620" s="78" t="s">
        <v>1900</v>
      </c>
      <c r="N620" s="154">
        <f>MouserListTable[[#This Row],['# Initial]]*MouserListTable[[#This Row],[Price (USD)]]</f>
        <v>0</v>
      </c>
      <c r="O620" s="81" t="s">
        <v>874</v>
      </c>
      <c r="P620" s="150">
        <f t="shared" si="10"/>
        <v>607</v>
      </c>
      <c r="Q620" s="78" t="s">
        <v>5</v>
      </c>
      <c r="R620"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474-TOL-10410</v>
      </c>
      <c r="S620" s="133" t="str">
        <f>HYPERLINK("https://www.mouser.com/ProductDetail/" &amp;MouserListTable[[#This Row],[Mouser SKU]])</f>
        <v>https://www.mouser.com/ProductDetail/474-TOL-10410</v>
      </c>
      <c r="T620" s="94">
        <v>0</v>
      </c>
      <c r="U620" s="94">
        <v>1</v>
      </c>
      <c r="V620" s="94">
        <v>0</v>
      </c>
      <c r="W620" s="94">
        <f>MouserListTable[[#This Row],['#/Unit]]*FilterSpecs!$C$3+MouserListTable[[#This Row],[Extra]]</f>
        <v>1</v>
      </c>
      <c r="X620" s="94">
        <f>IF(MouserListTable[[#This Row],[Tag]]=FilterSpecs!$F$7,MouserListTable[[#This Row],['#/Unit]]*MouserListTable[[#This Row],[Price (USD)]],0)</f>
        <v>0</v>
      </c>
      <c r="Y620" s="94">
        <f>MouserListTable[[#This Row],[Tot '#]]*MouserListTable[[#This Row],[Price (USD)]]</f>
        <v>33.75</v>
      </c>
      <c r="Z620"/>
    </row>
    <row r="621" spans="1:26" s="153" customFormat="1" x14ac:dyDescent="0.25">
      <c r="A621" s="97" t="s">
        <v>13</v>
      </c>
      <c r="B621" s="97" t="s">
        <v>1601</v>
      </c>
      <c r="C621" s="150" t="s">
        <v>1892</v>
      </c>
      <c r="D621" s="151" t="str">
        <f>IF(MouserListTable[[#This Row],[Vendor]]=FilterSpecs!$A$8,MouserListTable[[#This Row],[Mouser SKU]], MouserListTable[[#This Row],[Supplier SKU]])</f>
        <v>485-151</v>
      </c>
      <c r="E621" s="152">
        <f>MouserListTable[[#This Row],[Tot '#]]-MouserListTable[[#This Row],['# Initial]]</f>
        <v>0</v>
      </c>
      <c r="F621" s="152">
        <f>IF(AND(MouserListTable[[#This Row],[Tag]]&lt;&gt;FilterSpecs!$F$12, MouserListTable[[#This Row],[Tag]]&lt;&gt;FilterSpecs!$F$9), MouserListTable[[#This Row],['#/Unit]]*FilterSpecs!$B$3+MouserListTable[[#This Row],[Extra Initial]],0)</f>
        <v>1</v>
      </c>
      <c r="G621" s="150" t="s">
        <v>875</v>
      </c>
      <c r="H621" s="150" t="s">
        <v>876</v>
      </c>
      <c r="I621" s="150" t="s">
        <v>2570</v>
      </c>
      <c r="J621" s="150"/>
      <c r="K621" s="154">
        <v>31.25</v>
      </c>
      <c r="L621" s="150" t="s">
        <v>1896</v>
      </c>
      <c r="N621" s="154">
        <f>MouserListTable[[#This Row],['# Initial]]*MouserListTable[[#This Row],[Price (USD)]]</f>
        <v>31.25</v>
      </c>
      <c r="O621" s="151">
        <v>151</v>
      </c>
      <c r="P621" s="150">
        <f t="shared" si="10"/>
        <v>608</v>
      </c>
      <c r="Q621" s="150" t="s">
        <v>1884</v>
      </c>
      <c r="R62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485-151</v>
      </c>
      <c r="S621" s="157" t="str">
        <f>HYPERLINK("https://www.mouser.com/ProductDetail/" &amp;MouserListTable[[#This Row],[Mouser SKU]])</f>
        <v>https://www.mouser.com/ProductDetail/485-151</v>
      </c>
      <c r="T621" s="152">
        <v>0</v>
      </c>
      <c r="U621" s="152">
        <v>1</v>
      </c>
      <c r="V621" s="152">
        <v>1</v>
      </c>
      <c r="W621" s="152">
        <f>MouserListTable[[#This Row],['#/Unit]]*FilterSpecs!$C$3+MouserListTable[[#This Row],[Extra]]</f>
        <v>1</v>
      </c>
      <c r="X621" s="152">
        <f>IF(MouserListTable[[#This Row],[Tag]]=FilterSpecs!$F$7,MouserListTable[[#This Row],['#/Unit]]*MouserListTable[[#This Row],[Price (USD)]],0)</f>
        <v>0</v>
      </c>
      <c r="Y621" s="152">
        <f>MouserListTable[[#This Row],[Tot '#]]*MouserListTable[[#This Row],[Price (USD)]]</f>
        <v>31.25</v>
      </c>
      <c r="Z621" s="146"/>
    </row>
    <row r="622" spans="1:26" s="106" customFormat="1" x14ac:dyDescent="0.25">
      <c r="A622" s="97" t="s">
        <v>13</v>
      </c>
      <c r="B622" s="97" t="s">
        <v>1601</v>
      </c>
      <c r="C622" s="78" t="s">
        <v>1892</v>
      </c>
      <c r="D622" s="81" t="str">
        <f>IF(MouserListTable[[#This Row],[Vendor]]=FilterSpecs!$A$8,MouserListTable[[#This Row],[Mouser SKU]], MouserListTable[[#This Row],[Supplier SKU]])</f>
        <v>474-TOL-11784</v>
      </c>
      <c r="E622" s="94">
        <f>MouserListTable[[#This Row],[Tot '#]]-MouserListTable[[#This Row],['# Initial]]</f>
        <v>0</v>
      </c>
      <c r="F622" s="94">
        <f>IF(AND(MouserListTable[[#This Row],[Tag]]&lt;&gt;FilterSpecs!$F$12, MouserListTable[[#This Row],[Tag]]&lt;&gt;FilterSpecs!$F$9), MouserListTable[[#This Row],['#/Unit]]*FilterSpecs!$B$3+MouserListTable[[#This Row],[Extra Initial]],0)</f>
        <v>0</v>
      </c>
      <c r="G622" s="78" t="s">
        <v>1133</v>
      </c>
      <c r="H622" s="150" t="s">
        <v>1134</v>
      </c>
      <c r="I622" s="78" t="s">
        <v>1135</v>
      </c>
      <c r="J622" s="78">
        <v>1</v>
      </c>
      <c r="K622" s="117">
        <v>29.95</v>
      </c>
      <c r="L622" s="78" t="s">
        <v>1900</v>
      </c>
      <c r="N622" s="154">
        <f>MouserListTable[[#This Row],['# Initial]]*MouserListTable[[#This Row],[Price (USD)]]</f>
        <v>0</v>
      </c>
      <c r="O622" s="81" t="s">
        <v>1132</v>
      </c>
      <c r="P622" s="150">
        <f>IF($P620="List #",1,$P620+1)</f>
        <v>608</v>
      </c>
      <c r="Q622" s="78" t="s">
        <v>5</v>
      </c>
      <c r="R622"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474-TOL-11784</v>
      </c>
      <c r="S622" s="133" t="str">
        <f>HYPERLINK("https://www.mouser.com/ProductDetail/" &amp;MouserListTable[[#This Row],[Mouser SKU]])</f>
        <v>https://www.mouser.com/ProductDetail/474-TOL-11784</v>
      </c>
      <c r="T622" s="94">
        <v>0</v>
      </c>
      <c r="U622" s="94">
        <v>0</v>
      </c>
      <c r="V622" s="94">
        <v>0</v>
      </c>
      <c r="W622" s="94">
        <f>MouserListTable[[#This Row],['#/Unit]]*FilterSpecs!$C$3+MouserListTable[[#This Row],[Extra]]</f>
        <v>0</v>
      </c>
      <c r="X622" s="94">
        <f>IF(MouserListTable[[#This Row],[Tag]]=FilterSpecs!$F$7,MouserListTable[[#This Row],['#/Unit]]*MouserListTable[[#This Row],[Price (USD)]],0)</f>
        <v>0</v>
      </c>
      <c r="Y622" s="94">
        <f>MouserListTable[[#This Row],[Tot '#]]*MouserListTable[[#This Row],[Price (USD)]]</f>
        <v>0</v>
      </c>
      <c r="Z622"/>
    </row>
    <row r="623" spans="1:26" s="106" customFormat="1" x14ac:dyDescent="0.25">
      <c r="A623" s="97" t="s">
        <v>13</v>
      </c>
      <c r="B623" s="97" t="s">
        <v>1601</v>
      </c>
      <c r="C623" s="78" t="s">
        <v>1892</v>
      </c>
      <c r="D623" s="81" t="str">
        <f>IF(MouserListTable[[#This Row],[Vendor]]=FilterSpecs!$A$8,MouserListTable[[#This Row],[Mouser SKU]], MouserListTable[[#This Row],[Supplier SKU]])</f>
        <v>474-TOL-09317</v>
      </c>
      <c r="E623" s="94">
        <f>MouserListTable[[#This Row],[Tot '#]]-MouserListTable[[#This Row],['# Initial]]</f>
        <v>0</v>
      </c>
      <c r="F623" s="94">
        <f>IF(AND(MouserListTable[[#This Row],[Tag]]&lt;&gt;FilterSpecs!$F$12, MouserListTable[[#This Row],[Tag]]&lt;&gt;FilterSpecs!$F$9), MouserListTable[[#This Row],['#/Unit]]*FilterSpecs!$B$3+MouserListTable[[#This Row],[Extra Initial]],0)</f>
        <v>0</v>
      </c>
      <c r="G623" s="78" t="s">
        <v>847</v>
      </c>
      <c r="H623" s="150" t="s">
        <v>848</v>
      </c>
      <c r="I623" s="78" t="s">
        <v>849</v>
      </c>
      <c r="J623" s="78">
        <v>1</v>
      </c>
      <c r="K623" s="117">
        <v>9.9499999999999993</v>
      </c>
      <c r="L623" s="78" t="s">
        <v>1900</v>
      </c>
      <c r="N623" s="154">
        <f>MouserListTable[[#This Row],['# Initial]]*MouserListTable[[#This Row],[Price (USD)]]</f>
        <v>0</v>
      </c>
      <c r="O623" s="81" t="s">
        <v>846</v>
      </c>
      <c r="P623" s="150">
        <f t="shared" si="10"/>
        <v>609</v>
      </c>
      <c r="Q623" s="78" t="s">
        <v>5</v>
      </c>
      <c r="R623"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474-TOL-09317</v>
      </c>
      <c r="S623" s="133" t="str">
        <f>HYPERLINK("https://www.mouser.com/ProductDetail/" &amp;MouserListTable[[#This Row],[Mouser SKU]])</f>
        <v>https://www.mouser.com/ProductDetail/474-TOL-09317</v>
      </c>
      <c r="T623" s="94">
        <v>0</v>
      </c>
      <c r="U623" s="94">
        <v>0</v>
      </c>
      <c r="V623" s="94">
        <v>0</v>
      </c>
      <c r="W623" s="94">
        <f>MouserListTable[[#This Row],['#/Unit]]*FilterSpecs!$C$3+MouserListTable[[#This Row],[Extra]]</f>
        <v>0</v>
      </c>
      <c r="X623" s="94">
        <f>IF(MouserListTable[[#This Row],[Tag]]=FilterSpecs!$F$7,MouserListTable[[#This Row],['#/Unit]]*MouserListTable[[#This Row],[Price (USD)]],0)</f>
        <v>0</v>
      </c>
      <c r="Y623" s="94">
        <f>MouserListTable[[#This Row],[Tot '#]]*MouserListTable[[#This Row],[Price (USD)]]</f>
        <v>0</v>
      </c>
      <c r="Z623"/>
    </row>
    <row r="624" spans="1:26" s="106" customFormat="1" x14ac:dyDescent="0.25">
      <c r="A624" s="78" t="s">
        <v>13</v>
      </c>
      <c r="B624" s="78" t="s">
        <v>1601</v>
      </c>
      <c r="C624" s="78" t="s">
        <v>1892</v>
      </c>
      <c r="D624" s="81" t="str">
        <f>IF(MouserListTable[[#This Row],[Vendor]]=FilterSpecs!$A$8,MouserListTable[[#This Row],[Mouser SKU]], MouserListTable[[#This Row],[Supplier SKU]])</f>
        <v>485-3019</v>
      </c>
      <c r="E624" s="94">
        <f>MouserListTable[[#This Row],[Tot '#]]-MouserListTable[[#This Row],['# Initial]]</f>
        <v>0</v>
      </c>
      <c r="F624" s="94">
        <f>IF(AND(MouserListTable[[#This Row],[Tag]]&lt;&gt;FilterSpecs!$F$12, MouserListTable[[#This Row],[Tag]]&lt;&gt;FilterSpecs!$F$9), MouserListTable[[#This Row],['#/Unit]]*FilterSpecs!$B$3+MouserListTable[[#This Row],[Extra Initial]],0)</f>
        <v>1</v>
      </c>
      <c r="G624" s="78"/>
      <c r="H624" s="150"/>
      <c r="I624" s="78" t="s">
        <v>2369</v>
      </c>
      <c r="K624" s="117">
        <v>68.69</v>
      </c>
      <c r="L624" s="78" t="s">
        <v>1900</v>
      </c>
      <c r="M624" s="81"/>
      <c r="N624" s="154">
        <f>MouserListTable[[#This Row],['# Initial]]*MouserListTable[[#This Row],[Price (USD)]]</f>
        <v>68.69</v>
      </c>
      <c r="O624" s="81" t="s">
        <v>2368</v>
      </c>
      <c r="P624" s="150">
        <f t="shared" si="10"/>
        <v>610</v>
      </c>
      <c r="Q624" s="78" t="s">
        <v>1884</v>
      </c>
      <c r="R624"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485-3019</v>
      </c>
      <c r="S624" s="133" t="str">
        <f>HYPERLINK("https://www.mouser.com/ProductDetail/" &amp;MouserListTable[[#This Row],[Mouser SKU]])</f>
        <v>https://www.mouser.com/ProductDetail/485-3019</v>
      </c>
      <c r="T624" s="94">
        <v>0</v>
      </c>
      <c r="U624" s="94">
        <v>1</v>
      </c>
      <c r="V624" s="94">
        <v>1</v>
      </c>
      <c r="W624" s="94">
        <f>MouserListTable[[#This Row],['#/Unit]]*FilterSpecs!$C$3+MouserListTable[[#This Row],[Extra]]</f>
        <v>1</v>
      </c>
      <c r="X624" s="94">
        <f>IF(MouserListTable[[#This Row],[Tag]]=FilterSpecs!$F$7,MouserListTable[[#This Row],['#/Unit]]*MouserListTable[[#This Row],[Price (USD)]],0)</f>
        <v>0</v>
      </c>
      <c r="Y624" s="94">
        <f>MouserListTable[[#This Row],[Tot '#]]*MouserListTable[[#This Row],[Price (USD)]]</f>
        <v>68.69</v>
      </c>
      <c r="Z624"/>
    </row>
    <row r="625" spans="1:26" s="106" customFormat="1" x14ac:dyDescent="0.25">
      <c r="A625" s="78" t="s">
        <v>13</v>
      </c>
      <c r="B625" s="78" t="s">
        <v>1601</v>
      </c>
      <c r="C625" s="78" t="s">
        <v>1892</v>
      </c>
      <c r="D625" s="81" t="str">
        <f>IF(MouserListTable[[#This Row],[Vendor]]=FilterSpecs!$A$8,MouserListTable[[#This Row],[Mouser SKU]], MouserListTable[[#This Row],[Supplier SKU]])</f>
        <v>474-TOL-09316</v>
      </c>
      <c r="E625" s="94">
        <f>MouserListTable[[#This Row],[Tot '#]]-MouserListTable[[#This Row],['# Initial]]</f>
        <v>0</v>
      </c>
      <c r="F625" s="94">
        <f>IF(AND(MouserListTable[[#This Row],[Tag]]&lt;&gt;FilterSpecs!$F$12, MouserListTable[[#This Row],[Tag]]&lt;&gt;FilterSpecs!$F$9), MouserListTable[[#This Row],['#/Unit]]*FilterSpecs!$B$3+MouserListTable[[#This Row],[Extra Initial]],0)</f>
        <v>1</v>
      </c>
      <c r="G625" s="78" t="s">
        <v>867</v>
      </c>
      <c r="H625" s="150" t="s">
        <v>868</v>
      </c>
      <c r="I625" s="78" t="s">
        <v>869</v>
      </c>
      <c r="J625" s="78">
        <v>1</v>
      </c>
      <c r="K625" s="117">
        <v>9.9499999999999993</v>
      </c>
      <c r="L625" s="78" t="s">
        <v>1900</v>
      </c>
      <c r="M625" s="81"/>
      <c r="N625" s="154">
        <f>MouserListTable[[#This Row],['# Initial]]*MouserListTable[[#This Row],[Price (USD)]]</f>
        <v>9.9499999999999993</v>
      </c>
      <c r="O625" s="81" t="s">
        <v>866</v>
      </c>
      <c r="P625" s="150">
        <f t="shared" si="10"/>
        <v>611</v>
      </c>
      <c r="Q625" s="78" t="s">
        <v>5</v>
      </c>
      <c r="R625"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474-TOL-09316</v>
      </c>
      <c r="S625" s="133" t="str">
        <f>HYPERLINK("https://www.mouser.com/ProductDetail/" &amp;MouserListTable[[#This Row],[Mouser SKU]])</f>
        <v>https://www.mouser.com/ProductDetail/474-TOL-09316</v>
      </c>
      <c r="T625" s="94">
        <v>0</v>
      </c>
      <c r="U625" s="94">
        <v>1</v>
      </c>
      <c r="V625" s="94">
        <v>1</v>
      </c>
      <c r="W625" s="94">
        <f>MouserListTable[[#This Row],['#/Unit]]*FilterSpecs!$C$3+MouserListTable[[#This Row],[Extra]]</f>
        <v>1</v>
      </c>
      <c r="X625" s="94">
        <f>IF(MouserListTable[[#This Row],[Tag]]=FilterSpecs!$F$7,MouserListTable[[#This Row],['#/Unit]]*MouserListTable[[#This Row],[Price (USD)]],0)</f>
        <v>0</v>
      </c>
      <c r="Y625" s="94">
        <f>MouserListTable[[#This Row],[Tot '#]]*MouserListTable[[#This Row],[Price (USD)]]</f>
        <v>9.9499999999999993</v>
      </c>
      <c r="Z625"/>
    </row>
    <row r="626" spans="1:26" s="106" customFormat="1" x14ac:dyDescent="0.25">
      <c r="A626" s="78" t="s">
        <v>13</v>
      </c>
      <c r="B626" s="78" t="s">
        <v>1601</v>
      </c>
      <c r="C626" s="78" t="s">
        <v>1892</v>
      </c>
      <c r="D626" s="81" t="str">
        <f>IF(MouserListTable[[#This Row],[Vendor]]=FilterSpecs!$A$8,MouserListTable[[#This Row],[Mouser SKU]], MouserListTable[[#This Row],[Supplier SKU]])</f>
        <v>474-COM-09906</v>
      </c>
      <c r="E626" s="94">
        <f>MouserListTable[[#This Row],[Tot '#]]-MouserListTable[[#This Row],['# Initial]]</f>
        <v>1</v>
      </c>
      <c r="F626" s="94">
        <f>IF(AND(MouserListTable[[#This Row],[Tag]]&lt;&gt;FilterSpecs!$F$12, MouserListTable[[#This Row],[Tag]]&lt;&gt;FilterSpecs!$F$9), MouserListTable[[#This Row],['#/Unit]]*FilterSpecs!$B$3+MouserListTable[[#This Row],[Extra Initial]],0)</f>
        <v>0</v>
      </c>
      <c r="G626" s="78" t="s">
        <v>123</v>
      </c>
      <c r="H626" s="150" t="s">
        <v>124</v>
      </c>
      <c r="I626" s="78" t="s">
        <v>125</v>
      </c>
      <c r="J626" s="78"/>
      <c r="K626" s="117">
        <v>14.95</v>
      </c>
      <c r="L626" s="78" t="s">
        <v>2461</v>
      </c>
      <c r="M626" s="81"/>
      <c r="N626" s="154">
        <f>MouserListTable[[#This Row],['# Initial]]*MouserListTable[[#This Row],[Price (USD)]]</f>
        <v>0</v>
      </c>
      <c r="O626" s="81" t="s">
        <v>122</v>
      </c>
      <c r="P626" s="150">
        <f t="shared" si="10"/>
        <v>612</v>
      </c>
      <c r="Q626" s="78" t="s">
        <v>5</v>
      </c>
      <c r="R626"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474-COM-09906</v>
      </c>
      <c r="S626" s="133" t="str">
        <f>HYPERLINK("https://www.mouser.com/ProductDetail/" &amp;MouserListTable[[#This Row],[Mouser SKU]])</f>
        <v>https://www.mouser.com/ProductDetail/474-COM-09906</v>
      </c>
      <c r="T626" s="94">
        <v>0</v>
      </c>
      <c r="U626" s="94">
        <v>1</v>
      </c>
      <c r="V626" s="94">
        <v>0</v>
      </c>
      <c r="W626" s="94">
        <f>MouserListTable[[#This Row],['#/Unit]]*FilterSpecs!$C$3+MouserListTable[[#This Row],[Extra]]</f>
        <v>1</v>
      </c>
      <c r="X626" s="94">
        <f>IF(MouserListTable[[#This Row],[Tag]]=FilterSpecs!$F$7,MouserListTable[[#This Row],['#/Unit]]*MouserListTable[[#This Row],[Price (USD)]],0)</f>
        <v>0</v>
      </c>
      <c r="Y626" s="94">
        <f>MouserListTable[[#This Row],[Tot '#]]*MouserListTable[[#This Row],[Price (USD)]]</f>
        <v>14.95</v>
      </c>
      <c r="Z626"/>
    </row>
    <row r="627" spans="1:26" s="106" customFormat="1" x14ac:dyDescent="0.25">
      <c r="A627" s="78" t="s">
        <v>13</v>
      </c>
      <c r="B627" s="78" t="s">
        <v>1601</v>
      </c>
      <c r="C627" s="78" t="s">
        <v>1892</v>
      </c>
      <c r="D627" s="81" t="str">
        <f>IF(MouserListTable[[#This Row],[Vendor]]=FilterSpecs!$A$8,MouserListTable[[#This Row],[Mouser SKU]], MouserListTable[[#This Row],[Supplier SKU]])</f>
        <v>474-COM-08674</v>
      </c>
      <c r="E627" s="94">
        <f>MouserListTable[[#This Row],[Tot '#]]-MouserListTable[[#This Row],['# Initial]]</f>
        <v>1</v>
      </c>
      <c r="F627" s="94">
        <f>IF(AND(MouserListTable[[#This Row],[Tag]]&lt;&gt;FilterSpecs!$F$12, MouserListTable[[#This Row],[Tag]]&lt;&gt;FilterSpecs!$F$9), MouserListTable[[#This Row],['#/Unit]]*FilterSpecs!$B$3+MouserListTable[[#This Row],[Extra Initial]],0)</f>
        <v>0</v>
      </c>
      <c r="G627" s="78" t="s">
        <v>127</v>
      </c>
      <c r="H627" s="150" t="s">
        <v>128</v>
      </c>
      <c r="I627" s="78" t="s">
        <v>129</v>
      </c>
      <c r="J627" s="78">
        <v>1</v>
      </c>
      <c r="K627" s="117">
        <v>0.1</v>
      </c>
      <c r="L627" s="78" t="s">
        <v>1896</v>
      </c>
      <c r="M627" s="81"/>
      <c r="N627" s="154">
        <f>MouserListTable[[#This Row],['# Initial]]*MouserListTable[[#This Row],[Price (USD)]]</f>
        <v>0</v>
      </c>
      <c r="O627" s="81" t="s">
        <v>126</v>
      </c>
      <c r="P627" s="150">
        <f t="shared" si="10"/>
        <v>613</v>
      </c>
      <c r="Q627" s="78" t="s">
        <v>5</v>
      </c>
      <c r="R627"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474-COM-08674</v>
      </c>
      <c r="S627" s="133" t="str">
        <f>HYPERLINK("https://www.mouser.com/ProductDetail/" &amp;MouserListTable[[#This Row],[Mouser SKU]])</f>
        <v>https://www.mouser.com/ProductDetail/474-COM-08674</v>
      </c>
      <c r="T627" s="94">
        <v>0</v>
      </c>
      <c r="U627" s="94">
        <v>1</v>
      </c>
      <c r="V627" s="94">
        <v>0</v>
      </c>
      <c r="W627" s="94">
        <f>MouserListTable[[#This Row],['#/Unit]]*FilterSpecs!$C$3+MouserListTable[[#This Row],[Extra]]</f>
        <v>1</v>
      </c>
      <c r="X627" s="94">
        <f>IF(MouserListTable[[#This Row],[Tag]]=FilterSpecs!$F$7,MouserListTable[[#This Row],['#/Unit]]*MouserListTable[[#This Row],[Price (USD)]],0)</f>
        <v>0</v>
      </c>
      <c r="Y627" s="94">
        <f>MouserListTable[[#This Row],[Tot '#]]*MouserListTable[[#This Row],[Price (USD)]]</f>
        <v>0.1</v>
      </c>
      <c r="Z627"/>
    </row>
    <row r="628" spans="1:26" s="106" customFormat="1" x14ac:dyDescent="0.25">
      <c r="A628" s="78" t="s">
        <v>13</v>
      </c>
      <c r="B628" s="78" t="s">
        <v>1599</v>
      </c>
      <c r="C628" s="78" t="s">
        <v>1892</v>
      </c>
      <c r="D628" s="81" t="str">
        <f>IF(MouserListTable[[#This Row],[Vendor]]=FilterSpecs!$A$8,MouserListTable[[#This Row],[Mouser SKU]], MouserListTable[[#This Row],[Supplier SKU]])</f>
        <v>474-TOL-12573</v>
      </c>
      <c r="E628" s="94">
        <f>MouserListTable[[#This Row],[Tot '#]]-MouserListTable[[#This Row],['# Initial]]</f>
        <v>0</v>
      </c>
      <c r="F628" s="94">
        <f>IF(AND(MouserListTable[[#This Row],[Tag]]&lt;&gt;FilterSpecs!$F$12, MouserListTable[[#This Row],[Tag]]&lt;&gt;FilterSpecs!$F$9), MouserListTable[[#This Row],['#/Unit]]*FilterSpecs!$B$3+MouserListTable[[#This Row],[Extra Initial]],0)</f>
        <v>0</v>
      </c>
      <c r="G628" s="78" t="s">
        <v>863</v>
      </c>
      <c r="H628" s="150" t="s">
        <v>864</v>
      </c>
      <c r="I628" s="78" t="s">
        <v>865</v>
      </c>
      <c r="J628" s="78">
        <v>1</v>
      </c>
      <c r="K628" s="117">
        <v>3.95</v>
      </c>
      <c r="L628" s="78" t="s">
        <v>1900</v>
      </c>
      <c r="M628" s="81"/>
      <c r="N628" s="154">
        <f>MouserListTable[[#This Row],['# Initial]]*MouserListTable[[#This Row],[Price (USD)]]</f>
        <v>0</v>
      </c>
      <c r="O628" s="81" t="s">
        <v>862</v>
      </c>
      <c r="P628" s="150">
        <f t="shared" si="10"/>
        <v>614</v>
      </c>
      <c r="Q628" s="78" t="s">
        <v>5</v>
      </c>
      <c r="R628"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474-TOL-12573</v>
      </c>
      <c r="S628" s="133" t="str">
        <f>HYPERLINK("https://www.mouser.com/ProductDetail/" &amp;MouserListTable[[#This Row],[Mouser SKU]])</f>
        <v>https://www.mouser.com/ProductDetail/474-TOL-12573</v>
      </c>
      <c r="T628" s="94">
        <v>0</v>
      </c>
      <c r="U628" s="94">
        <v>0</v>
      </c>
      <c r="V628" s="94">
        <v>0</v>
      </c>
      <c r="W628" s="94">
        <f>MouserListTable[[#This Row],['#/Unit]]*FilterSpecs!$C$3+MouserListTable[[#This Row],[Extra]]</f>
        <v>0</v>
      </c>
      <c r="X628" s="94">
        <f>IF(MouserListTable[[#This Row],[Tag]]=FilterSpecs!$F$7,MouserListTable[[#This Row],['#/Unit]]*MouserListTable[[#This Row],[Price (USD)]],0)</f>
        <v>0</v>
      </c>
      <c r="Y628" s="94">
        <f>MouserListTable[[#This Row],[Tot '#]]*MouserListTable[[#This Row],[Price (USD)]]</f>
        <v>0</v>
      </c>
      <c r="Z628"/>
    </row>
    <row r="629" spans="1:26" s="106" customFormat="1" x14ac:dyDescent="0.25">
      <c r="A629" s="78" t="s">
        <v>13</v>
      </c>
      <c r="B629" s="78" t="s">
        <v>1599</v>
      </c>
      <c r="C629" s="78" t="s">
        <v>1892</v>
      </c>
      <c r="D629" s="81" t="str">
        <f>IF(MouserListTable[[#This Row],[Vendor]]=FilterSpecs!$A$8,MouserListTable[[#This Row],[Mouser SKU]], MouserListTable[[#This Row],[Supplier SKU]])</f>
        <v>474-TOL-10602</v>
      </c>
      <c r="E629" s="94">
        <f>MouserListTable[[#This Row],[Tot '#]]-MouserListTable[[#This Row],['# Initial]]</f>
        <v>0</v>
      </c>
      <c r="F629" s="94">
        <f>IF(AND(MouserListTable[[#This Row],[Tag]]&lt;&gt;FilterSpecs!$F$12, MouserListTable[[#This Row],[Tag]]&lt;&gt;FilterSpecs!$F$9), MouserListTable[[#This Row],['#/Unit]]*FilterSpecs!$B$3+MouserListTable[[#This Row],[Extra Initial]],0)</f>
        <v>0</v>
      </c>
      <c r="G629" s="78" t="s">
        <v>855</v>
      </c>
      <c r="H629" s="150" t="s">
        <v>856</v>
      </c>
      <c r="I629" s="78" t="s">
        <v>857</v>
      </c>
      <c r="J629" s="78">
        <v>1</v>
      </c>
      <c r="K629" s="117">
        <v>3.95</v>
      </c>
      <c r="L629" s="78" t="s">
        <v>1900</v>
      </c>
      <c r="M629" s="81"/>
      <c r="N629" s="154">
        <f>MouserListTable[[#This Row],['# Initial]]*MouserListTable[[#This Row],[Price (USD)]]</f>
        <v>0</v>
      </c>
      <c r="O629" s="81" t="s">
        <v>854</v>
      </c>
      <c r="P629" s="150">
        <f t="shared" si="10"/>
        <v>615</v>
      </c>
      <c r="Q629" s="78" t="s">
        <v>5</v>
      </c>
      <c r="R629"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474-TOL-10602</v>
      </c>
      <c r="S629" s="133" t="str">
        <f>HYPERLINK("https://www.mouser.com/ProductDetail/" &amp;MouserListTable[[#This Row],[Mouser SKU]])</f>
        <v>https://www.mouser.com/ProductDetail/474-TOL-10602</v>
      </c>
      <c r="T629" s="94">
        <v>0</v>
      </c>
      <c r="U629" s="94">
        <v>0</v>
      </c>
      <c r="V629" s="94">
        <v>0</v>
      </c>
      <c r="W629" s="94">
        <f>MouserListTable[[#This Row],['#/Unit]]*FilterSpecs!$C$3+MouserListTable[[#This Row],[Extra]]</f>
        <v>0</v>
      </c>
      <c r="X629" s="94">
        <f>IF(MouserListTable[[#This Row],[Tag]]=FilterSpecs!$F$7,MouserListTable[[#This Row],['#/Unit]]*MouserListTable[[#This Row],[Price (USD)]],0)</f>
        <v>0</v>
      </c>
      <c r="Y629" s="94">
        <f>MouserListTable[[#This Row],[Tot '#]]*MouserListTable[[#This Row],[Price (USD)]]</f>
        <v>0</v>
      </c>
      <c r="Z629"/>
    </row>
    <row r="630" spans="1:26" s="106" customFormat="1" x14ac:dyDescent="0.25">
      <c r="A630" s="78" t="s">
        <v>13</v>
      </c>
      <c r="B630" s="78" t="s">
        <v>1599</v>
      </c>
      <c r="C630" s="78" t="s">
        <v>1892</v>
      </c>
      <c r="D630" s="81" t="str">
        <f>IF(MouserListTable[[#This Row],[Vendor]]=FilterSpecs!$A$8,MouserListTable[[#This Row],[Mouser SKU]], MouserListTable[[#This Row],[Supplier SKU]])</f>
        <v>474-TOL-12572</v>
      </c>
      <c r="E630" s="94">
        <f>MouserListTable[[#This Row],[Tot '#]]-MouserListTable[[#This Row],['# Initial]]</f>
        <v>0</v>
      </c>
      <c r="F630" s="94">
        <f>IF(AND(MouserListTable[[#This Row],[Tag]]&lt;&gt;FilterSpecs!$F$12, MouserListTable[[#This Row],[Tag]]&lt;&gt;FilterSpecs!$F$9), MouserListTable[[#This Row],['#/Unit]]*FilterSpecs!$B$3+MouserListTable[[#This Row],[Extra Initial]],0)</f>
        <v>0</v>
      </c>
      <c r="G630" s="78" t="s">
        <v>839</v>
      </c>
      <c r="H630" s="150" t="s">
        <v>840</v>
      </c>
      <c r="I630" s="78" t="s">
        <v>841</v>
      </c>
      <c r="J630" s="78">
        <v>1</v>
      </c>
      <c r="K630" s="117">
        <v>3.95</v>
      </c>
      <c r="L630" s="78" t="s">
        <v>1900</v>
      </c>
      <c r="M630" s="81"/>
      <c r="N630" s="154">
        <f>MouserListTable[[#This Row],['# Initial]]*MouserListTable[[#This Row],[Price (USD)]]</f>
        <v>0</v>
      </c>
      <c r="O630" s="81" t="s">
        <v>838</v>
      </c>
      <c r="P630" s="150">
        <f t="shared" si="10"/>
        <v>616</v>
      </c>
      <c r="Q630" s="78" t="s">
        <v>5</v>
      </c>
      <c r="R630"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474-TOL-12572</v>
      </c>
      <c r="S630" s="133" t="str">
        <f>HYPERLINK("https://www.mouser.com/ProductDetail/" &amp;MouserListTable[[#This Row],[Mouser SKU]])</f>
        <v>https://www.mouser.com/ProductDetail/474-TOL-12572</v>
      </c>
      <c r="T630" s="94">
        <v>0</v>
      </c>
      <c r="U630" s="94">
        <v>0</v>
      </c>
      <c r="V630" s="94">
        <v>0</v>
      </c>
      <c r="W630" s="94">
        <f>MouserListTable[[#This Row],['#/Unit]]*FilterSpecs!$C$3+MouserListTable[[#This Row],[Extra]]</f>
        <v>0</v>
      </c>
      <c r="X630" s="94">
        <f>IF(MouserListTable[[#This Row],[Tag]]=FilterSpecs!$F$7,MouserListTable[[#This Row],['#/Unit]]*MouserListTable[[#This Row],[Price (USD)]],0)</f>
        <v>0</v>
      </c>
      <c r="Y630" s="94">
        <f>MouserListTable[[#This Row],[Tot '#]]*MouserListTable[[#This Row],[Price (USD)]]</f>
        <v>0</v>
      </c>
      <c r="Z630"/>
    </row>
    <row r="631" spans="1:26" s="106" customFormat="1" x14ac:dyDescent="0.25">
      <c r="A631" s="78" t="s">
        <v>13</v>
      </c>
      <c r="B631" s="78" t="s">
        <v>1599</v>
      </c>
      <c r="C631" s="78" t="s">
        <v>1892</v>
      </c>
      <c r="D631" s="81" t="str">
        <f>IF(MouserListTable[[#This Row],[Vendor]]=FilterSpecs!$A$8,MouserListTable[[#This Row],[Mouser SKU]], MouserListTable[[#This Row],[Supplier SKU]])</f>
        <v>474-TOL-08793</v>
      </c>
      <c r="E631" s="94">
        <f>MouserListTable[[#This Row],[Tot '#]]-MouserListTable[[#This Row],['# Initial]]</f>
        <v>1</v>
      </c>
      <c r="F631" s="94">
        <f>IF(AND(MouserListTable[[#This Row],[Tag]]&lt;&gt;FilterSpecs!$F$12, MouserListTable[[#This Row],[Tag]]&lt;&gt;FilterSpecs!$F$9), MouserListTable[[#This Row],['#/Unit]]*FilterSpecs!$B$3+MouserListTable[[#This Row],[Extra Initial]],0)</f>
        <v>0</v>
      </c>
      <c r="G631" s="78" t="s">
        <v>1633</v>
      </c>
      <c r="H631" s="150" t="s">
        <v>1634</v>
      </c>
      <c r="I631" s="78" t="s">
        <v>1635</v>
      </c>
      <c r="J631" s="78">
        <v>1</v>
      </c>
      <c r="K631" s="117">
        <v>1.95</v>
      </c>
      <c r="L631" s="78" t="s">
        <v>1900</v>
      </c>
      <c r="M631" s="81"/>
      <c r="N631" s="154">
        <f>MouserListTable[[#This Row],['# Initial]]*MouserListTable[[#This Row],[Price (USD)]]</f>
        <v>0</v>
      </c>
      <c r="O631" s="81" t="s">
        <v>1632</v>
      </c>
      <c r="P631" s="150">
        <f t="shared" si="10"/>
        <v>617</v>
      </c>
      <c r="Q631" s="78" t="s">
        <v>5</v>
      </c>
      <c r="R631"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474-TOL-08793</v>
      </c>
      <c r="S631" s="133" t="str">
        <f>HYPERLINK("https://www.mouser.com/ProductDetail/" &amp;MouserListTable[[#This Row],[Mouser SKU]])</f>
        <v>https://www.mouser.com/ProductDetail/474-TOL-08793</v>
      </c>
      <c r="T631" s="94">
        <v>0</v>
      </c>
      <c r="U631" s="94">
        <v>1</v>
      </c>
      <c r="V631" s="94">
        <v>0</v>
      </c>
      <c r="W631" s="94">
        <f>MouserListTable[[#This Row],['#/Unit]]*FilterSpecs!$C$3+MouserListTable[[#This Row],[Extra]]</f>
        <v>1</v>
      </c>
      <c r="X631" s="94">
        <f>IF(MouserListTable[[#This Row],[Tag]]=FilterSpecs!$F$7,MouserListTable[[#This Row],['#/Unit]]*MouserListTable[[#This Row],[Price (USD)]],0)</f>
        <v>0</v>
      </c>
      <c r="Y631" s="94">
        <f>MouserListTable[[#This Row],[Tot '#]]*MouserListTable[[#This Row],[Price (USD)]]</f>
        <v>1.95</v>
      </c>
      <c r="Z631"/>
    </row>
    <row r="632" spans="1:26" s="106" customFormat="1" x14ac:dyDescent="0.25">
      <c r="A632" s="98" t="s">
        <v>13</v>
      </c>
      <c r="B632" s="98" t="s">
        <v>1599</v>
      </c>
      <c r="C632" s="78" t="s">
        <v>1892</v>
      </c>
      <c r="D632" s="81" t="str">
        <f>IF(MouserListTable[[#This Row],[Vendor]]=FilterSpecs!$A$8,MouserListTable[[#This Row],[Mouser SKU]], MouserListTable[[#This Row],[Supplier SKU]])</f>
        <v>485-1368</v>
      </c>
      <c r="E632" s="94">
        <f>MouserListTable[[#This Row],[Tot '#]]-MouserListTable[[#This Row],['# Initial]]</f>
        <v>0</v>
      </c>
      <c r="F632" s="94">
        <f>IF(AND(MouserListTable[[#This Row],[Tag]]&lt;&gt;FilterSpecs!$F$12, MouserListTable[[#This Row],[Tag]]&lt;&gt;FilterSpecs!$F$9), MouserListTable[[#This Row],['#/Unit]]*FilterSpecs!$B$3+MouserListTable[[#This Row],[Extra Initial]],0)</f>
        <v>0</v>
      </c>
      <c r="H632" s="150"/>
      <c r="I632" s="98" t="s">
        <v>2448</v>
      </c>
      <c r="J632" s="113">
        <v>113</v>
      </c>
      <c r="K632" s="119">
        <v>11.95</v>
      </c>
      <c r="L632" s="97" t="s">
        <v>1896</v>
      </c>
      <c r="N632" s="154">
        <f>MouserListTable[[#This Row],['# Initial]]*MouserListTable[[#This Row],[Price (USD)]]</f>
        <v>0</v>
      </c>
      <c r="O632" s="113" t="s">
        <v>2449</v>
      </c>
      <c r="P632" s="150">
        <f t="shared" si="10"/>
        <v>618</v>
      </c>
      <c r="Q632" s="78" t="s">
        <v>1884</v>
      </c>
      <c r="R632"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485-1368</v>
      </c>
      <c r="S632" s="133" t="str">
        <f>HYPERLINK("https://www.mouser.com/ProductDetail/" &amp;MouserListTable[[#This Row],[Mouser SKU]])</f>
        <v>https://www.mouser.com/ProductDetail/485-1368</v>
      </c>
      <c r="T632" s="94">
        <v>0</v>
      </c>
      <c r="U632" s="94">
        <v>0</v>
      </c>
      <c r="V632" s="94">
        <v>0</v>
      </c>
      <c r="W632" s="94">
        <f>MouserListTable[[#This Row],['#/Unit]]*FilterSpecs!$C$3+MouserListTable[[#This Row],[Extra]]</f>
        <v>0</v>
      </c>
      <c r="X632" s="94">
        <f>IF(MouserListTable[[#This Row],[Tag]]=FilterSpecs!$F$7,MouserListTable[[#This Row],['#/Unit]]*MouserListTable[[#This Row],[Price (USD)]],0)</f>
        <v>0</v>
      </c>
      <c r="Y632" s="94">
        <f>MouserListTable[[#This Row],[Tot '#]]*MouserListTable[[#This Row],[Price (USD)]]</f>
        <v>0</v>
      </c>
      <c r="Z632"/>
    </row>
    <row r="633" spans="1:26" s="106" customFormat="1" x14ac:dyDescent="0.25">
      <c r="A633" s="98" t="s">
        <v>13</v>
      </c>
      <c r="B633" s="98" t="s">
        <v>1599</v>
      </c>
      <c r="C633" s="78" t="s">
        <v>1892</v>
      </c>
      <c r="D633" s="81" t="str">
        <f>IF(MouserListTable[[#This Row],[Vendor]]=FilterSpecs!$A$8,MouserListTable[[#This Row],[Mouser SKU]], MouserListTable[[#This Row],[Supplier SKU]])</f>
        <v>485-1598</v>
      </c>
      <c r="E633" s="94">
        <f>MouserListTable[[#This Row],[Tot '#]]-MouserListTable[[#This Row],['# Initial]]</f>
        <v>0</v>
      </c>
      <c r="F633" s="94">
        <f>IF(AND(MouserListTable[[#This Row],[Tag]]&lt;&gt;FilterSpecs!$F$12, MouserListTable[[#This Row],[Tag]]&lt;&gt;FilterSpecs!$F$9), MouserListTable[[#This Row],['#/Unit]]*FilterSpecs!$B$3+MouserListTable[[#This Row],[Extra Initial]],0)</f>
        <v>0</v>
      </c>
      <c r="H633" s="150"/>
      <c r="I633" s="98" t="s">
        <v>2446</v>
      </c>
      <c r="J633" s="113">
        <v>112</v>
      </c>
      <c r="K633" s="119">
        <v>14.95</v>
      </c>
      <c r="L633" s="97" t="s">
        <v>1896</v>
      </c>
      <c r="N633" s="154">
        <f>MouserListTable[[#This Row],['# Initial]]*MouserListTable[[#This Row],[Price (USD)]]</f>
        <v>0</v>
      </c>
      <c r="O633" s="113" t="s">
        <v>2447</v>
      </c>
      <c r="P633" s="150">
        <f t="shared" si="10"/>
        <v>619</v>
      </c>
      <c r="Q633" s="78" t="s">
        <v>1884</v>
      </c>
      <c r="R633"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485-1598</v>
      </c>
      <c r="S633" s="133" t="str">
        <f>HYPERLINK("https://www.mouser.com/ProductDetail/" &amp;MouserListTable[[#This Row],[Mouser SKU]])</f>
        <v>https://www.mouser.com/ProductDetail/485-1598</v>
      </c>
      <c r="T633" s="94">
        <v>0</v>
      </c>
      <c r="U633" s="94">
        <v>0</v>
      </c>
      <c r="V633" s="94">
        <v>0</v>
      </c>
      <c r="W633" s="94">
        <f>MouserListTable[[#This Row],['#/Unit]]*FilterSpecs!$C$3+MouserListTable[[#This Row],[Extra]]</f>
        <v>0</v>
      </c>
      <c r="X633" s="94">
        <f>IF(MouserListTable[[#This Row],[Tag]]=FilterSpecs!$F$7,MouserListTable[[#This Row],['#/Unit]]*MouserListTable[[#This Row],[Price (USD)]],0)</f>
        <v>0</v>
      </c>
      <c r="Y633" s="94">
        <f>MouserListTable[[#This Row],[Tot '#]]*MouserListTable[[#This Row],[Price (USD)]]</f>
        <v>0</v>
      </c>
      <c r="Z633"/>
    </row>
    <row r="634" spans="1:26" s="106" customFormat="1" x14ac:dyDescent="0.25">
      <c r="A634" s="78" t="s">
        <v>13</v>
      </c>
      <c r="B634" s="78" t="s">
        <v>1599</v>
      </c>
      <c r="C634" s="78" t="s">
        <v>1892</v>
      </c>
      <c r="D634" s="81" t="str">
        <f>IF(MouserListTable[[#This Row],[Vendor]]=FilterSpecs!$A$8,MouserListTable[[#This Row],[Mouser SKU]], MouserListTable[[#This Row],[Supplier SKU]])</f>
        <v>474-TOL-12630</v>
      </c>
      <c r="E634" s="94">
        <f>MouserListTable[[#This Row],[Tot '#]]-MouserListTable[[#This Row],['# Initial]]</f>
        <v>1</v>
      </c>
      <c r="F634" s="94">
        <f>IF(AND(MouserListTable[[#This Row],[Tag]]&lt;&gt;FilterSpecs!$F$12, MouserListTable[[#This Row],[Tag]]&lt;&gt;FilterSpecs!$F$9), MouserListTable[[#This Row],['#/Unit]]*FilterSpecs!$B$3+MouserListTable[[#This Row],[Extra Initial]],0)</f>
        <v>0</v>
      </c>
      <c r="G634" s="78" t="s">
        <v>2420</v>
      </c>
      <c r="H634" s="150" t="s">
        <v>2421</v>
      </c>
      <c r="I634" s="78" t="s">
        <v>2422</v>
      </c>
      <c r="J634" s="78">
        <v>1</v>
      </c>
      <c r="K634" s="117">
        <v>9.9499999999999993</v>
      </c>
      <c r="L634" s="78" t="s">
        <v>1900</v>
      </c>
      <c r="M634" s="78"/>
      <c r="N634" s="154">
        <f>MouserListTable[[#This Row],['# Initial]]*MouserListTable[[#This Row],[Price (USD)]]</f>
        <v>0</v>
      </c>
      <c r="O634" s="81" t="s">
        <v>2419</v>
      </c>
      <c r="P634" s="150">
        <f t="shared" si="10"/>
        <v>620</v>
      </c>
      <c r="Q634" s="78" t="s">
        <v>5</v>
      </c>
      <c r="R634"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474-TOL-12630</v>
      </c>
      <c r="S634" s="133" t="str">
        <f>HYPERLINK("https://www.mouser.com/ProductDetail/" &amp;MouserListTable[[#This Row],[Mouser SKU]])</f>
        <v>https://www.mouser.com/ProductDetail/474-TOL-12630</v>
      </c>
      <c r="T634" s="94">
        <v>0</v>
      </c>
      <c r="U634" s="94">
        <v>1</v>
      </c>
      <c r="V634" s="94">
        <v>0</v>
      </c>
      <c r="W634" s="94">
        <f>MouserListTable[[#This Row],['#/Unit]]*FilterSpecs!$C$3+MouserListTable[[#This Row],[Extra]]</f>
        <v>1</v>
      </c>
      <c r="X634" s="94">
        <f>IF(MouserListTable[[#This Row],[Tag]]=FilterSpecs!$F$7,MouserListTable[[#This Row],['#/Unit]]*MouserListTable[[#This Row],[Price (USD)]],0)</f>
        <v>0</v>
      </c>
      <c r="Y634" s="94">
        <f>MouserListTable[[#This Row],[Tot '#]]*MouserListTable[[#This Row],[Price (USD)]]</f>
        <v>9.9499999999999993</v>
      </c>
      <c r="Z634"/>
    </row>
    <row r="635" spans="1:26" s="106" customFormat="1" x14ac:dyDescent="0.25">
      <c r="A635" s="98" t="s">
        <v>13</v>
      </c>
      <c r="B635" s="98" t="s">
        <v>1599</v>
      </c>
      <c r="C635" s="78" t="s">
        <v>1892</v>
      </c>
      <c r="D635" s="81" t="str">
        <f>IF(MouserListTable[[#This Row],[Vendor]]=FilterSpecs!$A$8,MouserListTable[[#This Row],[Mouser SKU]], MouserListTable[[#This Row],[Supplier SKU]])</f>
        <v>485-527</v>
      </c>
      <c r="E635" s="94">
        <f>MouserListTable[[#This Row],[Tot '#]]-MouserListTable[[#This Row],['# Initial]]</f>
        <v>0</v>
      </c>
      <c r="F635" s="94">
        <f>IF(AND(MouserListTable[[#This Row],[Tag]]&lt;&gt;FilterSpecs!$F$12, MouserListTable[[#This Row],[Tag]]&lt;&gt;FilterSpecs!$F$9), MouserListTable[[#This Row],['#/Unit]]*FilterSpecs!$B$3+MouserListTable[[#This Row],[Extra Initial]],0)</f>
        <v>0</v>
      </c>
      <c r="H635" s="150"/>
      <c r="I635" s="98" t="s">
        <v>2444</v>
      </c>
      <c r="J635" s="113">
        <v>111</v>
      </c>
      <c r="K635" s="119">
        <v>14.95</v>
      </c>
      <c r="L635" s="97" t="s">
        <v>1896</v>
      </c>
      <c r="N635" s="154">
        <f>MouserListTable[[#This Row],['# Initial]]*MouserListTable[[#This Row],[Price (USD)]]</f>
        <v>0</v>
      </c>
      <c r="O635" s="113" t="s">
        <v>2445</v>
      </c>
      <c r="P635" s="150">
        <f t="shared" si="10"/>
        <v>621</v>
      </c>
      <c r="Q635" s="78" t="s">
        <v>1884</v>
      </c>
      <c r="R635"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485-527</v>
      </c>
      <c r="S635" s="133" t="str">
        <f>HYPERLINK("https://www.mouser.com/ProductDetail/" &amp;MouserListTable[[#This Row],[Mouser SKU]])</f>
        <v>https://www.mouser.com/ProductDetail/485-527</v>
      </c>
      <c r="T635" s="94">
        <v>0</v>
      </c>
      <c r="U635" s="94">
        <v>0</v>
      </c>
      <c r="V635" s="94">
        <v>0</v>
      </c>
      <c r="W635" s="94">
        <f>MouserListTable[[#This Row],['#/Unit]]*FilterSpecs!$C$3+MouserListTable[[#This Row],[Extra]]</f>
        <v>0</v>
      </c>
      <c r="X635" s="94">
        <f>IF(MouserListTable[[#This Row],[Tag]]=FilterSpecs!$F$7,MouserListTable[[#This Row],['#/Unit]]*MouserListTable[[#This Row],[Price (USD)]],0)</f>
        <v>0</v>
      </c>
      <c r="Y635" s="94">
        <f>MouserListTable[[#This Row],[Tot '#]]*MouserListTable[[#This Row],[Price (USD)]]</f>
        <v>0</v>
      </c>
      <c r="Z635"/>
    </row>
    <row r="636" spans="1:26" s="106" customFormat="1" x14ac:dyDescent="0.25">
      <c r="A636" s="78" t="s">
        <v>13</v>
      </c>
      <c r="B636" s="78" t="s">
        <v>1599</v>
      </c>
      <c r="C636" s="78" t="s">
        <v>1892</v>
      </c>
      <c r="D636" s="81" t="str">
        <f>IF(MouserListTable[[#This Row],[Vendor]]=FilterSpecs!$A$8,MouserListTable[[#This Row],[Mouser SKU]], MouserListTable[[#This Row],[Supplier SKU]])</f>
        <v>474-TOL-08794</v>
      </c>
      <c r="E636" s="94">
        <f>MouserListTable[[#This Row],[Tot '#]]-MouserListTable[[#This Row],['# Initial]]</f>
        <v>1</v>
      </c>
      <c r="F636" s="94">
        <f>IF(AND(MouserListTable[[#This Row],[Tag]]&lt;&gt;FilterSpecs!$F$12, MouserListTable[[#This Row],[Tag]]&lt;&gt;FilterSpecs!$F$9), MouserListTable[[#This Row],['#/Unit]]*FilterSpecs!$B$3+MouserListTable[[#This Row],[Extra Initial]],0)</f>
        <v>0</v>
      </c>
      <c r="G636" s="78" t="s">
        <v>835</v>
      </c>
      <c r="H636" s="150" t="s">
        <v>836</v>
      </c>
      <c r="I636" s="78" t="s">
        <v>837</v>
      </c>
      <c r="J636" s="78">
        <v>1</v>
      </c>
      <c r="K636" s="117">
        <v>1.95</v>
      </c>
      <c r="L636" s="78" t="s">
        <v>1900</v>
      </c>
      <c r="M636" s="78"/>
      <c r="N636" s="154">
        <f>MouserListTable[[#This Row],['# Initial]]*MouserListTable[[#This Row],[Price (USD)]]</f>
        <v>0</v>
      </c>
      <c r="O636" s="81" t="s">
        <v>834</v>
      </c>
      <c r="P636" s="150">
        <f t="shared" si="10"/>
        <v>622</v>
      </c>
      <c r="Q636" s="78" t="s">
        <v>5</v>
      </c>
      <c r="R636"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474-TOL-08794</v>
      </c>
      <c r="S636" s="133" t="str">
        <f>HYPERLINK("https://www.mouser.com/ProductDetail/" &amp;MouserListTable[[#This Row],[Mouser SKU]])</f>
        <v>https://www.mouser.com/ProductDetail/474-TOL-08794</v>
      </c>
      <c r="T636" s="94">
        <v>0</v>
      </c>
      <c r="U636" s="94">
        <v>1</v>
      </c>
      <c r="V636" s="94">
        <v>0</v>
      </c>
      <c r="W636" s="94">
        <f>MouserListTable[[#This Row],['#/Unit]]*FilterSpecs!$C$3+MouserListTable[[#This Row],[Extra]]</f>
        <v>1</v>
      </c>
      <c r="X636" s="94">
        <f>IF(MouserListTable[[#This Row],[Tag]]=FilterSpecs!$F$7,MouserListTable[[#This Row],['#/Unit]]*MouserListTable[[#This Row],[Price (USD)]],0)</f>
        <v>0</v>
      </c>
      <c r="Y636" s="94">
        <f>MouserListTable[[#This Row],[Tot '#]]*MouserListTable[[#This Row],[Price (USD)]]</f>
        <v>1.95</v>
      </c>
      <c r="Z636"/>
    </row>
    <row r="637" spans="1:26" s="106" customFormat="1" x14ac:dyDescent="0.25">
      <c r="A637" s="97" t="s">
        <v>13</v>
      </c>
      <c r="B637" s="97" t="s">
        <v>1599</v>
      </c>
      <c r="C637" s="78" t="s">
        <v>1892</v>
      </c>
      <c r="D637" s="81" t="str">
        <f>IF(MouserListTable[[#This Row],[Vendor]]=FilterSpecs!$A$8,MouserListTable[[#This Row],[Mouser SKU]], MouserListTable[[#This Row],[Supplier SKU]])</f>
        <v>474-TOL-11952</v>
      </c>
      <c r="E637" s="94">
        <f>MouserListTable[[#This Row],[Tot '#]]-MouserListTable[[#This Row],['# Initial]]</f>
        <v>0</v>
      </c>
      <c r="F637" s="94">
        <f>IF(AND(MouserListTable[[#This Row],[Tag]]&lt;&gt;FilterSpecs!$F$12, MouserListTable[[#This Row],[Tag]]&lt;&gt;FilterSpecs!$F$9), MouserListTable[[#This Row],['#/Unit]]*FilterSpecs!$B$3+MouserListTable[[#This Row],[Extra Initial]],0)</f>
        <v>0</v>
      </c>
      <c r="G637" s="78" t="s">
        <v>871</v>
      </c>
      <c r="H637" s="150" t="s">
        <v>872</v>
      </c>
      <c r="I637" s="78" t="s">
        <v>873</v>
      </c>
      <c r="J637" s="78">
        <v>1</v>
      </c>
      <c r="K637" s="117">
        <v>6.95</v>
      </c>
      <c r="L637" s="78" t="s">
        <v>1900</v>
      </c>
      <c r="M637" s="78" t="s">
        <v>1197</v>
      </c>
      <c r="N637" s="154">
        <f>MouserListTable[[#This Row],['# Initial]]*MouserListTable[[#This Row],[Price (USD)]]</f>
        <v>0</v>
      </c>
      <c r="O637" s="81" t="s">
        <v>870</v>
      </c>
      <c r="P637" s="150">
        <f t="shared" si="10"/>
        <v>623</v>
      </c>
      <c r="Q637" s="78" t="s">
        <v>5</v>
      </c>
      <c r="R637"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474-TOL-11952</v>
      </c>
      <c r="S637" s="133" t="str">
        <f>HYPERLINK("https://www.mouser.com/ProductDetail/" &amp;MouserListTable[[#This Row],[Mouser SKU]])</f>
        <v>https://www.mouser.com/ProductDetail/474-TOL-11952</v>
      </c>
      <c r="T637" s="94">
        <v>0</v>
      </c>
      <c r="U637" s="94">
        <v>0</v>
      </c>
      <c r="V637" s="94">
        <v>0</v>
      </c>
      <c r="W637" s="94">
        <f>MouserListTable[[#This Row],['#/Unit]]*FilterSpecs!$C$3+MouserListTable[[#This Row],[Extra]]</f>
        <v>0</v>
      </c>
      <c r="X637" s="94">
        <f>IF(MouserListTable[[#This Row],[Tag]]=FilterSpecs!$F$7,MouserListTable[[#This Row],['#/Unit]]*MouserListTable[[#This Row],[Price (USD)]],0)</f>
        <v>0</v>
      </c>
      <c r="Y637" s="94">
        <f>MouserListTable[[#This Row],[Tot '#]]*MouserListTable[[#This Row],[Price (USD)]]</f>
        <v>0</v>
      </c>
      <c r="Z637"/>
    </row>
    <row r="638" spans="1:26" s="106" customFormat="1" x14ac:dyDescent="0.25">
      <c r="A638" s="78" t="s">
        <v>13</v>
      </c>
      <c r="B638" s="78" t="s">
        <v>1599</v>
      </c>
      <c r="C638" s="78" t="s">
        <v>1892</v>
      </c>
      <c r="D638" s="81" t="str">
        <f>IF(MouserListTable[[#This Row],[Vendor]]=FilterSpecs!$A$8,MouserListTable[[#This Row],[Mouser SKU]], MouserListTable[[#This Row],[Supplier SKU]])</f>
        <v>474-TOL-09200</v>
      </c>
      <c r="E638" s="94">
        <f>MouserListTable[[#This Row],[Tot '#]]-MouserListTable[[#This Row],['# Initial]]</f>
        <v>0</v>
      </c>
      <c r="F638" s="94">
        <f>IF(AND(MouserListTable[[#This Row],[Tag]]&lt;&gt;FilterSpecs!$F$12, MouserListTable[[#This Row],[Tag]]&lt;&gt;FilterSpecs!$F$9), MouserListTable[[#This Row],['#/Unit]]*FilterSpecs!$B$3+MouserListTable[[#This Row],[Extra Initial]],0)</f>
        <v>1</v>
      </c>
      <c r="G638" s="78" t="s">
        <v>859</v>
      </c>
      <c r="H638" s="150" t="s">
        <v>860</v>
      </c>
      <c r="I638" s="78" t="s">
        <v>861</v>
      </c>
      <c r="J638" s="78">
        <v>1</v>
      </c>
      <c r="K638" s="117">
        <v>2.95</v>
      </c>
      <c r="L638" s="78" t="s">
        <v>1900</v>
      </c>
      <c r="M638" s="81"/>
      <c r="N638" s="154">
        <f>MouserListTable[[#This Row],['# Initial]]*MouserListTable[[#This Row],[Price (USD)]]</f>
        <v>2.95</v>
      </c>
      <c r="O638" s="81" t="s">
        <v>858</v>
      </c>
      <c r="P638" s="150">
        <f t="shared" si="10"/>
        <v>624</v>
      </c>
      <c r="Q638" s="78" t="s">
        <v>5</v>
      </c>
      <c r="R638"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474-TOL-09200</v>
      </c>
      <c r="S638" s="133" t="str">
        <f>HYPERLINK("https://www.mouser.com/ProductDetail/" &amp;MouserListTable[[#This Row],[Mouser SKU]])</f>
        <v>https://www.mouser.com/ProductDetail/474-TOL-09200</v>
      </c>
      <c r="T638" s="94">
        <v>0</v>
      </c>
      <c r="U638" s="94">
        <v>1</v>
      </c>
      <c r="V638" s="94">
        <v>1</v>
      </c>
      <c r="W638" s="94">
        <f>MouserListTable[[#This Row],['#/Unit]]*FilterSpecs!$C$3+MouserListTable[[#This Row],[Extra]]</f>
        <v>1</v>
      </c>
      <c r="X638" s="94">
        <f>IF(MouserListTable[[#This Row],[Tag]]=FilterSpecs!$F$7,MouserListTable[[#This Row],['#/Unit]]*MouserListTable[[#This Row],[Price (USD)]],0)</f>
        <v>0</v>
      </c>
      <c r="Y638" s="94">
        <f>MouserListTable[[#This Row],[Tot '#]]*MouserListTable[[#This Row],[Price (USD)]]</f>
        <v>2.95</v>
      </c>
      <c r="Z638"/>
    </row>
    <row r="639" spans="1:26" s="106" customFormat="1" x14ac:dyDescent="0.25">
      <c r="A639" s="78" t="s">
        <v>13</v>
      </c>
      <c r="B639" s="78" t="s">
        <v>1599</v>
      </c>
      <c r="C639" s="78" t="s">
        <v>1892</v>
      </c>
      <c r="D639" s="81" t="str">
        <f>IF(MouserListTable[[#This Row],[Vendor]]=FilterSpecs!$A$8,MouserListTable[[#This Row],[Mouser SKU]], MouserListTable[[#This Row],[Supplier SKU]])</f>
        <v>474-TOL-10325</v>
      </c>
      <c r="E639" s="94">
        <f>MouserListTable[[#This Row],[Tot '#]]-MouserListTable[[#This Row],['# Initial]]</f>
        <v>0</v>
      </c>
      <c r="F639" s="94">
        <f>IF(AND(MouserListTable[[#This Row],[Tag]]&lt;&gt;FilterSpecs!$F$12, MouserListTable[[#This Row],[Tag]]&lt;&gt;FilterSpecs!$F$9), MouserListTable[[#This Row],['#/Unit]]*FilterSpecs!$B$3+MouserListTable[[#This Row],[Extra Initial]],0)</f>
        <v>1</v>
      </c>
      <c r="G639" s="78" t="s">
        <v>1165</v>
      </c>
      <c r="H639" s="150" t="s">
        <v>1166</v>
      </c>
      <c r="I639" s="78" t="s">
        <v>1167</v>
      </c>
      <c r="J639" s="78"/>
      <c r="K639" s="117">
        <v>1.95</v>
      </c>
      <c r="L639" s="78" t="s">
        <v>1900</v>
      </c>
      <c r="M639" s="81"/>
      <c r="N639" s="154">
        <f>MouserListTable[[#This Row],['# Initial]]*MouserListTable[[#This Row],[Price (USD)]]</f>
        <v>1.95</v>
      </c>
      <c r="O639" s="81" t="s">
        <v>1164</v>
      </c>
      <c r="P639" s="150">
        <f t="shared" si="10"/>
        <v>625</v>
      </c>
      <c r="Q639" s="78" t="s">
        <v>5</v>
      </c>
      <c r="R639"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474-TOL-10325</v>
      </c>
      <c r="S639" s="133" t="str">
        <f>HYPERLINK("https://www.mouser.com/ProductDetail/" &amp;MouserListTable[[#This Row],[Mouser SKU]])</f>
        <v>https://www.mouser.com/ProductDetail/474-TOL-10325</v>
      </c>
      <c r="T639" s="94">
        <v>0</v>
      </c>
      <c r="U639" s="94">
        <v>1</v>
      </c>
      <c r="V639" s="94">
        <v>1</v>
      </c>
      <c r="W639" s="94">
        <f>MouserListTable[[#This Row],['#/Unit]]*FilterSpecs!$C$3+MouserListTable[[#This Row],[Extra]]</f>
        <v>1</v>
      </c>
      <c r="X639" s="94">
        <f>IF(MouserListTable[[#This Row],[Tag]]=FilterSpecs!$F$7,MouserListTable[[#This Row],['#/Unit]]*MouserListTable[[#This Row],[Price (USD)]],0)</f>
        <v>0</v>
      </c>
      <c r="Y639" s="94">
        <f>MouserListTable[[#This Row],[Tot '#]]*MouserListTable[[#This Row],[Price (USD)]]</f>
        <v>1.95</v>
      </c>
      <c r="Z639"/>
    </row>
    <row r="640" spans="1:26" s="106" customFormat="1" x14ac:dyDescent="0.25">
      <c r="A640" s="78" t="s">
        <v>13</v>
      </c>
      <c r="B640" s="78" t="s">
        <v>1599</v>
      </c>
      <c r="C640" s="78" t="s">
        <v>1892</v>
      </c>
      <c r="D640" s="81" t="str">
        <f>IF(MouserListTable[[#This Row],[Vendor]]=FilterSpecs!$A$8,MouserListTable[[#This Row],[Mouser SKU]], MouserListTable[[#This Row],[Supplier SKU]])</f>
        <v>474-TOL-13114</v>
      </c>
      <c r="E640" s="94">
        <f>MouserListTable[[#This Row],[Tot '#]]-MouserListTable[[#This Row],['# Initial]]</f>
        <v>0</v>
      </c>
      <c r="F640" s="94">
        <f>IF(AND(MouserListTable[[#This Row],[Tag]]&lt;&gt;FilterSpecs!$F$12, MouserListTable[[#This Row],[Tag]]&lt;&gt;FilterSpecs!$F$9), MouserListTable[[#This Row],['#/Unit]]*FilterSpecs!$B$3+MouserListTable[[#This Row],[Extra Initial]],0)</f>
        <v>1</v>
      </c>
      <c r="G640" s="78" t="s">
        <v>827</v>
      </c>
      <c r="H640" s="150" t="s">
        <v>828</v>
      </c>
      <c r="I640" s="78" t="s">
        <v>829</v>
      </c>
      <c r="J640" s="78"/>
      <c r="K640" s="117">
        <v>4.8</v>
      </c>
      <c r="L640" s="78" t="s">
        <v>1900</v>
      </c>
      <c r="M640" s="81"/>
      <c r="N640" s="154">
        <f>MouserListTable[[#This Row],['# Initial]]*MouserListTable[[#This Row],[Price (USD)]]</f>
        <v>4.8</v>
      </c>
      <c r="O640" s="81" t="s">
        <v>826</v>
      </c>
      <c r="P640" s="150">
        <f t="shared" si="10"/>
        <v>626</v>
      </c>
      <c r="Q640" s="78" t="s">
        <v>5</v>
      </c>
      <c r="R640"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474-TOL-13114</v>
      </c>
      <c r="S640" s="133" t="str">
        <f>HYPERLINK("https://www.mouser.com/ProductDetail/" &amp;MouserListTable[[#This Row],[Mouser SKU]])</f>
        <v>https://www.mouser.com/ProductDetail/474-TOL-13114</v>
      </c>
      <c r="T640" s="94">
        <v>0</v>
      </c>
      <c r="U640" s="94">
        <v>1</v>
      </c>
      <c r="V640" s="94">
        <v>1</v>
      </c>
      <c r="W640" s="94">
        <f>MouserListTable[[#This Row],['#/Unit]]*FilterSpecs!$C$3+MouserListTable[[#This Row],[Extra]]</f>
        <v>1</v>
      </c>
      <c r="X640" s="94">
        <f>IF(MouserListTable[[#This Row],[Tag]]=FilterSpecs!$F$7,MouserListTable[[#This Row],['#/Unit]]*MouserListTable[[#This Row],[Price (USD)]],0)</f>
        <v>0</v>
      </c>
      <c r="Y640" s="94">
        <f>MouserListTable[[#This Row],[Tot '#]]*MouserListTable[[#This Row],[Price (USD)]]</f>
        <v>4.8</v>
      </c>
      <c r="Z640"/>
    </row>
    <row r="641" spans="1:28" s="106" customFormat="1" x14ac:dyDescent="0.25">
      <c r="A641" s="97" t="s">
        <v>13</v>
      </c>
      <c r="B641" s="97" t="s">
        <v>1640</v>
      </c>
      <c r="C641" s="78" t="s">
        <v>1892</v>
      </c>
      <c r="D641" s="81" t="str">
        <f>IF(MouserListTable[[#This Row],[Vendor]]=FilterSpecs!$A$8,MouserListTable[[#This Row],[Mouser SKU]], MouserListTable[[#This Row],[Supplier SKU]])</f>
        <v>474-TOL-11528</v>
      </c>
      <c r="E641" s="94">
        <f>MouserListTable[[#This Row],[Tot '#]]-MouserListTable[[#This Row],['# Initial]]</f>
        <v>0</v>
      </c>
      <c r="F641" s="94">
        <f>IF(AND(MouserListTable[[#This Row],[Tag]]&lt;&gt;FilterSpecs!$F$12, MouserListTable[[#This Row],[Tag]]&lt;&gt;FilterSpecs!$F$9), MouserListTable[[#This Row],['#/Unit]]*FilterSpecs!$B$3+MouserListTable[[#This Row],[Extra Initial]],0)</f>
        <v>0</v>
      </c>
      <c r="G641" s="78" t="s">
        <v>1617</v>
      </c>
      <c r="H641" s="150" t="s">
        <v>1618</v>
      </c>
      <c r="I641" s="78" t="s">
        <v>1619</v>
      </c>
      <c r="J641" s="78"/>
      <c r="K641" s="117">
        <v>3.95</v>
      </c>
      <c r="L641" s="78" t="s">
        <v>1896</v>
      </c>
      <c r="N641" s="154">
        <f>MouserListTable[[#This Row],['# Initial]]*MouserListTable[[#This Row],[Price (USD)]]</f>
        <v>0</v>
      </c>
      <c r="O641" s="81" t="s">
        <v>1616</v>
      </c>
      <c r="P641" s="150">
        <f t="shared" si="10"/>
        <v>627</v>
      </c>
      <c r="Q641" s="78" t="s">
        <v>5</v>
      </c>
      <c r="R641"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474-TOL-11528</v>
      </c>
      <c r="S641" s="133" t="str">
        <f>HYPERLINK("https://www.mouser.com/ProductDetail/" &amp;MouserListTable[[#This Row],[Mouser SKU]])</f>
        <v>https://www.mouser.com/ProductDetail/474-TOL-11528</v>
      </c>
      <c r="T641" s="94">
        <v>0</v>
      </c>
      <c r="U641" s="94">
        <v>0</v>
      </c>
      <c r="V641" s="94">
        <v>0</v>
      </c>
      <c r="W641" s="94">
        <f>MouserListTable[[#This Row],['#/Unit]]*FilterSpecs!$C$3+MouserListTable[[#This Row],[Extra]]</f>
        <v>0</v>
      </c>
      <c r="X641" s="94">
        <f>IF(MouserListTable[[#This Row],[Tag]]=FilterSpecs!$F$7,MouserListTable[[#This Row],['#/Unit]]*MouserListTable[[#This Row],[Price (USD)]],0)</f>
        <v>0</v>
      </c>
      <c r="Y641" s="94">
        <f>MouserListTable[[#This Row],[Tot '#]]*MouserListTable[[#This Row],[Price (USD)]]</f>
        <v>0</v>
      </c>
      <c r="Z641"/>
    </row>
    <row r="642" spans="1:28" s="106" customFormat="1" x14ac:dyDescent="0.25">
      <c r="A642" s="97" t="s">
        <v>13</v>
      </c>
      <c r="B642" s="97" t="s">
        <v>1640</v>
      </c>
      <c r="C642" s="78" t="s">
        <v>1892</v>
      </c>
      <c r="D642" s="81" t="str">
        <f>IF(MouserListTable[[#This Row],[Vendor]]=FilterSpecs!$A$8,MouserListTable[[#This Row],[Mouser SKU]], MouserListTable[[#This Row],[Supplier SKU]])</f>
        <v>474-TOL-11527</v>
      </c>
      <c r="E642" s="94">
        <f>MouserListTable[[#This Row],[Tot '#]]-MouserListTable[[#This Row],['# Initial]]</f>
        <v>0</v>
      </c>
      <c r="F642" s="94">
        <f>IF(AND(MouserListTable[[#This Row],[Tag]]&lt;&gt;FilterSpecs!$F$12, MouserListTable[[#This Row],[Tag]]&lt;&gt;FilterSpecs!$F$9), MouserListTable[[#This Row],['#/Unit]]*FilterSpecs!$B$3+MouserListTable[[#This Row],[Extra Initial]],0)</f>
        <v>0</v>
      </c>
      <c r="G642" s="78" t="s">
        <v>1621</v>
      </c>
      <c r="H642" s="150" t="s">
        <v>1622</v>
      </c>
      <c r="I642" s="78" t="s">
        <v>1623</v>
      </c>
      <c r="J642" s="78"/>
      <c r="K642" s="117">
        <v>3.95</v>
      </c>
      <c r="L642" s="78" t="s">
        <v>1896</v>
      </c>
      <c r="N642" s="154">
        <f>MouserListTable[[#This Row],['# Initial]]*MouserListTable[[#This Row],[Price (USD)]]</f>
        <v>0</v>
      </c>
      <c r="O642" s="81" t="s">
        <v>1620</v>
      </c>
      <c r="P642" s="150">
        <f t="shared" si="10"/>
        <v>628</v>
      </c>
      <c r="Q642" s="78" t="s">
        <v>5</v>
      </c>
      <c r="R642"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474-TOL-11527</v>
      </c>
      <c r="S642" s="133" t="str">
        <f>HYPERLINK("https://www.mouser.com/ProductDetail/" &amp;MouserListTable[[#This Row],[Mouser SKU]])</f>
        <v>https://www.mouser.com/ProductDetail/474-TOL-11527</v>
      </c>
      <c r="T642" s="94">
        <v>0</v>
      </c>
      <c r="U642" s="94">
        <v>0</v>
      </c>
      <c r="V642" s="94">
        <v>0</v>
      </c>
      <c r="W642" s="94">
        <f>MouserListTable[[#This Row],['#/Unit]]*FilterSpecs!$C$3+MouserListTable[[#This Row],[Extra]]</f>
        <v>0</v>
      </c>
      <c r="X642" s="94">
        <f>IF(MouserListTable[[#This Row],[Tag]]=FilterSpecs!$F$7,MouserListTable[[#This Row],['#/Unit]]*MouserListTable[[#This Row],[Price (USD)]],0)</f>
        <v>0</v>
      </c>
      <c r="Y642" s="94">
        <f>MouserListTable[[#This Row],[Tot '#]]*MouserListTable[[#This Row],[Price (USD)]]</f>
        <v>0</v>
      </c>
      <c r="Z642"/>
    </row>
    <row r="643" spans="1:28" s="104" customFormat="1" x14ac:dyDescent="0.25">
      <c r="A643" s="78" t="s">
        <v>13</v>
      </c>
      <c r="B643" s="78" t="s">
        <v>1640</v>
      </c>
      <c r="C643" s="78" t="s">
        <v>1892</v>
      </c>
      <c r="D643" s="81" t="str">
        <f>IF(MouserListTable[[#This Row],[Vendor]]=FilterSpecs!$A$8,MouserListTable[[#This Row],[Mouser SKU]], MouserListTable[[#This Row],[Supplier SKU]])</f>
        <v>485-2938</v>
      </c>
      <c r="E643" s="94">
        <f>MouserListTable[[#This Row],[Tot '#]]-MouserListTable[[#This Row],['# Initial]]</f>
        <v>0</v>
      </c>
      <c r="F643" s="94">
        <f>IF(AND(MouserListTable[[#This Row],[Tag]]&lt;&gt;FilterSpecs!$F$12, MouserListTable[[#This Row],[Tag]]&lt;&gt;FilterSpecs!$F$9), MouserListTable[[#This Row],['#/Unit]]*FilterSpecs!$B$3+MouserListTable[[#This Row],[Extra Initial]],0)</f>
        <v>0</v>
      </c>
      <c r="G643" s="78"/>
      <c r="H643" s="150"/>
      <c r="I643" s="97" t="s">
        <v>2061</v>
      </c>
      <c r="J643" s="106"/>
      <c r="K643" s="118">
        <v>2.5</v>
      </c>
      <c r="L643" s="97" t="s">
        <v>1896</v>
      </c>
      <c r="M643" s="106"/>
      <c r="N643" s="154">
        <f>MouserListTable[[#This Row],['# Initial]]*MouserListTable[[#This Row],[Price (USD)]]</f>
        <v>0</v>
      </c>
      <c r="O643" s="81" t="s">
        <v>2062</v>
      </c>
      <c r="P643" s="150">
        <f t="shared" si="10"/>
        <v>629</v>
      </c>
      <c r="Q643" s="78" t="s">
        <v>1884</v>
      </c>
      <c r="R643"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485-2938</v>
      </c>
      <c r="S643" s="133" t="str">
        <f>HYPERLINK("https://www.mouser.com/ProductDetail/" &amp;MouserListTable[[#This Row],[Mouser SKU]])</f>
        <v>https://www.mouser.com/ProductDetail/485-2938</v>
      </c>
      <c r="T643" s="94">
        <v>0</v>
      </c>
      <c r="U643" s="94">
        <v>0</v>
      </c>
      <c r="V643" s="94">
        <v>0</v>
      </c>
      <c r="W643" s="94">
        <f>MouserListTable[[#This Row],['#/Unit]]*FilterSpecs!$C$3+MouserListTable[[#This Row],[Extra]]</f>
        <v>0</v>
      </c>
      <c r="X643" s="94">
        <f>IF(MouserListTable[[#This Row],[Tag]]=FilterSpecs!$F$7,MouserListTable[[#This Row],['#/Unit]]*MouserListTable[[#This Row],[Price (USD)]],0)</f>
        <v>0</v>
      </c>
      <c r="Y643" s="94">
        <f>MouserListTable[[#This Row],[Tot '#]]*MouserListTable[[#This Row],[Price (USD)]]</f>
        <v>0</v>
      </c>
      <c r="Z643"/>
    </row>
    <row r="644" spans="1:28" s="104" customFormat="1" x14ac:dyDescent="0.25">
      <c r="A644" s="78" t="s">
        <v>13</v>
      </c>
      <c r="B644" s="78" t="s">
        <v>1640</v>
      </c>
      <c r="C644" s="78" t="s">
        <v>1892</v>
      </c>
      <c r="D644" s="81" t="str">
        <f>IF(MouserListTable[[#This Row],[Vendor]]=FilterSpecs!$A$8,MouserListTable[[#This Row],[Mouser SKU]], MouserListTable[[#This Row],[Supplier SKU]])</f>
        <v>485-433</v>
      </c>
      <c r="E644" s="94">
        <f>MouserListTable[[#This Row],[Tot '#]]-MouserListTable[[#This Row],['# Initial]]</f>
        <v>0</v>
      </c>
      <c r="F644" s="94">
        <f>IF(AND(MouserListTable[[#This Row],[Tag]]&lt;&gt;FilterSpecs!$F$12, MouserListTable[[#This Row],[Tag]]&lt;&gt;FilterSpecs!$F$9), MouserListTable[[#This Row],['#/Unit]]*FilterSpecs!$B$3+MouserListTable[[#This Row],[Extra Initial]],0)</f>
        <v>1</v>
      </c>
      <c r="G644" s="78"/>
      <c r="H644" s="150"/>
      <c r="I644" s="78" t="s">
        <v>2059</v>
      </c>
      <c r="J644" s="106"/>
      <c r="K644" s="117">
        <v>2.95</v>
      </c>
      <c r="L644" s="78" t="s">
        <v>1896</v>
      </c>
      <c r="M644" s="81"/>
      <c r="N644" s="154">
        <f>MouserListTable[[#This Row],['# Initial]]*MouserListTable[[#This Row],[Price (USD)]]</f>
        <v>2.95</v>
      </c>
      <c r="O644" s="81" t="s">
        <v>2060</v>
      </c>
      <c r="P644" s="150">
        <f t="shared" si="10"/>
        <v>630</v>
      </c>
      <c r="Q644" s="78" t="s">
        <v>1884</v>
      </c>
      <c r="R644"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485-433</v>
      </c>
      <c r="S644" s="133" t="str">
        <f>HYPERLINK("https://www.mouser.com/ProductDetail/" &amp;MouserListTable[[#This Row],[Mouser SKU]])</f>
        <v>https://www.mouser.com/ProductDetail/485-433</v>
      </c>
      <c r="T644" s="94">
        <v>0</v>
      </c>
      <c r="U644" s="94">
        <v>1</v>
      </c>
      <c r="V644" s="94">
        <v>1</v>
      </c>
      <c r="W644" s="94">
        <f>MouserListTable[[#This Row],['#/Unit]]*FilterSpecs!$C$3+MouserListTable[[#This Row],[Extra]]</f>
        <v>1</v>
      </c>
      <c r="X644" s="94">
        <f>IF(MouserListTable[[#This Row],[Tag]]=FilterSpecs!$F$7,MouserListTable[[#This Row],['#/Unit]]*MouserListTable[[#This Row],[Price (USD)]],0)</f>
        <v>0</v>
      </c>
      <c r="Y644" s="94">
        <f>MouserListTable[[#This Row],[Tot '#]]*MouserListTable[[#This Row],[Price (USD)]]</f>
        <v>2.95</v>
      </c>
      <c r="Z644"/>
    </row>
    <row r="645" spans="1:28" s="104" customFormat="1" x14ac:dyDescent="0.25">
      <c r="A645" s="78" t="s">
        <v>13</v>
      </c>
      <c r="B645" s="78" t="s">
        <v>1640</v>
      </c>
      <c r="C645" s="78" t="s">
        <v>1892</v>
      </c>
      <c r="D645" s="81" t="str">
        <f>IF(MouserListTable[[#This Row],[Vendor]]=FilterSpecs!$A$8,MouserListTable[[#This Row],[Mouser SKU]], MouserListTable[[#This Row],[Supplier SKU]])</f>
        <v>485-432</v>
      </c>
      <c r="E645" s="94">
        <f>MouserListTable[[#This Row],[Tot '#]]-MouserListTable[[#This Row],['# Initial]]</f>
        <v>0</v>
      </c>
      <c r="F645" s="94">
        <f>IF(AND(MouserListTable[[#This Row],[Tag]]&lt;&gt;FilterSpecs!$F$12, MouserListTable[[#This Row],[Tag]]&lt;&gt;FilterSpecs!$F$9), MouserListTable[[#This Row],['#/Unit]]*FilterSpecs!$B$3+MouserListTable[[#This Row],[Extra Initial]],0)</f>
        <v>1</v>
      </c>
      <c r="G645" s="78"/>
      <c r="H645" s="150"/>
      <c r="I645" s="78" t="s">
        <v>2055</v>
      </c>
      <c r="J645" s="106"/>
      <c r="K645" s="117">
        <v>2.95</v>
      </c>
      <c r="L645" s="78" t="s">
        <v>1896</v>
      </c>
      <c r="M645" s="81"/>
      <c r="N645" s="154">
        <f>MouserListTable[[#This Row],['# Initial]]*MouserListTable[[#This Row],[Price (USD)]]</f>
        <v>2.95</v>
      </c>
      <c r="O645" s="81" t="s">
        <v>2056</v>
      </c>
      <c r="P645" s="150">
        <f t="shared" si="10"/>
        <v>631</v>
      </c>
      <c r="Q645" s="78" t="s">
        <v>1884</v>
      </c>
      <c r="R645"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485-432</v>
      </c>
      <c r="S645" s="133" t="str">
        <f>HYPERLINK("https://www.mouser.com/ProductDetail/" &amp;MouserListTable[[#This Row],[Mouser SKU]])</f>
        <v>https://www.mouser.com/ProductDetail/485-432</v>
      </c>
      <c r="T645" s="94">
        <v>0</v>
      </c>
      <c r="U645" s="94">
        <v>1</v>
      </c>
      <c r="V645" s="94">
        <v>1</v>
      </c>
      <c r="W645" s="94">
        <f>MouserListTable[[#This Row],['#/Unit]]*FilterSpecs!$C$3+MouserListTable[[#This Row],[Extra]]</f>
        <v>1</v>
      </c>
      <c r="X645" s="94">
        <f>IF(MouserListTable[[#This Row],[Tag]]=FilterSpecs!$F$7,MouserListTable[[#This Row],['#/Unit]]*MouserListTable[[#This Row],[Price (USD)]],0)</f>
        <v>0</v>
      </c>
      <c r="Y645" s="94">
        <f>MouserListTable[[#This Row],[Tot '#]]*MouserListTable[[#This Row],[Price (USD)]]</f>
        <v>2.95</v>
      </c>
      <c r="Z645"/>
    </row>
    <row r="646" spans="1:28" s="104" customFormat="1" x14ac:dyDescent="0.25">
      <c r="A646" s="78" t="s">
        <v>13</v>
      </c>
      <c r="B646" s="78" t="s">
        <v>1640</v>
      </c>
      <c r="C646" s="78" t="s">
        <v>1892</v>
      </c>
      <c r="D646" s="81" t="str">
        <f>IF(MouserListTable[[#This Row],[Vendor]]=FilterSpecs!$A$8,MouserListTable[[#This Row],[Mouser SKU]], MouserListTable[[#This Row],[Supplier SKU]])</f>
        <v>485-427</v>
      </c>
      <c r="E646" s="94">
        <f>MouserListTable[[#This Row],[Tot '#]]-MouserListTable[[#This Row],['# Initial]]</f>
        <v>0</v>
      </c>
      <c r="F646" s="94">
        <f>IF(AND(MouserListTable[[#This Row],[Tag]]&lt;&gt;FilterSpecs!$F$12, MouserListTable[[#This Row],[Tag]]&lt;&gt;FilterSpecs!$F$9), MouserListTable[[#This Row],['#/Unit]]*FilterSpecs!$B$3+MouserListTable[[#This Row],[Extra Initial]],0)</f>
        <v>1</v>
      </c>
      <c r="G646" s="78"/>
      <c r="H646" s="150"/>
      <c r="I646" s="78" t="s">
        <v>2057</v>
      </c>
      <c r="J646" s="106"/>
      <c r="K646" s="117">
        <v>4</v>
      </c>
      <c r="L646" s="78" t="s">
        <v>1896</v>
      </c>
      <c r="M646" s="81"/>
      <c r="N646" s="154">
        <f>MouserListTable[[#This Row],['# Initial]]*MouserListTable[[#This Row],[Price (USD)]]</f>
        <v>4</v>
      </c>
      <c r="O646" s="81" t="s">
        <v>2058</v>
      </c>
      <c r="P646" s="150">
        <f t="shared" si="10"/>
        <v>632</v>
      </c>
      <c r="Q646" s="78" t="s">
        <v>1884</v>
      </c>
      <c r="R646"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485-427</v>
      </c>
      <c r="S646" s="133" t="str">
        <f>HYPERLINK("https://www.mouser.com/ProductDetail/" &amp;MouserListTable[[#This Row],[Mouser SKU]])</f>
        <v>https://www.mouser.com/ProductDetail/485-427</v>
      </c>
      <c r="T646" s="94">
        <v>0</v>
      </c>
      <c r="U646" s="94">
        <v>1</v>
      </c>
      <c r="V646" s="94">
        <v>1</v>
      </c>
      <c r="W646" s="94">
        <f>MouserListTable[[#This Row],['#/Unit]]*FilterSpecs!$C$3+MouserListTable[[#This Row],[Extra]]</f>
        <v>1</v>
      </c>
      <c r="X646" s="94">
        <f>IF(MouserListTable[[#This Row],[Tag]]=FilterSpecs!$F$7,MouserListTable[[#This Row],['#/Unit]]*MouserListTable[[#This Row],[Price (USD)]],0)</f>
        <v>0</v>
      </c>
      <c r="Y646" s="94">
        <f>MouserListTable[[#This Row],[Tot '#]]*MouserListTable[[#This Row],[Price (USD)]]</f>
        <v>4</v>
      </c>
      <c r="Z646"/>
    </row>
    <row r="647" spans="1:28" s="104" customFormat="1" x14ac:dyDescent="0.25">
      <c r="A647" s="78" t="s">
        <v>13</v>
      </c>
      <c r="B647" s="78" t="s">
        <v>1640</v>
      </c>
      <c r="C647" s="78" t="s">
        <v>1892</v>
      </c>
      <c r="D647" s="81" t="str">
        <f>IF(MouserListTable[[#This Row],[Vendor]]=FilterSpecs!$A$8,MouserListTable[[#This Row],[Mouser SKU]], MouserListTable[[#This Row],[Supplier SKU]])</f>
        <v>485-431</v>
      </c>
      <c r="E647" s="94">
        <f>MouserListTable[[#This Row],[Tot '#]]-MouserListTable[[#This Row],['# Initial]]</f>
        <v>0</v>
      </c>
      <c r="F647" s="94">
        <f>IF(AND(MouserListTable[[#This Row],[Tag]]&lt;&gt;FilterSpecs!$F$12, MouserListTable[[#This Row],[Tag]]&lt;&gt;FilterSpecs!$F$9), MouserListTable[[#This Row],['#/Unit]]*FilterSpecs!$B$3+MouserListTable[[#This Row],[Extra Initial]],0)</f>
        <v>1</v>
      </c>
      <c r="G647" s="78"/>
      <c r="H647" s="150"/>
      <c r="I647" s="78" t="s">
        <v>2051</v>
      </c>
      <c r="J647" s="106"/>
      <c r="K647" s="117">
        <v>4</v>
      </c>
      <c r="L647" s="78" t="s">
        <v>1896</v>
      </c>
      <c r="M647" s="81"/>
      <c r="N647" s="154">
        <f>MouserListTable[[#This Row],['# Initial]]*MouserListTable[[#This Row],[Price (USD)]]</f>
        <v>4</v>
      </c>
      <c r="O647" s="81" t="s">
        <v>2052</v>
      </c>
      <c r="P647" s="150">
        <f t="shared" si="10"/>
        <v>633</v>
      </c>
      <c r="Q647" s="78" t="s">
        <v>1884</v>
      </c>
      <c r="R647" s="94"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485-431</v>
      </c>
      <c r="S647" s="133" t="str">
        <f>HYPERLINK("https://www.mouser.com/ProductDetail/" &amp;MouserListTable[[#This Row],[Mouser SKU]])</f>
        <v>https://www.mouser.com/ProductDetail/485-431</v>
      </c>
      <c r="T647" s="94">
        <v>0</v>
      </c>
      <c r="U647" s="94">
        <v>1</v>
      </c>
      <c r="V647" s="94">
        <v>1</v>
      </c>
      <c r="W647" s="94">
        <f>MouserListTable[[#This Row],['#/Unit]]*FilterSpecs!$C$3+MouserListTable[[#This Row],[Extra]]</f>
        <v>1</v>
      </c>
      <c r="X647" s="94">
        <f>IF(MouserListTable[[#This Row],[Tag]]=FilterSpecs!$F$7,MouserListTable[[#This Row],['#/Unit]]*MouserListTable[[#This Row],[Price (USD)]],0)</f>
        <v>0</v>
      </c>
      <c r="Y647" s="94">
        <f>MouserListTable[[#This Row],[Tot '#]]*MouserListTable[[#This Row],[Price (USD)]]</f>
        <v>4</v>
      </c>
      <c r="Z647"/>
    </row>
    <row r="648" spans="1:28" x14ac:dyDescent="0.25">
      <c r="A648" s="149" t="s">
        <v>1398</v>
      </c>
      <c r="B648" s="149">
        <f>SUBTOTAL(103,MouserListTable[Category])</f>
        <v>634</v>
      </c>
      <c r="C648" s="149"/>
      <c r="D648" s="147"/>
      <c r="E648" s="147">
        <f>SUBTOTAL(109,MouserListTable['# Left])</f>
        <v>253</v>
      </c>
      <c r="F648" s="147"/>
      <c r="G648" s="147"/>
      <c r="H648" s="147"/>
      <c r="I648" s="147"/>
      <c r="J648" s="147"/>
      <c r="K648" s="148">
        <f>SUBTOTAL(101,MouserListTable[Price (USD)])</f>
        <v>11.102113564668691</v>
      </c>
      <c r="L648" s="148"/>
      <c r="M648" s="147">
        <f>SUBTOTAL(103,MouserListTable[Description/Comments])</f>
        <v>71</v>
      </c>
      <c r="N648" s="148">
        <f>SUBTOTAL(109,MouserListTable[Total Price])</f>
        <v>3962.6599999999939</v>
      </c>
      <c r="O648" s="147">
        <f>SUBTOTAL(103,MouserListTable[Supplier SKU])</f>
        <v>634</v>
      </c>
      <c r="P648" s="147">
        <f>SUBTOTAL(104,MouserListTable[List '#])</f>
        <v>633</v>
      </c>
      <c r="Q648" s="147"/>
      <c r="R648" s="147"/>
      <c r="S648" s="147"/>
      <c r="T648" s="147"/>
      <c r="U648" s="147"/>
      <c r="V648" s="147"/>
      <c r="W648" s="147"/>
      <c r="X648" s="147">
        <f>SUBTOTAL(109,MouserListTable[$/Unit])</f>
        <v>674.02000000000078</v>
      </c>
      <c r="Y648" s="148">
        <f>SUBTOTAL(109,MouserListTable[Total $])</f>
        <v>7334.6599999999808</v>
      </c>
      <c r="Z648" s="132"/>
      <c r="AA648" s="106"/>
    </row>
    <row r="649" spans="1:28" x14ac:dyDescent="0.25">
      <c r="D649" s="10"/>
      <c r="E649" s="10"/>
      <c r="F649" s="10"/>
      <c r="G649" s="10"/>
      <c r="H649" s="10"/>
      <c r="I649" s="10"/>
      <c r="J649" s="10"/>
      <c r="K649" s="10"/>
      <c r="L649" s="10"/>
      <c r="AA649" s="132"/>
      <c r="AB649" s="106"/>
    </row>
    <row r="650" spans="1:28" ht="15.75" thickBot="1" x14ac:dyDescent="0.3">
      <c r="D650" s="10"/>
      <c r="E650" s="10"/>
      <c r="F650" s="10"/>
      <c r="G650" s="10"/>
      <c r="H650" s="10"/>
      <c r="I650" s="10"/>
      <c r="J650" s="10"/>
      <c r="K650" s="10"/>
      <c r="L650" s="10"/>
      <c r="AA650" s="132"/>
      <c r="AB650" s="106"/>
    </row>
    <row r="651" spans="1:28" ht="20.25" thickTop="1" thickBot="1" x14ac:dyDescent="0.3">
      <c r="A651" s="126" t="s">
        <v>2554</v>
      </c>
      <c r="B651" s="126" t="s">
        <v>2555</v>
      </c>
      <c r="C651" s="127" t="s">
        <v>2556</v>
      </c>
      <c r="D651" s="10"/>
      <c r="E651" s="10"/>
      <c r="F651" s="10"/>
      <c r="G651" s="10"/>
      <c r="H651" s="10"/>
      <c r="I651" s="10"/>
      <c r="J651" s="10"/>
      <c r="K651" s="10"/>
      <c r="L651" s="10"/>
      <c r="AA651" s="132"/>
      <c r="AB651" s="106"/>
    </row>
    <row r="652" spans="1:28" ht="17.25" thickTop="1" thickBot="1" x14ac:dyDescent="0.3">
      <c r="A652" s="121" t="str">
        <f>FilterSpecs!C6</f>
        <v>Primary Component</v>
      </c>
      <c r="B652" s="122">
        <f>SUMIF(MouserListTable[Type],"=" &amp; FilterSpecs!$C6,MouserListTable[Total Price])</f>
        <v>2162.8500000000004</v>
      </c>
      <c r="C652" s="122">
        <f>SUMIF(MouserListTable[Type],"=" &amp; FilterSpecs!$C6,MouserListTable[Total $])</f>
        <v>3125.9</v>
      </c>
      <c r="D652" s="10"/>
      <c r="E652" s="10"/>
      <c r="F652" s="10"/>
      <c r="G652" s="10"/>
      <c r="H652" s="10"/>
      <c r="I652" s="10"/>
      <c r="J652" s="10"/>
      <c r="K652" s="10"/>
      <c r="L652" s="10"/>
      <c r="AA652" s="132"/>
      <c r="AB652" s="106"/>
    </row>
    <row r="653" spans="1:28" ht="17.25" thickTop="1" thickBot="1" x14ac:dyDescent="0.3">
      <c r="A653" s="121" t="str">
        <f>FilterSpecs!C7</f>
        <v>Secondary Component</v>
      </c>
      <c r="B653" s="123">
        <f>SUMIF(MouserListTable[Type],"=" &amp; FilterSpecs!$C7,MouserListTable[Total Price])</f>
        <v>331.12</v>
      </c>
      <c r="C653" s="123">
        <f>SUMIF(MouserListTable[Type],"=" &amp; FilterSpecs!$C7,MouserListTable[Total $])</f>
        <v>438.41999999999996</v>
      </c>
      <c r="D653" s="10"/>
      <c r="E653" s="10"/>
      <c r="F653" s="10"/>
      <c r="G653" s="10"/>
      <c r="H653" s="10"/>
      <c r="I653" s="10"/>
      <c r="J653" s="10"/>
      <c r="K653" s="10"/>
      <c r="L653" s="10"/>
      <c r="AA653" s="132"/>
      <c r="AB653" s="106"/>
    </row>
    <row r="654" spans="1:28" ht="17.25" thickTop="1" thickBot="1" x14ac:dyDescent="0.3">
      <c r="A654" s="121" t="str">
        <f>FilterSpecs!C8</f>
        <v>Advanced &amp; Optional Components</v>
      </c>
      <c r="B654" s="123">
        <f>SUMIF(MouserListTable[Type],"=" &amp; FilterSpecs!$C8,MouserListTable[Total Price])</f>
        <v>0</v>
      </c>
      <c r="C654" s="123">
        <f>SUMIF(MouserListTable[Type],"=" &amp; FilterSpecs!$C8,MouserListTable[Total $])</f>
        <v>1127.2500000000002</v>
      </c>
      <c r="D654" s="10"/>
      <c r="E654" s="10"/>
      <c r="F654" s="10"/>
      <c r="G654" s="10"/>
      <c r="H654" s="10"/>
      <c r="I654" s="10"/>
      <c r="J654" s="10"/>
      <c r="K654" s="10"/>
      <c r="L654" s="10"/>
      <c r="AA654" s="132"/>
      <c r="AB654" s="106"/>
    </row>
    <row r="655" spans="1:28" ht="17.25" thickTop="1" thickBot="1" x14ac:dyDescent="0.3">
      <c r="A655" s="121" t="str">
        <f>FilterSpecs!C9</f>
        <v>Smart-Home/IoT Network Integration (Fixed)</v>
      </c>
      <c r="B655" s="123">
        <f>SUMIF(MouserListTable[Type],"=" &amp; FilterSpecs!$C9,MouserListTable[Total Price])</f>
        <v>0</v>
      </c>
      <c r="C655" s="123">
        <f>SUMIF(MouserListTable[Type],"=" &amp; FilterSpecs!$C9,MouserListTable[Total $])</f>
        <v>605.09999999999991</v>
      </c>
      <c r="D655" s="10"/>
      <c r="E655" s="10"/>
      <c r="F655" s="10"/>
      <c r="G655" s="10"/>
      <c r="H655" s="10"/>
      <c r="I655" s="10"/>
      <c r="J655" s="10"/>
      <c r="K655" s="10"/>
      <c r="L655" s="10"/>
      <c r="AA655" s="132"/>
      <c r="AB655" s="106"/>
    </row>
    <row r="656" spans="1:28" ht="17.25" thickTop="1" thickBot="1" x14ac:dyDescent="0.3">
      <c r="A656" s="121" t="str">
        <f>FilterSpecs!C10</f>
        <v>Smart-Home/IoT Network Integration (Portable)</v>
      </c>
      <c r="B656" s="123">
        <f>SUMIF(MouserListTable[Type],"=" &amp; FilterSpecs!$C10,MouserListTable[Total Price])</f>
        <v>0</v>
      </c>
      <c r="C656" s="123">
        <f>SUMIF(MouserListTable[Type],"=" &amp; FilterSpecs!$C10,MouserListTable[Total $])</f>
        <v>193.8</v>
      </c>
      <c r="D656" s="10"/>
      <c r="E656" s="10"/>
      <c r="F656" s="10"/>
      <c r="G656" s="10"/>
      <c r="H656" s="10"/>
      <c r="I656" s="10"/>
      <c r="J656" s="10"/>
      <c r="K656" s="10"/>
      <c r="L656" s="10"/>
      <c r="AA656" s="132"/>
      <c r="AB656" s="106"/>
    </row>
    <row r="657" spans="1:28" ht="17.25" thickTop="1" thickBot="1" x14ac:dyDescent="0.3">
      <c r="A657" s="121" t="str">
        <f>FilterSpecs!C11</f>
        <v>Hardware Component</v>
      </c>
      <c r="B657" s="123">
        <f>SUMIF(MouserListTable[Type],"=" &amp; FilterSpecs!$C11,MouserListTable[Total Price])</f>
        <v>578.85000000000014</v>
      </c>
      <c r="C657" s="123">
        <f>SUMIF(MouserListTable[Type],"=" &amp; FilterSpecs!$C11,MouserListTable[Total $])</f>
        <v>725.25</v>
      </c>
      <c r="D657" s="10"/>
      <c r="E657" s="10"/>
      <c r="F657" s="10"/>
      <c r="G657" s="10"/>
      <c r="H657" s="10"/>
      <c r="I657" s="10"/>
      <c r="J657" s="10"/>
      <c r="K657" s="10"/>
      <c r="L657" s="10"/>
      <c r="AA657" s="132"/>
      <c r="AB657" s="106"/>
    </row>
    <row r="658" spans="1:28" ht="17.25" thickTop="1" thickBot="1" x14ac:dyDescent="0.3">
      <c r="A658" s="121" t="str">
        <f>FilterSpecs!C12</f>
        <v>Low-Level Electronics</v>
      </c>
      <c r="B658" s="123">
        <f>SUMIF(MouserListTable[Type],"=" &amp; FilterSpecs!$C12,MouserListTable[Total Price])</f>
        <v>739.40000000000009</v>
      </c>
      <c r="C658" s="123">
        <f>SUMIF(MouserListTable[Type],"=" &amp; FilterSpecs!$C12,MouserListTable[Total $])</f>
        <v>905.85000000000025</v>
      </c>
      <c r="D658" s="10"/>
      <c r="E658" s="10"/>
      <c r="F658" s="10"/>
      <c r="G658" s="10"/>
      <c r="H658" s="10"/>
      <c r="I658" s="10"/>
      <c r="J658" s="10"/>
      <c r="K658" s="10"/>
      <c r="L658" s="10"/>
      <c r="AA658" s="132"/>
      <c r="AB658" s="106"/>
    </row>
    <row r="659" spans="1:28" ht="17.25" thickTop="1" thickBot="1" x14ac:dyDescent="0.3">
      <c r="A659" s="124" t="str">
        <f>FilterSpecs!C13</f>
        <v>Tools</v>
      </c>
      <c r="B659" s="125">
        <f>SUMIF(MouserListTable[Type],"=" &amp; FilterSpecs!$C13,MouserListTable[Total Price])</f>
        <v>150.43999999999997</v>
      </c>
      <c r="C659" s="125">
        <f>SUMIF(MouserListTable[Type],"=" &amp; FilterSpecs!$C13,MouserListTable[Total $])</f>
        <v>213.08999999999989</v>
      </c>
      <c r="D659" s="10"/>
      <c r="E659" s="10"/>
      <c r="F659" s="10"/>
      <c r="G659" s="10"/>
      <c r="H659" s="10"/>
      <c r="I659" s="10"/>
      <c r="J659" s="10"/>
      <c r="K659" s="10"/>
      <c r="L659" s="10"/>
      <c r="AA659" s="132"/>
      <c r="AB659" s="106"/>
    </row>
    <row r="660" spans="1:28" ht="20.25" thickTop="1" thickBot="1" x14ac:dyDescent="0.3">
      <c r="A660" s="126">
        <f>SUBTOTAL(103,Table12[Cost Breakdown])</f>
        <v>8</v>
      </c>
      <c r="B660" s="128">
        <f>SUBTOTAL(109,Table12[Initial Order])</f>
        <v>3962.6600000000008</v>
      </c>
      <c r="C660" s="129">
        <f>SUBTOTAL(109,Table12[Total Order])</f>
        <v>7334.6600000000008</v>
      </c>
      <c r="D660" s="10"/>
      <c r="E660" s="10"/>
      <c r="F660" s="10"/>
      <c r="G660" s="10"/>
      <c r="H660" s="10"/>
      <c r="I660" s="10"/>
      <c r="J660" s="10"/>
      <c r="K660" s="10"/>
      <c r="L660" s="10"/>
      <c r="AA660" s="132"/>
      <c r="AB660" s="106"/>
    </row>
    <row r="661" spans="1:28" ht="15.75" thickTop="1" x14ac:dyDescent="0.25">
      <c r="D661" s="10"/>
      <c r="E661" s="10"/>
      <c r="F661" s="10"/>
      <c r="G661" s="10"/>
      <c r="AA661" s="132"/>
      <c r="AB661" s="106"/>
    </row>
    <row r="662" spans="1:28" s="104" customFormat="1" ht="33.75" x14ac:dyDescent="0.25">
      <c r="A662" s="171" t="s">
        <v>2459</v>
      </c>
      <c r="B662" s="171"/>
      <c r="C662" s="101"/>
      <c r="D662" s="10"/>
      <c r="E662" s="10"/>
      <c r="F662" s="10"/>
      <c r="G662" s="10"/>
      <c r="AA662" s="132"/>
      <c r="AB662" s="106"/>
    </row>
    <row r="663" spans="1:28" s="63" customFormat="1" x14ac:dyDescent="0.25">
      <c r="A663" s="10" t="s">
        <v>889</v>
      </c>
      <c r="B663" s="10" t="s">
        <v>986</v>
      </c>
      <c r="C663" s="10" t="s">
        <v>5</v>
      </c>
      <c r="D663" s="10" t="s">
        <v>1757</v>
      </c>
      <c r="E663" s="64">
        <v>1</v>
      </c>
      <c r="F663" s="64">
        <v>1</v>
      </c>
      <c r="G663" s="10" t="s">
        <v>1758</v>
      </c>
      <c r="H663" s="10" t="s">
        <v>1759</v>
      </c>
      <c r="I663" s="10" t="s">
        <v>1760</v>
      </c>
      <c r="J663" s="10">
        <v>1</v>
      </c>
      <c r="K663" s="64">
        <v>9.9499999999999993</v>
      </c>
      <c r="L663" s="10" t="s">
        <v>1896</v>
      </c>
      <c r="AA663" s="132"/>
      <c r="AB663" s="106"/>
    </row>
    <row r="664" spans="1:28" s="63" customFormat="1" x14ac:dyDescent="0.25">
      <c r="A664" s="10" t="s">
        <v>889</v>
      </c>
      <c r="B664" s="10" t="s">
        <v>986</v>
      </c>
      <c r="C664" s="10" t="s">
        <v>1884</v>
      </c>
      <c r="D664" s="10" t="s">
        <v>2087</v>
      </c>
      <c r="E664" s="64">
        <v>0</v>
      </c>
      <c r="F664" s="64">
        <v>0</v>
      </c>
      <c r="G664" s="10"/>
      <c r="H664" s="10"/>
      <c r="I664" s="10" t="s">
        <v>2088</v>
      </c>
      <c r="K664" s="64">
        <v>14.95</v>
      </c>
      <c r="L664" s="10" t="s">
        <v>1896</v>
      </c>
      <c r="AA664" s="132"/>
      <c r="AB664" s="106"/>
    </row>
    <row r="665" spans="1:28" s="63" customFormat="1" x14ac:dyDescent="0.25">
      <c r="A665" s="10" t="s">
        <v>889</v>
      </c>
      <c r="B665" s="10" t="s">
        <v>986</v>
      </c>
      <c r="C665" s="10" t="s">
        <v>1884</v>
      </c>
      <c r="D665" s="10" t="s">
        <v>2075</v>
      </c>
      <c r="E665" s="64">
        <v>0</v>
      </c>
      <c r="F665" s="64">
        <v>0</v>
      </c>
      <c r="G665" s="10"/>
      <c r="H665" s="10"/>
      <c r="I665" s="10" t="s">
        <v>2076</v>
      </c>
      <c r="K665" s="64">
        <v>9.9499999999999993</v>
      </c>
      <c r="L665" s="10" t="s">
        <v>1896</v>
      </c>
      <c r="AA665" s="132"/>
      <c r="AB665" s="106"/>
    </row>
    <row r="666" spans="1:28" s="63" customFormat="1" x14ac:dyDescent="0.25">
      <c r="A666" s="10" t="s">
        <v>889</v>
      </c>
      <c r="B666" s="10" t="s">
        <v>986</v>
      </c>
      <c r="C666" s="10" t="s">
        <v>1884</v>
      </c>
      <c r="D666" s="10" t="s">
        <v>2079</v>
      </c>
      <c r="E666" s="64">
        <v>0</v>
      </c>
      <c r="F666" s="64">
        <v>0</v>
      </c>
      <c r="G666" s="10"/>
      <c r="H666" s="10"/>
      <c r="I666" s="10" t="s">
        <v>2080</v>
      </c>
      <c r="K666" s="64">
        <v>14.95</v>
      </c>
      <c r="L666" s="10" t="s">
        <v>1896</v>
      </c>
    </row>
    <row r="667" spans="1:28" s="81" customFormat="1" x14ac:dyDescent="0.25">
      <c r="A667" s="78" t="s">
        <v>887</v>
      </c>
      <c r="B667" s="78" t="s">
        <v>2016</v>
      </c>
      <c r="C667" s="78" t="s">
        <v>5</v>
      </c>
      <c r="D667" s="78" t="s">
        <v>30</v>
      </c>
      <c r="E667" s="79">
        <v>5</v>
      </c>
      <c r="F667" s="79">
        <v>5</v>
      </c>
      <c r="G667" s="78" t="s">
        <v>31</v>
      </c>
      <c r="H667" s="78" t="s">
        <v>32</v>
      </c>
      <c r="I667" s="78" t="s">
        <v>33</v>
      </c>
      <c r="J667" s="81">
        <v>1</v>
      </c>
      <c r="K667" s="79">
        <v>29.95</v>
      </c>
      <c r="L667" s="78" t="s">
        <v>1897</v>
      </c>
      <c r="N667" s="81">
        <v>149.75</v>
      </c>
    </row>
    <row r="668" spans="1:28" s="81" customFormat="1" x14ac:dyDescent="0.25">
      <c r="A668" s="78" t="s">
        <v>887</v>
      </c>
      <c r="B668" s="78" t="s">
        <v>2008</v>
      </c>
      <c r="C668" s="78" t="s">
        <v>5</v>
      </c>
      <c r="D668" s="78" t="s">
        <v>110</v>
      </c>
      <c r="E668" s="79">
        <v>5</v>
      </c>
      <c r="F668" s="79">
        <v>5</v>
      </c>
      <c r="G668" s="78" t="s">
        <v>111</v>
      </c>
      <c r="H668" s="78" t="s">
        <v>112</v>
      </c>
      <c r="I668" s="78" t="s">
        <v>113</v>
      </c>
      <c r="J668" s="78">
        <v>1</v>
      </c>
      <c r="K668" s="79">
        <v>12.95</v>
      </c>
      <c r="L668" s="78" t="s">
        <v>1897</v>
      </c>
      <c r="N668" s="81">
        <v>64.75</v>
      </c>
    </row>
    <row r="669" spans="1:28" s="81" customFormat="1" x14ac:dyDescent="0.25">
      <c r="A669" s="78" t="s">
        <v>887</v>
      </c>
      <c r="B669" s="78" t="s">
        <v>9</v>
      </c>
      <c r="C669" s="78" t="s">
        <v>5</v>
      </c>
      <c r="D669" s="78" t="s">
        <v>253</v>
      </c>
      <c r="E669" s="79">
        <v>5</v>
      </c>
      <c r="F669" s="79">
        <v>5</v>
      </c>
      <c r="G669" s="78" t="s">
        <v>254</v>
      </c>
      <c r="H669" s="78" t="s">
        <v>255</v>
      </c>
      <c r="I669" s="78" t="s">
        <v>256</v>
      </c>
      <c r="J669" s="78">
        <v>1</v>
      </c>
      <c r="K669" s="79">
        <v>6.95</v>
      </c>
      <c r="L669" s="78" t="s">
        <v>1897</v>
      </c>
      <c r="N669" s="81">
        <v>34.75</v>
      </c>
    </row>
    <row r="670" spans="1:28" s="81" customFormat="1" x14ac:dyDescent="0.25">
      <c r="A670" s="78" t="s">
        <v>888</v>
      </c>
      <c r="B670" s="78" t="s">
        <v>892</v>
      </c>
      <c r="C670" s="78" t="s">
        <v>5</v>
      </c>
      <c r="D670" s="78" t="s">
        <v>356</v>
      </c>
      <c r="E670" s="79">
        <v>0</v>
      </c>
      <c r="F670" s="79">
        <v>0</v>
      </c>
      <c r="G670" s="78" t="s">
        <v>357</v>
      </c>
      <c r="H670" s="78" t="s">
        <v>358</v>
      </c>
      <c r="I670" s="78" t="s">
        <v>359</v>
      </c>
      <c r="J670" s="78">
        <v>1</v>
      </c>
      <c r="K670" s="79">
        <v>2.95</v>
      </c>
      <c r="L670" s="78" t="s">
        <v>2461</v>
      </c>
      <c r="M670" s="78"/>
      <c r="N670" s="78">
        <v>0</v>
      </c>
    </row>
    <row r="671" spans="1:28" s="81" customFormat="1" x14ac:dyDescent="0.25">
      <c r="A671" s="78" t="s">
        <v>888</v>
      </c>
      <c r="B671" s="78" t="s">
        <v>892</v>
      </c>
      <c r="C671" s="78" t="s">
        <v>5</v>
      </c>
      <c r="D671" s="78" t="s">
        <v>1173</v>
      </c>
      <c r="E671" s="79">
        <v>0</v>
      </c>
      <c r="F671" s="79">
        <v>0</v>
      </c>
      <c r="G671" s="78" t="s">
        <v>1174</v>
      </c>
      <c r="H671" s="78" t="s">
        <v>1175</v>
      </c>
      <c r="I671" s="78" t="s">
        <v>1176</v>
      </c>
      <c r="J671" s="78">
        <v>1</v>
      </c>
      <c r="K671" s="79">
        <v>9.9499999999999993</v>
      </c>
      <c r="L671" s="78" t="s">
        <v>2461</v>
      </c>
      <c r="N671" s="78">
        <v>0</v>
      </c>
    </row>
    <row r="672" spans="1:28" s="63" customFormat="1" x14ac:dyDescent="0.25">
      <c r="A672" s="10" t="s">
        <v>888</v>
      </c>
      <c r="B672" s="10" t="s">
        <v>1593</v>
      </c>
      <c r="C672" s="10" t="s">
        <v>5</v>
      </c>
      <c r="D672" s="10" t="s">
        <v>1096</v>
      </c>
      <c r="E672" s="64">
        <v>1</v>
      </c>
      <c r="F672" s="64">
        <v>1</v>
      </c>
      <c r="G672" s="10" t="s">
        <v>1097</v>
      </c>
      <c r="H672" s="10" t="s">
        <v>1098</v>
      </c>
      <c r="I672" s="10" t="s">
        <v>1099</v>
      </c>
      <c r="J672" s="10"/>
      <c r="K672" s="64">
        <v>24.95</v>
      </c>
      <c r="L672" s="10" t="s">
        <v>1896</v>
      </c>
      <c r="N672" s="10">
        <v>24.95</v>
      </c>
    </row>
    <row r="673" spans="1:14" s="109" customFormat="1" x14ac:dyDescent="0.25">
      <c r="A673" s="48" t="s">
        <v>1058</v>
      </c>
      <c r="B673" s="108" t="s">
        <v>1005</v>
      </c>
      <c r="C673" s="108" t="s">
        <v>5</v>
      </c>
      <c r="D673" s="48" t="s">
        <v>981</v>
      </c>
      <c r="E673" s="73">
        <v>0</v>
      </c>
      <c r="F673" s="73">
        <v>0</v>
      </c>
      <c r="G673" s="48" t="s">
        <v>982</v>
      </c>
      <c r="H673" s="48" t="s">
        <v>983</v>
      </c>
      <c r="I673" s="48" t="s">
        <v>984</v>
      </c>
      <c r="J673" s="48">
        <v>1</v>
      </c>
      <c r="K673" s="73">
        <v>44.95</v>
      </c>
      <c r="L673" s="48" t="s">
        <v>1900</v>
      </c>
      <c r="M673" s="48" t="s">
        <v>1046</v>
      </c>
      <c r="N673" s="48">
        <v>0</v>
      </c>
    </row>
    <row r="674" spans="1:14" s="63" customFormat="1" x14ac:dyDescent="0.25">
      <c r="A674" s="10" t="s">
        <v>1058</v>
      </c>
      <c r="B674" s="10" t="s">
        <v>1005</v>
      </c>
      <c r="C674" s="10" t="s">
        <v>1884</v>
      </c>
      <c r="D674" s="10" t="s">
        <v>2069</v>
      </c>
      <c r="E674" s="64">
        <v>0</v>
      </c>
      <c r="F674" s="64">
        <v>0</v>
      </c>
      <c r="G674" s="10"/>
      <c r="H674" s="10"/>
      <c r="I674" s="10" t="s">
        <v>2070</v>
      </c>
      <c r="J674" s="10"/>
      <c r="K674" s="64">
        <v>44.95</v>
      </c>
      <c r="L674" s="10" t="s">
        <v>1896</v>
      </c>
    </row>
    <row r="675" spans="1:14" s="63" customFormat="1" x14ac:dyDescent="0.25">
      <c r="A675" s="10" t="s">
        <v>1058</v>
      </c>
      <c r="B675" s="10" t="s">
        <v>2040</v>
      </c>
      <c r="C675" s="10" t="s">
        <v>1884</v>
      </c>
      <c r="D675" s="10" t="s">
        <v>2048</v>
      </c>
      <c r="E675" s="64">
        <v>1</v>
      </c>
      <c r="F675" s="64">
        <v>1</v>
      </c>
      <c r="G675" s="10"/>
      <c r="H675" s="10"/>
      <c r="I675" s="10" t="s">
        <v>2047</v>
      </c>
      <c r="J675" s="10"/>
      <c r="K675" s="64">
        <v>39.950000000000003</v>
      </c>
      <c r="L675" s="10" t="s">
        <v>1896</v>
      </c>
    </row>
    <row r="676" spans="1:14" s="63" customFormat="1" x14ac:dyDescent="0.25">
      <c r="A676" s="10" t="s">
        <v>1058</v>
      </c>
      <c r="B676" s="110" t="s">
        <v>2005</v>
      </c>
      <c r="C676" s="10" t="s">
        <v>1884</v>
      </c>
      <c r="D676" s="10" t="s">
        <v>2073</v>
      </c>
      <c r="E676" s="64">
        <v>0</v>
      </c>
      <c r="F676" s="64">
        <v>0</v>
      </c>
      <c r="G676" s="10"/>
      <c r="H676" s="10"/>
      <c r="I676" s="10" t="s">
        <v>2074</v>
      </c>
      <c r="K676" s="64">
        <v>44.95</v>
      </c>
      <c r="L676" s="10" t="s">
        <v>1896</v>
      </c>
    </row>
    <row r="677" spans="1:14" s="80" customFormat="1" x14ac:dyDescent="0.25">
      <c r="A677" s="77" t="s">
        <v>1058</v>
      </c>
      <c r="B677" s="90" t="s">
        <v>1424</v>
      </c>
      <c r="C677" s="90" t="s">
        <v>5</v>
      </c>
      <c r="D677" s="78" t="s">
        <v>969</v>
      </c>
      <c r="E677" s="79">
        <v>1</v>
      </c>
      <c r="F677" s="79">
        <v>1</v>
      </c>
      <c r="G677" s="78" t="s">
        <v>970</v>
      </c>
      <c r="H677" s="78" t="s">
        <v>971</v>
      </c>
      <c r="I677" s="78" t="s">
        <v>972</v>
      </c>
      <c r="J677" s="78">
        <v>1</v>
      </c>
      <c r="K677" s="79">
        <v>49.95</v>
      </c>
      <c r="L677" s="78" t="s">
        <v>1896</v>
      </c>
      <c r="M677" s="78" t="s">
        <v>1050</v>
      </c>
      <c r="N677" s="78">
        <v>49.95</v>
      </c>
    </row>
    <row r="682" spans="1:14" s="146" customFormat="1" x14ac:dyDescent="0.25">
      <c r="A682" s="61" t="s">
        <v>889</v>
      </c>
      <c r="B682" s="138" t="s">
        <v>1290</v>
      </c>
      <c r="C682" s="146" t="s">
        <v>5</v>
      </c>
      <c r="D682" s="147" t="s">
        <v>1220</v>
      </c>
      <c r="E682" s="147">
        <v>1</v>
      </c>
      <c r="G682" s="147" t="s">
        <v>1221</v>
      </c>
      <c r="H682" s="147" t="s">
        <v>1222</v>
      </c>
      <c r="I682" s="147" t="s">
        <v>1223</v>
      </c>
      <c r="J682" s="147">
        <v>1</v>
      </c>
      <c r="K682" s="147">
        <v>15.95</v>
      </c>
    </row>
    <row r="683" spans="1:14" s="146" customFormat="1" x14ac:dyDescent="0.25">
      <c r="A683" s="61" t="s">
        <v>889</v>
      </c>
      <c r="B683" s="138" t="s">
        <v>1290</v>
      </c>
      <c r="C683" s="146" t="s">
        <v>5</v>
      </c>
      <c r="D683" s="147" t="s">
        <v>1224</v>
      </c>
      <c r="E683" s="147">
        <v>1</v>
      </c>
      <c r="G683" s="147" t="s">
        <v>1225</v>
      </c>
      <c r="H683" s="147" t="s">
        <v>1226</v>
      </c>
      <c r="I683" s="147" t="s">
        <v>1227</v>
      </c>
      <c r="J683" s="147"/>
      <c r="K683" s="147">
        <v>14.95</v>
      </c>
    </row>
    <row r="684" spans="1:14" s="146" customFormat="1" x14ac:dyDescent="0.25">
      <c r="A684" s="61" t="s">
        <v>889</v>
      </c>
      <c r="B684" s="138" t="s">
        <v>1290</v>
      </c>
      <c r="C684" s="146" t="s">
        <v>5</v>
      </c>
      <c r="D684" s="147" t="s">
        <v>1200</v>
      </c>
      <c r="E684" s="147">
        <v>1</v>
      </c>
      <c r="G684" s="147" t="s">
        <v>1201</v>
      </c>
      <c r="H684" s="147" t="s">
        <v>1202</v>
      </c>
      <c r="I684" s="147" t="s">
        <v>1203</v>
      </c>
      <c r="J684" s="147"/>
      <c r="K684" s="147">
        <v>24.95</v>
      </c>
    </row>
    <row r="685" spans="1:14" s="146" customFormat="1" x14ac:dyDescent="0.25">
      <c r="A685" s="61" t="s">
        <v>889</v>
      </c>
      <c r="B685" s="138" t="s">
        <v>1290</v>
      </c>
      <c r="C685" s="146" t="s">
        <v>5</v>
      </c>
      <c r="D685" s="147" t="s">
        <v>1240</v>
      </c>
      <c r="E685" s="147">
        <v>1</v>
      </c>
      <c r="G685" s="147" t="s">
        <v>1241</v>
      </c>
      <c r="H685" s="147" t="s">
        <v>1242</v>
      </c>
      <c r="I685" s="147" t="s">
        <v>1243</v>
      </c>
      <c r="J685" s="147"/>
      <c r="K685" s="147">
        <v>9.9499999999999993</v>
      </c>
    </row>
    <row r="686" spans="1:14" s="146" customFormat="1" x14ac:dyDescent="0.25">
      <c r="A686" s="61" t="s">
        <v>889</v>
      </c>
      <c r="B686" s="138" t="s">
        <v>1290</v>
      </c>
      <c r="C686" s="146" t="s">
        <v>5</v>
      </c>
      <c r="D686" s="147" t="s">
        <v>1216</v>
      </c>
      <c r="E686" s="147">
        <v>1</v>
      </c>
      <c r="G686" s="147" t="s">
        <v>1217</v>
      </c>
      <c r="H686" s="147" t="s">
        <v>1218</v>
      </c>
      <c r="I686" s="147" t="s">
        <v>1219</v>
      </c>
      <c r="J686" s="147">
        <v>1</v>
      </c>
      <c r="K686" s="147">
        <v>19.95</v>
      </c>
    </row>
    <row r="687" spans="1:14" s="146" customFormat="1" x14ac:dyDescent="0.25">
      <c r="A687" s="146" t="s">
        <v>890</v>
      </c>
      <c r="B687" s="158" t="s">
        <v>1603</v>
      </c>
      <c r="C687" s="146" t="s">
        <v>5</v>
      </c>
      <c r="D687" s="147" t="s">
        <v>1264</v>
      </c>
      <c r="E687" s="147">
        <v>1</v>
      </c>
      <c r="G687" s="147" t="s">
        <v>1265</v>
      </c>
      <c r="H687" s="147" t="s">
        <v>1266</v>
      </c>
      <c r="I687" s="147" t="s">
        <v>1267</v>
      </c>
      <c r="J687" s="147">
        <v>1</v>
      </c>
      <c r="K687" s="147">
        <v>0.25</v>
      </c>
    </row>
    <row r="688" spans="1:14" s="146" customFormat="1" x14ac:dyDescent="0.25">
      <c r="A688" s="146" t="s">
        <v>890</v>
      </c>
      <c r="B688" s="158" t="s">
        <v>1603</v>
      </c>
      <c r="C688" s="146" t="s">
        <v>5</v>
      </c>
      <c r="D688" s="147" t="s">
        <v>1276</v>
      </c>
      <c r="E688" s="147">
        <v>1</v>
      </c>
      <c r="G688" s="147" t="s">
        <v>1277</v>
      </c>
      <c r="H688" s="147" t="s">
        <v>1278</v>
      </c>
      <c r="I688" s="147" t="s">
        <v>1279</v>
      </c>
      <c r="J688" s="147">
        <v>1</v>
      </c>
      <c r="K688" s="147">
        <v>1.5</v>
      </c>
    </row>
    <row r="689" spans="1:11" s="146" customFormat="1" x14ac:dyDescent="0.25">
      <c r="A689" s="146" t="s">
        <v>890</v>
      </c>
      <c r="B689" s="158" t="s">
        <v>1603</v>
      </c>
      <c r="C689" s="146" t="s">
        <v>5</v>
      </c>
      <c r="D689" s="147" t="s">
        <v>1272</v>
      </c>
      <c r="E689" s="147">
        <v>1</v>
      </c>
      <c r="G689" s="147" t="s">
        <v>1273</v>
      </c>
      <c r="H689" s="147" t="s">
        <v>1274</v>
      </c>
      <c r="I689" s="147" t="s">
        <v>1275</v>
      </c>
      <c r="J689" s="147">
        <v>1</v>
      </c>
      <c r="K689" s="147">
        <v>0.1</v>
      </c>
    </row>
    <row r="690" spans="1:11" s="146" customFormat="1" x14ac:dyDescent="0.25">
      <c r="A690" s="146" t="s">
        <v>890</v>
      </c>
      <c r="B690" s="158" t="s">
        <v>1603</v>
      </c>
      <c r="C690" s="146" t="s">
        <v>5</v>
      </c>
      <c r="D690" s="147" t="s">
        <v>1436</v>
      </c>
      <c r="E690" s="147">
        <v>1</v>
      </c>
      <c r="G690" s="147" t="s">
        <v>1437</v>
      </c>
      <c r="H690" s="147" t="s">
        <v>1438</v>
      </c>
      <c r="I690" s="147" t="s">
        <v>1439</v>
      </c>
      <c r="J690" s="147">
        <v>1</v>
      </c>
      <c r="K690" s="147">
        <v>1.95</v>
      </c>
    </row>
    <row r="691" spans="1:11" s="146" customFormat="1" x14ac:dyDescent="0.25">
      <c r="A691" s="146" t="s">
        <v>890</v>
      </c>
      <c r="B691" s="158" t="s">
        <v>1603</v>
      </c>
      <c r="C691" s="146" t="s">
        <v>5</v>
      </c>
      <c r="D691" s="147" t="s">
        <v>1440</v>
      </c>
      <c r="E691" s="147">
        <v>1</v>
      </c>
      <c r="G691" s="147" t="s">
        <v>1441</v>
      </c>
      <c r="H691" s="147" t="s">
        <v>1442</v>
      </c>
      <c r="I691" s="147" t="s">
        <v>1443</v>
      </c>
      <c r="J691" s="147">
        <v>1</v>
      </c>
      <c r="K691" s="147">
        <v>1.95</v>
      </c>
    </row>
    <row r="692" spans="1:11" s="146" customFormat="1" x14ac:dyDescent="0.25">
      <c r="A692" s="146" t="s">
        <v>890</v>
      </c>
      <c r="B692" s="158" t="s">
        <v>1603</v>
      </c>
      <c r="C692" s="146" t="s">
        <v>5</v>
      </c>
      <c r="D692" s="147" t="s">
        <v>1468</v>
      </c>
      <c r="E692" s="147">
        <v>1</v>
      </c>
      <c r="G692" s="147" t="s">
        <v>1469</v>
      </c>
      <c r="H692" s="147" t="s">
        <v>1470</v>
      </c>
      <c r="I692" s="147" t="s">
        <v>1471</v>
      </c>
      <c r="J692" s="147">
        <v>1</v>
      </c>
      <c r="K692" s="147">
        <v>1.95</v>
      </c>
    </row>
    <row r="693" spans="1:11" s="146" customFormat="1" x14ac:dyDescent="0.25">
      <c r="A693" s="146" t="s">
        <v>890</v>
      </c>
      <c r="B693" s="146" t="s">
        <v>878</v>
      </c>
      <c r="C693" s="146" t="s">
        <v>5</v>
      </c>
      <c r="D693" s="147" t="s">
        <v>1565</v>
      </c>
      <c r="E693" s="147">
        <v>0</v>
      </c>
      <c r="G693" s="147" t="s">
        <v>1566</v>
      </c>
      <c r="H693" s="147" t="s">
        <v>1567</v>
      </c>
      <c r="I693" s="147" t="s">
        <v>1568</v>
      </c>
      <c r="J693" s="147">
        <v>1</v>
      </c>
      <c r="K693" s="147">
        <v>0.35</v>
      </c>
    </row>
    <row r="694" spans="1:11" s="146" customFormat="1" x14ac:dyDescent="0.25">
      <c r="A694" s="146" t="s">
        <v>890</v>
      </c>
      <c r="B694" s="146" t="s">
        <v>878</v>
      </c>
      <c r="C694" s="146" t="s">
        <v>5</v>
      </c>
      <c r="D694" s="147" t="s">
        <v>1537</v>
      </c>
      <c r="E694" s="147">
        <v>0</v>
      </c>
      <c r="G694" s="147" t="s">
        <v>1538</v>
      </c>
      <c r="H694" s="147" t="s">
        <v>1539</v>
      </c>
      <c r="I694" s="147" t="s">
        <v>1540</v>
      </c>
      <c r="J694" s="147">
        <v>1</v>
      </c>
      <c r="K694" s="147">
        <v>0.35</v>
      </c>
    </row>
    <row r="695" spans="1:11" s="146" customFormat="1" x14ac:dyDescent="0.25">
      <c r="A695" s="159" t="s">
        <v>887</v>
      </c>
      <c r="B695" s="138" t="s">
        <v>1602</v>
      </c>
      <c r="C695" s="146" t="s">
        <v>5</v>
      </c>
      <c r="D695" s="147" t="s">
        <v>1181</v>
      </c>
      <c r="E695" s="147">
        <v>1</v>
      </c>
      <c r="G695" s="147" t="s">
        <v>1182</v>
      </c>
      <c r="H695" s="147" t="s">
        <v>1183</v>
      </c>
      <c r="I695" s="147" t="s">
        <v>1184</v>
      </c>
      <c r="J695" s="147">
        <v>1</v>
      </c>
      <c r="K695" s="147">
        <v>29.95</v>
      </c>
    </row>
    <row r="696" spans="1:11" s="146" customFormat="1" x14ac:dyDescent="0.25">
      <c r="A696" s="159" t="s">
        <v>887</v>
      </c>
      <c r="B696" s="138" t="s">
        <v>11</v>
      </c>
      <c r="C696" s="146" t="s">
        <v>5</v>
      </c>
      <c r="D696" s="147" t="s">
        <v>1204</v>
      </c>
      <c r="E696" s="147">
        <v>1</v>
      </c>
      <c r="G696" s="147" t="s">
        <v>1205</v>
      </c>
      <c r="H696" s="147" t="s">
        <v>1206</v>
      </c>
      <c r="I696" s="147" t="s">
        <v>1207</v>
      </c>
      <c r="J696" s="147">
        <v>1</v>
      </c>
      <c r="K696" s="147">
        <v>5.95</v>
      </c>
    </row>
    <row r="697" spans="1:11" s="146" customFormat="1" x14ac:dyDescent="0.25">
      <c r="A697" s="159" t="s">
        <v>887</v>
      </c>
      <c r="B697" s="138" t="s">
        <v>11</v>
      </c>
      <c r="C697" s="146" t="s">
        <v>5</v>
      </c>
      <c r="D697" s="147" t="s">
        <v>1208</v>
      </c>
      <c r="E697" s="147">
        <v>1</v>
      </c>
      <c r="G697" s="147" t="s">
        <v>1209</v>
      </c>
      <c r="H697" s="147" t="s">
        <v>1210</v>
      </c>
      <c r="I697" s="147" t="s">
        <v>1211</v>
      </c>
      <c r="J697" s="147">
        <v>1</v>
      </c>
      <c r="K697" s="147">
        <v>14.95</v>
      </c>
    </row>
    <row r="698" spans="1:11" s="146" customFormat="1" x14ac:dyDescent="0.25">
      <c r="A698" s="159" t="s">
        <v>887</v>
      </c>
      <c r="B698" s="138" t="s">
        <v>11</v>
      </c>
      <c r="C698" s="146" t="s">
        <v>5</v>
      </c>
      <c r="D698" s="147" t="s">
        <v>1212</v>
      </c>
      <c r="E698" s="147">
        <v>1</v>
      </c>
      <c r="G698" s="147" t="s">
        <v>1213</v>
      </c>
      <c r="H698" s="147" t="s">
        <v>1214</v>
      </c>
      <c r="I698" s="147" t="s">
        <v>1215</v>
      </c>
      <c r="J698" s="147">
        <v>1</v>
      </c>
      <c r="K698" s="147">
        <v>89.95</v>
      </c>
    </row>
    <row r="699" spans="1:11" s="146" customFormat="1" x14ac:dyDescent="0.25">
      <c r="A699" s="159" t="s">
        <v>887</v>
      </c>
      <c r="B699" s="61" t="s">
        <v>881</v>
      </c>
      <c r="C699" s="146" t="s">
        <v>5</v>
      </c>
      <c r="D699" s="147" t="s">
        <v>1477</v>
      </c>
      <c r="E699" s="147">
        <v>1</v>
      </c>
      <c r="G699" s="147" t="s">
        <v>1478</v>
      </c>
      <c r="H699" s="147" t="s">
        <v>1479</v>
      </c>
      <c r="I699" s="147" t="s">
        <v>1480</v>
      </c>
      <c r="J699" s="147">
        <v>1</v>
      </c>
      <c r="K699" s="147">
        <v>49.95</v>
      </c>
    </row>
    <row r="700" spans="1:11" s="146" customFormat="1" x14ac:dyDescent="0.25">
      <c r="A700" s="159" t="s">
        <v>887</v>
      </c>
      <c r="B700" s="61" t="s">
        <v>881</v>
      </c>
      <c r="C700" s="146" t="s">
        <v>5</v>
      </c>
      <c r="D700" s="147" t="s">
        <v>1481</v>
      </c>
      <c r="E700" s="147">
        <v>1</v>
      </c>
      <c r="G700" s="147" t="s">
        <v>1482</v>
      </c>
      <c r="H700" s="147" t="s">
        <v>1483</v>
      </c>
      <c r="I700" s="147" t="s">
        <v>1484</v>
      </c>
      <c r="J700" s="147">
        <v>1</v>
      </c>
      <c r="K700" s="147">
        <v>44.95</v>
      </c>
    </row>
    <row r="701" spans="1:11" s="146" customFormat="1" x14ac:dyDescent="0.25">
      <c r="A701" s="159" t="s">
        <v>887</v>
      </c>
      <c r="B701" s="138" t="s">
        <v>1602</v>
      </c>
      <c r="C701" s="146" t="s">
        <v>5</v>
      </c>
      <c r="D701" s="147" t="s">
        <v>1725</v>
      </c>
      <c r="E701" s="147">
        <v>1</v>
      </c>
      <c r="G701" s="147" t="s">
        <v>1726</v>
      </c>
      <c r="H701" s="147" t="s">
        <v>1727</v>
      </c>
      <c r="I701" s="147" t="s">
        <v>1728</v>
      </c>
      <c r="J701" s="147">
        <v>1</v>
      </c>
      <c r="K701" s="147">
        <v>45</v>
      </c>
    </row>
    <row r="702" spans="1:11" s="146" customFormat="1" x14ac:dyDescent="0.25">
      <c r="A702" s="159" t="s">
        <v>887</v>
      </c>
      <c r="B702" s="146" t="s">
        <v>2008</v>
      </c>
      <c r="C702" s="146" t="s">
        <v>5</v>
      </c>
      <c r="D702" s="147" t="s">
        <v>1781</v>
      </c>
      <c r="E702" s="147">
        <v>1</v>
      </c>
      <c r="G702" s="147" t="s">
        <v>1782</v>
      </c>
      <c r="H702" s="147" t="s">
        <v>1783</v>
      </c>
      <c r="I702" s="147" t="s">
        <v>1784</v>
      </c>
      <c r="J702" s="147">
        <v>1</v>
      </c>
      <c r="K702" s="147">
        <v>29.95</v>
      </c>
    </row>
    <row r="703" spans="1:11" s="146" customFormat="1" x14ac:dyDescent="0.25">
      <c r="A703" s="159" t="s">
        <v>887</v>
      </c>
      <c r="B703" s="61" t="s">
        <v>2012</v>
      </c>
      <c r="C703" s="146" t="s">
        <v>5</v>
      </c>
      <c r="D703" s="147" t="s">
        <v>1785</v>
      </c>
      <c r="E703" s="147">
        <v>1</v>
      </c>
      <c r="G703" s="147" t="s">
        <v>1786</v>
      </c>
      <c r="H703" s="147" t="s">
        <v>1787</v>
      </c>
      <c r="I703" s="147" t="s">
        <v>1788</v>
      </c>
      <c r="J703" s="147">
        <v>1</v>
      </c>
      <c r="K703" s="147">
        <v>0.95</v>
      </c>
    </row>
    <row r="704" spans="1:11" s="146" customFormat="1" x14ac:dyDescent="0.25">
      <c r="A704" s="160" t="s">
        <v>888</v>
      </c>
      <c r="B704" s="160" t="s">
        <v>12</v>
      </c>
      <c r="C704" s="146" t="s">
        <v>5</v>
      </c>
      <c r="D704" s="147" t="s">
        <v>1268</v>
      </c>
      <c r="E704" s="147">
        <v>1</v>
      </c>
      <c r="G704" s="147" t="s">
        <v>1269</v>
      </c>
      <c r="H704" s="147" t="s">
        <v>1270</v>
      </c>
      <c r="I704" s="147" t="s">
        <v>1271</v>
      </c>
      <c r="J704" s="147">
        <v>1</v>
      </c>
      <c r="K704" s="147">
        <v>0.95</v>
      </c>
    </row>
    <row r="705" spans="1:11" s="146" customFormat="1" x14ac:dyDescent="0.25">
      <c r="A705" s="160" t="s">
        <v>888</v>
      </c>
      <c r="B705" s="160" t="s">
        <v>12</v>
      </c>
      <c r="C705" s="146" t="s">
        <v>5</v>
      </c>
      <c r="D705" s="147" t="s">
        <v>1444</v>
      </c>
      <c r="E705" s="147">
        <v>1</v>
      </c>
      <c r="G705" s="147" t="s">
        <v>1445</v>
      </c>
      <c r="H705" s="147" t="s">
        <v>1446</v>
      </c>
      <c r="I705" s="147" t="s">
        <v>1447</v>
      </c>
      <c r="J705" s="147">
        <v>1</v>
      </c>
      <c r="K705" s="147">
        <v>2.95</v>
      </c>
    </row>
    <row r="706" spans="1:11" s="146" customFormat="1" x14ac:dyDescent="0.25">
      <c r="A706" s="160" t="s">
        <v>888</v>
      </c>
      <c r="B706" s="160" t="s">
        <v>12</v>
      </c>
      <c r="C706" s="146" t="s">
        <v>5</v>
      </c>
      <c r="D706" s="147" t="s">
        <v>1456</v>
      </c>
      <c r="E706" s="147">
        <v>1</v>
      </c>
      <c r="G706" s="147" t="s">
        <v>1457</v>
      </c>
      <c r="H706" s="147" t="s">
        <v>1458</v>
      </c>
      <c r="I706" s="147" t="s">
        <v>1459</v>
      </c>
      <c r="J706" s="147">
        <v>1</v>
      </c>
      <c r="K706" s="147">
        <v>2.95</v>
      </c>
    </row>
    <row r="707" spans="1:11" s="146" customFormat="1" x14ac:dyDescent="0.25">
      <c r="A707" s="160" t="s">
        <v>888</v>
      </c>
      <c r="B707" s="160" t="s">
        <v>12</v>
      </c>
      <c r="C707" s="146" t="s">
        <v>5</v>
      </c>
      <c r="D707" s="147" t="s">
        <v>1452</v>
      </c>
      <c r="E707" s="147">
        <v>0</v>
      </c>
      <c r="G707" s="147" t="s">
        <v>1453</v>
      </c>
      <c r="H707" s="147" t="s">
        <v>1454</v>
      </c>
      <c r="I707" s="147" t="s">
        <v>1455</v>
      </c>
      <c r="J707" s="147">
        <v>1</v>
      </c>
      <c r="K707" s="147">
        <v>2.95</v>
      </c>
    </row>
    <row r="708" spans="1:11" s="146" customFormat="1" x14ac:dyDescent="0.25">
      <c r="A708" s="160" t="s">
        <v>888</v>
      </c>
      <c r="B708" s="160" t="s">
        <v>12</v>
      </c>
      <c r="C708" s="146" t="s">
        <v>5</v>
      </c>
      <c r="D708" s="147" t="s">
        <v>1448</v>
      </c>
      <c r="E708" s="147">
        <v>1</v>
      </c>
      <c r="G708" s="147" t="s">
        <v>1449</v>
      </c>
      <c r="H708" s="147" t="s">
        <v>1450</v>
      </c>
      <c r="I708" s="147" t="s">
        <v>1451</v>
      </c>
      <c r="J708" s="147">
        <v>1</v>
      </c>
      <c r="K708" s="147">
        <v>3.95</v>
      </c>
    </row>
    <row r="709" spans="1:11" s="146" customFormat="1" x14ac:dyDescent="0.25">
      <c r="A709" s="160" t="s">
        <v>888</v>
      </c>
      <c r="B709" s="160" t="s">
        <v>12</v>
      </c>
      <c r="C709" s="146" t="s">
        <v>5</v>
      </c>
      <c r="D709" s="147" t="s">
        <v>1472</v>
      </c>
      <c r="E709" s="147">
        <v>0</v>
      </c>
      <c r="G709" s="147" t="s">
        <v>1473</v>
      </c>
      <c r="H709" s="147" t="s">
        <v>1474</v>
      </c>
      <c r="I709" s="147" t="s">
        <v>1475</v>
      </c>
      <c r="J709" s="147">
        <v>1</v>
      </c>
      <c r="K709" s="147">
        <v>3.95</v>
      </c>
    </row>
    <row r="710" spans="1:11" s="146" customFormat="1" x14ac:dyDescent="0.25">
      <c r="A710" s="160" t="s">
        <v>888</v>
      </c>
      <c r="B710" s="160" t="s">
        <v>12</v>
      </c>
      <c r="C710" s="146" t="s">
        <v>5</v>
      </c>
      <c r="D710" s="147" t="s">
        <v>1464</v>
      </c>
      <c r="E710" s="147">
        <v>1</v>
      </c>
      <c r="G710" s="147" t="s">
        <v>1465</v>
      </c>
      <c r="H710" s="147" t="s">
        <v>1466</v>
      </c>
      <c r="I710" s="147" t="s">
        <v>1467</v>
      </c>
      <c r="J710" s="147">
        <v>1</v>
      </c>
      <c r="K710" s="147">
        <v>3.95</v>
      </c>
    </row>
    <row r="711" spans="1:11" s="146" customFormat="1" x14ac:dyDescent="0.25">
      <c r="A711" s="160" t="s">
        <v>888</v>
      </c>
      <c r="B711" s="160" t="s">
        <v>12</v>
      </c>
      <c r="C711" s="146" t="s">
        <v>5</v>
      </c>
      <c r="D711" s="147" t="s">
        <v>1460</v>
      </c>
      <c r="E711" s="147">
        <v>1</v>
      </c>
      <c r="G711" s="147" t="s">
        <v>1461</v>
      </c>
      <c r="H711" s="147" t="s">
        <v>1462</v>
      </c>
      <c r="I711" s="147" t="s">
        <v>1463</v>
      </c>
      <c r="J711" s="147">
        <v>1</v>
      </c>
      <c r="K711" s="147">
        <v>3.95</v>
      </c>
    </row>
    <row r="712" spans="1:11" s="146" customFormat="1" x14ac:dyDescent="0.25">
      <c r="A712" s="160" t="s">
        <v>888</v>
      </c>
      <c r="B712" s="138" t="s">
        <v>1882</v>
      </c>
      <c r="C712" s="146" t="s">
        <v>5</v>
      </c>
      <c r="D712" s="147" t="s">
        <v>1845</v>
      </c>
      <c r="E712" s="147">
        <v>1</v>
      </c>
      <c r="G712" s="147" t="s">
        <v>1846</v>
      </c>
      <c r="H712" s="147" t="s">
        <v>1847</v>
      </c>
      <c r="I712" s="147" t="s">
        <v>1848</v>
      </c>
      <c r="J712" s="147">
        <v>1</v>
      </c>
      <c r="K712" s="147">
        <v>2.95</v>
      </c>
    </row>
    <row r="713" spans="1:11" s="146" customFormat="1" x14ac:dyDescent="0.25">
      <c r="A713" s="160" t="s">
        <v>888</v>
      </c>
      <c r="B713" s="138" t="s">
        <v>1882</v>
      </c>
      <c r="C713" s="146" t="s">
        <v>5</v>
      </c>
      <c r="D713" s="147" t="s">
        <v>1849</v>
      </c>
      <c r="E713" s="147">
        <v>1</v>
      </c>
      <c r="G713" s="147" t="s">
        <v>1850</v>
      </c>
      <c r="H713" s="147" t="s">
        <v>1851</v>
      </c>
      <c r="I713" s="147" t="s">
        <v>1852</v>
      </c>
      <c r="J713" s="147"/>
      <c r="K713" s="147">
        <v>3.95</v>
      </c>
    </row>
    <row r="714" spans="1:11" s="146" customFormat="1" x14ac:dyDescent="0.25">
      <c r="A714" s="160" t="s">
        <v>888</v>
      </c>
      <c r="B714" s="138" t="s">
        <v>1882</v>
      </c>
      <c r="C714" s="146" t="s">
        <v>5</v>
      </c>
      <c r="D714" s="147" t="s">
        <v>1853</v>
      </c>
      <c r="E714" s="147">
        <v>1</v>
      </c>
      <c r="G714" s="147" t="s">
        <v>1854</v>
      </c>
      <c r="H714" s="147" t="s">
        <v>1855</v>
      </c>
      <c r="I714" s="147" t="s">
        <v>1856</v>
      </c>
      <c r="J714" s="147"/>
      <c r="K714" s="147">
        <v>4.95</v>
      </c>
    </row>
    <row r="715" spans="1:11" s="146" customFormat="1" x14ac:dyDescent="0.25">
      <c r="A715" s="160" t="s">
        <v>888</v>
      </c>
      <c r="B715" s="138" t="s">
        <v>1882</v>
      </c>
      <c r="C715" s="146" t="s">
        <v>5</v>
      </c>
      <c r="D715" s="147" t="s">
        <v>1857</v>
      </c>
      <c r="E715" s="147">
        <v>1</v>
      </c>
      <c r="G715" s="147" t="s">
        <v>1858</v>
      </c>
      <c r="H715" s="147" t="s">
        <v>1859</v>
      </c>
      <c r="I715" s="147" t="s">
        <v>1860</v>
      </c>
      <c r="J715" s="147">
        <v>1</v>
      </c>
      <c r="K715" s="147">
        <v>14.95</v>
      </c>
    </row>
    <row r="716" spans="1:11" s="146" customFormat="1" x14ac:dyDescent="0.25">
      <c r="A716" s="160" t="s">
        <v>888</v>
      </c>
      <c r="B716" s="138" t="s">
        <v>1882</v>
      </c>
      <c r="C716" s="146" t="s">
        <v>5</v>
      </c>
      <c r="D716" s="147" t="s">
        <v>1861</v>
      </c>
      <c r="E716" s="147">
        <v>1</v>
      </c>
      <c r="G716" s="147" t="s">
        <v>1862</v>
      </c>
      <c r="H716" s="147" t="s">
        <v>1863</v>
      </c>
      <c r="I716" s="147" t="s">
        <v>1864</v>
      </c>
      <c r="J716" s="147"/>
      <c r="K716" s="147">
        <v>4.95</v>
      </c>
    </row>
    <row r="717" spans="1:11" s="146" customFormat="1" x14ac:dyDescent="0.25">
      <c r="A717" s="160" t="s">
        <v>888</v>
      </c>
      <c r="B717" s="138" t="s">
        <v>1882</v>
      </c>
      <c r="C717" s="146" t="s">
        <v>5</v>
      </c>
      <c r="D717" s="147" t="s">
        <v>1865</v>
      </c>
      <c r="E717" s="147">
        <v>1</v>
      </c>
      <c r="G717" s="147" t="s">
        <v>1866</v>
      </c>
      <c r="H717" s="147" t="s">
        <v>1867</v>
      </c>
      <c r="I717" s="147" t="s">
        <v>1868</v>
      </c>
      <c r="J717" s="147"/>
      <c r="K717" s="147">
        <v>27.95</v>
      </c>
    </row>
    <row r="718" spans="1:11" s="146" customFormat="1" x14ac:dyDescent="0.25">
      <c r="A718" s="146" t="s">
        <v>13</v>
      </c>
      <c r="B718" s="138" t="s">
        <v>1600</v>
      </c>
      <c r="C718" s="146" t="s">
        <v>5</v>
      </c>
      <c r="D718" s="147" t="s">
        <v>1189</v>
      </c>
      <c r="E718" s="147">
        <v>1</v>
      </c>
      <c r="G718" s="147" t="s">
        <v>1190</v>
      </c>
      <c r="H718" s="147" t="s">
        <v>1191</v>
      </c>
      <c r="I718" s="147" t="s">
        <v>1192</v>
      </c>
      <c r="J718" s="147">
        <v>1</v>
      </c>
      <c r="K718" s="147">
        <v>59.95</v>
      </c>
    </row>
  </sheetData>
  <mergeCells count="1">
    <mergeCell ref="A662:B662"/>
  </mergeCells>
  <conditionalFormatting sqref="A14:Y14 A209:G352 A177:G200 A114:G160 G56:G57 C161:G163 A161:B166 A167:G175 R164:S166 C164:F166 K113:M113 A113:F113 A25:F26 G49:M50 A49:F58 A59:G70 A27:M48 R51:Y58 A71:F72 A73:G112 R176:Y176 A176:F176 A201:F208 R201:Y208 G353 A446:F451 A359:G414 A417:G445 Q167:Y175 Q177:Y200 Q59:Y163 Q209:Y620 A15:M24 Q15:Y50 P15:P620 O15:O24 O452:O620 O417:O445 O359:O414 O59:O70 O27:O50 O167:O175 O73:O163 O177:O200 O209:O353 N15:N620 A353:F358 A452:G647 I621:Y647 I452:M620 I417:M445 I359:M414 I73:M112 I59:M70 I167:M175 I114:M163 I177:M200 I209:M353">
    <cfRule type="expression" dxfId="1136" priority="281">
      <formula>AND(($F14=0),NOT(ISBLANK($F14)))</formula>
    </cfRule>
  </conditionalFormatting>
  <conditionalFormatting sqref="F663:F677">
    <cfRule type="expression" dxfId="1135" priority="272">
      <formula>AND(($E663=0),NOT(ISBLANK($E663)))</formula>
    </cfRule>
  </conditionalFormatting>
  <conditionalFormatting sqref="B708 B712:B716 B710 B682:B686 B688:B698">
    <cfRule type="expression" dxfId="1134" priority="5429">
      <formula>AND(($G682=0),NOT(ISBLANK($G682)))</formula>
    </cfRule>
  </conditionalFormatting>
  <conditionalFormatting sqref="N14:N647">
    <cfRule type="dataBar" priority="5457">
      <dataBar>
        <cfvo type="min"/>
        <cfvo type="max"/>
        <color rgb="FFFFB628"/>
      </dataBar>
      <extLst>
        <ext xmlns:x14="http://schemas.microsoft.com/office/spreadsheetml/2009/9/main" uri="{B025F937-C7B1-47D3-B67F-A62EFF666E3E}">
          <x14:id>{AFE2192A-7A90-4F8E-BE9D-65959FA14EDE}</x14:id>
        </ext>
      </extLst>
    </cfRule>
  </conditionalFormatting>
  <conditionalFormatting sqref="Y14:Y163 Y167:Y647">
    <cfRule type="dataBar" priority="5468">
      <dataBar>
        <cfvo type="min"/>
        <cfvo type="max"/>
        <color rgb="FFFFB628"/>
      </dataBar>
      <extLst>
        <ext xmlns:x14="http://schemas.microsoft.com/office/spreadsheetml/2009/9/main" uri="{B025F937-C7B1-47D3-B67F-A62EFF666E3E}">
          <x14:id>{4EA359EC-0BEA-4EC3-971F-50ED50DBF716}</x14:id>
        </ext>
      </extLst>
    </cfRule>
  </conditionalFormatting>
  <conditionalFormatting sqref="Q164:Q166">
    <cfRule type="expression" dxfId="1133" priority="143">
      <formula>AND(($F164=0),NOT(ISBLANK($F164)))</formula>
    </cfRule>
  </conditionalFormatting>
  <conditionalFormatting sqref="K164:M166 O164:O166">
    <cfRule type="expression" dxfId="1132" priority="127">
      <formula>AND(($F164=0),NOT(ISBLANK($F164)))</formula>
    </cfRule>
  </conditionalFormatting>
  <conditionalFormatting sqref="I113">
    <cfRule type="expression" dxfId="1131" priority="119">
      <formula>AND(($F113=0),NOT(ISBLANK($F113)))</formula>
    </cfRule>
  </conditionalFormatting>
  <conditionalFormatting sqref="I164:I166">
    <cfRule type="expression" dxfId="1130" priority="135">
      <formula>AND(($F164=0),NOT(ISBLANK($F164)))</formula>
    </cfRule>
  </conditionalFormatting>
  <conditionalFormatting sqref="I25:M26 O25:O26">
    <cfRule type="expression" dxfId="1129" priority="111">
      <formula>AND(($F25=0),NOT(ISBLANK($F25)))</formula>
    </cfRule>
  </conditionalFormatting>
  <conditionalFormatting sqref="I51:M58 Q51:Q58 O51:O58">
    <cfRule type="expression" dxfId="1128" priority="95">
      <formula>AND(($F51=0),NOT(ISBLANK($F51)))</formula>
    </cfRule>
  </conditionalFormatting>
  <conditionalFormatting sqref="Q176">
    <cfRule type="expression" dxfId="1127" priority="78">
      <formula>AND(($F176=0),NOT(ISBLANK($F176)))</formula>
    </cfRule>
  </conditionalFormatting>
  <conditionalFormatting sqref="I71:M72 O71:O72">
    <cfRule type="expression" dxfId="1126" priority="86">
      <formula>AND(($F71=0),NOT(ISBLANK($F71)))</formula>
    </cfRule>
  </conditionalFormatting>
  <conditionalFormatting sqref="I176:M176 O176">
    <cfRule type="expression" dxfId="1125" priority="69">
      <formula>AND(($F176=0),NOT(ISBLANK($F176)))</formula>
    </cfRule>
  </conditionalFormatting>
  <conditionalFormatting sqref="Q201:Q208">
    <cfRule type="expression" dxfId="1124" priority="61">
      <formula>AND(($F201=0),NOT(ISBLANK($F201)))</formula>
    </cfRule>
  </conditionalFormatting>
  <conditionalFormatting sqref="I201:M208 O201:O208">
    <cfRule type="expression" dxfId="1123" priority="52">
      <formula>AND(($F201=0),NOT(ISBLANK($F201)))</formula>
    </cfRule>
  </conditionalFormatting>
  <conditionalFormatting sqref="I354:M358 O354:O358">
    <cfRule type="expression" dxfId="1122" priority="43">
      <formula>AND(($F354=0),NOT(ISBLANK($F354)))</formula>
    </cfRule>
  </conditionalFormatting>
  <conditionalFormatting sqref="A415:F416">
    <cfRule type="expression" dxfId="1121" priority="35">
      <formula>AND(($F415=0),NOT(ISBLANK($F415)))</formula>
    </cfRule>
  </conditionalFormatting>
  <conditionalFormatting sqref="I446:M451 O446:O451">
    <cfRule type="expression" dxfId="1120" priority="17">
      <formula>AND(($F446=0),NOT(ISBLANK($F446)))</formula>
    </cfRule>
  </conditionalFormatting>
  <conditionalFormatting sqref="I415:M416 O415:O416">
    <cfRule type="expression" dxfId="1119" priority="26">
      <formula>AND(($F415=0),NOT(ISBLANK($F415)))</formula>
    </cfRule>
  </conditionalFormatting>
  <conditionalFormatting sqref="H25:H26">
    <cfRule type="expression" dxfId="1118" priority="9">
      <formula>AND(($F25=0),NOT(ISBLANK($F25)))</formula>
    </cfRule>
  </conditionalFormatting>
  <conditionalFormatting sqref="H51:H647">
    <cfRule type="expression" dxfId="1117" priority="1">
      <formula>AND(($F51=0),NOT(ISBLANK($F51)))</formula>
    </cfRule>
  </conditionalFormatting>
  <dataValidations xWindow="618" yWindow="364" count="4">
    <dataValidation type="list" allowBlank="1" showInputMessage="1" showErrorMessage="1" sqref="A297 A699:A716 A683:A687 A691:A695" xr:uid="{C70301B2-72B7-4BB4-87E9-DDFC99B7C927}">
      <formula1>$C$6:$C$13</formula1>
    </dataValidation>
    <dataValidation allowBlank="1" showInputMessage="1" showErrorMessage="1" prompt="Title of this worksheet is in this cell" sqref="A11" xr:uid="{58B28C1C-54C5-485C-A339-1495B58F7C7E}"/>
    <dataValidation allowBlank="1" showInputMessage="1" showErrorMessage="1" prompt="Title of this worksheet is in cells B1 through D1" sqref="A662" xr:uid="{A7B130D7-57D8-4E73-AFCE-5E4227D1AD52}"/>
    <dataValidation allowBlank="1" showInputMessage="1" showErrorMessage="1" prompt="Total Estimated Value of All Items is automatically calculated in cell at right. Enter Inventory Date in cell I2" sqref="A651:C651" xr:uid="{D2775CEF-F52C-450F-A93E-EB939E115231}"/>
  </dataValidations>
  <pageMargins left="0.7" right="0.7" top="0.75" bottom="0.75" header="0.3" footer="0.3"/>
  <pageSetup orientation="portrait" horizontalDpi="4294967294" verticalDpi="0" r:id="rId1"/>
  <drawing r:id="rId2"/>
  <tableParts count="2">
    <tablePart r:id="rId3"/>
    <tablePart r:id="rId4"/>
  </tableParts>
  <extLst>
    <ext xmlns:x14="http://schemas.microsoft.com/office/spreadsheetml/2009/9/main" uri="{78C0D931-6437-407d-A8EE-F0AAD7539E65}">
      <x14:conditionalFormattings>
        <x14:conditionalFormatting xmlns:xm="http://schemas.microsoft.com/office/excel/2006/main">
          <x14:cfRule type="dataBar" id="{AFE2192A-7A90-4F8E-BE9D-65959FA14EDE}">
            <x14:dataBar minLength="0" maxLength="100" border="1" negativeBarBorderColorSameAsPositive="0">
              <x14:cfvo type="autoMin"/>
              <x14:cfvo type="autoMax"/>
              <x14:borderColor rgb="FFFFB628"/>
              <x14:negativeFillColor rgb="FFFF0000"/>
              <x14:negativeBorderColor rgb="FFFF0000"/>
              <x14:axisColor rgb="FF000000"/>
            </x14:dataBar>
          </x14:cfRule>
          <xm:sqref>N14:N647</xm:sqref>
        </x14:conditionalFormatting>
        <x14:conditionalFormatting xmlns:xm="http://schemas.microsoft.com/office/excel/2006/main">
          <x14:cfRule type="dataBar" id="{4EA359EC-0BEA-4EC3-971F-50ED50DBF716}">
            <x14:dataBar minLength="0" maxLength="100" border="1" negativeBarBorderColorSameAsPositive="0">
              <x14:cfvo type="autoMin"/>
              <x14:cfvo type="autoMax"/>
              <x14:borderColor rgb="FFFFB628"/>
              <x14:negativeFillColor rgb="FFFF0000"/>
              <x14:negativeBorderColor rgb="FFFF0000"/>
              <x14:axisColor rgb="FF000000"/>
            </x14:dataBar>
          </x14:cfRule>
          <xm:sqref>Y14:Y163 Y167:Y647</xm:sqref>
        </x14:conditionalFormatting>
        <x14:conditionalFormatting xmlns:xm="http://schemas.microsoft.com/office/excel/2006/main">
          <x14:cfRule type="expression" priority="282" id="{73BA1525-5F94-4709-A718-432212749FA3}">
            <xm:f>$L14=FilterSpecs!$F$13</xm:f>
            <x14:dxf>
              <font>
                <b/>
                <i val="0"/>
                <color theme="0"/>
              </font>
              <fill>
                <patternFill>
                  <bgColor theme="9" tint="-0.499984740745262"/>
                </patternFill>
              </fill>
            </x14:dxf>
          </x14:cfRule>
          <x14:cfRule type="expression" priority="392" id="{A3DA2E1C-CA49-447F-A640-0474ED98E085}">
            <xm:f>$L14=FilterSpecs!$F$11</xm:f>
            <x14:dxf>
              <font>
                <b/>
                <i val="0"/>
                <color theme="0"/>
              </font>
              <fill>
                <patternFill>
                  <bgColor rgb="FF00B050"/>
                </patternFill>
              </fill>
            </x14:dxf>
          </x14:cfRule>
          <x14:cfRule type="expression" priority="393" id="{167D13D1-AA1B-4A9F-9840-5161E6E20C2E}">
            <xm:f>$L14=FilterSpecs!$F$10</xm:f>
            <x14:dxf>
              <font>
                <b/>
                <i val="0"/>
                <color theme="0"/>
              </font>
              <fill>
                <patternFill>
                  <bgColor rgb="FF002060"/>
                </patternFill>
              </fill>
            </x14:dxf>
          </x14:cfRule>
          <x14:cfRule type="expression" priority="394" id="{74101E19-890B-4DD0-9583-7918E9D31EC1}">
            <xm:f>$L14=FilterSpecs!$F$9</xm:f>
            <x14:dxf>
              <font>
                <b/>
                <i val="0"/>
                <color theme="0"/>
              </font>
              <fill>
                <patternFill>
                  <bgColor rgb="FFFF0000"/>
                </patternFill>
              </fill>
            </x14:dxf>
          </x14:cfRule>
          <x14:cfRule type="expression" priority="395" id="{AC7570B1-D125-4612-ACA0-4EFAEE52A16B}">
            <xm:f>$L14=FilterSpecs!$F$8</xm:f>
            <x14:dxf>
              <font>
                <b/>
                <i val="0"/>
                <color theme="0"/>
              </font>
              <fill>
                <patternFill>
                  <bgColor rgb="FFFFC000"/>
                </patternFill>
              </fill>
            </x14:dxf>
          </x14:cfRule>
          <x14:cfRule type="expression" priority="396" id="{E88B3DDE-B311-4FB2-9A5B-2EF8A963446F}">
            <xm:f>$L14=FilterSpecs!$F$6</xm:f>
            <x14:dxf>
              <font>
                <b val="0"/>
                <i val="0"/>
              </font>
              <fill>
                <patternFill patternType="none">
                  <bgColor auto="1"/>
                </patternFill>
              </fill>
            </x14:dxf>
          </x14:cfRule>
          <x14:cfRule type="expression" priority="397" id="{7C38D4A5-59B5-4604-BC02-2B18381F2A1B}">
            <xm:f>$L14=FilterSpecs!$F$7</xm:f>
            <x14:dxf>
              <font>
                <b/>
                <i val="0"/>
                <color theme="0"/>
              </font>
              <fill>
                <patternFill>
                  <bgColor rgb="FF00B0F0"/>
                </patternFill>
              </fill>
            </x14:dxf>
          </x14:cfRule>
          <xm:sqref>A14:Y14 A209:G352 A177:G200 A114:G160 G56:G57 C161:G163 A161:B166 A167:G175 R164:S166 C164:F166 K113:M113 A113:F113 A25:F26 G49:M50 A49:F58 A59:G70 A27:M48 R51:Y58 A71:F72 A73:G112 R176:Y176 A176:F176 A201:F208 R201:Y208 G353 A446:F451 A359:G414 A417:G445 Q167:Y175 Q177:Y200 Q59:Y163 Q209:Y620 A15:M24 Q15:Y50 P15:P620 O15:O24 O452:O620 O417:O445 O359:O414 O59:O70 O27:O50 O167:O175 O73:O163 O177:O200 O209:O353 N15:N620 A353:F358 A452:G647 I621:Y647 I452:M620 I417:M445 I359:M414 I73:M112 I59:M70 I167:M175 I114:M163 I177:M200 I209:M353</xm:sqref>
        </x14:conditionalFormatting>
        <x14:conditionalFormatting xmlns:xm="http://schemas.microsoft.com/office/excel/2006/main">
          <x14:cfRule type="expression" priority="5334" id="{05F12634-AA3D-420C-ACAD-2AA7BDF1180F}">
            <xm:f>$M663=FilterSpecs!$F$13</xm:f>
            <x14:dxf>
              <font>
                <b/>
                <i val="0"/>
                <color theme="0"/>
              </font>
              <fill>
                <patternFill>
                  <bgColor theme="9" tint="-0.499984740745262"/>
                </patternFill>
              </fill>
            </x14:dxf>
          </x14:cfRule>
          <x14:cfRule type="expression" priority="5335" id="{C97F98DC-FC72-44E0-AC1B-1189A17ACC4E}">
            <xm:f>$M663=FilterSpecs!$F$12</xm:f>
            <x14:dxf>
              <font>
                <b/>
                <i val="0"/>
                <color theme="0"/>
              </font>
              <fill>
                <patternFill>
                  <bgColor rgb="FFEC6E6E"/>
                </patternFill>
              </fill>
            </x14:dxf>
          </x14:cfRule>
          <x14:cfRule type="expression" priority="5336" id="{79900525-E6E1-4EDD-A6E3-30DA30DF82F4}">
            <xm:f>$M663=FilterSpecs!$F$11</xm:f>
            <x14:dxf>
              <font>
                <b/>
                <i val="0"/>
                <color theme="0"/>
              </font>
              <fill>
                <patternFill>
                  <bgColor rgb="FF00B050"/>
                </patternFill>
              </fill>
            </x14:dxf>
          </x14:cfRule>
          <x14:cfRule type="expression" priority="5337" id="{E9873F94-9D28-41DF-85D9-8138F41B3AAA}">
            <xm:f>$M663=FilterSpecs!$F$10</xm:f>
            <x14:dxf>
              <font>
                <b/>
                <i val="0"/>
                <color theme="0"/>
              </font>
              <fill>
                <patternFill>
                  <bgColor rgb="FF002060"/>
                </patternFill>
              </fill>
            </x14:dxf>
          </x14:cfRule>
          <x14:cfRule type="expression" priority="5338" id="{362007AA-BD77-40C8-AB4A-E029261750BB}">
            <xm:f>$M663=FilterSpecs!$F$9</xm:f>
            <x14:dxf>
              <font>
                <b/>
                <i val="0"/>
                <color theme="0"/>
              </font>
              <fill>
                <patternFill>
                  <bgColor rgb="FFFF0000"/>
                </patternFill>
              </fill>
            </x14:dxf>
          </x14:cfRule>
          <x14:cfRule type="expression" priority="5339" id="{6756CE8D-38C4-4243-8152-1DD4F6910657}">
            <xm:f>$M663=FilterSpecs!$F$8</xm:f>
            <x14:dxf>
              <font>
                <b/>
                <i val="0"/>
                <color theme="0"/>
              </font>
              <fill>
                <patternFill>
                  <bgColor rgb="FFFFC000"/>
                </patternFill>
              </fill>
            </x14:dxf>
          </x14:cfRule>
          <x14:cfRule type="expression" priority="5340" id="{64DD0D71-B8D1-4CFA-936B-7FD19F195A50}">
            <xm:f>$M663=FilterSpecs!$F$6</xm:f>
            <x14:dxf>
              <font>
                <b val="0"/>
                <i val="0"/>
              </font>
              <fill>
                <patternFill patternType="none">
                  <bgColor auto="1"/>
                </patternFill>
              </fill>
            </x14:dxf>
          </x14:cfRule>
          <x14:cfRule type="expression" priority="5341" id="{9491F1FA-038F-4A7B-8A13-B9CE21C51EBC}">
            <xm:f>$M663=FilterSpecs!$F$7</xm:f>
            <x14:dxf>
              <font>
                <b/>
                <i val="0"/>
                <color theme="0"/>
              </font>
              <fill>
                <patternFill>
                  <bgColor rgb="FF00B0F0"/>
                </patternFill>
              </fill>
            </x14:dxf>
          </x14:cfRule>
          <xm:sqref>G663:S677 D663:E677</xm:sqref>
        </x14:conditionalFormatting>
        <x14:conditionalFormatting xmlns:xm="http://schemas.microsoft.com/office/excel/2006/main">
          <x14:cfRule type="expression" priority="273" id="{6FE87353-5C31-4CD8-A2D6-2B93AADF5CB7}">
            <xm:f>$M663=FilterSpecs!$F$13</xm:f>
            <x14:dxf>
              <font>
                <b/>
                <i val="0"/>
                <color theme="0"/>
              </font>
              <fill>
                <patternFill>
                  <bgColor theme="9" tint="-0.499984740745262"/>
                </patternFill>
              </fill>
            </x14:dxf>
          </x14:cfRule>
          <x14:cfRule type="expression" priority="274" id="{A17AEA77-4CB6-4D52-88C5-B0D1029CBA99}">
            <xm:f>$M663=FilterSpecs!$F$12</xm:f>
            <x14:dxf>
              <font>
                <b/>
                <i val="0"/>
                <color theme="0"/>
              </font>
              <fill>
                <patternFill>
                  <bgColor rgb="FFEC6E6E"/>
                </patternFill>
              </fill>
            </x14:dxf>
          </x14:cfRule>
          <x14:cfRule type="expression" priority="275" id="{F5FBEBAB-3CEE-4528-B98B-F3167D66BC5B}">
            <xm:f>$M663=FilterSpecs!$F$11</xm:f>
            <x14:dxf>
              <font>
                <b/>
                <i val="0"/>
                <color theme="0"/>
              </font>
              <fill>
                <patternFill>
                  <bgColor rgb="FF00B050"/>
                </patternFill>
              </fill>
            </x14:dxf>
          </x14:cfRule>
          <x14:cfRule type="expression" priority="276" id="{B9B8FF12-B843-46BD-9B16-CCF72E9A4229}">
            <xm:f>$M663=FilterSpecs!$F$10</xm:f>
            <x14:dxf>
              <font>
                <b/>
                <i val="0"/>
                <color theme="0"/>
              </font>
              <fill>
                <patternFill>
                  <bgColor rgb="FF002060"/>
                </patternFill>
              </fill>
            </x14:dxf>
          </x14:cfRule>
          <x14:cfRule type="expression" priority="277" id="{092B66BC-2C1E-4EBE-8520-4963832C1CF0}">
            <xm:f>$M663=FilterSpecs!$F$9</xm:f>
            <x14:dxf>
              <font>
                <b/>
                <i val="0"/>
                <color theme="0"/>
              </font>
              <fill>
                <patternFill>
                  <bgColor rgb="FFFF0000"/>
                </patternFill>
              </fill>
            </x14:dxf>
          </x14:cfRule>
          <x14:cfRule type="expression" priority="278" id="{DC6FDE5C-C234-4FD5-A2DC-1F367F999155}">
            <xm:f>$M663=FilterSpecs!$F$8</xm:f>
            <x14:dxf>
              <font>
                <b/>
                <i val="0"/>
                <color theme="0"/>
              </font>
              <fill>
                <patternFill>
                  <bgColor rgb="FFFFC000"/>
                </patternFill>
              </fill>
            </x14:dxf>
          </x14:cfRule>
          <x14:cfRule type="expression" priority="279" id="{7736FA90-2DF3-442F-85CC-96BBC19B5F77}">
            <xm:f>$M663=FilterSpecs!$F$6</xm:f>
            <x14:dxf>
              <font>
                <b val="0"/>
                <i val="0"/>
              </font>
              <fill>
                <patternFill patternType="none">
                  <bgColor auto="1"/>
                </patternFill>
              </fill>
            </x14:dxf>
          </x14:cfRule>
          <x14:cfRule type="expression" priority="280" id="{66A408B1-3AE1-4B0A-81B0-491BADDCD7DB}">
            <xm:f>$M663=FilterSpecs!$F$7</xm:f>
            <x14:dxf>
              <font>
                <b/>
                <i val="0"/>
                <color theme="0"/>
              </font>
              <fill>
                <patternFill>
                  <bgColor rgb="FF00B0F0"/>
                </patternFill>
              </fill>
            </x14:dxf>
          </x14:cfRule>
          <xm:sqref>F663:F677</xm:sqref>
        </x14:conditionalFormatting>
        <x14:conditionalFormatting xmlns:xm="http://schemas.microsoft.com/office/excel/2006/main">
          <x14:cfRule type="expression" priority="5371" id="{05F12634-AA3D-420C-ACAD-2AA7BDF1180F}">
            <xm:f>$M663=FilterSpecs!$F$13</xm:f>
            <x14:dxf>
              <font>
                <b/>
                <i val="0"/>
                <color theme="0"/>
              </font>
              <fill>
                <patternFill>
                  <bgColor theme="9" tint="-0.499984740745262"/>
                </patternFill>
              </fill>
            </x14:dxf>
          </x14:cfRule>
          <x14:cfRule type="expression" priority="5372" id="{C97F98DC-FC72-44E0-AC1B-1189A17ACC4E}">
            <xm:f>$M663=FilterSpecs!$F$12</xm:f>
            <x14:dxf>
              <font>
                <b/>
                <i val="0"/>
                <color theme="0"/>
              </font>
              <fill>
                <patternFill>
                  <bgColor rgb="FFEC6E6E"/>
                </patternFill>
              </fill>
            </x14:dxf>
          </x14:cfRule>
          <x14:cfRule type="expression" priority="5373" id="{79900525-E6E1-4EDD-A6E3-30DA30DF82F4}">
            <xm:f>$M663=FilterSpecs!$F$11</xm:f>
            <x14:dxf>
              <font>
                <b/>
                <i val="0"/>
                <color theme="0"/>
              </font>
              <fill>
                <patternFill>
                  <bgColor rgb="FF00B050"/>
                </patternFill>
              </fill>
            </x14:dxf>
          </x14:cfRule>
          <x14:cfRule type="expression" priority="5374" id="{E9873F94-9D28-41DF-85D9-8138F41B3AAA}">
            <xm:f>$M663=FilterSpecs!$F$10</xm:f>
            <x14:dxf>
              <font>
                <b/>
                <i val="0"/>
                <color theme="0"/>
              </font>
              <fill>
                <patternFill>
                  <bgColor rgb="FF002060"/>
                </patternFill>
              </fill>
            </x14:dxf>
          </x14:cfRule>
          <x14:cfRule type="expression" priority="5375" id="{362007AA-BD77-40C8-AB4A-E029261750BB}">
            <xm:f>$M663=FilterSpecs!$F$9</xm:f>
            <x14:dxf>
              <font>
                <b/>
                <i val="0"/>
                <color theme="0"/>
              </font>
              <fill>
                <patternFill>
                  <bgColor rgb="FFFF0000"/>
                </patternFill>
              </fill>
            </x14:dxf>
          </x14:cfRule>
          <x14:cfRule type="expression" priority="5376" id="{6756CE8D-38C4-4243-8152-1DD4F6910657}">
            <xm:f>$M663=FilterSpecs!$F$8</xm:f>
            <x14:dxf>
              <font>
                <b/>
                <i val="0"/>
                <color theme="0"/>
              </font>
              <fill>
                <patternFill>
                  <bgColor rgb="FFFFC000"/>
                </patternFill>
              </fill>
            </x14:dxf>
          </x14:cfRule>
          <x14:cfRule type="expression" priority="5377" id="{64DD0D71-B8D1-4CFA-936B-7FD19F195A50}">
            <xm:f>$M663=FilterSpecs!$F$6</xm:f>
            <x14:dxf>
              <font>
                <b val="0"/>
                <i val="0"/>
              </font>
              <fill>
                <patternFill patternType="none">
                  <bgColor auto="1"/>
                </patternFill>
              </fill>
            </x14:dxf>
          </x14:cfRule>
          <x14:cfRule type="expression" priority="5378" id="{9491F1FA-038F-4A7B-8A13-B9CE21C51EBC}">
            <xm:f>$M663=FilterSpecs!$F$7</xm:f>
            <x14:dxf>
              <font>
                <b/>
                <i val="0"/>
                <color theme="0"/>
              </font>
              <fill>
                <patternFill>
                  <bgColor rgb="FF00B0F0"/>
                </patternFill>
              </fill>
            </x14:dxf>
          </x14:cfRule>
          <xm:sqref>A663:C677</xm:sqref>
        </x14:conditionalFormatting>
        <x14:conditionalFormatting xmlns:xm="http://schemas.microsoft.com/office/excel/2006/main">
          <x14:cfRule type="expression" priority="222" id="{466CB5C6-9C5D-4EDE-88AF-804881722F7C}">
            <xm:f>#REF!=FilterSpecs!$F$13</xm:f>
            <x14:dxf>
              <font>
                <b/>
                <i val="0"/>
                <color theme="0"/>
              </font>
              <fill>
                <patternFill>
                  <bgColor theme="9" tint="-0.499984740745262"/>
                </patternFill>
              </fill>
            </x14:dxf>
          </x14:cfRule>
          <x14:cfRule type="expression" priority="223" id="{585D818C-5E5D-428A-B923-C6BA3C42D032}">
            <xm:f>#REF!=FilterSpecs!$F$11</xm:f>
            <x14:dxf>
              <font>
                <b/>
                <i val="0"/>
                <color theme="0"/>
              </font>
              <fill>
                <patternFill>
                  <bgColor rgb="FF00B050"/>
                </patternFill>
              </fill>
            </x14:dxf>
          </x14:cfRule>
          <x14:cfRule type="expression" priority="224" id="{14F62D7A-4070-4BD1-8CE9-829DC93C2569}">
            <xm:f>#REF!=FilterSpecs!$F$10</xm:f>
            <x14:dxf>
              <font>
                <b/>
                <i val="0"/>
                <color theme="0"/>
              </font>
              <fill>
                <patternFill>
                  <bgColor rgb="FF002060"/>
                </patternFill>
              </fill>
            </x14:dxf>
          </x14:cfRule>
          <x14:cfRule type="expression" priority="225" id="{9E16CFC4-5CE6-4147-9366-CA732E66C865}">
            <xm:f>#REF!=FilterSpecs!$F$9</xm:f>
            <x14:dxf>
              <font>
                <b/>
                <i val="0"/>
                <color theme="0"/>
              </font>
              <fill>
                <patternFill>
                  <bgColor rgb="FFFF0000"/>
                </patternFill>
              </fill>
            </x14:dxf>
          </x14:cfRule>
          <x14:cfRule type="expression" priority="226" id="{C1F18541-2805-43A9-BB5F-D8C494006BE7}">
            <xm:f>#REF!=FilterSpecs!$F$8</xm:f>
            <x14:dxf>
              <font>
                <b/>
                <i val="0"/>
                <color theme="0"/>
              </font>
              <fill>
                <patternFill>
                  <bgColor rgb="FFFFC000"/>
                </patternFill>
              </fill>
            </x14:dxf>
          </x14:cfRule>
          <x14:cfRule type="expression" priority="227" id="{09B2DF24-0FF1-44B4-AAA9-6232CE583BAD}">
            <xm:f>#REF!=FilterSpecs!$F$6</xm:f>
            <x14:dxf>
              <font>
                <b val="0"/>
                <i val="0"/>
              </font>
              <fill>
                <patternFill patternType="none">
                  <bgColor auto="1"/>
                </patternFill>
              </fill>
            </x14:dxf>
          </x14:cfRule>
          <x14:cfRule type="expression" priority="228" id="{08504E18-3FBB-4491-B975-57D4167D90CB}">
            <xm:f>#REF!=FilterSpecs!$F$7</xm:f>
            <x14:dxf>
              <font>
                <b/>
                <i val="0"/>
                <color theme="0"/>
              </font>
              <fill>
                <patternFill>
                  <bgColor rgb="FF00B0F0"/>
                </patternFill>
              </fill>
            </x14:dxf>
          </x14:cfRule>
          <xm:sqref>B708 B712:B716 B710 B682:B686 B688:B698</xm:sqref>
        </x14:conditionalFormatting>
        <x14:conditionalFormatting xmlns:xm="http://schemas.microsoft.com/office/excel/2006/main">
          <x14:cfRule type="expression" priority="144" id="{310657AE-9A7A-4D0A-AE6B-90B1C56F6F75}">
            <xm:f>$L164=FilterSpecs!$F$13</xm:f>
            <x14:dxf>
              <font>
                <b/>
                <i val="0"/>
                <color theme="0"/>
              </font>
              <fill>
                <patternFill>
                  <bgColor theme="9" tint="-0.499984740745262"/>
                </patternFill>
              </fill>
            </x14:dxf>
          </x14:cfRule>
          <x14:cfRule type="expression" priority="145" id="{078E75E3-0154-42EF-AECB-7F1B15FAC749}">
            <xm:f>$L164=FilterSpecs!$F$11</xm:f>
            <x14:dxf>
              <font>
                <b/>
                <i val="0"/>
                <color theme="0"/>
              </font>
              <fill>
                <patternFill>
                  <bgColor rgb="FF00B050"/>
                </patternFill>
              </fill>
            </x14:dxf>
          </x14:cfRule>
          <x14:cfRule type="expression" priority="146" id="{A0781390-9FD2-4F1F-97A8-78A3584D91DD}">
            <xm:f>$L164=FilterSpecs!$F$10</xm:f>
            <x14:dxf>
              <font>
                <b/>
                <i val="0"/>
                <color theme="0"/>
              </font>
              <fill>
                <patternFill>
                  <bgColor rgb="FF002060"/>
                </patternFill>
              </fill>
            </x14:dxf>
          </x14:cfRule>
          <x14:cfRule type="expression" priority="147" id="{44218852-AF06-4856-809F-16816D43992B}">
            <xm:f>$L164=FilterSpecs!$F$9</xm:f>
            <x14:dxf>
              <font>
                <b/>
                <i val="0"/>
                <color theme="0"/>
              </font>
              <fill>
                <patternFill>
                  <bgColor rgb="FFFF0000"/>
                </patternFill>
              </fill>
            </x14:dxf>
          </x14:cfRule>
          <x14:cfRule type="expression" priority="148" id="{9477E4F9-0A76-4BAF-91E6-C02781B4E425}">
            <xm:f>$L164=FilterSpecs!$F$8</xm:f>
            <x14:dxf>
              <font>
                <b/>
                <i val="0"/>
                <color theme="0"/>
              </font>
              <fill>
                <patternFill>
                  <bgColor rgb="FFFFC000"/>
                </patternFill>
              </fill>
            </x14:dxf>
          </x14:cfRule>
          <x14:cfRule type="expression" priority="149" id="{168C29CC-5ECD-4B0C-B3A7-9D52DB4D8D13}">
            <xm:f>$L164=FilterSpecs!$F$6</xm:f>
            <x14:dxf>
              <font>
                <b val="0"/>
                <i val="0"/>
              </font>
              <fill>
                <patternFill patternType="none">
                  <bgColor auto="1"/>
                </patternFill>
              </fill>
            </x14:dxf>
          </x14:cfRule>
          <x14:cfRule type="expression" priority="150" id="{CFDD59EA-84C5-491D-985C-3D867D179A82}">
            <xm:f>$L164=FilterSpecs!$F$7</xm:f>
            <x14:dxf>
              <font>
                <b/>
                <i val="0"/>
                <color theme="0"/>
              </font>
              <fill>
                <patternFill>
                  <bgColor rgb="FF00B0F0"/>
                </patternFill>
              </fill>
            </x14:dxf>
          </x14:cfRule>
          <xm:sqref>Q164:Q166</xm:sqref>
        </x14:conditionalFormatting>
        <x14:conditionalFormatting xmlns:xm="http://schemas.microsoft.com/office/excel/2006/main">
          <x14:cfRule type="expression" priority="136" id="{B60E1955-CC1E-45D1-AD68-9C101E17B7A7}">
            <xm:f>$L164=FilterSpecs!$F$13</xm:f>
            <x14:dxf>
              <font>
                <b/>
                <i val="0"/>
                <color theme="0"/>
              </font>
              <fill>
                <patternFill>
                  <bgColor theme="9" tint="-0.499984740745262"/>
                </patternFill>
              </fill>
            </x14:dxf>
          </x14:cfRule>
          <x14:cfRule type="expression" priority="137" id="{AF497E83-7B6A-453F-B17E-BA10F9597E9E}">
            <xm:f>$L164=FilterSpecs!$F$11</xm:f>
            <x14:dxf>
              <font>
                <b/>
                <i val="0"/>
                <color theme="0"/>
              </font>
              <fill>
                <patternFill>
                  <bgColor rgb="FF00B050"/>
                </patternFill>
              </fill>
            </x14:dxf>
          </x14:cfRule>
          <x14:cfRule type="expression" priority="138" id="{9E6C89B1-DC59-4C38-9D12-66B422FB40B0}">
            <xm:f>$L164=FilterSpecs!$F$10</xm:f>
            <x14:dxf>
              <font>
                <b/>
                <i val="0"/>
                <color theme="0"/>
              </font>
              <fill>
                <patternFill>
                  <bgColor rgb="FF002060"/>
                </patternFill>
              </fill>
            </x14:dxf>
          </x14:cfRule>
          <x14:cfRule type="expression" priority="139" id="{53D9C915-9253-419E-8057-E0A58D03E8AC}">
            <xm:f>$L164=FilterSpecs!$F$9</xm:f>
            <x14:dxf>
              <font>
                <b/>
                <i val="0"/>
                <color theme="0"/>
              </font>
              <fill>
                <patternFill>
                  <bgColor rgb="FFFF0000"/>
                </patternFill>
              </fill>
            </x14:dxf>
          </x14:cfRule>
          <x14:cfRule type="expression" priority="140" id="{FB720317-02E6-4B72-8DC8-CF46278A1F74}">
            <xm:f>$L164=FilterSpecs!$F$8</xm:f>
            <x14:dxf>
              <font>
                <b/>
                <i val="0"/>
                <color theme="0"/>
              </font>
              <fill>
                <patternFill>
                  <bgColor rgb="FFFFC000"/>
                </patternFill>
              </fill>
            </x14:dxf>
          </x14:cfRule>
          <x14:cfRule type="expression" priority="141" id="{67DDF593-28F2-4B5E-8DA1-490D2C562C47}">
            <xm:f>$L164=FilterSpecs!$F$6</xm:f>
            <x14:dxf>
              <font>
                <b val="0"/>
                <i val="0"/>
              </font>
              <fill>
                <patternFill patternType="none">
                  <bgColor auto="1"/>
                </patternFill>
              </fill>
            </x14:dxf>
          </x14:cfRule>
          <x14:cfRule type="expression" priority="142" id="{76A027E8-1DCD-461D-9B1F-55457021A30E}">
            <xm:f>$L164=FilterSpecs!$F$7</xm:f>
            <x14:dxf>
              <font>
                <b/>
                <i val="0"/>
                <color theme="0"/>
              </font>
              <fill>
                <patternFill>
                  <bgColor rgb="FF00B0F0"/>
                </patternFill>
              </fill>
            </x14:dxf>
          </x14:cfRule>
          <xm:sqref>I164:I166</xm:sqref>
        </x14:conditionalFormatting>
        <x14:conditionalFormatting xmlns:xm="http://schemas.microsoft.com/office/excel/2006/main">
          <x14:cfRule type="expression" priority="128" id="{0EABD165-50D6-4B22-B586-3C18F2C25D50}">
            <xm:f>$L164=FilterSpecs!$F$13</xm:f>
            <x14:dxf>
              <font>
                <b/>
                <i val="0"/>
                <color theme="0"/>
              </font>
              <fill>
                <patternFill>
                  <bgColor theme="9" tint="-0.499984740745262"/>
                </patternFill>
              </fill>
            </x14:dxf>
          </x14:cfRule>
          <x14:cfRule type="expression" priority="129" id="{2C6CBE58-33C6-421D-A720-139C2254CEF9}">
            <xm:f>$L164=FilterSpecs!$F$11</xm:f>
            <x14:dxf>
              <font>
                <b/>
                <i val="0"/>
                <color theme="0"/>
              </font>
              <fill>
                <patternFill>
                  <bgColor rgb="FF00B050"/>
                </patternFill>
              </fill>
            </x14:dxf>
          </x14:cfRule>
          <x14:cfRule type="expression" priority="130" id="{44DB7356-6246-4625-9D1C-7FCE0276AEE7}">
            <xm:f>$L164=FilterSpecs!$F$10</xm:f>
            <x14:dxf>
              <font>
                <b/>
                <i val="0"/>
                <color theme="0"/>
              </font>
              <fill>
                <patternFill>
                  <bgColor rgb="FF002060"/>
                </patternFill>
              </fill>
            </x14:dxf>
          </x14:cfRule>
          <x14:cfRule type="expression" priority="131" id="{19F54913-2F7F-49FC-A0ED-F2A6877499B5}">
            <xm:f>$L164=FilterSpecs!$F$9</xm:f>
            <x14:dxf>
              <font>
                <b/>
                <i val="0"/>
                <color theme="0"/>
              </font>
              <fill>
                <patternFill>
                  <bgColor rgb="FFFF0000"/>
                </patternFill>
              </fill>
            </x14:dxf>
          </x14:cfRule>
          <x14:cfRule type="expression" priority="132" id="{2D55CFA1-3250-40E7-A032-C0E3A78CE7C0}">
            <xm:f>$L164=FilterSpecs!$F$8</xm:f>
            <x14:dxf>
              <font>
                <b/>
                <i val="0"/>
                <color theme="0"/>
              </font>
              <fill>
                <patternFill>
                  <bgColor rgb="FFFFC000"/>
                </patternFill>
              </fill>
            </x14:dxf>
          </x14:cfRule>
          <x14:cfRule type="expression" priority="133" id="{3ED588FB-942A-46F4-B53A-76C77A60FAF6}">
            <xm:f>$L164=FilterSpecs!$F$6</xm:f>
            <x14:dxf>
              <font>
                <b val="0"/>
                <i val="0"/>
              </font>
              <fill>
                <patternFill patternType="none">
                  <bgColor auto="1"/>
                </patternFill>
              </fill>
            </x14:dxf>
          </x14:cfRule>
          <x14:cfRule type="expression" priority="134" id="{8CDB7E6D-30BC-4A4C-9C60-4A979FEA1DF8}">
            <xm:f>$L164=FilterSpecs!$F$7</xm:f>
            <x14:dxf>
              <font>
                <b/>
                <i val="0"/>
                <color theme="0"/>
              </font>
              <fill>
                <patternFill>
                  <bgColor rgb="FF00B0F0"/>
                </patternFill>
              </fill>
            </x14:dxf>
          </x14:cfRule>
          <xm:sqref>K164:M166 O164:O166</xm:sqref>
        </x14:conditionalFormatting>
        <x14:conditionalFormatting xmlns:xm="http://schemas.microsoft.com/office/excel/2006/main">
          <x14:cfRule type="expression" priority="120" id="{26A8B02D-5E53-47BB-967E-FB2848F744E4}">
            <xm:f>$L113=FilterSpecs!$F$13</xm:f>
            <x14:dxf>
              <font>
                <b/>
                <i val="0"/>
                <color theme="0"/>
              </font>
              <fill>
                <patternFill>
                  <bgColor theme="9" tint="-0.499984740745262"/>
                </patternFill>
              </fill>
            </x14:dxf>
          </x14:cfRule>
          <x14:cfRule type="expression" priority="121" id="{20E511B4-EBA3-4E89-9CFC-413E7BCD9649}">
            <xm:f>$L113=FilterSpecs!$F$11</xm:f>
            <x14:dxf>
              <font>
                <b/>
                <i val="0"/>
                <color theme="0"/>
              </font>
              <fill>
                <patternFill>
                  <bgColor rgb="FF00B050"/>
                </patternFill>
              </fill>
            </x14:dxf>
          </x14:cfRule>
          <x14:cfRule type="expression" priority="122" id="{BCDB7853-748D-4E75-AF98-B4E2367D939C}">
            <xm:f>$L113=FilterSpecs!$F$10</xm:f>
            <x14:dxf>
              <font>
                <b/>
                <i val="0"/>
                <color theme="0"/>
              </font>
              <fill>
                <patternFill>
                  <bgColor rgb="FF002060"/>
                </patternFill>
              </fill>
            </x14:dxf>
          </x14:cfRule>
          <x14:cfRule type="expression" priority="123" id="{D550554F-4FDE-4662-895F-F60A55A3A6A8}">
            <xm:f>$L113=FilterSpecs!$F$9</xm:f>
            <x14:dxf>
              <font>
                <b/>
                <i val="0"/>
                <color theme="0"/>
              </font>
              <fill>
                <patternFill>
                  <bgColor rgb="FFFF0000"/>
                </patternFill>
              </fill>
            </x14:dxf>
          </x14:cfRule>
          <x14:cfRule type="expression" priority="124" id="{95B00D93-F7C3-43A9-A04D-70CE71D02BC1}">
            <xm:f>$L113=FilterSpecs!$F$8</xm:f>
            <x14:dxf>
              <font>
                <b/>
                <i val="0"/>
                <color theme="0"/>
              </font>
              <fill>
                <patternFill>
                  <bgColor rgb="FFFFC000"/>
                </patternFill>
              </fill>
            </x14:dxf>
          </x14:cfRule>
          <x14:cfRule type="expression" priority="125" id="{D63DD9AC-6966-45FF-84D8-CDECFB46302B}">
            <xm:f>$L113=FilterSpecs!$F$6</xm:f>
            <x14:dxf>
              <font>
                <b val="0"/>
                <i val="0"/>
              </font>
              <fill>
                <patternFill patternType="none">
                  <bgColor auto="1"/>
                </patternFill>
              </fill>
            </x14:dxf>
          </x14:cfRule>
          <x14:cfRule type="expression" priority="126" id="{5A56FDEF-C888-4A75-B17B-F352E2EEB823}">
            <xm:f>$L113=FilterSpecs!$F$7</xm:f>
            <x14:dxf>
              <font>
                <b/>
                <i val="0"/>
                <color theme="0"/>
              </font>
              <fill>
                <patternFill>
                  <bgColor rgb="FF00B0F0"/>
                </patternFill>
              </fill>
            </x14:dxf>
          </x14:cfRule>
          <xm:sqref>I113</xm:sqref>
        </x14:conditionalFormatting>
        <x14:conditionalFormatting xmlns:xm="http://schemas.microsoft.com/office/excel/2006/main">
          <x14:cfRule type="expression" priority="112" id="{7222C273-7E09-41BA-B21F-F76D530E620D}">
            <xm:f>$L25=FilterSpecs!$F$13</xm:f>
            <x14:dxf>
              <font>
                <b/>
                <i val="0"/>
                <color theme="0"/>
              </font>
              <fill>
                <patternFill>
                  <bgColor theme="9" tint="-0.499984740745262"/>
                </patternFill>
              </fill>
            </x14:dxf>
          </x14:cfRule>
          <x14:cfRule type="expression" priority="113" id="{2907A976-3BCF-4674-8C92-4187EB4AA853}">
            <xm:f>$L25=FilterSpecs!$F$11</xm:f>
            <x14:dxf>
              <font>
                <b/>
                <i val="0"/>
                <color theme="0"/>
              </font>
              <fill>
                <patternFill>
                  <bgColor rgb="FF00B050"/>
                </patternFill>
              </fill>
            </x14:dxf>
          </x14:cfRule>
          <x14:cfRule type="expression" priority="114" id="{1D786E20-B969-475D-A04F-E215B0F125BD}">
            <xm:f>$L25=FilterSpecs!$F$10</xm:f>
            <x14:dxf>
              <font>
                <b/>
                <i val="0"/>
                <color theme="0"/>
              </font>
              <fill>
                <patternFill>
                  <bgColor rgb="FF002060"/>
                </patternFill>
              </fill>
            </x14:dxf>
          </x14:cfRule>
          <x14:cfRule type="expression" priority="115" id="{71300E80-15EE-416C-9271-8CA1361A02D5}">
            <xm:f>$L25=FilterSpecs!$F$9</xm:f>
            <x14:dxf>
              <font>
                <b/>
                <i val="0"/>
                <color theme="0"/>
              </font>
              <fill>
                <patternFill>
                  <bgColor rgb="FFFF0000"/>
                </patternFill>
              </fill>
            </x14:dxf>
          </x14:cfRule>
          <x14:cfRule type="expression" priority="116" id="{EE29C7CB-8D0E-4258-9958-54D0C7C4A88F}">
            <xm:f>$L25=FilterSpecs!$F$8</xm:f>
            <x14:dxf>
              <font>
                <b/>
                <i val="0"/>
                <color theme="0"/>
              </font>
              <fill>
                <patternFill>
                  <bgColor rgb="FFFFC000"/>
                </patternFill>
              </fill>
            </x14:dxf>
          </x14:cfRule>
          <x14:cfRule type="expression" priority="117" id="{ADC20D9A-6542-487B-9983-A368E905CF16}">
            <xm:f>$L25=FilterSpecs!$F$6</xm:f>
            <x14:dxf>
              <font>
                <b val="0"/>
                <i val="0"/>
              </font>
              <fill>
                <patternFill patternType="none">
                  <bgColor auto="1"/>
                </patternFill>
              </fill>
            </x14:dxf>
          </x14:cfRule>
          <x14:cfRule type="expression" priority="118" id="{7C2FC6CC-B3DB-407E-942C-57B54A4B3421}">
            <xm:f>$L25=FilterSpecs!$F$7</xm:f>
            <x14:dxf>
              <font>
                <b/>
                <i val="0"/>
                <color theme="0"/>
              </font>
              <fill>
                <patternFill>
                  <bgColor rgb="FF00B0F0"/>
                </patternFill>
              </fill>
            </x14:dxf>
          </x14:cfRule>
          <xm:sqref>I25:M26 O25:O26</xm:sqref>
        </x14:conditionalFormatting>
        <x14:conditionalFormatting xmlns:xm="http://schemas.microsoft.com/office/excel/2006/main">
          <x14:cfRule type="expression" priority="96" id="{64FC85F9-0434-4568-8B86-13F4035C8F7F}">
            <xm:f>$L51=FilterSpecs!$F$13</xm:f>
            <x14:dxf>
              <font>
                <b/>
                <i val="0"/>
                <color theme="0"/>
              </font>
              <fill>
                <patternFill>
                  <bgColor theme="9" tint="-0.499984740745262"/>
                </patternFill>
              </fill>
            </x14:dxf>
          </x14:cfRule>
          <x14:cfRule type="expression" priority="97" id="{D7D0C6A9-402B-4B41-A16D-48A2BF2DB3EC}">
            <xm:f>$L51=FilterSpecs!$F$11</xm:f>
            <x14:dxf>
              <font>
                <b/>
                <i val="0"/>
                <color theme="0"/>
              </font>
              <fill>
                <patternFill>
                  <bgColor rgb="FF00B050"/>
                </patternFill>
              </fill>
            </x14:dxf>
          </x14:cfRule>
          <x14:cfRule type="expression" priority="98" id="{926C1DAA-D8E7-4A59-B695-A1B99EBCE8FE}">
            <xm:f>$L51=FilterSpecs!$F$10</xm:f>
            <x14:dxf>
              <font>
                <b/>
                <i val="0"/>
                <color theme="0"/>
              </font>
              <fill>
                <patternFill>
                  <bgColor rgb="FF002060"/>
                </patternFill>
              </fill>
            </x14:dxf>
          </x14:cfRule>
          <x14:cfRule type="expression" priority="99" id="{1EEB42B4-E6FB-4379-9720-DA853132293A}">
            <xm:f>$L51=FilterSpecs!$F$9</xm:f>
            <x14:dxf>
              <font>
                <b/>
                <i val="0"/>
                <color theme="0"/>
              </font>
              <fill>
                <patternFill>
                  <bgColor rgb="FFFF0000"/>
                </patternFill>
              </fill>
            </x14:dxf>
          </x14:cfRule>
          <x14:cfRule type="expression" priority="100" id="{2AF29D27-DFA6-4465-86C4-CDC43C41F7E1}">
            <xm:f>$L51=FilterSpecs!$F$8</xm:f>
            <x14:dxf>
              <font>
                <b/>
                <i val="0"/>
                <color theme="0"/>
              </font>
              <fill>
                <patternFill>
                  <bgColor rgb="FFFFC000"/>
                </patternFill>
              </fill>
            </x14:dxf>
          </x14:cfRule>
          <x14:cfRule type="expression" priority="101" id="{E916718E-AB7E-4AAC-A79F-DF4EBB59B098}">
            <xm:f>$L51=FilterSpecs!$F$6</xm:f>
            <x14:dxf>
              <font>
                <b val="0"/>
                <i val="0"/>
              </font>
              <fill>
                <patternFill patternType="none">
                  <bgColor auto="1"/>
                </patternFill>
              </fill>
            </x14:dxf>
          </x14:cfRule>
          <x14:cfRule type="expression" priority="102" id="{446376C6-95A5-463E-A4EA-2D4FC29A0FDC}">
            <xm:f>$L51=FilterSpecs!$F$7</xm:f>
            <x14:dxf>
              <font>
                <b/>
                <i val="0"/>
                <color theme="0"/>
              </font>
              <fill>
                <patternFill>
                  <bgColor rgb="FF00B0F0"/>
                </patternFill>
              </fill>
            </x14:dxf>
          </x14:cfRule>
          <xm:sqref>I51:M58 Q51:Q58 O51:O58</xm:sqref>
        </x14:conditionalFormatting>
        <x14:conditionalFormatting xmlns:xm="http://schemas.microsoft.com/office/excel/2006/main">
          <x14:cfRule type="expression" priority="87" id="{1009F58B-2BA6-4A65-A278-461A59117C59}">
            <xm:f>$L71=FilterSpecs!$F$13</xm:f>
            <x14:dxf>
              <font>
                <b/>
                <i val="0"/>
                <color theme="0"/>
              </font>
              <fill>
                <patternFill>
                  <bgColor theme="9" tint="-0.499984740745262"/>
                </patternFill>
              </fill>
            </x14:dxf>
          </x14:cfRule>
          <x14:cfRule type="expression" priority="88" id="{E2E86CCD-12CD-4677-9B2C-8311151AB94E}">
            <xm:f>$L71=FilterSpecs!$F$11</xm:f>
            <x14:dxf>
              <font>
                <b/>
                <i val="0"/>
                <color theme="0"/>
              </font>
              <fill>
                <patternFill>
                  <bgColor rgb="FF00B050"/>
                </patternFill>
              </fill>
            </x14:dxf>
          </x14:cfRule>
          <x14:cfRule type="expression" priority="89" id="{1D6D5D15-E85F-4832-9FDE-D858B1E9BCF8}">
            <xm:f>$L71=FilterSpecs!$F$10</xm:f>
            <x14:dxf>
              <font>
                <b/>
                <i val="0"/>
                <color theme="0"/>
              </font>
              <fill>
                <patternFill>
                  <bgColor rgb="FF002060"/>
                </patternFill>
              </fill>
            </x14:dxf>
          </x14:cfRule>
          <x14:cfRule type="expression" priority="90" id="{D3717D43-14E2-49DF-B27E-917FDB92BBC3}">
            <xm:f>$L71=FilterSpecs!$F$9</xm:f>
            <x14:dxf>
              <font>
                <b/>
                <i val="0"/>
                <color theme="0"/>
              </font>
              <fill>
                <patternFill>
                  <bgColor rgb="FFFF0000"/>
                </patternFill>
              </fill>
            </x14:dxf>
          </x14:cfRule>
          <x14:cfRule type="expression" priority="91" id="{0117FBFA-81CF-47E2-9A0F-7420F6756D4D}">
            <xm:f>$L71=FilterSpecs!$F$8</xm:f>
            <x14:dxf>
              <font>
                <b/>
                <i val="0"/>
                <color theme="0"/>
              </font>
              <fill>
                <patternFill>
                  <bgColor rgb="FFFFC000"/>
                </patternFill>
              </fill>
            </x14:dxf>
          </x14:cfRule>
          <x14:cfRule type="expression" priority="92" id="{FE9FE976-73D0-4A62-955A-4CF64107515E}">
            <xm:f>$L71=FilterSpecs!$F$6</xm:f>
            <x14:dxf>
              <font>
                <b val="0"/>
                <i val="0"/>
              </font>
              <fill>
                <patternFill patternType="none">
                  <bgColor auto="1"/>
                </patternFill>
              </fill>
            </x14:dxf>
          </x14:cfRule>
          <x14:cfRule type="expression" priority="93" id="{D5EB1ECF-80F3-4017-B484-4616EC888356}">
            <xm:f>$L71=FilterSpecs!$F$7</xm:f>
            <x14:dxf>
              <font>
                <b/>
                <i val="0"/>
                <color theme="0"/>
              </font>
              <fill>
                <patternFill>
                  <bgColor rgb="FF00B0F0"/>
                </patternFill>
              </fill>
            </x14:dxf>
          </x14:cfRule>
          <xm:sqref>I71:M72 O71:O72</xm:sqref>
        </x14:conditionalFormatting>
        <x14:conditionalFormatting xmlns:xm="http://schemas.microsoft.com/office/excel/2006/main">
          <x14:cfRule type="expression" priority="79" id="{970755BF-8C25-4AEF-86AB-64F79483EFDB}">
            <xm:f>$L176=FilterSpecs!$F$13</xm:f>
            <x14:dxf>
              <font>
                <b/>
                <i val="0"/>
                <color theme="0"/>
              </font>
              <fill>
                <patternFill>
                  <bgColor theme="9" tint="-0.499984740745262"/>
                </patternFill>
              </fill>
            </x14:dxf>
          </x14:cfRule>
          <x14:cfRule type="expression" priority="80" id="{A85148D8-B5A5-4EA1-BD02-A68A3F0F515B}">
            <xm:f>$L176=FilterSpecs!$F$11</xm:f>
            <x14:dxf>
              <font>
                <b/>
                <i val="0"/>
                <color theme="0"/>
              </font>
              <fill>
                <patternFill>
                  <bgColor rgb="FF00B050"/>
                </patternFill>
              </fill>
            </x14:dxf>
          </x14:cfRule>
          <x14:cfRule type="expression" priority="81" id="{9DA420E4-F5E9-49BE-BDE1-FE00F5EAECB6}">
            <xm:f>$L176=FilterSpecs!$F$10</xm:f>
            <x14:dxf>
              <font>
                <b/>
                <i val="0"/>
                <color theme="0"/>
              </font>
              <fill>
                <patternFill>
                  <bgColor rgb="FF002060"/>
                </patternFill>
              </fill>
            </x14:dxf>
          </x14:cfRule>
          <x14:cfRule type="expression" priority="82" id="{94BE1BF5-6CF1-4DD7-B4C4-9CC86FCC50AC}">
            <xm:f>$L176=FilterSpecs!$F$9</xm:f>
            <x14:dxf>
              <font>
                <b/>
                <i val="0"/>
                <color theme="0"/>
              </font>
              <fill>
                <patternFill>
                  <bgColor rgb="FFFF0000"/>
                </patternFill>
              </fill>
            </x14:dxf>
          </x14:cfRule>
          <x14:cfRule type="expression" priority="83" id="{16FCA212-5058-422B-ADE2-F0CDCA43087A}">
            <xm:f>$L176=FilterSpecs!$F$8</xm:f>
            <x14:dxf>
              <font>
                <b/>
                <i val="0"/>
                <color theme="0"/>
              </font>
              <fill>
                <patternFill>
                  <bgColor rgb="FFFFC000"/>
                </patternFill>
              </fill>
            </x14:dxf>
          </x14:cfRule>
          <x14:cfRule type="expression" priority="84" id="{833D70AF-8AE7-45A9-A62F-C5A3468A13E3}">
            <xm:f>$L176=FilterSpecs!$F$6</xm:f>
            <x14:dxf>
              <font>
                <b val="0"/>
                <i val="0"/>
              </font>
              <fill>
                <patternFill patternType="none">
                  <bgColor auto="1"/>
                </patternFill>
              </fill>
            </x14:dxf>
          </x14:cfRule>
          <x14:cfRule type="expression" priority="85" id="{8F4DEDC9-FC38-4066-8A62-B67D42AE75D3}">
            <xm:f>$L176=FilterSpecs!$F$7</xm:f>
            <x14:dxf>
              <font>
                <b/>
                <i val="0"/>
                <color theme="0"/>
              </font>
              <fill>
                <patternFill>
                  <bgColor rgb="FF00B0F0"/>
                </patternFill>
              </fill>
            </x14:dxf>
          </x14:cfRule>
          <xm:sqref>Q176</xm:sqref>
        </x14:conditionalFormatting>
        <x14:conditionalFormatting xmlns:xm="http://schemas.microsoft.com/office/excel/2006/main">
          <x14:cfRule type="expression" priority="70" id="{60C53811-816D-4DF1-A752-24254D5BE967}">
            <xm:f>$L176=FilterSpecs!$F$13</xm:f>
            <x14:dxf>
              <font>
                <b/>
                <i val="0"/>
                <color theme="0"/>
              </font>
              <fill>
                <patternFill>
                  <bgColor theme="9" tint="-0.499984740745262"/>
                </patternFill>
              </fill>
            </x14:dxf>
          </x14:cfRule>
          <x14:cfRule type="expression" priority="71" id="{7D74E845-E6FC-4885-BC85-437C863433EC}">
            <xm:f>$L176=FilterSpecs!$F$11</xm:f>
            <x14:dxf>
              <font>
                <b/>
                <i val="0"/>
                <color theme="0"/>
              </font>
              <fill>
                <patternFill>
                  <bgColor rgb="FF00B050"/>
                </patternFill>
              </fill>
            </x14:dxf>
          </x14:cfRule>
          <x14:cfRule type="expression" priority="72" id="{0759E2B9-FD00-4ABC-B48C-71A21CB11C9A}">
            <xm:f>$L176=FilterSpecs!$F$10</xm:f>
            <x14:dxf>
              <font>
                <b/>
                <i val="0"/>
                <color theme="0"/>
              </font>
              <fill>
                <patternFill>
                  <bgColor rgb="FF002060"/>
                </patternFill>
              </fill>
            </x14:dxf>
          </x14:cfRule>
          <x14:cfRule type="expression" priority="73" id="{57544D1F-70BB-4CD8-947D-B20275F04231}">
            <xm:f>$L176=FilterSpecs!$F$9</xm:f>
            <x14:dxf>
              <font>
                <b/>
                <i val="0"/>
                <color theme="0"/>
              </font>
              <fill>
                <patternFill>
                  <bgColor rgb="FFFF0000"/>
                </patternFill>
              </fill>
            </x14:dxf>
          </x14:cfRule>
          <x14:cfRule type="expression" priority="74" id="{35CCC020-18A6-49E1-BDFA-381F55FEE78E}">
            <xm:f>$L176=FilterSpecs!$F$8</xm:f>
            <x14:dxf>
              <font>
                <b/>
                <i val="0"/>
                <color theme="0"/>
              </font>
              <fill>
                <patternFill>
                  <bgColor rgb="FFFFC000"/>
                </patternFill>
              </fill>
            </x14:dxf>
          </x14:cfRule>
          <x14:cfRule type="expression" priority="75" id="{6B2DCF98-93BD-49CE-BC98-7ADFF8404166}">
            <xm:f>$L176=FilterSpecs!$F$6</xm:f>
            <x14:dxf>
              <font>
                <b val="0"/>
                <i val="0"/>
              </font>
              <fill>
                <patternFill patternType="none">
                  <bgColor auto="1"/>
                </patternFill>
              </fill>
            </x14:dxf>
          </x14:cfRule>
          <x14:cfRule type="expression" priority="76" id="{41CFFB95-390E-4BC7-BF66-160C957646F0}">
            <xm:f>$L176=FilterSpecs!$F$7</xm:f>
            <x14:dxf>
              <font>
                <b/>
                <i val="0"/>
                <color theme="0"/>
              </font>
              <fill>
                <patternFill>
                  <bgColor rgb="FF00B0F0"/>
                </patternFill>
              </fill>
            </x14:dxf>
          </x14:cfRule>
          <xm:sqref>I176:M176 O176</xm:sqref>
        </x14:conditionalFormatting>
        <x14:conditionalFormatting xmlns:xm="http://schemas.microsoft.com/office/excel/2006/main">
          <x14:cfRule type="expression" priority="62" id="{C195A6D6-DF31-42BC-9408-6423BF7EC961}">
            <xm:f>$L201=FilterSpecs!$F$13</xm:f>
            <x14:dxf>
              <font>
                <b/>
                <i val="0"/>
                <color theme="0"/>
              </font>
              <fill>
                <patternFill>
                  <bgColor theme="9" tint="-0.499984740745262"/>
                </patternFill>
              </fill>
            </x14:dxf>
          </x14:cfRule>
          <x14:cfRule type="expression" priority="63" id="{C787F21A-A7A9-4741-8645-0B7723E4A583}">
            <xm:f>$L201=FilterSpecs!$F$11</xm:f>
            <x14:dxf>
              <font>
                <b/>
                <i val="0"/>
                <color theme="0"/>
              </font>
              <fill>
                <patternFill>
                  <bgColor rgb="FF00B050"/>
                </patternFill>
              </fill>
            </x14:dxf>
          </x14:cfRule>
          <x14:cfRule type="expression" priority="64" id="{D7807A4A-5004-47D9-A8D5-32EDC6A0E6AE}">
            <xm:f>$L201=FilterSpecs!$F$10</xm:f>
            <x14:dxf>
              <font>
                <b/>
                <i val="0"/>
                <color theme="0"/>
              </font>
              <fill>
                <patternFill>
                  <bgColor rgb="FF002060"/>
                </patternFill>
              </fill>
            </x14:dxf>
          </x14:cfRule>
          <x14:cfRule type="expression" priority="65" id="{963E81B7-5977-4515-B734-CB76B99D099B}">
            <xm:f>$L201=FilterSpecs!$F$9</xm:f>
            <x14:dxf>
              <font>
                <b/>
                <i val="0"/>
                <color theme="0"/>
              </font>
              <fill>
                <patternFill>
                  <bgColor rgb="FFFF0000"/>
                </patternFill>
              </fill>
            </x14:dxf>
          </x14:cfRule>
          <x14:cfRule type="expression" priority="66" id="{75B85E69-083F-445A-8724-C01B27064994}">
            <xm:f>$L201=FilterSpecs!$F$8</xm:f>
            <x14:dxf>
              <font>
                <b/>
                <i val="0"/>
                <color theme="0"/>
              </font>
              <fill>
                <patternFill>
                  <bgColor rgb="FFFFC000"/>
                </patternFill>
              </fill>
            </x14:dxf>
          </x14:cfRule>
          <x14:cfRule type="expression" priority="67" id="{120A2B78-7983-4371-80BB-7B2785F9ADFA}">
            <xm:f>$L201=FilterSpecs!$F$6</xm:f>
            <x14:dxf>
              <font>
                <b val="0"/>
                <i val="0"/>
              </font>
              <fill>
                <patternFill patternType="none">
                  <bgColor auto="1"/>
                </patternFill>
              </fill>
            </x14:dxf>
          </x14:cfRule>
          <x14:cfRule type="expression" priority="68" id="{E1F166CA-4022-4E3A-A3C9-BD1D4AA350E5}">
            <xm:f>$L201=FilterSpecs!$F$7</xm:f>
            <x14:dxf>
              <font>
                <b/>
                <i val="0"/>
                <color theme="0"/>
              </font>
              <fill>
                <patternFill>
                  <bgColor rgb="FF00B0F0"/>
                </patternFill>
              </fill>
            </x14:dxf>
          </x14:cfRule>
          <xm:sqref>Q201:Q208</xm:sqref>
        </x14:conditionalFormatting>
        <x14:conditionalFormatting xmlns:xm="http://schemas.microsoft.com/office/excel/2006/main">
          <x14:cfRule type="expression" priority="53" id="{C82E0344-FF7F-4CFF-A126-D989E13FB85E}">
            <xm:f>$L201=FilterSpecs!$F$13</xm:f>
            <x14:dxf>
              <font>
                <b/>
                <i val="0"/>
                <color theme="0"/>
              </font>
              <fill>
                <patternFill>
                  <bgColor theme="9" tint="-0.499984740745262"/>
                </patternFill>
              </fill>
            </x14:dxf>
          </x14:cfRule>
          <x14:cfRule type="expression" priority="54" id="{4C0D126C-AB49-4B03-8EDA-A23BCB2FF5F9}">
            <xm:f>$L201=FilterSpecs!$F$11</xm:f>
            <x14:dxf>
              <font>
                <b/>
                <i val="0"/>
                <color theme="0"/>
              </font>
              <fill>
                <patternFill>
                  <bgColor rgb="FF00B050"/>
                </patternFill>
              </fill>
            </x14:dxf>
          </x14:cfRule>
          <x14:cfRule type="expression" priority="55" id="{2E2DF5F7-DBA3-419A-B6B7-89F7D2D35220}">
            <xm:f>$L201=FilterSpecs!$F$10</xm:f>
            <x14:dxf>
              <font>
                <b/>
                <i val="0"/>
                <color theme="0"/>
              </font>
              <fill>
                <patternFill>
                  <bgColor rgb="FF002060"/>
                </patternFill>
              </fill>
            </x14:dxf>
          </x14:cfRule>
          <x14:cfRule type="expression" priority="56" id="{B6A1CA49-F27C-45FE-9462-B4FE78882B90}">
            <xm:f>$L201=FilterSpecs!$F$9</xm:f>
            <x14:dxf>
              <font>
                <b/>
                <i val="0"/>
                <color theme="0"/>
              </font>
              <fill>
                <patternFill>
                  <bgColor rgb="FFFF0000"/>
                </patternFill>
              </fill>
            </x14:dxf>
          </x14:cfRule>
          <x14:cfRule type="expression" priority="57" id="{E163D5A7-FF69-4DAB-B7ED-B9647553EF1E}">
            <xm:f>$L201=FilterSpecs!$F$8</xm:f>
            <x14:dxf>
              <font>
                <b/>
                <i val="0"/>
                <color theme="0"/>
              </font>
              <fill>
                <patternFill>
                  <bgColor rgb="FFFFC000"/>
                </patternFill>
              </fill>
            </x14:dxf>
          </x14:cfRule>
          <x14:cfRule type="expression" priority="58" id="{DDC54242-CDE1-446A-9448-421A75F4C8B3}">
            <xm:f>$L201=FilterSpecs!$F$6</xm:f>
            <x14:dxf>
              <font>
                <b val="0"/>
                <i val="0"/>
              </font>
              <fill>
                <patternFill patternType="none">
                  <bgColor auto="1"/>
                </patternFill>
              </fill>
            </x14:dxf>
          </x14:cfRule>
          <x14:cfRule type="expression" priority="59" id="{EFB77406-278B-4DA5-9D33-CD3C122DFE1D}">
            <xm:f>$L201=FilterSpecs!$F$7</xm:f>
            <x14:dxf>
              <font>
                <b/>
                <i val="0"/>
                <color theme="0"/>
              </font>
              <fill>
                <patternFill>
                  <bgColor rgb="FF00B0F0"/>
                </patternFill>
              </fill>
            </x14:dxf>
          </x14:cfRule>
          <xm:sqref>I201:M208 O201:O208</xm:sqref>
        </x14:conditionalFormatting>
        <x14:conditionalFormatting xmlns:xm="http://schemas.microsoft.com/office/excel/2006/main">
          <x14:cfRule type="expression" priority="44" id="{D95E62B8-DBF9-4ABD-853B-2C86F876542A}">
            <xm:f>$L354=FilterSpecs!$F$13</xm:f>
            <x14:dxf>
              <font>
                <b/>
                <i val="0"/>
                <color theme="0"/>
              </font>
              <fill>
                <patternFill>
                  <bgColor theme="9" tint="-0.499984740745262"/>
                </patternFill>
              </fill>
            </x14:dxf>
          </x14:cfRule>
          <x14:cfRule type="expression" priority="45" id="{3C2F3E53-FB84-4B13-A285-73BC9E4EA3C3}">
            <xm:f>$L354=FilterSpecs!$F$11</xm:f>
            <x14:dxf>
              <font>
                <b/>
                <i val="0"/>
                <color theme="0"/>
              </font>
              <fill>
                <patternFill>
                  <bgColor rgb="FF00B050"/>
                </patternFill>
              </fill>
            </x14:dxf>
          </x14:cfRule>
          <x14:cfRule type="expression" priority="46" id="{60AA3ABE-B1D1-4E3C-BE0E-0F9DC82C5561}">
            <xm:f>$L354=FilterSpecs!$F$10</xm:f>
            <x14:dxf>
              <font>
                <b/>
                <i val="0"/>
                <color theme="0"/>
              </font>
              <fill>
                <patternFill>
                  <bgColor rgb="FF002060"/>
                </patternFill>
              </fill>
            </x14:dxf>
          </x14:cfRule>
          <x14:cfRule type="expression" priority="47" id="{C07018C5-2B6E-4E80-9BDE-34C73C2A1FDB}">
            <xm:f>$L354=FilterSpecs!$F$9</xm:f>
            <x14:dxf>
              <font>
                <b/>
                <i val="0"/>
                <color theme="0"/>
              </font>
              <fill>
                <patternFill>
                  <bgColor rgb="FFFF0000"/>
                </patternFill>
              </fill>
            </x14:dxf>
          </x14:cfRule>
          <x14:cfRule type="expression" priority="48" id="{AB0CCD35-E68E-4272-B608-C8A840FB5983}">
            <xm:f>$L354=FilterSpecs!$F$8</xm:f>
            <x14:dxf>
              <font>
                <b/>
                <i val="0"/>
                <color theme="0"/>
              </font>
              <fill>
                <patternFill>
                  <bgColor rgb="FFFFC000"/>
                </patternFill>
              </fill>
            </x14:dxf>
          </x14:cfRule>
          <x14:cfRule type="expression" priority="49" id="{5389CBD6-15A3-4F4A-8252-1745412D65C6}">
            <xm:f>$L354=FilterSpecs!$F$6</xm:f>
            <x14:dxf>
              <font>
                <b val="0"/>
                <i val="0"/>
              </font>
              <fill>
                <patternFill patternType="none">
                  <bgColor auto="1"/>
                </patternFill>
              </fill>
            </x14:dxf>
          </x14:cfRule>
          <x14:cfRule type="expression" priority="50" id="{828035E8-7AAA-47E6-9BE7-CB951DBD9FF2}">
            <xm:f>$L354=FilterSpecs!$F$7</xm:f>
            <x14:dxf>
              <font>
                <b/>
                <i val="0"/>
                <color theme="0"/>
              </font>
              <fill>
                <patternFill>
                  <bgColor rgb="FF00B0F0"/>
                </patternFill>
              </fill>
            </x14:dxf>
          </x14:cfRule>
          <xm:sqref>I354:M358 O354:O358</xm:sqref>
        </x14:conditionalFormatting>
        <x14:conditionalFormatting xmlns:xm="http://schemas.microsoft.com/office/excel/2006/main">
          <x14:cfRule type="expression" priority="36" id="{D2400EA8-BC5B-4FA3-AAA0-EED7185917EF}">
            <xm:f>$L415=FilterSpecs!$F$13</xm:f>
            <x14:dxf>
              <font>
                <b/>
                <i val="0"/>
                <color theme="0"/>
              </font>
              <fill>
                <patternFill>
                  <bgColor theme="9" tint="-0.499984740745262"/>
                </patternFill>
              </fill>
            </x14:dxf>
          </x14:cfRule>
          <x14:cfRule type="expression" priority="37" id="{1F4C3834-5F52-4B80-9FED-8A85C11F9989}">
            <xm:f>$L415=FilterSpecs!$F$11</xm:f>
            <x14:dxf>
              <font>
                <b/>
                <i val="0"/>
                <color theme="0"/>
              </font>
              <fill>
                <patternFill>
                  <bgColor rgb="FF00B050"/>
                </patternFill>
              </fill>
            </x14:dxf>
          </x14:cfRule>
          <x14:cfRule type="expression" priority="38" id="{887784AA-7966-4D46-8E36-435B4EC48AF5}">
            <xm:f>$L415=FilterSpecs!$F$10</xm:f>
            <x14:dxf>
              <font>
                <b/>
                <i val="0"/>
                <color theme="0"/>
              </font>
              <fill>
                <patternFill>
                  <bgColor rgb="FF002060"/>
                </patternFill>
              </fill>
            </x14:dxf>
          </x14:cfRule>
          <x14:cfRule type="expression" priority="39" id="{315B3FF6-6727-4DE6-B389-9AA29C31EDC1}">
            <xm:f>$L415=FilterSpecs!$F$9</xm:f>
            <x14:dxf>
              <font>
                <b/>
                <i val="0"/>
                <color theme="0"/>
              </font>
              <fill>
                <patternFill>
                  <bgColor rgb="FFFF0000"/>
                </patternFill>
              </fill>
            </x14:dxf>
          </x14:cfRule>
          <x14:cfRule type="expression" priority="40" id="{5E90DB04-397C-4B4C-A3D2-40CDA70ABB5C}">
            <xm:f>$L415=FilterSpecs!$F$8</xm:f>
            <x14:dxf>
              <font>
                <b/>
                <i val="0"/>
                <color theme="0"/>
              </font>
              <fill>
                <patternFill>
                  <bgColor rgb="FFFFC000"/>
                </patternFill>
              </fill>
            </x14:dxf>
          </x14:cfRule>
          <x14:cfRule type="expression" priority="41" id="{F0A06CBA-71DA-496C-AC32-91DCBE1BE578}">
            <xm:f>$L415=FilterSpecs!$F$6</xm:f>
            <x14:dxf>
              <font>
                <b val="0"/>
                <i val="0"/>
              </font>
              <fill>
                <patternFill patternType="none">
                  <bgColor auto="1"/>
                </patternFill>
              </fill>
            </x14:dxf>
          </x14:cfRule>
          <x14:cfRule type="expression" priority="42" id="{8CAC2494-5787-469E-B911-9D56B7094607}">
            <xm:f>$L415=FilterSpecs!$F$7</xm:f>
            <x14:dxf>
              <font>
                <b/>
                <i val="0"/>
                <color theme="0"/>
              </font>
              <fill>
                <patternFill>
                  <bgColor rgb="FF00B0F0"/>
                </patternFill>
              </fill>
            </x14:dxf>
          </x14:cfRule>
          <xm:sqref>A415:F416</xm:sqref>
        </x14:conditionalFormatting>
        <x14:conditionalFormatting xmlns:xm="http://schemas.microsoft.com/office/excel/2006/main">
          <x14:cfRule type="expression" priority="27" id="{3D33AB2D-4B4D-49B6-9D12-F38C56456574}">
            <xm:f>$L415=FilterSpecs!$F$13</xm:f>
            <x14:dxf>
              <font>
                <b/>
                <i val="0"/>
                <color theme="0"/>
              </font>
              <fill>
                <patternFill>
                  <bgColor theme="9" tint="-0.499984740745262"/>
                </patternFill>
              </fill>
            </x14:dxf>
          </x14:cfRule>
          <x14:cfRule type="expression" priority="28" id="{8D77E26B-E730-4CCC-87C8-A87B4213AECB}">
            <xm:f>$L415=FilterSpecs!$F$11</xm:f>
            <x14:dxf>
              <font>
                <b/>
                <i val="0"/>
                <color theme="0"/>
              </font>
              <fill>
                <patternFill>
                  <bgColor rgb="FF00B050"/>
                </patternFill>
              </fill>
            </x14:dxf>
          </x14:cfRule>
          <x14:cfRule type="expression" priority="29" id="{B8B2DA20-6264-432A-AA20-7DD2EB6D079F}">
            <xm:f>$L415=FilterSpecs!$F$10</xm:f>
            <x14:dxf>
              <font>
                <b/>
                <i val="0"/>
                <color theme="0"/>
              </font>
              <fill>
                <patternFill>
                  <bgColor rgb="FF002060"/>
                </patternFill>
              </fill>
            </x14:dxf>
          </x14:cfRule>
          <x14:cfRule type="expression" priority="30" id="{B44239B0-F1FB-4077-A6F4-DA61550D3361}">
            <xm:f>$L415=FilterSpecs!$F$9</xm:f>
            <x14:dxf>
              <font>
                <b/>
                <i val="0"/>
                <color theme="0"/>
              </font>
              <fill>
                <patternFill>
                  <bgColor rgb="FFFF0000"/>
                </patternFill>
              </fill>
            </x14:dxf>
          </x14:cfRule>
          <x14:cfRule type="expression" priority="31" id="{B108FBE2-86F8-46E7-AD18-28DF294A39EE}">
            <xm:f>$L415=FilterSpecs!$F$8</xm:f>
            <x14:dxf>
              <font>
                <b/>
                <i val="0"/>
                <color theme="0"/>
              </font>
              <fill>
                <patternFill>
                  <bgColor rgb="FFFFC000"/>
                </patternFill>
              </fill>
            </x14:dxf>
          </x14:cfRule>
          <x14:cfRule type="expression" priority="32" id="{E38B864A-55DB-49F9-8296-3C4ACEBF75AA}">
            <xm:f>$L415=FilterSpecs!$F$6</xm:f>
            <x14:dxf>
              <font>
                <b val="0"/>
                <i val="0"/>
              </font>
              <fill>
                <patternFill patternType="none">
                  <bgColor auto="1"/>
                </patternFill>
              </fill>
            </x14:dxf>
          </x14:cfRule>
          <x14:cfRule type="expression" priority="33" id="{942F61C0-1CFC-4123-8567-7A1FAA6C626D}">
            <xm:f>$L415=FilterSpecs!$F$7</xm:f>
            <x14:dxf>
              <font>
                <b/>
                <i val="0"/>
                <color theme="0"/>
              </font>
              <fill>
                <patternFill>
                  <bgColor rgb="FF00B0F0"/>
                </patternFill>
              </fill>
            </x14:dxf>
          </x14:cfRule>
          <xm:sqref>I415:M416 O415:O416</xm:sqref>
        </x14:conditionalFormatting>
        <x14:conditionalFormatting xmlns:xm="http://schemas.microsoft.com/office/excel/2006/main">
          <x14:cfRule type="expression" priority="18" id="{527299E0-EA4A-4671-8D11-ED6F15D0520F}">
            <xm:f>$L446=FilterSpecs!$F$13</xm:f>
            <x14:dxf>
              <font>
                <b/>
                <i val="0"/>
                <color theme="0"/>
              </font>
              <fill>
                <patternFill>
                  <bgColor theme="9" tint="-0.499984740745262"/>
                </patternFill>
              </fill>
            </x14:dxf>
          </x14:cfRule>
          <x14:cfRule type="expression" priority="19" id="{631322AC-699C-4642-9573-24541F4FEFE7}">
            <xm:f>$L446=FilterSpecs!$F$11</xm:f>
            <x14:dxf>
              <font>
                <b/>
                <i val="0"/>
                <color theme="0"/>
              </font>
              <fill>
                <patternFill>
                  <bgColor rgb="FF00B050"/>
                </patternFill>
              </fill>
            </x14:dxf>
          </x14:cfRule>
          <x14:cfRule type="expression" priority="20" id="{DBEC62EE-9B80-4285-8B1D-9CA086B5B44D}">
            <xm:f>$L446=FilterSpecs!$F$10</xm:f>
            <x14:dxf>
              <font>
                <b/>
                <i val="0"/>
                <color theme="0"/>
              </font>
              <fill>
                <patternFill>
                  <bgColor rgb="FF002060"/>
                </patternFill>
              </fill>
            </x14:dxf>
          </x14:cfRule>
          <x14:cfRule type="expression" priority="21" id="{A95BDB89-33FF-40EC-B086-3AECC6B25150}">
            <xm:f>$L446=FilterSpecs!$F$9</xm:f>
            <x14:dxf>
              <font>
                <b/>
                <i val="0"/>
                <color theme="0"/>
              </font>
              <fill>
                <patternFill>
                  <bgColor rgb="FFFF0000"/>
                </patternFill>
              </fill>
            </x14:dxf>
          </x14:cfRule>
          <x14:cfRule type="expression" priority="22" id="{89132EAF-B152-44AC-9A4D-764BC8484794}">
            <xm:f>$L446=FilterSpecs!$F$8</xm:f>
            <x14:dxf>
              <font>
                <b/>
                <i val="0"/>
                <color theme="0"/>
              </font>
              <fill>
                <patternFill>
                  <bgColor rgb="FFFFC000"/>
                </patternFill>
              </fill>
            </x14:dxf>
          </x14:cfRule>
          <x14:cfRule type="expression" priority="23" id="{322AC65F-B386-41CC-94B2-7BF3A3E9B437}">
            <xm:f>$L446=FilterSpecs!$F$6</xm:f>
            <x14:dxf>
              <font>
                <b val="0"/>
                <i val="0"/>
              </font>
              <fill>
                <patternFill patternType="none">
                  <bgColor auto="1"/>
                </patternFill>
              </fill>
            </x14:dxf>
          </x14:cfRule>
          <x14:cfRule type="expression" priority="24" id="{D0DA017A-E924-4D0A-ADF0-F45F44191B3D}">
            <xm:f>$L446=FilterSpecs!$F$7</xm:f>
            <x14:dxf>
              <font>
                <b/>
                <i val="0"/>
                <color theme="0"/>
              </font>
              <fill>
                <patternFill>
                  <bgColor rgb="FF00B0F0"/>
                </patternFill>
              </fill>
            </x14:dxf>
          </x14:cfRule>
          <xm:sqref>I446:M451 O446:O451</xm:sqref>
        </x14:conditionalFormatting>
        <x14:conditionalFormatting xmlns:xm="http://schemas.microsoft.com/office/excel/2006/main">
          <x14:cfRule type="expression" priority="10" id="{EFE1E0A9-3580-49BD-A3CF-D277952E51FA}">
            <xm:f>$L25=FilterSpecs!$F$13</xm:f>
            <x14:dxf>
              <font>
                <b/>
                <i val="0"/>
                <color theme="0"/>
              </font>
              <fill>
                <patternFill>
                  <bgColor theme="9" tint="-0.499984740745262"/>
                </patternFill>
              </fill>
            </x14:dxf>
          </x14:cfRule>
          <x14:cfRule type="expression" priority="11" id="{8D540835-8A01-44E9-8394-565F060F28C6}">
            <xm:f>$L25=FilterSpecs!$F$11</xm:f>
            <x14:dxf>
              <font>
                <b/>
                <i val="0"/>
                <color theme="0"/>
              </font>
              <fill>
                <patternFill>
                  <bgColor rgb="FF00B050"/>
                </patternFill>
              </fill>
            </x14:dxf>
          </x14:cfRule>
          <x14:cfRule type="expression" priority="12" id="{995CF184-36EE-4682-B4DE-51FFF973643A}">
            <xm:f>$L25=FilterSpecs!$F$10</xm:f>
            <x14:dxf>
              <font>
                <b/>
                <i val="0"/>
                <color theme="0"/>
              </font>
              <fill>
                <patternFill>
                  <bgColor rgb="FF002060"/>
                </patternFill>
              </fill>
            </x14:dxf>
          </x14:cfRule>
          <x14:cfRule type="expression" priority="13" id="{1CC4887F-AC80-40FC-8F44-8213EA90AB30}">
            <xm:f>$L25=FilterSpecs!$F$9</xm:f>
            <x14:dxf>
              <font>
                <b/>
                <i val="0"/>
                <color theme="0"/>
              </font>
              <fill>
                <patternFill>
                  <bgColor rgb="FFFF0000"/>
                </patternFill>
              </fill>
            </x14:dxf>
          </x14:cfRule>
          <x14:cfRule type="expression" priority="14" id="{E5B2CA45-EE4C-4775-82F4-13CBAE21AADB}">
            <xm:f>$L25=FilterSpecs!$F$8</xm:f>
            <x14:dxf>
              <font>
                <b/>
                <i val="0"/>
                <color theme="0"/>
              </font>
              <fill>
                <patternFill>
                  <bgColor rgb="FFFFC000"/>
                </patternFill>
              </fill>
            </x14:dxf>
          </x14:cfRule>
          <x14:cfRule type="expression" priority="15" id="{44C66E7F-11B5-4AAE-A6F4-6DA9E5C4ED19}">
            <xm:f>$L25=FilterSpecs!$F$6</xm:f>
            <x14:dxf>
              <font>
                <b val="0"/>
                <i val="0"/>
              </font>
              <fill>
                <patternFill patternType="none">
                  <bgColor auto="1"/>
                </patternFill>
              </fill>
            </x14:dxf>
          </x14:cfRule>
          <x14:cfRule type="expression" priority="16" id="{3ACE42DF-543E-4CFA-ABBD-932353CD92BB}">
            <xm:f>$L25=FilterSpecs!$F$7</xm:f>
            <x14:dxf>
              <font>
                <b/>
                <i val="0"/>
                <color theme="0"/>
              </font>
              <fill>
                <patternFill>
                  <bgColor rgb="FF00B0F0"/>
                </patternFill>
              </fill>
            </x14:dxf>
          </x14:cfRule>
          <xm:sqref>H25:H26</xm:sqref>
        </x14:conditionalFormatting>
        <x14:conditionalFormatting xmlns:xm="http://schemas.microsoft.com/office/excel/2006/main">
          <x14:cfRule type="expression" priority="2" id="{2B61724E-66F7-46B7-BD7C-5A82ACDAA36D}">
            <xm:f>$L51=FilterSpecs!$F$13</xm:f>
            <x14:dxf>
              <font>
                <b/>
                <i val="0"/>
                <color theme="0"/>
              </font>
              <fill>
                <patternFill>
                  <bgColor theme="9" tint="-0.499984740745262"/>
                </patternFill>
              </fill>
            </x14:dxf>
          </x14:cfRule>
          <x14:cfRule type="expression" priority="3" id="{287D99D3-2FEC-48D2-800F-30ADCD85EFBC}">
            <xm:f>$L51=FilterSpecs!$F$11</xm:f>
            <x14:dxf>
              <font>
                <b/>
                <i val="0"/>
                <color theme="0"/>
              </font>
              <fill>
                <patternFill>
                  <bgColor rgb="FF00B050"/>
                </patternFill>
              </fill>
            </x14:dxf>
          </x14:cfRule>
          <x14:cfRule type="expression" priority="4" id="{A96010E6-E95F-45AB-AE5A-CA73B0B1A259}">
            <xm:f>$L51=FilterSpecs!$F$10</xm:f>
            <x14:dxf>
              <font>
                <b/>
                <i val="0"/>
                <color theme="0"/>
              </font>
              <fill>
                <patternFill>
                  <bgColor rgb="FF002060"/>
                </patternFill>
              </fill>
            </x14:dxf>
          </x14:cfRule>
          <x14:cfRule type="expression" priority="5" id="{810E77FF-9607-47FE-9B1C-C72B7E56A8D3}">
            <xm:f>$L51=FilterSpecs!$F$9</xm:f>
            <x14:dxf>
              <font>
                <b/>
                <i val="0"/>
                <color theme="0"/>
              </font>
              <fill>
                <patternFill>
                  <bgColor rgb="FFFF0000"/>
                </patternFill>
              </fill>
            </x14:dxf>
          </x14:cfRule>
          <x14:cfRule type="expression" priority="6" id="{305780AF-9E70-4E31-AD77-96602493A7DB}">
            <xm:f>$L51=FilterSpecs!$F$8</xm:f>
            <x14:dxf>
              <font>
                <b/>
                <i val="0"/>
                <color theme="0"/>
              </font>
              <fill>
                <patternFill>
                  <bgColor rgb="FFFFC000"/>
                </patternFill>
              </fill>
            </x14:dxf>
          </x14:cfRule>
          <x14:cfRule type="expression" priority="7" id="{E374D08F-82DE-48FB-8E17-80BD9F9A67D5}">
            <xm:f>$L51=FilterSpecs!$F$6</xm:f>
            <x14:dxf>
              <font>
                <b val="0"/>
                <i val="0"/>
              </font>
              <fill>
                <patternFill patternType="none">
                  <bgColor auto="1"/>
                </patternFill>
              </fill>
            </x14:dxf>
          </x14:cfRule>
          <x14:cfRule type="expression" priority="8" id="{7167FA50-1938-4C61-8C52-16D2B4948116}">
            <xm:f>$L51=FilterSpecs!$F$7</xm:f>
            <x14:dxf>
              <font>
                <b/>
                <i val="0"/>
                <color theme="0"/>
              </font>
              <fill>
                <patternFill>
                  <bgColor rgb="FF00B0F0"/>
                </patternFill>
              </fill>
            </x14:dxf>
          </x14:cfRule>
          <xm:sqref>H51:H647</xm:sqref>
        </x14:conditionalFormatting>
      </x14:conditionalFormattings>
    </ext>
    <ext xmlns:x14="http://schemas.microsoft.com/office/spreadsheetml/2009/9/main" uri="{CCE6A557-97BC-4b89-ADB6-D9C93CAAB3DF}">
      <x14:dataValidations xmlns:xm="http://schemas.microsoft.com/office/excel/2006/main" xWindow="618" yWindow="364" count="1">
        <x14:dataValidation type="list" allowBlank="1" showInputMessage="1" showErrorMessage="1" xr:uid="{67003A74-4C1D-4CE9-BA5D-67336AFE7495}">
          <x14:formula1>
            <xm:f>FilterSpecs!$C$6:$C$13</xm:f>
          </x14:formula1>
          <xm:sqref>A298:B298</xm:sqref>
        </x14:dataValidation>
      </x14:dataValidations>
    </ext>
    <ext xmlns:x15="http://schemas.microsoft.com/office/spreadsheetml/2010/11/main" uri="{3A4CF648-6AED-40f4-86FF-DC5316D8AED3}">
      <x14:slicerList xmlns:x14="http://schemas.microsoft.com/office/spreadsheetml/2009/9/main">
        <x14:slicer r:id="rId5"/>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7071CE-EB7C-494D-B0A0-B2A9721CA3C7}">
  <sheetPr codeName="Sheet24">
    <tabColor rgb="FF92D050"/>
  </sheetPr>
  <dimension ref="A1:AO716"/>
  <sheetViews>
    <sheetView topLeftCell="L10" zoomScale="70" zoomScaleNormal="70" workbookViewId="0">
      <selection activeCell="AB17" sqref="AB17"/>
    </sheetView>
  </sheetViews>
  <sheetFormatPr defaultColWidth="8.85546875" defaultRowHeight="15" x14ac:dyDescent="0.25"/>
  <cols>
    <col min="1" max="1" width="48.7109375" style="149" bestFit="1" customWidth="1"/>
    <col min="2" max="2" width="46.140625" style="149" bestFit="1" customWidth="1"/>
    <col min="3" max="3" width="17.140625" style="149" customWidth="1"/>
    <col min="4" max="4" width="14" style="149" customWidth="1"/>
    <col min="5" max="5" width="7.7109375" style="149" customWidth="1"/>
    <col min="6" max="6" width="10.140625" style="146" customWidth="1"/>
    <col min="7" max="7" width="2.5703125" style="146" customWidth="1"/>
    <col min="8" max="8" width="7.7109375" style="149" customWidth="1"/>
    <col min="9" max="9" width="63.140625" style="146" customWidth="1"/>
    <col min="10" max="10" width="0.140625" style="149" hidden="1" customWidth="1"/>
    <col min="11" max="11" width="9.5703125" style="149" customWidth="1"/>
    <col min="12" max="12" width="5" style="146" customWidth="1"/>
    <col min="13" max="13" width="7.28515625" style="146" hidden="1" customWidth="1"/>
    <col min="14" max="14" width="13.28515625" style="146" bestFit="1" customWidth="1"/>
    <col min="15" max="15" width="11.5703125" style="146" customWidth="1"/>
    <col min="16" max="16" width="8.140625" style="146" bestFit="1" customWidth="1"/>
    <col min="17" max="17" width="18.7109375" style="146" bestFit="1" customWidth="1"/>
    <col min="18" max="18" width="19.140625" style="146" bestFit="1" customWidth="1"/>
    <col min="19" max="19" width="57.7109375" style="146" bestFit="1" customWidth="1"/>
    <col min="20" max="20" width="7.28515625" style="146" customWidth="1"/>
    <col min="21" max="21" width="12.140625" style="146" customWidth="1"/>
    <col min="22" max="22" width="7.7109375" style="146" customWidth="1"/>
    <col min="23" max="24" width="8.85546875" style="146"/>
    <col min="25" max="25" width="10.140625" style="146" bestFit="1" customWidth="1"/>
    <col min="26" max="26" width="8.85546875" style="146"/>
    <col min="27" max="27" width="48.5703125" style="146" customWidth="1"/>
    <col min="28" max="28" width="25.7109375" style="146" customWidth="1"/>
    <col min="29" max="29" width="8.85546875" style="146"/>
    <col min="30" max="30" width="14.7109375" style="146" bestFit="1" customWidth="1"/>
    <col min="31" max="31" width="2" style="146" bestFit="1" customWidth="1"/>
    <col min="32" max="32" width="3.85546875" style="146" customWidth="1"/>
    <col min="33" max="33" width="3" style="146" bestFit="1" customWidth="1"/>
    <col min="34" max="34" width="5" style="146" customWidth="1"/>
    <col min="35" max="35" width="4" style="146" bestFit="1" customWidth="1"/>
    <col min="36" max="36" width="48.85546875" style="146" bestFit="1" customWidth="1"/>
    <col min="37" max="37" width="12.28515625" style="146" customWidth="1"/>
    <col min="38" max="38" width="8.7109375" style="146" customWidth="1"/>
    <col min="39" max="39" width="10.7109375" style="146" bestFit="1" customWidth="1"/>
    <col min="40" max="40" width="8.85546875" style="146"/>
    <col min="41" max="41" width="9.42578125" style="146" bestFit="1" customWidth="1"/>
    <col min="42" max="16384" width="8.85546875" style="146"/>
  </cols>
  <sheetData>
    <row r="1" spans="1:41" ht="78" customHeight="1" x14ac:dyDescent="0.25">
      <c r="AD1" s="153" t="s">
        <v>50</v>
      </c>
      <c r="AE1" s="153"/>
      <c r="AF1" s="153">
        <v>5</v>
      </c>
    </row>
    <row r="2" spans="1:41" x14ac:dyDescent="0.25">
      <c r="AD2" s="153" t="s">
        <v>54</v>
      </c>
      <c r="AE2" s="153"/>
      <c r="AF2" s="153">
        <v>5</v>
      </c>
    </row>
    <row r="3" spans="1:41" x14ac:dyDescent="0.25">
      <c r="AD3" s="153" t="s">
        <v>58</v>
      </c>
      <c r="AE3" s="153"/>
      <c r="AF3" s="153">
        <v>0</v>
      </c>
    </row>
    <row r="4" spans="1:41" x14ac:dyDescent="0.25">
      <c r="AD4" s="153" t="s">
        <v>62</v>
      </c>
      <c r="AE4" s="153"/>
      <c r="AF4" s="153">
        <v>10</v>
      </c>
    </row>
    <row r="5" spans="1:41" x14ac:dyDescent="0.25">
      <c r="AD5" s="153" t="s">
        <v>223</v>
      </c>
      <c r="AE5" s="153"/>
      <c r="AF5" s="153">
        <v>0</v>
      </c>
    </row>
    <row r="6" spans="1:41" x14ac:dyDescent="0.25">
      <c r="AD6" s="153" t="s">
        <v>1817</v>
      </c>
      <c r="AE6" s="153"/>
      <c r="AF6" s="153">
        <v>0</v>
      </c>
    </row>
    <row r="7" spans="1:41" x14ac:dyDescent="0.25">
      <c r="AD7" s="104" t="s">
        <v>2481</v>
      </c>
      <c r="AE7" s="104"/>
      <c r="AF7" s="104">
        <v>0</v>
      </c>
    </row>
    <row r="8" spans="1:41" x14ac:dyDescent="0.25">
      <c r="AD8" s="153" t="s">
        <v>340</v>
      </c>
      <c r="AE8" s="153"/>
      <c r="AF8" s="153">
        <v>5</v>
      </c>
    </row>
    <row r="9" spans="1:41" x14ac:dyDescent="0.25">
      <c r="AD9" s="153" t="s">
        <v>226</v>
      </c>
      <c r="AE9" s="153"/>
      <c r="AF9" s="153">
        <v>1</v>
      </c>
    </row>
    <row r="10" spans="1:41" x14ac:dyDescent="0.25">
      <c r="AD10" s="153" t="s">
        <v>279</v>
      </c>
      <c r="AE10" s="153"/>
      <c r="AF10" s="153">
        <v>0</v>
      </c>
    </row>
    <row r="11" spans="1:41" ht="72" customHeight="1" thickBot="1" x14ac:dyDescent="0.3">
      <c r="A11" s="38" t="s">
        <v>2574</v>
      </c>
      <c r="AD11" s="153" t="s">
        <v>407</v>
      </c>
      <c r="AE11" s="153"/>
      <c r="AF11" s="153">
        <v>5</v>
      </c>
    </row>
    <row r="12" spans="1:41" ht="6.6" customHeight="1" thickTop="1" x14ac:dyDescent="0.25">
      <c r="A12" s="83"/>
      <c r="B12" s="83"/>
      <c r="C12" s="83"/>
      <c r="D12" s="83"/>
      <c r="E12" s="83"/>
      <c r="F12" s="83"/>
      <c r="G12" s="83"/>
      <c r="H12" s="83"/>
      <c r="I12" s="83"/>
      <c r="J12" s="83"/>
      <c r="K12" s="83"/>
      <c r="L12" s="83"/>
      <c r="M12" s="83"/>
      <c r="N12" s="83"/>
      <c r="O12" s="83"/>
      <c r="P12" s="83"/>
      <c r="AD12" s="153" t="s">
        <v>628</v>
      </c>
      <c r="AE12" s="153"/>
      <c r="AF12" s="153">
        <v>5</v>
      </c>
      <c r="AG12" s="153"/>
    </row>
    <row r="13" spans="1:41" x14ac:dyDescent="0.25">
      <c r="A13" s="149" t="s">
        <v>886</v>
      </c>
      <c r="B13" s="72" t="s">
        <v>156</v>
      </c>
      <c r="C13" s="72" t="s">
        <v>4</v>
      </c>
      <c r="D13" s="147" t="s">
        <v>20</v>
      </c>
      <c r="E13" s="147" t="s">
        <v>2536</v>
      </c>
      <c r="F13" s="147" t="s">
        <v>2537</v>
      </c>
      <c r="G13" s="147" t="s">
        <v>21</v>
      </c>
      <c r="H13" s="147" t="s">
        <v>22</v>
      </c>
      <c r="I13" s="147" t="s">
        <v>23</v>
      </c>
      <c r="J13" s="147" t="s">
        <v>24</v>
      </c>
      <c r="K13" s="147" t="s">
        <v>25</v>
      </c>
      <c r="L13" s="147" t="s">
        <v>1904</v>
      </c>
      <c r="M13" s="147" t="s">
        <v>1607</v>
      </c>
      <c r="N13" s="147" t="s">
        <v>1399</v>
      </c>
      <c r="O13" s="147" t="s">
        <v>2557</v>
      </c>
      <c r="P13" s="147" t="s">
        <v>2519</v>
      </c>
      <c r="Q13" s="147" t="s">
        <v>2533</v>
      </c>
      <c r="R13" s="147" t="s">
        <v>2529</v>
      </c>
      <c r="S13" s="147" t="s">
        <v>2374</v>
      </c>
      <c r="T13" s="147" t="s">
        <v>2539</v>
      </c>
      <c r="U13" s="147" t="s">
        <v>2535</v>
      </c>
      <c r="V13" s="147" t="s">
        <v>2534</v>
      </c>
      <c r="W13" s="147" t="s">
        <v>2538</v>
      </c>
      <c r="X13" s="147" t="s">
        <v>2552</v>
      </c>
      <c r="Y13" s="147" t="s">
        <v>2553</v>
      </c>
      <c r="AB13" s="29"/>
      <c r="AC13" s="153" t="s">
        <v>5</v>
      </c>
      <c r="AD13" s="153" t="s">
        <v>2242</v>
      </c>
      <c r="AE13" s="153">
        <v>0</v>
      </c>
      <c r="AF13" s="153">
        <v>0</v>
      </c>
      <c r="AG13" s="153">
        <v>3</v>
      </c>
      <c r="AH13" s="146">
        <f>[1]!countIfEqual($AE$13:AE13, 0)</f>
        <v>1</v>
      </c>
      <c r="AI13" s="146">
        <f>[1]!QtyZeros(AE13)</f>
        <v>3</v>
      </c>
      <c r="AJ13" s="29" t="str">
        <f>[1]!nthNonzeroMemberOf($AE$13,$AC$13, 1, AN14)</f>
        <v>$AE$19</v>
      </c>
      <c r="AK13" s="146" t="e">
        <f ca="1">nonzeroQtys($AE$13,AD13)</f>
        <v>#NAME?</v>
      </c>
      <c r="AL13" s="153" t="s">
        <v>62</v>
      </c>
      <c r="AM13" s="153" t="str">
        <f ca="1">INDIRECT("AD" &amp; ROW(AD13)+AH13)</f>
        <v>WRL-11373</v>
      </c>
      <c r="AN13" s="153" t="s">
        <v>5</v>
      </c>
      <c r="AO13" s="146">
        <f>[1]!QtyZeros(AE16)</f>
        <v>0</v>
      </c>
    </row>
    <row r="14" spans="1:41" s="153" customFormat="1" x14ac:dyDescent="0.25">
      <c r="A14" s="150" t="s">
        <v>887</v>
      </c>
      <c r="B14" s="150" t="s">
        <v>881</v>
      </c>
      <c r="C14" s="150" t="s">
        <v>5</v>
      </c>
      <c r="D14" s="151" t="str">
        <f>IF(MouserListTable[[#This Row],[Vendor]]=FilterSpecs!$A$8,MouserListTable[[#This Row],[Mouser SKU]], MouserListTable[[#This Row],[Supplier SKU]])</f>
        <v>474-WIG-13660</v>
      </c>
      <c r="E14" s="152">
        <f>MouserListTable[[#This Row],[Tot '#]]-MouserListTable[[#This Row],['# Initial]]</f>
        <v>1</v>
      </c>
      <c r="F14" s="152">
        <f>IF(AND(MouserListTable[[#This Row],[Tag]]&lt;&gt;FilterSpecs!$F$12, MouserListTable[[#This Row],[Tag]]&lt;&gt;FilterSpecs!$F$9), MouserListTable[[#This Row],['#/Unit]]*FilterSpecs!$B$3+MouserListTable[[#This Row],[Extra Initial]],0)</f>
        <v>0</v>
      </c>
      <c r="G14" s="150" t="s">
        <v>131</v>
      </c>
      <c r="H14" s="150" t="s">
        <v>132</v>
      </c>
      <c r="I14" s="150" t="s">
        <v>133</v>
      </c>
      <c r="J14" s="150">
        <v>1</v>
      </c>
      <c r="K14" s="154">
        <v>49.95</v>
      </c>
      <c r="L14" s="150" t="s">
        <v>1896</v>
      </c>
      <c r="M14" s="151" t="s">
        <v>1476</v>
      </c>
      <c r="N14" s="154">
        <f>MouserListTable[[#This Row],['# Initial]]*MouserListTable[[#This Row],[Price (USD)]]</f>
        <v>0</v>
      </c>
      <c r="O14" s="151" t="s">
        <v>130</v>
      </c>
      <c r="P14" s="150">
        <f t="shared" ref="P14:P77" si="0">IF($P13="List #",1,$P13+1)</f>
        <v>1</v>
      </c>
      <c r="Q14" s="150" t="s">
        <v>5</v>
      </c>
      <c r="R1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474-WIG-13660</v>
      </c>
      <c r="S14" s="157" t="str">
        <f>HYPERLINK("https://www.mouser.com/ProductDetail/" &amp;MouserListTable[[#This Row],[Mouser SKU]])</f>
        <v>https://www.mouser.com/ProductDetail/474-WIG-13660</v>
      </c>
      <c r="T14" s="152">
        <v>0</v>
      </c>
      <c r="U14" s="152">
        <v>1</v>
      </c>
      <c r="V14" s="152">
        <v>0</v>
      </c>
      <c r="W14" s="152">
        <f>MouserListTable[[#This Row],['#/Unit]]*FilterSpecs!$C$3+MouserListTable[[#This Row],[Extra]]</f>
        <v>1</v>
      </c>
      <c r="X14" s="152">
        <f>IF(MouserListTable[[#This Row],[Tag]]=FilterSpecs!$F$7,MouserListTable[[#This Row],['#/Unit]]*MouserListTable[[#This Row],[Price (USD)]],0)</f>
        <v>0</v>
      </c>
      <c r="Y14" s="152">
        <f>MouserListTable[[#This Row],[Tot '#]]*MouserListTable[[#This Row],[Price (USD)]]</f>
        <v>49.95</v>
      </c>
      <c r="Z14" s="146"/>
      <c r="AA14" s="146" t="str">
        <f>[1]!nonzeroQtysList($F$14,InitialOrderTable[[#This Row],[Name]])</f>
        <v>SparkFun XBee Explorer Regulated</v>
      </c>
      <c r="AB14" s="29" t="str">
        <f>[1]!nonzeroQtysOfList($F$14, $Q$14, InitialOrderTable[[#This Row],[Name]], $AN$14)</f>
        <v>Pogo Pin Probe Clip</v>
      </c>
      <c r="AC14" s="153" t="s">
        <v>5</v>
      </c>
      <c r="AD14" s="153" t="s">
        <v>50</v>
      </c>
      <c r="AE14" s="153">
        <v>0</v>
      </c>
      <c r="AF14" s="153">
        <v>5</v>
      </c>
      <c r="AG14" s="153">
        <v>3</v>
      </c>
      <c r="AH14" s="146">
        <f>[1]!countIfEqual($AE$13:AE14, 0)</f>
        <v>2</v>
      </c>
      <c r="AI14" s="146">
        <f>[1]!QtyZeros(AE14)</f>
        <v>2</v>
      </c>
      <c r="AJ14" s="29" t="b">
        <f>[1]!nonzeroQtysOfRow($F$14, $Q$14, InitialOrderTable[[#This Row],[Name]], $AN$13:$AN$15)</f>
        <v>0</v>
      </c>
      <c r="AK14" s="146" t="e">
        <f ca="1">nonzeroQtys($AE$13,AD14)</f>
        <v>#NAME?</v>
      </c>
      <c r="AL14" s="153" t="s">
        <v>340</v>
      </c>
      <c r="AM14" s="153" t="str">
        <f ca="1">INDIRECT("AD" &amp; ROW(AD14)+AH14)</f>
        <v>WRL-11601</v>
      </c>
      <c r="AN14" s="153" t="s">
        <v>1884</v>
      </c>
    </row>
    <row r="15" spans="1:41" s="153" customFormat="1" x14ac:dyDescent="0.25">
      <c r="A15" s="150" t="s">
        <v>887</v>
      </c>
      <c r="B15" s="150" t="s">
        <v>881</v>
      </c>
      <c r="C15" s="150" t="s">
        <v>5</v>
      </c>
      <c r="D15" s="151" t="str">
        <f>IF(MouserListTable[[#This Row],[Vendor]]=FilterSpecs!$A$8,MouserListTable[[#This Row],[Mouser SKU]], MouserListTable[[#This Row],[Supplier SKU]])</f>
        <v>474-COM-14023</v>
      </c>
      <c r="E15" s="152">
        <f>MouserListTable[[#This Row],[Tot '#]]-MouserListTable[[#This Row],['# Initial]]</f>
        <v>1</v>
      </c>
      <c r="F15" s="152">
        <f>IF(AND(MouserListTable[[#This Row],[Tag]]&lt;&gt;FilterSpecs!$F$12, MouserListTable[[#This Row],[Tag]]&lt;&gt;FilterSpecs!$F$9), MouserListTable[[#This Row],['#/Unit]]*FilterSpecs!$B$3+MouserListTable[[#This Row],[Extra Initial]],0)</f>
        <v>0</v>
      </c>
      <c r="G15" s="150" t="s">
        <v>143</v>
      </c>
      <c r="H15" s="150" t="s">
        <v>144</v>
      </c>
      <c r="I15" s="150" t="s">
        <v>145</v>
      </c>
      <c r="J15" s="150"/>
      <c r="K15" s="154">
        <v>4.95</v>
      </c>
      <c r="L15" s="150" t="s">
        <v>1896</v>
      </c>
      <c r="M15" s="151"/>
      <c r="N15" s="154">
        <f>MouserListTable[[#This Row],['# Initial]]*MouserListTable[[#This Row],[Price (USD)]]</f>
        <v>0</v>
      </c>
      <c r="O15" s="151" t="s">
        <v>142</v>
      </c>
      <c r="P15" s="150">
        <f t="shared" si="0"/>
        <v>2</v>
      </c>
      <c r="Q15" s="150" t="s">
        <v>5</v>
      </c>
      <c r="R1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474-COM-14023</v>
      </c>
      <c r="S15" s="157" t="str">
        <f>HYPERLINK("https://www.mouser.com/ProductDetail/" &amp;MouserListTable[[#This Row],[Mouser SKU]])</f>
        <v>https://www.mouser.com/ProductDetail/474-COM-14023</v>
      </c>
      <c r="T15" s="152">
        <v>0</v>
      </c>
      <c r="U15" s="152">
        <v>1</v>
      </c>
      <c r="V15" s="152">
        <v>0</v>
      </c>
      <c r="W15" s="152">
        <f>MouserListTable[[#This Row],['#/Unit]]*FilterSpecs!$C$3+MouserListTable[[#This Row],[Extra]]</f>
        <v>1</v>
      </c>
      <c r="X15" s="152">
        <f>IF(MouserListTable[[#This Row],[Tag]]=FilterSpecs!$F$7,MouserListTable[[#This Row],['#/Unit]]*MouserListTable[[#This Row],[Price (USD)]],0)</f>
        <v>0</v>
      </c>
      <c r="Y15" s="152">
        <f>MouserListTable[[#This Row],[Tot '#]]*MouserListTable[[#This Row],[Price (USD)]]</f>
        <v>4.95</v>
      </c>
      <c r="Z15" s="146"/>
      <c r="AA15" s="146" t="str">
        <f>[1]!nonzeroQtysList($F$13,InitialOrderTable[[#This Row],[Name]])</f>
        <v>SparkFun XBee Explorer Dongle</v>
      </c>
      <c r="AB15" s="29" t="str">
        <f>[1]!nonzeroQtysOfList($F$14, $Q$14, InitialOrderTable[[#This Row],[Name]], $AN$14)</f>
        <v>5V 2A Switching Power Supply w/ USB-A Connector</v>
      </c>
      <c r="AC15" s="153" t="s">
        <v>5</v>
      </c>
      <c r="AD15" s="153" t="s">
        <v>54</v>
      </c>
      <c r="AE15" s="153">
        <v>0</v>
      </c>
      <c r="AF15" s="153">
        <v>5</v>
      </c>
      <c r="AG15" s="153">
        <v>4</v>
      </c>
      <c r="AH15" s="146">
        <f>[1]!countIfEqual($AE$13:AE15, 0)</f>
        <v>3</v>
      </c>
      <c r="AI15" s="146">
        <f>[1]!QtyZeros(AE15)</f>
        <v>1</v>
      </c>
      <c r="AJ15" s="29" t="b">
        <f>[1]!nonzeroQtysOfRow($F$14, $Q$14, InitialOrderTable[[#This Row],[Name]], $AN$13:$AN$15)</f>
        <v>0</v>
      </c>
      <c r="AK15" s="146" t="e">
        <f ca="1">[1]!nonzeroQtys($AE$13,AD15)</f>
        <v>#NAME?</v>
      </c>
      <c r="AL15" s="146"/>
      <c r="AM15" s="153" t="str">
        <f t="shared" ref="AM15:AM25" ca="1" si="1">INDIRECT("AD" &amp; ROW(AD15)+AH15)</f>
        <v>TOL-09419</v>
      </c>
      <c r="AN15" s="153" t="s">
        <v>1892</v>
      </c>
    </row>
    <row r="16" spans="1:41" s="153" customFormat="1" x14ac:dyDescent="0.25">
      <c r="A16" s="150" t="s">
        <v>887</v>
      </c>
      <c r="B16" s="150" t="s">
        <v>881</v>
      </c>
      <c r="C16" s="150" t="s">
        <v>5</v>
      </c>
      <c r="D16" s="151" t="str">
        <f>IF(MouserListTable[[#This Row],[Vendor]]=FilterSpecs!$A$8,MouserListTable[[#This Row],[Mouser SKU]], MouserListTable[[#This Row],[Supplier SKU]])</f>
        <v>474-COM-09151</v>
      </c>
      <c r="E16" s="152">
        <f>MouserListTable[[#This Row],[Tot '#]]-MouserListTable[[#This Row],['# Initial]]</f>
        <v>2</v>
      </c>
      <c r="F16" s="152">
        <f>IF(AND(MouserListTable[[#This Row],[Tag]]&lt;&gt;FilterSpecs!$F$12, MouserListTable[[#This Row],[Tag]]&lt;&gt;FilterSpecs!$F$9), MouserListTable[[#This Row],['#/Unit]]*FilterSpecs!$B$3+MouserListTable[[#This Row],[Extra Initial]],0)</f>
        <v>0</v>
      </c>
      <c r="G16" s="150" t="s">
        <v>147</v>
      </c>
      <c r="H16" s="150" t="s">
        <v>148</v>
      </c>
      <c r="I16" s="150" t="s">
        <v>149</v>
      </c>
      <c r="J16" s="150">
        <v>1</v>
      </c>
      <c r="K16" s="154">
        <v>1.95</v>
      </c>
      <c r="L16" s="150" t="s">
        <v>1896</v>
      </c>
      <c r="M16" s="151"/>
      <c r="N16" s="154">
        <f>MouserListTable[[#This Row],['# Initial]]*MouserListTable[[#This Row],[Price (USD)]]</f>
        <v>0</v>
      </c>
      <c r="O16" s="151" t="s">
        <v>146</v>
      </c>
      <c r="P16" s="150">
        <f t="shared" si="0"/>
        <v>3</v>
      </c>
      <c r="Q16" s="150" t="s">
        <v>5</v>
      </c>
      <c r="R1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474-COM-09151</v>
      </c>
      <c r="S16" s="157" t="str">
        <f>HYPERLINK("https://www.mouser.com/ProductDetail/" &amp;MouserListTable[[#This Row],[Mouser SKU]])</f>
        <v>https://www.mouser.com/ProductDetail/474-COM-09151</v>
      </c>
      <c r="T16" s="152">
        <v>0</v>
      </c>
      <c r="U16" s="152">
        <v>2</v>
      </c>
      <c r="V16" s="152">
        <v>0</v>
      </c>
      <c r="W16" s="152">
        <f>MouserListTable[[#This Row],['#/Unit]]*FilterSpecs!$C$3+MouserListTable[[#This Row],[Extra]]</f>
        <v>2</v>
      </c>
      <c r="X16" s="152">
        <f>IF(MouserListTable[[#This Row],[Tag]]=FilterSpecs!$F$7,MouserListTable[[#This Row],['#/Unit]]*MouserListTable[[#This Row],[Price (USD)]],0)</f>
        <v>0</v>
      </c>
      <c r="Y16" s="152">
        <f>MouserListTable[[#This Row],[Tot '#]]*MouserListTable[[#This Row],[Price (USD)]]</f>
        <v>3.9</v>
      </c>
      <c r="Z16" s="146"/>
      <c r="AA16" s="146" t="str">
        <f>[1]!nonzeroQtysList($F$13,InitialOrderTable[[#This Row],[Name]])</f>
        <v>RN42-XV Bluetooth Module - PCB Antenna</v>
      </c>
      <c r="AB16" s="29" t="str">
        <f>[1]!nonzeroQtysOfList($F$14, $Q$14, InitialOrderTable[[#This Row],[Name]], $AN$14)</f>
        <v>MicroUSB to 5.5/2.1mm DC Barrel Jack Adapter</v>
      </c>
      <c r="AC16" s="153" t="s">
        <v>5</v>
      </c>
      <c r="AD16" s="153" t="s">
        <v>62</v>
      </c>
      <c r="AE16" s="153">
        <v>1</v>
      </c>
      <c r="AF16" s="153">
        <v>10</v>
      </c>
      <c r="AG16" s="153">
        <v>8</v>
      </c>
      <c r="AH16" s="146">
        <f>[1]!countIfEqual($AE$13:AE16, 0)</f>
        <v>3</v>
      </c>
      <c r="AI16" s="146">
        <f>[1]!QtyZeros(AE16)</f>
        <v>0</v>
      </c>
      <c r="AJ16" s="29" t="b">
        <f>[1]!nonzeroQtysOfRow($F$14, $Q$14, InitialOrderTable[[#This Row],[Name]], $AN$13:$AN$15)</f>
        <v>0</v>
      </c>
      <c r="AK16" s="146" t="e">
        <f ca="1">nonzeroQtys($AE$13,AD16)</f>
        <v>#NAME?</v>
      </c>
      <c r="AL16" s="146"/>
      <c r="AM16" s="153" t="str">
        <f t="shared" ca="1" si="1"/>
        <v>DEV-13743</v>
      </c>
    </row>
    <row r="17" spans="1:39" s="153" customFormat="1" x14ac:dyDescent="0.25">
      <c r="A17" s="150" t="s">
        <v>887</v>
      </c>
      <c r="B17" s="150" t="s">
        <v>881</v>
      </c>
      <c r="C17" s="150" t="s">
        <v>5</v>
      </c>
      <c r="D17" s="151" t="str">
        <f>IF(MouserListTable[[#This Row],[Vendor]]=FilterSpecs!$A$8,MouserListTable[[#This Row],[Mouser SKU]], MouserListTable[[#This Row],[Supplier SKU]])</f>
        <v>474-COM-11145</v>
      </c>
      <c r="E17" s="152">
        <f>MouserListTable[[#This Row],[Tot '#]]-MouserListTable[[#This Row],['# Initial]]</f>
        <v>1</v>
      </c>
      <c r="F17" s="152">
        <f>IF(AND(MouserListTable[[#This Row],[Tag]]&lt;&gt;FilterSpecs!$F$12, MouserListTable[[#This Row],[Tag]]&lt;&gt;FilterSpecs!$F$9), MouserListTable[[#This Row],['#/Unit]]*FilterSpecs!$B$3+MouserListTable[[#This Row],[Extra Initial]],0)</f>
        <v>0</v>
      </c>
      <c r="G17" s="150" t="s">
        <v>151</v>
      </c>
      <c r="H17" s="150" t="s">
        <v>152</v>
      </c>
      <c r="I17" s="150" t="s">
        <v>153</v>
      </c>
      <c r="J17" s="150"/>
      <c r="K17" s="154">
        <v>0.75</v>
      </c>
      <c r="L17" s="150" t="s">
        <v>1896</v>
      </c>
      <c r="M17" s="151"/>
      <c r="N17" s="154">
        <f>MouserListTable[[#This Row],['# Initial]]*MouserListTable[[#This Row],[Price (USD)]]</f>
        <v>0</v>
      </c>
      <c r="O17" s="151" t="s">
        <v>150</v>
      </c>
      <c r="P17" s="150">
        <f t="shared" si="0"/>
        <v>4</v>
      </c>
      <c r="Q17" s="150" t="s">
        <v>5</v>
      </c>
      <c r="R1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474-COM-11145</v>
      </c>
      <c r="S17" s="157" t="str">
        <f>HYPERLINK("https://www.mouser.com/ProductDetail/" &amp;MouserListTable[[#This Row],[Mouser SKU]])</f>
        <v>https://www.mouser.com/ProductDetail/474-COM-11145</v>
      </c>
      <c r="T17" s="152">
        <v>0</v>
      </c>
      <c r="U17" s="152">
        <v>1</v>
      </c>
      <c r="V17" s="152">
        <v>0</v>
      </c>
      <c r="W17" s="152">
        <f>MouserListTable[[#This Row],['#/Unit]]*FilterSpecs!$C$3+MouserListTable[[#This Row],[Extra]]</f>
        <v>1</v>
      </c>
      <c r="X17" s="152">
        <f>IF(MouserListTable[[#This Row],[Tag]]=FilterSpecs!$F$7,MouserListTable[[#This Row],['#/Unit]]*MouserListTable[[#This Row],[Price (USD)]],0)</f>
        <v>0</v>
      </c>
      <c r="Y17" s="152">
        <f>MouserListTable[[#This Row],[Tot '#]]*MouserListTable[[#This Row],[Price (USD)]]</f>
        <v>0.75</v>
      </c>
      <c r="Z17" s="146"/>
      <c r="AA17" s="146" t="str">
        <f>[1]!nonzeroQtysList($F$13,InitialOrderTable[[#This Row],[Name]])</f>
        <v>microSD USB Reader</v>
      </c>
      <c r="AB17" s="29" t="str">
        <f>[1]!nonzeroQtysOfList($F$14, $Q$14, InitialOrderTable[[#This Row],[Name]], $AN$14)</f>
        <v>Waterproof DC Power Cable Set - 5.5/2.1mm</v>
      </c>
      <c r="AC17" s="153" t="s">
        <v>5</v>
      </c>
      <c r="AD17" s="153" t="s">
        <v>340</v>
      </c>
      <c r="AE17" s="153">
        <v>1</v>
      </c>
      <c r="AF17" s="153">
        <v>5</v>
      </c>
      <c r="AG17" s="153">
        <v>9</v>
      </c>
      <c r="AH17" s="146">
        <f>[1]!countIfEqual($AE$13:AE17, 0)</f>
        <v>3</v>
      </c>
      <c r="AI17" s="146">
        <f>[1]!QtyZeros(AE17)</f>
        <v>0</v>
      </c>
      <c r="AJ17" s="29" t="b">
        <f>[1]!nonzeroQtysOfRow($F$14, $Q$14, InitialOrderTable[[#This Row],[Name]], $AN$13:$AN$15)</f>
        <v>0</v>
      </c>
      <c r="AK17" s="146" t="e">
        <f ca="1">[1]!nonzeroQtys($AE$13,AD17)</f>
        <v>#NAME?</v>
      </c>
      <c r="AL17" s="146"/>
      <c r="AM17" s="153" t="str">
        <f t="shared" ca="1" si="1"/>
        <v>COM-13833</v>
      </c>
    </row>
    <row r="18" spans="1:39" s="153" customFormat="1" x14ac:dyDescent="0.25">
      <c r="A18" s="150" t="s">
        <v>887</v>
      </c>
      <c r="B18" s="150" t="s">
        <v>881</v>
      </c>
      <c r="C18" s="150" t="s">
        <v>5</v>
      </c>
      <c r="D18" s="151" t="str">
        <f>IF(MouserListTable[[#This Row],[Vendor]]=FilterSpecs!$A$8,MouserListTable[[#This Row],[Mouser SKU]], MouserListTable[[#This Row],[Supplier SKU]])</f>
        <v>474-ROB-08449</v>
      </c>
      <c r="E18" s="152">
        <f>MouserListTable[[#This Row],[Tot '#]]-MouserListTable[[#This Row],['# Initial]]</f>
        <v>2</v>
      </c>
      <c r="F18" s="152">
        <f>IF(AND(MouserListTable[[#This Row],[Tag]]&lt;&gt;FilterSpecs!$F$12, MouserListTable[[#This Row],[Tag]]&lt;&gt;FilterSpecs!$F$9), MouserListTable[[#This Row],['#/Unit]]*FilterSpecs!$B$3+MouserListTable[[#This Row],[Extra Initial]],0)</f>
        <v>0</v>
      </c>
      <c r="G18" s="150" t="s">
        <v>661</v>
      </c>
      <c r="H18" s="150" t="s">
        <v>662</v>
      </c>
      <c r="I18" s="150" t="s">
        <v>663</v>
      </c>
      <c r="J18" s="150">
        <v>1</v>
      </c>
      <c r="K18" s="154">
        <v>4.95</v>
      </c>
      <c r="L18" s="150" t="s">
        <v>1896</v>
      </c>
      <c r="M18" s="151"/>
      <c r="N18" s="154">
        <f>MouserListTable[[#This Row],['# Initial]]*MouserListTable[[#This Row],[Price (USD)]]</f>
        <v>0</v>
      </c>
      <c r="O18" s="151" t="s">
        <v>660</v>
      </c>
      <c r="P18" s="150">
        <f t="shared" si="0"/>
        <v>5</v>
      </c>
      <c r="Q18" s="150" t="s">
        <v>5</v>
      </c>
      <c r="R1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474-ROB-08449</v>
      </c>
      <c r="S18" s="157" t="str">
        <f>HYPERLINK("https://www.mouser.com/ProductDetail/" &amp;MouserListTable[[#This Row],[Mouser SKU]])</f>
        <v>https://www.mouser.com/ProductDetail/474-ROB-08449</v>
      </c>
      <c r="T18" s="152">
        <v>0</v>
      </c>
      <c r="U18" s="152">
        <v>2</v>
      </c>
      <c r="V18" s="152">
        <v>0</v>
      </c>
      <c r="W18" s="152">
        <f>MouserListTable[[#This Row],['#/Unit]]*FilterSpecs!$C$3+MouserListTable[[#This Row],[Extra]]</f>
        <v>2</v>
      </c>
      <c r="X18" s="152">
        <f>IF(MouserListTable[[#This Row],[Tag]]=FilterSpecs!$F$7,MouserListTable[[#This Row],['#/Unit]]*MouserListTable[[#This Row],[Price (USD)]],0)</f>
        <v>0</v>
      </c>
      <c r="Y18" s="152">
        <f>MouserListTable[[#This Row],[Tot '#]]*MouserListTable[[#This Row],[Price (USD)]]</f>
        <v>9.9</v>
      </c>
      <c r="Z18" s="146"/>
      <c r="AA18" s="146" t="str">
        <f>[1]!nonzeroQtysList($F$13,InitialOrderTable[[#This Row],[Name]])</f>
        <v>SparkFun microSD Sniffer</v>
      </c>
      <c r="AB18" s="29" t="str">
        <f>[1]!nonzeroQtysOfList($F$14, $Q$14, InitialOrderTable[[#This Row],[Name]], $AN$14)</f>
        <v>Adafruit VL53L0X Time of Flight Distance Sensor - ~30 to 1000mm</v>
      </c>
      <c r="AC18" s="153" t="s">
        <v>1884</v>
      </c>
      <c r="AD18" s="153" t="s">
        <v>226</v>
      </c>
      <c r="AE18" s="153">
        <v>0</v>
      </c>
      <c r="AF18" s="153">
        <v>1</v>
      </c>
      <c r="AG18" s="153">
        <v>9</v>
      </c>
      <c r="AH18" s="146">
        <f>[1]!countIfEqual($AE$13:AE18, 0)</f>
        <v>4</v>
      </c>
      <c r="AI18" s="146">
        <f>[1]!QtyZeros(AE18)</f>
        <v>1</v>
      </c>
      <c r="AJ18" s="29" t="b">
        <f>[1]!nonzeroQtysOfRow($F$14, $Q$14, InitialOrderTable[[#This Row],[Name]], $AN$13:$AN$15)</f>
        <v>0</v>
      </c>
      <c r="AK18" s="146" t="e">
        <f ca="1">[1]!nonzeroQtys($AE$13,AD18)</f>
        <v>#NAME?</v>
      </c>
      <c r="AL18" s="146"/>
      <c r="AM18" s="153" t="str">
        <f t="shared" ca="1" si="1"/>
        <v>1969</v>
      </c>
    </row>
    <row r="19" spans="1:39" s="153" customFormat="1" x14ac:dyDescent="0.25">
      <c r="A19" s="150" t="s">
        <v>887</v>
      </c>
      <c r="B19" s="150" t="s">
        <v>881</v>
      </c>
      <c r="C19" s="150" t="s">
        <v>5</v>
      </c>
      <c r="D19" s="151" t="str">
        <f>IF(MouserListTable[[#This Row],[Vendor]]=FilterSpecs!$A$8,MouserListTable[[#This Row],[Mouser SKU]], MouserListTable[[#This Row],[Supplier SKU]])</f>
        <v>474-DEV-11711</v>
      </c>
      <c r="E19" s="152">
        <f>MouserListTable[[#This Row],[Tot '#]]-MouserListTable[[#This Row],['# Initial]]</f>
        <v>1</v>
      </c>
      <c r="F19" s="152">
        <f>IF(AND(MouserListTable[[#This Row],[Tag]]&lt;&gt;FilterSpecs!$F$12, MouserListTable[[#This Row],[Tag]]&lt;&gt;FilterSpecs!$F$9), MouserListTable[[#This Row],['#/Unit]]*FilterSpecs!$B$3+MouserListTable[[#This Row],[Extra Initial]],0)</f>
        <v>0</v>
      </c>
      <c r="G19" s="150" t="s">
        <v>135</v>
      </c>
      <c r="H19" s="150" t="s">
        <v>136</v>
      </c>
      <c r="I19" s="150" t="s">
        <v>137</v>
      </c>
      <c r="J19" s="150">
        <v>1</v>
      </c>
      <c r="K19" s="154">
        <v>59.95</v>
      </c>
      <c r="L19" s="150" t="s">
        <v>1896</v>
      </c>
      <c r="M19" s="151"/>
      <c r="N19" s="154">
        <f>MouserListTable[[#This Row],['# Initial]]*MouserListTable[[#This Row],[Price (USD)]]</f>
        <v>0</v>
      </c>
      <c r="O19" s="151" t="s">
        <v>134</v>
      </c>
      <c r="P19" s="150">
        <f t="shared" si="0"/>
        <v>6</v>
      </c>
      <c r="Q19" s="150" t="s">
        <v>5</v>
      </c>
      <c r="R1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474-DEV-11711</v>
      </c>
      <c r="S19" s="157" t="str">
        <f>HYPERLINK("https://www.mouser.com/ProductDetail/" &amp;MouserListTable[[#This Row],[Mouser SKU]])</f>
        <v>https://www.mouser.com/ProductDetail/474-DEV-11711</v>
      </c>
      <c r="T19" s="152">
        <v>0</v>
      </c>
      <c r="U19" s="152">
        <v>1</v>
      </c>
      <c r="V19" s="152">
        <v>0</v>
      </c>
      <c r="W19" s="152">
        <f>MouserListTable[[#This Row],['#/Unit]]*FilterSpecs!$C$3+MouserListTable[[#This Row],[Extra]]</f>
        <v>1</v>
      </c>
      <c r="X19" s="152">
        <f>IF(MouserListTable[[#This Row],[Tag]]=FilterSpecs!$F$7,MouserListTable[[#This Row],['#/Unit]]*MouserListTable[[#This Row],[Price (USD)]],0)</f>
        <v>0</v>
      </c>
      <c r="Y19" s="152">
        <f>MouserListTable[[#This Row],[Tot '#]]*MouserListTable[[#This Row],[Price (USD)]]</f>
        <v>59.95</v>
      </c>
      <c r="Z19" s="146"/>
      <c r="AA19" s="146" t="str">
        <f>[1]!nonzeroQtysList($F$13,InitialOrderTable[[#This Row],[Name]])</f>
        <v>SparkFun Level Shifting microSD Breakout</v>
      </c>
      <c r="AB19" s="29" t="str">
        <f>[1]!nonzeroQtysOfList($F$14, $Q$14, InitialOrderTable[[#This Row],[Name]], $AN$14)</f>
        <v>Pressure-Sensitive Conductive Sheet (Velostat/Linqstat)</v>
      </c>
      <c r="AC19" s="153" t="s">
        <v>1884</v>
      </c>
      <c r="AD19" s="153" t="s">
        <v>407</v>
      </c>
      <c r="AE19" s="153">
        <v>1</v>
      </c>
      <c r="AF19" s="153">
        <v>5</v>
      </c>
      <c r="AG19" s="153">
        <v>9</v>
      </c>
      <c r="AH19" s="146">
        <f>[1]!countIfEqual($AE$13:AE19, 0)</f>
        <v>4</v>
      </c>
      <c r="AI19" s="146">
        <f>[1]!QtyZeros(AE19)</f>
        <v>0</v>
      </c>
      <c r="AJ19" s="29" t="str">
        <f>[1]!nonzeroQtysOfList($F$14, $Q$14, InitialOrderTable[[#This Row],[Name]], $AN$13:$AN$15)</f>
        <v>SparkFun Level Shifting microSD Breakout</v>
      </c>
      <c r="AK19" s="146" t="e">
        <f ca="1">[1]!nonzeroQtys($AE$13,AD19)</f>
        <v>#NAME?</v>
      </c>
      <c r="AL19" s="146"/>
      <c r="AM19" s="153" t="str">
        <f t="shared" ca="1" si="1"/>
        <v>COM-09938</v>
      </c>
    </row>
    <row r="20" spans="1:39" s="153" customFormat="1" x14ac:dyDescent="0.25">
      <c r="A20" s="150" t="s">
        <v>887</v>
      </c>
      <c r="B20" s="150" t="s">
        <v>881</v>
      </c>
      <c r="C20" s="150" t="s">
        <v>5</v>
      </c>
      <c r="D20" s="151" t="str">
        <f>IF(MouserListTable[[#This Row],[Vendor]]=FilterSpecs!$A$8,MouserListTable[[#This Row],[Mouser SKU]], MouserListTable[[#This Row],[Supplier SKU]])</f>
        <v>474-BOB-09868</v>
      </c>
      <c r="E20" s="152">
        <f>MouserListTable[[#This Row],[Tot '#]]-MouserListTable[[#This Row],['# Initial]]</f>
        <v>1</v>
      </c>
      <c r="F20" s="152">
        <f>IF(AND(MouserListTable[[#This Row],[Tag]]&lt;&gt;FilterSpecs!$F$12, MouserListTable[[#This Row],[Tag]]&lt;&gt;FilterSpecs!$F$9), MouserListTable[[#This Row],['#/Unit]]*FilterSpecs!$B$3+MouserListTable[[#This Row],[Extra Initial]],0)</f>
        <v>0</v>
      </c>
      <c r="G20" s="150" t="s">
        <v>1486</v>
      </c>
      <c r="H20" s="150" t="s">
        <v>1487</v>
      </c>
      <c r="I20" s="150" t="s">
        <v>1488</v>
      </c>
      <c r="J20" s="150">
        <v>1</v>
      </c>
      <c r="K20" s="154">
        <v>9.9499999999999993</v>
      </c>
      <c r="L20" s="150" t="s">
        <v>1896</v>
      </c>
      <c r="M20" s="151"/>
      <c r="N20" s="154">
        <f>MouserListTable[[#This Row],['# Initial]]*MouserListTable[[#This Row],[Price (USD)]]</f>
        <v>0</v>
      </c>
      <c r="O20" s="151" t="s">
        <v>1485</v>
      </c>
      <c r="P20" s="150">
        <f t="shared" si="0"/>
        <v>7</v>
      </c>
      <c r="Q20" s="150" t="s">
        <v>5</v>
      </c>
      <c r="R2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474-BOB-09868</v>
      </c>
      <c r="S20" s="157" t="str">
        <f>HYPERLINK("https://www.mouser.com/ProductDetail/" &amp;MouserListTable[[#This Row],[Mouser SKU]])</f>
        <v>https://www.mouser.com/ProductDetail/474-BOB-09868</v>
      </c>
      <c r="T20" s="152">
        <v>0</v>
      </c>
      <c r="U20" s="152">
        <v>1</v>
      </c>
      <c r="V20" s="152">
        <v>0</v>
      </c>
      <c r="W20" s="152">
        <f>MouserListTable[[#This Row],['#/Unit]]*FilterSpecs!$C$3+MouserListTable[[#This Row],[Extra]]</f>
        <v>1</v>
      </c>
      <c r="X20" s="152">
        <f>IF(MouserListTable[[#This Row],[Tag]]=FilterSpecs!$F$7,MouserListTable[[#This Row],['#/Unit]]*MouserListTable[[#This Row],[Price (USD)]],0)</f>
        <v>0</v>
      </c>
      <c r="Y20" s="152">
        <f>MouserListTable[[#This Row],[Tot '#]]*MouserListTable[[#This Row],[Price (USD)]]</f>
        <v>9.9499999999999993</v>
      </c>
      <c r="Z20" s="146"/>
      <c r="AA20" s="146" t="str">
        <f>[1]!nonzeroQtysList($F$13,InitialOrderTable[[#This Row],[Name]])</f>
        <v>microSD Card with Adapter - 16GB (Class 10)</v>
      </c>
      <c r="AB20" s="29" t="str">
        <f>[1]!nonzeroQtysOfList($F$14, $Q$14, InitialOrderTable[[#This Row],[Name]], $AN$14)</f>
        <v>Woven Conductive Fabric - 20cm square</v>
      </c>
      <c r="AC20" s="153" t="s">
        <v>5</v>
      </c>
      <c r="AD20" s="153" t="s">
        <v>628</v>
      </c>
      <c r="AE20" s="153">
        <v>0</v>
      </c>
      <c r="AF20" s="153">
        <v>5</v>
      </c>
      <c r="AG20" s="153">
        <v>11</v>
      </c>
      <c r="AH20" s="146">
        <f>[1]!countIfEqual($AE$13:AE20, 0)</f>
        <v>5</v>
      </c>
      <c r="AI20" s="146">
        <f>[1]!QtyZeros(AE20)</f>
        <v>4</v>
      </c>
      <c r="AJ20" s="29" t="str">
        <f>[1]!nonzeroQtysOfList($F$14, $Q$14, InitialOrderTable[[#This Row],[Name]], $AN$13:$AN$15)</f>
        <v>microSD Card with Adapter - 16GB (Class 10)</v>
      </c>
      <c r="AK20" s="146" t="e">
        <f ca="1">[1]!nonzeroQtys($AE$13,AD20)</f>
        <v>#NAME?</v>
      </c>
      <c r="AL20" s="146"/>
      <c r="AM20" s="153" t="str">
        <f t="shared" ca="1" si="1"/>
        <v>COM-11707</v>
      </c>
    </row>
    <row r="21" spans="1:39" s="153" customFormat="1" x14ac:dyDescent="0.25">
      <c r="A21" s="150" t="s">
        <v>887</v>
      </c>
      <c r="B21" s="150" t="s">
        <v>881</v>
      </c>
      <c r="C21" s="150" t="s">
        <v>5</v>
      </c>
      <c r="D21" s="151" t="str">
        <f>IF(MouserListTable[[#This Row],[Vendor]]=FilterSpecs!$A$8,MouserListTable[[#This Row],[Mouser SKU]], MouserListTable[[#This Row],[Supplier SKU]])</f>
        <v>474-COM-08635</v>
      </c>
      <c r="E21" s="152">
        <f>MouserListTable[[#This Row],[Tot '#]]-MouserListTable[[#This Row],['# Initial]]</f>
        <v>1</v>
      </c>
      <c r="F21" s="152">
        <f>IF(AND(MouserListTable[[#This Row],[Tag]]&lt;&gt;FilterSpecs!$F$12, MouserListTable[[#This Row],[Tag]]&lt;&gt;FilterSpecs!$F$9), MouserListTable[[#This Row],['#/Unit]]*FilterSpecs!$B$3+MouserListTable[[#This Row],[Extra Initial]],0)</f>
        <v>0</v>
      </c>
      <c r="G21" s="150" t="s">
        <v>1506</v>
      </c>
      <c r="H21" s="150" t="s">
        <v>1507</v>
      </c>
      <c r="I21" s="150" t="s">
        <v>1508</v>
      </c>
      <c r="J21" s="150">
        <v>1</v>
      </c>
      <c r="K21" s="154">
        <v>0.95</v>
      </c>
      <c r="L21" s="150" t="s">
        <v>1896</v>
      </c>
      <c r="M21" s="151"/>
      <c r="N21" s="154">
        <f>MouserListTable[[#This Row],['# Initial]]*MouserListTable[[#This Row],[Price (USD)]]</f>
        <v>0</v>
      </c>
      <c r="O21" s="151" t="s">
        <v>1505</v>
      </c>
      <c r="P21" s="150">
        <f t="shared" si="0"/>
        <v>8</v>
      </c>
      <c r="Q21" s="150" t="s">
        <v>5</v>
      </c>
      <c r="R2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474-COM-08635</v>
      </c>
      <c r="S21" s="157" t="str">
        <f>HYPERLINK("https://www.mouser.com/ProductDetail/" &amp;MouserListTable[[#This Row],[Mouser SKU]])</f>
        <v>https://www.mouser.com/ProductDetail/474-COM-08635</v>
      </c>
      <c r="T21" s="152">
        <v>0</v>
      </c>
      <c r="U21" s="152">
        <v>1</v>
      </c>
      <c r="V21" s="152">
        <v>0</v>
      </c>
      <c r="W21" s="152">
        <f>MouserListTable[[#This Row],['#/Unit]]*FilterSpecs!$C$3+MouserListTable[[#This Row],[Extra]]</f>
        <v>1</v>
      </c>
      <c r="X21" s="152">
        <f>IF(MouserListTable[[#This Row],[Tag]]=FilterSpecs!$F$7,MouserListTable[[#This Row],['#/Unit]]*MouserListTable[[#This Row],[Price (USD)]],0)</f>
        <v>0</v>
      </c>
      <c r="Y21" s="152">
        <f>MouserListTable[[#This Row],[Tot '#]]*MouserListTable[[#This Row],[Price (USD)]]</f>
        <v>0.95</v>
      </c>
      <c r="Z21" s="146"/>
      <c r="AA21" s="146" t="str">
        <f>[1]!nonzeroQtysList($F$13,InitialOrderTable[[#This Row],[Name]])</f>
        <v>Multimeter Probes - Tweezers</v>
      </c>
      <c r="AB21" s="29" t="str">
        <f>[1]!nonzeroQtysOfList($F$14, $Q$14, InitialOrderTable[[#This Row],[Name]], $AN$14)</f>
        <v>RGB LCD Shield Kit w/ 16x2 Character Display - Only 2 pins used! - POSITIVE DISPLAY</v>
      </c>
      <c r="AC21" s="153" t="s">
        <v>5</v>
      </c>
      <c r="AD21" s="153" t="s">
        <v>830</v>
      </c>
      <c r="AE21" s="153">
        <v>0</v>
      </c>
      <c r="AF21" s="153">
        <v>1</v>
      </c>
      <c r="AH21" s="146">
        <f>[1]!countIfEqual($AE$13:AE21, 0)</f>
        <v>6</v>
      </c>
      <c r="AI21" s="146">
        <f>[1]!QtyZeros(AE21)</f>
        <v>3</v>
      </c>
      <c r="AJ21" s="29" t="str">
        <f>[1]!nonzeroQtysOfList($F$14, $Q$14, InitialOrderTable[[#This Row],[Name]], $AN$13:$AN$15)</f>
        <v>Multimeter Probes - Tweezers</v>
      </c>
      <c r="AK21" s="146" t="e">
        <f ca="1">[1]!nonzeroQtys($AE$13,AD21)</f>
        <v>#NAME?</v>
      </c>
      <c r="AL21" s="146"/>
      <c r="AM21" s="153" t="str">
        <f t="shared" ca="1" si="1"/>
        <v>TOL-08639</v>
      </c>
    </row>
    <row r="22" spans="1:39" s="153" customFormat="1" x14ac:dyDescent="0.25">
      <c r="A22" s="150" t="s">
        <v>887</v>
      </c>
      <c r="B22" s="150" t="s">
        <v>881</v>
      </c>
      <c r="C22" s="150" t="s">
        <v>5</v>
      </c>
      <c r="D22" s="151" t="str">
        <f>IF(MouserListTable[[#This Row],[Vendor]]=FilterSpecs!$A$8,MouserListTable[[#This Row],[Mouser SKU]], MouserListTable[[#This Row],[Supplier SKU]])</f>
        <v>474-BOB-12758</v>
      </c>
      <c r="E22" s="152">
        <f>MouserListTable[[#This Row],[Tot '#]]-MouserListTable[[#This Row],['# Initial]]</f>
        <v>1</v>
      </c>
      <c r="F22" s="152">
        <f>IF(AND(MouserListTable[[#This Row],[Tag]]&lt;&gt;FilterSpecs!$F$12, MouserListTable[[#This Row],[Tag]]&lt;&gt;FilterSpecs!$F$9), MouserListTable[[#This Row],['#/Unit]]*FilterSpecs!$B$3+MouserListTable[[#This Row],[Extra Initial]],0)</f>
        <v>0</v>
      </c>
      <c r="G22" s="150" t="s">
        <v>1838</v>
      </c>
      <c r="H22" s="150" t="s">
        <v>1839</v>
      </c>
      <c r="I22" s="150" t="s">
        <v>1840</v>
      </c>
      <c r="J22" s="150">
        <v>1</v>
      </c>
      <c r="K22" s="154">
        <v>5.95</v>
      </c>
      <c r="L22" s="150" t="s">
        <v>1896</v>
      </c>
      <c r="M22" s="151"/>
      <c r="N22" s="154">
        <f>MouserListTable[[#This Row],['# Initial]]*MouserListTable[[#This Row],[Price (USD)]]</f>
        <v>0</v>
      </c>
      <c r="O22" s="151" t="s">
        <v>1837</v>
      </c>
      <c r="P22" s="150">
        <f t="shared" si="0"/>
        <v>9</v>
      </c>
      <c r="Q22" s="150" t="s">
        <v>5</v>
      </c>
      <c r="R2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474-BOB-12758</v>
      </c>
      <c r="S22" s="157" t="str">
        <f>HYPERLINK("https://www.mouser.com/ProductDetail/" &amp;MouserListTable[[#This Row],[Mouser SKU]])</f>
        <v>https://www.mouser.com/ProductDetail/474-BOB-12758</v>
      </c>
      <c r="T22" s="152">
        <v>0</v>
      </c>
      <c r="U22" s="152">
        <v>1</v>
      </c>
      <c r="V22" s="152">
        <v>0</v>
      </c>
      <c r="W22" s="152">
        <f>MouserListTable[[#This Row],['#/Unit]]*FilterSpecs!$C$3+MouserListTable[[#This Row],[Extra]]</f>
        <v>1</v>
      </c>
      <c r="X22" s="152">
        <f>IF(MouserListTable[[#This Row],[Tag]]=FilterSpecs!$F$7,MouserListTable[[#This Row],['#/Unit]]*MouserListTable[[#This Row],[Price (USD)]],0)</f>
        <v>0</v>
      </c>
      <c r="Y22" s="152">
        <f>MouserListTable[[#This Row],[Tot '#]]*MouserListTable[[#This Row],[Price (USD)]]</f>
        <v>5.95</v>
      </c>
      <c r="Z22" s="146"/>
      <c r="AA22" s="146" t="str">
        <f>[1]!nonzeroQtysList($F$13,InitialOrderTable[[#This Row],[Name]])</f>
        <v>Pogo Pin Probe Clip</v>
      </c>
      <c r="AB22" s="29" t="str">
        <f>[1]!nonzeroQtysOfList($F$14, $Q$14, InitialOrderTable[[#This Row],[Name]], $AN$14)</f>
        <v xml:space="preserve">Membrane 3x4 Matrix Keypad + extras - 3x4 </v>
      </c>
      <c r="AC22" s="153" t="s">
        <v>5</v>
      </c>
      <c r="AD22" s="153" t="s">
        <v>2054</v>
      </c>
      <c r="AE22" s="153">
        <v>0</v>
      </c>
      <c r="AF22" s="153">
        <v>1</v>
      </c>
      <c r="AH22" s="146">
        <f>[1]!countIfEqual($AE$13:AE22, 0)</f>
        <v>7</v>
      </c>
      <c r="AI22" s="146">
        <f>[1]!QtyZeros(AE22)</f>
        <v>2</v>
      </c>
      <c r="AJ22" s="146"/>
      <c r="AK22" s="146" t="e">
        <f ca="1">[1]!nonzeroQtys($AE$13,AD22)</f>
        <v>#NAME?</v>
      </c>
      <c r="AL22" s="146"/>
      <c r="AM22" s="153" t="str">
        <f t="shared" ca="1" si="1"/>
        <v>1994</v>
      </c>
    </row>
    <row r="23" spans="1:39" s="153" customFormat="1" x14ac:dyDescent="0.25">
      <c r="A23" s="97" t="s">
        <v>887</v>
      </c>
      <c r="B23" s="97" t="s">
        <v>881</v>
      </c>
      <c r="C23" s="150" t="s">
        <v>5</v>
      </c>
      <c r="D23" s="151" t="str">
        <f>IF(MouserListTable[[#This Row],[Vendor]]=FilterSpecs!$A$8,MouserListTable[[#This Row],[Mouser SKU]], MouserListTable[[#This Row],[Supplier SKU]])</f>
        <v>474-SEN-12642</v>
      </c>
      <c r="E23" s="152">
        <f>MouserListTable[[#This Row],[Tot '#]]-MouserListTable[[#This Row],['# Initial]]</f>
        <v>0</v>
      </c>
      <c r="F23" s="152">
        <f>IF(AND(MouserListTable[[#This Row],[Tag]]&lt;&gt;FilterSpecs!$F$12, MouserListTable[[#This Row],[Tag]]&lt;&gt;FilterSpecs!$F$9), MouserListTable[[#This Row],['#/Unit]]*FilterSpecs!$B$3+MouserListTable[[#This Row],[Extra Initial]],0)</f>
        <v>0</v>
      </c>
      <c r="G23" s="150" t="s">
        <v>139</v>
      </c>
      <c r="H23" s="150" t="s">
        <v>140</v>
      </c>
      <c r="I23" s="150" t="s">
        <v>141</v>
      </c>
      <c r="J23" s="150">
        <v>1</v>
      </c>
      <c r="K23" s="154">
        <v>10.95</v>
      </c>
      <c r="L23" s="150" t="s">
        <v>1896</v>
      </c>
      <c r="N23" s="154">
        <f>MouserListTable[[#This Row],['# Initial]]*MouserListTable[[#This Row],[Price (USD)]]</f>
        <v>0</v>
      </c>
      <c r="O23" s="151" t="s">
        <v>138</v>
      </c>
      <c r="P23" s="150">
        <f t="shared" si="0"/>
        <v>10</v>
      </c>
      <c r="Q23" s="150" t="s">
        <v>5</v>
      </c>
      <c r="R2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474-SEN-12642</v>
      </c>
      <c r="S23" s="157" t="str">
        <f>HYPERLINK("https://www.mouser.com/ProductDetail/" &amp;MouserListTable[[#This Row],[Mouser SKU]])</f>
        <v>https://www.mouser.com/ProductDetail/474-SEN-12642</v>
      </c>
      <c r="T23" s="152">
        <v>0</v>
      </c>
      <c r="U23" s="152">
        <v>0</v>
      </c>
      <c r="V23" s="152">
        <v>0</v>
      </c>
      <c r="W23" s="152">
        <f>MouserListTable[[#This Row],['#/Unit]]*FilterSpecs!$C$3+MouserListTable[[#This Row],[Extra]]</f>
        <v>0</v>
      </c>
      <c r="X23" s="152">
        <f>IF(MouserListTable[[#This Row],[Tag]]=FilterSpecs!$F$7,MouserListTable[[#This Row],['#/Unit]]*MouserListTable[[#This Row],[Price (USD)]],0)</f>
        <v>0</v>
      </c>
      <c r="Y23" s="152">
        <f>MouserListTable[[#This Row],[Tot '#]]*MouserListTable[[#This Row],[Price (USD)]]</f>
        <v>0</v>
      </c>
      <c r="Z23" s="146"/>
      <c r="AA23" s="146" t="str">
        <f>[1]!nonzeroQtysList($F$13,InitialOrderTable[[#This Row],[Name]])</f>
        <v>10 Segment LED Bar Graph - Green</v>
      </c>
      <c r="AB23" s="29" t="str">
        <f>[1]!nonzeroQtysOfList($F$14, $Q$14, InitialOrderTable[[#This Row],[Name]], $AN$14)</f>
        <v>Bluetooth / WiFi Combination USB Dongle</v>
      </c>
      <c r="AC23" s="153" t="s">
        <v>5</v>
      </c>
      <c r="AD23" s="153" t="s">
        <v>1432</v>
      </c>
      <c r="AE23" s="153">
        <v>0</v>
      </c>
      <c r="AF23" s="153">
        <v>10</v>
      </c>
      <c r="AH23" s="146">
        <f>[1]!countIfEqual($AE$13:AE23, 0)</f>
        <v>8</v>
      </c>
      <c r="AI23" s="146">
        <f>[1]!QtyZeros(AE23)</f>
        <v>1</v>
      </c>
      <c r="AJ23" s="146" t="e">
        <f ca="1">RegisterMyFunction()</f>
        <v>#NAME?</v>
      </c>
      <c r="AK23" s="146" t="e">
        <f ca="1">[1]!nonzeroQtys($AE$13,AD23)</f>
        <v>#NAME?</v>
      </c>
      <c r="AL23" s="146"/>
      <c r="AM23" s="153" t="str">
        <f t="shared" ca="1" si="1"/>
        <v>CAB-11301</v>
      </c>
    </row>
    <row r="24" spans="1:39" s="153" customFormat="1" x14ac:dyDescent="0.25">
      <c r="A24" s="150" t="s">
        <v>887</v>
      </c>
      <c r="B24" s="150" t="s">
        <v>881</v>
      </c>
      <c r="C24" s="150" t="s">
        <v>1884</v>
      </c>
      <c r="D24" s="151" t="str">
        <f>IF(MouserListTable[[#This Row],[Vendor]]=FilterSpecs!$A$8,MouserListTable[[#This Row],[Mouser SKU]], MouserListTable[[#This Row],[Supplier SKU]])</f>
        <v>485-94</v>
      </c>
      <c r="E24" s="152">
        <f>MouserListTable[[#This Row],[Tot '#]]-MouserListTable[[#This Row],['# Initial]]</f>
        <v>0</v>
      </c>
      <c r="F24" s="152">
        <f>IF(AND(MouserListTable[[#This Row],[Tag]]&lt;&gt;FilterSpecs!$F$12, MouserListTable[[#This Row],[Tag]]&lt;&gt;FilterSpecs!$F$9), MouserListTable[[#This Row],['#/Unit]]*FilterSpecs!$B$3+MouserListTable[[#This Row],[Extra Initial]],0)</f>
        <v>0</v>
      </c>
      <c r="G24" s="150"/>
      <c r="H24" s="150"/>
      <c r="I24" s="150" t="s">
        <v>2227</v>
      </c>
      <c r="K24" s="118">
        <v>22</v>
      </c>
      <c r="L24" s="97" t="s">
        <v>1896</v>
      </c>
      <c r="N24" s="154">
        <f>MouserListTable[[#This Row],['# Initial]]*MouserListTable[[#This Row],[Price (USD)]]</f>
        <v>0</v>
      </c>
      <c r="O24" s="151" t="s">
        <v>2226</v>
      </c>
      <c r="P24" s="150">
        <f t="shared" si="0"/>
        <v>11</v>
      </c>
      <c r="Q24" s="150" t="s">
        <v>1884</v>
      </c>
      <c r="R2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485-94</v>
      </c>
      <c r="S24" s="157" t="str">
        <f>HYPERLINK("https://www.mouser.com/ProductDetail/" &amp;MouserListTable[[#This Row],[Mouser SKU]])</f>
        <v>https://www.mouser.com/ProductDetail/485-94</v>
      </c>
      <c r="T24" s="152">
        <v>0</v>
      </c>
      <c r="U24" s="152">
        <v>0</v>
      </c>
      <c r="V24" s="152">
        <v>0</v>
      </c>
      <c r="W24" s="152">
        <f>MouserListTable[[#This Row],['#/Unit]]*FilterSpecs!$C$3+MouserListTable[[#This Row],[Extra]]</f>
        <v>0</v>
      </c>
      <c r="X24" s="152">
        <f>IF(MouserListTable[[#This Row],[Tag]]=FilterSpecs!$F$7,MouserListTable[[#This Row],['#/Unit]]*MouserListTable[[#This Row],[Price (USD)]],0)</f>
        <v>0</v>
      </c>
      <c r="Y24" s="152">
        <f>MouserListTable[[#This Row],[Tot '#]]*MouserListTable[[#This Row],[Price (USD)]]</f>
        <v>0</v>
      </c>
      <c r="Z24" s="146"/>
      <c r="AA24" s="146" t="str">
        <f>[1]!nonzeroQtysList($F$13,InitialOrderTable[[#This Row],[Name]])</f>
        <v xml:space="preserve">SparkFun LED Driver Breakout - LP55231 </v>
      </c>
      <c r="AB24" s="29" t="str">
        <f>[1]!nonzeroQtysOfList($F$14, $Q$14, InitialOrderTable[[#This Row],[Name]], $AN$14)</f>
        <v>Tiny OTG Adapter - USB Micro to USB</v>
      </c>
      <c r="AC24" s="153" t="s">
        <v>5</v>
      </c>
      <c r="AD24" s="153" t="s">
        <v>1120</v>
      </c>
      <c r="AE24" s="153">
        <v>1</v>
      </c>
      <c r="AF24" s="153">
        <v>5</v>
      </c>
      <c r="AH24" s="146">
        <f>[1]!countIfEqual($AE$13:AE24, 0)</f>
        <v>8</v>
      </c>
      <c r="AI24" s="146">
        <f>[1]!QtyZeros(AE24)</f>
        <v>0</v>
      </c>
      <c r="AJ24" s="146" t="e">
        <f ca="1">FunctionHelp()</f>
        <v>#NAME?</v>
      </c>
      <c r="AK24" s="146" t="e">
        <f ca="1">[1]!nonzeroQtys($AE$13,AD24)</f>
        <v>#NAME?</v>
      </c>
      <c r="AL24" s="146"/>
      <c r="AM24" s="153" t="str">
        <f t="shared" ca="1" si="1"/>
        <v>CAB-10215</v>
      </c>
    </row>
    <row r="25" spans="1:39" s="153" customFormat="1" x14ac:dyDescent="0.25">
      <c r="A25" s="150" t="s">
        <v>887</v>
      </c>
      <c r="B25" s="150" t="s">
        <v>881</v>
      </c>
      <c r="C25" s="150" t="s">
        <v>5</v>
      </c>
      <c r="D25" s="151" t="str">
        <f>IF(MouserListTable[[#This Row],[Vendor]]=FilterSpecs!$A$8,MouserListTable[[#This Row],[Mouser SKU]], MouserListTable[[#This Row],[Supplier SKU]])</f>
        <v>474-WRL-11924</v>
      </c>
      <c r="E25" s="152">
        <f>MouserListTable[[#This Row],[Tot '#]]-MouserListTable[[#This Row],['# Initial]]</f>
        <v>0</v>
      </c>
      <c r="F25" s="152">
        <f>IF(AND(MouserListTable[[#This Row],[Tag]]&lt;&gt;FilterSpecs!$F$12, MouserListTable[[#This Row],[Tag]]&lt;&gt;FilterSpecs!$F$9), MouserListTable[[#This Row],['#/Unit]]*FilterSpecs!$B$3+MouserListTable[[#This Row],[Extra Initial]],0)</f>
        <v>0</v>
      </c>
      <c r="G25" s="150" t="s">
        <v>1478</v>
      </c>
      <c r="H25" s="150" t="s">
        <v>1479</v>
      </c>
      <c r="I25" s="150" t="s">
        <v>1480</v>
      </c>
      <c r="J25" s="97">
        <v>49.95</v>
      </c>
      <c r="K25" s="97">
        <v>49.95</v>
      </c>
      <c r="L25" s="97" t="s">
        <v>1896</v>
      </c>
      <c r="M25" s="97"/>
      <c r="N25" s="154">
        <f>MouserListTable[[#This Row],['# Initial]]*MouserListTable[[#This Row],[Price (USD)]]</f>
        <v>0</v>
      </c>
      <c r="O25" s="97" t="s">
        <v>1477</v>
      </c>
      <c r="P25" s="150">
        <f t="shared" si="0"/>
        <v>12</v>
      </c>
      <c r="Q25" s="150" t="s">
        <v>5</v>
      </c>
      <c r="R2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474-WRL-11924</v>
      </c>
      <c r="S25" s="157" t="str">
        <f>HYPERLINK("https://www.mouser.com/ProductDetail/" &amp;MouserListTable[[#This Row],[Mouser SKU]])</f>
        <v>https://www.mouser.com/ProductDetail/474-WRL-11924</v>
      </c>
      <c r="T25" s="152">
        <v>0</v>
      </c>
      <c r="U25" s="152">
        <v>0</v>
      </c>
      <c r="V25" s="152">
        <v>0</v>
      </c>
      <c r="W25" s="152">
        <f>MouserListTable[[#This Row],['#/Unit]]*FilterSpecs!$C$3+MouserListTable[[#This Row],[Extra]]</f>
        <v>0</v>
      </c>
      <c r="X25" s="152">
        <f>IF(MouserListTable[[#This Row],[Tag]]=FilterSpecs!$F$7,MouserListTable[[#This Row],['#/Unit]]*MouserListTable[[#This Row],[Price (USD)]],0)</f>
        <v>0</v>
      </c>
      <c r="Y25" s="152">
        <f>MouserListTable[[#This Row],[Tot '#]]*MouserListTable[[#This Row],[Price (USD)]]</f>
        <v>0</v>
      </c>
      <c r="Z25" s="146"/>
      <c r="AA25" s="146" t="str">
        <f>[1]!nonzeroQtysList($F$13,InitialOrderTable[[#This Row],[Name]])</f>
        <v>Barrel Jack Extension Cable - M-F (6 ft)</v>
      </c>
      <c r="AB25" s="29" t="str">
        <f>[1]!nonzeroQtysOfList($F$14, $Q$14, InitialOrderTable[[#This Row],[Name]], $AN$14)</f>
        <v>Hand-Moldable Plastic - Low Temperature Thermoplastic - 100g Bag</v>
      </c>
      <c r="AC25" s="153" t="s">
        <v>5</v>
      </c>
      <c r="AD25" s="153" t="s">
        <v>380</v>
      </c>
      <c r="AE25" s="153">
        <v>0</v>
      </c>
      <c r="AF25" s="153">
        <v>5</v>
      </c>
      <c r="AH25" s="146">
        <f>[1]!countIfEqual($AE$13:AE25, 0)</f>
        <v>9</v>
      </c>
      <c r="AI25" s="146">
        <f>[1]!QtyZeros(AE25)</f>
        <v>1</v>
      </c>
      <c r="AJ25" s="146" t="e">
        <f ca="1">DescribeFunc()</f>
        <v>#NAME?</v>
      </c>
      <c r="AK25" s="146" t="e">
        <f ca="1">[1]!nonzeroQtys($AE$13,AD25)</f>
        <v>#NAME?</v>
      </c>
      <c r="AL25" s="146"/>
      <c r="AM25" s="153" t="str">
        <f t="shared" ca="1" si="1"/>
        <v>DEV-13158</v>
      </c>
    </row>
    <row r="26" spans="1:39" s="153" customFormat="1" x14ac:dyDescent="0.25">
      <c r="A26" s="150" t="s">
        <v>887</v>
      </c>
      <c r="B26" s="150" t="s">
        <v>881</v>
      </c>
      <c r="C26" s="150" t="s">
        <v>5</v>
      </c>
      <c r="D26" s="151" t="str">
        <f>IF(MouserListTable[[#This Row],[Vendor]]=FilterSpecs!$A$8,MouserListTable[[#This Row],[Mouser SKU]], MouserListTable[[#This Row],[Supplier SKU]])</f>
        <v>474-WRL-11927</v>
      </c>
      <c r="E26" s="152">
        <f>MouserListTable[[#This Row],[Tot '#]]-MouserListTable[[#This Row],['# Initial]]</f>
        <v>0</v>
      </c>
      <c r="F26" s="152">
        <f>IF(AND(MouserListTable[[#This Row],[Tag]]&lt;&gt;FilterSpecs!$F$12, MouserListTable[[#This Row],[Tag]]&lt;&gt;FilterSpecs!$F$9), MouserListTable[[#This Row],['#/Unit]]*FilterSpecs!$B$3+MouserListTable[[#This Row],[Extra Initial]],0)</f>
        <v>0</v>
      </c>
      <c r="G26" s="150" t="s">
        <v>1482</v>
      </c>
      <c r="H26" s="150" t="s">
        <v>1483</v>
      </c>
      <c r="I26" s="150" t="s">
        <v>1484</v>
      </c>
      <c r="J26" s="97">
        <v>44.95</v>
      </c>
      <c r="K26" s="97">
        <v>44.95</v>
      </c>
      <c r="L26" s="97" t="s">
        <v>1896</v>
      </c>
      <c r="M26" s="97"/>
      <c r="N26" s="154">
        <f>MouserListTable[[#This Row],['# Initial]]*MouserListTable[[#This Row],[Price (USD)]]</f>
        <v>0</v>
      </c>
      <c r="O26" s="97" t="s">
        <v>1481</v>
      </c>
      <c r="P26" s="150">
        <f t="shared" si="0"/>
        <v>13</v>
      </c>
      <c r="Q26" s="150" t="s">
        <v>5</v>
      </c>
      <c r="R2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474-WRL-11927</v>
      </c>
      <c r="S26" s="157" t="str">
        <f>HYPERLINK("https://www.mouser.com/ProductDetail/" &amp;MouserListTable[[#This Row],[Mouser SKU]])</f>
        <v>https://www.mouser.com/ProductDetail/474-WRL-11927</v>
      </c>
      <c r="T26" s="152">
        <v>0</v>
      </c>
      <c r="U26" s="152">
        <v>0</v>
      </c>
      <c r="V26" s="152">
        <v>0</v>
      </c>
      <c r="W26" s="152">
        <f>MouserListTable[[#This Row],['#/Unit]]*FilterSpecs!$C$3+MouserListTable[[#This Row],[Extra]]</f>
        <v>0</v>
      </c>
      <c r="X26" s="152">
        <f>IF(MouserListTable[[#This Row],[Tag]]=FilterSpecs!$F$7,MouserListTable[[#This Row],['#/Unit]]*MouserListTable[[#This Row],[Price (USD)]],0)</f>
        <v>0</v>
      </c>
      <c r="Y26" s="152">
        <f>MouserListTable[[#This Row],[Tot '#]]*MouserListTable[[#This Row],[Price (USD)]]</f>
        <v>0</v>
      </c>
      <c r="Z26" s="146"/>
      <c r="AA26" s="146" t="str">
        <f>[1]!nonzeroQtysList($F$13,InitialOrderTable[[#This Row],[Name]])</f>
        <v>Barrel Jack to 2-pin JST</v>
      </c>
      <c r="AB26" s="29" t="str">
        <f>[1]!nonzeroQtysOfList($F$14, $Q$14, InitialOrderTable[[#This Row],[Name]], $AN$14)</f>
        <v>Sugru - Black and White Pack</v>
      </c>
      <c r="AC26" s="153" t="s">
        <v>5</v>
      </c>
      <c r="AD26" s="153" t="s">
        <v>796</v>
      </c>
      <c r="AE26" s="153">
        <v>1</v>
      </c>
      <c r="AF26" s="153">
        <v>5</v>
      </c>
      <c r="AH26" s="146">
        <f>[1]!countIfEqual($AE$13:AE26, 0)</f>
        <v>9</v>
      </c>
      <c r="AI26" s="146">
        <f>[1]!QtyZeros(AE26)</f>
        <v>0</v>
      </c>
      <c r="AJ26" s="146" t="e">
        <f ca="1">DescribeFunctionst()</f>
        <v>#NAME?</v>
      </c>
      <c r="AK26" s="146" t="e">
        <f ca="1">[1]!nonzeroQtys($AE$13,AD26)</f>
        <v>#NAME?</v>
      </c>
      <c r="AL26" s="146"/>
    </row>
    <row r="27" spans="1:39" s="153" customFormat="1" x14ac:dyDescent="0.25">
      <c r="A27" s="150" t="s">
        <v>887</v>
      </c>
      <c r="B27" s="150" t="s">
        <v>881</v>
      </c>
      <c r="C27" s="150" t="s">
        <v>1884</v>
      </c>
      <c r="D27" s="151" t="str">
        <f>IF(MouserListTable[[#This Row],[Vendor]]=FilterSpecs!$A$8,MouserListTable[[#This Row],[Mouser SKU]], MouserListTable[[#This Row],[Supplier SKU]])</f>
        <v>485-3369</v>
      </c>
      <c r="E27" s="152">
        <f>MouserListTable[[#This Row],[Tot '#]]-MouserListTable[[#This Row],['# Initial]]</f>
        <v>0</v>
      </c>
      <c r="F27" s="152">
        <f>IF(AND(MouserListTable[[#This Row],[Tag]]&lt;&gt;FilterSpecs!$F$12, MouserListTable[[#This Row],[Tag]]&lt;&gt;FilterSpecs!$F$9), MouserListTable[[#This Row],['#/Unit]]*FilterSpecs!$B$3+MouserListTable[[#This Row],[Extra Initial]],0)</f>
        <v>0</v>
      </c>
      <c r="G27" s="150"/>
      <c r="H27" s="150"/>
      <c r="I27" s="150" t="s">
        <v>2229</v>
      </c>
      <c r="K27" s="118">
        <v>12.5</v>
      </c>
      <c r="L27" s="97" t="s">
        <v>1896</v>
      </c>
      <c r="N27" s="154">
        <f>MouserListTable[[#This Row],['# Initial]]*MouserListTable[[#This Row],[Price (USD)]]</f>
        <v>0</v>
      </c>
      <c r="O27" s="151" t="s">
        <v>2228</v>
      </c>
      <c r="P27" s="150">
        <f t="shared" si="0"/>
        <v>14</v>
      </c>
      <c r="Q27" s="150" t="s">
        <v>1884</v>
      </c>
      <c r="R2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485-3369</v>
      </c>
      <c r="S27" s="157" t="str">
        <f>HYPERLINK("https://www.mouser.com/ProductDetail/" &amp;MouserListTable[[#This Row],[Mouser SKU]])</f>
        <v>https://www.mouser.com/ProductDetail/485-3369</v>
      </c>
      <c r="T27" s="152">
        <v>0</v>
      </c>
      <c r="U27" s="152">
        <v>0</v>
      </c>
      <c r="V27" s="152">
        <v>0</v>
      </c>
      <c r="W27" s="152">
        <f>MouserListTable[[#This Row],['#/Unit]]*FilterSpecs!$C$3+MouserListTable[[#This Row],[Extra]]</f>
        <v>0</v>
      </c>
      <c r="X27" s="152">
        <f>IF(MouserListTable[[#This Row],[Tag]]=FilterSpecs!$F$7,MouserListTable[[#This Row],['#/Unit]]*MouserListTable[[#This Row],[Price (USD)]],0)</f>
        <v>0</v>
      </c>
      <c r="Y27" s="152">
        <f>MouserListTable[[#This Row],[Tot '#]]*MouserListTable[[#This Row],[Price (USD)]]</f>
        <v>0</v>
      </c>
      <c r="Z27" s="146"/>
      <c r="AA27" s="146" t="str">
        <f>[1]!nonzeroQtysList($F$13,InitialOrderTable[[#This Row],[Name]])</f>
        <v>Barrel Jack Adapter - USB to 5.5mm</v>
      </c>
      <c r="AB27" s="29" t="str">
        <f>[1]!nonzeroQtysOfList($F$14, $Q$14, InitialOrderTable[[#This Row],[Name]], $AN$14)</f>
        <v xml:space="preserve">TO-220 Clip-On Heatsink </v>
      </c>
      <c r="AC27" s="153" t="s">
        <v>5</v>
      </c>
      <c r="AD27" s="153" t="s">
        <v>454</v>
      </c>
      <c r="AE27" s="153">
        <v>1</v>
      </c>
      <c r="AF27" s="153">
        <v>5</v>
      </c>
      <c r="AH27" s="146">
        <f>[1]!countIfEqual($AE$13:AE27, 0)</f>
        <v>9</v>
      </c>
      <c r="AI27" s="146">
        <f>[1]!QtyZeros(AE27)</f>
        <v>0</v>
      </c>
      <c r="AJ27" s="146" t="e">
        <f>DescribeFunction</f>
        <v>#NAME?</v>
      </c>
      <c r="AK27" s="146" t="e">
        <f ca="1">[1]!nonzeroQtys($AE$13,AD27)</f>
        <v>#NAME?</v>
      </c>
      <c r="AL27" s="146"/>
    </row>
    <row r="28" spans="1:39" s="153" customFormat="1" x14ac:dyDescent="0.25">
      <c r="A28" s="150" t="s">
        <v>887</v>
      </c>
      <c r="B28" s="150" t="s">
        <v>881</v>
      </c>
      <c r="C28" s="150" t="s">
        <v>1884</v>
      </c>
      <c r="D28" s="151" t="str">
        <f>IF(MouserListTable[[#This Row],[Vendor]]=FilterSpecs!$A$8,MouserListTable[[#This Row],[Mouser SKU]], MouserListTable[[#This Row],[Supplier SKU]])</f>
        <v>485-3367</v>
      </c>
      <c r="E28" s="152">
        <f>MouserListTable[[#This Row],[Tot '#]]-MouserListTable[[#This Row],['# Initial]]</f>
        <v>0</v>
      </c>
      <c r="F28" s="152">
        <f>IF(AND(MouserListTable[[#This Row],[Tag]]&lt;&gt;FilterSpecs!$F$12, MouserListTable[[#This Row],[Tag]]&lt;&gt;FilterSpecs!$F$9), MouserListTable[[#This Row],['#/Unit]]*FilterSpecs!$B$3+MouserListTable[[#This Row],[Extra Initial]],0)</f>
        <v>0</v>
      </c>
      <c r="G28" s="150"/>
      <c r="H28" s="150"/>
      <c r="I28" s="150" t="s">
        <v>2231</v>
      </c>
      <c r="K28" s="118">
        <v>5.95</v>
      </c>
      <c r="L28" s="97" t="s">
        <v>1896</v>
      </c>
      <c r="N28" s="154">
        <f>MouserListTable[[#This Row],['# Initial]]*MouserListTable[[#This Row],[Price (USD)]]</f>
        <v>0</v>
      </c>
      <c r="O28" s="151" t="s">
        <v>2230</v>
      </c>
      <c r="P28" s="150">
        <f t="shared" si="0"/>
        <v>15</v>
      </c>
      <c r="Q28" s="150" t="s">
        <v>1884</v>
      </c>
      <c r="R2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485-3367</v>
      </c>
      <c r="S28" s="157" t="str">
        <f>HYPERLINK("https://www.mouser.com/ProductDetail/" &amp;MouserListTable[[#This Row],[Mouser SKU]])</f>
        <v>https://www.mouser.com/ProductDetail/485-3367</v>
      </c>
      <c r="T28" s="152">
        <v>0</v>
      </c>
      <c r="U28" s="152">
        <v>0</v>
      </c>
      <c r="V28" s="152">
        <v>0</v>
      </c>
      <c r="W28" s="152">
        <f>MouserListTable[[#This Row],['#/Unit]]*FilterSpecs!$C$3+MouserListTable[[#This Row],[Extra]]</f>
        <v>0</v>
      </c>
      <c r="X28" s="152">
        <f>IF(MouserListTable[[#This Row],[Tag]]=FilterSpecs!$F$7,MouserListTable[[#This Row],['#/Unit]]*MouserListTable[[#This Row],[Price (USD)]],0)</f>
        <v>0</v>
      </c>
      <c r="Y28" s="152">
        <f>MouserListTable[[#This Row],[Tot '#]]*MouserListTable[[#This Row],[Price (USD)]]</f>
        <v>0</v>
      </c>
      <c r="Z28" s="146"/>
      <c r="AA28" s="146" t="str">
        <f>[1]!nonzeroQtysList($F$13,InitialOrderTable[[#This Row],[Name]])</f>
        <v>Barrel Jack Power Switch - M-F (3\")</v>
      </c>
      <c r="AB28" s="29" t="str">
        <f>[1]!nonzeroQtysOfList($F$14, $Q$14, InitialOrderTable[[#This Row],[Name]], $AN$14)</f>
        <v xml:space="preserve">Potentiometer Knob - Soft Touch T18 - White </v>
      </c>
      <c r="AC28" s="153" t="s">
        <v>5</v>
      </c>
      <c r="AD28" s="153" t="s">
        <v>804</v>
      </c>
      <c r="AE28" s="153">
        <v>1</v>
      </c>
      <c r="AF28" s="153">
        <v>5</v>
      </c>
      <c r="AH28" s="146">
        <f>[1]!countIfEqual($AE$13:AE28, 0)</f>
        <v>9</v>
      </c>
      <c r="AI28" s="146">
        <f>[1]!QtyZeros(AE28)</f>
        <v>0</v>
      </c>
      <c r="AJ28" s="146"/>
      <c r="AK28" s="146" t="e">
        <f ca="1">[1]!nonzeroQtys($AE$13,AD28)</f>
        <v>#NAME?</v>
      </c>
      <c r="AL28" s="146"/>
    </row>
    <row r="29" spans="1:39" s="153" customFormat="1" x14ac:dyDescent="0.25">
      <c r="A29" s="150" t="s">
        <v>887</v>
      </c>
      <c r="B29" s="150" t="s">
        <v>881</v>
      </c>
      <c r="C29" s="150" t="s">
        <v>1884</v>
      </c>
      <c r="D29" s="151" t="str">
        <f>IF(MouserListTable[[#This Row],[Vendor]]=FilterSpecs!$A$8,MouserListTable[[#This Row],[Mouser SKU]], MouserListTable[[#This Row],[Supplier SKU]])</f>
        <v>485-3351</v>
      </c>
      <c r="E29" s="152">
        <f>MouserListTable[[#This Row],[Tot '#]]-MouserListTable[[#This Row],['# Initial]]</f>
        <v>0</v>
      </c>
      <c r="F29" s="152">
        <f>IF(AND(MouserListTable[[#This Row],[Tag]]&lt;&gt;FilterSpecs!$F$12, MouserListTable[[#This Row],[Tag]]&lt;&gt;FilterSpecs!$F$9), MouserListTable[[#This Row],['#/Unit]]*FilterSpecs!$B$3+MouserListTable[[#This Row],[Extra Initial]],0)</f>
        <v>0</v>
      </c>
      <c r="G29" s="150"/>
      <c r="H29" s="150"/>
      <c r="I29" s="150" t="s">
        <v>2233</v>
      </c>
      <c r="K29" s="118">
        <v>3.95</v>
      </c>
      <c r="L29" s="97" t="s">
        <v>1896</v>
      </c>
      <c r="N29" s="154">
        <f>MouserListTable[[#This Row],['# Initial]]*MouserListTable[[#This Row],[Price (USD)]]</f>
        <v>0</v>
      </c>
      <c r="O29" s="151" t="s">
        <v>2232</v>
      </c>
      <c r="P29" s="150">
        <f t="shared" si="0"/>
        <v>16</v>
      </c>
      <c r="Q29" s="150" t="s">
        <v>1884</v>
      </c>
      <c r="R2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485-3351</v>
      </c>
      <c r="S29" s="157" t="str">
        <f>HYPERLINK("https://www.mouser.com/ProductDetail/" &amp;MouserListTable[[#This Row],[Mouser SKU]])</f>
        <v>https://www.mouser.com/ProductDetail/485-3351</v>
      </c>
      <c r="T29" s="152">
        <v>0</v>
      </c>
      <c r="U29" s="152">
        <v>0</v>
      </c>
      <c r="V29" s="152">
        <v>0</v>
      </c>
      <c r="W29" s="152">
        <f>MouserListTable[[#This Row],['#/Unit]]*FilterSpecs!$C$3+MouserListTable[[#This Row],[Extra]]</f>
        <v>0</v>
      </c>
      <c r="X29" s="152">
        <f>IF(MouserListTable[[#This Row],[Tag]]=FilterSpecs!$F$7,MouserListTable[[#This Row],['#/Unit]]*MouserListTable[[#This Row],[Price (USD)]],0)</f>
        <v>0</v>
      </c>
      <c r="Y29" s="152">
        <f>MouserListTable[[#This Row],[Tot '#]]*MouserListTable[[#This Row],[Price (USD)]]</f>
        <v>0</v>
      </c>
      <c r="Z29" s="146"/>
      <c r="AA29" s="146" t="str">
        <f>[1]!nonzeroQtysList($F$13,InitialOrderTable[[#This Row],[Name]])</f>
        <v>5V 2A Switching Power Supply w/ USB-A Connector</v>
      </c>
      <c r="AB29" s="29" t="str">
        <f>[1]!nonzeroQtysOfList($F$14, $Q$14, InitialOrderTable[[#This Row],[Name]], $AN$14)</f>
        <v>IDC Breakout Helper - 2x5 (10 pin)</v>
      </c>
      <c r="AD29" s="153" t="s">
        <v>2290</v>
      </c>
      <c r="AE29" s="153">
        <v>0</v>
      </c>
      <c r="AF29" s="153">
        <v>5</v>
      </c>
      <c r="AH29" s="146">
        <f>[1]!countIfEqual($AE$13:AE29, 0)</f>
        <v>10</v>
      </c>
      <c r="AI29" s="146">
        <f>[1]!QtyZeros(AE29)</f>
        <v>2</v>
      </c>
      <c r="AJ29" s="146"/>
      <c r="AK29" s="146" t="e">
        <f ca="1">[1]!nonzeroQtys($AE$13,AD29)</f>
        <v>#NAME?</v>
      </c>
      <c r="AL29" s="146"/>
    </row>
    <row r="30" spans="1:39" s="104" customFormat="1" x14ac:dyDescent="0.25">
      <c r="A30" s="150" t="s">
        <v>887</v>
      </c>
      <c r="B30" s="150" t="s">
        <v>881</v>
      </c>
      <c r="C30" s="150" t="s">
        <v>1884</v>
      </c>
      <c r="D30" s="151" t="str">
        <f>IF(MouserListTable[[#This Row],[Vendor]]=FilterSpecs!$A$8,MouserListTable[[#This Row],[Mouser SKU]], MouserListTable[[#This Row],[Supplier SKU]])</f>
        <v>485-1314</v>
      </c>
      <c r="E30" s="152">
        <f>MouserListTable[[#This Row],[Tot '#]]-MouserListTable[[#This Row],['# Initial]]</f>
        <v>0</v>
      </c>
      <c r="F30" s="152">
        <f>IF(AND(MouserListTable[[#This Row],[Tag]]&lt;&gt;FilterSpecs!$F$12, MouserListTable[[#This Row],[Tag]]&lt;&gt;FilterSpecs!$F$9), MouserListTable[[#This Row],['#/Unit]]*FilterSpecs!$B$3+MouserListTable[[#This Row],[Extra Initial]],0)</f>
        <v>0</v>
      </c>
      <c r="G30" s="150"/>
      <c r="H30" s="150"/>
      <c r="I30" s="150" t="s">
        <v>2235</v>
      </c>
      <c r="J30" s="153"/>
      <c r="K30" s="118">
        <v>1.95</v>
      </c>
      <c r="L30" s="97" t="s">
        <v>1896</v>
      </c>
      <c r="M30" s="153"/>
      <c r="N30" s="154">
        <f>MouserListTable[[#This Row],['# Initial]]*MouserListTable[[#This Row],[Price (USD)]]</f>
        <v>0</v>
      </c>
      <c r="O30" s="151" t="s">
        <v>2234</v>
      </c>
      <c r="P30" s="150">
        <f t="shared" si="0"/>
        <v>17</v>
      </c>
      <c r="Q30" s="150" t="s">
        <v>1884</v>
      </c>
      <c r="R3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485-1314</v>
      </c>
      <c r="S30" s="157" t="str">
        <f>HYPERLINK("https://www.mouser.com/ProductDetail/" &amp;MouserListTable[[#This Row],[Mouser SKU]])</f>
        <v>https://www.mouser.com/ProductDetail/485-1314</v>
      </c>
      <c r="T30" s="152">
        <v>0</v>
      </c>
      <c r="U30" s="152">
        <v>0</v>
      </c>
      <c r="V30" s="152">
        <v>0</v>
      </c>
      <c r="W30" s="152">
        <f>MouserListTable[[#This Row],['#/Unit]]*FilterSpecs!$C$3+MouserListTable[[#This Row],[Extra]]</f>
        <v>0</v>
      </c>
      <c r="X30" s="152">
        <f>IF(MouserListTable[[#This Row],[Tag]]=FilterSpecs!$F$7,MouserListTable[[#This Row],['#/Unit]]*MouserListTable[[#This Row],[Price (USD)]],0)</f>
        <v>0</v>
      </c>
      <c r="Y30" s="152">
        <f>MouserListTable[[#This Row],[Tot '#]]*MouserListTable[[#This Row],[Price (USD)]]</f>
        <v>0</v>
      </c>
      <c r="Z30" s="146"/>
      <c r="AA30" s="146" t="str">
        <f>[1]!nonzeroQtysList($F$13,InitialOrderTable[[#This Row],[Name]])</f>
        <v>USB Cable A to B - 6 Foot</v>
      </c>
      <c r="AB30" s="29" t="str">
        <f>[1]!nonzeroQtysOfList($F$14, $Q$14, InitialOrderTable[[#This Row],[Name]], $AN$14)</f>
        <v xml:space="preserve">Jumper Shunt with Handle (0.1" / 2.54mm) – 10 Pack </v>
      </c>
      <c r="AD30" s="104" t="s">
        <v>2465</v>
      </c>
      <c r="AE30" s="104">
        <v>0</v>
      </c>
      <c r="AF30" s="104">
        <v>5</v>
      </c>
      <c r="AG30" s="153"/>
      <c r="AH30" s="146">
        <f>[1]!countIfEqual($AE$13:AE30, 0)</f>
        <v>11</v>
      </c>
      <c r="AI30" s="146">
        <f>[1]!QtyZeros(AE30)</f>
        <v>1</v>
      </c>
      <c r="AJ30" s="146"/>
      <c r="AK30" s="146" t="e">
        <f ca="1">[1]!nonzeroQtys($AE$13,AD30)</f>
        <v>#NAME?</v>
      </c>
      <c r="AL30" s="146"/>
    </row>
    <row r="31" spans="1:39" s="104" customFormat="1" x14ac:dyDescent="0.25">
      <c r="A31" s="150" t="s">
        <v>887</v>
      </c>
      <c r="B31" s="150" t="s">
        <v>881</v>
      </c>
      <c r="C31" s="150" t="s">
        <v>1884</v>
      </c>
      <c r="D31" s="151" t="str">
        <f>IF(MouserListTable[[#This Row],[Vendor]]=FilterSpecs!$A$8,MouserListTable[[#This Row],[Mouser SKU]], MouserListTable[[#This Row],[Supplier SKU]])</f>
        <v>485-1313</v>
      </c>
      <c r="E31" s="152">
        <f>MouserListTable[[#This Row],[Tot '#]]-MouserListTable[[#This Row],['# Initial]]</f>
        <v>0</v>
      </c>
      <c r="F31" s="152">
        <f>IF(AND(MouserListTable[[#This Row],[Tag]]&lt;&gt;FilterSpecs!$F$12, MouserListTable[[#This Row],[Tag]]&lt;&gt;FilterSpecs!$F$9), MouserListTable[[#This Row],['#/Unit]]*FilterSpecs!$B$3+MouserListTable[[#This Row],[Extra Initial]],0)</f>
        <v>0</v>
      </c>
      <c r="G31" s="150"/>
      <c r="H31" s="150"/>
      <c r="I31" s="150" t="s">
        <v>2237</v>
      </c>
      <c r="J31" s="153"/>
      <c r="K31" s="118">
        <v>1.95</v>
      </c>
      <c r="L31" s="97" t="s">
        <v>1899</v>
      </c>
      <c r="M31" s="153"/>
      <c r="N31" s="154">
        <f>MouserListTable[[#This Row],['# Initial]]*MouserListTable[[#This Row],[Price (USD)]]</f>
        <v>0</v>
      </c>
      <c r="O31" s="151" t="s">
        <v>2236</v>
      </c>
      <c r="P31" s="150">
        <f t="shared" si="0"/>
        <v>18</v>
      </c>
      <c r="Q31" s="150" t="s">
        <v>1884</v>
      </c>
      <c r="R3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485-1313</v>
      </c>
      <c r="S31" s="157" t="str">
        <f>HYPERLINK("https://www.mouser.com/ProductDetail/" &amp;MouserListTable[[#This Row],[Mouser SKU]])</f>
        <v>https://www.mouser.com/ProductDetail/485-1313</v>
      </c>
      <c r="T31" s="152">
        <v>0</v>
      </c>
      <c r="U31" s="152">
        <v>0</v>
      </c>
      <c r="V31" s="152">
        <v>0</v>
      </c>
      <c r="W31" s="152">
        <f>MouserListTable[[#This Row],['#/Unit]]*FilterSpecs!$C$3+MouserListTable[[#This Row],[Extra]]</f>
        <v>0</v>
      </c>
      <c r="X31" s="152">
        <f>IF(MouserListTable[[#This Row],[Tag]]=FilterSpecs!$F$7,MouserListTable[[#This Row],['#/Unit]]*MouserListTable[[#This Row],[Price (USD)]],0)</f>
        <v>0</v>
      </c>
      <c r="Y31" s="152">
        <f>MouserListTable[[#This Row],[Tot '#]]*MouserListTable[[#This Row],[Price (USD)]]</f>
        <v>0</v>
      </c>
      <c r="Z31" s="146"/>
      <c r="AA31" s="146" t="str">
        <f>[1]!nonzeroQtysList($F$13,InitialOrderTable[[#This Row],[Name]])</f>
        <v>SparkFun USB Mini-B Cable - 6 Foot</v>
      </c>
      <c r="AB31" s="29" t="str">
        <f>[1]!nonzeroQtysOfList($F$14, $Q$14, InitialOrderTable[[#This Row],[Name]], $AN$14)</f>
        <v>Adafruit Parts Pal</v>
      </c>
      <c r="AD31" s="104" t="s">
        <v>2469</v>
      </c>
      <c r="AE31" s="104">
        <v>1</v>
      </c>
      <c r="AF31" s="104">
        <v>5</v>
      </c>
      <c r="AG31" s="153"/>
      <c r="AH31" s="146">
        <f>[1]!countIfEqual($AE$13:AE31, 0)</f>
        <v>11</v>
      </c>
      <c r="AI31" s="146">
        <f>[1]!QtyZeros(AE31)</f>
        <v>0</v>
      </c>
      <c r="AJ31" s="146"/>
      <c r="AK31" s="146" t="e">
        <f ca="1">[1]!nonzeroQtys($AE$13,AD31)</f>
        <v>#NAME?</v>
      </c>
      <c r="AL31" s="146"/>
    </row>
    <row r="32" spans="1:39" s="104" customFormat="1" x14ac:dyDescent="0.25">
      <c r="A32" s="150" t="s">
        <v>887</v>
      </c>
      <c r="B32" s="150" t="s">
        <v>881</v>
      </c>
      <c r="C32" s="150" t="s">
        <v>1884</v>
      </c>
      <c r="D32" s="151" t="str">
        <f>IF(MouserListTable[[#This Row],[Vendor]]=FilterSpecs!$A$8,MouserListTable[[#This Row],[Mouser SKU]], MouserListTable[[#This Row],[Supplier SKU]])</f>
        <v>485-1669</v>
      </c>
      <c r="E32" s="152">
        <f>MouserListTable[[#This Row],[Tot '#]]-MouserListTable[[#This Row],['# Initial]]</f>
        <v>0</v>
      </c>
      <c r="F32" s="152">
        <f>IF(AND(MouserListTable[[#This Row],[Tag]]&lt;&gt;FilterSpecs!$F$12, MouserListTable[[#This Row],[Tag]]&lt;&gt;FilterSpecs!$F$9), MouserListTable[[#This Row],['#/Unit]]*FilterSpecs!$B$3+MouserListTable[[#This Row],[Extra Initial]],0)</f>
        <v>0</v>
      </c>
      <c r="G32" s="150"/>
      <c r="H32" s="150"/>
      <c r="I32" s="150" t="s">
        <v>2239</v>
      </c>
      <c r="J32" s="153"/>
      <c r="K32" s="118">
        <v>7.5</v>
      </c>
      <c r="L32" s="97" t="s">
        <v>1899</v>
      </c>
      <c r="M32" s="153"/>
      <c r="N32" s="154">
        <f>MouserListTable[[#This Row],['# Initial]]*MouserListTable[[#This Row],[Price (USD)]]</f>
        <v>0</v>
      </c>
      <c r="O32" s="151" t="s">
        <v>2238</v>
      </c>
      <c r="P32" s="150">
        <f t="shared" si="0"/>
        <v>19</v>
      </c>
      <c r="Q32" s="150" t="s">
        <v>1884</v>
      </c>
      <c r="R3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485-1669</v>
      </c>
      <c r="S32" s="157" t="str">
        <f>HYPERLINK("https://www.mouser.com/ProductDetail/" &amp;MouserListTable[[#This Row],[Mouser SKU]])</f>
        <v>https://www.mouser.com/ProductDetail/485-1669</v>
      </c>
      <c r="T32" s="152">
        <v>0</v>
      </c>
      <c r="U32" s="152">
        <v>0</v>
      </c>
      <c r="V32" s="152">
        <v>0</v>
      </c>
      <c r="W32" s="152">
        <f>MouserListTable[[#This Row],['#/Unit]]*FilterSpecs!$C$3+MouserListTable[[#This Row],[Extra]]</f>
        <v>0</v>
      </c>
      <c r="X32" s="152">
        <f>IF(MouserListTable[[#This Row],[Tag]]=FilterSpecs!$F$7,MouserListTable[[#This Row],['#/Unit]]*MouserListTable[[#This Row],[Price (USD)]],0)</f>
        <v>0</v>
      </c>
      <c r="Y32" s="152">
        <f>MouserListTable[[#This Row],[Tot '#]]*MouserListTable[[#This Row],[Price (USD)]]</f>
        <v>0</v>
      </c>
      <c r="Z32" s="146"/>
      <c r="AA32" s="146" t="str">
        <f>[1]!nonzeroQtysList($F$13,InitialOrderTable[[#This Row],[Name]])</f>
        <v>USB micro-B Cable - 6 Foot</v>
      </c>
      <c r="AB32" s="29" t="str">
        <f>[1]!nonzeroQtysOfList($F$14, $Q$14, InitialOrderTable[[#This Row],[Name]], $AN$14)</f>
        <v>Shield stacking headers for Arduino (R3 Compatible)</v>
      </c>
      <c r="AD32" s="104" t="s">
        <v>1493</v>
      </c>
      <c r="AF32" s="104">
        <v>5</v>
      </c>
      <c r="AI32" s="146"/>
      <c r="AJ32" s="146"/>
      <c r="AK32" s="146" t="e">
        <f ca="1">[1]!nonzeroQtys($AE$13,AD32)</f>
        <v>#NAME?</v>
      </c>
    </row>
    <row r="33" spans="1:37" s="153" customFormat="1" x14ac:dyDescent="0.25">
      <c r="A33" s="150" t="s">
        <v>887</v>
      </c>
      <c r="B33" s="150" t="s">
        <v>881</v>
      </c>
      <c r="C33" s="150" t="s">
        <v>1884</v>
      </c>
      <c r="D33" s="151" t="str">
        <f>IF(MouserListTable[[#This Row],[Vendor]]=FilterSpecs!$A$8,MouserListTable[[#This Row],[Mouser SKU]], MouserListTable[[#This Row],[Supplier SKU]])</f>
        <v>485-1363</v>
      </c>
      <c r="E33" s="152">
        <f>MouserListTable[[#This Row],[Tot '#]]-MouserListTable[[#This Row],['# Initial]]</f>
        <v>0</v>
      </c>
      <c r="F33" s="152">
        <f>IF(AND(MouserListTable[[#This Row],[Tag]]&lt;&gt;FilterSpecs!$F$12, MouserListTable[[#This Row],[Tag]]&lt;&gt;FilterSpecs!$F$9), MouserListTable[[#This Row],['#/Unit]]*FilterSpecs!$B$3+MouserListTable[[#This Row],[Extra Initial]],0)</f>
        <v>0</v>
      </c>
      <c r="G33" s="150"/>
      <c r="H33" s="150"/>
      <c r="I33" s="150" t="s">
        <v>2241</v>
      </c>
      <c r="K33" s="118">
        <v>9.9499999999999993</v>
      </c>
      <c r="L33" s="97" t="s">
        <v>1896</v>
      </c>
      <c r="N33" s="154">
        <f>MouserListTable[[#This Row],['# Initial]]*MouserListTable[[#This Row],[Price (USD)]]</f>
        <v>0</v>
      </c>
      <c r="O33" s="151" t="s">
        <v>2240</v>
      </c>
      <c r="P33" s="150">
        <f t="shared" si="0"/>
        <v>20</v>
      </c>
      <c r="Q33" s="150" t="s">
        <v>1884</v>
      </c>
      <c r="R3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485-1363</v>
      </c>
      <c r="S33" s="157" t="str">
        <f>HYPERLINK("https://www.mouser.com/ProductDetail/" &amp;MouserListTable[[#This Row],[Mouser SKU]])</f>
        <v>https://www.mouser.com/ProductDetail/485-1363</v>
      </c>
      <c r="T33" s="152">
        <v>0</v>
      </c>
      <c r="U33" s="152">
        <v>0</v>
      </c>
      <c r="V33" s="152">
        <v>0</v>
      </c>
      <c r="W33" s="152">
        <f>MouserListTable[[#This Row],['#/Unit]]*FilterSpecs!$C$3+MouserListTable[[#This Row],[Extra]]</f>
        <v>0</v>
      </c>
      <c r="X33" s="152">
        <f>IF(MouserListTable[[#This Row],[Tag]]=FilterSpecs!$F$7,MouserListTable[[#This Row],['#/Unit]]*MouserListTable[[#This Row],[Price (USD)]],0)</f>
        <v>0</v>
      </c>
      <c r="Y33" s="152">
        <f>MouserListTable[[#This Row],[Tot '#]]*MouserListTable[[#This Row],[Price (USD)]]</f>
        <v>0</v>
      </c>
      <c r="Z33" s="146"/>
      <c r="AA33" s="146" t="str">
        <f>[1]!nonzeroQtysList($F$13,InitialOrderTable[[#This Row],[Name]])</f>
        <v>MicroUSB to 5.5/2.1mm DC Barrel Jack Adapter</v>
      </c>
      <c r="AB33" s="29" t="str">
        <f>[1]!nonzeroQtysOfList($F$14, $Q$14, InitialOrderTable[[#This Row],[Name]], $AN$14)</f>
        <v>36-pin Stacking header - pack of 5!</v>
      </c>
      <c r="AD33" s="153" t="s">
        <v>2286</v>
      </c>
      <c r="AF33" s="153">
        <v>5</v>
      </c>
      <c r="AK33" s="146" t="e">
        <f ca="1">[1]!nonzeroQtys($AE$13,AD33)</f>
        <v>#NAME?</v>
      </c>
    </row>
    <row r="34" spans="1:37" s="153" customFormat="1" x14ac:dyDescent="0.25">
      <c r="A34" s="150" t="s">
        <v>887</v>
      </c>
      <c r="B34" s="150" t="s">
        <v>8</v>
      </c>
      <c r="C34" s="150" t="s">
        <v>5</v>
      </c>
      <c r="D34" s="151" t="str">
        <f>IF(MouserListTable[[#This Row],[Vendor]]=FilterSpecs!$A$8,MouserListTable[[#This Row],[Mouser SKU]], MouserListTable[[#This Row],[Supplier SKU]])</f>
        <v>474-WRL-11373</v>
      </c>
      <c r="E34" s="152">
        <f>MouserListTable[[#This Row],[Tot '#]]-MouserListTable[[#This Row],['# Initial]]</f>
        <v>0</v>
      </c>
      <c r="F34" s="152">
        <f>IF(AND(MouserListTable[[#This Row],[Tag]]&lt;&gt;FilterSpecs!$F$12, MouserListTable[[#This Row],[Tag]]&lt;&gt;FilterSpecs!$F$9), MouserListTable[[#This Row],['#/Unit]]*FilterSpecs!$B$3+MouserListTable[[#This Row],[Extra Initial]],0)</f>
        <v>5</v>
      </c>
      <c r="G34" s="150" t="s">
        <v>51</v>
      </c>
      <c r="H34" s="150" t="s">
        <v>52</v>
      </c>
      <c r="I34" s="150" t="s">
        <v>53</v>
      </c>
      <c r="J34" s="150">
        <v>1</v>
      </c>
      <c r="K34" s="154">
        <v>9.9499999999999993</v>
      </c>
      <c r="L34" s="150" t="s">
        <v>1897</v>
      </c>
      <c r="M34" s="151"/>
      <c r="N34" s="154">
        <f>MouserListTable[[#This Row],['# Initial]]*MouserListTable[[#This Row],[Price (USD)]]</f>
        <v>49.75</v>
      </c>
      <c r="O34" s="151" t="s">
        <v>50</v>
      </c>
      <c r="P34" s="150">
        <f t="shared" si="0"/>
        <v>21</v>
      </c>
      <c r="Q34" s="150" t="s">
        <v>5</v>
      </c>
      <c r="R3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474-WRL-11373</v>
      </c>
      <c r="S34" s="157" t="str">
        <f>HYPERLINK("https://www.mouser.com/ProductDetail/" &amp;MouserListTable[[#This Row],[Mouser SKU]])</f>
        <v>https://www.mouser.com/ProductDetail/474-WRL-11373</v>
      </c>
      <c r="T34" s="152">
        <v>1</v>
      </c>
      <c r="U34" s="152">
        <v>0</v>
      </c>
      <c r="V34" s="152">
        <v>0</v>
      </c>
      <c r="W34" s="152">
        <f>MouserListTable[[#This Row],['#/Unit]]*FilterSpecs!$C$3+MouserListTable[[#This Row],[Extra]]</f>
        <v>5</v>
      </c>
      <c r="X34" s="152">
        <f>IF(MouserListTable[[#This Row],[Tag]]=FilterSpecs!$F$7,MouserListTable[[#This Row],['#/Unit]]*MouserListTable[[#This Row],[Price (USD)]],0)</f>
        <v>9.9499999999999993</v>
      </c>
      <c r="Y34" s="152">
        <f>MouserListTable[[#This Row],[Tot '#]]*MouserListTable[[#This Row],[Price (USD)]]</f>
        <v>49.75</v>
      </c>
      <c r="Z34" s="146"/>
      <c r="AA34" s="146" t="str">
        <f>[1]!nonzeroQtysList($F$13,InitialOrderTable[[#This Row],[Name]])</f>
        <v>SparkFun LiPower Shield</v>
      </c>
      <c r="AB34" s="153">
        <f>VALUE(InitialOrderTable[[#This Row],['# Initial]])</f>
        <v>5</v>
      </c>
      <c r="AD34" s="153" t="s">
        <v>30</v>
      </c>
      <c r="AF34" s="153">
        <v>5</v>
      </c>
      <c r="AK34" s="146" t="e">
        <f ca="1">[1]!nonzeroQtys($AE$13,AD34)</f>
        <v>#NAME?</v>
      </c>
    </row>
    <row r="35" spans="1:37" s="153" customFormat="1" x14ac:dyDescent="0.25">
      <c r="A35" s="150" t="s">
        <v>887</v>
      </c>
      <c r="B35" s="150" t="s">
        <v>8</v>
      </c>
      <c r="C35" s="150" t="s">
        <v>5</v>
      </c>
      <c r="D35" s="151" t="str">
        <f>IF(MouserListTable[[#This Row],[Vendor]]=FilterSpecs!$A$8,MouserListTable[[#This Row],[Mouser SKU]], MouserListTable[[#This Row],[Supplier SKU]])</f>
        <v>474-WRL-11697</v>
      </c>
      <c r="E35" s="152">
        <f>MouserListTable[[#This Row],[Tot '#]]-MouserListTable[[#This Row],['# Initial]]</f>
        <v>0</v>
      </c>
      <c r="F35" s="152">
        <f>IF(AND(MouserListTable[[#This Row],[Tag]]&lt;&gt;FilterSpecs!$F$12, MouserListTable[[#This Row],[Tag]]&lt;&gt;FilterSpecs!$F$9), MouserListTable[[#This Row],['#/Unit]]*FilterSpecs!$B$3+MouserListTable[[#This Row],[Extra Initial]],0)</f>
        <v>5</v>
      </c>
      <c r="G35" s="150" t="s">
        <v>55</v>
      </c>
      <c r="H35" s="150" t="s">
        <v>56</v>
      </c>
      <c r="I35" s="150" t="s">
        <v>57</v>
      </c>
      <c r="J35" s="150">
        <v>1</v>
      </c>
      <c r="K35" s="154">
        <v>24.95</v>
      </c>
      <c r="L35" s="150" t="s">
        <v>1897</v>
      </c>
      <c r="M35" s="151"/>
      <c r="N35" s="154">
        <f>MouserListTable[[#This Row],['# Initial]]*MouserListTable[[#This Row],[Price (USD)]]</f>
        <v>124.75</v>
      </c>
      <c r="O35" s="151" t="s">
        <v>54</v>
      </c>
      <c r="P35" s="150">
        <f t="shared" si="0"/>
        <v>22</v>
      </c>
      <c r="Q35" s="150" t="s">
        <v>5</v>
      </c>
      <c r="R3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474-WRL-11697</v>
      </c>
      <c r="S35" s="157" t="str">
        <f>HYPERLINK("https://www.mouser.com/ProductDetail/" &amp;MouserListTable[[#This Row],[Mouser SKU]])</f>
        <v>https://www.mouser.com/ProductDetail/474-WRL-11697</v>
      </c>
      <c r="T35" s="152">
        <v>1</v>
      </c>
      <c r="U35" s="152">
        <v>0</v>
      </c>
      <c r="V35" s="152">
        <v>0</v>
      </c>
      <c r="W35" s="152">
        <f>MouserListTable[[#This Row],['#/Unit]]*FilterSpecs!$C$3+MouserListTable[[#This Row],[Extra]]</f>
        <v>5</v>
      </c>
      <c r="X35" s="152">
        <f>IF(MouserListTable[[#This Row],[Tag]]=FilterSpecs!$F$7,MouserListTable[[#This Row],['#/Unit]]*MouserListTable[[#This Row],[Price (USD)]],0)</f>
        <v>24.95</v>
      </c>
      <c r="Y35" s="152">
        <f>MouserListTable[[#This Row],[Tot '#]]*MouserListTable[[#This Row],[Price (USD)]]</f>
        <v>124.75</v>
      </c>
      <c r="Z35" s="146"/>
      <c r="AA35" s="146" t="str">
        <f>[1]!nonzeroQtysList($F$13,InitialOrderTable[[#This Row],[Name]])</f>
        <v>SparkFun USB LiPoly Charger - Single Cell</v>
      </c>
      <c r="AB35" s="153">
        <f>VALUE(InitialOrderTable[[#This Row],['# Initial]])</f>
        <v>5</v>
      </c>
      <c r="AD35" s="153" t="s">
        <v>34</v>
      </c>
      <c r="AF35" s="153">
        <v>5</v>
      </c>
      <c r="AK35" s="146" t="e">
        <f ca="1">[1]!nonzeroQtys($AE$13,AD35)</f>
        <v>#NAME?</v>
      </c>
    </row>
    <row r="36" spans="1:37" s="153" customFormat="1" x14ac:dyDescent="0.25">
      <c r="A36" s="150" t="s">
        <v>887</v>
      </c>
      <c r="B36" s="150" t="s">
        <v>8</v>
      </c>
      <c r="C36" s="150" t="s">
        <v>5</v>
      </c>
      <c r="D36" s="151" t="str">
        <f>IF(MouserListTable[[#This Row],[Vendor]]=FilterSpecs!$A$8,MouserListTable[[#This Row],[Mouser SKU]], MouserListTable[[#This Row],[Supplier SKU]])</f>
        <v>474-WRL-09434</v>
      </c>
      <c r="E36" s="152">
        <f>MouserListTable[[#This Row],[Tot '#]]-MouserListTable[[#This Row],['# Initial]]</f>
        <v>0</v>
      </c>
      <c r="F36" s="152">
        <f>IF(AND(MouserListTable[[#This Row],[Tag]]&lt;&gt;FilterSpecs!$F$12, MouserListTable[[#This Row],[Tag]]&lt;&gt;FilterSpecs!$F$9), MouserListTable[[#This Row],['#/Unit]]*FilterSpecs!$B$3+MouserListTable[[#This Row],[Extra Initial]],0)</f>
        <v>0</v>
      </c>
      <c r="G36" s="150" t="s">
        <v>59</v>
      </c>
      <c r="H36" s="150" t="s">
        <v>60</v>
      </c>
      <c r="I36" s="150" t="s">
        <v>61</v>
      </c>
      <c r="J36" s="150"/>
      <c r="K36" s="154">
        <v>10.95</v>
      </c>
      <c r="L36" s="150" t="s">
        <v>1897</v>
      </c>
      <c r="M36" s="151"/>
      <c r="N36" s="154">
        <f>MouserListTable[[#This Row],['# Initial]]*MouserListTable[[#This Row],[Price (USD)]]</f>
        <v>0</v>
      </c>
      <c r="O36" s="151" t="s">
        <v>58</v>
      </c>
      <c r="P36" s="150">
        <f t="shared" si="0"/>
        <v>23</v>
      </c>
      <c r="Q36" s="150" t="s">
        <v>5</v>
      </c>
      <c r="R3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474-WRL-09434</v>
      </c>
      <c r="S36" s="157" t="str">
        <f>HYPERLINK("https://www.mouser.com/ProductDetail/" &amp;MouserListTable[[#This Row],[Mouser SKU]])</f>
        <v>https://www.mouser.com/ProductDetail/474-WRL-09434</v>
      </c>
      <c r="T36" s="152">
        <v>0</v>
      </c>
      <c r="U36" s="152">
        <v>0</v>
      </c>
      <c r="V36" s="152">
        <v>0</v>
      </c>
      <c r="W36" s="152">
        <f>MouserListTable[[#This Row],['#/Unit]]*FilterSpecs!$C$3+MouserListTable[[#This Row],[Extra]]</f>
        <v>0</v>
      </c>
      <c r="X36" s="152">
        <f>IF(MouserListTable[[#This Row],[Tag]]=FilterSpecs!$F$7,MouserListTable[[#This Row],['#/Unit]]*MouserListTable[[#This Row],[Price (USD)]],0)</f>
        <v>0</v>
      </c>
      <c r="Y36" s="152">
        <f>MouserListTable[[#This Row],[Tot '#]]*MouserListTable[[#This Row],[Price (USD)]]</f>
        <v>0</v>
      </c>
      <c r="Z36" s="146"/>
      <c r="AA36" s="146" t="str">
        <f>[1]!nonzeroQtysList($F$13,InitialOrderTable[[#This Row],[Name]])</f>
        <v>Lithium Ion Battery - 6Ah</v>
      </c>
      <c r="AB36" s="153">
        <f>VALUE(InitialOrderTable[[#This Row],['# Initial]])</f>
        <v>0</v>
      </c>
      <c r="AD36" s="153" t="s">
        <v>46</v>
      </c>
      <c r="AF36" s="153">
        <v>5</v>
      </c>
      <c r="AK36" s="146" t="e">
        <f ca="1">[1]!nonzeroQtys($AE$13,AD36)</f>
        <v>#NAME?</v>
      </c>
    </row>
    <row r="37" spans="1:37" s="153" customFormat="1" x14ac:dyDescent="0.25">
      <c r="A37" s="150" t="s">
        <v>887</v>
      </c>
      <c r="B37" s="150" t="s">
        <v>8</v>
      </c>
      <c r="C37" s="150" t="s">
        <v>5</v>
      </c>
      <c r="D37" s="151" t="str">
        <f>IF(MouserListTable[[#This Row],[Vendor]]=FilterSpecs!$A$8,MouserListTable[[#This Row],[Mouser SKU]], MouserListTable[[#This Row],[Supplier SKU]])</f>
        <v>474-WRL-11601</v>
      </c>
      <c r="E37" s="152">
        <f>MouserListTable[[#This Row],[Tot '#]]-MouserListTable[[#This Row],['# Initial]]</f>
        <v>0</v>
      </c>
      <c r="F37" s="152">
        <f>IF(AND(MouserListTable[[#This Row],[Tag]]&lt;&gt;FilterSpecs!$F$12, MouserListTable[[#This Row],[Tag]]&lt;&gt;FilterSpecs!$F$9), MouserListTable[[#This Row],['#/Unit]]*FilterSpecs!$B$3+MouserListTable[[#This Row],[Extra Initial]],0)</f>
        <v>10</v>
      </c>
      <c r="G37" s="150" t="s">
        <v>63</v>
      </c>
      <c r="H37" s="150" t="s">
        <v>64</v>
      </c>
      <c r="I37" s="150" t="s">
        <v>65</v>
      </c>
      <c r="J37" s="150">
        <v>1</v>
      </c>
      <c r="K37" s="154">
        <v>24.95</v>
      </c>
      <c r="L37" s="150" t="s">
        <v>1897</v>
      </c>
      <c r="M37" s="151"/>
      <c r="N37" s="154">
        <f>MouserListTable[[#This Row],['# Initial]]*MouserListTable[[#This Row],[Price (USD)]]</f>
        <v>249.5</v>
      </c>
      <c r="O37" s="151" t="s">
        <v>62</v>
      </c>
      <c r="P37" s="150">
        <f t="shared" si="0"/>
        <v>24</v>
      </c>
      <c r="Q37" s="150" t="s">
        <v>5</v>
      </c>
      <c r="R3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474-WRL-11601</v>
      </c>
      <c r="S37" s="157" t="str">
        <f>HYPERLINK("https://www.mouser.com/ProductDetail/" &amp;MouserListTable[[#This Row],[Mouser SKU]])</f>
        <v>https://www.mouser.com/ProductDetail/474-WRL-11601</v>
      </c>
      <c r="T37" s="152">
        <v>2</v>
      </c>
      <c r="U37" s="152">
        <v>0</v>
      </c>
      <c r="V37" s="152">
        <v>0</v>
      </c>
      <c r="W37" s="152">
        <f>MouserListTable[[#This Row],['#/Unit]]*FilterSpecs!$C$3+MouserListTable[[#This Row],[Extra]]</f>
        <v>10</v>
      </c>
      <c r="X37" s="152">
        <f>IF(MouserListTable[[#This Row],[Tag]]=FilterSpecs!$F$7,MouserListTable[[#This Row],['#/Unit]]*MouserListTable[[#This Row],[Price (USD)]],0)</f>
        <v>49.9</v>
      </c>
      <c r="Y37" s="152">
        <f>MouserListTable[[#This Row],[Tot '#]]*MouserListTable[[#This Row],[Price (USD)]]</f>
        <v>249.5</v>
      </c>
      <c r="Z37" s="146"/>
      <c r="AA37" s="146" t="str">
        <f>[1]!nonzeroQtysList($F$13,InitialOrderTable[[#This Row],[Name]])</f>
        <v>SparkFun Breadboard Power Supply Stick - 5V/3.3V</v>
      </c>
      <c r="AB37" s="153">
        <f>VALUE(InitialOrderTable[[#This Row],['# Initial]])</f>
        <v>10</v>
      </c>
      <c r="AD37" s="153" t="s">
        <v>38</v>
      </c>
      <c r="AF37" s="153">
        <v>5</v>
      </c>
      <c r="AK37" s="146" t="e">
        <f ca="1">[1]!nonzeroQtys($AE$13,AD37)</f>
        <v>#NAME?</v>
      </c>
    </row>
    <row r="38" spans="1:37" s="153" customFormat="1" x14ac:dyDescent="0.25">
      <c r="A38" s="150" t="s">
        <v>887</v>
      </c>
      <c r="B38" s="150" t="s">
        <v>1882</v>
      </c>
      <c r="C38" s="150" t="s">
        <v>5</v>
      </c>
      <c r="D38" s="151" t="str">
        <f>IF(MouserListTable[[#This Row],[Vendor]]=FilterSpecs!$A$8,MouserListTable[[#This Row],[Mouser SKU]], MouserListTable[[#This Row],[Supplier SKU]])</f>
        <v>474-WIG-12772</v>
      </c>
      <c r="E38" s="152">
        <f>MouserListTable[[#This Row],[Tot '#]]-MouserListTable[[#This Row],['# Initial]]</f>
        <v>1</v>
      </c>
      <c r="F38" s="152">
        <f>IF(AND(MouserListTable[[#This Row],[Tag]]&lt;&gt;FilterSpecs!$F$12, MouserListTable[[#This Row],[Tag]]&lt;&gt;FilterSpecs!$F$9), MouserListTable[[#This Row],['#/Unit]]*FilterSpecs!$B$3+MouserListTable[[#This Row],[Extra Initial]],0)</f>
        <v>0</v>
      </c>
      <c r="G38" s="150" t="s">
        <v>224</v>
      </c>
      <c r="H38" s="150" t="s">
        <v>225</v>
      </c>
      <c r="I38" s="150" t="s">
        <v>191</v>
      </c>
      <c r="J38" s="150">
        <v>1</v>
      </c>
      <c r="K38" s="154">
        <v>54.95</v>
      </c>
      <c r="L38" s="150" t="s">
        <v>1896</v>
      </c>
      <c r="M38" s="151"/>
      <c r="N38" s="154">
        <f>MouserListTable[[#This Row],['# Initial]]*MouserListTable[[#This Row],[Price (USD)]]</f>
        <v>0</v>
      </c>
      <c r="O38" s="151" t="s">
        <v>223</v>
      </c>
      <c r="P38" s="150">
        <f t="shared" si="0"/>
        <v>25</v>
      </c>
      <c r="Q38" s="150" t="s">
        <v>5</v>
      </c>
      <c r="R3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474-WIG-12772</v>
      </c>
      <c r="S38" s="157" t="str">
        <f>HYPERLINK("https://www.mouser.com/ProductDetail/" &amp;MouserListTable[[#This Row],[Mouser SKU]])</f>
        <v>https://www.mouser.com/ProductDetail/474-WIG-12772</v>
      </c>
      <c r="T38" s="152">
        <v>0</v>
      </c>
      <c r="U38" s="152">
        <v>1</v>
      </c>
      <c r="V38" s="152">
        <v>0</v>
      </c>
      <c r="W38" s="152">
        <f>MouserListTable[[#This Row],['#/Unit]]*FilterSpecs!$C$3+MouserListTable[[#This Row],[Extra]]</f>
        <v>1</v>
      </c>
      <c r="X38" s="152">
        <f>IF(MouserListTable[[#This Row],[Tag]]=FilterSpecs!$F$7,MouserListTable[[#This Row],['#/Unit]]*MouserListTable[[#This Row],[Price (USD)]],0)</f>
        <v>0</v>
      </c>
      <c r="Y38" s="152">
        <f>MouserListTable[[#This Row],[Tot '#]]*MouserListTable[[#This Row],[Price (USD)]]</f>
        <v>54.95</v>
      </c>
      <c r="Z38" s="146"/>
      <c r="AA38" s="146" t="str">
        <f>[1]!nonzeroQtysList($F$13,InitialOrderTable[[#This Row],[Name]])</f>
        <v>DC Barrel Jack Adapter - Breadboard Compatible</v>
      </c>
      <c r="AB38" s="153">
        <f>VALUE(InitialOrderTable[[#This Row],['# Initial]])</f>
        <v>0</v>
      </c>
      <c r="AD38" s="153" t="s">
        <v>564</v>
      </c>
      <c r="AF38" s="153">
        <v>5</v>
      </c>
      <c r="AK38" s="146" t="e">
        <f ca="1">[1]!nonzeroQtys($AE$13,AD38)</f>
        <v>#NAME?</v>
      </c>
    </row>
    <row r="39" spans="1:37" s="153" customFormat="1" x14ac:dyDescent="0.25">
      <c r="A39" s="150" t="s">
        <v>887</v>
      </c>
      <c r="B39" s="150" t="s">
        <v>1882</v>
      </c>
      <c r="C39" s="150" t="s">
        <v>5</v>
      </c>
      <c r="D39" s="151" t="str">
        <f>IF(MouserListTable[[#This Row],[Vendor]]=FilterSpecs!$A$8,MouserListTable[[#This Row],[Mouser SKU]], MouserListTable[[#This Row],[Supplier SKU]])</f>
        <v>474-DEV-13712</v>
      </c>
      <c r="E39" s="152">
        <f>MouserListTable[[#This Row],[Tot '#]]-MouserListTable[[#This Row],['# Initial]]</f>
        <v>1</v>
      </c>
      <c r="F39" s="152">
        <f>IF(AND(MouserListTable[[#This Row],[Tag]]&lt;&gt;FilterSpecs!$F$12, MouserListTable[[#This Row],[Tag]]&lt;&gt;FilterSpecs!$F$9), MouserListTable[[#This Row],['#/Unit]]*FilterSpecs!$B$3+MouserListTable[[#This Row],[Extra Initial]],0)</f>
        <v>0</v>
      </c>
      <c r="G39" s="150" t="s">
        <v>1818</v>
      </c>
      <c r="H39" s="150" t="s">
        <v>1819</v>
      </c>
      <c r="I39" s="150" t="s">
        <v>1820</v>
      </c>
      <c r="J39" s="150">
        <v>1</v>
      </c>
      <c r="K39" s="154">
        <v>14.95</v>
      </c>
      <c r="L39" s="150" t="s">
        <v>1896</v>
      </c>
      <c r="M39" s="151"/>
      <c r="N39" s="154">
        <f>MouserListTable[[#This Row],['# Initial]]*MouserListTable[[#This Row],[Price (USD)]]</f>
        <v>0</v>
      </c>
      <c r="O39" s="151" t="s">
        <v>1817</v>
      </c>
      <c r="P39" s="150">
        <f t="shared" si="0"/>
        <v>26</v>
      </c>
      <c r="Q39" s="150" t="s">
        <v>5</v>
      </c>
      <c r="R3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474-DEV-13712</v>
      </c>
      <c r="S39" s="157" t="str">
        <f>HYPERLINK("https://www.mouser.com/ProductDetail/" &amp;MouserListTable[[#This Row],[Mouser SKU]])</f>
        <v>https://www.mouser.com/ProductDetail/474-DEV-13712</v>
      </c>
      <c r="T39" s="152">
        <v>0</v>
      </c>
      <c r="U39" s="152">
        <v>1</v>
      </c>
      <c r="V39" s="152">
        <v>0</v>
      </c>
      <c r="W39" s="152">
        <f>MouserListTable[[#This Row],['#/Unit]]*FilterSpecs!$C$3+MouserListTable[[#This Row],[Extra]]</f>
        <v>1</v>
      </c>
      <c r="X39" s="152">
        <f>IF(MouserListTable[[#This Row],[Tag]]=FilterSpecs!$F$7,MouserListTable[[#This Row],['#/Unit]]*MouserListTable[[#This Row],[Price (USD)]],0)</f>
        <v>0</v>
      </c>
      <c r="Y39" s="152">
        <f>MouserListTable[[#This Row],[Tot '#]]*MouserListTable[[#This Row],[Price (USD)]]</f>
        <v>14.95</v>
      </c>
      <c r="Z39" s="146"/>
      <c r="AA39" s="146" t="str">
        <f>[1]!nonzeroQtysList($F$13,InitialOrderTable[[#This Row],[Name]])</f>
        <v>SparkFun MOSFET Power Controller</v>
      </c>
      <c r="AB39" s="153">
        <f>VALUE(InitialOrderTable[[#This Row],['# Initial]])</f>
        <v>0</v>
      </c>
      <c r="AD39" s="153" t="s">
        <v>800</v>
      </c>
      <c r="AF39" s="153">
        <v>5</v>
      </c>
      <c r="AK39" s="146" t="e">
        <f ca="1">[1]!nonzeroQtys($AE$13,AD39)</f>
        <v>#NAME?</v>
      </c>
    </row>
    <row r="40" spans="1:37" s="153" customFormat="1" x14ac:dyDescent="0.25">
      <c r="A40" s="150" t="s">
        <v>887</v>
      </c>
      <c r="B40" s="150" t="s">
        <v>1882</v>
      </c>
      <c r="C40" s="150" t="s">
        <v>5</v>
      </c>
      <c r="D40" s="151" t="str">
        <f>IF(MouserListTable[[#This Row],[Vendor]]=FilterSpecs!$A$8,MouserListTable[[#This Row],[Mouser SKU]], MouserListTable[[#This Row],[Supplier SKU]])</f>
        <v>474-DEV-12761</v>
      </c>
      <c r="E40" s="152">
        <f>MouserListTable[[#This Row],[Tot '#]]-MouserListTable[[#This Row],['# Initial]]</f>
        <v>1</v>
      </c>
      <c r="F40" s="152">
        <f>IF(AND(MouserListTable[[#This Row],[Tag]]&lt;&gt;FilterSpecs!$F$12, MouserListTable[[#This Row],[Tag]]&lt;&gt;FilterSpecs!$F$9), MouserListTable[[#This Row],['#/Unit]]*FilterSpecs!$B$3+MouserListTable[[#This Row],[Extra Initial]],0)</f>
        <v>0</v>
      </c>
      <c r="G40" s="150" t="s">
        <v>2482</v>
      </c>
      <c r="H40" s="150" t="s">
        <v>2483</v>
      </c>
      <c r="I40" s="150" t="s">
        <v>2484</v>
      </c>
      <c r="J40" s="150">
        <v>1</v>
      </c>
      <c r="K40" s="154">
        <v>14.95</v>
      </c>
      <c r="L40" s="150" t="s">
        <v>1897</v>
      </c>
      <c r="M40" s="150"/>
      <c r="N40" s="154">
        <f>MouserListTable[[#This Row],['# Initial]]*MouserListTable[[#This Row],[Price (USD)]]</f>
        <v>0</v>
      </c>
      <c r="O40" s="151" t="s">
        <v>2481</v>
      </c>
      <c r="P40" s="150">
        <f t="shared" si="0"/>
        <v>27</v>
      </c>
      <c r="Q40" s="150" t="s">
        <v>5</v>
      </c>
      <c r="R4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474-DEV-12761</v>
      </c>
      <c r="S40" s="157" t="str">
        <f>HYPERLINK("https://www.mouser.com/ProductDetail/" &amp;MouserListTable[[#This Row],[Mouser SKU]])</f>
        <v>https://www.mouser.com/ProductDetail/474-DEV-12761</v>
      </c>
      <c r="T40" s="152">
        <v>0</v>
      </c>
      <c r="U40" s="152">
        <v>1</v>
      </c>
      <c r="V40" s="152">
        <v>0</v>
      </c>
      <c r="W40" s="152">
        <f>MouserListTable[[#This Row],['#/Unit]]*FilterSpecs!$C$3+MouserListTable[[#This Row],[Extra]]</f>
        <v>1</v>
      </c>
      <c r="X40" s="152">
        <f>IF(MouserListTable[[#This Row],[Tag]]=FilterSpecs!$F$7,MouserListTable[[#This Row],['#/Unit]]*MouserListTable[[#This Row],[Price (USD)]],0)</f>
        <v>0</v>
      </c>
      <c r="Y40" s="152">
        <f>MouserListTable[[#This Row],[Tot '#]]*MouserListTable[[#This Row],[Price (USD)]]</f>
        <v>14.95</v>
      </c>
      <c r="Z40" s="146"/>
      <c r="AA40" s="146" t="str">
        <f>[1]!nonzeroQtysList($F$13,InitialOrderTable[[#This Row],[Name]])</f>
        <v>Waterproof DC Power Cable Set - 5.5/2.1mm</v>
      </c>
      <c r="AB40" s="153">
        <f>VALUE(InitialOrderTable[[#This Row],['# Initial]])</f>
        <v>0</v>
      </c>
      <c r="AD40" s="153" t="s">
        <v>2064</v>
      </c>
      <c r="AF40" s="153">
        <v>5</v>
      </c>
      <c r="AK40" s="146" t="e">
        <f ca="1">[1]!nonzeroQtys($AE$13,AD40)</f>
        <v>#NAME?</v>
      </c>
    </row>
    <row r="41" spans="1:37" s="153" customFormat="1" x14ac:dyDescent="0.25">
      <c r="A41" s="150" t="s">
        <v>887</v>
      </c>
      <c r="B41" s="150" t="s">
        <v>1882</v>
      </c>
      <c r="C41" s="150" t="s">
        <v>5</v>
      </c>
      <c r="D41" s="151" t="str">
        <f>IF(MouserListTable[[#This Row],[Vendor]]=FilterSpecs!$A$8,MouserListTable[[#This Row],[Mouser SKU]], MouserListTable[[#This Row],[Supplier SKU]])</f>
        <v>474-COM-13004</v>
      </c>
      <c r="E41" s="152">
        <f>MouserListTable[[#This Row],[Tot '#]]-MouserListTable[[#This Row],['# Initial]]</f>
        <v>0</v>
      </c>
      <c r="F41" s="152">
        <f>IF(AND(MouserListTable[[#This Row],[Tag]]&lt;&gt;FilterSpecs!$F$12, MouserListTable[[#This Row],[Tag]]&lt;&gt;FilterSpecs!$F$9), MouserListTable[[#This Row],['#/Unit]]*FilterSpecs!$B$3+MouserListTable[[#This Row],[Extra Initial]],0)</f>
        <v>5</v>
      </c>
      <c r="G41" s="150" t="s">
        <v>341</v>
      </c>
      <c r="H41" s="150" t="s">
        <v>342</v>
      </c>
      <c r="I41" s="150" t="s">
        <v>343</v>
      </c>
      <c r="K41" s="154">
        <v>4.95</v>
      </c>
      <c r="L41" s="150" t="s">
        <v>1897</v>
      </c>
      <c r="M41" s="151"/>
      <c r="N41" s="154">
        <f>MouserListTable[[#This Row],['# Initial]]*MouserListTable[[#This Row],[Price (USD)]]</f>
        <v>24.75</v>
      </c>
      <c r="O41" s="151" t="s">
        <v>340</v>
      </c>
      <c r="P41" s="150">
        <f t="shared" si="0"/>
        <v>28</v>
      </c>
      <c r="Q41" s="150" t="s">
        <v>5</v>
      </c>
      <c r="R4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474-COM-13004</v>
      </c>
      <c r="S41" s="157" t="str">
        <f>HYPERLINK("https://www.mouser.com/ProductDetail/" &amp;MouserListTable[[#This Row],[Mouser SKU]])</f>
        <v>https://www.mouser.com/ProductDetail/474-COM-13004</v>
      </c>
      <c r="T41" s="152">
        <v>1</v>
      </c>
      <c r="U41" s="152">
        <v>0</v>
      </c>
      <c r="V41" s="152">
        <v>0</v>
      </c>
      <c r="W41" s="152">
        <f>MouserListTable[[#This Row],['#/Unit]]*FilterSpecs!$C$3+MouserListTable[[#This Row],[Extra]]</f>
        <v>5</v>
      </c>
      <c r="X41" s="152">
        <f>IF(MouserListTable[[#This Row],[Tag]]=FilterSpecs!$F$7,MouserListTable[[#This Row],['#/Unit]]*MouserListTable[[#This Row],[Price (USD)]],0)</f>
        <v>4.95</v>
      </c>
      <c r="Y41" s="152">
        <f>MouserListTable[[#This Row],[Tot '#]]*MouserListTable[[#This Row],[Price (USD)]]</f>
        <v>24.75</v>
      </c>
      <c r="Z41" s="146"/>
      <c r="AA41" s="146" t="str">
        <f>[1]!nonzeroQtysList($F$13,InitialOrderTable[[#This Row],[Name]])</f>
        <v>DC Barrel Jack Plug - Male</v>
      </c>
      <c r="AB41" s="153">
        <f>VALUE(InitialOrderTable[[#This Row],['# Initial]])</f>
        <v>5</v>
      </c>
      <c r="AD41" s="153" t="s">
        <v>1015</v>
      </c>
      <c r="AF41" s="153">
        <v>5</v>
      </c>
      <c r="AK41" s="146" t="e">
        <f ca="1">[1]!nonzeroQtys($AE$13,AD41)</f>
        <v>#NAME?</v>
      </c>
    </row>
    <row r="42" spans="1:37" s="153" customFormat="1" x14ac:dyDescent="0.25">
      <c r="A42" s="150" t="s">
        <v>887</v>
      </c>
      <c r="B42" s="150" t="s">
        <v>1882</v>
      </c>
      <c r="C42" s="150" t="s">
        <v>5</v>
      </c>
      <c r="D42" s="151" t="str">
        <f>IF(MouserListTable[[#This Row],[Vendor]]=FilterSpecs!$A$8,MouserListTable[[#This Row],[Mouser SKU]], MouserListTable[[#This Row],[Supplier SKU]])</f>
        <v>474-TOL-09419</v>
      </c>
      <c r="E42" s="152">
        <f>MouserListTable[[#This Row],[Tot '#]]-MouserListTable[[#This Row],['# Initial]]</f>
        <v>0</v>
      </c>
      <c r="F42" s="152">
        <f>IF(AND(MouserListTable[[#This Row],[Tag]]&lt;&gt;FilterSpecs!$F$12, MouserListTable[[#This Row],[Tag]]&lt;&gt;FilterSpecs!$F$9), MouserListTable[[#This Row],['#/Unit]]*FilterSpecs!$B$3+MouserListTable[[#This Row],[Extra Initial]],0)</f>
        <v>1</v>
      </c>
      <c r="G42" s="150" t="s">
        <v>227</v>
      </c>
      <c r="H42" s="150" t="s">
        <v>228</v>
      </c>
      <c r="I42" s="150" t="s">
        <v>198</v>
      </c>
      <c r="J42" s="150">
        <v>1</v>
      </c>
      <c r="K42" s="154">
        <v>9.9499999999999993</v>
      </c>
      <c r="L42" s="150" t="s">
        <v>1900</v>
      </c>
      <c r="M42" s="151"/>
      <c r="N42" s="154">
        <f>MouserListTable[[#This Row],['# Initial]]*MouserListTable[[#This Row],[Price (USD)]]</f>
        <v>9.9499999999999993</v>
      </c>
      <c r="O42" s="151" t="s">
        <v>226</v>
      </c>
      <c r="P42" s="150">
        <f t="shared" si="0"/>
        <v>29</v>
      </c>
      <c r="Q42" s="150" t="s">
        <v>5</v>
      </c>
      <c r="R4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474-TOL-09419</v>
      </c>
      <c r="S42" s="157" t="str">
        <f>HYPERLINK("https://www.mouser.com/ProductDetail/" &amp;MouserListTable[[#This Row],[Mouser SKU]])</f>
        <v>https://www.mouser.com/ProductDetail/474-TOL-09419</v>
      </c>
      <c r="T42" s="152">
        <v>0</v>
      </c>
      <c r="U42" s="152">
        <v>1</v>
      </c>
      <c r="V42" s="152">
        <v>1</v>
      </c>
      <c r="W42" s="152">
        <f>MouserListTable[[#This Row],['#/Unit]]*FilterSpecs!$C$3+MouserListTable[[#This Row],[Extra]]</f>
        <v>1</v>
      </c>
      <c r="X42" s="152">
        <f>IF(MouserListTable[[#This Row],[Tag]]=FilterSpecs!$F$7,MouserListTable[[#This Row],['#/Unit]]*MouserListTable[[#This Row],[Price (USD)]],0)</f>
        <v>0</v>
      </c>
      <c r="Y42" s="152">
        <f>MouserListTable[[#This Row],[Tot '#]]*MouserListTable[[#This Row],[Price (USD)]]</f>
        <v>9.9499999999999993</v>
      </c>
      <c r="Z42" s="146"/>
      <c r="AA42" s="146" t="str">
        <f>[1]!nonzeroQtysList($F$13,InitialOrderTable[[#This Row],[Name]])</f>
        <v>Infrared Emitters and Detectors</v>
      </c>
      <c r="AB42" s="153">
        <f>VALUE(InitialOrderTable[[#This Row],['# Initial]])</f>
        <v>1</v>
      </c>
      <c r="AD42" s="153" t="s">
        <v>70</v>
      </c>
      <c r="AF42" s="153">
        <v>20</v>
      </c>
      <c r="AK42" s="146" t="e">
        <f ca="1">[1]!nonzeroQtys($AE$13,AD42)</f>
        <v>#NAME?</v>
      </c>
    </row>
    <row r="43" spans="1:37" s="153" customFormat="1" x14ac:dyDescent="0.25">
      <c r="A43" s="97" t="s">
        <v>887</v>
      </c>
      <c r="B43" s="97" t="s">
        <v>1882</v>
      </c>
      <c r="C43" s="150" t="s">
        <v>5</v>
      </c>
      <c r="D43" s="151" t="str">
        <f>IF(MouserListTable[[#This Row],[Vendor]]=FilterSpecs!$A$8,MouserListTable[[#This Row],[Mouser SKU]], MouserListTable[[#This Row],[Supplier SKU]])</f>
        <v>474-BOB-12941</v>
      </c>
      <c r="E43" s="152">
        <f>MouserListTable[[#This Row],[Tot '#]]-MouserListTable[[#This Row],['# Initial]]</f>
        <v>0</v>
      </c>
      <c r="F43" s="152">
        <f>IF(AND(MouserListTable[[#This Row],[Tag]]&lt;&gt;FilterSpecs!$F$12, MouserListTable[[#This Row],[Tag]]&lt;&gt;FilterSpecs!$F$9), MouserListTable[[#This Row],['#/Unit]]*FilterSpecs!$B$3+MouserListTable[[#This Row],[Extra Initial]],0)</f>
        <v>0</v>
      </c>
      <c r="G43" s="150" t="s">
        <v>280</v>
      </c>
      <c r="H43" s="150" t="s">
        <v>281</v>
      </c>
      <c r="I43" s="150" t="s">
        <v>196</v>
      </c>
      <c r="J43" s="150">
        <v>1</v>
      </c>
      <c r="K43" s="154">
        <v>9.9499999999999993</v>
      </c>
      <c r="L43" s="150" t="s">
        <v>1897</v>
      </c>
      <c r="N43" s="154">
        <f>MouserListTable[[#This Row],['# Initial]]*MouserListTable[[#This Row],[Price (USD)]]</f>
        <v>0</v>
      </c>
      <c r="O43" s="151" t="s">
        <v>279</v>
      </c>
      <c r="P43" s="150">
        <f t="shared" si="0"/>
        <v>30</v>
      </c>
      <c r="Q43" s="150" t="s">
        <v>5</v>
      </c>
      <c r="R4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474-BOB-12941</v>
      </c>
      <c r="S43" s="157" t="str">
        <f>HYPERLINK("https://www.mouser.com/ProductDetail/" &amp;MouserListTable[[#This Row],[Mouser SKU]])</f>
        <v>https://www.mouser.com/ProductDetail/474-BOB-12941</v>
      </c>
      <c r="T43" s="152">
        <v>0</v>
      </c>
      <c r="U43" s="152">
        <v>0</v>
      </c>
      <c r="V43" s="152">
        <v>0</v>
      </c>
      <c r="W43" s="152">
        <f>MouserListTable[[#This Row],['#/Unit]]*FilterSpecs!$C$3+MouserListTable[[#This Row],[Extra]]</f>
        <v>0</v>
      </c>
      <c r="X43" s="152">
        <f>IF(MouserListTable[[#This Row],[Tag]]=FilterSpecs!$F$7,MouserListTable[[#This Row],['#/Unit]]*MouserListTable[[#This Row],[Price (USD)]],0)</f>
        <v>0</v>
      </c>
      <c r="Y43" s="152">
        <f>MouserListTable[[#This Row],[Tot '#]]*MouserListTable[[#This Row],[Price (USD)]]</f>
        <v>0</v>
      </c>
      <c r="Z43" s="146"/>
      <c r="AA43" s="146" t="str">
        <f>[1]!nonzeroQtysList($F$13,InitialOrderTable[[#This Row],[Name]])</f>
        <v>SparkFun OpenPIR</v>
      </c>
      <c r="AB43" s="153">
        <f>VALUE(InitialOrderTable[[#This Row],['# Initial]])</f>
        <v>0</v>
      </c>
      <c r="AD43" s="153" t="s">
        <v>74</v>
      </c>
      <c r="AF43" s="153">
        <v>5</v>
      </c>
      <c r="AK43" s="146" t="e">
        <f ca="1">[1]!nonzeroQtys($AE$13,AD43)</f>
        <v>#NAME?</v>
      </c>
    </row>
    <row r="44" spans="1:37" s="153" customFormat="1" x14ac:dyDescent="0.25">
      <c r="A44" s="150" t="s">
        <v>887</v>
      </c>
      <c r="B44" s="150" t="s">
        <v>1882</v>
      </c>
      <c r="C44" s="150" t="s">
        <v>5</v>
      </c>
      <c r="D44" s="151" t="str">
        <f>IF(MouserListTable[[#This Row],[Vendor]]=FilterSpecs!$A$8,MouserListTable[[#This Row],[Mouser SKU]], MouserListTable[[#This Row],[Supplier SKU]])</f>
        <v>474-DEV-13743</v>
      </c>
      <c r="E44" s="152">
        <f>MouserListTable[[#This Row],[Tot '#]]-MouserListTable[[#This Row],['# Initial]]</f>
        <v>0</v>
      </c>
      <c r="F44" s="152">
        <f>IF(AND(MouserListTable[[#This Row],[Tag]]&lt;&gt;FilterSpecs!$F$12, MouserListTable[[#This Row],[Tag]]&lt;&gt;FilterSpecs!$F$9), MouserListTable[[#This Row],['#/Unit]]*FilterSpecs!$B$3+MouserListTable[[#This Row],[Extra Initial]],0)</f>
        <v>5</v>
      </c>
      <c r="G44" s="150" t="s">
        <v>408</v>
      </c>
      <c r="H44" s="150" t="s">
        <v>409</v>
      </c>
      <c r="I44" s="150" t="s">
        <v>216</v>
      </c>
      <c r="J44" s="150">
        <v>1</v>
      </c>
      <c r="K44" s="154">
        <v>4.95</v>
      </c>
      <c r="L44" s="150" t="s">
        <v>1897</v>
      </c>
      <c r="M44" s="151"/>
      <c r="N44" s="154">
        <f>MouserListTable[[#This Row],['# Initial]]*MouserListTable[[#This Row],[Price (USD)]]</f>
        <v>24.75</v>
      </c>
      <c r="O44" s="151" t="s">
        <v>407</v>
      </c>
      <c r="P44" s="150">
        <f t="shared" si="0"/>
        <v>31</v>
      </c>
      <c r="Q44" s="150" t="s">
        <v>5</v>
      </c>
      <c r="R4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474-DEV-13743</v>
      </c>
      <c r="S44" s="157" t="str">
        <f>HYPERLINK("https://www.mouser.com/ProductDetail/" &amp;MouserListTable[[#This Row],[Mouser SKU]])</f>
        <v>https://www.mouser.com/ProductDetail/474-DEV-13743</v>
      </c>
      <c r="T44" s="152">
        <v>1</v>
      </c>
      <c r="U44" s="152">
        <v>0</v>
      </c>
      <c r="V44" s="152">
        <v>0</v>
      </c>
      <c r="W44" s="152">
        <f>MouserListTable[[#This Row],['#/Unit]]*FilterSpecs!$C$3+MouserListTable[[#This Row],[Extra]]</f>
        <v>5</v>
      </c>
      <c r="X44" s="152">
        <f>IF(MouserListTable[[#This Row],[Tag]]=FilterSpecs!$F$7,MouserListTable[[#This Row],['#/Unit]]*MouserListTable[[#This Row],[Price (USD)]],0)</f>
        <v>4.95</v>
      </c>
      <c r="Y44" s="152">
        <f>MouserListTable[[#This Row],[Tot '#]]*MouserListTable[[#This Row],[Price (USD)]]</f>
        <v>24.75</v>
      </c>
      <c r="Z44" s="146"/>
      <c r="AA44" s="153" t="str">
        <f>InitialOrderTable[[#This Row],[SKU]]</f>
        <v>474-DEV-13743</v>
      </c>
      <c r="AB44" s="153">
        <f>VALUE(InitialOrderTable[[#This Row],['# Initial]])</f>
        <v>5</v>
      </c>
      <c r="AD44" s="153" t="s">
        <v>78</v>
      </c>
      <c r="AF44" s="153">
        <v>5</v>
      </c>
      <c r="AK44" s="146" t="e">
        <f ca="1">[1]!nonzeroQtys($AE$13,AD44)</f>
        <v>#NAME?</v>
      </c>
    </row>
    <row r="45" spans="1:37" s="153" customFormat="1" x14ac:dyDescent="0.25">
      <c r="A45" s="150" t="s">
        <v>887</v>
      </c>
      <c r="B45" s="150" t="s">
        <v>1882</v>
      </c>
      <c r="C45" s="150" t="s">
        <v>5</v>
      </c>
      <c r="D45" s="151" t="str">
        <f>IF(MouserListTable[[#This Row],[Vendor]]=FilterSpecs!$A$8,MouserListTable[[#This Row],[Mouser SKU]], MouserListTable[[#This Row],[Supplier SKU]])</f>
        <v>474-COM-13833</v>
      </c>
      <c r="E45" s="152">
        <f>MouserListTable[[#This Row],[Tot '#]]-MouserListTable[[#This Row],['# Initial]]</f>
        <v>1</v>
      </c>
      <c r="F45" s="152">
        <f>IF(AND(MouserListTable[[#This Row],[Tag]]&lt;&gt;FilterSpecs!$F$12, MouserListTable[[#This Row],[Tag]]&lt;&gt;FilterSpecs!$F$9), MouserListTable[[#This Row],['#/Unit]]*FilterSpecs!$B$3+MouserListTable[[#This Row],[Extra Initial]],0)</f>
        <v>5</v>
      </c>
      <c r="G45" s="150" t="s">
        <v>629</v>
      </c>
      <c r="H45" s="150" t="s">
        <v>630</v>
      </c>
      <c r="I45" s="150" t="s">
        <v>631</v>
      </c>
      <c r="J45" s="150">
        <v>1</v>
      </c>
      <c r="K45" s="154">
        <v>19.95</v>
      </c>
      <c r="L45" s="150" t="s">
        <v>1897</v>
      </c>
      <c r="M45" s="151"/>
      <c r="N45" s="154">
        <f>MouserListTable[[#This Row],['# Initial]]*MouserListTable[[#This Row],[Price (USD)]]</f>
        <v>99.75</v>
      </c>
      <c r="O45" s="151" t="s">
        <v>628</v>
      </c>
      <c r="P45" s="150">
        <f t="shared" si="0"/>
        <v>32</v>
      </c>
      <c r="Q45" s="150" t="s">
        <v>5</v>
      </c>
      <c r="R4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474-COM-13833</v>
      </c>
      <c r="S45" s="157" t="str">
        <f>HYPERLINK("https://www.mouser.com/ProductDetail/" &amp;MouserListTable[[#This Row],[Mouser SKU]])</f>
        <v>https://www.mouser.com/ProductDetail/474-COM-13833</v>
      </c>
      <c r="T45" s="152">
        <v>1</v>
      </c>
      <c r="U45" s="152">
        <v>1</v>
      </c>
      <c r="V45" s="152">
        <v>0</v>
      </c>
      <c r="W45" s="152">
        <f>MouserListTable[[#This Row],['#/Unit]]*FilterSpecs!$C$3+MouserListTable[[#This Row],[Extra]]</f>
        <v>6</v>
      </c>
      <c r="X45" s="152">
        <f>IF(MouserListTable[[#This Row],[Tag]]=FilterSpecs!$F$7,MouserListTable[[#This Row],['#/Unit]]*MouserListTable[[#This Row],[Price (USD)]],0)</f>
        <v>19.95</v>
      </c>
      <c r="Y45" s="152">
        <f>MouserListTable[[#This Row],[Tot '#]]*MouserListTable[[#This Row],[Price (USD)]]</f>
        <v>119.69999999999999</v>
      </c>
      <c r="Z45" s="146"/>
      <c r="AA45" s="153" t="str">
        <f>InitialOrderTable[[#This Row],[SKU]]</f>
        <v>474-COM-13833</v>
      </c>
      <c r="AB45" s="153">
        <f>VALUE(InitialOrderTable[[#This Row],['# Initial]])</f>
        <v>5</v>
      </c>
      <c r="AD45" s="153" t="s">
        <v>2561</v>
      </c>
      <c r="AF45" s="153">
        <v>5</v>
      </c>
      <c r="AK45" s="146" t="e">
        <f ca="1">[1]!nonzeroQtys($AE$13,AD45)</f>
        <v>#NAME?</v>
      </c>
    </row>
    <row r="46" spans="1:37" s="104" customFormat="1" x14ac:dyDescent="0.25">
      <c r="A46" s="150" t="s">
        <v>887</v>
      </c>
      <c r="B46" s="150" t="s">
        <v>1882</v>
      </c>
      <c r="C46" s="150" t="s">
        <v>1884</v>
      </c>
      <c r="D46" s="151" t="str">
        <f>IF(MouserListTable[[#This Row],[Vendor]]=FilterSpecs!$A$8,MouserListTable[[#This Row],[Mouser SKU]], MouserListTable[[#This Row],[Supplier SKU]])</f>
        <v>485-102</v>
      </c>
      <c r="E46" s="152">
        <f>MouserListTable[[#This Row],[Tot '#]]-MouserListTable[[#This Row],['# Initial]]</f>
        <v>2</v>
      </c>
      <c r="F46" s="152">
        <f>IF(AND(MouserListTable[[#This Row],[Tag]]&lt;&gt;FilterSpecs!$F$12, MouserListTable[[#This Row],[Tag]]&lt;&gt;FilterSpecs!$F$9), MouserListTable[[#This Row],['#/Unit]]*FilterSpecs!$B$3+MouserListTable[[#This Row],[Extra Initial]],0)</f>
        <v>0</v>
      </c>
      <c r="G46" s="150"/>
      <c r="H46" s="150"/>
      <c r="I46" s="150" t="s">
        <v>2243</v>
      </c>
      <c r="J46" s="150"/>
      <c r="K46" s="154">
        <v>7.95</v>
      </c>
      <c r="L46" s="150" t="s">
        <v>1896</v>
      </c>
      <c r="M46" s="151"/>
      <c r="N46" s="154">
        <f>MouserListTable[[#This Row],['# Initial]]*MouserListTable[[#This Row],[Price (USD)]]</f>
        <v>0</v>
      </c>
      <c r="O46" s="151" t="s">
        <v>2242</v>
      </c>
      <c r="P46" s="150">
        <f t="shared" si="0"/>
        <v>33</v>
      </c>
      <c r="Q46" s="150" t="s">
        <v>1884</v>
      </c>
      <c r="R4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485-102</v>
      </c>
      <c r="S46" s="157" t="str">
        <f>HYPERLINK("https://www.mouser.com/ProductDetail/" &amp;MouserListTable[[#This Row],[Mouser SKU]])</f>
        <v>https://www.mouser.com/ProductDetail/485-102</v>
      </c>
      <c r="T46" s="152">
        <v>0</v>
      </c>
      <c r="U46" s="152">
        <v>2</v>
      </c>
      <c r="V46" s="152">
        <v>0</v>
      </c>
      <c r="W46" s="152">
        <f>MouserListTable[[#This Row],['#/Unit]]*FilterSpecs!$C$3+MouserListTable[[#This Row],[Extra]]</f>
        <v>2</v>
      </c>
      <c r="X46" s="152">
        <f>IF(MouserListTable[[#This Row],[Tag]]=FilterSpecs!$F$7,MouserListTable[[#This Row],['#/Unit]]*MouserListTable[[#This Row],[Price (USD)]],0)</f>
        <v>0</v>
      </c>
      <c r="Y46" s="152">
        <f>MouserListTable[[#This Row],[Tot '#]]*MouserListTable[[#This Row],[Price (USD)]]</f>
        <v>15.9</v>
      </c>
      <c r="Z46" s="146"/>
      <c r="AA46" s="153" t="str">
        <f>InitialOrderTable[[#This Row],[SKU]]</f>
        <v>485-102</v>
      </c>
      <c r="AB46" s="153">
        <f>VALUE(InitialOrderTable[[#This Row],['# Initial]])</f>
        <v>0</v>
      </c>
      <c r="AD46" s="104" t="s">
        <v>2294</v>
      </c>
      <c r="AF46" s="104">
        <v>5</v>
      </c>
      <c r="AK46" s="146" t="e">
        <f ca="1">[1]!nonzeroQtys($AE$13,AD46)</f>
        <v>#NAME?</v>
      </c>
    </row>
    <row r="47" spans="1:37" s="104" customFormat="1" x14ac:dyDescent="0.25">
      <c r="A47" s="97" t="s">
        <v>887</v>
      </c>
      <c r="B47" s="97" t="s">
        <v>1882</v>
      </c>
      <c r="C47" s="150" t="s">
        <v>1884</v>
      </c>
      <c r="D47" s="151" t="str">
        <f>IF(MouserListTable[[#This Row],[Vendor]]=FilterSpecs!$A$8,MouserListTable[[#This Row],[Mouser SKU]], MouserListTable[[#This Row],[Supplier SKU]])</f>
        <v>485-2693</v>
      </c>
      <c r="E47" s="152">
        <f>MouserListTable[[#This Row],[Tot '#]]-MouserListTable[[#This Row],['# Initial]]</f>
        <v>0</v>
      </c>
      <c r="F47" s="152">
        <f>IF(AND(MouserListTable[[#This Row],[Tag]]&lt;&gt;FilterSpecs!$F$12, MouserListTable[[#This Row],[Tag]]&lt;&gt;FilterSpecs!$F$9), MouserListTable[[#This Row],['#/Unit]]*FilterSpecs!$B$3+MouserListTable[[#This Row],[Extra Initial]],0)</f>
        <v>0</v>
      </c>
      <c r="G47" s="150"/>
      <c r="H47" s="150"/>
      <c r="I47" s="150" t="s">
        <v>2245</v>
      </c>
      <c r="J47" s="150"/>
      <c r="K47" s="154">
        <v>19.95</v>
      </c>
      <c r="L47" s="150" t="s">
        <v>1899</v>
      </c>
      <c r="M47" s="153"/>
      <c r="N47" s="154">
        <f>MouserListTable[[#This Row],['# Initial]]*MouserListTable[[#This Row],[Price (USD)]]</f>
        <v>0</v>
      </c>
      <c r="O47" s="151" t="s">
        <v>2244</v>
      </c>
      <c r="P47" s="150">
        <f t="shared" si="0"/>
        <v>34</v>
      </c>
      <c r="Q47" s="150" t="s">
        <v>1884</v>
      </c>
      <c r="R4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485-2693</v>
      </c>
      <c r="S47" s="157" t="str">
        <f>HYPERLINK("https://www.mouser.com/ProductDetail/" &amp;MouserListTable[[#This Row],[Mouser SKU]])</f>
        <v>https://www.mouser.com/ProductDetail/485-2693</v>
      </c>
      <c r="T47" s="152">
        <v>0</v>
      </c>
      <c r="U47" s="152">
        <v>0</v>
      </c>
      <c r="V47" s="152">
        <v>0</v>
      </c>
      <c r="W47" s="152">
        <f>MouserListTable[[#This Row],['#/Unit]]*FilterSpecs!$C$3+MouserListTable[[#This Row],[Extra]]</f>
        <v>0</v>
      </c>
      <c r="X47" s="152">
        <f>IF(MouserListTable[[#This Row],[Tag]]=FilterSpecs!$F$7,MouserListTable[[#This Row],['#/Unit]]*MouserListTable[[#This Row],[Price (USD)]],0)</f>
        <v>0</v>
      </c>
      <c r="Y47" s="152">
        <f>MouserListTable[[#This Row],[Tot '#]]*MouserListTable[[#This Row],[Price (USD)]]</f>
        <v>0</v>
      </c>
      <c r="Z47" s="146"/>
      <c r="AA47" s="153" t="str">
        <f>InitialOrderTable[[#This Row],[SKU]]</f>
        <v>485-2693</v>
      </c>
      <c r="AB47" s="153">
        <f>VALUE(InitialOrderTable[[#This Row],['# Initial]])</f>
        <v>0</v>
      </c>
      <c r="AD47" s="104" t="s">
        <v>2521</v>
      </c>
      <c r="AF47" s="104">
        <v>5</v>
      </c>
      <c r="AK47" s="146" t="e">
        <f ca="1">[1]!nonzeroQtys($AE$13,AD47)</f>
        <v>#NAME?</v>
      </c>
    </row>
    <row r="48" spans="1:37" s="153" customFormat="1" x14ac:dyDescent="0.25">
      <c r="A48" s="150" t="s">
        <v>887</v>
      </c>
      <c r="B48" s="150" t="s">
        <v>1882</v>
      </c>
      <c r="C48" s="150" t="s">
        <v>1884</v>
      </c>
      <c r="D48" s="151" t="str">
        <f>IF(MouserListTable[[#This Row],[Vendor]]=FilterSpecs!$A$8,MouserListTable[[#This Row],[Mouser SKU]], MouserListTable[[#This Row],[Supplier SKU]])</f>
        <v>485-1294</v>
      </c>
      <c r="E48" s="152">
        <f>MouserListTable[[#This Row],[Tot '#]]-MouserListTable[[#This Row],['# Initial]]</f>
        <v>0</v>
      </c>
      <c r="F48" s="152">
        <f>IF(AND(MouserListTable[[#This Row],[Tag]]&lt;&gt;FilterSpecs!$F$12, MouserListTable[[#This Row],[Tag]]&lt;&gt;FilterSpecs!$F$9), MouserListTable[[#This Row],['#/Unit]]*FilterSpecs!$B$3+MouserListTable[[#This Row],[Extra Initial]],0)</f>
        <v>0</v>
      </c>
      <c r="G48" s="150"/>
      <c r="H48" s="150"/>
      <c r="I48" s="150" t="s">
        <v>2247</v>
      </c>
      <c r="K48" s="118">
        <v>9.9499999999999993</v>
      </c>
      <c r="L48" s="97" t="s">
        <v>1896</v>
      </c>
      <c r="N48" s="154">
        <f>MouserListTable[[#This Row],['# Initial]]*MouserListTable[[#This Row],[Price (USD)]]</f>
        <v>0</v>
      </c>
      <c r="O48" s="151" t="s">
        <v>2246</v>
      </c>
      <c r="P48" s="150">
        <f t="shared" si="0"/>
        <v>35</v>
      </c>
      <c r="Q48" s="150" t="s">
        <v>1884</v>
      </c>
      <c r="R4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485-1294</v>
      </c>
      <c r="S48" s="157" t="str">
        <f>HYPERLINK("https://www.mouser.com/ProductDetail/" &amp;MouserListTable[[#This Row],[Mouser SKU]])</f>
        <v>https://www.mouser.com/ProductDetail/485-1294</v>
      </c>
      <c r="T48" s="152">
        <v>0</v>
      </c>
      <c r="U48" s="152">
        <v>0</v>
      </c>
      <c r="V48" s="152">
        <v>0</v>
      </c>
      <c r="W48" s="152">
        <f>MouserListTable[[#This Row],['#/Unit]]*FilterSpecs!$C$3+MouserListTable[[#This Row],[Extra]]</f>
        <v>0</v>
      </c>
      <c r="X48" s="152">
        <f>IF(MouserListTable[[#This Row],[Tag]]=FilterSpecs!$F$7,MouserListTable[[#This Row],['#/Unit]]*MouserListTable[[#This Row],[Price (USD)]],0)</f>
        <v>0</v>
      </c>
      <c r="Y48" s="152">
        <f>MouserListTable[[#This Row],[Tot '#]]*MouserListTable[[#This Row],[Price (USD)]]</f>
        <v>0</v>
      </c>
      <c r="Z48" s="146"/>
      <c r="AA48" s="153" t="str">
        <f>InitialOrderTable[[#This Row],[SKU]]</f>
        <v>485-1294</v>
      </c>
      <c r="AB48" s="153">
        <f>VALUE(InitialOrderTable[[#This Row],['# Initial]])</f>
        <v>0</v>
      </c>
      <c r="AD48" s="153" t="s">
        <v>102</v>
      </c>
      <c r="AF48" s="153">
        <v>5</v>
      </c>
      <c r="AK48" s="146" t="e">
        <f ca="1">[1]!nonzeroQtys($AE$13,AD48)</f>
        <v>#NAME?</v>
      </c>
    </row>
    <row r="49" spans="1:37" s="153" customFormat="1" x14ac:dyDescent="0.25">
      <c r="A49" s="150" t="s">
        <v>887</v>
      </c>
      <c r="B49" s="150" t="s">
        <v>1882</v>
      </c>
      <c r="C49" s="150" t="s">
        <v>5</v>
      </c>
      <c r="D49" s="151" t="str">
        <f>IF(MouserListTable[[#This Row],[Vendor]]=FilterSpecs!$A$8,MouserListTable[[#This Row],[Mouser SKU]], MouserListTable[[#This Row],[Supplier SKU]])</f>
        <v>474-TOL-12078</v>
      </c>
      <c r="E49" s="152">
        <f>MouserListTable[[#This Row],[Tot '#]]-MouserListTable[[#This Row],['# Initial]]</f>
        <v>1</v>
      </c>
      <c r="F49" s="152">
        <f>IF(AND(MouserListTable[[#This Row],[Tag]]&lt;&gt;FilterSpecs!$F$12, MouserListTable[[#This Row],[Tag]]&lt;&gt;FilterSpecs!$F$9), MouserListTable[[#This Row],['#/Unit]]*FilterSpecs!$B$3+MouserListTable[[#This Row],[Extra Initial]],0)</f>
        <v>0</v>
      </c>
      <c r="G49" s="150" t="s">
        <v>1613</v>
      </c>
      <c r="H49" s="150" t="s">
        <v>1614</v>
      </c>
      <c r="I49" s="150" t="s">
        <v>1615</v>
      </c>
      <c r="J49" s="150"/>
      <c r="K49" s="154">
        <v>4.95</v>
      </c>
      <c r="L49" s="150" t="s">
        <v>1900</v>
      </c>
      <c r="M49" s="151"/>
      <c r="N49" s="154">
        <f>MouserListTable[[#This Row],['# Initial]]*MouserListTable[[#This Row],[Price (USD)]]</f>
        <v>0</v>
      </c>
      <c r="O49" s="151" t="s">
        <v>1612</v>
      </c>
      <c r="P49" s="150">
        <f t="shared" si="0"/>
        <v>36</v>
      </c>
      <c r="Q49" s="150" t="s">
        <v>5</v>
      </c>
      <c r="R4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474-TOL-12078</v>
      </c>
      <c r="S49" s="157" t="str">
        <f>HYPERLINK("https://www.mouser.com/ProductDetail/" &amp;MouserListTable[[#This Row],[Mouser SKU]])</f>
        <v>https://www.mouser.com/ProductDetail/474-TOL-12078</v>
      </c>
      <c r="T49" s="152">
        <v>0</v>
      </c>
      <c r="U49" s="152">
        <v>1</v>
      </c>
      <c r="V49" s="152">
        <v>0</v>
      </c>
      <c r="W49" s="152">
        <f>MouserListTable[[#This Row],['#/Unit]]*FilterSpecs!$C$3+MouserListTable[[#This Row],[Extra]]</f>
        <v>1</v>
      </c>
      <c r="X49" s="152">
        <f>IF(MouserListTable[[#This Row],[Tag]]=FilterSpecs!$F$7,MouserListTable[[#This Row],['#/Unit]]*MouserListTable[[#This Row],[Price (USD)]],0)</f>
        <v>0</v>
      </c>
      <c r="Y49" s="152">
        <f>MouserListTable[[#This Row],[Tot '#]]*MouserListTable[[#This Row],[Price (USD)]]</f>
        <v>4.95</v>
      </c>
      <c r="Z49" s="146"/>
      <c r="AA49" s="153" t="str">
        <f>InitialOrderTable[[#This Row],[SKU]]</f>
        <v>474-TOL-12078</v>
      </c>
      <c r="AB49" s="153">
        <f>VALUE(InitialOrderTable[[#This Row],['# Initial]])</f>
        <v>0</v>
      </c>
      <c r="AD49" s="153" t="s">
        <v>282</v>
      </c>
      <c r="AF49" s="153">
        <v>5</v>
      </c>
      <c r="AK49" s="146" t="e">
        <f ca="1">[1]!nonzeroQtys($AE$13,AD49)</f>
        <v>#NAME?</v>
      </c>
    </row>
    <row r="50" spans="1:37" s="153" customFormat="1" x14ac:dyDescent="0.25">
      <c r="A50" s="150" t="s">
        <v>887</v>
      </c>
      <c r="B50" s="150" t="s">
        <v>1882</v>
      </c>
      <c r="C50" s="150" t="s">
        <v>5</v>
      </c>
      <c r="D50" s="151" t="str">
        <f>IF(MouserListTable[[#This Row],[Vendor]]=FilterSpecs!$A$8,MouserListTable[[#This Row],[Mouser SKU]], MouserListTable[[#This Row],[Supplier SKU]])</f>
        <v>474-TOL-11060</v>
      </c>
      <c r="E50" s="152">
        <f>MouserListTable[[#This Row],[Tot '#]]-MouserListTable[[#This Row],['# Initial]]</f>
        <v>0</v>
      </c>
      <c r="F50" s="152">
        <f>IF(AND(MouserListTable[[#This Row],[Tag]]&lt;&gt;FilterSpecs!$F$12, MouserListTable[[#This Row],[Tag]]&lt;&gt;FilterSpecs!$F$9), MouserListTable[[#This Row],['#/Unit]]*FilterSpecs!$B$3+MouserListTable[[#This Row],[Extra Initial]],0)</f>
        <v>1</v>
      </c>
      <c r="G50" s="150" t="s">
        <v>831</v>
      </c>
      <c r="H50" s="150" t="s">
        <v>832</v>
      </c>
      <c r="I50" s="150" t="s">
        <v>833</v>
      </c>
      <c r="J50" s="150"/>
      <c r="K50" s="154">
        <v>4.95</v>
      </c>
      <c r="L50" s="150" t="s">
        <v>1900</v>
      </c>
      <c r="M50" s="151"/>
      <c r="N50" s="154">
        <f>MouserListTable[[#This Row],['# Initial]]*MouserListTable[[#This Row],[Price (USD)]]</f>
        <v>4.95</v>
      </c>
      <c r="O50" s="151" t="s">
        <v>830</v>
      </c>
      <c r="P50" s="150">
        <f t="shared" si="0"/>
        <v>37</v>
      </c>
      <c r="Q50" s="150" t="s">
        <v>5</v>
      </c>
      <c r="R5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474-TOL-11060</v>
      </c>
      <c r="S50" s="157" t="str">
        <f>HYPERLINK("https://www.mouser.com/ProductDetail/" &amp;MouserListTable[[#This Row],[Mouser SKU]])</f>
        <v>https://www.mouser.com/ProductDetail/474-TOL-11060</v>
      </c>
      <c r="T50" s="152">
        <v>0</v>
      </c>
      <c r="U50" s="152">
        <v>1</v>
      </c>
      <c r="V50" s="152">
        <v>1</v>
      </c>
      <c r="W50" s="152">
        <f>MouserListTable[[#This Row],['#/Unit]]*FilterSpecs!$C$3+MouserListTable[[#This Row],[Extra]]</f>
        <v>1</v>
      </c>
      <c r="X50" s="152">
        <f>IF(MouserListTable[[#This Row],[Tag]]=FilterSpecs!$F$7,MouserListTable[[#This Row],['#/Unit]]*MouserListTable[[#This Row],[Price (USD)]],0)</f>
        <v>0</v>
      </c>
      <c r="Y50" s="152">
        <f>MouserListTable[[#This Row],[Tot '#]]*MouserListTable[[#This Row],[Price (USD)]]</f>
        <v>4.95</v>
      </c>
      <c r="Z50" s="146"/>
      <c r="AA50" s="153" t="str">
        <f>InitialOrderTable[[#This Row],[SKU]]</f>
        <v>474-TOL-11060</v>
      </c>
      <c r="AB50" s="153">
        <f>VALUE(InitialOrderTable[[#This Row],['# Initial]])</f>
        <v>1</v>
      </c>
      <c r="AD50" s="153" t="s">
        <v>2310</v>
      </c>
      <c r="AF50" s="153">
        <v>1</v>
      </c>
      <c r="AK50" s="146" t="e">
        <f ca="1">[1]!nonzeroQtys($AE$13,AD50)</f>
        <v>#NAME?</v>
      </c>
    </row>
    <row r="51" spans="1:37" s="153" customFormat="1" x14ac:dyDescent="0.25">
      <c r="A51" s="150" t="s">
        <v>887</v>
      </c>
      <c r="B51" s="150" t="s">
        <v>1882</v>
      </c>
      <c r="C51" s="150" t="s">
        <v>5</v>
      </c>
      <c r="D51" s="151" t="str">
        <f>IF(MouserListTable[[#This Row],[Vendor]]=FilterSpecs!$A$8,MouserListTable[[#This Row],[Mouser SKU]], MouserListTable[[#This Row],[Supplier SKU]])</f>
        <v>474-PRT-12978</v>
      </c>
      <c r="E51" s="152">
        <f>MouserListTable[[#This Row],[Tot '#]]-MouserListTable[[#This Row],['# Initial]]</f>
        <v>0</v>
      </c>
      <c r="F51" s="152">
        <f>IF(AND(MouserListTable[[#This Row],[Tag]]&lt;&gt;FilterSpecs!$F$12, MouserListTable[[#This Row],[Tag]]&lt;&gt;FilterSpecs!$F$9), MouserListTable[[#This Row],['#/Unit]]*FilterSpecs!$B$3+MouserListTable[[#This Row],[Extra Initial]],0)</f>
        <v>0</v>
      </c>
      <c r="G51" s="150" t="s">
        <v>1846</v>
      </c>
      <c r="H51" s="150" t="s">
        <v>1847</v>
      </c>
      <c r="I51" s="150" t="s">
        <v>1848</v>
      </c>
      <c r="J51" s="150">
        <v>1</v>
      </c>
      <c r="K51" s="150">
        <v>2.95</v>
      </c>
      <c r="L51" s="150" t="s">
        <v>1896</v>
      </c>
      <c r="M51" s="150"/>
      <c r="N51" s="154">
        <f>MouserListTable[[#This Row],['# Initial]]*MouserListTable[[#This Row],[Price (USD)]]</f>
        <v>0</v>
      </c>
      <c r="O51" s="150" t="s">
        <v>1845</v>
      </c>
      <c r="P51" s="150">
        <f t="shared" si="0"/>
        <v>38</v>
      </c>
      <c r="Q51" s="150" t="s">
        <v>5</v>
      </c>
      <c r="R5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474-PRT-12978</v>
      </c>
      <c r="S51" s="157" t="str">
        <f>HYPERLINK("https://www.mouser.com/ProductDetail/" &amp;MouserListTable[[#This Row],[Mouser SKU]])</f>
        <v>https://www.mouser.com/ProductDetail/474-PRT-12978</v>
      </c>
      <c r="T51" s="152">
        <v>0</v>
      </c>
      <c r="U51" s="152">
        <v>0</v>
      </c>
      <c r="V51" s="152">
        <v>0</v>
      </c>
      <c r="W51" s="152">
        <f>MouserListTable[[#This Row],['#/Unit]]*FilterSpecs!$C$3+MouserListTable[[#This Row],[Extra]]</f>
        <v>0</v>
      </c>
      <c r="X51" s="152">
        <f>IF(MouserListTable[[#This Row],[Tag]]=FilterSpecs!$F$7,MouserListTable[[#This Row],['#/Unit]]*MouserListTable[[#This Row],[Price (USD)]],0)</f>
        <v>0</v>
      </c>
      <c r="Y51" s="152">
        <f>MouserListTable[[#This Row],[Tot '#]]*MouserListTable[[#This Row],[Price (USD)]]</f>
        <v>0</v>
      </c>
      <c r="Z51" s="146"/>
      <c r="AA51" s="153" t="str">
        <f>InitialOrderTable[[#This Row],[SKU]]</f>
        <v>474-PRT-12978</v>
      </c>
      <c r="AB51" s="153">
        <f>VALUE(InitialOrderTable[[#This Row],['# Initial]])</f>
        <v>0</v>
      </c>
      <c r="AD51" s="153" t="s">
        <v>106</v>
      </c>
      <c r="AF51" s="153">
        <v>2</v>
      </c>
      <c r="AK51" s="146" t="e">
        <f ca="1">[1]!nonzeroQtys($AE$13,AD51)</f>
        <v>#NAME?</v>
      </c>
    </row>
    <row r="52" spans="1:37" s="153" customFormat="1" x14ac:dyDescent="0.25">
      <c r="A52" s="150" t="s">
        <v>887</v>
      </c>
      <c r="B52" s="150" t="s">
        <v>1882</v>
      </c>
      <c r="C52" s="150" t="s">
        <v>5</v>
      </c>
      <c r="D52" s="151" t="str">
        <f>IF(MouserListTable[[#This Row],[Vendor]]=FilterSpecs!$A$8,MouserListTable[[#This Row],[Mouser SKU]], MouserListTable[[#This Row],[Supplier SKU]])</f>
        <v>474-CAB-00508</v>
      </c>
      <c r="E52" s="152">
        <f>MouserListTable[[#This Row],[Tot '#]]-MouserListTable[[#This Row],['# Initial]]</f>
        <v>0</v>
      </c>
      <c r="F52" s="152">
        <f>IF(AND(MouserListTable[[#This Row],[Tag]]&lt;&gt;FilterSpecs!$F$12, MouserListTable[[#This Row],[Tag]]&lt;&gt;FilterSpecs!$F$9), MouserListTable[[#This Row],['#/Unit]]*FilterSpecs!$B$3+MouserListTable[[#This Row],[Extra Initial]],0)</f>
        <v>0</v>
      </c>
      <c r="G52" s="150" t="s">
        <v>1850</v>
      </c>
      <c r="H52" s="150" t="s">
        <v>1851</v>
      </c>
      <c r="I52" s="150" t="s">
        <v>1852</v>
      </c>
      <c r="J52" s="150"/>
      <c r="K52" s="150">
        <v>3.95</v>
      </c>
      <c r="L52" s="150" t="s">
        <v>1896</v>
      </c>
      <c r="M52" s="150"/>
      <c r="N52" s="154">
        <f>MouserListTable[[#This Row],['# Initial]]*MouserListTable[[#This Row],[Price (USD)]]</f>
        <v>0</v>
      </c>
      <c r="O52" s="150" t="s">
        <v>1861</v>
      </c>
      <c r="P52" s="150">
        <f t="shared" si="0"/>
        <v>39</v>
      </c>
      <c r="Q52" s="150" t="s">
        <v>5</v>
      </c>
      <c r="R5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474-CAB-00508</v>
      </c>
      <c r="S52" s="157" t="str">
        <f>HYPERLINK("https://www.mouser.com/ProductDetail/" &amp;MouserListTable[[#This Row],[Mouser SKU]])</f>
        <v>https://www.mouser.com/ProductDetail/474-CAB-00508</v>
      </c>
      <c r="T52" s="152">
        <v>0</v>
      </c>
      <c r="U52" s="152">
        <v>0</v>
      </c>
      <c r="V52" s="152">
        <v>0</v>
      </c>
      <c r="W52" s="152">
        <f>MouserListTable[[#This Row],['#/Unit]]*FilterSpecs!$C$3+MouserListTable[[#This Row],[Extra]]</f>
        <v>0</v>
      </c>
      <c r="X52" s="152">
        <f>IF(MouserListTable[[#This Row],[Tag]]=FilterSpecs!$F$7,MouserListTable[[#This Row],['#/Unit]]*MouserListTable[[#This Row],[Price (USD)]],0)</f>
        <v>0</v>
      </c>
      <c r="Y52" s="152">
        <f>MouserListTable[[#This Row],[Tot '#]]*MouserListTable[[#This Row],[Price (USD)]]</f>
        <v>0</v>
      </c>
      <c r="Z52" s="146"/>
      <c r="AA52" s="153" t="str">
        <f>InitialOrderTable[[#This Row],[SKU]]</f>
        <v>474-CAB-00508</v>
      </c>
      <c r="AB52" s="153">
        <f>VALUE(InitialOrderTable[[#This Row],['# Initial]])</f>
        <v>0</v>
      </c>
      <c r="AD52" s="153" t="s">
        <v>2314</v>
      </c>
      <c r="AF52" s="153">
        <v>1</v>
      </c>
      <c r="AK52" s="146" t="e">
        <f ca="1">[1]!nonzeroQtys($AE$13,AD52)</f>
        <v>#NAME?</v>
      </c>
    </row>
    <row r="53" spans="1:37" s="153" customFormat="1" x14ac:dyDescent="0.25">
      <c r="A53" s="150" t="s">
        <v>887</v>
      </c>
      <c r="B53" s="150" t="s">
        <v>1882</v>
      </c>
      <c r="C53" s="150" t="s">
        <v>5</v>
      </c>
      <c r="D53" s="151" t="str">
        <f>IF(MouserListTable[[#This Row],[Vendor]]=FilterSpecs!$A$8,MouserListTable[[#This Row],[Mouser SKU]], MouserListTable[[#This Row],[Supplier SKU]])</f>
        <v>474-CAB-00509</v>
      </c>
      <c r="E53" s="152">
        <f>MouserListTable[[#This Row],[Tot '#]]-MouserListTable[[#This Row],['# Initial]]</f>
        <v>0</v>
      </c>
      <c r="F53" s="152">
        <f>IF(AND(MouserListTable[[#This Row],[Tag]]&lt;&gt;FilterSpecs!$F$12, MouserListTable[[#This Row],[Tag]]&lt;&gt;FilterSpecs!$F$9), MouserListTable[[#This Row],['#/Unit]]*FilterSpecs!$B$3+MouserListTable[[#This Row],[Extra Initial]],0)</f>
        <v>0</v>
      </c>
      <c r="G53" s="150" t="s">
        <v>1862</v>
      </c>
      <c r="H53" s="150" t="s">
        <v>1863</v>
      </c>
      <c r="I53" s="150" t="s">
        <v>1864</v>
      </c>
      <c r="J53" s="150"/>
      <c r="K53" s="150">
        <v>4.95</v>
      </c>
      <c r="L53" s="150" t="s">
        <v>1896</v>
      </c>
      <c r="M53" s="150"/>
      <c r="N53" s="154">
        <f>MouserListTable[[#This Row],['# Initial]]*MouserListTable[[#This Row],[Price (USD)]]</f>
        <v>0</v>
      </c>
      <c r="O53" s="150" t="s">
        <v>1849</v>
      </c>
      <c r="P53" s="150">
        <f t="shared" si="0"/>
        <v>40</v>
      </c>
      <c r="Q53" s="150" t="s">
        <v>5</v>
      </c>
      <c r="R5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474-CAB-00509</v>
      </c>
      <c r="S53" s="157" t="str">
        <f>HYPERLINK("https://www.mouser.com/ProductDetail/" &amp;MouserListTable[[#This Row],[Mouser SKU]])</f>
        <v>https://www.mouser.com/ProductDetail/474-CAB-00509</v>
      </c>
      <c r="T53" s="152">
        <v>0</v>
      </c>
      <c r="U53" s="152">
        <v>0</v>
      </c>
      <c r="V53" s="152">
        <v>0</v>
      </c>
      <c r="W53" s="152">
        <f>MouserListTable[[#This Row],['#/Unit]]*FilterSpecs!$C$3+MouserListTable[[#This Row],[Extra]]</f>
        <v>0</v>
      </c>
      <c r="X53" s="152">
        <f>IF(MouserListTable[[#This Row],[Tag]]=FilterSpecs!$F$7,MouserListTable[[#This Row],['#/Unit]]*MouserListTable[[#This Row],[Price (USD)]],0)</f>
        <v>0</v>
      </c>
      <c r="Y53" s="152">
        <f>MouserListTable[[#This Row],[Tot '#]]*MouserListTable[[#This Row],[Price (USD)]]</f>
        <v>0</v>
      </c>
      <c r="Z53" s="146"/>
      <c r="AA53" s="153" t="str">
        <f>InitialOrderTable[[#This Row],[SKU]]</f>
        <v>474-CAB-00509</v>
      </c>
      <c r="AB53" s="153">
        <f>VALUE(InitialOrderTable[[#This Row],['# Initial]])</f>
        <v>0</v>
      </c>
      <c r="AD53" s="153">
        <v>716</v>
      </c>
      <c r="AF53" s="153">
        <v>5</v>
      </c>
      <c r="AK53" s="146" t="e">
        <f ca="1">[1]!nonzeroQtys($AE$13,AD53)</f>
        <v>#NAME?</v>
      </c>
    </row>
    <row r="54" spans="1:37" s="153" customFormat="1" x14ac:dyDescent="0.25">
      <c r="A54" s="150" t="s">
        <v>887</v>
      </c>
      <c r="B54" s="150" t="s">
        <v>1882</v>
      </c>
      <c r="C54" s="150" t="s">
        <v>5</v>
      </c>
      <c r="D54" s="151" t="str">
        <f>IF(MouserListTable[[#This Row],[Vendor]]=FilterSpecs!$A$8,MouserListTable[[#This Row],[Mouser SKU]], MouserListTable[[#This Row],[Supplier SKU]])</f>
        <v>474-CAB-00506</v>
      </c>
      <c r="E54" s="152">
        <f>MouserListTable[[#This Row],[Tot '#]]-MouserListTable[[#This Row],['# Initial]]</f>
        <v>0</v>
      </c>
      <c r="F54" s="152">
        <f>IF(AND(MouserListTable[[#This Row],[Tag]]&lt;&gt;FilterSpecs!$F$12, MouserListTable[[#This Row],[Tag]]&lt;&gt;FilterSpecs!$F$9), MouserListTable[[#This Row],['#/Unit]]*FilterSpecs!$B$3+MouserListTable[[#This Row],[Extra Initial]],0)</f>
        <v>0</v>
      </c>
      <c r="G54" s="150" t="s">
        <v>1854</v>
      </c>
      <c r="H54" s="150" t="s">
        <v>1855</v>
      </c>
      <c r="I54" s="150" t="s">
        <v>1856</v>
      </c>
      <c r="J54" s="150"/>
      <c r="K54" s="150">
        <v>4.95</v>
      </c>
      <c r="L54" s="150" t="s">
        <v>1896</v>
      </c>
      <c r="M54" s="150"/>
      <c r="N54" s="154">
        <f>MouserListTable[[#This Row],['# Initial]]*MouserListTable[[#This Row],[Price (USD)]]</f>
        <v>0</v>
      </c>
      <c r="O54" s="150" t="s">
        <v>1853</v>
      </c>
      <c r="P54" s="150">
        <f t="shared" si="0"/>
        <v>41</v>
      </c>
      <c r="Q54" s="150" t="s">
        <v>5</v>
      </c>
      <c r="R5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474-CAB-00506</v>
      </c>
      <c r="S54" s="157" t="str">
        <f>HYPERLINK("https://www.mouser.com/ProductDetail/" &amp;MouserListTable[[#This Row],[Mouser SKU]])</f>
        <v>https://www.mouser.com/ProductDetail/474-CAB-00506</v>
      </c>
      <c r="T54" s="152">
        <v>0</v>
      </c>
      <c r="U54" s="152">
        <v>0</v>
      </c>
      <c r="V54" s="152">
        <v>0</v>
      </c>
      <c r="W54" s="152">
        <f>MouserListTable[[#This Row],['#/Unit]]*FilterSpecs!$C$3+MouserListTable[[#This Row],[Extra]]</f>
        <v>0</v>
      </c>
      <c r="X54" s="152">
        <f>IF(MouserListTable[[#This Row],[Tag]]=FilterSpecs!$F$7,MouserListTable[[#This Row],['#/Unit]]*MouserListTable[[#This Row],[Price (USD)]],0)</f>
        <v>0</v>
      </c>
      <c r="Y54" s="152">
        <f>MouserListTable[[#This Row],[Tot '#]]*MouserListTable[[#This Row],[Price (USD)]]</f>
        <v>0</v>
      </c>
      <c r="Z54" s="146"/>
      <c r="AA54" s="153" t="str">
        <f>InitialOrderTable[[#This Row],[SKU]]</f>
        <v>474-CAB-00506</v>
      </c>
      <c r="AB54" s="153">
        <f>VALUE(InitialOrderTable[[#This Row],['# Initial]])</f>
        <v>0</v>
      </c>
      <c r="AD54" s="153" t="s">
        <v>2348</v>
      </c>
      <c r="AF54" s="153">
        <v>5</v>
      </c>
      <c r="AK54" s="146" t="e">
        <f ca="1">[1]!nonzeroQtys($AE$13,AD54)</f>
        <v>#NAME?</v>
      </c>
    </row>
    <row r="55" spans="1:37" s="153" customFormat="1" x14ac:dyDescent="0.25">
      <c r="A55" s="150" t="s">
        <v>887</v>
      </c>
      <c r="B55" s="150" t="s">
        <v>1882</v>
      </c>
      <c r="C55" s="150" t="s">
        <v>5</v>
      </c>
      <c r="D55" s="151" t="str">
        <f>IF(MouserListTable[[#This Row],[Vendor]]=FilterSpecs!$A$8,MouserListTable[[#This Row],[Mouser SKU]], MouserListTable[[#This Row],[Supplier SKU]])</f>
        <v>474-CAB-09486</v>
      </c>
      <c r="E55" s="152">
        <f>MouserListTable[[#This Row],[Tot '#]]-MouserListTable[[#This Row],['# Initial]]</f>
        <v>0</v>
      </c>
      <c r="F55" s="152">
        <f>IF(AND(MouserListTable[[#This Row],[Tag]]&lt;&gt;FilterSpecs!$F$12, MouserListTable[[#This Row],[Tag]]&lt;&gt;FilterSpecs!$F$9), MouserListTable[[#This Row],['#/Unit]]*FilterSpecs!$B$3+MouserListTable[[#This Row],[Extra Initial]],0)</f>
        <v>0</v>
      </c>
      <c r="G55" s="150" t="s">
        <v>1858</v>
      </c>
      <c r="H55" s="150" t="s">
        <v>1859</v>
      </c>
      <c r="I55" s="150" t="s">
        <v>1860</v>
      </c>
      <c r="J55" s="150">
        <v>1</v>
      </c>
      <c r="K55" s="150">
        <v>14.95</v>
      </c>
      <c r="L55" s="150" t="s">
        <v>1896</v>
      </c>
      <c r="M55" s="150"/>
      <c r="N55" s="154">
        <f>MouserListTable[[#This Row],['# Initial]]*MouserListTable[[#This Row],[Price (USD)]]</f>
        <v>0</v>
      </c>
      <c r="O55" s="150" t="s">
        <v>1857</v>
      </c>
      <c r="P55" s="150">
        <f t="shared" si="0"/>
        <v>42</v>
      </c>
      <c r="Q55" s="150" t="s">
        <v>5</v>
      </c>
      <c r="R5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474-CAB-09486</v>
      </c>
      <c r="S55" s="157" t="str">
        <f>HYPERLINK("https://www.mouser.com/ProductDetail/" &amp;MouserListTable[[#This Row],[Mouser SKU]])</f>
        <v>https://www.mouser.com/ProductDetail/474-CAB-09486</v>
      </c>
      <c r="T55" s="152">
        <v>0</v>
      </c>
      <c r="U55" s="152">
        <v>0</v>
      </c>
      <c r="V55" s="152">
        <v>0</v>
      </c>
      <c r="W55" s="152">
        <f>MouserListTable[[#This Row],['#/Unit]]*FilterSpecs!$C$3+MouserListTable[[#This Row],[Extra]]</f>
        <v>0</v>
      </c>
      <c r="X55" s="152">
        <f>IF(MouserListTable[[#This Row],[Tag]]=FilterSpecs!$F$7,MouserListTable[[#This Row],['#/Unit]]*MouserListTable[[#This Row],[Price (USD)]],0)</f>
        <v>0</v>
      </c>
      <c r="Y55" s="152">
        <f>MouserListTable[[#This Row],[Tot '#]]*MouserListTable[[#This Row],[Price (USD)]]</f>
        <v>0</v>
      </c>
      <c r="Z55" s="146"/>
      <c r="AA55" s="153" t="str">
        <f>InitialOrderTable[[#This Row],[SKU]]</f>
        <v>474-CAB-09486</v>
      </c>
      <c r="AB55" s="153">
        <f>VALUE(InitialOrderTable[[#This Row],['# Initial]])</f>
        <v>0</v>
      </c>
      <c r="AD55" s="153">
        <v>2649</v>
      </c>
      <c r="AF55" s="153">
        <v>5</v>
      </c>
      <c r="AK55" s="146" t="e">
        <f ca="1">[1]!nonzeroQtys($AE$13,AD55)</f>
        <v>#NAME?</v>
      </c>
    </row>
    <row r="56" spans="1:37" s="104" customFormat="1" x14ac:dyDescent="0.25">
      <c r="A56" s="150" t="s">
        <v>887</v>
      </c>
      <c r="B56" s="150" t="s">
        <v>1882</v>
      </c>
      <c r="C56" s="150" t="s">
        <v>5</v>
      </c>
      <c r="D56" s="151" t="str">
        <f>IF(MouserListTable[[#This Row],[Vendor]]=FilterSpecs!$A$8,MouserListTable[[#This Row],[Mouser SKU]], MouserListTable[[#This Row],[Supplier SKU]])</f>
        <v>474-DEV-11643</v>
      </c>
      <c r="E56" s="152">
        <f>MouserListTable[[#This Row],[Tot '#]]-MouserListTable[[#This Row],['# Initial]]</f>
        <v>1</v>
      </c>
      <c r="F56" s="152">
        <f>IF(AND(MouserListTable[[#This Row],[Tag]]&lt;&gt;FilterSpecs!$F$12, MouserListTable[[#This Row],[Tag]]&lt;&gt;FilterSpecs!$F$13, MouserListTable[[#This Row],[Tag]]&lt;&gt;FilterSpecs!$F$9), MouserListTable[[#This Row],['#/Unit]]*FilterSpecs!$B$3+MouserListTable[[#This Row],[Extra Initial]],0)</f>
        <v>0</v>
      </c>
      <c r="G56" s="150" t="s">
        <v>326</v>
      </c>
      <c r="H56" s="150" t="s">
        <v>327</v>
      </c>
      <c r="I56" s="150" t="s">
        <v>328</v>
      </c>
      <c r="J56" s="150">
        <v>1</v>
      </c>
      <c r="K56" s="150">
        <v>54.95</v>
      </c>
      <c r="L56" s="150" t="s">
        <v>2464</v>
      </c>
      <c r="M56" s="150"/>
      <c r="N56" s="154">
        <f>MouserListTable[[#This Row],['# Initial]]*MouserListTable[[#This Row],[Price (USD)]]</f>
        <v>0</v>
      </c>
      <c r="O56" s="150" t="s">
        <v>325</v>
      </c>
      <c r="P56" s="150">
        <f t="shared" si="0"/>
        <v>43</v>
      </c>
      <c r="Q56" s="150" t="s">
        <v>5</v>
      </c>
      <c r="R5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474-DEV-11643</v>
      </c>
      <c r="S56" s="157" t="str">
        <f>HYPERLINK("https://www.mouser.com/ProductDetail/" &amp;MouserListTable[[#This Row],[Mouser SKU]])</f>
        <v>https://www.mouser.com/ProductDetail/474-DEV-11643</v>
      </c>
      <c r="T56" s="152">
        <v>0</v>
      </c>
      <c r="U56" s="152">
        <v>1</v>
      </c>
      <c r="V56" s="152">
        <v>1</v>
      </c>
      <c r="W56" s="152">
        <f>MouserListTable[[#This Row],['#/Unit]]*FilterSpecs!$C$3+MouserListTable[[#This Row],[Extra]]</f>
        <v>1</v>
      </c>
      <c r="X56" s="152">
        <f>IF(MouserListTable[[#This Row],[Tag]]=FilterSpecs!$F$7,MouserListTable[[#This Row],['#/Unit]]*MouserListTable[[#This Row],[Price (USD)]],0)</f>
        <v>0</v>
      </c>
      <c r="Y56" s="152">
        <f>MouserListTable[[#This Row],[Tot '#]]*MouserListTable[[#This Row],[Price (USD)]]</f>
        <v>54.95</v>
      </c>
      <c r="Z56" s="146"/>
      <c r="AA56" s="153" t="str">
        <f>InitialOrderTable[[#This Row],[SKU]]</f>
        <v>474-DEV-11643</v>
      </c>
      <c r="AB56" s="153">
        <f>VALUE(InitialOrderTable[[#This Row],['# Initial]])</f>
        <v>0</v>
      </c>
      <c r="AD56" s="104" t="s">
        <v>2511</v>
      </c>
      <c r="AF56" s="104">
        <v>5</v>
      </c>
      <c r="AK56" s="146" t="e">
        <f ca="1">[1]!nonzeroQtys($AE$13,AD56)</f>
        <v>#NAME?</v>
      </c>
    </row>
    <row r="57" spans="1:37" s="104" customFormat="1" x14ac:dyDescent="0.25">
      <c r="A57" s="150" t="s">
        <v>887</v>
      </c>
      <c r="B57" s="150" t="s">
        <v>1882</v>
      </c>
      <c r="C57" s="150" t="s">
        <v>1884</v>
      </c>
      <c r="D57" s="151" t="str">
        <f>IF(MouserListTable[[#This Row],[Vendor]]=FilterSpecs!$A$8,MouserListTable[[#This Row],[Mouser SKU]], MouserListTable[[#This Row],[Supplier SKU]])</f>
        <v>485-1969</v>
      </c>
      <c r="E57" s="152">
        <f>MouserListTable[[#This Row],[Tot '#]]-MouserListTable[[#This Row],['# Initial]]</f>
        <v>0</v>
      </c>
      <c r="F57" s="152">
        <f>IF(AND(MouserListTable[[#This Row],[Tag]]&lt;&gt;FilterSpecs!$F$12, MouserListTable[[#This Row],[Tag]]&lt;&gt;FilterSpecs!$F$9), MouserListTable[[#This Row],['#/Unit]]*FilterSpecs!$B$3+MouserListTable[[#This Row],[Extra Initial]],0)</f>
        <v>1</v>
      </c>
      <c r="G57" s="150"/>
      <c r="H57" s="150"/>
      <c r="I57" s="150" t="s">
        <v>2053</v>
      </c>
      <c r="J57" s="150"/>
      <c r="K57" s="150">
        <v>2.95</v>
      </c>
      <c r="L57" s="150" t="s">
        <v>1896</v>
      </c>
      <c r="M57" s="150"/>
      <c r="N57" s="154">
        <f>MouserListTable[[#This Row],['# Initial]]*MouserListTable[[#This Row],[Price (USD)]]</f>
        <v>2.95</v>
      </c>
      <c r="O57" s="150" t="s">
        <v>2054</v>
      </c>
      <c r="P57" s="150">
        <f t="shared" si="0"/>
        <v>44</v>
      </c>
      <c r="Q57" s="150" t="s">
        <v>1884</v>
      </c>
      <c r="R5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485-1969</v>
      </c>
      <c r="S57" s="157" t="str">
        <f>HYPERLINK("https://www.mouser.com/ProductDetail/" &amp;MouserListTable[[#This Row],[Mouser SKU]])</f>
        <v>https://www.mouser.com/ProductDetail/485-1969</v>
      </c>
      <c r="T57" s="152">
        <v>0</v>
      </c>
      <c r="U57" s="152">
        <v>1</v>
      </c>
      <c r="V57" s="152">
        <v>1</v>
      </c>
      <c r="W57" s="152">
        <f>MouserListTable[[#This Row],['#/Unit]]*FilterSpecs!$C$3+MouserListTable[[#This Row],[Extra]]</f>
        <v>1</v>
      </c>
      <c r="X57" s="152">
        <f>IF(MouserListTable[[#This Row],[Tag]]=FilterSpecs!$F$7,MouserListTable[[#This Row],['#/Unit]]*MouserListTable[[#This Row],[Price (USD)]],0)</f>
        <v>0</v>
      </c>
      <c r="Y57" s="152">
        <f>MouserListTable[[#This Row],[Tot '#]]*MouserListTable[[#This Row],[Price (USD)]]</f>
        <v>2.95</v>
      </c>
      <c r="Z57" s="146"/>
      <c r="AA57" s="153" t="str">
        <f>InitialOrderTable[[#This Row],[SKU]]</f>
        <v>485-1969</v>
      </c>
      <c r="AB57" s="153">
        <f>VALUE(InitialOrderTable[[#This Row],['# Initial]])</f>
        <v>1</v>
      </c>
      <c r="AD57" s="104" t="s">
        <v>2515</v>
      </c>
      <c r="AF57" s="104">
        <v>5</v>
      </c>
      <c r="AK57" s="146" t="e">
        <f ca="1">[1]!nonzeroQtys($AE$13,AD57)</f>
        <v>#NAME?</v>
      </c>
    </row>
    <row r="58" spans="1:37" s="153" customFormat="1" x14ac:dyDescent="0.25">
      <c r="A58" s="150" t="s">
        <v>887</v>
      </c>
      <c r="B58" s="150" t="s">
        <v>1882</v>
      </c>
      <c r="C58" s="150" t="s">
        <v>5</v>
      </c>
      <c r="D58" s="151" t="str">
        <f>IF(MouserListTable[[#This Row],[Vendor]]=FilterSpecs!$A$8,MouserListTable[[#This Row],[Mouser SKU]], MouserListTable[[#This Row],[Supplier SKU]])</f>
        <v>474-TOL-10829</v>
      </c>
      <c r="E58" s="152">
        <f>MouserListTable[[#This Row],[Tot '#]]-MouserListTable[[#This Row],['# Initial]]</f>
        <v>0</v>
      </c>
      <c r="F58" s="152">
        <f>IF(AND(MouserListTable[[#This Row],[Tag]]&lt;&gt;FilterSpecs!$F$12, MouserListTable[[#This Row],[Tag]]&lt;&gt;FilterSpecs!$F$9), MouserListTable[[#This Row],['#/Unit]]*FilterSpecs!$B$3+MouserListTable[[#This Row],[Extra Initial]],0)</f>
        <v>0</v>
      </c>
      <c r="G58" s="150" t="s">
        <v>1866</v>
      </c>
      <c r="H58" s="150" t="s">
        <v>1867</v>
      </c>
      <c r="I58" s="150" t="s">
        <v>1868</v>
      </c>
      <c r="J58" s="150"/>
      <c r="K58" s="150">
        <v>27.95</v>
      </c>
      <c r="L58" s="150" t="s">
        <v>1896</v>
      </c>
      <c r="M58" s="150"/>
      <c r="N58" s="154">
        <f>MouserListTable[[#This Row],['# Initial]]*MouserListTable[[#This Row],[Price (USD)]]</f>
        <v>0</v>
      </c>
      <c r="O58" s="150" t="s">
        <v>1865</v>
      </c>
      <c r="P58" s="150">
        <f t="shared" si="0"/>
        <v>45</v>
      </c>
      <c r="Q58" s="150" t="s">
        <v>5</v>
      </c>
      <c r="R5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474-TOL-10829</v>
      </c>
      <c r="S58" s="157" t="str">
        <f>HYPERLINK("https://www.mouser.com/ProductDetail/" &amp;MouserListTable[[#This Row],[Mouser SKU]])</f>
        <v>https://www.mouser.com/ProductDetail/474-TOL-10829</v>
      </c>
      <c r="T58" s="152">
        <v>0</v>
      </c>
      <c r="U58" s="152">
        <v>0</v>
      </c>
      <c r="V58" s="152">
        <v>0</v>
      </c>
      <c r="W58" s="152">
        <f>MouserListTable[[#This Row],['#/Unit]]*FilterSpecs!$C$3+MouserListTable[[#This Row],[Extra]]</f>
        <v>0</v>
      </c>
      <c r="X58" s="152">
        <f>IF(MouserListTable[[#This Row],[Tag]]=FilterSpecs!$F$7,MouserListTable[[#This Row],['#/Unit]]*MouserListTable[[#This Row],[Price (USD)]],0)</f>
        <v>0</v>
      </c>
      <c r="Y58" s="152">
        <f>MouserListTable[[#This Row],[Tot '#]]*MouserListTable[[#This Row],[Price (USD)]]</f>
        <v>0</v>
      </c>
      <c r="Z58" s="146"/>
      <c r="AA58" s="153" t="str">
        <f>InitialOrderTable[[#This Row],[SKU]]</f>
        <v>474-TOL-10829</v>
      </c>
      <c r="AB58" s="153">
        <f>VALUE(InitialOrderTable[[#This Row],['# Initial]])</f>
        <v>0</v>
      </c>
      <c r="AD58" s="153" t="s">
        <v>257</v>
      </c>
      <c r="AF58" s="153">
        <v>15</v>
      </c>
      <c r="AK58" s="146" t="e">
        <f ca="1">[1]!nonzeroQtys($AE$13,AD58)</f>
        <v>#NAME?</v>
      </c>
    </row>
    <row r="59" spans="1:37" s="153" customFormat="1" x14ac:dyDescent="0.25">
      <c r="A59" s="150" t="s">
        <v>887</v>
      </c>
      <c r="B59" s="150" t="s">
        <v>1882</v>
      </c>
      <c r="C59" s="150" t="s">
        <v>5</v>
      </c>
      <c r="D59" s="151" t="str">
        <f>IF(MouserListTable[[#This Row],[Vendor]]=FilterSpecs!$A$8,MouserListTable[[#This Row],[Mouser SKU]], MouserListTable[[#This Row],[Supplier SKU]])</f>
        <v>474-BOB-10160</v>
      </c>
      <c r="E59" s="152">
        <f>MouserListTable[[#This Row],[Tot '#]]-MouserListTable[[#This Row],['# Initial]]</f>
        <v>1</v>
      </c>
      <c r="F59" s="152">
        <f>IF(AND(MouserListTable[[#This Row],[Tag]]&lt;&gt;FilterSpecs!$F$12, MouserListTable[[#This Row],[Tag]]&lt;&gt;FilterSpecs!$F$9), MouserListTable[[#This Row],['#/Unit]]*FilterSpecs!$B$3+MouserListTable[[#This Row],[Extra Initial]],0)</f>
        <v>0</v>
      </c>
      <c r="G59" s="150" t="s">
        <v>918</v>
      </c>
      <c r="H59" s="150" t="s">
        <v>919</v>
      </c>
      <c r="I59" s="150" t="s">
        <v>920</v>
      </c>
      <c r="J59" s="153">
        <v>1</v>
      </c>
      <c r="K59" s="154">
        <v>19.95</v>
      </c>
      <c r="L59" s="150" t="s">
        <v>1900</v>
      </c>
      <c r="M59" s="151"/>
      <c r="N59" s="154">
        <f>MouserListTable[[#This Row],['# Initial]]*MouserListTable[[#This Row],[Price (USD)]]</f>
        <v>0</v>
      </c>
      <c r="O59" s="151" t="s">
        <v>917</v>
      </c>
      <c r="P59" s="150">
        <f t="shared" si="0"/>
        <v>46</v>
      </c>
      <c r="Q59" s="150" t="s">
        <v>5</v>
      </c>
      <c r="R5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474-BOB-10160</v>
      </c>
      <c r="S59" s="157" t="str">
        <f>HYPERLINK("https://www.mouser.com/ProductDetail/" &amp;MouserListTable[[#This Row],[Mouser SKU]])</f>
        <v>https://www.mouser.com/ProductDetail/474-BOB-10160</v>
      </c>
      <c r="T59" s="152">
        <v>0</v>
      </c>
      <c r="U59" s="152">
        <v>1</v>
      </c>
      <c r="V59" s="152">
        <v>0</v>
      </c>
      <c r="W59" s="152">
        <f>MouserListTable[[#This Row],['#/Unit]]*FilterSpecs!$C$3+MouserListTable[[#This Row],[Extra]]</f>
        <v>1</v>
      </c>
      <c r="X59" s="152">
        <f>IF(MouserListTable[[#This Row],[Tag]]=FilterSpecs!$F$7,MouserListTable[[#This Row],['#/Unit]]*MouserListTable[[#This Row],[Price (USD)]],0)</f>
        <v>0</v>
      </c>
      <c r="Y59" s="152">
        <f>MouserListTable[[#This Row],[Tot '#]]*MouserListTable[[#This Row],[Price (USD)]]</f>
        <v>19.95</v>
      </c>
      <c r="Z59" s="146"/>
      <c r="AA59" s="153" t="str">
        <f>InitialOrderTable[[#This Row],[SKU]]</f>
        <v>474-BOB-10160</v>
      </c>
      <c r="AB59" s="153">
        <f>VALUE(InitialOrderTable[[#This Row],['# Initial]])</f>
        <v>0</v>
      </c>
      <c r="AD59" s="153" t="s">
        <v>286</v>
      </c>
      <c r="AF59" s="153">
        <v>5</v>
      </c>
      <c r="AK59" s="146" t="e">
        <f ca="1">[1]!nonzeroQtys($AE$13,AD59)</f>
        <v>#NAME?</v>
      </c>
    </row>
    <row r="60" spans="1:37" s="153" customFormat="1" x14ac:dyDescent="0.25">
      <c r="A60" s="150" t="s">
        <v>887</v>
      </c>
      <c r="B60" s="150" t="s">
        <v>2007</v>
      </c>
      <c r="C60" s="150" t="s">
        <v>5</v>
      </c>
      <c r="D60" s="151" t="str">
        <f>IF(MouserListTable[[#This Row],[Vendor]]=FilterSpecs!$A$8,MouserListTable[[#This Row],[Mouser SKU]], MouserListTable[[#This Row],[Supplier SKU]])</f>
        <v>474-COM-12014</v>
      </c>
      <c r="E60" s="152">
        <f>MouserListTable[[#This Row],[Tot '#]]-MouserListTable[[#This Row],['# Initial]]</f>
        <v>1</v>
      </c>
      <c r="F60" s="152">
        <f>IF(AND(MouserListTable[[#This Row],[Tag]]&lt;&gt;FilterSpecs!$F$12, MouserListTable[[#This Row],[Tag]]&lt;&gt;FilterSpecs!$F$9), MouserListTable[[#This Row],['#/Unit]]*FilterSpecs!$B$3+MouserListTable[[#This Row],[Extra Initial]],0)</f>
        <v>0</v>
      </c>
      <c r="G60" s="150" t="s">
        <v>1129</v>
      </c>
      <c r="H60" s="150" t="s">
        <v>1130</v>
      </c>
      <c r="I60" s="150" t="s">
        <v>1131</v>
      </c>
      <c r="J60" s="150">
        <v>1</v>
      </c>
      <c r="K60" s="154">
        <v>3.95</v>
      </c>
      <c r="L60" s="150" t="s">
        <v>1896</v>
      </c>
      <c r="M60" s="151"/>
      <c r="N60" s="154">
        <f>MouserListTable[[#This Row],['# Initial]]*MouserListTable[[#This Row],[Price (USD)]]</f>
        <v>0</v>
      </c>
      <c r="O60" s="151" t="s">
        <v>1128</v>
      </c>
      <c r="P60" s="150">
        <f t="shared" si="0"/>
        <v>47</v>
      </c>
      <c r="Q60" s="150" t="s">
        <v>5</v>
      </c>
      <c r="R6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474-COM-12014</v>
      </c>
      <c r="S60" s="157" t="str">
        <f>HYPERLINK("https://www.mouser.com/ProductDetail/" &amp;MouserListTable[[#This Row],[Mouser SKU]])</f>
        <v>https://www.mouser.com/ProductDetail/474-COM-12014</v>
      </c>
      <c r="T60" s="152">
        <v>0</v>
      </c>
      <c r="U60" s="152">
        <v>1</v>
      </c>
      <c r="V60" s="152">
        <v>0</v>
      </c>
      <c r="W60" s="152">
        <f>MouserListTable[[#This Row],['#/Unit]]*FilterSpecs!$C$3+MouserListTable[[#This Row],[Extra]]</f>
        <v>1</v>
      </c>
      <c r="X60" s="152">
        <f>IF(MouserListTable[[#This Row],[Tag]]=FilterSpecs!$F$7,MouserListTable[[#This Row],['#/Unit]]*MouserListTable[[#This Row],[Price (USD)]],0)</f>
        <v>0</v>
      </c>
      <c r="Y60" s="152">
        <f>MouserListTable[[#This Row],[Tot '#]]*MouserListTable[[#This Row],[Price (USD)]]</f>
        <v>3.95</v>
      </c>
      <c r="Z60" s="146"/>
      <c r="AA60" s="153" t="str">
        <f>InitialOrderTable[[#This Row],[SKU]]</f>
        <v>474-COM-12014</v>
      </c>
      <c r="AB60" s="153">
        <f>VALUE(InitialOrderTable[[#This Row],['# Initial]])</f>
        <v>0</v>
      </c>
      <c r="AD60" s="153" t="s">
        <v>290</v>
      </c>
      <c r="AF60" s="153">
        <v>5</v>
      </c>
      <c r="AK60" s="146" t="e">
        <f ca="1">[1]!nonzeroQtys($AE$13,AD60)</f>
        <v>#NAME?</v>
      </c>
    </row>
    <row r="61" spans="1:37" s="153" customFormat="1" x14ac:dyDescent="0.25">
      <c r="A61" s="150" t="s">
        <v>887</v>
      </c>
      <c r="B61" s="150" t="s">
        <v>2007</v>
      </c>
      <c r="C61" s="150" t="s">
        <v>5</v>
      </c>
      <c r="D61" s="151" t="str">
        <f>IF(MouserListTable[[#This Row],[Vendor]]=FilterSpecs!$A$8,MouserListTable[[#This Row],[Mouser SKU]], MouserListTable[[#This Row],[Supplier SKU]])</f>
        <v>474-COM-11408</v>
      </c>
      <c r="E61" s="152">
        <f>MouserListTable[[#This Row],[Tot '#]]-MouserListTable[[#This Row],['# Initial]]</f>
        <v>1</v>
      </c>
      <c r="F61" s="152">
        <f>IF(AND(MouserListTable[[#This Row],[Tag]]&lt;&gt;FilterSpecs!$F$12, MouserListTable[[#This Row],[Tag]]&lt;&gt;FilterSpecs!$F$9), MouserListTable[[#This Row],['#/Unit]]*FilterSpecs!$B$3+MouserListTable[[#This Row],[Extra Initial]],0)</f>
        <v>0</v>
      </c>
      <c r="G61" s="150" t="s">
        <v>1716</v>
      </c>
      <c r="H61" s="150" t="s">
        <v>1717</v>
      </c>
      <c r="I61" s="150" t="s">
        <v>1718</v>
      </c>
      <c r="J61" s="150">
        <v>1</v>
      </c>
      <c r="K61" s="154">
        <v>2.95</v>
      </c>
      <c r="L61" s="150" t="s">
        <v>1896</v>
      </c>
      <c r="M61" s="151"/>
      <c r="N61" s="154">
        <f>MouserListTable[[#This Row],['# Initial]]*MouserListTable[[#This Row],[Price (USD)]]</f>
        <v>0</v>
      </c>
      <c r="O61" s="151" t="s">
        <v>1715</v>
      </c>
      <c r="P61" s="150">
        <f t="shared" si="0"/>
        <v>48</v>
      </c>
      <c r="Q61" s="150" t="s">
        <v>5</v>
      </c>
      <c r="R6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474-COM-11408</v>
      </c>
      <c r="S61" s="157" t="str">
        <f>HYPERLINK("https://www.mouser.com/ProductDetail/" &amp;MouserListTable[[#This Row],[Mouser SKU]])</f>
        <v>https://www.mouser.com/ProductDetail/474-COM-11408</v>
      </c>
      <c r="T61" s="152">
        <v>0</v>
      </c>
      <c r="U61" s="152">
        <v>1</v>
      </c>
      <c r="V61" s="152">
        <v>0</v>
      </c>
      <c r="W61" s="152">
        <f>MouserListTable[[#This Row],['#/Unit]]*FilterSpecs!$C$3+MouserListTable[[#This Row],[Extra]]</f>
        <v>1</v>
      </c>
      <c r="X61" s="152">
        <f>IF(MouserListTable[[#This Row],[Tag]]=FilterSpecs!$F$7,MouserListTable[[#This Row],['#/Unit]]*MouserListTable[[#This Row],[Price (USD)]],0)</f>
        <v>0</v>
      </c>
      <c r="Y61" s="152">
        <f>MouserListTable[[#This Row],[Tot '#]]*MouserListTable[[#This Row],[Price (USD)]]</f>
        <v>2.95</v>
      </c>
      <c r="Z61" s="146"/>
      <c r="AA61" s="153" t="str">
        <f>InitialOrderTable[[#This Row],[SKU]]</f>
        <v>474-COM-11408</v>
      </c>
      <c r="AB61" s="153">
        <f>VALUE(InitialOrderTable[[#This Row],['# Initial]])</f>
        <v>0</v>
      </c>
      <c r="AD61" s="153" t="s">
        <v>337</v>
      </c>
      <c r="AF61" s="153">
        <v>5</v>
      </c>
      <c r="AK61" s="146" t="e">
        <f ca="1">[1]!nonzeroQtys($AE$13,AD61)</f>
        <v>#NAME?</v>
      </c>
    </row>
    <row r="62" spans="1:37" s="104" customFormat="1" x14ac:dyDescent="0.25">
      <c r="A62" s="150" t="s">
        <v>887</v>
      </c>
      <c r="B62" s="150" t="s">
        <v>2007</v>
      </c>
      <c r="C62" s="150" t="s">
        <v>5</v>
      </c>
      <c r="D62" s="151" t="str">
        <f>IF(MouserListTable[[#This Row],[Vendor]]=FilterSpecs!$A$8,MouserListTable[[#This Row],[Mouser SKU]], MouserListTable[[#This Row],[Supplier SKU]])</f>
        <v>474-COM-13999</v>
      </c>
      <c r="E62" s="152">
        <f>MouserListTable[[#This Row],[Tot '#]]-MouserListTable[[#This Row],['# Initial]]</f>
        <v>1</v>
      </c>
      <c r="F62" s="152">
        <f>IF(AND(MouserListTable[[#This Row],[Tag]]&lt;&gt;FilterSpecs!$F$12, MouserListTable[[#This Row],[Tag]]&lt;&gt;FilterSpecs!$F$9), MouserListTable[[#This Row],['#/Unit]]*FilterSpecs!$B$3+MouserListTable[[#This Row],[Extra Initial]],0)</f>
        <v>0</v>
      </c>
      <c r="G62" s="150" t="s">
        <v>1660</v>
      </c>
      <c r="H62" s="150" t="s">
        <v>1661</v>
      </c>
      <c r="I62" s="150" t="s">
        <v>1662</v>
      </c>
      <c r="J62" s="150"/>
      <c r="K62" s="154">
        <v>3.95</v>
      </c>
      <c r="L62" s="150" t="s">
        <v>2461</v>
      </c>
      <c r="M62" s="151"/>
      <c r="N62" s="154">
        <f>MouserListTable[[#This Row],['# Initial]]*MouserListTable[[#This Row],[Price (USD)]]</f>
        <v>0</v>
      </c>
      <c r="O62" s="151" t="s">
        <v>1659</v>
      </c>
      <c r="P62" s="150">
        <f t="shared" si="0"/>
        <v>49</v>
      </c>
      <c r="Q62" s="150" t="s">
        <v>5</v>
      </c>
      <c r="R6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474-COM-13999</v>
      </c>
      <c r="S62" s="157" t="str">
        <f>HYPERLINK("https://www.mouser.com/ProductDetail/" &amp;MouserListTable[[#This Row],[Mouser SKU]])</f>
        <v>https://www.mouser.com/ProductDetail/474-COM-13999</v>
      </c>
      <c r="T62" s="152">
        <v>0</v>
      </c>
      <c r="U62" s="152">
        <v>1</v>
      </c>
      <c r="V62" s="152">
        <v>0</v>
      </c>
      <c r="W62" s="152">
        <f>MouserListTable[[#This Row],['#/Unit]]*FilterSpecs!$C$3+MouserListTable[[#This Row],[Extra]]</f>
        <v>1</v>
      </c>
      <c r="X62" s="152">
        <f>IF(MouserListTable[[#This Row],[Tag]]=FilterSpecs!$F$7,MouserListTable[[#This Row],['#/Unit]]*MouserListTable[[#This Row],[Price (USD)]],0)</f>
        <v>0</v>
      </c>
      <c r="Y62" s="152">
        <f>MouserListTable[[#This Row],[Tot '#]]*MouserListTable[[#This Row],[Price (USD)]]</f>
        <v>3.95</v>
      </c>
      <c r="Z62" s="146"/>
      <c r="AA62" s="153" t="str">
        <f>InitialOrderTable[[#This Row],[SKU]]</f>
        <v>474-COM-13999</v>
      </c>
      <c r="AB62" s="153">
        <f>VALUE(InitialOrderTable[[#This Row],['# Initial]])</f>
        <v>0</v>
      </c>
      <c r="AD62" s="104" t="s">
        <v>486</v>
      </c>
      <c r="AF62" s="104">
        <v>5</v>
      </c>
      <c r="AK62" s="146" t="e">
        <f ca="1">[1]!nonzeroQtys($AE$13,AD62)</f>
        <v>#NAME?</v>
      </c>
    </row>
    <row r="63" spans="1:37" s="104" customFormat="1" x14ac:dyDescent="0.25">
      <c r="A63" s="150" t="s">
        <v>887</v>
      </c>
      <c r="B63" s="150" t="s">
        <v>2007</v>
      </c>
      <c r="C63" s="150" t="s">
        <v>5</v>
      </c>
      <c r="D63" s="151" t="str">
        <f>IF(MouserListTable[[#This Row],[Vendor]]=FilterSpecs!$A$8,MouserListTable[[#This Row],[Mouser SKU]], MouserListTable[[#This Row],[Supplier SKU]])</f>
        <v>474-COM-09938</v>
      </c>
      <c r="E63" s="152">
        <f>MouserListTable[[#This Row],[Tot '#]]-MouserListTable[[#This Row],['# Initial]]</f>
        <v>0</v>
      </c>
      <c r="F63" s="152">
        <f>IF(AND(MouserListTable[[#This Row],[Tag]]&lt;&gt;FilterSpecs!$F$12, MouserListTable[[#This Row],[Tag]]&lt;&gt;FilterSpecs!$F$9), MouserListTable[[#This Row],['#/Unit]]*FilterSpecs!$B$3+MouserListTable[[#This Row],[Extra Initial]],0)</f>
        <v>10</v>
      </c>
      <c r="G63" s="150" t="s">
        <v>1433</v>
      </c>
      <c r="H63" s="150" t="s">
        <v>1434</v>
      </c>
      <c r="I63" s="150" t="s">
        <v>1435</v>
      </c>
      <c r="J63" s="150">
        <v>1</v>
      </c>
      <c r="K63" s="154">
        <v>1.95</v>
      </c>
      <c r="L63" s="150" t="s">
        <v>1897</v>
      </c>
      <c r="M63" s="151"/>
      <c r="N63" s="154">
        <f>MouserListTable[[#This Row],['# Initial]]*MouserListTable[[#This Row],[Price (USD)]]</f>
        <v>19.5</v>
      </c>
      <c r="O63" s="151" t="s">
        <v>1432</v>
      </c>
      <c r="P63" s="150">
        <f t="shared" si="0"/>
        <v>50</v>
      </c>
      <c r="Q63" s="150" t="s">
        <v>5</v>
      </c>
      <c r="R6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474-COM-09938</v>
      </c>
      <c r="S63" s="157" t="str">
        <f>HYPERLINK("https://www.mouser.com/ProductDetail/" &amp;MouserListTable[[#This Row],[Mouser SKU]])</f>
        <v>https://www.mouser.com/ProductDetail/474-COM-09938</v>
      </c>
      <c r="T63" s="152">
        <v>2</v>
      </c>
      <c r="U63" s="152">
        <v>0</v>
      </c>
      <c r="V63" s="152">
        <v>0</v>
      </c>
      <c r="W63" s="152">
        <f>MouserListTable[[#This Row],['#/Unit]]*FilterSpecs!$C$3+MouserListTable[[#This Row],[Extra]]</f>
        <v>10</v>
      </c>
      <c r="X63" s="152">
        <f>IF(MouserListTable[[#This Row],[Tag]]=FilterSpecs!$F$7,MouserListTable[[#This Row],['#/Unit]]*MouserListTable[[#This Row],[Price (USD)]],0)</f>
        <v>3.9</v>
      </c>
      <c r="Y63" s="152">
        <f>MouserListTable[[#This Row],[Tot '#]]*MouserListTable[[#This Row],[Price (USD)]]</f>
        <v>19.5</v>
      </c>
      <c r="Z63" s="146"/>
      <c r="AA63" s="153" t="str">
        <f>InitialOrderTable[[#This Row],[SKU]]</f>
        <v>474-COM-09938</v>
      </c>
      <c r="AB63" s="153">
        <f>VALUE(InitialOrderTable[[#This Row],['# Initial]])</f>
        <v>10</v>
      </c>
      <c r="AD63" s="104" t="s">
        <v>489</v>
      </c>
      <c r="AF63" s="104">
        <v>5</v>
      </c>
      <c r="AK63" s="146" t="e">
        <f ca="1">[1]!nonzeroQtys($AE$13,AD63)</f>
        <v>#NAME?</v>
      </c>
    </row>
    <row r="64" spans="1:37" s="104" customFormat="1" x14ac:dyDescent="0.25">
      <c r="A64" s="150" t="s">
        <v>887</v>
      </c>
      <c r="B64" s="150" t="s">
        <v>2007</v>
      </c>
      <c r="C64" s="150" t="s">
        <v>5</v>
      </c>
      <c r="D64" s="151" t="str">
        <f>IF(MouserListTable[[#This Row],[Vendor]]=FilterSpecs!$A$8,MouserListTable[[#This Row],[Mouser SKU]], MouserListTable[[#This Row],[Supplier SKU]])</f>
        <v>474-BOB-13282</v>
      </c>
      <c r="E64" s="152">
        <f>MouserListTable[[#This Row],[Tot '#]]-MouserListTable[[#This Row],['# Initial]]</f>
        <v>2</v>
      </c>
      <c r="F64" s="152">
        <f>IF(AND(MouserListTable[[#This Row],[Tag]]&lt;&gt;FilterSpecs!$F$12, MouserListTable[[#This Row],[Tag]]&lt;&gt;FilterSpecs!$F$9), MouserListTable[[#This Row],['#/Unit]]*FilterSpecs!$B$3+MouserListTable[[#This Row],[Extra Initial]],0)</f>
        <v>0</v>
      </c>
      <c r="G64" s="150" t="s">
        <v>1125</v>
      </c>
      <c r="H64" s="150" t="s">
        <v>1126</v>
      </c>
      <c r="I64" s="150" t="s">
        <v>1127</v>
      </c>
      <c r="J64" s="150">
        <v>1</v>
      </c>
      <c r="K64" s="154">
        <v>2.95</v>
      </c>
      <c r="L64" s="150" t="s">
        <v>1896</v>
      </c>
      <c r="M64" s="151"/>
      <c r="N64" s="154">
        <f>MouserListTable[[#This Row],['# Initial]]*MouserListTable[[#This Row],[Price (USD)]]</f>
        <v>0</v>
      </c>
      <c r="O64" s="151" t="s">
        <v>1124</v>
      </c>
      <c r="P64" s="150">
        <f t="shared" si="0"/>
        <v>51</v>
      </c>
      <c r="Q64" s="150" t="s">
        <v>5</v>
      </c>
      <c r="R6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474-BOB-13282</v>
      </c>
      <c r="S64" s="157" t="str">
        <f>HYPERLINK("https://www.mouser.com/ProductDetail/" &amp;MouserListTable[[#This Row],[Mouser SKU]])</f>
        <v>https://www.mouser.com/ProductDetail/474-BOB-13282</v>
      </c>
      <c r="T64" s="152">
        <v>0</v>
      </c>
      <c r="U64" s="152">
        <v>2</v>
      </c>
      <c r="V64" s="152">
        <v>0</v>
      </c>
      <c r="W64" s="152">
        <f>MouserListTable[[#This Row],['#/Unit]]*FilterSpecs!$C$3+MouserListTable[[#This Row],[Extra]]</f>
        <v>2</v>
      </c>
      <c r="X64" s="152">
        <f>IF(MouserListTable[[#This Row],[Tag]]=FilterSpecs!$F$7,MouserListTable[[#This Row],['#/Unit]]*MouserListTable[[#This Row],[Price (USD)]],0)</f>
        <v>0</v>
      </c>
      <c r="Y64" s="152">
        <f>MouserListTable[[#This Row],[Tot '#]]*MouserListTable[[#This Row],[Price (USD)]]</f>
        <v>5.9</v>
      </c>
      <c r="Z64" s="146"/>
      <c r="AA64" s="153" t="str">
        <f>InitialOrderTable[[#This Row],[SKU]]</f>
        <v>474-BOB-13282</v>
      </c>
      <c r="AB64" s="153">
        <f>VALUE(InitialOrderTable[[#This Row],['# Initial]])</f>
        <v>0</v>
      </c>
      <c r="AD64" s="104" t="s">
        <v>2340</v>
      </c>
      <c r="AF64" s="104">
        <v>5</v>
      </c>
      <c r="AK64" s="146" t="e">
        <f ca="1">[1]!nonzeroQtys($AE$13,AD64)</f>
        <v>#NAME?</v>
      </c>
    </row>
    <row r="65" spans="1:37" s="153" customFormat="1" x14ac:dyDescent="0.25">
      <c r="A65" s="150" t="s">
        <v>887</v>
      </c>
      <c r="B65" s="150" t="s">
        <v>2007</v>
      </c>
      <c r="C65" s="150" t="s">
        <v>5</v>
      </c>
      <c r="D65" s="151" t="str">
        <f>IF(MouserListTable[[#This Row],[Vendor]]=FilterSpecs!$A$8,MouserListTable[[#This Row],[Mouser SKU]], MouserListTable[[#This Row],[Supplier SKU]])</f>
        <v>474-BOB-13884</v>
      </c>
      <c r="E65" s="152">
        <f>MouserListTable[[#This Row],[Tot '#]]-MouserListTable[[#This Row],['# Initial]]</f>
        <v>0</v>
      </c>
      <c r="F65" s="152">
        <f>IF(AND(MouserListTable[[#This Row],[Tag]]&lt;&gt;FilterSpecs!$F$12, MouserListTable[[#This Row],[Tag]]&lt;&gt;FilterSpecs!$F$9), MouserListTable[[#This Row],['#/Unit]]*FilterSpecs!$B$3+MouserListTable[[#This Row],[Extra Initial]],0)</f>
        <v>5</v>
      </c>
      <c r="G65" s="150" t="s">
        <v>1121</v>
      </c>
      <c r="H65" s="150" t="s">
        <v>1122</v>
      </c>
      <c r="I65" s="150" t="s">
        <v>1123</v>
      </c>
      <c r="J65" s="150">
        <v>1</v>
      </c>
      <c r="K65" s="154">
        <v>7.95</v>
      </c>
      <c r="L65" s="150" t="s">
        <v>1897</v>
      </c>
      <c r="M65" s="151"/>
      <c r="N65" s="154">
        <f>MouserListTable[[#This Row],['# Initial]]*MouserListTable[[#This Row],[Price (USD)]]</f>
        <v>39.75</v>
      </c>
      <c r="O65" s="151" t="s">
        <v>1120</v>
      </c>
      <c r="P65" s="150">
        <f t="shared" si="0"/>
        <v>52</v>
      </c>
      <c r="Q65" s="150" t="s">
        <v>5</v>
      </c>
      <c r="R6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474-BOB-13884</v>
      </c>
      <c r="S65" s="157" t="str">
        <f>HYPERLINK("https://www.mouser.com/ProductDetail/" &amp;MouserListTable[[#This Row],[Mouser SKU]])</f>
        <v>https://www.mouser.com/ProductDetail/474-BOB-13884</v>
      </c>
      <c r="T65" s="152">
        <v>1</v>
      </c>
      <c r="U65" s="152">
        <v>0</v>
      </c>
      <c r="V65" s="152">
        <v>0</v>
      </c>
      <c r="W65" s="152">
        <f>MouserListTable[[#This Row],['#/Unit]]*FilterSpecs!$C$3+MouserListTable[[#This Row],[Extra]]</f>
        <v>5</v>
      </c>
      <c r="X65" s="152">
        <f>IF(MouserListTable[[#This Row],[Tag]]=FilterSpecs!$F$7,MouserListTable[[#This Row],['#/Unit]]*MouserListTable[[#This Row],[Price (USD)]],0)</f>
        <v>7.95</v>
      </c>
      <c r="Y65" s="152">
        <f>MouserListTable[[#This Row],[Tot '#]]*MouserListTable[[#This Row],[Price (USD)]]</f>
        <v>39.75</v>
      </c>
      <c r="Z65" s="146"/>
      <c r="AA65" s="153" t="str">
        <f>InitialOrderTable[[#This Row],[SKU]]</f>
        <v>474-BOB-13884</v>
      </c>
      <c r="AB65" s="153">
        <f>VALUE(InitialOrderTable[[#This Row],['# Initial]])</f>
        <v>5</v>
      </c>
      <c r="AD65" s="153" t="s">
        <v>245</v>
      </c>
      <c r="AF65" s="153">
        <v>1</v>
      </c>
      <c r="AK65" s="146" t="e">
        <f ca="1">[1]!nonzeroQtys($AE$13,AD65)</f>
        <v>#NAME?</v>
      </c>
    </row>
    <row r="66" spans="1:37" s="153" customFormat="1" x14ac:dyDescent="0.25">
      <c r="A66" s="150" t="s">
        <v>887</v>
      </c>
      <c r="B66" s="150" t="s">
        <v>2007</v>
      </c>
      <c r="C66" s="150" t="s">
        <v>5</v>
      </c>
      <c r="D66" s="151" t="str">
        <f>IF(MouserListTable[[#This Row],[Vendor]]=FilterSpecs!$A$8,MouserListTable[[#This Row],[Mouser SKU]], MouserListTable[[#This Row],[Supplier SKU]])</f>
        <v>474-COM-12661</v>
      </c>
      <c r="E66" s="152">
        <f>MouserListTable[[#This Row],[Tot '#]]-MouserListTable[[#This Row],['# Initial]]</f>
        <v>1</v>
      </c>
      <c r="F66" s="152">
        <f>IF(AND(MouserListTable[[#This Row],[Tag]]&lt;&gt;FilterSpecs!$F$12, MouserListTable[[#This Row],[Tag]]&lt;&gt;FilterSpecs!$F$9), MouserListTable[[#This Row],['#/Unit]]*FilterSpecs!$B$3+MouserListTable[[#This Row],[Extra Initial]],0)</f>
        <v>0</v>
      </c>
      <c r="G66" s="150" t="s">
        <v>115</v>
      </c>
      <c r="H66" s="150" t="s">
        <v>116</v>
      </c>
      <c r="I66" s="150" t="s">
        <v>117</v>
      </c>
      <c r="J66" s="150">
        <v>1</v>
      </c>
      <c r="K66" s="154">
        <v>5.95</v>
      </c>
      <c r="L66" s="150" t="s">
        <v>1896</v>
      </c>
      <c r="M66" s="151"/>
      <c r="N66" s="154">
        <f>MouserListTable[[#This Row],['# Initial]]*MouserListTable[[#This Row],[Price (USD)]]</f>
        <v>0</v>
      </c>
      <c r="O66" s="151" t="s">
        <v>114</v>
      </c>
      <c r="P66" s="150">
        <f t="shared" si="0"/>
        <v>53</v>
      </c>
      <c r="Q66" s="150" t="s">
        <v>5</v>
      </c>
      <c r="R6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474-COM-12661</v>
      </c>
      <c r="S66" s="157" t="str">
        <f>HYPERLINK("https://www.mouser.com/ProductDetail/" &amp;MouserListTable[[#This Row],[Mouser SKU]])</f>
        <v>https://www.mouser.com/ProductDetail/474-COM-12661</v>
      </c>
      <c r="T66" s="152">
        <v>0</v>
      </c>
      <c r="U66" s="152">
        <v>1</v>
      </c>
      <c r="V66" s="152">
        <v>0</v>
      </c>
      <c r="W66" s="152">
        <f>MouserListTable[[#This Row],['#/Unit]]*FilterSpecs!$C$3+MouserListTable[[#This Row],[Extra]]</f>
        <v>1</v>
      </c>
      <c r="X66" s="152">
        <f>IF(MouserListTable[[#This Row],[Tag]]=FilterSpecs!$F$7,MouserListTable[[#This Row],['#/Unit]]*MouserListTable[[#This Row],[Price (USD)]],0)</f>
        <v>0</v>
      </c>
      <c r="Y66" s="152">
        <f>MouserListTable[[#This Row],[Tot '#]]*MouserListTable[[#This Row],[Price (USD)]]</f>
        <v>5.95</v>
      </c>
      <c r="Z66" s="146"/>
      <c r="AA66" s="153" t="str">
        <f>InitialOrderTable[[#This Row],[SKU]]</f>
        <v>474-COM-12661</v>
      </c>
      <c r="AB66" s="153">
        <f>VALUE(InitialOrderTable[[#This Row],['# Initial]])</f>
        <v>0</v>
      </c>
      <c r="AD66" s="153" t="s">
        <v>273</v>
      </c>
      <c r="AF66" s="153">
        <v>5</v>
      </c>
      <c r="AK66" s="146" t="e">
        <f ca="1">[1]!nonzeroQtys($AE$13,AD66)</f>
        <v>#NAME?</v>
      </c>
    </row>
    <row r="67" spans="1:37" s="153" customFormat="1" x14ac:dyDescent="0.25">
      <c r="A67" s="150" t="s">
        <v>887</v>
      </c>
      <c r="B67" s="150" t="s">
        <v>2007</v>
      </c>
      <c r="C67" s="150" t="s">
        <v>5</v>
      </c>
      <c r="D67" s="151" t="str">
        <f>IF(MouserListTable[[#This Row],[Vendor]]=FilterSpecs!$A$8,MouserListTable[[#This Row],[Mouser SKU]], MouserListTable[[#This Row],[Supplier SKU]])</f>
        <v>474-COM-09637</v>
      </c>
      <c r="E67" s="152">
        <f>MouserListTable[[#This Row],[Tot '#]]-MouserListTable[[#This Row],['# Initial]]</f>
        <v>3</v>
      </c>
      <c r="F67" s="152">
        <f>IF(AND(MouserListTable[[#This Row],[Tag]]&lt;&gt;FilterSpecs!$F$12, MouserListTable[[#This Row],[Tag]]&lt;&gt;FilterSpecs!$F$9), MouserListTable[[#This Row],['#/Unit]]*FilterSpecs!$B$3+MouserListTable[[#This Row],[Extra Initial]],0)</f>
        <v>0</v>
      </c>
      <c r="G67" s="150" t="s">
        <v>119</v>
      </c>
      <c r="H67" s="150" t="s">
        <v>120</v>
      </c>
      <c r="I67" s="150" t="s">
        <v>121</v>
      </c>
      <c r="J67" s="150">
        <v>1</v>
      </c>
      <c r="K67" s="154">
        <v>4.95</v>
      </c>
      <c r="L67" s="150" t="s">
        <v>1896</v>
      </c>
      <c r="M67" s="151"/>
      <c r="N67" s="154">
        <f>MouserListTable[[#This Row],['# Initial]]*MouserListTable[[#This Row],[Price (USD)]]</f>
        <v>0</v>
      </c>
      <c r="O67" s="151" t="s">
        <v>118</v>
      </c>
      <c r="P67" s="150">
        <f t="shared" si="0"/>
        <v>54</v>
      </c>
      <c r="Q67" s="150" t="s">
        <v>5</v>
      </c>
      <c r="R6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474-COM-09637</v>
      </c>
      <c r="S67" s="157" t="str">
        <f>HYPERLINK("https://www.mouser.com/ProductDetail/" &amp;MouserListTable[[#This Row],[Mouser SKU]])</f>
        <v>https://www.mouser.com/ProductDetail/474-COM-09637</v>
      </c>
      <c r="T67" s="152">
        <v>0</v>
      </c>
      <c r="U67" s="152">
        <v>3</v>
      </c>
      <c r="V67" s="152">
        <v>0</v>
      </c>
      <c r="W67" s="152">
        <f>MouserListTable[[#This Row],['#/Unit]]*FilterSpecs!$C$3+MouserListTable[[#This Row],[Extra]]</f>
        <v>3</v>
      </c>
      <c r="X67" s="152">
        <f>IF(MouserListTable[[#This Row],[Tag]]=FilterSpecs!$F$7,MouserListTable[[#This Row],['#/Unit]]*MouserListTable[[#This Row],[Price (USD)]],0)</f>
        <v>0</v>
      </c>
      <c r="Y67" s="152">
        <f>MouserListTable[[#This Row],[Tot '#]]*MouserListTable[[#This Row],[Price (USD)]]</f>
        <v>14.850000000000001</v>
      </c>
      <c r="Z67" s="146"/>
      <c r="AA67" s="153" t="str">
        <f>InitialOrderTable[[#This Row],[SKU]]</f>
        <v>474-COM-09637</v>
      </c>
      <c r="AB67" s="153">
        <f>VALUE(InitialOrderTable[[#This Row],['# Initial]])</f>
        <v>0</v>
      </c>
      <c r="AD67" s="153" t="s">
        <v>276</v>
      </c>
      <c r="AF67" s="153">
        <v>5</v>
      </c>
      <c r="AK67" s="146" t="e">
        <f ca="1">[1]!nonzeroQtys($AE$13,AD67)</f>
        <v>#NAME?</v>
      </c>
    </row>
    <row r="68" spans="1:37" s="153" customFormat="1" x14ac:dyDescent="0.25">
      <c r="A68" s="150" t="s">
        <v>887</v>
      </c>
      <c r="B68" s="150" t="s">
        <v>2007</v>
      </c>
      <c r="C68" s="150" t="s">
        <v>1884</v>
      </c>
      <c r="D68" s="151" t="str">
        <f>IF(MouserListTable[[#This Row],[Vendor]]=FilterSpecs!$A$8,MouserListTable[[#This Row],[Mouser SKU]], MouserListTable[[#This Row],[Supplier SKU]])</f>
        <v>485-1621</v>
      </c>
      <c r="E68" s="152">
        <f>MouserListTable[[#This Row],[Tot '#]]-MouserListTable[[#This Row],['# Initial]]</f>
        <v>0</v>
      </c>
      <c r="F68" s="152">
        <f>IF(AND(MouserListTable[[#This Row],[Tag]]&lt;&gt;FilterSpecs!$F$12, MouserListTable[[#This Row],[Tag]]&lt;&gt;FilterSpecs!$F$9), MouserListTable[[#This Row],['#/Unit]]*FilterSpecs!$B$3+MouserListTable[[#This Row],[Extra Initial]],0)</f>
        <v>0</v>
      </c>
      <c r="G68" s="150"/>
      <c r="H68" s="150"/>
      <c r="I68" s="150" t="s">
        <v>2319</v>
      </c>
      <c r="K68" s="118">
        <v>2.95</v>
      </c>
      <c r="L68" s="97" t="s">
        <v>1896</v>
      </c>
      <c r="N68" s="154">
        <f>MouserListTable[[#This Row],['# Initial]]*MouserListTable[[#This Row],[Price (USD)]]</f>
        <v>0</v>
      </c>
      <c r="O68" s="151" t="s">
        <v>2318</v>
      </c>
      <c r="P68" s="150">
        <f t="shared" si="0"/>
        <v>55</v>
      </c>
      <c r="Q68" s="150" t="s">
        <v>1884</v>
      </c>
      <c r="R6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485-1621</v>
      </c>
      <c r="S68" s="157" t="str">
        <f>HYPERLINK("https://www.mouser.com/ProductDetail/" &amp;MouserListTable[[#This Row],[Mouser SKU]])</f>
        <v>https://www.mouser.com/ProductDetail/485-1621</v>
      </c>
      <c r="T68" s="152">
        <v>0</v>
      </c>
      <c r="U68" s="152">
        <v>0</v>
      </c>
      <c r="V68" s="152">
        <v>0</v>
      </c>
      <c r="W68" s="152">
        <f>MouserListTable[[#This Row],['#/Unit]]*FilterSpecs!$C$3+MouserListTable[[#This Row],[Extra]]</f>
        <v>0</v>
      </c>
      <c r="X68" s="152">
        <f>IF(MouserListTable[[#This Row],[Tag]]=FilterSpecs!$F$7,MouserListTable[[#This Row],['#/Unit]]*MouserListTable[[#This Row],[Price (USD)]],0)</f>
        <v>0</v>
      </c>
      <c r="Y68" s="152">
        <f>MouserListTable[[#This Row],[Tot '#]]*MouserListTable[[#This Row],[Price (USD)]]</f>
        <v>0</v>
      </c>
      <c r="Z68" s="146"/>
      <c r="AA68" s="153" t="str">
        <f>InitialOrderTable[[#This Row],[SKU]]</f>
        <v>485-1621</v>
      </c>
      <c r="AB68" s="153">
        <f>VALUE(InitialOrderTable[[#This Row],['# Initial]])</f>
        <v>0</v>
      </c>
      <c r="AD68" s="153" t="s">
        <v>1007</v>
      </c>
      <c r="AF68" s="153">
        <v>1</v>
      </c>
      <c r="AK68" s="146" t="e">
        <f ca="1">[1]!nonzeroQtys($AE$13,AD68)</f>
        <v>#NAME?</v>
      </c>
    </row>
    <row r="69" spans="1:37" s="153" customFormat="1" x14ac:dyDescent="0.25">
      <c r="A69" s="150" t="s">
        <v>887</v>
      </c>
      <c r="B69" s="150" t="s">
        <v>2007</v>
      </c>
      <c r="C69" s="150" t="s">
        <v>1884</v>
      </c>
      <c r="D69" s="151" t="str">
        <f>IF(MouserListTable[[#This Row],[Vendor]]=FilterSpecs!$A$8,MouserListTable[[#This Row],[Mouser SKU]], MouserListTable[[#This Row],[Supplier SKU]])</f>
        <v>485-1622</v>
      </c>
      <c r="E69" s="152">
        <f>MouserListTable[[#This Row],[Tot '#]]-MouserListTable[[#This Row],['# Initial]]</f>
        <v>0</v>
      </c>
      <c r="F69" s="152">
        <f>IF(AND(MouserListTable[[#This Row],[Tag]]&lt;&gt;FilterSpecs!$F$12, MouserListTable[[#This Row],[Tag]]&lt;&gt;FilterSpecs!$F$9), MouserListTable[[#This Row],['#/Unit]]*FilterSpecs!$B$3+MouserListTable[[#This Row],[Extra Initial]],0)</f>
        <v>0</v>
      </c>
      <c r="G69" s="150"/>
      <c r="H69" s="150"/>
      <c r="I69" s="150" t="s">
        <v>2321</v>
      </c>
      <c r="K69" s="118">
        <v>2.5</v>
      </c>
      <c r="L69" s="97" t="s">
        <v>1896</v>
      </c>
      <c r="N69" s="154">
        <f>MouserListTable[[#This Row],['# Initial]]*MouserListTable[[#This Row],[Price (USD)]]</f>
        <v>0</v>
      </c>
      <c r="O69" s="151" t="s">
        <v>2320</v>
      </c>
      <c r="P69" s="150">
        <f t="shared" si="0"/>
        <v>56</v>
      </c>
      <c r="Q69" s="150" t="s">
        <v>1884</v>
      </c>
      <c r="R6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485-1622</v>
      </c>
      <c r="S69" s="157" t="str">
        <f>HYPERLINK("https://www.mouser.com/ProductDetail/" &amp;MouserListTable[[#This Row],[Mouser SKU]])</f>
        <v>https://www.mouser.com/ProductDetail/485-1622</v>
      </c>
      <c r="T69" s="152">
        <v>0</v>
      </c>
      <c r="U69" s="152">
        <v>0</v>
      </c>
      <c r="V69" s="152">
        <v>0</v>
      </c>
      <c r="W69" s="152">
        <f>MouserListTable[[#This Row],['#/Unit]]*FilterSpecs!$C$3+MouserListTable[[#This Row],[Extra]]</f>
        <v>0</v>
      </c>
      <c r="X69" s="152">
        <f>IF(MouserListTable[[#This Row],[Tag]]=FilterSpecs!$F$7,MouserListTable[[#This Row],['#/Unit]]*MouserListTable[[#This Row],[Price (USD)]],0)</f>
        <v>0</v>
      </c>
      <c r="Y69" s="152">
        <f>MouserListTable[[#This Row],[Tot '#]]*MouserListTable[[#This Row],[Price (USD)]]</f>
        <v>0</v>
      </c>
      <c r="Z69" s="146"/>
      <c r="AA69" s="153" t="str">
        <f>InitialOrderTable[[#This Row],[SKU]]</f>
        <v>485-1622</v>
      </c>
      <c r="AB69" s="153">
        <f>VALUE(InitialOrderTable[[#This Row],['# Initial]])</f>
        <v>0</v>
      </c>
      <c r="AD69" s="153" t="s">
        <v>1011</v>
      </c>
      <c r="AF69" s="153">
        <v>1</v>
      </c>
      <c r="AK69" s="146" t="e">
        <f ca="1">[1]!nonzeroQtys($AE$13,AD69)</f>
        <v>#NAME?</v>
      </c>
    </row>
    <row r="70" spans="1:37" s="153" customFormat="1" x14ac:dyDescent="0.25">
      <c r="A70" s="150" t="s">
        <v>887</v>
      </c>
      <c r="B70" s="150" t="s">
        <v>1602</v>
      </c>
      <c r="C70" s="150" t="s">
        <v>5</v>
      </c>
      <c r="D70" s="151" t="str">
        <f>IF(MouserListTable[[#This Row],[Vendor]]=FilterSpecs!$A$8,MouserListTable[[#This Row],[Mouser SKU]], MouserListTable[[#This Row],[Supplier SKU]])</f>
        <v>474-DEV-11061</v>
      </c>
      <c r="E70" s="152">
        <f>MouserListTable[[#This Row],[Tot '#]]-MouserListTable[[#This Row],['# Initial]]</f>
        <v>5</v>
      </c>
      <c r="F70" s="152">
        <f>IF(AND(MouserListTable[[#This Row],[Tag]]&lt;&gt;FilterSpecs!$F$12, MouserListTable[[#This Row],[Tag]]&lt;&gt;FilterSpecs!$F$9), MouserListTable[[#This Row],['#/Unit]]*FilterSpecs!$B$3+MouserListTable[[#This Row],[Extra Initial]],0)</f>
        <v>0</v>
      </c>
      <c r="G70" s="150" t="s">
        <v>27</v>
      </c>
      <c r="H70" s="150" t="s">
        <v>28</v>
      </c>
      <c r="I70" s="150" t="s">
        <v>29</v>
      </c>
      <c r="J70" s="150">
        <v>1</v>
      </c>
      <c r="K70" s="154">
        <v>45.95</v>
      </c>
      <c r="L70" s="150" t="s">
        <v>2461</v>
      </c>
      <c r="M70" s="151"/>
      <c r="N70" s="154">
        <f>MouserListTable[[#This Row],['# Initial]]*MouserListTable[[#This Row],[Price (USD)]]</f>
        <v>0</v>
      </c>
      <c r="O70" s="151" t="s">
        <v>26</v>
      </c>
      <c r="P70" s="150">
        <f t="shared" si="0"/>
        <v>57</v>
      </c>
      <c r="Q70" s="150" t="s">
        <v>5</v>
      </c>
      <c r="R7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474-DEV-11061</v>
      </c>
      <c r="S70" s="157" t="str">
        <f>HYPERLINK("https://www.mouser.com/ProductDetail/" &amp;MouserListTable[[#This Row],[Mouser SKU]])</f>
        <v>https://www.mouser.com/ProductDetail/474-DEV-11061</v>
      </c>
      <c r="T70" s="152">
        <v>1</v>
      </c>
      <c r="U70" s="152">
        <v>0</v>
      </c>
      <c r="V70" s="152">
        <v>0</v>
      </c>
      <c r="W70" s="152">
        <f>MouserListTable[[#This Row],['#/Unit]]*FilterSpecs!$C$3+MouserListTable[[#This Row],[Extra]]</f>
        <v>5</v>
      </c>
      <c r="X70" s="152">
        <f>IF(MouserListTable[[#This Row],[Tag]]=FilterSpecs!$F$7,MouserListTable[[#This Row],['#/Unit]]*MouserListTable[[#This Row],[Price (USD)]],0)</f>
        <v>0</v>
      </c>
      <c r="Y70" s="152">
        <f>MouserListTable[[#This Row],[Tot '#]]*MouserListTable[[#This Row],[Price (USD)]]</f>
        <v>229.75</v>
      </c>
      <c r="Z70" s="146"/>
      <c r="AA70" s="153" t="str">
        <f>InitialOrderTable[[#This Row],[SKU]]</f>
        <v>474-DEV-11061</v>
      </c>
      <c r="AB70" s="153">
        <f>VALUE(InitialOrderTable[[#This Row],['# Initial]])</f>
        <v>0</v>
      </c>
      <c r="AD70" s="153" t="s">
        <v>1297</v>
      </c>
      <c r="AF70" s="153">
        <v>20</v>
      </c>
      <c r="AK70" s="146" t="e">
        <f ca="1">[1]!nonzeroQtys($AE$13,AD70)</f>
        <v>#NAME?</v>
      </c>
    </row>
    <row r="71" spans="1:37" s="153" customFormat="1" x14ac:dyDescent="0.25">
      <c r="A71" s="150" t="s">
        <v>887</v>
      </c>
      <c r="B71" s="150" t="s">
        <v>1602</v>
      </c>
      <c r="C71" s="150" t="s">
        <v>5</v>
      </c>
      <c r="D71" s="151" t="str">
        <f>IF(MouserListTable[[#This Row],[Vendor]]=FilterSpecs!$A$8,MouserListTable[[#This Row],[Mouser SKU]], MouserListTable[[#This Row],[Supplier SKU]])</f>
        <v>474-DEV-14082</v>
      </c>
      <c r="E71" s="152">
        <f>MouserListTable[[#This Row],[Tot '#]]-MouserListTable[[#This Row],['# Initial]]</f>
        <v>0</v>
      </c>
      <c r="F71" s="152">
        <f>IF(AND(MouserListTable[[#This Row],[Tag]]&lt;&gt;FilterSpecs!$F$12, MouserListTable[[#This Row],[Tag]]&lt;&gt;FilterSpecs!$F$9), MouserListTable[[#This Row],['#/Unit]]*FilterSpecs!$B$3+MouserListTable[[#This Row],[Extra Initial]],0)</f>
        <v>0</v>
      </c>
      <c r="G71" s="150" t="s">
        <v>1726</v>
      </c>
      <c r="H71" s="150" t="s">
        <v>1727</v>
      </c>
      <c r="I71" s="150" t="s">
        <v>1728</v>
      </c>
      <c r="J71" s="150">
        <v>45</v>
      </c>
      <c r="K71" s="154">
        <v>45</v>
      </c>
      <c r="L71" s="150" t="s">
        <v>1896</v>
      </c>
      <c r="M71" s="151"/>
      <c r="N71" s="154">
        <f>MouserListTable[[#This Row],['# Initial]]*MouserListTable[[#This Row],[Price (USD)]]</f>
        <v>0</v>
      </c>
      <c r="O71" s="151" t="s">
        <v>1725</v>
      </c>
      <c r="P71" s="150">
        <f t="shared" si="0"/>
        <v>58</v>
      </c>
      <c r="Q71" s="150" t="s">
        <v>5</v>
      </c>
      <c r="R7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474-DEV-14082</v>
      </c>
      <c r="S71" s="157" t="str">
        <f>HYPERLINK("https://www.mouser.com/ProductDetail/" &amp;MouserListTable[[#This Row],[Mouser SKU]])</f>
        <v>https://www.mouser.com/ProductDetail/474-DEV-14082</v>
      </c>
      <c r="T71" s="152">
        <v>0</v>
      </c>
      <c r="U71" s="152">
        <v>0</v>
      </c>
      <c r="V71" s="152">
        <v>0</v>
      </c>
      <c r="W71" s="152">
        <f>MouserListTable[[#This Row],['#/Unit]]*FilterSpecs!$C$3+MouserListTable[[#This Row],[Extra]]</f>
        <v>0</v>
      </c>
      <c r="X71" s="152">
        <f>IF(MouserListTable[[#This Row],[Tag]]=FilterSpecs!$F$7,MouserListTable[[#This Row],['#/Unit]]*MouserListTable[[#This Row],[Price (USD)]],0)</f>
        <v>0</v>
      </c>
      <c r="Y71" s="152">
        <f>MouserListTable[[#This Row],[Tot '#]]*MouserListTable[[#This Row],[Price (USD)]]</f>
        <v>0</v>
      </c>
      <c r="Z71" s="146"/>
      <c r="AA71" s="153" t="str">
        <f>InitialOrderTable[[#This Row],[SKU]]</f>
        <v>474-DEV-14082</v>
      </c>
      <c r="AB71" s="153">
        <f>VALUE(InitialOrderTable[[#This Row],['# Initial]])</f>
        <v>0</v>
      </c>
      <c r="AD71" s="153" t="s">
        <v>925</v>
      </c>
      <c r="AF71" s="153">
        <v>10</v>
      </c>
      <c r="AK71" s="146" t="e">
        <f ca="1">[1]!nonzeroQtys($AE$13,AD71)</f>
        <v>#NAME?</v>
      </c>
    </row>
    <row r="72" spans="1:37" s="153" customFormat="1" x14ac:dyDescent="0.25">
      <c r="A72" s="150" t="s">
        <v>887</v>
      </c>
      <c r="B72" s="150" t="s">
        <v>1602</v>
      </c>
      <c r="C72" s="150" t="s">
        <v>5</v>
      </c>
      <c r="D72" s="151" t="str">
        <f>IF(MouserListTable[[#This Row],[Vendor]]=FilterSpecs!$A$8,MouserListTable[[#This Row],[Mouser SKU]], MouserListTable[[#This Row],[Supplier SKU]])</f>
        <v>474-KIT-11734</v>
      </c>
      <c r="E72" s="152">
        <f>MouserListTable[[#This Row],[Tot '#]]-MouserListTable[[#This Row],['# Initial]]</f>
        <v>0</v>
      </c>
      <c r="F72" s="152">
        <f>IF(AND(MouserListTable[[#This Row],[Tag]]&lt;&gt;FilterSpecs!$F$12, MouserListTable[[#This Row],[Tag]]&lt;&gt;FilterSpecs!$F$9), MouserListTable[[#This Row],['#/Unit]]*FilterSpecs!$B$3+MouserListTable[[#This Row],[Extra Initial]],0)</f>
        <v>0</v>
      </c>
      <c r="G72" s="150" t="s">
        <v>1182</v>
      </c>
      <c r="H72" s="150" t="s">
        <v>1183</v>
      </c>
      <c r="I72" s="150" t="s">
        <v>1184</v>
      </c>
      <c r="J72" s="150">
        <v>29.95</v>
      </c>
      <c r="K72" s="154">
        <v>29.95</v>
      </c>
      <c r="L72" s="150" t="s">
        <v>1896</v>
      </c>
      <c r="M72" s="151"/>
      <c r="N72" s="154">
        <f>MouserListTable[[#This Row],['# Initial]]*MouserListTable[[#This Row],[Price (USD)]]</f>
        <v>0</v>
      </c>
      <c r="O72" s="151" t="s">
        <v>1181</v>
      </c>
      <c r="P72" s="150">
        <f t="shared" si="0"/>
        <v>59</v>
      </c>
      <c r="Q72" s="150" t="s">
        <v>5</v>
      </c>
      <c r="R7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474-KIT-11734</v>
      </c>
      <c r="S72" s="157" t="str">
        <f>HYPERLINK("https://www.mouser.com/ProductDetail/" &amp;MouserListTable[[#This Row],[Mouser SKU]])</f>
        <v>https://www.mouser.com/ProductDetail/474-KIT-11734</v>
      </c>
      <c r="T72" s="152">
        <v>0</v>
      </c>
      <c r="U72" s="152">
        <v>0</v>
      </c>
      <c r="V72" s="152">
        <v>0</v>
      </c>
      <c r="W72" s="152">
        <f>MouserListTable[[#This Row],['#/Unit]]*FilterSpecs!$C$3+MouserListTable[[#This Row],[Extra]]</f>
        <v>0</v>
      </c>
      <c r="X72" s="152">
        <f>IF(MouserListTable[[#This Row],[Tag]]=FilterSpecs!$F$7,MouserListTable[[#This Row],['#/Unit]]*MouserListTable[[#This Row],[Price (USD)]],0)</f>
        <v>0</v>
      </c>
      <c r="Y72" s="152">
        <f>MouserListTable[[#This Row],[Tot '#]]*MouserListTable[[#This Row],[Price (USD)]]</f>
        <v>0</v>
      </c>
      <c r="Z72" s="146"/>
      <c r="AA72" s="153" t="str">
        <f>InitialOrderTable[[#This Row],[SKU]]</f>
        <v>474-KIT-11734</v>
      </c>
      <c r="AB72" s="153">
        <f>VALUE(InitialOrderTable[[#This Row],['# Initial]])</f>
        <v>0</v>
      </c>
      <c r="AD72" s="153" t="s">
        <v>1757</v>
      </c>
      <c r="AF72" s="153">
        <v>5</v>
      </c>
      <c r="AK72" s="146" t="e">
        <f ca="1">[1]!nonzeroQtys($AE$13,AD72)</f>
        <v>#NAME?</v>
      </c>
    </row>
    <row r="73" spans="1:37" s="153" customFormat="1" x14ac:dyDescent="0.25">
      <c r="A73" s="97" t="s">
        <v>887</v>
      </c>
      <c r="B73" s="97" t="s">
        <v>2015</v>
      </c>
      <c r="C73" s="150" t="s">
        <v>5</v>
      </c>
      <c r="D73" s="151" t="str">
        <f>IF(MouserListTable[[#This Row],[Vendor]]=FilterSpecs!$A$8,MouserListTable[[#This Row],[Mouser SKU]], MouserListTable[[#This Row],[Supplier SKU]])</f>
        <v>474-TOL-12889</v>
      </c>
      <c r="E73" s="152">
        <f>MouserListTable[[#This Row],[Tot '#]]-MouserListTable[[#This Row],['# Initial]]</f>
        <v>0</v>
      </c>
      <c r="F73" s="152">
        <f>IF(AND(MouserListTable[[#This Row],[Tag]]&lt;&gt;FilterSpecs!$F$12, MouserListTable[[#This Row],[Tag]]&lt;&gt;FilterSpecs!$F$9), MouserListTable[[#This Row],['#/Unit]]*FilterSpecs!$B$3+MouserListTable[[#This Row],[Extra Initial]],0)</f>
        <v>0</v>
      </c>
      <c r="G73" s="150" t="s">
        <v>785</v>
      </c>
      <c r="H73" s="150" t="s">
        <v>786</v>
      </c>
      <c r="I73" s="150" t="s">
        <v>787</v>
      </c>
      <c r="J73" s="150">
        <v>1</v>
      </c>
      <c r="K73" s="154">
        <v>5.95</v>
      </c>
      <c r="L73" s="150" t="s">
        <v>1897</v>
      </c>
      <c r="N73" s="154">
        <f>MouserListTable[[#This Row],['# Initial]]*MouserListTable[[#This Row],[Price (USD)]]</f>
        <v>0</v>
      </c>
      <c r="O73" s="151" t="s">
        <v>784</v>
      </c>
      <c r="P73" s="150">
        <f t="shared" si="0"/>
        <v>60</v>
      </c>
      <c r="Q73" s="150" t="s">
        <v>5</v>
      </c>
      <c r="R7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474-TOL-12889</v>
      </c>
      <c r="S73" s="157" t="str">
        <f>HYPERLINK("https://www.mouser.com/ProductDetail/" &amp;MouserListTable[[#This Row],[Mouser SKU]])</f>
        <v>https://www.mouser.com/ProductDetail/474-TOL-12889</v>
      </c>
      <c r="T73" s="152">
        <v>0</v>
      </c>
      <c r="U73" s="152">
        <v>0</v>
      </c>
      <c r="V73" s="152">
        <v>0</v>
      </c>
      <c r="W73" s="152">
        <f>MouserListTable[[#This Row],['#/Unit]]*FilterSpecs!$C$3+MouserListTable[[#This Row],[Extra]]</f>
        <v>0</v>
      </c>
      <c r="X73" s="152">
        <f>IF(MouserListTable[[#This Row],[Tag]]=FilterSpecs!$F$7,MouserListTable[[#This Row],['#/Unit]]*MouserListTable[[#This Row],[Price (USD)]],0)</f>
        <v>0</v>
      </c>
      <c r="Y73" s="152">
        <f>MouserListTable[[#This Row],[Tot '#]]*MouserListTable[[#This Row],[Price (USD)]]</f>
        <v>0</v>
      </c>
      <c r="Z73" s="146"/>
      <c r="AA73" s="153" t="str">
        <f>InitialOrderTable[[#This Row],[SKU]]</f>
        <v>474-TOL-12889</v>
      </c>
      <c r="AB73" s="153">
        <f>VALUE(InitialOrderTable[[#This Row],['# Initial]])</f>
        <v>0</v>
      </c>
      <c r="AD73" s="153" t="s">
        <v>937</v>
      </c>
      <c r="AF73" s="153">
        <v>2</v>
      </c>
      <c r="AK73" s="146" t="e">
        <f ca="1">[1]!nonzeroQtys($AE$13,AD73)</f>
        <v>#NAME?</v>
      </c>
    </row>
    <row r="74" spans="1:37" s="153" customFormat="1" x14ac:dyDescent="0.25">
      <c r="A74" s="97" t="s">
        <v>887</v>
      </c>
      <c r="B74" s="97" t="s">
        <v>2015</v>
      </c>
      <c r="C74" s="150" t="s">
        <v>5</v>
      </c>
      <c r="D74" s="151" t="str">
        <f>IF(MouserListTable[[#This Row],[Vendor]]=FilterSpecs!$A$8,MouserListTable[[#This Row],[Mouser SKU]], MouserListTable[[#This Row],[Supplier SKU]])</f>
        <v>474-TOL-09442</v>
      </c>
      <c r="E74" s="152">
        <f>MouserListTable[[#This Row],[Tot '#]]-MouserListTable[[#This Row],['# Initial]]</f>
        <v>0</v>
      </c>
      <c r="F74" s="152">
        <f>IF(AND(MouserListTable[[#This Row],[Tag]]&lt;&gt;FilterSpecs!$F$12, MouserListTable[[#This Row],[Tag]]&lt;&gt;FilterSpecs!$F$9), MouserListTable[[#This Row],['#/Unit]]*FilterSpecs!$B$3+MouserListTable[[#This Row],[Extra Initial]],0)</f>
        <v>0</v>
      </c>
      <c r="G74" s="150" t="s">
        <v>1766</v>
      </c>
      <c r="H74" s="150" t="s">
        <v>1767</v>
      </c>
      <c r="I74" s="150" t="s">
        <v>1768</v>
      </c>
      <c r="J74" s="150">
        <v>1</v>
      </c>
      <c r="K74" s="154">
        <v>5.95</v>
      </c>
      <c r="L74" s="150" t="s">
        <v>1899</v>
      </c>
      <c r="N74" s="154">
        <f>MouserListTable[[#This Row],['# Initial]]*MouserListTable[[#This Row],[Price (USD)]]</f>
        <v>0</v>
      </c>
      <c r="O74" s="151" t="s">
        <v>1765</v>
      </c>
      <c r="P74" s="150">
        <f t="shared" si="0"/>
        <v>61</v>
      </c>
      <c r="Q74" s="150" t="s">
        <v>5</v>
      </c>
      <c r="R7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474-TOL-09442</v>
      </c>
      <c r="S74" s="157" t="str">
        <f>HYPERLINK("https://www.mouser.com/ProductDetail/" &amp;MouserListTable[[#This Row],[Mouser SKU]])</f>
        <v>https://www.mouser.com/ProductDetail/474-TOL-09442</v>
      </c>
      <c r="T74" s="152">
        <v>0</v>
      </c>
      <c r="U74" s="152">
        <v>0</v>
      </c>
      <c r="V74" s="152">
        <v>0</v>
      </c>
      <c r="W74" s="152">
        <f>MouserListTable[[#This Row],['#/Unit]]*FilterSpecs!$C$3+MouserListTable[[#This Row],[Extra]]</f>
        <v>0</v>
      </c>
      <c r="X74" s="152">
        <f>IF(MouserListTable[[#This Row],[Tag]]=FilterSpecs!$F$7,MouserListTable[[#This Row],['#/Unit]]*MouserListTable[[#This Row],[Price (USD)]],0)</f>
        <v>0</v>
      </c>
      <c r="Y74" s="152">
        <f>MouserListTable[[#This Row],[Tot '#]]*MouserListTable[[#This Row],[Price (USD)]]</f>
        <v>0</v>
      </c>
      <c r="Z74" s="146"/>
      <c r="AA74" s="153" t="str">
        <f>InitialOrderTable[[#This Row],[SKU]]</f>
        <v>474-TOL-09442</v>
      </c>
      <c r="AB74" s="153">
        <f>VALUE(InitialOrderTable[[#This Row],['# Initial]])</f>
        <v>0</v>
      </c>
      <c r="AD74" s="153" t="s">
        <v>933</v>
      </c>
      <c r="AF74" s="153">
        <v>10</v>
      </c>
      <c r="AK74" s="146" t="e">
        <f ca="1">[1]!nonzeroQtys($AE$13,AD74)</f>
        <v>#NAME?</v>
      </c>
    </row>
    <row r="75" spans="1:37" s="153" customFormat="1" x14ac:dyDescent="0.25">
      <c r="A75" s="97" t="s">
        <v>887</v>
      </c>
      <c r="B75" s="97" t="s">
        <v>2015</v>
      </c>
      <c r="C75" s="150" t="s">
        <v>1884</v>
      </c>
      <c r="D75" s="151" t="str">
        <f>IF(MouserListTable[[#This Row],[Vendor]]=FilterSpecs!$A$8,MouserListTable[[#This Row],[Mouser SKU]], MouserListTable[[#This Row],[Supplier SKU]])</f>
        <v>485-276</v>
      </c>
      <c r="E75" s="152">
        <f>MouserListTable[[#This Row],[Tot '#]]-MouserListTable[[#This Row],['# Initial]]</f>
        <v>0</v>
      </c>
      <c r="F75" s="152">
        <f>IF(AND(MouserListTable[[#This Row],[Tag]]&lt;&gt;FilterSpecs!$F$12, MouserListTable[[#This Row],[Tag]]&lt;&gt;FilterSpecs!$F$9), MouserListTable[[#This Row],['#/Unit]]*FilterSpecs!$B$3+MouserListTable[[#This Row],[Extra Initial]],0)</f>
        <v>0</v>
      </c>
      <c r="G75" s="150"/>
      <c r="H75" s="150"/>
      <c r="I75" s="150" t="s">
        <v>2259</v>
      </c>
      <c r="J75" s="150"/>
      <c r="K75" s="154">
        <v>7.95</v>
      </c>
      <c r="L75" s="150" t="s">
        <v>1896</v>
      </c>
      <c r="N75" s="154">
        <f>MouserListTable[[#This Row],['# Initial]]*MouserListTable[[#This Row],[Price (USD)]]</f>
        <v>0</v>
      </c>
      <c r="O75" s="151" t="s">
        <v>2258</v>
      </c>
      <c r="P75" s="150">
        <f t="shared" si="0"/>
        <v>62</v>
      </c>
      <c r="Q75" s="150" t="s">
        <v>1884</v>
      </c>
      <c r="R7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485-276</v>
      </c>
      <c r="S75" s="157" t="str">
        <f>HYPERLINK("https://www.mouser.com/ProductDetail/" &amp;MouserListTable[[#This Row],[Mouser SKU]])</f>
        <v>https://www.mouser.com/ProductDetail/485-276</v>
      </c>
      <c r="T75" s="152">
        <v>0</v>
      </c>
      <c r="U75" s="152">
        <v>0</v>
      </c>
      <c r="V75" s="152">
        <v>0</v>
      </c>
      <c r="W75" s="152">
        <f>MouserListTable[[#This Row],['#/Unit]]*FilterSpecs!$C$3+MouserListTable[[#This Row],[Extra]]</f>
        <v>0</v>
      </c>
      <c r="X75" s="152">
        <f>IF(MouserListTable[[#This Row],[Tag]]=FilterSpecs!$F$7,MouserListTable[[#This Row],['#/Unit]]*MouserListTable[[#This Row],[Price (USD)]],0)</f>
        <v>0</v>
      </c>
      <c r="Y75" s="152">
        <f>MouserListTable[[#This Row],[Tot '#]]*MouserListTable[[#This Row],[Price (USD)]]</f>
        <v>0</v>
      </c>
      <c r="Z75" s="146"/>
      <c r="AA75" s="153" t="str">
        <f>InitialOrderTable[[#This Row],[SKU]]</f>
        <v>485-276</v>
      </c>
      <c r="AB75" s="153">
        <f>VALUE(InitialOrderTable[[#This Row],['# Initial]])</f>
        <v>0</v>
      </c>
      <c r="AD75" s="153" t="s">
        <v>640</v>
      </c>
      <c r="AF75" s="153">
        <v>5</v>
      </c>
      <c r="AK75" s="146" t="e">
        <f ca="1">[1]!nonzeroQtys($AE$13,AD75)</f>
        <v>#NAME?</v>
      </c>
    </row>
    <row r="76" spans="1:37" s="153" customFormat="1" x14ac:dyDescent="0.25">
      <c r="A76" s="97" t="s">
        <v>887</v>
      </c>
      <c r="B76" s="97" t="s">
        <v>2015</v>
      </c>
      <c r="C76" s="150" t="s">
        <v>1884</v>
      </c>
      <c r="D76" s="151" t="str">
        <f>IF(MouserListTable[[#This Row],[Vendor]]=FilterSpecs!$A$8,MouserListTable[[#This Row],[Mouser SKU]], MouserListTable[[#This Row],[Supplier SKU]])</f>
        <v>485-1448</v>
      </c>
      <c r="E76" s="152">
        <f>MouserListTable[[#This Row],[Tot '#]]-MouserListTable[[#This Row],['# Initial]]</f>
        <v>0</v>
      </c>
      <c r="F76" s="152">
        <f>IF(AND(MouserListTable[[#This Row],[Tag]]&lt;&gt;FilterSpecs!$F$12, MouserListTable[[#This Row],[Tag]]&lt;&gt;FilterSpecs!$F$9), MouserListTable[[#This Row],['#/Unit]]*FilterSpecs!$B$3+MouserListTable[[#This Row],[Extra Initial]],0)</f>
        <v>0</v>
      </c>
      <c r="G76" s="150"/>
      <c r="H76" s="150"/>
      <c r="I76" s="150" t="s">
        <v>2261</v>
      </c>
      <c r="J76" s="150"/>
      <c r="K76" s="154">
        <v>14.95</v>
      </c>
      <c r="L76" s="150" t="s">
        <v>1896</v>
      </c>
      <c r="N76" s="154">
        <f>MouserListTable[[#This Row],['# Initial]]*MouserListTable[[#This Row],[Price (USD)]]</f>
        <v>0</v>
      </c>
      <c r="O76" s="151" t="s">
        <v>2260</v>
      </c>
      <c r="P76" s="150">
        <f t="shared" si="0"/>
        <v>63</v>
      </c>
      <c r="Q76" s="150" t="s">
        <v>1884</v>
      </c>
      <c r="R7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485-1448</v>
      </c>
      <c r="S76" s="157" t="str">
        <f>HYPERLINK("https://www.mouser.com/ProductDetail/" &amp;MouserListTable[[#This Row],[Mouser SKU]])</f>
        <v>https://www.mouser.com/ProductDetail/485-1448</v>
      </c>
      <c r="T76" s="152">
        <v>0</v>
      </c>
      <c r="U76" s="152">
        <v>0</v>
      </c>
      <c r="V76" s="152">
        <v>0</v>
      </c>
      <c r="W76" s="152">
        <f>MouserListTable[[#This Row],['#/Unit]]*FilterSpecs!$C$3+MouserListTable[[#This Row],[Extra]]</f>
        <v>0</v>
      </c>
      <c r="X76" s="152">
        <f>IF(MouserListTable[[#This Row],[Tag]]=FilterSpecs!$F$7,MouserListTable[[#This Row],['#/Unit]]*MouserListTable[[#This Row],[Price (USD)]],0)</f>
        <v>0</v>
      </c>
      <c r="Y76" s="152">
        <f>MouserListTable[[#This Row],[Tot '#]]*MouserListTable[[#This Row],[Price (USD)]]</f>
        <v>0</v>
      </c>
      <c r="Z76" s="146"/>
      <c r="AA76" s="153" t="str">
        <f>InitialOrderTable[[#This Row],[SKU]]</f>
        <v>485-1448</v>
      </c>
      <c r="AB76" s="153">
        <f>VALUE(InitialOrderTable[[#This Row],['# Initial]])</f>
        <v>0</v>
      </c>
      <c r="AD76" s="153" t="s">
        <v>648</v>
      </c>
      <c r="AF76" s="153">
        <v>5</v>
      </c>
      <c r="AK76" s="146" t="e">
        <f ca="1">[1]!nonzeroQtys($AE$13,AD76)</f>
        <v>#NAME?</v>
      </c>
    </row>
    <row r="77" spans="1:37" s="104" customFormat="1" x14ac:dyDescent="0.25">
      <c r="A77" s="150" t="s">
        <v>887</v>
      </c>
      <c r="B77" s="150" t="s">
        <v>2018</v>
      </c>
      <c r="C77" s="150" t="s">
        <v>5</v>
      </c>
      <c r="D77" s="151" t="str">
        <f>IF(MouserListTable[[#This Row],[Vendor]]=FilterSpecs!$A$8,MouserListTable[[#This Row],[Mouser SKU]], MouserListTable[[#This Row],[Supplier SKU]])</f>
        <v>474-COM-11707</v>
      </c>
      <c r="E77" s="152">
        <f>MouserListTable[[#This Row],[Tot '#]]-MouserListTable[[#This Row],['# Initial]]</f>
        <v>0</v>
      </c>
      <c r="F77" s="152">
        <f>IF(AND(MouserListTable[[#This Row],[Tag]]&lt;&gt;FilterSpecs!$F$12, MouserListTable[[#This Row],[Tag]]&lt;&gt;FilterSpecs!$F$9), MouserListTable[[#This Row],['#/Unit]]*FilterSpecs!$B$3+MouserListTable[[#This Row],[Extra Initial]],0)</f>
        <v>5</v>
      </c>
      <c r="G77" s="150" t="s">
        <v>381</v>
      </c>
      <c r="H77" s="150" t="s">
        <v>382</v>
      </c>
      <c r="I77" s="150" t="s">
        <v>383</v>
      </c>
      <c r="J77" s="150"/>
      <c r="K77" s="154">
        <v>1.95</v>
      </c>
      <c r="L77" s="150" t="s">
        <v>1897</v>
      </c>
      <c r="M77" s="151"/>
      <c r="N77" s="154">
        <f>MouserListTable[[#This Row],['# Initial]]*MouserListTable[[#This Row],[Price (USD)]]</f>
        <v>9.75</v>
      </c>
      <c r="O77" s="151" t="s">
        <v>380</v>
      </c>
      <c r="P77" s="150">
        <f t="shared" si="0"/>
        <v>64</v>
      </c>
      <c r="Q77" s="150" t="s">
        <v>5</v>
      </c>
      <c r="R7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474-COM-11707</v>
      </c>
      <c r="S77" s="157" t="str">
        <f>HYPERLINK("https://www.mouser.com/ProductDetail/" &amp;MouserListTable[[#This Row],[Mouser SKU]])</f>
        <v>https://www.mouser.com/ProductDetail/474-COM-11707</v>
      </c>
      <c r="T77" s="152">
        <v>1</v>
      </c>
      <c r="U77" s="152">
        <v>0</v>
      </c>
      <c r="V77" s="152">
        <v>0</v>
      </c>
      <c r="W77" s="152">
        <f>MouserListTable[[#This Row],['#/Unit]]*FilterSpecs!$C$3+MouserListTable[[#This Row],[Extra]]</f>
        <v>5</v>
      </c>
      <c r="X77" s="152">
        <f>IF(MouserListTable[[#This Row],[Tag]]=FilterSpecs!$F$7,MouserListTable[[#This Row],['#/Unit]]*MouserListTable[[#This Row],[Price (USD)]],0)</f>
        <v>1.95</v>
      </c>
      <c r="Y77" s="152">
        <f>MouserListTable[[#This Row],[Tot '#]]*MouserListTable[[#This Row],[Price (USD)]]</f>
        <v>9.75</v>
      </c>
      <c r="Z77" s="146"/>
      <c r="AA77" s="153" t="str">
        <f>InitialOrderTable[[#This Row],[SKU]]</f>
        <v>474-COM-11707</v>
      </c>
      <c r="AB77" s="153">
        <f>VALUE(InitialOrderTable[[#This Row],['# Initial]])</f>
        <v>5</v>
      </c>
      <c r="AD77" s="104" t="s">
        <v>1248</v>
      </c>
      <c r="AF77" s="104">
        <v>2</v>
      </c>
      <c r="AK77" s="146" t="e">
        <f ca="1">[1]!nonzeroQtys($AE$13,AD77)</f>
        <v>#NAME?</v>
      </c>
    </row>
    <row r="78" spans="1:37" s="104" customFormat="1" x14ac:dyDescent="0.25">
      <c r="A78" s="150" t="s">
        <v>887</v>
      </c>
      <c r="B78" s="150" t="s">
        <v>2018</v>
      </c>
      <c r="C78" s="150" t="s">
        <v>5</v>
      </c>
      <c r="D78" s="151" t="str">
        <f>IF(MouserListTable[[#This Row],[Vendor]]=FilterSpecs!$A$8,MouserListTable[[#This Row],[Mouser SKU]], MouserListTable[[#This Row],[Supplier SKU]])</f>
        <v>474-TOL-08734</v>
      </c>
      <c r="E78" s="152">
        <f>MouserListTable[[#This Row],[Tot '#]]-MouserListTable[[#This Row],['# Initial]]</f>
        <v>0</v>
      </c>
      <c r="F78" s="152">
        <f>IF(AND(MouserListTable[[#This Row],[Tag]]&lt;&gt;FilterSpecs!$F$12, MouserListTable[[#This Row],[Tag]]&lt;&gt;FilterSpecs!$F$9), MouserListTable[[#This Row],['#/Unit]]*FilterSpecs!$B$3+MouserListTable[[#This Row],[Extra Initial]],0)</f>
        <v>5</v>
      </c>
      <c r="G78" s="150" t="s">
        <v>797</v>
      </c>
      <c r="H78" s="150" t="s">
        <v>798</v>
      </c>
      <c r="I78" s="150" t="s">
        <v>799</v>
      </c>
      <c r="J78" s="150">
        <v>1</v>
      </c>
      <c r="K78" s="154">
        <v>2.95</v>
      </c>
      <c r="L78" s="150" t="s">
        <v>1897</v>
      </c>
      <c r="M78" s="151"/>
      <c r="N78" s="154">
        <f>MouserListTable[[#This Row],['# Initial]]*MouserListTable[[#This Row],[Price (USD)]]</f>
        <v>14.75</v>
      </c>
      <c r="O78" s="151" t="s">
        <v>796</v>
      </c>
      <c r="P78" s="150">
        <f t="shared" ref="P78:P141" si="2">IF($P77="List #",1,$P77+1)</f>
        <v>65</v>
      </c>
      <c r="Q78" s="150" t="s">
        <v>5</v>
      </c>
      <c r="R7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474-TOL-08734</v>
      </c>
      <c r="S78" s="157" t="str">
        <f>HYPERLINK("https://www.mouser.com/ProductDetail/" &amp;MouserListTable[[#This Row],[Mouser SKU]])</f>
        <v>https://www.mouser.com/ProductDetail/474-TOL-08734</v>
      </c>
      <c r="T78" s="152">
        <v>1</v>
      </c>
      <c r="U78" s="152">
        <v>0</v>
      </c>
      <c r="V78" s="152">
        <v>0</v>
      </c>
      <c r="W78" s="152">
        <f>MouserListTable[[#This Row],['#/Unit]]*FilterSpecs!$C$3+MouserListTable[[#This Row],[Extra]]</f>
        <v>5</v>
      </c>
      <c r="X78" s="152">
        <f>IF(MouserListTable[[#This Row],[Tag]]=FilterSpecs!$F$7,MouserListTable[[#This Row],['#/Unit]]*MouserListTable[[#This Row],[Price (USD)]],0)</f>
        <v>2.95</v>
      </c>
      <c r="Y78" s="152">
        <f>MouserListTable[[#This Row],[Tot '#]]*MouserListTable[[#This Row],[Price (USD)]]</f>
        <v>14.75</v>
      </c>
      <c r="Z78" s="146"/>
      <c r="AA78" s="153" t="str">
        <f>InitialOrderTable[[#This Row],[SKU]]</f>
        <v>474-TOL-08734</v>
      </c>
      <c r="AB78" s="153">
        <f>VALUE(InitialOrderTable[[#This Row],['# Initial]])</f>
        <v>5</v>
      </c>
      <c r="AD78" s="104" t="s">
        <v>2095</v>
      </c>
      <c r="AF78" s="104">
        <v>3</v>
      </c>
      <c r="AK78" s="146" t="e">
        <f ca="1">[1]!nonzeroQtys($AE$13,AD78)</f>
        <v>#NAME?</v>
      </c>
    </row>
    <row r="79" spans="1:37" s="104" customFormat="1" x14ac:dyDescent="0.25">
      <c r="A79" s="150" t="s">
        <v>887</v>
      </c>
      <c r="B79" s="150" t="s">
        <v>2018</v>
      </c>
      <c r="C79" s="150" t="s">
        <v>5</v>
      </c>
      <c r="D79" s="151" t="str">
        <f>IF(MouserListTable[[#This Row],[Vendor]]=FilterSpecs!$A$8,MouserListTable[[#This Row],[Mouser SKU]], MouserListTable[[#This Row],[Supplier SKU]])</f>
        <v>474-TOL-08639</v>
      </c>
      <c r="E79" s="152">
        <f>MouserListTable[[#This Row],[Tot '#]]-MouserListTable[[#This Row],['# Initial]]</f>
        <v>0</v>
      </c>
      <c r="F79" s="152">
        <f>IF(AND(MouserListTable[[#This Row],[Tag]]&lt;&gt;FilterSpecs!$F$12, MouserListTable[[#This Row],[Tag]]&lt;&gt;FilterSpecs!$F$9), MouserListTable[[#This Row],['#/Unit]]*FilterSpecs!$B$3+MouserListTable[[#This Row],[Extra Initial]],0)</f>
        <v>5</v>
      </c>
      <c r="G79" s="150" t="s">
        <v>455</v>
      </c>
      <c r="H79" s="150" t="s">
        <v>456</v>
      </c>
      <c r="I79" s="150" t="s">
        <v>457</v>
      </c>
      <c r="J79" s="150">
        <v>1</v>
      </c>
      <c r="K79" s="154">
        <v>2.95</v>
      </c>
      <c r="L79" s="150" t="s">
        <v>1897</v>
      </c>
      <c r="M79" s="151"/>
      <c r="N79" s="154">
        <f>MouserListTable[[#This Row],['# Initial]]*MouserListTable[[#This Row],[Price (USD)]]</f>
        <v>14.75</v>
      </c>
      <c r="O79" s="151" t="s">
        <v>454</v>
      </c>
      <c r="P79" s="150">
        <f t="shared" si="2"/>
        <v>66</v>
      </c>
      <c r="Q79" s="150" t="s">
        <v>5</v>
      </c>
      <c r="R7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474-TOL-08639</v>
      </c>
      <c r="S79" s="157" t="str">
        <f>HYPERLINK("https://www.mouser.com/ProductDetail/" &amp;MouserListTable[[#This Row],[Mouser SKU]])</f>
        <v>https://www.mouser.com/ProductDetail/474-TOL-08639</v>
      </c>
      <c r="T79" s="152">
        <v>1</v>
      </c>
      <c r="U79" s="152">
        <v>0</v>
      </c>
      <c r="V79" s="152">
        <v>0</v>
      </c>
      <c r="W79" s="152">
        <f>MouserListTable[[#This Row],['#/Unit]]*FilterSpecs!$C$3+MouserListTable[[#This Row],[Extra]]</f>
        <v>5</v>
      </c>
      <c r="X79" s="152">
        <f>IF(MouserListTable[[#This Row],[Tag]]=FilterSpecs!$F$7,MouserListTable[[#This Row],['#/Unit]]*MouserListTable[[#This Row],[Price (USD)]],0)</f>
        <v>2.95</v>
      </c>
      <c r="Y79" s="152">
        <f>MouserListTable[[#This Row],[Tot '#]]*MouserListTable[[#This Row],[Price (USD)]]</f>
        <v>14.75</v>
      </c>
      <c r="Z79" s="146"/>
      <c r="AA79" s="153" t="str">
        <f>InitialOrderTable[[#This Row],[SKU]]</f>
        <v>474-TOL-08639</v>
      </c>
      <c r="AB79" s="153">
        <f>VALUE(InitialOrderTable[[#This Row],['# Initial]])</f>
        <v>5</v>
      </c>
      <c r="AD79" s="104" t="s">
        <v>2097</v>
      </c>
      <c r="AF79" s="104">
        <v>1</v>
      </c>
      <c r="AK79" s="146" t="e">
        <f ca="1">[1]!nonzeroQtys($AE$13,AD79)</f>
        <v>#NAME?</v>
      </c>
    </row>
    <row r="80" spans="1:37" s="104" customFormat="1" x14ac:dyDescent="0.25">
      <c r="A80" s="150" t="s">
        <v>887</v>
      </c>
      <c r="B80" s="150" t="s">
        <v>2018</v>
      </c>
      <c r="C80" s="150" t="s">
        <v>5</v>
      </c>
      <c r="D80" s="151" t="str">
        <f>IF(MouserListTable[[#This Row],[Vendor]]=FilterSpecs!$A$8,MouserListTable[[#This Row],[Mouser SKU]], MouserListTable[[#This Row],[Supplier SKU]])</f>
        <v>474-COM-11705</v>
      </c>
      <c r="E80" s="152">
        <f>MouserListTable[[#This Row],[Tot '#]]-MouserListTable[[#This Row],['# Initial]]</f>
        <v>0</v>
      </c>
      <c r="F80" s="152">
        <f>IF(AND(MouserListTable[[#This Row],[Tag]]&lt;&gt;FilterSpecs!$F$12, MouserListTable[[#This Row],[Tag]]&lt;&gt;FilterSpecs!$F$9), MouserListTable[[#This Row],['#/Unit]]*FilterSpecs!$B$3+MouserListTable[[#This Row],[Extra Initial]],0)</f>
        <v>5</v>
      </c>
      <c r="G80" s="150" t="s">
        <v>805</v>
      </c>
      <c r="H80" s="150" t="s">
        <v>806</v>
      </c>
      <c r="I80" s="150" t="s">
        <v>807</v>
      </c>
      <c r="J80" s="150"/>
      <c r="K80" s="154">
        <v>2.5</v>
      </c>
      <c r="L80" s="151" t="s">
        <v>1897</v>
      </c>
      <c r="M80" s="151"/>
      <c r="N80" s="154">
        <f>MouserListTable[[#This Row],['# Initial]]*MouserListTable[[#This Row],[Price (USD)]]</f>
        <v>12.5</v>
      </c>
      <c r="O80" s="151" t="s">
        <v>804</v>
      </c>
      <c r="P80" s="150">
        <f t="shared" si="2"/>
        <v>67</v>
      </c>
      <c r="Q80" s="150" t="s">
        <v>5</v>
      </c>
      <c r="R8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474-COM-11705</v>
      </c>
      <c r="S80" s="157" t="str">
        <f>HYPERLINK("https://www.mouser.com/ProductDetail/" &amp;MouserListTable[[#This Row],[Mouser SKU]])</f>
        <v>https://www.mouser.com/ProductDetail/474-COM-11705</v>
      </c>
      <c r="T80" s="152">
        <v>1</v>
      </c>
      <c r="U80" s="152">
        <v>0</v>
      </c>
      <c r="V80" s="152">
        <v>0</v>
      </c>
      <c r="W80" s="152">
        <f>MouserListTable[[#This Row],['#/Unit]]*FilterSpecs!$C$3+MouserListTable[[#This Row],[Extra]]</f>
        <v>5</v>
      </c>
      <c r="X80" s="152">
        <f>IF(MouserListTable[[#This Row],[Tag]]=FilterSpecs!$F$7,MouserListTable[[#This Row],['#/Unit]]*MouserListTable[[#This Row],[Price (USD)]],0)</f>
        <v>2.5</v>
      </c>
      <c r="Y80" s="152">
        <f>MouserListTable[[#This Row],[Tot '#]]*MouserListTable[[#This Row],[Price (USD)]]</f>
        <v>12.5</v>
      </c>
      <c r="Z80" s="146"/>
      <c r="AA80" s="153" t="str">
        <f>InitialOrderTable[[#This Row],[SKU]]</f>
        <v>474-COM-11705</v>
      </c>
      <c r="AB80" s="153">
        <f>VALUE(InitialOrderTable[[#This Row],['# Initial]])</f>
        <v>5</v>
      </c>
      <c r="AD80" s="104" t="s">
        <v>1076</v>
      </c>
      <c r="AF80" s="104">
        <v>5</v>
      </c>
      <c r="AK80" s="146" t="e">
        <f ca="1">[1]!nonzeroQtys($AE$13,AD80)</f>
        <v>#NAME?</v>
      </c>
    </row>
    <row r="81" spans="1:37" s="104" customFormat="1" x14ac:dyDescent="0.25">
      <c r="A81" s="150" t="s">
        <v>887</v>
      </c>
      <c r="B81" s="150" t="s">
        <v>2018</v>
      </c>
      <c r="C81" s="150" t="s">
        <v>1884</v>
      </c>
      <c r="D81" s="151" t="str">
        <f>IF(MouserListTable[[#This Row],[Vendor]]=FilterSpecs!$A$8,MouserListTable[[#This Row],[Mouser SKU]], MouserListTable[[#This Row],[Supplier SKU]])</f>
        <v>485-327</v>
      </c>
      <c r="E81" s="152">
        <f>MouserListTable[[#This Row],[Tot '#]]-MouserListTable[[#This Row],['# Initial]]</f>
        <v>0</v>
      </c>
      <c r="F81" s="152">
        <f>IF(AND(MouserListTable[[#This Row],[Tag]]&lt;&gt;FilterSpecs!$F$12, MouserListTable[[#This Row],[Tag]]&lt;&gt;FilterSpecs!$F$9), MouserListTable[[#This Row],['#/Unit]]*FilterSpecs!$B$3+MouserListTable[[#This Row],[Extra Initial]],0)</f>
        <v>0</v>
      </c>
      <c r="G81" s="150"/>
      <c r="H81" s="150"/>
      <c r="I81" s="150" t="s">
        <v>2249</v>
      </c>
      <c r="J81" s="153"/>
      <c r="K81" s="118">
        <v>2.95</v>
      </c>
      <c r="L81" s="97" t="s">
        <v>1896</v>
      </c>
      <c r="M81" s="153"/>
      <c r="N81" s="154">
        <f>MouserListTable[[#This Row],['# Initial]]*MouserListTable[[#This Row],[Price (USD)]]</f>
        <v>0</v>
      </c>
      <c r="O81" s="151" t="s">
        <v>2248</v>
      </c>
      <c r="P81" s="150">
        <f t="shared" si="2"/>
        <v>68</v>
      </c>
      <c r="Q81" s="150" t="s">
        <v>1884</v>
      </c>
      <c r="R8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485-327</v>
      </c>
      <c r="S81" s="157" t="str">
        <f>HYPERLINK("https://www.mouser.com/ProductDetail/" &amp;MouserListTable[[#This Row],[Mouser SKU]])</f>
        <v>https://www.mouser.com/ProductDetail/485-327</v>
      </c>
      <c r="T81" s="152">
        <v>0</v>
      </c>
      <c r="U81" s="152">
        <v>0</v>
      </c>
      <c r="V81" s="152">
        <v>0</v>
      </c>
      <c r="W81" s="152">
        <f>MouserListTable[[#This Row],['#/Unit]]*FilterSpecs!$C$3+MouserListTable[[#This Row],[Extra]]</f>
        <v>0</v>
      </c>
      <c r="X81" s="152">
        <f>IF(MouserListTable[[#This Row],[Tag]]=FilterSpecs!$F$7,MouserListTable[[#This Row],['#/Unit]]*MouserListTable[[#This Row],[Price (USD)]],0)</f>
        <v>0</v>
      </c>
      <c r="Y81" s="152">
        <f>MouserListTable[[#This Row],[Tot '#]]*MouserListTable[[#This Row],[Price (USD)]]</f>
        <v>0</v>
      </c>
      <c r="Z81" s="146"/>
      <c r="AA81" s="153" t="str">
        <f>InitialOrderTable[[#This Row],[SKU]]</f>
        <v>485-327</v>
      </c>
      <c r="AB81" s="153">
        <f>VALUE(InitialOrderTable[[#This Row],['# Initial]])</f>
        <v>0</v>
      </c>
      <c r="AD81" s="104" t="s">
        <v>1256</v>
      </c>
      <c r="AF81" s="104">
        <v>5</v>
      </c>
      <c r="AK81" s="146" t="e">
        <f ca="1">[1]!nonzeroQtys($AE$13,AD81)</f>
        <v>#NAME?</v>
      </c>
    </row>
    <row r="82" spans="1:37" s="104" customFormat="1" x14ac:dyDescent="0.25">
      <c r="A82" s="150" t="s">
        <v>887</v>
      </c>
      <c r="B82" s="150" t="s">
        <v>2018</v>
      </c>
      <c r="C82" s="150" t="s">
        <v>1884</v>
      </c>
      <c r="D82" s="151" t="str">
        <f>IF(MouserListTable[[#This Row],[Vendor]]=FilterSpecs!$A$8,MouserListTable[[#This Row],[Mouser SKU]], MouserListTable[[#This Row],[Supplier SKU]])</f>
        <v>485-411</v>
      </c>
      <c r="E82" s="152">
        <f>MouserListTable[[#This Row],[Tot '#]]-MouserListTable[[#This Row],['# Initial]]</f>
        <v>1</v>
      </c>
      <c r="F82" s="152">
        <f>IF(AND(MouserListTable[[#This Row],[Tag]]&lt;&gt;FilterSpecs!$F$12, MouserListTable[[#This Row],[Tag]]&lt;&gt;FilterSpecs!$F$9), MouserListTable[[#This Row],['#/Unit]]*FilterSpecs!$B$3+MouserListTable[[#This Row],[Extra Initial]],0)</f>
        <v>0</v>
      </c>
      <c r="G82" s="150"/>
      <c r="H82" s="150"/>
      <c r="I82" s="150" t="s">
        <v>2251</v>
      </c>
      <c r="J82" s="153"/>
      <c r="K82" s="154">
        <v>2.5</v>
      </c>
      <c r="L82" s="150" t="s">
        <v>1896</v>
      </c>
      <c r="M82" s="151"/>
      <c r="N82" s="154">
        <f>MouserListTable[[#This Row],['# Initial]]*MouserListTable[[#This Row],[Price (USD)]]</f>
        <v>0</v>
      </c>
      <c r="O82" s="151" t="s">
        <v>2250</v>
      </c>
      <c r="P82" s="150">
        <f t="shared" si="2"/>
        <v>69</v>
      </c>
      <c r="Q82" s="150" t="s">
        <v>1884</v>
      </c>
      <c r="R8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485-411</v>
      </c>
      <c r="S82" s="157" t="str">
        <f>HYPERLINK("https://www.mouser.com/ProductDetail/" &amp;MouserListTable[[#This Row],[Mouser SKU]])</f>
        <v>https://www.mouser.com/ProductDetail/485-411</v>
      </c>
      <c r="T82" s="152">
        <v>0</v>
      </c>
      <c r="U82" s="152">
        <v>1</v>
      </c>
      <c r="V82" s="152">
        <v>0</v>
      </c>
      <c r="W82" s="152">
        <f>MouserListTable[[#This Row],['#/Unit]]*FilterSpecs!$C$3+MouserListTable[[#This Row],[Extra]]</f>
        <v>1</v>
      </c>
      <c r="X82" s="152">
        <f>IF(MouserListTable[[#This Row],[Tag]]=FilterSpecs!$F$7,MouserListTable[[#This Row],['#/Unit]]*MouserListTable[[#This Row],[Price (USD)]],0)</f>
        <v>0</v>
      </c>
      <c r="Y82" s="152">
        <f>MouserListTable[[#This Row],[Tot '#]]*MouserListTable[[#This Row],[Price (USD)]]</f>
        <v>2.5</v>
      </c>
      <c r="Z82" s="146"/>
      <c r="AA82" s="153" t="str">
        <f>InitialOrderTable[[#This Row],[SKU]]</f>
        <v>485-411</v>
      </c>
      <c r="AB82" s="153">
        <f>VALUE(InitialOrderTable[[#This Row],['# Initial]])</f>
        <v>0</v>
      </c>
      <c r="AD82" s="104" t="s">
        <v>1072</v>
      </c>
      <c r="AF82" s="104">
        <v>5</v>
      </c>
      <c r="AK82" s="146" t="e">
        <f ca="1">[1]!nonzeroQtys($AE$13,AD82)</f>
        <v>#NAME?</v>
      </c>
    </row>
    <row r="83" spans="1:37" s="104" customFormat="1" x14ac:dyDescent="0.25">
      <c r="A83" s="150" t="s">
        <v>887</v>
      </c>
      <c r="B83" s="150" t="s">
        <v>2018</v>
      </c>
      <c r="C83" s="150" t="s">
        <v>1884</v>
      </c>
      <c r="D83" s="151" t="str">
        <f>IF(MouserListTable[[#This Row],[Vendor]]=FilterSpecs!$A$8,MouserListTable[[#This Row],[Mouser SKU]], MouserListTable[[#This Row],[Supplier SKU]])</f>
        <v>485-2897</v>
      </c>
      <c r="E83" s="152">
        <f>MouserListTable[[#This Row],[Tot '#]]-MouserListTable[[#This Row],['# Initial]]</f>
        <v>1</v>
      </c>
      <c r="F83" s="152">
        <f>IF(AND(MouserListTable[[#This Row],[Tag]]&lt;&gt;FilterSpecs!$F$12, MouserListTable[[#This Row],[Tag]]&lt;&gt;FilterSpecs!$F$9), MouserListTable[[#This Row],['#/Unit]]*FilterSpecs!$B$3+MouserListTable[[#This Row],[Extra Initial]],0)</f>
        <v>0</v>
      </c>
      <c r="G83" s="150"/>
      <c r="H83" s="150"/>
      <c r="I83" s="150" t="s">
        <v>2253</v>
      </c>
      <c r="J83" s="153"/>
      <c r="K83" s="154">
        <v>0.95</v>
      </c>
      <c r="L83" s="150" t="s">
        <v>1896</v>
      </c>
      <c r="M83" s="151"/>
      <c r="N83" s="154">
        <f>MouserListTable[[#This Row],['# Initial]]*MouserListTable[[#This Row],[Price (USD)]]</f>
        <v>0</v>
      </c>
      <c r="O83" s="151" t="s">
        <v>2252</v>
      </c>
      <c r="P83" s="150">
        <f t="shared" si="2"/>
        <v>70</v>
      </c>
      <c r="Q83" s="150" t="s">
        <v>1884</v>
      </c>
      <c r="R8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485-2897</v>
      </c>
      <c r="S83" s="157" t="str">
        <f>HYPERLINK("https://www.mouser.com/ProductDetail/" &amp;MouserListTable[[#This Row],[Mouser SKU]])</f>
        <v>https://www.mouser.com/ProductDetail/485-2897</v>
      </c>
      <c r="T83" s="152">
        <v>0</v>
      </c>
      <c r="U83" s="152">
        <v>1</v>
      </c>
      <c r="V83" s="152">
        <v>0</v>
      </c>
      <c r="W83" s="152">
        <f>MouserListTable[[#This Row],['#/Unit]]*FilterSpecs!$C$3+MouserListTable[[#This Row],[Extra]]</f>
        <v>1</v>
      </c>
      <c r="X83" s="152">
        <f>IF(MouserListTable[[#This Row],[Tag]]=FilterSpecs!$F$7,MouserListTable[[#This Row],['#/Unit]]*MouserListTable[[#This Row],[Price (USD)]],0)</f>
        <v>0</v>
      </c>
      <c r="Y83" s="152">
        <f>MouserListTable[[#This Row],[Tot '#]]*MouserListTable[[#This Row],[Price (USD)]]</f>
        <v>0.95</v>
      </c>
      <c r="Z83" s="146"/>
      <c r="AA83" s="153" t="str">
        <f>InitialOrderTable[[#This Row],[SKU]]</f>
        <v>485-2897</v>
      </c>
      <c r="AB83" s="153">
        <f>VALUE(InitialOrderTable[[#This Row],['# Initial]])</f>
        <v>0</v>
      </c>
      <c r="AD83" s="104" t="s">
        <v>2093</v>
      </c>
      <c r="AF83" s="104">
        <v>10</v>
      </c>
      <c r="AK83" s="146" t="e">
        <f ca="1">[1]!nonzeroQtys($AE$13,AD83)</f>
        <v>#NAME?</v>
      </c>
    </row>
    <row r="84" spans="1:37" s="104" customFormat="1" x14ac:dyDescent="0.25">
      <c r="A84" s="150" t="s">
        <v>887</v>
      </c>
      <c r="B84" s="150" t="s">
        <v>2018</v>
      </c>
      <c r="C84" s="150" t="s">
        <v>1884</v>
      </c>
      <c r="D84" s="151" t="str">
        <f>IF(MouserListTable[[#This Row],[Vendor]]=FilterSpecs!$A$8,MouserListTable[[#This Row],[Mouser SKU]], MouserListTable[[#This Row],[Supplier SKU]])</f>
        <v>485-2788</v>
      </c>
      <c r="E84" s="152">
        <f>MouserListTable[[#This Row],[Tot '#]]-MouserListTable[[#This Row],['# Initial]]</f>
        <v>1</v>
      </c>
      <c r="F84" s="152">
        <f>IF(AND(MouserListTable[[#This Row],[Tag]]&lt;&gt;FilterSpecs!$F$12, MouserListTable[[#This Row],[Tag]]&lt;&gt;FilterSpecs!$F$9), MouserListTable[[#This Row],['#/Unit]]*FilterSpecs!$B$3+MouserListTable[[#This Row],[Extra Initial]],0)</f>
        <v>0</v>
      </c>
      <c r="G84" s="150"/>
      <c r="H84" s="150"/>
      <c r="I84" s="150" t="s">
        <v>2255</v>
      </c>
      <c r="J84" s="153"/>
      <c r="K84" s="154">
        <v>0.95</v>
      </c>
      <c r="L84" s="150" t="s">
        <v>1896</v>
      </c>
      <c r="M84" s="151"/>
      <c r="N84" s="154">
        <f>MouserListTable[[#This Row],['# Initial]]*MouserListTable[[#This Row],[Price (USD)]]</f>
        <v>0</v>
      </c>
      <c r="O84" s="151" t="s">
        <v>2254</v>
      </c>
      <c r="P84" s="150">
        <f t="shared" si="2"/>
        <v>71</v>
      </c>
      <c r="Q84" s="150" t="s">
        <v>1884</v>
      </c>
      <c r="R8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485-2788</v>
      </c>
      <c r="S84" s="157" t="str">
        <f>HYPERLINK("https://www.mouser.com/ProductDetail/" &amp;MouserListTable[[#This Row],[Mouser SKU]])</f>
        <v>https://www.mouser.com/ProductDetail/485-2788</v>
      </c>
      <c r="T84" s="152">
        <v>0</v>
      </c>
      <c r="U84" s="152">
        <v>1</v>
      </c>
      <c r="V84" s="152">
        <v>0</v>
      </c>
      <c r="W84" s="152">
        <f>MouserListTable[[#This Row],['#/Unit]]*FilterSpecs!$C$3+MouserListTable[[#This Row],[Extra]]</f>
        <v>1</v>
      </c>
      <c r="X84" s="152">
        <f>IF(MouserListTable[[#This Row],[Tag]]=FilterSpecs!$F$7,MouserListTable[[#This Row],['#/Unit]]*MouserListTable[[#This Row],[Price (USD)]],0)</f>
        <v>0</v>
      </c>
      <c r="Y84" s="152">
        <f>MouserListTable[[#This Row],[Tot '#]]*MouserListTable[[#This Row],[Price (USD)]]</f>
        <v>0.95</v>
      </c>
      <c r="Z84" s="146"/>
      <c r="AA84" s="153" t="str">
        <f>InitialOrderTable[[#This Row],[SKU]]</f>
        <v>485-2788</v>
      </c>
      <c r="AB84" s="153">
        <f>VALUE(InitialOrderTable[[#This Row],['# Initial]])</f>
        <v>0</v>
      </c>
      <c r="AD84" s="104" t="s">
        <v>1252</v>
      </c>
      <c r="AF84" s="104">
        <v>2</v>
      </c>
      <c r="AK84" s="146" t="e">
        <f ca="1">[1]!nonzeroQtys($AE$13,AD84)</f>
        <v>#NAME?</v>
      </c>
    </row>
    <row r="85" spans="1:37" s="104" customFormat="1" x14ac:dyDescent="0.25">
      <c r="A85" s="150" t="s">
        <v>887</v>
      </c>
      <c r="B85" s="150" t="s">
        <v>2020</v>
      </c>
      <c r="C85" s="150" t="s">
        <v>5</v>
      </c>
      <c r="D85" s="151" t="str">
        <f>IF(MouserListTable[[#This Row],[Vendor]]=FilterSpecs!$A$8,MouserListTable[[#This Row],[Mouser SKU]], MouserListTable[[#This Row],[Supplier SKU]])</f>
        <v>474-TOL-12890</v>
      </c>
      <c r="E85" s="152">
        <f>MouserListTable[[#This Row],[Tot '#]]-MouserListTable[[#This Row],['# Initial]]</f>
        <v>0</v>
      </c>
      <c r="F85" s="152">
        <f>IF(AND(MouserListTable[[#This Row],[Tag]]&lt;&gt;FilterSpecs!$F$12, MouserListTable[[#This Row],[Tag]]&lt;&gt;FilterSpecs!$F$9), MouserListTable[[#This Row],['#/Unit]]*FilterSpecs!$B$3+MouserListTable[[#This Row],[Extra Initial]],0)</f>
        <v>0</v>
      </c>
      <c r="G85" s="150" t="s">
        <v>1101</v>
      </c>
      <c r="H85" s="150" t="s">
        <v>1102</v>
      </c>
      <c r="I85" s="150" t="s">
        <v>1103</v>
      </c>
      <c r="J85" s="153">
        <v>1</v>
      </c>
      <c r="K85" s="118">
        <v>5.95</v>
      </c>
      <c r="L85" s="97" t="s">
        <v>1896</v>
      </c>
      <c r="M85" s="153"/>
      <c r="N85" s="154">
        <f>MouserListTable[[#This Row],['# Initial]]*MouserListTable[[#This Row],[Price (USD)]]</f>
        <v>0</v>
      </c>
      <c r="O85" s="151" t="s">
        <v>1100</v>
      </c>
      <c r="P85" s="150">
        <f t="shared" si="2"/>
        <v>72</v>
      </c>
      <c r="Q85" s="150" t="s">
        <v>5</v>
      </c>
      <c r="R8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474-TOL-12890</v>
      </c>
      <c r="S85" s="157" t="str">
        <f>HYPERLINK("https://www.mouser.com/ProductDetail/" &amp;MouserListTable[[#This Row],[Mouser SKU]])</f>
        <v>https://www.mouser.com/ProductDetail/474-TOL-12890</v>
      </c>
      <c r="T85" s="152">
        <v>0</v>
      </c>
      <c r="U85" s="152">
        <v>0</v>
      </c>
      <c r="V85" s="152">
        <v>0</v>
      </c>
      <c r="W85" s="152">
        <f>MouserListTable[[#This Row],['#/Unit]]*FilterSpecs!$C$3+MouserListTable[[#This Row],[Extra]]</f>
        <v>0</v>
      </c>
      <c r="X85" s="152">
        <f>IF(MouserListTable[[#This Row],[Tag]]=FilterSpecs!$F$7,MouserListTable[[#This Row],['#/Unit]]*MouserListTable[[#This Row],[Price (USD)]],0)</f>
        <v>0</v>
      </c>
      <c r="Y85" s="152">
        <f>MouserListTable[[#This Row],[Tot '#]]*MouserListTable[[#This Row],[Price (USD)]]</f>
        <v>0</v>
      </c>
      <c r="Z85" s="146"/>
      <c r="AA85" s="153" t="str">
        <f>InitialOrderTable[[#This Row],[SKU]]</f>
        <v>474-TOL-12890</v>
      </c>
      <c r="AB85" s="153">
        <f>VALUE(InitialOrderTable[[#This Row],['# Initial]])</f>
        <v>0</v>
      </c>
      <c r="AD85" s="104" t="s">
        <v>1068</v>
      </c>
      <c r="AF85" s="104">
        <v>3</v>
      </c>
      <c r="AK85" s="146" t="e">
        <f ca="1">[1]!nonzeroQtys($AE$13,AD85)</f>
        <v>#NAME?</v>
      </c>
    </row>
    <row r="86" spans="1:37" s="104" customFormat="1" x14ac:dyDescent="0.25">
      <c r="A86" s="150" t="s">
        <v>887</v>
      </c>
      <c r="B86" s="150" t="s">
        <v>2020</v>
      </c>
      <c r="C86" s="150" t="s">
        <v>1884</v>
      </c>
      <c r="D86" s="151" t="str">
        <f>IF(MouserListTable[[#This Row],[Vendor]]=FilterSpecs!$A$8,MouserListTable[[#This Row],[Mouser SKU]], MouserListTable[[#This Row],[Supplier SKU]])</f>
        <v>485-501</v>
      </c>
      <c r="E86" s="152">
        <f>MouserListTable[[#This Row],[Tot '#]]-MouserListTable[[#This Row],['# Initial]]</f>
        <v>0</v>
      </c>
      <c r="F86" s="152">
        <f>IF(AND(MouserListTable[[#This Row],[Tag]]&lt;&gt;FilterSpecs!$F$12, MouserListTable[[#This Row],[Tag]]&lt;&gt;FilterSpecs!$F$9), MouserListTable[[#This Row],['#/Unit]]*FilterSpecs!$B$3+MouserListTable[[#This Row],[Extra Initial]],0)</f>
        <v>0</v>
      </c>
      <c r="G86" s="150"/>
      <c r="H86" s="150"/>
      <c r="I86" s="150" t="s">
        <v>2289</v>
      </c>
      <c r="J86" s="153"/>
      <c r="K86" s="118">
        <v>5.95</v>
      </c>
      <c r="L86" s="97" t="s">
        <v>1896</v>
      </c>
      <c r="M86" s="153"/>
      <c r="N86" s="154">
        <f>MouserListTable[[#This Row],['# Initial]]*MouserListTable[[#This Row],[Price (USD)]]</f>
        <v>0</v>
      </c>
      <c r="O86" s="151" t="s">
        <v>2288</v>
      </c>
      <c r="P86" s="150">
        <f t="shared" si="2"/>
        <v>73</v>
      </c>
      <c r="Q86" s="150" t="s">
        <v>1884</v>
      </c>
      <c r="R8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485-501</v>
      </c>
      <c r="S86" s="157" t="str">
        <f>HYPERLINK("https://www.mouser.com/ProductDetail/" &amp;MouserListTable[[#This Row],[Mouser SKU]])</f>
        <v>https://www.mouser.com/ProductDetail/485-501</v>
      </c>
      <c r="T86" s="152">
        <v>0</v>
      </c>
      <c r="U86" s="152">
        <v>0</v>
      </c>
      <c r="V86" s="152">
        <v>0</v>
      </c>
      <c r="W86" s="152">
        <f>MouserListTable[[#This Row],['#/Unit]]*FilterSpecs!$C$3+MouserListTable[[#This Row],[Extra]]</f>
        <v>0</v>
      </c>
      <c r="X86" s="152">
        <f>IF(MouserListTable[[#This Row],[Tag]]=FilterSpecs!$F$7,MouserListTable[[#This Row],['#/Unit]]*MouserListTable[[#This Row],[Price (USD)]],0)</f>
        <v>0</v>
      </c>
      <c r="Y86" s="152">
        <f>MouserListTable[[#This Row],[Tot '#]]*MouserListTable[[#This Row],[Price (USD)]]</f>
        <v>0</v>
      </c>
      <c r="Z86" s="146"/>
      <c r="AA86" s="153" t="str">
        <f>InitialOrderTable[[#This Row],[SKU]]</f>
        <v>485-501</v>
      </c>
      <c r="AB86" s="153">
        <f>VALUE(InitialOrderTable[[#This Row],['# Initial]])</f>
        <v>0</v>
      </c>
      <c r="AD86" s="104" t="s">
        <v>636</v>
      </c>
      <c r="AF86" s="104">
        <v>5</v>
      </c>
      <c r="AK86" s="146" t="e">
        <f ca="1">[1]!nonzeroQtys($AE$13,AD86)</f>
        <v>#NAME?</v>
      </c>
    </row>
    <row r="87" spans="1:37" s="104" customFormat="1" x14ac:dyDescent="0.25">
      <c r="A87" s="150" t="s">
        <v>887</v>
      </c>
      <c r="B87" s="150" t="s">
        <v>2020</v>
      </c>
      <c r="C87" s="150" t="s">
        <v>1884</v>
      </c>
      <c r="D87" s="151" t="str">
        <f>IF(MouserListTable[[#This Row],[Vendor]]=FilterSpecs!$A$8,MouserListTable[[#This Row],[Mouser SKU]], MouserListTable[[#This Row],[Supplier SKU]])</f>
        <v>485-1994</v>
      </c>
      <c r="E87" s="152">
        <f>MouserListTable[[#This Row],[Tot '#]]-MouserListTable[[#This Row],['# Initial]]</f>
        <v>0</v>
      </c>
      <c r="F87" s="152">
        <f>IF(AND(MouserListTable[[#This Row],[Tag]]&lt;&gt;FilterSpecs!$F$12, MouserListTable[[#This Row],[Tag]]&lt;&gt;FilterSpecs!$F$9), MouserListTable[[#This Row],['#/Unit]]*FilterSpecs!$B$3+MouserListTable[[#This Row],[Extra Initial]],0)</f>
        <v>5</v>
      </c>
      <c r="G87" s="150"/>
      <c r="H87" s="150"/>
      <c r="I87" s="150" t="s">
        <v>2291</v>
      </c>
      <c r="J87" s="153"/>
      <c r="K87" s="154">
        <v>6.95</v>
      </c>
      <c r="L87" s="150" t="s">
        <v>1897</v>
      </c>
      <c r="M87" s="151"/>
      <c r="N87" s="154">
        <f>MouserListTable[[#This Row],['# Initial]]*MouserListTable[[#This Row],[Price (USD)]]</f>
        <v>34.75</v>
      </c>
      <c r="O87" s="151" t="s">
        <v>2290</v>
      </c>
      <c r="P87" s="150">
        <f t="shared" si="2"/>
        <v>74</v>
      </c>
      <c r="Q87" s="150" t="s">
        <v>1884</v>
      </c>
      <c r="R8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485-1994</v>
      </c>
      <c r="S87" s="157" t="str">
        <f>HYPERLINK("https://www.mouser.com/ProductDetail/" &amp;MouserListTable[[#This Row],[Mouser SKU]])</f>
        <v>https://www.mouser.com/ProductDetail/485-1994</v>
      </c>
      <c r="T87" s="152">
        <v>1</v>
      </c>
      <c r="U87" s="152">
        <v>0</v>
      </c>
      <c r="V87" s="152">
        <v>0</v>
      </c>
      <c r="W87" s="152">
        <f>MouserListTable[[#This Row],['#/Unit]]*FilterSpecs!$C$3+MouserListTable[[#This Row],[Extra]]</f>
        <v>5</v>
      </c>
      <c r="X87" s="152">
        <f>IF(MouserListTable[[#This Row],[Tag]]=FilterSpecs!$F$7,MouserListTable[[#This Row],['#/Unit]]*MouserListTable[[#This Row],[Price (USD)]],0)</f>
        <v>6.95</v>
      </c>
      <c r="Y87" s="152">
        <f>MouserListTable[[#This Row],[Tot '#]]*MouserListTable[[#This Row],[Price (USD)]]</f>
        <v>34.75</v>
      </c>
      <c r="Z87" s="146"/>
      <c r="AA87" s="153" t="str">
        <f>InitialOrderTable[[#This Row],[SKU]]</f>
        <v>485-1994</v>
      </c>
      <c r="AB87" s="153">
        <f>VALUE(InitialOrderTable[[#This Row],['# Initial]])</f>
        <v>5</v>
      </c>
      <c r="AD87" s="104" t="s">
        <v>644</v>
      </c>
      <c r="AF87" s="104">
        <v>5</v>
      </c>
      <c r="AK87" s="146" t="e">
        <f ca="1">[1]!nonzeroQtys($AE$13,AD87)</f>
        <v>#NAME?</v>
      </c>
    </row>
    <row r="88" spans="1:37" s="104" customFormat="1" x14ac:dyDescent="0.25">
      <c r="A88" s="150" t="s">
        <v>887</v>
      </c>
      <c r="B88" s="150" t="s">
        <v>2013</v>
      </c>
      <c r="C88" s="150" t="s">
        <v>5</v>
      </c>
      <c r="D88" s="151" t="str">
        <f>IF(MouserListTable[[#This Row],[Vendor]]=FilterSpecs!$A$8,MouserListTable[[#This Row],[Mouser SKU]], MouserListTable[[#This Row],[Supplier SKU]])</f>
        <v>474-CAB-00512</v>
      </c>
      <c r="E88" s="152">
        <f>MouserListTable[[#This Row],[Tot '#]]-MouserListTable[[#This Row],['# Initial]]</f>
        <v>0</v>
      </c>
      <c r="F88" s="152">
        <f>IF(AND(MouserListTable[[#This Row],[Tag]]&lt;&gt;FilterSpecs!$F$12, MouserListTable[[#This Row],[Tag]]&lt;&gt;FilterSpecs!$F$9), MouserListTable[[#This Row],['#/Unit]]*FilterSpecs!$B$3+MouserListTable[[#This Row],[Extra Initial]],0)</f>
        <v>5</v>
      </c>
      <c r="G88" s="150" t="s">
        <v>2466</v>
      </c>
      <c r="H88" s="150" t="s">
        <v>2467</v>
      </c>
      <c r="I88" s="150" t="s">
        <v>2468</v>
      </c>
      <c r="J88" s="150">
        <v>1</v>
      </c>
      <c r="K88" s="154">
        <v>3.95</v>
      </c>
      <c r="L88" s="150" t="s">
        <v>1897</v>
      </c>
      <c r="M88" s="150"/>
      <c r="N88" s="154">
        <f>MouserListTable[[#This Row],['# Initial]]*MouserListTable[[#This Row],[Price (USD)]]</f>
        <v>19.75</v>
      </c>
      <c r="O88" s="151" t="s">
        <v>2465</v>
      </c>
      <c r="P88" s="150">
        <f t="shared" si="2"/>
        <v>75</v>
      </c>
      <c r="Q88" s="150" t="s">
        <v>5</v>
      </c>
      <c r="R8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474-CAB-00512</v>
      </c>
      <c r="S88" s="157" t="str">
        <f>HYPERLINK("https://www.mouser.com/ProductDetail/" &amp;MouserListTable[[#This Row],[Mouser SKU]])</f>
        <v>https://www.mouser.com/ProductDetail/474-CAB-00512</v>
      </c>
      <c r="T88" s="152">
        <v>1</v>
      </c>
      <c r="U88" s="152">
        <v>0</v>
      </c>
      <c r="V88" s="152">
        <v>0</v>
      </c>
      <c r="W88" s="152">
        <f>MouserListTable[[#This Row],['#/Unit]]*FilterSpecs!$C$3+MouserListTable[[#This Row],[Extra]]</f>
        <v>5</v>
      </c>
      <c r="X88" s="152">
        <f>IF(MouserListTable[[#This Row],[Tag]]=FilterSpecs!$F$7,MouserListTable[[#This Row],['#/Unit]]*MouserListTable[[#This Row],[Price (USD)]],0)</f>
        <v>3.95</v>
      </c>
      <c r="Y88" s="152">
        <f>MouserListTable[[#This Row],[Tot '#]]*MouserListTable[[#This Row],[Price (USD)]]</f>
        <v>19.75</v>
      </c>
      <c r="Z88" s="146"/>
      <c r="AA88" s="153" t="str">
        <f>InitialOrderTable[[#This Row],[SKU]]</f>
        <v>474-CAB-00512</v>
      </c>
      <c r="AB88" s="153">
        <f>VALUE(InitialOrderTable[[#This Row],['# Initial]])</f>
        <v>5</v>
      </c>
      <c r="AD88" s="104" t="s">
        <v>700</v>
      </c>
      <c r="AF88" s="104">
        <v>5</v>
      </c>
      <c r="AK88" s="146" t="e">
        <f ca="1">[1]!nonzeroQtys($AE$13,AD88)</f>
        <v>#NAME?</v>
      </c>
    </row>
    <row r="89" spans="1:37" s="104" customFormat="1" x14ac:dyDescent="0.25">
      <c r="A89" s="150" t="s">
        <v>887</v>
      </c>
      <c r="B89" s="150" t="s">
        <v>2013</v>
      </c>
      <c r="C89" s="150" t="s">
        <v>5</v>
      </c>
      <c r="D89" s="151" t="str">
        <f>IF(MouserListTable[[#This Row],[Vendor]]=FilterSpecs!$A$8,MouserListTable[[#This Row],[Mouser SKU]], MouserListTable[[#This Row],[Supplier SKU]])</f>
        <v>474-CAB-11301</v>
      </c>
      <c r="E89" s="152">
        <f>MouserListTable[[#This Row],[Tot '#]]-MouserListTable[[#This Row],['# Initial]]</f>
        <v>0</v>
      </c>
      <c r="F89" s="152">
        <f>IF(AND(MouserListTable[[#This Row],[Tag]]&lt;&gt;FilterSpecs!$F$12, MouserListTable[[#This Row],[Tag]]&lt;&gt;FilterSpecs!$F$9), MouserListTable[[#This Row],['#/Unit]]*FilterSpecs!$B$3+MouserListTable[[#This Row],[Extra Initial]],0)</f>
        <v>5</v>
      </c>
      <c r="G89" s="150" t="s">
        <v>2470</v>
      </c>
      <c r="H89" s="150" t="s">
        <v>2471</v>
      </c>
      <c r="I89" s="150" t="s">
        <v>2472</v>
      </c>
      <c r="J89" s="150">
        <v>1</v>
      </c>
      <c r="K89" s="154">
        <v>3.95</v>
      </c>
      <c r="L89" s="150" t="s">
        <v>1897</v>
      </c>
      <c r="M89" s="150"/>
      <c r="N89" s="154">
        <f>MouserListTable[[#This Row],['# Initial]]*MouserListTable[[#This Row],[Price (USD)]]</f>
        <v>19.75</v>
      </c>
      <c r="O89" s="151" t="s">
        <v>2469</v>
      </c>
      <c r="P89" s="150">
        <f t="shared" si="2"/>
        <v>76</v>
      </c>
      <c r="Q89" s="150" t="s">
        <v>5</v>
      </c>
      <c r="R8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474-CAB-11301</v>
      </c>
      <c r="S89" s="157" t="str">
        <f>HYPERLINK("https://www.mouser.com/ProductDetail/" &amp;MouserListTable[[#This Row],[Mouser SKU]])</f>
        <v>https://www.mouser.com/ProductDetail/474-CAB-11301</v>
      </c>
      <c r="T89" s="152">
        <v>1</v>
      </c>
      <c r="U89" s="152">
        <v>0</v>
      </c>
      <c r="V89" s="152">
        <v>0</v>
      </c>
      <c r="W89" s="152">
        <f>MouserListTable[[#This Row],['#/Unit]]*FilterSpecs!$C$3+MouserListTable[[#This Row],[Extra]]</f>
        <v>5</v>
      </c>
      <c r="X89" s="152">
        <f>IF(MouserListTable[[#This Row],[Tag]]=FilterSpecs!$F$7,MouserListTable[[#This Row],['#/Unit]]*MouserListTable[[#This Row],[Price (USD)]],0)</f>
        <v>3.95</v>
      </c>
      <c r="Y89" s="152">
        <f>MouserListTable[[#This Row],[Tot '#]]*MouserListTable[[#This Row],[Price (USD)]]</f>
        <v>19.75</v>
      </c>
      <c r="Z89" s="146"/>
      <c r="AA89" s="153" t="str">
        <f>InitialOrderTable[[#This Row],[SKU]]</f>
        <v>474-CAB-11301</v>
      </c>
      <c r="AB89" s="153">
        <f>VALUE(InitialOrderTable[[#This Row],['# Initial]])</f>
        <v>5</v>
      </c>
      <c r="AD89" s="104" t="s">
        <v>901</v>
      </c>
      <c r="AF89" s="104">
        <v>5</v>
      </c>
      <c r="AK89" s="146" t="e">
        <f ca="1">[1]!nonzeroQtys($AE$13,AD89)</f>
        <v>#NAME?</v>
      </c>
    </row>
    <row r="90" spans="1:37" s="104" customFormat="1" x14ac:dyDescent="0.25">
      <c r="A90" s="97" t="s">
        <v>887</v>
      </c>
      <c r="B90" s="97" t="s">
        <v>2013</v>
      </c>
      <c r="C90" s="150" t="s">
        <v>5</v>
      </c>
      <c r="D90" s="151" t="str">
        <f>IF(MouserListTable[[#This Row],[Vendor]]=FilterSpecs!$A$8,MouserListTable[[#This Row],[Mouser SKU]], MouserListTable[[#This Row],[Supplier SKU]])</f>
        <v>474-CAB-13243</v>
      </c>
      <c r="E90" s="152">
        <f>MouserListTable[[#This Row],[Tot '#]]-MouserListTable[[#This Row],['# Initial]]</f>
        <v>0</v>
      </c>
      <c r="F90" s="152">
        <f>IF(AND(MouserListTable[[#This Row],[Tag]]&lt;&gt;FilterSpecs!$F$12, MouserListTable[[#This Row],[Tag]]&lt;&gt;FilterSpecs!$F$9), MouserListTable[[#This Row],['#/Unit]]*FilterSpecs!$B$3+MouserListTable[[#This Row],[Extra Initial]],0)</f>
        <v>0</v>
      </c>
      <c r="G90" s="150" t="s">
        <v>2474</v>
      </c>
      <c r="H90" s="150" t="s">
        <v>2475</v>
      </c>
      <c r="I90" s="150" t="s">
        <v>2476</v>
      </c>
      <c r="J90" s="150">
        <v>1</v>
      </c>
      <c r="K90" s="154">
        <v>1.95</v>
      </c>
      <c r="L90" s="150" t="s">
        <v>1897</v>
      </c>
      <c r="M90" s="150"/>
      <c r="N90" s="154">
        <f>MouserListTable[[#This Row],['# Initial]]*MouserListTable[[#This Row],[Price (USD)]]</f>
        <v>0</v>
      </c>
      <c r="O90" s="151" t="s">
        <v>2473</v>
      </c>
      <c r="P90" s="150">
        <f t="shared" si="2"/>
        <v>77</v>
      </c>
      <c r="Q90" s="150" t="s">
        <v>5</v>
      </c>
      <c r="R9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474-CAB-13243</v>
      </c>
      <c r="S90" s="157" t="str">
        <f>HYPERLINK("https://www.mouser.com/ProductDetail/" &amp;MouserListTable[[#This Row],[Mouser SKU]])</f>
        <v>https://www.mouser.com/ProductDetail/474-CAB-13243</v>
      </c>
      <c r="T90" s="152">
        <v>0</v>
      </c>
      <c r="U90" s="152">
        <v>0</v>
      </c>
      <c r="V90" s="152">
        <v>0</v>
      </c>
      <c r="W90" s="152">
        <f>MouserListTable[[#This Row],['#/Unit]]*FilterSpecs!$C$3+MouserListTable[[#This Row],[Extra]]</f>
        <v>0</v>
      </c>
      <c r="X90" s="152">
        <f>IF(MouserListTable[[#This Row],[Tag]]=FilterSpecs!$F$7,MouserListTable[[#This Row],['#/Unit]]*MouserListTable[[#This Row],[Price (USD)]],0)</f>
        <v>0</v>
      </c>
      <c r="Y90" s="152">
        <f>MouserListTable[[#This Row],[Tot '#]]*MouserListTable[[#This Row],[Price (USD)]]</f>
        <v>0</v>
      </c>
      <c r="Z90" s="146"/>
      <c r="AA90" s="153" t="str">
        <f>InitialOrderTable[[#This Row],[SKU]]</f>
        <v>474-CAB-13243</v>
      </c>
      <c r="AB90" s="153">
        <f>VALUE(InitialOrderTable[[#This Row],['# Initial]])</f>
        <v>0</v>
      </c>
      <c r="AD90" s="104" t="s">
        <v>905</v>
      </c>
      <c r="AF90" s="104">
        <v>5</v>
      </c>
      <c r="AK90" s="146" t="e">
        <f ca="1">[1]!nonzeroQtys($AE$13,AD90)</f>
        <v>#NAME?</v>
      </c>
    </row>
    <row r="91" spans="1:37" s="104" customFormat="1" x14ac:dyDescent="0.25">
      <c r="A91" s="150" t="s">
        <v>887</v>
      </c>
      <c r="B91" s="150" t="s">
        <v>2013</v>
      </c>
      <c r="C91" s="150" t="s">
        <v>5</v>
      </c>
      <c r="D91" s="151" t="str">
        <f>IF(MouserListTable[[#This Row],[Vendor]]=FilterSpecs!$A$8,MouserListTable[[#This Row],[Mouser SKU]], MouserListTable[[#This Row],[Supplier SKU]])</f>
        <v>474-CAB-10177</v>
      </c>
      <c r="E91" s="152">
        <f>MouserListTable[[#This Row],[Tot '#]]-MouserListTable[[#This Row],['# Initial]]</f>
        <v>1</v>
      </c>
      <c r="F91" s="152">
        <f>IF(AND(MouserListTable[[#This Row],[Tag]]&lt;&gt;FilterSpecs!$F$12, MouserListTable[[#This Row],[Tag]]&lt;&gt;FilterSpecs!$F$9), MouserListTable[[#This Row],['#/Unit]]*FilterSpecs!$B$3+MouserListTable[[#This Row],[Extra Initial]],0)</f>
        <v>0</v>
      </c>
      <c r="G91" s="150" t="s">
        <v>2478</v>
      </c>
      <c r="H91" s="150" t="s">
        <v>2479</v>
      </c>
      <c r="I91" s="150" t="s">
        <v>2480</v>
      </c>
      <c r="J91" s="150">
        <v>1</v>
      </c>
      <c r="K91" s="154">
        <v>2.95</v>
      </c>
      <c r="L91" s="150" t="s">
        <v>1896</v>
      </c>
      <c r="M91" s="150"/>
      <c r="N91" s="154">
        <f>MouserListTable[[#This Row],['# Initial]]*MouserListTable[[#This Row],[Price (USD)]]</f>
        <v>0</v>
      </c>
      <c r="O91" s="151" t="s">
        <v>2477</v>
      </c>
      <c r="P91" s="150">
        <f t="shared" si="2"/>
        <v>78</v>
      </c>
      <c r="Q91" s="150" t="s">
        <v>5</v>
      </c>
      <c r="R9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474-CAB-10177</v>
      </c>
      <c r="S91" s="157" t="str">
        <f>HYPERLINK("https://www.mouser.com/ProductDetail/" &amp;MouserListTable[[#This Row],[Mouser SKU]])</f>
        <v>https://www.mouser.com/ProductDetail/474-CAB-10177</v>
      </c>
      <c r="T91" s="152">
        <v>0</v>
      </c>
      <c r="U91" s="152">
        <v>1</v>
      </c>
      <c r="V91" s="152">
        <v>0</v>
      </c>
      <c r="W91" s="152">
        <f>MouserListTable[[#This Row],['#/Unit]]*FilterSpecs!$C$3+MouserListTable[[#This Row],[Extra]]</f>
        <v>1</v>
      </c>
      <c r="X91" s="152">
        <f>IF(MouserListTable[[#This Row],[Tag]]=FilterSpecs!$F$7,MouserListTable[[#This Row],['#/Unit]]*MouserListTable[[#This Row],[Price (USD)]],0)</f>
        <v>0</v>
      </c>
      <c r="Y91" s="152">
        <f>MouserListTable[[#This Row],[Tot '#]]*MouserListTable[[#This Row],[Price (USD)]]</f>
        <v>2.95</v>
      </c>
      <c r="Z91" s="146"/>
      <c r="AA91" s="153" t="str">
        <f>InitialOrderTable[[#This Row],[SKU]]</f>
        <v>474-CAB-10177</v>
      </c>
      <c r="AB91" s="153">
        <f>VALUE(InitialOrderTable[[#This Row],['# Initial]])</f>
        <v>0</v>
      </c>
      <c r="AD91" s="104" t="s">
        <v>929</v>
      </c>
      <c r="AF91" s="104">
        <v>20</v>
      </c>
      <c r="AK91" s="146" t="e">
        <f ca="1">[1]!nonzeroQtys($AE$13,AD91)</f>
        <v>#NAME?</v>
      </c>
    </row>
    <row r="92" spans="1:37" s="153" customFormat="1" x14ac:dyDescent="0.25">
      <c r="A92" s="150" t="s">
        <v>887</v>
      </c>
      <c r="B92" s="150" t="s">
        <v>2013</v>
      </c>
      <c r="C92" s="150" t="s">
        <v>5</v>
      </c>
      <c r="D92" s="151" t="str">
        <f>IF(MouserListTable[[#This Row],[Vendor]]=FilterSpecs!$A$8,MouserListTable[[#This Row],[Mouser SKU]], MouserListTable[[#This Row],[Supplier SKU]])</f>
        <v>474-CAB-10215</v>
      </c>
      <c r="E92" s="152">
        <f>MouserListTable[[#This Row],[Tot '#]]-MouserListTable[[#This Row],['# Initial]]</f>
        <v>0</v>
      </c>
      <c r="F92" s="152">
        <f>IF(AND(MouserListTable[[#This Row],[Tag]]&lt;&gt;FilterSpecs!$F$12, MouserListTable[[#This Row],[Tag]]&lt;&gt;FilterSpecs!$F$9), MouserListTable[[#This Row],['#/Unit]]*FilterSpecs!$B$3+MouserListTable[[#This Row],[Extra Initial]],0)</f>
        <v>5</v>
      </c>
      <c r="G92" s="150" t="s">
        <v>1494</v>
      </c>
      <c r="H92" s="150" t="s">
        <v>1495</v>
      </c>
      <c r="I92" s="150" t="s">
        <v>1496</v>
      </c>
      <c r="J92" s="150">
        <v>1</v>
      </c>
      <c r="K92" s="154">
        <v>4.95</v>
      </c>
      <c r="L92" s="150" t="s">
        <v>1897</v>
      </c>
      <c r="M92" s="150"/>
      <c r="N92" s="154">
        <f>MouserListTable[[#This Row],['# Initial]]*MouserListTable[[#This Row],[Price (USD)]]</f>
        <v>24.75</v>
      </c>
      <c r="O92" s="151" t="s">
        <v>1493</v>
      </c>
      <c r="P92" s="150">
        <f t="shared" si="2"/>
        <v>79</v>
      </c>
      <c r="Q92" s="150" t="s">
        <v>5</v>
      </c>
      <c r="R9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474-CAB-10215</v>
      </c>
      <c r="S92" s="157" t="str">
        <f>HYPERLINK("https://www.mouser.com/ProductDetail/" &amp;MouserListTable[[#This Row],[Mouser SKU]])</f>
        <v>https://www.mouser.com/ProductDetail/474-CAB-10215</v>
      </c>
      <c r="T92" s="152">
        <v>1</v>
      </c>
      <c r="U92" s="152">
        <v>0</v>
      </c>
      <c r="V92" s="152">
        <v>0</v>
      </c>
      <c r="W92" s="152">
        <f>MouserListTable[[#This Row],['#/Unit]]*FilterSpecs!$C$3+MouserListTable[[#This Row],[Extra]]</f>
        <v>5</v>
      </c>
      <c r="X92" s="152">
        <f>IF(MouserListTable[[#This Row],[Tag]]=FilterSpecs!$F$7,MouserListTable[[#This Row],['#/Unit]]*MouserListTable[[#This Row],[Price (USD)]],0)</f>
        <v>4.95</v>
      </c>
      <c r="Y92" s="152">
        <f>MouserListTable[[#This Row],[Tot '#]]*MouserListTable[[#This Row],[Price (USD)]]</f>
        <v>24.75</v>
      </c>
      <c r="Z92" s="146"/>
      <c r="AA92" s="153" t="str">
        <f>InitialOrderTable[[#This Row],[SKU]]</f>
        <v>474-CAB-10215</v>
      </c>
      <c r="AB92" s="153">
        <f>VALUE(InitialOrderTable[[#This Row],['# Initial]])</f>
        <v>5</v>
      </c>
      <c r="AD92" s="153" t="s">
        <v>1228</v>
      </c>
      <c r="AF92" s="153">
        <v>1</v>
      </c>
      <c r="AK92" s="146" t="e">
        <f ca="1">[1]!nonzeroQtys($AE$13,AD92)</f>
        <v>#NAME?</v>
      </c>
    </row>
    <row r="93" spans="1:37" s="153" customFormat="1" ht="15.6" customHeight="1" x14ac:dyDescent="0.25">
      <c r="A93" s="97" t="s">
        <v>887</v>
      </c>
      <c r="B93" s="97" t="s">
        <v>2013</v>
      </c>
      <c r="C93" s="150" t="s">
        <v>5</v>
      </c>
      <c r="D93" s="151" t="str">
        <f>IF(MouserListTable[[#This Row],[Vendor]]=FilterSpecs!$A$8,MouserListTable[[#This Row],[Mouser SKU]], MouserListTable[[#This Row],[Supplier SKU]])</f>
        <v>474-CAB-13244</v>
      </c>
      <c r="E93" s="152">
        <f>MouserListTable[[#This Row],[Tot '#]]-MouserListTable[[#This Row],['# Initial]]</f>
        <v>0</v>
      </c>
      <c r="F93" s="152">
        <f>IF(AND(MouserListTable[[#This Row],[Tag]]&lt;&gt;FilterSpecs!$F$12, MouserListTable[[#This Row],[Tag]]&lt;&gt;FilterSpecs!$F$9), MouserListTable[[#This Row],['#/Unit]]*FilterSpecs!$B$3+MouserListTable[[#This Row],[Extra Initial]],0)</f>
        <v>0</v>
      </c>
      <c r="G93" s="150" t="s">
        <v>1498</v>
      </c>
      <c r="H93" s="150" t="s">
        <v>1499</v>
      </c>
      <c r="I93" s="150" t="s">
        <v>1500</v>
      </c>
      <c r="J93" s="150">
        <v>1</v>
      </c>
      <c r="K93" s="154">
        <v>1.95</v>
      </c>
      <c r="L93" s="150" t="s">
        <v>1896</v>
      </c>
      <c r="M93" s="150"/>
      <c r="N93" s="154">
        <f>MouserListTable[[#This Row],['# Initial]]*MouserListTable[[#This Row],[Price (USD)]]</f>
        <v>0</v>
      </c>
      <c r="O93" s="151" t="s">
        <v>1497</v>
      </c>
      <c r="P93" s="150">
        <f t="shared" si="2"/>
        <v>80</v>
      </c>
      <c r="Q93" s="150" t="s">
        <v>5</v>
      </c>
      <c r="R9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474-CAB-13244</v>
      </c>
      <c r="S93" s="157" t="str">
        <f>HYPERLINK("https://www.mouser.com/ProductDetail/" &amp;MouserListTable[[#This Row],[Mouser SKU]])</f>
        <v>https://www.mouser.com/ProductDetail/474-CAB-13244</v>
      </c>
      <c r="T93" s="152">
        <v>0</v>
      </c>
      <c r="U93" s="152">
        <v>0</v>
      </c>
      <c r="V93" s="152">
        <v>0</v>
      </c>
      <c r="W93" s="152">
        <f>MouserListTable[[#This Row],['#/Unit]]*FilterSpecs!$C$3+MouserListTable[[#This Row],[Extra]]</f>
        <v>0</v>
      </c>
      <c r="X93" s="152">
        <f>IF(MouserListTable[[#This Row],[Tag]]=FilterSpecs!$F$7,MouserListTable[[#This Row],['#/Unit]]*MouserListTable[[#This Row],[Price (USD)]],0)</f>
        <v>0</v>
      </c>
      <c r="Y93" s="152">
        <f>MouserListTable[[#This Row],[Tot '#]]*MouserListTable[[#This Row],[Price (USD)]]</f>
        <v>0</v>
      </c>
      <c r="Z93" s="146"/>
      <c r="AA93" s="153" t="str">
        <f>InitialOrderTable[[#This Row],[SKU]]</f>
        <v>474-CAB-13244</v>
      </c>
      <c r="AB93" s="153">
        <f>VALUE(InitialOrderTable[[#This Row],['# Initial]])</f>
        <v>0</v>
      </c>
      <c r="AD93" s="153" t="s">
        <v>1232</v>
      </c>
      <c r="AF93" s="153">
        <v>1</v>
      </c>
      <c r="AK93" s="146" t="e">
        <f ca="1">[1]!nonzeroQtys($AE$13,AD93)</f>
        <v>#NAME?</v>
      </c>
    </row>
    <row r="94" spans="1:37" s="153" customFormat="1" x14ac:dyDescent="0.25">
      <c r="A94" s="150" t="s">
        <v>887</v>
      </c>
      <c r="B94" s="150" t="s">
        <v>2013</v>
      </c>
      <c r="C94" s="150" t="s">
        <v>5</v>
      </c>
      <c r="D94" s="151" t="str">
        <f>IF(MouserListTable[[#This Row],[Vendor]]=FilterSpecs!$A$8,MouserListTable[[#This Row],[Mouser SKU]], MouserListTable[[#This Row],[Supplier SKU]])</f>
        <v>474-CAB-11579</v>
      </c>
      <c r="E94" s="152">
        <f>MouserListTable[[#This Row],[Tot '#]]-MouserListTable[[#This Row],['# Initial]]</f>
        <v>1</v>
      </c>
      <c r="F94" s="152">
        <f>IF(AND(MouserListTable[[#This Row],[Tag]]&lt;&gt;FilterSpecs!$F$12, MouserListTable[[#This Row],[Tag]]&lt;&gt;FilterSpecs!$F$9), MouserListTable[[#This Row],['#/Unit]]*FilterSpecs!$B$3+MouserListTable[[#This Row],[Extra Initial]],0)</f>
        <v>0</v>
      </c>
      <c r="G94" s="150" t="s">
        <v>242</v>
      </c>
      <c r="H94" s="150" t="s">
        <v>243</v>
      </c>
      <c r="I94" s="150" t="s">
        <v>244</v>
      </c>
      <c r="J94" s="153">
        <v>1</v>
      </c>
      <c r="K94" s="154">
        <v>4.95</v>
      </c>
      <c r="L94" s="150" t="s">
        <v>1896</v>
      </c>
      <c r="M94" s="151"/>
      <c r="N94" s="154">
        <f>MouserListTable[[#This Row],['# Initial]]*MouserListTable[[#This Row],[Price (USD)]]</f>
        <v>0</v>
      </c>
      <c r="O94" s="151" t="s">
        <v>241</v>
      </c>
      <c r="P94" s="150">
        <f t="shared" si="2"/>
        <v>81</v>
      </c>
      <c r="Q94" s="150" t="s">
        <v>5</v>
      </c>
      <c r="R9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474-CAB-11579</v>
      </c>
      <c r="S94" s="157" t="str">
        <f>HYPERLINK("https://www.mouser.com/ProductDetail/" &amp;MouserListTable[[#This Row],[Mouser SKU]])</f>
        <v>https://www.mouser.com/ProductDetail/474-CAB-11579</v>
      </c>
      <c r="T94" s="152">
        <v>0</v>
      </c>
      <c r="U94" s="152">
        <v>1</v>
      </c>
      <c r="V94" s="152">
        <v>0</v>
      </c>
      <c r="W94" s="152">
        <f>MouserListTable[[#This Row],['#/Unit]]*FilterSpecs!$C$3+MouserListTable[[#This Row],[Extra]]</f>
        <v>1</v>
      </c>
      <c r="X94" s="152">
        <f>IF(MouserListTable[[#This Row],[Tag]]=FilterSpecs!$F$7,MouserListTable[[#This Row],['#/Unit]]*MouserListTable[[#This Row],[Price (USD)]],0)</f>
        <v>0</v>
      </c>
      <c r="Y94" s="152">
        <f>MouserListTable[[#This Row],[Tot '#]]*MouserListTable[[#This Row],[Price (USD)]]</f>
        <v>4.95</v>
      </c>
      <c r="Z94" s="146"/>
      <c r="AA94" s="153" t="str">
        <f>InitialOrderTable[[#This Row],[SKU]]</f>
        <v>474-CAB-11579</v>
      </c>
      <c r="AB94" s="153">
        <f>VALUE(InitialOrderTable[[#This Row],['# Initial]])</f>
        <v>0</v>
      </c>
      <c r="AD94" s="153" t="s">
        <v>1282</v>
      </c>
      <c r="AF94" s="153">
        <v>5</v>
      </c>
      <c r="AK94" s="146" t="e">
        <f ca="1">[1]!nonzeroQtys($AE$13,AD94)</f>
        <v>#NAME?</v>
      </c>
    </row>
    <row r="95" spans="1:37" s="153" customFormat="1" x14ac:dyDescent="0.25">
      <c r="A95" s="150" t="s">
        <v>887</v>
      </c>
      <c r="B95" s="150" t="s">
        <v>2039</v>
      </c>
      <c r="C95" s="150" t="s">
        <v>1884</v>
      </c>
      <c r="D95" s="151" t="str">
        <f>IF(MouserListTable[[#This Row],[Vendor]]=FilterSpecs!$A$8,MouserListTable[[#This Row],[Mouser SKU]], MouserListTable[[#This Row],[Supplier SKU]])</f>
        <v>485-2727</v>
      </c>
      <c r="E95" s="152">
        <f>MouserListTable[[#This Row],[Tot '#]]-MouserListTable[[#This Row],['# Initial]]</f>
        <v>0</v>
      </c>
      <c r="F95" s="152">
        <f>IF(AND(MouserListTable[[#This Row],[Tag]]&lt;&gt;FilterSpecs!$F$12, MouserListTable[[#This Row],[Tag]]&lt;&gt;FilterSpecs!$F$9), MouserListTable[[#This Row],['#/Unit]]*FilterSpecs!$B$3+MouserListTable[[#This Row],[Extra Initial]],0)</f>
        <v>0</v>
      </c>
      <c r="G95" s="150"/>
      <c r="H95" s="150"/>
      <c r="I95" s="150" t="s">
        <v>2277</v>
      </c>
      <c r="K95" s="118">
        <v>1.95</v>
      </c>
      <c r="L95" s="97" t="s">
        <v>1896</v>
      </c>
      <c r="N95" s="154">
        <f>MouserListTable[[#This Row],['# Initial]]*MouserListTable[[#This Row],[Price (USD)]]</f>
        <v>0</v>
      </c>
      <c r="O95" s="151" t="s">
        <v>2276</v>
      </c>
      <c r="P95" s="150">
        <f t="shared" si="2"/>
        <v>82</v>
      </c>
      <c r="Q95" s="150" t="s">
        <v>1884</v>
      </c>
      <c r="R9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485-2727</v>
      </c>
      <c r="S95" s="157" t="str">
        <f>HYPERLINK("https://www.mouser.com/ProductDetail/" &amp;MouserListTable[[#This Row],[Mouser SKU]])</f>
        <v>https://www.mouser.com/ProductDetail/485-2727</v>
      </c>
      <c r="T95" s="152">
        <v>0</v>
      </c>
      <c r="U95" s="152">
        <v>0</v>
      </c>
      <c r="V95" s="152">
        <v>0</v>
      </c>
      <c r="W95" s="152">
        <f>MouserListTable[[#This Row],['#/Unit]]*FilterSpecs!$C$3+MouserListTable[[#This Row],[Extra]]</f>
        <v>0</v>
      </c>
      <c r="X95" s="152">
        <f>IF(MouserListTable[[#This Row],[Tag]]=FilterSpecs!$F$7,MouserListTable[[#This Row],['#/Unit]]*MouserListTable[[#This Row],[Price (USD)]],0)</f>
        <v>0</v>
      </c>
      <c r="Y95" s="152">
        <f>MouserListTable[[#This Row],[Tot '#]]*MouserListTable[[#This Row],[Price (USD)]]</f>
        <v>0</v>
      </c>
      <c r="Z95" s="146"/>
      <c r="AA95" s="153" t="str">
        <f>InitialOrderTable[[#This Row],[SKU]]</f>
        <v>485-2727</v>
      </c>
      <c r="AB95" s="153">
        <f>VALUE(InitialOrderTable[[#This Row],['# Initial]])</f>
        <v>0</v>
      </c>
      <c r="AD95" s="153" t="s">
        <v>596</v>
      </c>
      <c r="AF95" s="153">
        <v>5</v>
      </c>
      <c r="AK95" s="146" t="e">
        <f ca="1">[1]!nonzeroQtys($AE$13,AD95)</f>
        <v>#NAME?</v>
      </c>
    </row>
    <row r="96" spans="1:37" s="153" customFormat="1" x14ac:dyDescent="0.25">
      <c r="A96" s="150" t="s">
        <v>887</v>
      </c>
      <c r="B96" s="150" t="s">
        <v>2039</v>
      </c>
      <c r="C96" s="150" t="s">
        <v>1884</v>
      </c>
      <c r="D96" s="151" t="str">
        <f>IF(MouserListTable[[#This Row],[Vendor]]=FilterSpecs!$A$8,MouserListTable[[#This Row],[Mouser SKU]], MouserListTable[[#This Row],[Supplier SKU]])</f>
        <v>485-988</v>
      </c>
      <c r="E96" s="152">
        <f>MouserListTable[[#This Row],[Tot '#]]-MouserListTable[[#This Row],['# Initial]]</f>
        <v>0</v>
      </c>
      <c r="F96" s="152">
        <f>IF(AND(MouserListTable[[#This Row],[Tag]]&lt;&gt;FilterSpecs!$F$12, MouserListTable[[#This Row],[Tag]]&lt;&gt;FilterSpecs!$F$9), MouserListTable[[#This Row],['#/Unit]]*FilterSpecs!$B$3+MouserListTable[[#This Row],[Extra Initial]],0)</f>
        <v>0</v>
      </c>
      <c r="G96" s="150"/>
      <c r="H96" s="150"/>
      <c r="I96" s="150" t="s">
        <v>2279</v>
      </c>
      <c r="K96" s="118">
        <v>2.95</v>
      </c>
      <c r="L96" s="97" t="s">
        <v>1896</v>
      </c>
      <c r="N96" s="154">
        <f>MouserListTable[[#This Row],['# Initial]]*MouserListTable[[#This Row],[Price (USD)]]</f>
        <v>0</v>
      </c>
      <c r="O96" s="151" t="s">
        <v>2278</v>
      </c>
      <c r="P96" s="150">
        <f t="shared" si="2"/>
        <v>83</v>
      </c>
      <c r="Q96" s="150" t="s">
        <v>1884</v>
      </c>
      <c r="R9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485-988</v>
      </c>
      <c r="S96" s="157" t="str">
        <f>HYPERLINK("https://www.mouser.com/ProductDetail/" &amp;MouserListTable[[#This Row],[Mouser SKU]])</f>
        <v>https://www.mouser.com/ProductDetail/485-988</v>
      </c>
      <c r="T96" s="152">
        <v>0</v>
      </c>
      <c r="U96" s="152">
        <v>0</v>
      </c>
      <c r="V96" s="152">
        <v>0</v>
      </c>
      <c r="W96" s="152">
        <f>MouserListTable[[#This Row],['#/Unit]]*FilterSpecs!$C$3+MouserListTable[[#This Row],[Extra]]</f>
        <v>0</v>
      </c>
      <c r="X96" s="152">
        <f>IF(MouserListTable[[#This Row],[Tag]]=FilterSpecs!$F$7,MouserListTable[[#This Row],['#/Unit]]*MouserListTable[[#This Row],[Price (USD)]],0)</f>
        <v>0</v>
      </c>
      <c r="Y96" s="152">
        <f>MouserListTable[[#This Row],[Tot '#]]*MouserListTable[[#This Row],[Price (USD)]]</f>
        <v>0</v>
      </c>
      <c r="Z96" s="146"/>
      <c r="AA96" s="153" t="str">
        <f>InitialOrderTable[[#This Row],[SKU]]</f>
        <v>485-988</v>
      </c>
      <c r="AB96" s="153">
        <f>VALUE(InitialOrderTable[[#This Row],['# Initial]])</f>
        <v>0</v>
      </c>
      <c r="AD96" s="153" t="s">
        <v>600</v>
      </c>
      <c r="AF96" s="153">
        <v>5</v>
      </c>
      <c r="AK96" s="146" t="e">
        <f ca="1">[1]!nonzeroQtys($AE$13,AD96)</f>
        <v>#NAME?</v>
      </c>
    </row>
    <row r="97" spans="1:37" s="153" customFormat="1" x14ac:dyDescent="0.25">
      <c r="A97" s="150" t="s">
        <v>887</v>
      </c>
      <c r="B97" s="150" t="s">
        <v>2039</v>
      </c>
      <c r="C97" s="150" t="s">
        <v>1884</v>
      </c>
      <c r="D97" s="151" t="str">
        <f>IF(MouserListTable[[#This Row],[Vendor]]=FilterSpecs!$A$8,MouserListTable[[#This Row],[Mouser SKU]], MouserListTable[[#This Row],[Supplier SKU]])</f>
        <v>485-2778</v>
      </c>
      <c r="E97" s="152">
        <f>MouserListTable[[#This Row],[Tot '#]]-MouserListTable[[#This Row],['# Initial]]</f>
        <v>2</v>
      </c>
      <c r="F97" s="152">
        <f>IF(AND(MouserListTable[[#This Row],[Tag]]&lt;&gt;FilterSpecs!$F$12, MouserListTable[[#This Row],[Tag]]&lt;&gt;FilterSpecs!$F$9), MouserListTable[[#This Row],['#/Unit]]*FilterSpecs!$B$3+MouserListTable[[#This Row],[Extra Initial]],0)</f>
        <v>0</v>
      </c>
      <c r="G97" s="150"/>
      <c r="H97" s="150"/>
      <c r="I97" s="150" t="s">
        <v>2281</v>
      </c>
      <c r="K97" s="154">
        <v>6.5</v>
      </c>
      <c r="L97" s="150" t="s">
        <v>1896</v>
      </c>
      <c r="M97" s="151"/>
      <c r="N97" s="154">
        <f>MouserListTable[[#This Row],['# Initial]]*MouserListTable[[#This Row],[Price (USD)]]</f>
        <v>0</v>
      </c>
      <c r="O97" s="151" t="s">
        <v>2280</v>
      </c>
      <c r="P97" s="150">
        <f t="shared" si="2"/>
        <v>84</v>
      </c>
      <c r="Q97" s="150" t="s">
        <v>1884</v>
      </c>
      <c r="R9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485-2778</v>
      </c>
      <c r="S97" s="157" t="str">
        <f>HYPERLINK("https://www.mouser.com/ProductDetail/" &amp;MouserListTable[[#This Row],[Mouser SKU]])</f>
        <v>https://www.mouser.com/ProductDetail/485-2778</v>
      </c>
      <c r="T97" s="152">
        <v>0</v>
      </c>
      <c r="U97" s="152">
        <v>2</v>
      </c>
      <c r="V97" s="152">
        <v>0</v>
      </c>
      <c r="W97" s="152">
        <f>MouserListTable[[#This Row],['#/Unit]]*FilterSpecs!$C$3+MouserListTable[[#This Row],[Extra]]</f>
        <v>2</v>
      </c>
      <c r="X97" s="152">
        <f>IF(MouserListTable[[#This Row],[Tag]]=FilterSpecs!$F$7,MouserListTable[[#This Row],['#/Unit]]*MouserListTable[[#This Row],[Price (USD)]],0)</f>
        <v>0</v>
      </c>
      <c r="Y97" s="152">
        <f>MouserListTable[[#This Row],[Tot '#]]*MouserListTable[[#This Row],[Price (USD)]]</f>
        <v>13</v>
      </c>
      <c r="Z97" s="146"/>
      <c r="AA97" s="153" t="str">
        <f>InitialOrderTable[[#This Row],[SKU]]</f>
        <v>485-2778</v>
      </c>
      <c r="AB97" s="153">
        <f>VALUE(InitialOrderTable[[#This Row],['# Initial]])</f>
        <v>0</v>
      </c>
      <c r="AD97" s="153" t="s">
        <v>1280</v>
      </c>
      <c r="AF97" s="153">
        <v>5</v>
      </c>
      <c r="AK97" s="146" t="e">
        <f ca="1">[1]!nonzeroQtys($AE$13,AD97)</f>
        <v>#NAME?</v>
      </c>
    </row>
    <row r="98" spans="1:37" s="104" customFormat="1" x14ac:dyDescent="0.25">
      <c r="A98" s="150" t="s">
        <v>887</v>
      </c>
      <c r="B98" s="150" t="s">
        <v>2039</v>
      </c>
      <c r="C98" s="150" t="s">
        <v>1884</v>
      </c>
      <c r="D98" s="151" t="str">
        <f>IF(MouserListTable[[#This Row],[Vendor]]=FilterSpecs!$A$8,MouserListTable[[#This Row],[Mouser SKU]], MouserListTable[[#This Row],[Supplier SKU]])</f>
        <v>485-2777</v>
      </c>
      <c r="E98" s="152">
        <f>MouserListTable[[#This Row],[Tot '#]]-MouserListTable[[#This Row],['# Initial]]</f>
        <v>0</v>
      </c>
      <c r="F98" s="152">
        <f>IF(AND(MouserListTable[[#This Row],[Tag]]&lt;&gt;FilterSpecs!$F$12, MouserListTable[[#This Row],[Tag]]&lt;&gt;FilterSpecs!$F$9), MouserListTable[[#This Row],['#/Unit]]*FilterSpecs!$B$3+MouserListTable[[#This Row],[Extra Initial]],0)</f>
        <v>0</v>
      </c>
      <c r="G98" s="150"/>
      <c r="H98" s="150"/>
      <c r="I98" s="150" t="s">
        <v>2283</v>
      </c>
      <c r="J98" s="153"/>
      <c r="K98" s="118">
        <v>6.5</v>
      </c>
      <c r="L98" s="97" t="s">
        <v>1896</v>
      </c>
      <c r="M98" s="153"/>
      <c r="N98" s="154">
        <f>MouserListTable[[#This Row],['# Initial]]*MouserListTable[[#This Row],[Price (USD)]]</f>
        <v>0</v>
      </c>
      <c r="O98" s="151" t="s">
        <v>2282</v>
      </c>
      <c r="P98" s="150">
        <f t="shared" si="2"/>
        <v>85</v>
      </c>
      <c r="Q98" s="150" t="s">
        <v>1884</v>
      </c>
      <c r="R9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485-2777</v>
      </c>
      <c r="S98" s="157" t="str">
        <f>HYPERLINK("https://www.mouser.com/ProductDetail/" &amp;MouserListTable[[#This Row],[Mouser SKU]])</f>
        <v>https://www.mouser.com/ProductDetail/485-2777</v>
      </c>
      <c r="T98" s="152">
        <v>0</v>
      </c>
      <c r="U98" s="152">
        <v>0</v>
      </c>
      <c r="V98" s="152">
        <v>0</v>
      </c>
      <c r="W98" s="152">
        <f>MouserListTable[[#This Row],['#/Unit]]*FilterSpecs!$C$3+MouserListTable[[#This Row],[Extra]]</f>
        <v>0</v>
      </c>
      <c r="X98" s="152">
        <f>IF(MouserListTable[[#This Row],[Tag]]=FilterSpecs!$F$7,MouserListTable[[#This Row],['#/Unit]]*MouserListTable[[#This Row],[Price (USD)]],0)</f>
        <v>0</v>
      </c>
      <c r="Y98" s="152">
        <f>MouserListTable[[#This Row],[Tot '#]]*MouserListTable[[#This Row],[Price (USD)]]</f>
        <v>0</v>
      </c>
      <c r="Z98" s="146"/>
      <c r="AA98" s="153" t="str">
        <f>InitialOrderTable[[#This Row],[SKU]]</f>
        <v>485-2777</v>
      </c>
      <c r="AB98" s="153">
        <f>VALUE(InitialOrderTable[[#This Row],['# Initial]])</f>
        <v>0</v>
      </c>
      <c r="AD98" s="104" t="s">
        <v>608</v>
      </c>
      <c r="AF98" s="104">
        <v>5</v>
      </c>
      <c r="AK98" s="146" t="e">
        <f ca="1">[1]!nonzeroQtys($AE$13,AD98)</f>
        <v>#NAME?</v>
      </c>
    </row>
    <row r="99" spans="1:37" s="104" customFormat="1" x14ac:dyDescent="0.25">
      <c r="A99" s="150" t="s">
        <v>887</v>
      </c>
      <c r="B99" s="150" t="s">
        <v>2039</v>
      </c>
      <c r="C99" s="150" t="s">
        <v>1884</v>
      </c>
      <c r="D99" s="151" t="str">
        <f>IF(MouserListTable[[#This Row],[Vendor]]=FilterSpecs!$A$8,MouserListTable[[#This Row],[Mouser SKU]], MouserListTable[[#This Row],[Supplier SKU]])</f>
        <v>485-2697</v>
      </c>
      <c r="E99" s="152">
        <f>MouserListTable[[#This Row],[Tot '#]]-MouserListTable[[#This Row],['# Initial]]</f>
        <v>0</v>
      </c>
      <c r="F99" s="152">
        <f>IF(AND(MouserListTable[[#This Row],[Tag]]&lt;&gt;FilterSpecs!$F$12, MouserListTable[[#This Row],[Tag]]&lt;&gt;FilterSpecs!$F$9), MouserListTable[[#This Row],['#/Unit]]*FilterSpecs!$B$3+MouserListTable[[#This Row],[Extra Initial]],0)</f>
        <v>0</v>
      </c>
      <c r="G99" s="150"/>
      <c r="H99" s="150"/>
      <c r="I99" s="150" t="s">
        <v>2285</v>
      </c>
      <c r="J99" s="153"/>
      <c r="K99" s="118">
        <v>2.75</v>
      </c>
      <c r="L99" s="97" t="s">
        <v>1896</v>
      </c>
      <c r="M99" s="153"/>
      <c r="N99" s="154">
        <f>MouserListTable[[#This Row],['# Initial]]*MouserListTable[[#This Row],[Price (USD)]]</f>
        <v>0</v>
      </c>
      <c r="O99" s="151" t="s">
        <v>2284</v>
      </c>
      <c r="P99" s="150">
        <f t="shared" si="2"/>
        <v>86</v>
      </c>
      <c r="Q99" s="150" t="s">
        <v>1884</v>
      </c>
      <c r="R9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485-2697</v>
      </c>
      <c r="S99" s="157" t="str">
        <f>HYPERLINK("https://www.mouser.com/ProductDetail/" &amp;MouserListTable[[#This Row],[Mouser SKU]])</f>
        <v>https://www.mouser.com/ProductDetail/485-2697</v>
      </c>
      <c r="T99" s="152">
        <v>0</v>
      </c>
      <c r="U99" s="152">
        <v>0</v>
      </c>
      <c r="V99" s="152">
        <v>0</v>
      </c>
      <c r="W99" s="152">
        <f>MouserListTable[[#This Row],['#/Unit]]*FilterSpecs!$C$3+MouserListTable[[#This Row],[Extra]]</f>
        <v>0</v>
      </c>
      <c r="X99" s="152">
        <f>IF(MouserListTable[[#This Row],[Tag]]=FilterSpecs!$F$7,MouserListTable[[#This Row],['#/Unit]]*MouserListTable[[#This Row],[Price (USD)]],0)</f>
        <v>0</v>
      </c>
      <c r="Y99" s="152">
        <f>MouserListTable[[#This Row],[Tot '#]]*MouserListTable[[#This Row],[Price (USD)]]</f>
        <v>0</v>
      </c>
      <c r="Z99" s="146"/>
      <c r="AA99" s="153" t="str">
        <f>InitialOrderTable[[#This Row],[SKU]]</f>
        <v>485-2697</v>
      </c>
      <c r="AB99" s="153">
        <f>VALUE(InitialOrderTable[[#This Row],['# Initial]])</f>
        <v>0</v>
      </c>
      <c r="AD99" s="104" t="s">
        <v>620</v>
      </c>
      <c r="AF99" s="104">
        <v>5</v>
      </c>
      <c r="AK99" s="146" t="e">
        <f ca="1">[1]!nonzeroQtys($AE$13,AD99)</f>
        <v>#NAME?</v>
      </c>
    </row>
    <row r="100" spans="1:37" s="104" customFormat="1" x14ac:dyDescent="0.25">
      <c r="A100" s="150" t="s">
        <v>887</v>
      </c>
      <c r="B100" s="150" t="s">
        <v>2039</v>
      </c>
      <c r="C100" s="150" t="s">
        <v>1884</v>
      </c>
      <c r="D100" s="151" t="str">
        <f>IF(MouserListTable[[#This Row],[Vendor]]=FilterSpecs!$A$8,MouserListTable[[#This Row],[Mouser SKU]], MouserListTable[[#This Row],[Supplier SKU]])</f>
        <v>485-2789</v>
      </c>
      <c r="E100" s="152">
        <f>MouserListTable[[#This Row],[Tot '#]]-MouserListTable[[#This Row],['# Initial]]</f>
        <v>0</v>
      </c>
      <c r="F100" s="152">
        <f>IF(AND(MouserListTable[[#This Row],[Tag]]&lt;&gt;FilterSpecs!$F$12, MouserListTable[[#This Row],[Tag]]&lt;&gt;FilterSpecs!$F$9), MouserListTable[[#This Row],['#/Unit]]*FilterSpecs!$B$3+MouserListTable[[#This Row],[Extra Initial]],0)</f>
        <v>5</v>
      </c>
      <c r="G100" s="150"/>
      <c r="H100" s="150"/>
      <c r="I100" s="150" t="s">
        <v>2287</v>
      </c>
      <c r="J100" s="153"/>
      <c r="K100" s="154">
        <v>1.95</v>
      </c>
      <c r="L100" s="150" t="s">
        <v>1897</v>
      </c>
      <c r="M100" s="151"/>
      <c r="N100" s="154">
        <f>MouserListTable[[#This Row],['# Initial]]*MouserListTable[[#This Row],[Price (USD)]]</f>
        <v>9.75</v>
      </c>
      <c r="O100" s="151" t="s">
        <v>2286</v>
      </c>
      <c r="P100" s="150">
        <f t="shared" si="2"/>
        <v>87</v>
      </c>
      <c r="Q100" s="150" t="s">
        <v>1884</v>
      </c>
      <c r="R10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485-2789</v>
      </c>
      <c r="S100" s="157" t="str">
        <f>HYPERLINK("https://www.mouser.com/ProductDetail/" &amp;MouserListTable[[#This Row],[Mouser SKU]])</f>
        <v>https://www.mouser.com/ProductDetail/485-2789</v>
      </c>
      <c r="T100" s="152">
        <v>1</v>
      </c>
      <c r="U100" s="152">
        <v>0</v>
      </c>
      <c r="V100" s="152">
        <v>0</v>
      </c>
      <c r="W100" s="152">
        <f>MouserListTable[[#This Row],['#/Unit]]*FilterSpecs!$C$3+MouserListTable[[#This Row],[Extra]]</f>
        <v>5</v>
      </c>
      <c r="X100" s="152">
        <f>IF(MouserListTable[[#This Row],[Tag]]=FilterSpecs!$F$7,MouserListTable[[#This Row],['#/Unit]]*MouserListTable[[#This Row],[Price (USD)]],0)</f>
        <v>1.95</v>
      </c>
      <c r="Y100" s="152">
        <f>MouserListTable[[#This Row],[Tot '#]]*MouserListTable[[#This Row],[Price (USD)]]</f>
        <v>9.75</v>
      </c>
      <c r="Z100" s="146"/>
      <c r="AA100" s="153" t="str">
        <f>InitialOrderTable[[#This Row],[SKU]]</f>
        <v>485-2789</v>
      </c>
      <c r="AB100" s="153">
        <f>VALUE(InitialOrderTable[[#This Row],['# Initial]])</f>
        <v>5</v>
      </c>
      <c r="AD100" s="104" t="s">
        <v>616</v>
      </c>
      <c r="AF100" s="104">
        <v>5</v>
      </c>
      <c r="AK100" s="146" t="e">
        <f ca="1">[1]!nonzeroQtys($AE$13,AD100)</f>
        <v>#NAME?</v>
      </c>
    </row>
    <row r="101" spans="1:37" s="153" customFormat="1" x14ac:dyDescent="0.25">
      <c r="A101" s="150" t="s">
        <v>887</v>
      </c>
      <c r="B101" s="150" t="s">
        <v>2016</v>
      </c>
      <c r="C101" s="150" t="s">
        <v>5</v>
      </c>
      <c r="D101" s="151" t="str">
        <f>IF(MouserListTable[[#This Row],[Vendor]]=FilterSpecs!$A$8,MouserListTable[[#This Row],[Mouser SKU]], MouserListTable[[#This Row],[Supplier SKU]])</f>
        <v>474-DEV-13158</v>
      </c>
      <c r="E101" s="152">
        <f>MouserListTable[[#This Row],[Tot '#]]-MouserListTable[[#This Row],['# Initial]]</f>
        <v>0</v>
      </c>
      <c r="F101" s="152">
        <f>IF(AND(MouserListTable[[#This Row],[Tag]]&lt;&gt;FilterSpecs!$F$12, MouserListTable[[#This Row],[Tag]]&lt;&gt;FilterSpecs!$F$9), MouserListTable[[#This Row],['#/Unit]]*FilterSpecs!$B$3+MouserListTable[[#This Row],[Extra Initial]],0)</f>
        <v>5</v>
      </c>
      <c r="G101" s="150" t="s">
        <v>31</v>
      </c>
      <c r="H101" s="150" t="s">
        <v>32</v>
      </c>
      <c r="I101" s="150" t="s">
        <v>33</v>
      </c>
      <c r="J101" s="153">
        <v>1</v>
      </c>
      <c r="K101" s="154">
        <v>29.95</v>
      </c>
      <c r="L101" s="150" t="s">
        <v>1897</v>
      </c>
      <c r="M101" s="151"/>
      <c r="N101" s="154">
        <f>MouserListTable[[#This Row],['# Initial]]*MouserListTable[[#This Row],[Price (USD)]]</f>
        <v>149.75</v>
      </c>
      <c r="O101" s="151" t="s">
        <v>30</v>
      </c>
      <c r="P101" s="150">
        <f t="shared" si="2"/>
        <v>88</v>
      </c>
      <c r="Q101" s="150" t="s">
        <v>5</v>
      </c>
      <c r="R10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474-DEV-13158</v>
      </c>
      <c r="S101" s="157" t="str">
        <f>HYPERLINK("https://www.mouser.com/ProductDetail/" &amp;MouserListTable[[#This Row],[Mouser SKU]])</f>
        <v>https://www.mouser.com/ProductDetail/474-DEV-13158</v>
      </c>
      <c r="T101" s="152">
        <v>1</v>
      </c>
      <c r="U101" s="152">
        <v>0</v>
      </c>
      <c r="V101" s="152">
        <v>0</v>
      </c>
      <c r="W101" s="152">
        <f>MouserListTable[[#This Row],['#/Unit]]*FilterSpecs!$C$3+MouserListTable[[#This Row],[Extra]]</f>
        <v>5</v>
      </c>
      <c r="X101" s="152">
        <f>IF(MouserListTable[[#This Row],[Tag]]=FilterSpecs!$F$7,MouserListTable[[#This Row],['#/Unit]]*MouserListTable[[#This Row],[Price (USD)]],0)</f>
        <v>29.95</v>
      </c>
      <c r="Y101" s="152">
        <f>MouserListTable[[#This Row],[Tot '#]]*MouserListTable[[#This Row],[Price (USD)]]</f>
        <v>149.75</v>
      </c>
      <c r="Z101" s="146"/>
      <c r="AA101" s="153" t="str">
        <f>InitialOrderTable[[#This Row],[SKU]]</f>
        <v>474-DEV-13158</v>
      </c>
      <c r="AB101" s="153">
        <f>VALUE(InitialOrderTable[[#This Row],['# Initial]])</f>
        <v>5</v>
      </c>
      <c r="AD101" s="153" t="s">
        <v>612</v>
      </c>
      <c r="AF101" s="153">
        <v>5</v>
      </c>
      <c r="AK101" s="146" t="e">
        <f ca="1">[1]!nonzeroQtys($AE$13,AD101)</f>
        <v>#NAME?</v>
      </c>
    </row>
    <row r="102" spans="1:37" s="153" customFormat="1" x14ac:dyDescent="0.25">
      <c r="A102" s="150" t="s">
        <v>887</v>
      </c>
      <c r="B102" s="150" t="s">
        <v>2016</v>
      </c>
      <c r="C102" s="150" t="s">
        <v>5</v>
      </c>
      <c r="D102" s="151" t="str">
        <f>IF(MouserListTable[[#This Row],[Vendor]]=FilterSpecs!$A$8,MouserListTable[[#This Row],[Mouser SKU]], MouserListTable[[#This Row],[Supplier SKU]])</f>
        <v>474-PRT-12711</v>
      </c>
      <c r="E102" s="152">
        <f>MouserListTable[[#This Row],[Tot '#]]-MouserListTable[[#This Row],['# Initial]]</f>
        <v>0</v>
      </c>
      <c r="F102" s="152">
        <f>IF(AND(MouserListTable[[#This Row],[Tag]]&lt;&gt;FilterSpecs!$F$12, MouserListTable[[#This Row],[Tag]]&lt;&gt;FilterSpecs!$F$9), MouserListTable[[#This Row],['#/Unit]]*FilterSpecs!$B$3+MouserListTable[[#This Row],[Extra Initial]],0)</f>
        <v>5</v>
      </c>
      <c r="G102" s="150" t="s">
        <v>35</v>
      </c>
      <c r="H102" s="150" t="s">
        <v>36</v>
      </c>
      <c r="I102" s="150" t="s">
        <v>37</v>
      </c>
      <c r="J102" s="153">
        <v>1</v>
      </c>
      <c r="K102" s="154">
        <v>14.95</v>
      </c>
      <c r="L102" s="150" t="s">
        <v>1897</v>
      </c>
      <c r="M102" s="151"/>
      <c r="N102" s="154">
        <f>MouserListTable[[#This Row],['# Initial]]*MouserListTable[[#This Row],[Price (USD)]]</f>
        <v>74.75</v>
      </c>
      <c r="O102" s="151" t="s">
        <v>34</v>
      </c>
      <c r="P102" s="150">
        <f t="shared" si="2"/>
        <v>89</v>
      </c>
      <c r="Q102" s="150" t="s">
        <v>5</v>
      </c>
      <c r="R10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474-PRT-12711</v>
      </c>
      <c r="S102" s="157" t="str">
        <f>HYPERLINK("https://www.mouser.com/ProductDetail/" &amp;MouserListTable[[#This Row],[Mouser SKU]])</f>
        <v>https://www.mouser.com/ProductDetail/474-PRT-12711</v>
      </c>
      <c r="T102" s="152">
        <v>1</v>
      </c>
      <c r="U102" s="152">
        <v>0</v>
      </c>
      <c r="V102" s="152">
        <v>0</v>
      </c>
      <c r="W102" s="152">
        <f>MouserListTable[[#This Row],['#/Unit]]*FilterSpecs!$C$3+MouserListTable[[#This Row],[Extra]]</f>
        <v>5</v>
      </c>
      <c r="X102" s="152">
        <f>IF(MouserListTable[[#This Row],[Tag]]=FilterSpecs!$F$7,MouserListTable[[#This Row],['#/Unit]]*MouserListTable[[#This Row],[Price (USD)]],0)</f>
        <v>14.95</v>
      </c>
      <c r="Y102" s="152">
        <f>MouserListTable[[#This Row],[Tot '#]]*MouserListTable[[#This Row],[Price (USD)]]</f>
        <v>74.75</v>
      </c>
      <c r="Z102" s="146"/>
      <c r="AA102" s="153" t="str">
        <f>InitialOrderTable[[#This Row],[SKU]]</f>
        <v>474-PRT-12711</v>
      </c>
      <c r="AB102" s="153">
        <f>VALUE(InitialOrderTable[[#This Row],['# Initial]])</f>
        <v>5</v>
      </c>
      <c r="AD102" s="153" t="s">
        <v>524</v>
      </c>
      <c r="AF102" s="153">
        <v>5</v>
      </c>
      <c r="AK102" s="146" t="e">
        <f ca="1">[1]!nonzeroQtys($AE$13,AD102)</f>
        <v>#NAME?</v>
      </c>
    </row>
    <row r="103" spans="1:37" s="153" customFormat="1" x14ac:dyDescent="0.25">
      <c r="A103" s="150" t="s">
        <v>887</v>
      </c>
      <c r="B103" s="150" t="s">
        <v>2016</v>
      </c>
      <c r="C103" s="150" t="s">
        <v>5</v>
      </c>
      <c r="D103" s="151" t="str">
        <f>IF(MouserListTable[[#This Row],[Vendor]]=FilterSpecs!$A$8,MouserListTable[[#This Row],[Mouser SKU]], MouserListTable[[#This Row],[Supplier SKU]])</f>
        <v>474-PRT-13777</v>
      </c>
      <c r="E103" s="152">
        <f>MouserListTable[[#This Row],[Tot '#]]-MouserListTable[[#This Row],['# Initial]]</f>
        <v>1</v>
      </c>
      <c r="F103" s="152">
        <f>IF(AND(MouserListTable[[#This Row],[Tag]]&lt;&gt;FilterSpecs!$F$12, MouserListTable[[#This Row],[Tag]]&lt;&gt;FilterSpecs!$F$9), MouserListTable[[#This Row],['#/Unit]]*FilterSpecs!$B$3+MouserListTable[[#This Row],[Extra Initial]],0)</f>
        <v>0</v>
      </c>
      <c r="G103" s="150" t="s">
        <v>43</v>
      </c>
      <c r="H103" s="150" t="s">
        <v>44</v>
      </c>
      <c r="I103" s="150" t="s">
        <v>45</v>
      </c>
      <c r="J103" s="153">
        <v>1</v>
      </c>
      <c r="K103" s="154">
        <v>19.95</v>
      </c>
      <c r="L103" s="150" t="s">
        <v>1896</v>
      </c>
      <c r="M103" s="151"/>
      <c r="N103" s="154">
        <f>MouserListTable[[#This Row],['# Initial]]*MouserListTable[[#This Row],[Price (USD)]]</f>
        <v>0</v>
      </c>
      <c r="O103" s="151" t="s">
        <v>42</v>
      </c>
      <c r="P103" s="150">
        <f t="shared" si="2"/>
        <v>90</v>
      </c>
      <c r="Q103" s="150" t="s">
        <v>5</v>
      </c>
      <c r="R10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474-PRT-13777</v>
      </c>
      <c r="S103" s="157" t="str">
        <f>HYPERLINK("https://www.mouser.com/ProductDetail/" &amp;MouserListTable[[#This Row],[Mouser SKU]])</f>
        <v>https://www.mouser.com/ProductDetail/474-PRT-13777</v>
      </c>
      <c r="T103" s="152">
        <v>0</v>
      </c>
      <c r="U103" s="152">
        <v>1</v>
      </c>
      <c r="V103" s="152">
        <v>0</v>
      </c>
      <c r="W103" s="152">
        <f>MouserListTable[[#This Row],['#/Unit]]*FilterSpecs!$C$3+MouserListTable[[#This Row],[Extra]]</f>
        <v>1</v>
      </c>
      <c r="X103" s="152">
        <f>IF(MouserListTable[[#This Row],[Tag]]=FilterSpecs!$F$7,MouserListTable[[#This Row],['#/Unit]]*MouserListTable[[#This Row],[Price (USD)]],0)</f>
        <v>0</v>
      </c>
      <c r="Y103" s="152">
        <f>MouserListTable[[#This Row],[Tot '#]]*MouserListTable[[#This Row],[Price (USD)]]</f>
        <v>19.95</v>
      </c>
      <c r="Z103" s="146"/>
      <c r="AA103" s="153" t="str">
        <f>InitialOrderTable[[#This Row],[SKU]]</f>
        <v>474-PRT-13777</v>
      </c>
      <c r="AB103" s="153">
        <f>VALUE(InitialOrderTable[[#This Row],['# Initial]])</f>
        <v>0</v>
      </c>
      <c r="AD103" s="153" t="s">
        <v>624</v>
      </c>
      <c r="AF103" s="153">
        <v>5</v>
      </c>
      <c r="AK103" s="146" t="e">
        <f ca="1">[1]!nonzeroQtys($AE$13,AD103)</f>
        <v>#NAME?</v>
      </c>
    </row>
    <row r="104" spans="1:37" s="104" customFormat="1" x14ac:dyDescent="0.25">
      <c r="A104" s="150" t="s">
        <v>887</v>
      </c>
      <c r="B104" s="150" t="s">
        <v>2016</v>
      </c>
      <c r="C104" s="150" t="s">
        <v>5</v>
      </c>
      <c r="D104" s="151" t="str">
        <f>IF(MouserListTable[[#This Row],[Vendor]]=FilterSpecs!$A$8,MouserListTable[[#This Row],[Mouser SKU]], MouserListTable[[#This Row],[Supplier SKU]])</f>
        <v>474-PRT-13856</v>
      </c>
      <c r="E104" s="152">
        <f>MouserListTable[[#This Row],[Tot '#]]-MouserListTable[[#This Row],['# Initial]]</f>
        <v>1</v>
      </c>
      <c r="F104" s="152">
        <f>IF(AND(MouserListTable[[#This Row],[Tag]]&lt;&gt;FilterSpecs!$F$12, MouserListTable[[#This Row],[Tag]]&lt;&gt;FilterSpecs!$F$9), MouserListTable[[#This Row],['#/Unit]]*FilterSpecs!$B$3+MouserListTable[[#This Row],[Extra Initial]],0)</f>
        <v>5</v>
      </c>
      <c r="G104" s="150" t="s">
        <v>47</v>
      </c>
      <c r="H104" s="150" t="s">
        <v>48</v>
      </c>
      <c r="I104" s="150" t="s">
        <v>49</v>
      </c>
      <c r="J104" s="153">
        <v>1</v>
      </c>
      <c r="K104" s="154">
        <v>29.95</v>
      </c>
      <c r="L104" s="150" t="s">
        <v>1897</v>
      </c>
      <c r="M104" s="151"/>
      <c r="N104" s="154">
        <f>MouserListTable[[#This Row],['# Initial]]*MouserListTable[[#This Row],[Price (USD)]]</f>
        <v>149.75</v>
      </c>
      <c r="O104" s="151" t="s">
        <v>46</v>
      </c>
      <c r="P104" s="150">
        <f t="shared" si="2"/>
        <v>91</v>
      </c>
      <c r="Q104" s="150" t="s">
        <v>5</v>
      </c>
      <c r="R10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474-PRT-13856</v>
      </c>
      <c r="S104" s="157" t="str">
        <f>HYPERLINK("https://www.mouser.com/ProductDetail/" &amp;MouserListTable[[#This Row],[Mouser SKU]])</f>
        <v>https://www.mouser.com/ProductDetail/474-PRT-13856</v>
      </c>
      <c r="T104" s="152">
        <v>1</v>
      </c>
      <c r="U104" s="152">
        <v>1</v>
      </c>
      <c r="V104" s="152">
        <v>0</v>
      </c>
      <c r="W104" s="152">
        <f>MouserListTable[[#This Row],['#/Unit]]*FilterSpecs!$C$3+MouserListTable[[#This Row],[Extra]]</f>
        <v>6</v>
      </c>
      <c r="X104" s="152">
        <f>IF(MouserListTable[[#This Row],[Tag]]=FilterSpecs!$F$7,MouserListTable[[#This Row],['#/Unit]]*MouserListTable[[#This Row],[Price (USD)]],0)</f>
        <v>29.95</v>
      </c>
      <c r="Y104" s="152">
        <f>MouserListTable[[#This Row],[Tot '#]]*MouserListTable[[#This Row],[Price (USD)]]</f>
        <v>179.7</v>
      </c>
      <c r="Z104" s="146"/>
      <c r="AA104" s="153" t="str">
        <f>InitialOrderTable[[#This Row],[SKU]]</f>
        <v>474-PRT-13856</v>
      </c>
      <c r="AB104" s="153">
        <f>VALUE(InitialOrderTable[[#This Row],['# Initial]])</f>
        <v>5</v>
      </c>
      <c r="AD104" s="104" t="s">
        <v>2103</v>
      </c>
      <c r="AF104" s="104">
        <v>10</v>
      </c>
      <c r="AK104" s="146" t="e">
        <f ca="1">[1]!nonzeroQtys($AE$13,AD104)</f>
        <v>#NAME?</v>
      </c>
    </row>
    <row r="105" spans="1:37" s="104" customFormat="1" x14ac:dyDescent="0.25">
      <c r="A105" s="150" t="s">
        <v>887</v>
      </c>
      <c r="B105" s="150" t="s">
        <v>2016</v>
      </c>
      <c r="C105" s="150" t="s">
        <v>5</v>
      </c>
      <c r="D105" s="151" t="str">
        <f>IF(MouserListTable[[#This Row],[Vendor]]=FilterSpecs!$A$8,MouserListTable[[#This Row],[Mouser SKU]], MouserListTable[[#This Row],[Supplier SKU]])</f>
        <v>474-PRT-13855</v>
      </c>
      <c r="E105" s="152">
        <f>MouserListTable[[#This Row],[Tot '#]]-MouserListTable[[#This Row],['# Initial]]</f>
        <v>2</v>
      </c>
      <c r="F105" s="152">
        <f>IF(AND(MouserListTable[[#This Row],[Tag]]&lt;&gt;FilterSpecs!$F$12, MouserListTable[[#This Row],[Tag]]&lt;&gt;FilterSpecs!$F$9), MouserListTable[[#This Row],['#/Unit]]*FilterSpecs!$B$3+MouserListTable[[#This Row],[Extra Initial]],0)</f>
        <v>0</v>
      </c>
      <c r="G105" s="150" t="s">
        <v>789</v>
      </c>
      <c r="H105" s="150" t="s">
        <v>790</v>
      </c>
      <c r="I105" s="150" t="s">
        <v>791</v>
      </c>
      <c r="J105" s="153">
        <v>1</v>
      </c>
      <c r="K105" s="154">
        <v>12.95</v>
      </c>
      <c r="L105" s="150" t="s">
        <v>1896</v>
      </c>
      <c r="M105" s="151"/>
      <c r="N105" s="154">
        <f>MouserListTable[[#This Row],['# Initial]]*MouserListTable[[#This Row],[Price (USD)]]</f>
        <v>0</v>
      </c>
      <c r="O105" s="151" t="s">
        <v>788</v>
      </c>
      <c r="P105" s="150">
        <f t="shared" si="2"/>
        <v>92</v>
      </c>
      <c r="Q105" s="150" t="s">
        <v>5</v>
      </c>
      <c r="R10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474-PRT-13855</v>
      </c>
      <c r="S105" s="157" t="str">
        <f>HYPERLINK("https://www.mouser.com/ProductDetail/" &amp;MouserListTable[[#This Row],[Mouser SKU]])</f>
        <v>https://www.mouser.com/ProductDetail/474-PRT-13855</v>
      </c>
      <c r="T105" s="152">
        <v>0</v>
      </c>
      <c r="U105" s="152">
        <v>2</v>
      </c>
      <c r="V105" s="152">
        <v>0</v>
      </c>
      <c r="W105" s="152">
        <f>MouserListTable[[#This Row],['#/Unit]]*FilterSpecs!$C$3+MouserListTable[[#This Row],[Extra]]</f>
        <v>2</v>
      </c>
      <c r="X105" s="152">
        <f>IF(MouserListTable[[#This Row],[Tag]]=FilterSpecs!$F$7,MouserListTable[[#This Row],['#/Unit]]*MouserListTable[[#This Row],[Price (USD)]],0)</f>
        <v>0</v>
      </c>
      <c r="Y105" s="152">
        <f>MouserListTable[[#This Row],[Tot '#]]*MouserListTable[[#This Row],[Price (USD)]]</f>
        <v>25.9</v>
      </c>
      <c r="Z105" s="146"/>
      <c r="AA105" s="153" t="str">
        <f>InitialOrderTable[[#This Row],[SKU]]</f>
        <v>474-PRT-13855</v>
      </c>
      <c r="AB105" s="153">
        <f>VALUE(InitialOrderTable[[#This Row],['# Initial]])</f>
        <v>0</v>
      </c>
      <c r="AD105" s="104" t="s">
        <v>2117</v>
      </c>
      <c r="AF105" s="104">
        <v>10</v>
      </c>
      <c r="AK105" s="146" t="e">
        <f ca="1">[1]!nonzeroQtys($AE$13,AD105)</f>
        <v>#NAME?</v>
      </c>
    </row>
    <row r="106" spans="1:37" s="104" customFormat="1" x14ac:dyDescent="0.25">
      <c r="A106" s="150" t="s">
        <v>887</v>
      </c>
      <c r="B106" s="150" t="s">
        <v>2011</v>
      </c>
      <c r="C106" s="150" t="s">
        <v>5</v>
      </c>
      <c r="D106" s="151" t="str">
        <f>IF(MouserListTable[[#This Row],[Vendor]]=FilterSpecs!$A$8,MouserListTable[[#This Row],[Mouser SKU]], MouserListTable[[#This Row],[Supplier SKU]])</f>
        <v>474-PRT-13032</v>
      </c>
      <c r="E106" s="152">
        <f>MouserListTable[[#This Row],[Tot '#]]-MouserListTable[[#This Row],['# Initial]]</f>
        <v>0</v>
      </c>
      <c r="F106" s="152">
        <f>IF(AND(MouserListTable[[#This Row],[Tag]]&lt;&gt;FilterSpecs!$F$12, MouserListTable[[#This Row],[Tag]]&lt;&gt;FilterSpecs!$F$9), MouserListTable[[#This Row],['#/Unit]]*FilterSpecs!$B$3+MouserListTable[[#This Row],[Extra Initial]],0)</f>
        <v>5</v>
      </c>
      <c r="G106" s="150" t="s">
        <v>39</v>
      </c>
      <c r="H106" s="150" t="s">
        <v>40</v>
      </c>
      <c r="I106" s="150" t="s">
        <v>41</v>
      </c>
      <c r="J106" s="153">
        <v>1</v>
      </c>
      <c r="K106" s="154">
        <v>9.9499999999999993</v>
      </c>
      <c r="L106" s="150" t="s">
        <v>1897</v>
      </c>
      <c r="M106" s="151"/>
      <c r="N106" s="154">
        <f>MouserListTable[[#This Row],['# Initial]]*MouserListTable[[#This Row],[Price (USD)]]</f>
        <v>49.75</v>
      </c>
      <c r="O106" s="151" t="s">
        <v>38</v>
      </c>
      <c r="P106" s="150">
        <f t="shared" si="2"/>
        <v>93</v>
      </c>
      <c r="Q106" s="150" t="s">
        <v>5</v>
      </c>
      <c r="R10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474-PRT-13032</v>
      </c>
      <c r="S106" s="157" t="str">
        <f>HYPERLINK("https://www.mouser.com/ProductDetail/" &amp;MouserListTable[[#This Row],[Mouser SKU]])</f>
        <v>https://www.mouser.com/ProductDetail/474-PRT-13032</v>
      </c>
      <c r="T106" s="152">
        <v>1</v>
      </c>
      <c r="U106" s="152">
        <v>0</v>
      </c>
      <c r="V106" s="152">
        <v>0</v>
      </c>
      <c r="W106" s="152">
        <f>MouserListTable[[#This Row],['#/Unit]]*FilterSpecs!$C$3+MouserListTable[[#This Row],[Extra]]</f>
        <v>5</v>
      </c>
      <c r="X106" s="152">
        <f>IF(MouserListTable[[#This Row],[Tag]]=FilterSpecs!$F$7,MouserListTable[[#This Row],['#/Unit]]*MouserListTable[[#This Row],[Price (USD)]],0)</f>
        <v>9.9499999999999993</v>
      </c>
      <c r="Y106" s="152">
        <f>MouserListTable[[#This Row],[Tot '#]]*MouserListTable[[#This Row],[Price (USD)]]</f>
        <v>49.75</v>
      </c>
      <c r="Z106" s="146"/>
      <c r="AA106" s="153" t="str">
        <f>InitialOrderTable[[#This Row],[SKU]]</f>
        <v>474-PRT-13032</v>
      </c>
      <c r="AB106" s="153">
        <f>VALUE(InitialOrderTable[[#This Row],['# Initial]])</f>
        <v>5</v>
      </c>
      <c r="AD106" s="104" t="s">
        <v>438</v>
      </c>
      <c r="AF106" s="104">
        <v>10</v>
      </c>
      <c r="AK106" s="146" t="e">
        <f ca="1">[1]!nonzeroQtys($AE$13,AD106)</f>
        <v>#NAME?</v>
      </c>
    </row>
    <row r="107" spans="1:37" s="104" customFormat="1" x14ac:dyDescent="0.25">
      <c r="A107" s="150" t="s">
        <v>887</v>
      </c>
      <c r="B107" s="150" t="s">
        <v>2011</v>
      </c>
      <c r="C107" s="150" t="s">
        <v>5</v>
      </c>
      <c r="D107" s="151" t="str">
        <f>IF(MouserListTable[[#This Row],[Vendor]]=FilterSpecs!$A$8,MouserListTable[[#This Row],[Mouser SKU]], MouserListTable[[#This Row],[Supplier SKU]])</f>
        <v>474-PRT-00114</v>
      </c>
      <c r="E107" s="152">
        <f>MouserListTable[[#This Row],[Tot '#]]-MouserListTable[[#This Row],['# Initial]]</f>
        <v>2</v>
      </c>
      <c r="F107" s="152">
        <f>IF(AND(MouserListTable[[#This Row],[Tag]]&lt;&gt;FilterSpecs!$F$12, MouserListTable[[#This Row],[Tag]]&lt;&gt;FilterSpecs!$F$9), MouserListTable[[#This Row],['#/Unit]]*FilterSpecs!$B$3+MouserListTable[[#This Row],[Extra Initial]],0)</f>
        <v>0</v>
      </c>
      <c r="G107" s="150" t="s">
        <v>1194</v>
      </c>
      <c r="H107" s="150" t="s">
        <v>1195</v>
      </c>
      <c r="I107" s="150" t="s">
        <v>1196</v>
      </c>
      <c r="J107" s="153">
        <v>1</v>
      </c>
      <c r="K107" s="154">
        <v>9.9499999999999993</v>
      </c>
      <c r="L107" s="150" t="s">
        <v>1896</v>
      </c>
      <c r="M107" s="151"/>
      <c r="N107" s="154">
        <f>MouserListTable[[#This Row],['# Initial]]*MouserListTable[[#This Row],[Price (USD)]]</f>
        <v>0</v>
      </c>
      <c r="O107" s="151" t="s">
        <v>1193</v>
      </c>
      <c r="P107" s="150">
        <f t="shared" si="2"/>
        <v>94</v>
      </c>
      <c r="Q107" s="150" t="s">
        <v>5</v>
      </c>
      <c r="R10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474-PRT-00114</v>
      </c>
      <c r="S107" s="157" t="str">
        <f>HYPERLINK("https://www.mouser.com/ProductDetail/" &amp;MouserListTable[[#This Row],[Mouser SKU]])</f>
        <v>https://www.mouser.com/ProductDetail/474-PRT-00114</v>
      </c>
      <c r="T107" s="152">
        <v>0</v>
      </c>
      <c r="U107" s="152">
        <v>2</v>
      </c>
      <c r="V107" s="152">
        <v>0</v>
      </c>
      <c r="W107" s="152">
        <f>MouserListTable[[#This Row],['#/Unit]]*FilterSpecs!$C$3+MouserListTable[[#This Row],[Extra]]</f>
        <v>2</v>
      </c>
      <c r="X107" s="152">
        <f>IF(MouserListTable[[#This Row],[Tag]]=FilterSpecs!$F$7,MouserListTable[[#This Row],['#/Unit]]*MouserListTable[[#This Row],[Price (USD)]],0)</f>
        <v>0</v>
      </c>
      <c r="Y107" s="152">
        <f>MouserListTable[[#This Row],[Tot '#]]*MouserListTable[[#This Row],[Price (USD)]]</f>
        <v>19.899999999999999</v>
      </c>
      <c r="Z107" s="146"/>
      <c r="AA107" s="153" t="str">
        <f>InitialOrderTable[[#This Row],[SKU]]</f>
        <v>474-PRT-00114</v>
      </c>
      <c r="AB107" s="153">
        <f>VALUE(InitialOrderTable[[#This Row],['# Initial]])</f>
        <v>0</v>
      </c>
      <c r="AD107" s="104" t="s">
        <v>1841</v>
      </c>
      <c r="AF107" s="104">
        <v>5</v>
      </c>
      <c r="AK107" s="146" t="e">
        <f ca="1">[1]!nonzeroQtys($AE$13,AD107)</f>
        <v>#NAME?</v>
      </c>
    </row>
    <row r="108" spans="1:37" s="104" customFormat="1" x14ac:dyDescent="0.25">
      <c r="A108" s="97" t="s">
        <v>887</v>
      </c>
      <c r="B108" s="150" t="s">
        <v>2011</v>
      </c>
      <c r="C108" s="150" t="s">
        <v>1884</v>
      </c>
      <c r="D108" s="151" t="str">
        <f>IF(MouserListTable[[#This Row],[Vendor]]=FilterSpecs!$A$8,MouserListTable[[#This Row],[Mouser SKU]], MouserListTable[[#This Row],[Supplier SKU]])</f>
        <v>485-184</v>
      </c>
      <c r="E108" s="152">
        <f>MouserListTable[[#This Row],[Tot '#]]-MouserListTable[[#This Row],['# Initial]]</f>
        <v>0</v>
      </c>
      <c r="F108" s="152">
        <f>IF(AND(MouserListTable[[#This Row],[Tag]]&lt;&gt;FilterSpecs!$F$12, MouserListTable[[#This Row],[Tag]]&lt;&gt;FilterSpecs!$F$9), MouserListTable[[#This Row],['#/Unit]]*FilterSpecs!$B$3+MouserListTable[[#This Row],[Extra Initial]],0)</f>
        <v>0</v>
      </c>
      <c r="G108" s="150"/>
      <c r="H108" s="150"/>
      <c r="I108" s="150" t="s">
        <v>2263</v>
      </c>
      <c r="J108" s="153"/>
      <c r="K108" s="118">
        <v>14.95</v>
      </c>
      <c r="L108" s="97" t="s">
        <v>1896</v>
      </c>
      <c r="M108" s="153"/>
      <c r="N108" s="154">
        <f>MouserListTable[[#This Row],['# Initial]]*MouserListTable[[#This Row],[Price (USD)]]</f>
        <v>0</v>
      </c>
      <c r="O108" s="151" t="s">
        <v>2262</v>
      </c>
      <c r="P108" s="150">
        <f t="shared" si="2"/>
        <v>95</v>
      </c>
      <c r="Q108" s="150" t="s">
        <v>1884</v>
      </c>
      <c r="R10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485-184</v>
      </c>
      <c r="S108" s="157" t="str">
        <f>HYPERLINK("https://www.mouser.com/ProductDetail/" &amp;MouserListTable[[#This Row],[Mouser SKU]])</f>
        <v>https://www.mouser.com/ProductDetail/485-184</v>
      </c>
      <c r="T108" s="152">
        <v>0</v>
      </c>
      <c r="U108" s="152">
        <v>0</v>
      </c>
      <c r="V108" s="152">
        <v>0</v>
      </c>
      <c r="W108" s="152">
        <f>MouserListTable[[#This Row],['#/Unit]]*FilterSpecs!$C$3+MouserListTable[[#This Row],[Extra]]</f>
        <v>0</v>
      </c>
      <c r="X108" s="152">
        <f>IF(MouserListTable[[#This Row],[Tag]]=FilterSpecs!$F$7,MouserListTable[[#This Row],['#/Unit]]*MouserListTable[[#This Row],[Price (USD)]],0)</f>
        <v>0</v>
      </c>
      <c r="Y108" s="152">
        <f>MouserListTable[[#This Row],[Tot '#]]*MouserListTable[[#This Row],[Price (USD)]]</f>
        <v>0</v>
      </c>
      <c r="Z108" s="146"/>
      <c r="AA108" s="153" t="str">
        <f>InitialOrderTable[[#This Row],[SKU]]</f>
        <v>485-184</v>
      </c>
      <c r="AB108" s="153">
        <f>VALUE(InitialOrderTable[[#This Row],['# Initial]])</f>
        <v>0</v>
      </c>
      <c r="AD108" s="104" t="s">
        <v>1368</v>
      </c>
      <c r="AF108" s="104">
        <v>16</v>
      </c>
      <c r="AK108" s="146" t="e">
        <f ca="1">[1]!nonzeroQtys($AE$13,AD108)</f>
        <v>#NAME?</v>
      </c>
    </row>
    <row r="109" spans="1:37" s="104" customFormat="1" x14ac:dyDescent="0.25">
      <c r="A109" s="150" t="s">
        <v>887</v>
      </c>
      <c r="B109" s="150" t="s">
        <v>2011</v>
      </c>
      <c r="C109" s="150" t="s">
        <v>5</v>
      </c>
      <c r="D109" s="151" t="str">
        <f>IF(MouserListTable[[#This Row],[Vendor]]=FilterSpecs!$A$8,MouserListTable[[#This Row],[Mouser SKU]], MouserListTable[[#This Row],[Supplier SKU]])</f>
        <v>474-PRT-10811</v>
      </c>
      <c r="E109" s="152">
        <f>MouserListTable[[#This Row],[Tot '#]]-MouserListTable[[#This Row],['# Initial]]</f>
        <v>1</v>
      </c>
      <c r="F109" s="152">
        <f>IF(AND(MouserListTable[[#This Row],[Tag]]&lt;&gt;FilterSpecs!$F$12, MouserListTable[[#This Row],[Tag]]&lt;&gt;FilterSpecs!$F$9), MouserListTable[[#This Row],['#/Unit]]*FilterSpecs!$B$3+MouserListTable[[#This Row],[Extra Initial]],0)</f>
        <v>5</v>
      </c>
      <c r="G109" s="150" t="s">
        <v>565</v>
      </c>
      <c r="H109" s="150" t="s">
        <v>566</v>
      </c>
      <c r="I109" s="150" t="s">
        <v>567</v>
      </c>
      <c r="J109" s="153"/>
      <c r="K109" s="154">
        <v>0.95</v>
      </c>
      <c r="L109" s="150" t="s">
        <v>1897</v>
      </c>
      <c r="M109" s="151"/>
      <c r="N109" s="154">
        <f>MouserListTable[[#This Row],['# Initial]]*MouserListTable[[#This Row],[Price (USD)]]</f>
        <v>4.75</v>
      </c>
      <c r="O109" s="151" t="s">
        <v>564</v>
      </c>
      <c r="P109" s="150">
        <f t="shared" si="2"/>
        <v>96</v>
      </c>
      <c r="Q109" s="150" t="s">
        <v>5</v>
      </c>
      <c r="R10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474-PRT-10811</v>
      </c>
      <c r="S109" s="157" t="str">
        <f>HYPERLINK("https://www.mouser.com/ProductDetail/" &amp;MouserListTable[[#This Row],[Mouser SKU]])</f>
        <v>https://www.mouser.com/ProductDetail/474-PRT-10811</v>
      </c>
      <c r="T109" s="152">
        <v>1</v>
      </c>
      <c r="U109" s="152">
        <v>1</v>
      </c>
      <c r="V109" s="152">
        <v>0</v>
      </c>
      <c r="W109" s="152">
        <f>MouserListTable[[#This Row],['#/Unit]]*FilterSpecs!$C$3+MouserListTable[[#This Row],[Extra]]</f>
        <v>6</v>
      </c>
      <c r="X109" s="152">
        <f>IF(MouserListTable[[#This Row],[Tag]]=FilterSpecs!$F$7,MouserListTable[[#This Row],['#/Unit]]*MouserListTable[[#This Row],[Price (USD)]],0)</f>
        <v>0.95</v>
      </c>
      <c r="Y109" s="152">
        <f>MouserListTable[[#This Row],[Tot '#]]*MouserListTable[[#This Row],[Price (USD)]]</f>
        <v>5.6999999999999993</v>
      </c>
      <c r="Z109" s="146"/>
      <c r="AA109" s="153" t="str">
        <f>InitialOrderTable[[#This Row],[SKU]]</f>
        <v>474-PRT-10811</v>
      </c>
      <c r="AB109" s="153">
        <f>VALUE(InitialOrderTable[[#This Row],['# Initial]])</f>
        <v>5</v>
      </c>
      <c r="AD109" s="104" t="s">
        <v>1372</v>
      </c>
      <c r="AF109" s="104">
        <v>16</v>
      </c>
      <c r="AK109" s="146" t="e">
        <f ca="1">[1]!nonzeroQtys($AE$13,AD109)</f>
        <v>#NAME?</v>
      </c>
    </row>
    <row r="110" spans="1:37" s="104" customFormat="1" x14ac:dyDescent="0.25">
      <c r="A110" s="97" t="s">
        <v>887</v>
      </c>
      <c r="B110" s="150" t="s">
        <v>2011</v>
      </c>
      <c r="C110" s="150" t="s">
        <v>1884</v>
      </c>
      <c r="D110" s="151" t="str">
        <f>IF(MouserListTable[[#This Row],[Vendor]]=FilterSpecs!$A$8,MouserListTable[[#This Row],[Mouser SKU]], MouserListTable[[#This Row],[Supplier SKU]])</f>
        <v>485-373</v>
      </c>
      <c r="E110" s="152">
        <f>MouserListTable[[#This Row],[Tot '#]]-MouserListTable[[#This Row],['# Initial]]</f>
        <v>0</v>
      </c>
      <c r="F110" s="152">
        <f>IF(AND(MouserListTable[[#This Row],[Tag]]&lt;&gt;FilterSpecs!$F$12, MouserListTable[[#This Row],[Tag]]&lt;&gt;FilterSpecs!$F$9), MouserListTable[[#This Row],['#/Unit]]*FilterSpecs!$B$3+MouserListTable[[#This Row],[Extra Initial]],0)</f>
        <v>0</v>
      </c>
      <c r="G110" s="150"/>
      <c r="H110" s="150"/>
      <c r="I110" s="150" t="s">
        <v>2197</v>
      </c>
      <c r="J110" s="153"/>
      <c r="K110" s="118">
        <v>0.95</v>
      </c>
      <c r="L110" s="97" t="s">
        <v>1896</v>
      </c>
      <c r="M110" s="153"/>
      <c r="N110" s="154">
        <f>MouserListTable[[#This Row],['# Initial]]*MouserListTable[[#This Row],[Price (USD)]]</f>
        <v>0</v>
      </c>
      <c r="O110" s="151" t="s">
        <v>2196</v>
      </c>
      <c r="P110" s="150">
        <f t="shared" si="2"/>
        <v>97</v>
      </c>
      <c r="Q110" s="150" t="s">
        <v>1884</v>
      </c>
      <c r="R11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485-373</v>
      </c>
      <c r="S110" s="157" t="str">
        <f>HYPERLINK("https://www.mouser.com/ProductDetail/" &amp;MouserListTable[[#This Row],[Mouser SKU]])</f>
        <v>https://www.mouser.com/ProductDetail/485-373</v>
      </c>
      <c r="T110" s="152">
        <v>0</v>
      </c>
      <c r="U110" s="152">
        <v>0</v>
      </c>
      <c r="V110" s="152">
        <v>0</v>
      </c>
      <c r="W110" s="152">
        <f>MouserListTable[[#This Row],['#/Unit]]*FilterSpecs!$C$3+MouserListTable[[#This Row],[Extra]]</f>
        <v>0</v>
      </c>
      <c r="X110" s="152">
        <f>IF(MouserListTable[[#This Row],[Tag]]=FilterSpecs!$F$7,MouserListTable[[#This Row],['#/Unit]]*MouserListTable[[#This Row],[Price (USD)]],0)</f>
        <v>0</v>
      </c>
      <c r="Y110" s="152">
        <f>MouserListTable[[#This Row],[Tot '#]]*MouserListTable[[#This Row],[Price (USD)]]</f>
        <v>0</v>
      </c>
      <c r="Z110" s="146"/>
      <c r="AA110" s="153" t="str">
        <f>InitialOrderTable[[#This Row],[SKU]]</f>
        <v>485-373</v>
      </c>
      <c r="AB110" s="153">
        <f>VALUE(InitialOrderTable[[#This Row],['# Initial]])</f>
        <v>0</v>
      </c>
      <c r="AD110" s="104" t="s">
        <v>1356</v>
      </c>
      <c r="AF110" s="104">
        <v>16</v>
      </c>
      <c r="AK110" s="146" t="e">
        <f ca="1">[1]!nonzeroQtys($AE$13,AD110)</f>
        <v>#NAME?</v>
      </c>
    </row>
    <row r="111" spans="1:37" s="104" customFormat="1" x14ac:dyDescent="0.25">
      <c r="A111" s="150" t="s">
        <v>887</v>
      </c>
      <c r="B111" s="151" t="s">
        <v>2012</v>
      </c>
      <c r="C111" s="150" t="s">
        <v>5</v>
      </c>
      <c r="D111" s="151" t="str">
        <f>IF(MouserListTable[[#This Row],[Vendor]]=FilterSpecs!$A$8,MouserListTable[[#This Row],[Mouser SKU]], MouserListTable[[#This Row],[Supplier SKU]])</f>
        <v>474-PRT-11214</v>
      </c>
      <c r="E111" s="152">
        <f>MouserListTable[[#This Row],[Tot '#]]-MouserListTable[[#This Row],['# Initial]]</f>
        <v>0</v>
      </c>
      <c r="F111" s="152">
        <f>IF(AND(MouserListTable[[#This Row],[Tag]]&lt;&gt;FilterSpecs!$F$12, MouserListTable[[#This Row],[Tag]]&lt;&gt;FilterSpecs!$F$9), MouserListTable[[#This Row],['#/Unit]]*FilterSpecs!$B$3+MouserListTable[[#This Row],[Extra Initial]],0)</f>
        <v>5</v>
      </c>
      <c r="G111" s="150" t="s">
        <v>801</v>
      </c>
      <c r="H111" s="150" t="s">
        <v>802</v>
      </c>
      <c r="I111" s="150" t="s">
        <v>803</v>
      </c>
      <c r="J111" s="150">
        <v>1</v>
      </c>
      <c r="K111" s="154">
        <v>6.95</v>
      </c>
      <c r="L111" s="150" t="s">
        <v>1897</v>
      </c>
      <c r="M111" s="151"/>
      <c r="N111" s="154">
        <f>MouserListTable[[#This Row],['# Initial]]*MouserListTable[[#This Row],[Price (USD)]]</f>
        <v>34.75</v>
      </c>
      <c r="O111" s="151" t="s">
        <v>800</v>
      </c>
      <c r="P111" s="150">
        <f t="shared" si="2"/>
        <v>98</v>
      </c>
      <c r="Q111" s="150" t="s">
        <v>5</v>
      </c>
      <c r="R11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474-PRT-11214</v>
      </c>
      <c r="S111" s="157" t="str">
        <f>HYPERLINK("https://www.mouser.com/ProductDetail/" &amp;MouserListTable[[#This Row],[Mouser SKU]])</f>
        <v>https://www.mouser.com/ProductDetail/474-PRT-11214</v>
      </c>
      <c r="T111" s="152">
        <v>1</v>
      </c>
      <c r="U111" s="152">
        <v>0</v>
      </c>
      <c r="V111" s="152">
        <v>0</v>
      </c>
      <c r="W111" s="152">
        <f>MouserListTable[[#This Row],['#/Unit]]*FilterSpecs!$C$3+MouserListTable[[#This Row],[Extra]]</f>
        <v>5</v>
      </c>
      <c r="X111" s="152">
        <f>IF(MouserListTable[[#This Row],[Tag]]=FilterSpecs!$F$7,MouserListTable[[#This Row],['#/Unit]]*MouserListTable[[#This Row],[Price (USD)]],0)</f>
        <v>6.95</v>
      </c>
      <c r="Y111" s="152">
        <f>MouserListTable[[#This Row],[Tot '#]]*MouserListTable[[#This Row],[Price (USD)]]</f>
        <v>34.75</v>
      </c>
      <c r="Z111" s="146"/>
      <c r="AA111" s="153" t="str">
        <f>InitialOrderTable[[#This Row],[SKU]]</f>
        <v>474-PRT-11214</v>
      </c>
      <c r="AB111" s="153">
        <f>VALUE(InitialOrderTable[[#This Row],['# Initial]])</f>
        <v>5</v>
      </c>
      <c r="AD111" s="104" t="s">
        <v>1344</v>
      </c>
      <c r="AF111" s="104">
        <v>16</v>
      </c>
      <c r="AK111" s="146" t="e">
        <f ca="1">[1]!nonzeroQtys($AE$13,AD111)</f>
        <v>#NAME?</v>
      </c>
    </row>
    <row r="112" spans="1:37" s="104" customFormat="1" x14ac:dyDescent="0.25">
      <c r="A112" s="97" t="s">
        <v>887</v>
      </c>
      <c r="B112" s="97" t="s">
        <v>2012</v>
      </c>
      <c r="C112" s="150" t="s">
        <v>1884</v>
      </c>
      <c r="D112" s="151" t="str">
        <f>IF(MouserListTable[[#This Row],[Vendor]]=FilterSpecs!$A$8,MouserListTable[[#This Row],[Mouser SKU]], MouserListTable[[#This Row],[Supplier SKU]])</f>
        <v>485-1125</v>
      </c>
      <c r="E112" s="152">
        <f>MouserListTable[[#This Row],[Tot '#]]-MouserListTable[[#This Row],['# Initial]]</f>
        <v>0</v>
      </c>
      <c r="F112" s="152">
        <f>IF(AND(MouserListTable[[#This Row],[Tag]]&lt;&gt;FilterSpecs!$F$12, MouserListTable[[#This Row],[Tag]]&lt;&gt;FilterSpecs!$F$9), MouserListTable[[#This Row],['#/Unit]]*FilterSpecs!$B$3+MouserListTable[[#This Row],[Extra Initial]],0)</f>
        <v>0</v>
      </c>
      <c r="G112" s="150"/>
      <c r="H112" s="150"/>
      <c r="I112" s="150" t="s">
        <v>2257</v>
      </c>
      <c r="J112" s="150"/>
      <c r="K112" s="154">
        <v>2.5</v>
      </c>
      <c r="L112" s="150" t="s">
        <v>1896</v>
      </c>
      <c r="M112" s="153"/>
      <c r="N112" s="154">
        <f>MouserListTable[[#This Row],['# Initial]]*MouserListTable[[#This Row],[Price (USD)]]</f>
        <v>0</v>
      </c>
      <c r="O112" s="151" t="s">
        <v>2256</v>
      </c>
      <c r="P112" s="150">
        <f t="shared" si="2"/>
        <v>99</v>
      </c>
      <c r="Q112" s="150" t="s">
        <v>1884</v>
      </c>
      <c r="R11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485-1125</v>
      </c>
      <c r="S112" s="157" t="str">
        <f>HYPERLINK("https://www.mouser.com/ProductDetail/" &amp;MouserListTable[[#This Row],[Mouser SKU]])</f>
        <v>https://www.mouser.com/ProductDetail/485-1125</v>
      </c>
      <c r="T112" s="152">
        <v>0</v>
      </c>
      <c r="U112" s="152">
        <v>0</v>
      </c>
      <c r="V112" s="152">
        <v>0</v>
      </c>
      <c r="W112" s="152">
        <f>MouserListTable[[#This Row],['#/Unit]]*FilterSpecs!$C$3+MouserListTable[[#This Row],[Extra]]</f>
        <v>0</v>
      </c>
      <c r="X112" s="152">
        <f>IF(MouserListTable[[#This Row],[Tag]]=FilterSpecs!$F$7,MouserListTable[[#This Row],['#/Unit]]*MouserListTable[[#This Row],[Price (USD)]],0)</f>
        <v>0</v>
      </c>
      <c r="Y112" s="152">
        <f>MouserListTable[[#This Row],[Tot '#]]*MouserListTable[[#This Row],[Price (USD)]]</f>
        <v>0</v>
      </c>
      <c r="Z112" s="146"/>
      <c r="AA112" s="153" t="str">
        <f>InitialOrderTable[[#This Row],[SKU]]</f>
        <v>485-1125</v>
      </c>
      <c r="AB112" s="153">
        <f>VALUE(InitialOrderTable[[#This Row],['# Initial]])</f>
        <v>0</v>
      </c>
      <c r="AD112" s="104" t="s">
        <v>2400</v>
      </c>
      <c r="AF112" s="104">
        <v>16</v>
      </c>
      <c r="AK112" s="146" t="e">
        <f ca="1">[1]!nonzeroQtys($AE$13,AD112)</f>
        <v>#NAME?</v>
      </c>
    </row>
    <row r="113" spans="1:37" s="153" customFormat="1" x14ac:dyDescent="0.25">
      <c r="A113" s="97" t="s">
        <v>887</v>
      </c>
      <c r="B113" s="97" t="s">
        <v>2012</v>
      </c>
      <c r="C113" s="150" t="s">
        <v>5</v>
      </c>
      <c r="D113" s="151" t="str">
        <f>IF(MouserListTable[[#This Row],[Vendor]]=FilterSpecs!$A$8,MouserListTable[[#This Row],[Mouser SKU]], MouserListTable[[#This Row],[Supplier SKU]])</f>
        <v>474-COM-11477</v>
      </c>
      <c r="E113" s="152">
        <f>MouserListTable[[#This Row],[Tot '#]]-MouserListTable[[#This Row],['# Initial]]</f>
        <v>0</v>
      </c>
      <c r="F113" s="152">
        <f>IF(AND(MouserListTable[[#This Row],[Tag]]&lt;&gt;FilterSpecs!$F$12, MouserListTable[[#This Row],[Tag]]&lt;&gt;FilterSpecs!$F$9), MouserListTable[[#This Row],['#/Unit]]*FilterSpecs!$B$3+MouserListTable[[#This Row],[Extra Initial]],0)</f>
        <v>0</v>
      </c>
      <c r="G113" s="150" t="s">
        <v>1786</v>
      </c>
      <c r="H113" s="150" t="s">
        <v>1787</v>
      </c>
      <c r="I113" s="150" t="s">
        <v>1788</v>
      </c>
      <c r="J113" s="147">
        <v>0.95</v>
      </c>
      <c r="K113" s="154">
        <v>0.95</v>
      </c>
      <c r="L113" s="150" t="s">
        <v>1896</v>
      </c>
      <c r="N113" s="154">
        <f>MouserListTable[[#This Row],['# Initial]]*MouserListTable[[#This Row],[Price (USD)]]</f>
        <v>0</v>
      </c>
      <c r="O113" s="147" t="s">
        <v>1785</v>
      </c>
      <c r="P113" s="150">
        <f t="shared" si="2"/>
        <v>100</v>
      </c>
      <c r="Q113" s="150" t="s">
        <v>5</v>
      </c>
      <c r="R11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474-COM-11477</v>
      </c>
      <c r="S113" s="157" t="str">
        <f>HYPERLINK("https://www.mouser.com/ProductDetail/" &amp;MouserListTable[[#This Row],[Mouser SKU]])</f>
        <v>https://www.mouser.com/ProductDetail/474-COM-11477</v>
      </c>
      <c r="T113" s="152">
        <v>0</v>
      </c>
      <c r="U113" s="152">
        <v>0</v>
      </c>
      <c r="V113" s="152">
        <v>0</v>
      </c>
      <c r="W113" s="152">
        <f>MouserListTable[[#This Row],['#/Unit]]*FilterSpecs!$C$3+MouserListTable[[#This Row],[Extra]]</f>
        <v>0</v>
      </c>
      <c r="X113" s="152">
        <f>IF(MouserListTable[[#This Row],[Tag]]=FilterSpecs!$F$7,MouserListTable[[#This Row],['#/Unit]]*MouserListTable[[#This Row],[Price (USD)]],0)</f>
        <v>0</v>
      </c>
      <c r="Y113" s="152">
        <f>MouserListTable[[#This Row],[Tot '#]]*MouserListTable[[#This Row],[Price (USD)]]</f>
        <v>0</v>
      </c>
      <c r="Z113" s="146"/>
      <c r="AA113" s="153" t="str">
        <f>InitialOrderTable[[#This Row],[SKU]]</f>
        <v>474-COM-11477</v>
      </c>
      <c r="AB113" s="153">
        <f>VALUE(InitialOrderTable[[#This Row],['# Initial]])</f>
        <v>0</v>
      </c>
      <c r="AD113" s="153" t="s">
        <v>1573</v>
      </c>
      <c r="AF113" s="153">
        <v>10</v>
      </c>
      <c r="AK113" s="146" t="e">
        <f ca="1">[1]!nonzeroQtys($AE$13,AD113)</f>
        <v>#NAME?</v>
      </c>
    </row>
    <row r="114" spans="1:37" s="153" customFormat="1" x14ac:dyDescent="0.25">
      <c r="A114" s="150" t="s">
        <v>887</v>
      </c>
      <c r="B114" s="150" t="s">
        <v>2014</v>
      </c>
      <c r="C114" s="150" t="s">
        <v>1884</v>
      </c>
      <c r="D114" s="151" t="str">
        <f>IF(MouserListTable[[#This Row],[Vendor]]=FilterSpecs!$A$8,MouserListTable[[#This Row],[Mouser SKU]], MouserListTable[[#This Row],[Supplier SKU]])</f>
        <v>485-743</v>
      </c>
      <c r="E114" s="152">
        <f>MouserListTable[[#This Row],[Tot '#]]-MouserListTable[[#This Row],['# Initial]]</f>
        <v>1</v>
      </c>
      <c r="F114" s="152">
        <f>IF(AND(MouserListTable[[#This Row],[Tag]]&lt;&gt;FilterSpecs!$F$12, MouserListTable[[#This Row],[Tag]]&lt;&gt;FilterSpecs!$F$9), MouserListTable[[#This Row],['#/Unit]]*FilterSpecs!$B$3+MouserListTable[[#This Row],[Extra Initial]],0)</f>
        <v>5</v>
      </c>
      <c r="G114" s="150"/>
      <c r="H114" s="150"/>
      <c r="I114" s="150" t="s">
        <v>2063</v>
      </c>
      <c r="J114" s="150"/>
      <c r="K114" s="154">
        <v>2.5</v>
      </c>
      <c r="L114" s="150" t="s">
        <v>1897</v>
      </c>
      <c r="M114" s="151"/>
      <c r="N114" s="154">
        <f>MouserListTable[[#This Row],['# Initial]]*MouserListTable[[#This Row],[Price (USD)]]</f>
        <v>12.5</v>
      </c>
      <c r="O114" s="151" t="s">
        <v>2064</v>
      </c>
      <c r="P114" s="150">
        <f t="shared" si="2"/>
        <v>101</v>
      </c>
      <c r="Q114" s="150" t="s">
        <v>1884</v>
      </c>
      <c r="R11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485-743</v>
      </c>
      <c r="S114" s="157" t="str">
        <f>HYPERLINK("https://www.mouser.com/ProductDetail/" &amp;MouserListTable[[#This Row],[Mouser SKU]])</f>
        <v>https://www.mouser.com/ProductDetail/485-743</v>
      </c>
      <c r="T114" s="152">
        <v>1</v>
      </c>
      <c r="U114" s="152">
        <v>1</v>
      </c>
      <c r="V114" s="152">
        <v>0</v>
      </c>
      <c r="W114" s="152">
        <f>MouserListTable[[#This Row],['#/Unit]]*FilterSpecs!$C$3+MouserListTable[[#This Row],[Extra]]</f>
        <v>6</v>
      </c>
      <c r="X114" s="152">
        <f>IF(MouserListTable[[#This Row],[Tag]]=FilterSpecs!$F$7,MouserListTable[[#This Row],['#/Unit]]*MouserListTable[[#This Row],[Price (USD)]],0)</f>
        <v>2.5</v>
      </c>
      <c r="Y114" s="152">
        <f>MouserListTable[[#This Row],[Tot '#]]*MouserListTable[[#This Row],[Price (USD)]]</f>
        <v>15</v>
      </c>
      <c r="Z114" s="146"/>
      <c r="AA114" s="153" t="str">
        <f>InitialOrderTable[[#This Row],[SKU]]</f>
        <v>485-743</v>
      </c>
      <c r="AB114" s="153">
        <f>VALUE(InitialOrderTable[[#This Row],['# Initial]])</f>
        <v>5</v>
      </c>
      <c r="AD114" s="153" t="s">
        <v>1569</v>
      </c>
      <c r="AF114" s="153">
        <v>10</v>
      </c>
      <c r="AK114" s="146" t="e">
        <f ca="1">[1]!nonzeroQtys($AE$13,AD114)</f>
        <v>#NAME?</v>
      </c>
    </row>
    <row r="115" spans="1:37" s="153" customFormat="1" x14ac:dyDescent="0.25">
      <c r="A115" s="97" t="s">
        <v>887</v>
      </c>
      <c r="B115" s="97" t="s">
        <v>2014</v>
      </c>
      <c r="C115" s="150" t="s">
        <v>5</v>
      </c>
      <c r="D115" s="151" t="str">
        <f>IF(MouserListTable[[#This Row],[Vendor]]=FilterSpecs!$A$8,MouserListTable[[#This Row],[Mouser SKU]], MouserListTable[[#This Row],[Supplier SKU]])</f>
        <v>474-PRT-10288</v>
      </c>
      <c r="E115" s="152">
        <f>MouserListTable[[#This Row],[Tot '#]]-MouserListTable[[#This Row],['# Initial]]</f>
        <v>0</v>
      </c>
      <c r="F115" s="152">
        <f>IF(AND(MouserListTable[[#This Row],[Tag]]&lt;&gt;FilterSpecs!$F$12, MouserListTable[[#This Row],[Tag]]&lt;&gt;FilterSpecs!$F$9), MouserListTable[[#This Row],['#/Unit]]*FilterSpecs!$B$3+MouserListTable[[#This Row],[Extra Initial]],0)</f>
        <v>0</v>
      </c>
      <c r="G115" s="150" t="s">
        <v>1020</v>
      </c>
      <c r="H115" s="150" t="s">
        <v>1021</v>
      </c>
      <c r="I115" s="150" t="s">
        <v>1022</v>
      </c>
      <c r="J115" s="150"/>
      <c r="K115" s="154">
        <v>2.95</v>
      </c>
      <c r="L115" s="150" t="s">
        <v>1898</v>
      </c>
      <c r="M115" s="150"/>
      <c r="N115" s="154">
        <f>MouserListTable[[#This Row],['# Initial]]*MouserListTable[[#This Row],[Price (USD)]]</f>
        <v>0</v>
      </c>
      <c r="O115" s="151" t="s">
        <v>1019</v>
      </c>
      <c r="P115" s="150">
        <f t="shared" si="2"/>
        <v>102</v>
      </c>
      <c r="Q115" s="150" t="s">
        <v>5</v>
      </c>
      <c r="R11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474-PRT-10288</v>
      </c>
      <c r="S115" s="157" t="str">
        <f>HYPERLINK("https://www.mouser.com/ProductDetail/" &amp;MouserListTable[[#This Row],[Mouser SKU]])</f>
        <v>https://www.mouser.com/ProductDetail/474-PRT-10288</v>
      </c>
      <c r="T115" s="152">
        <v>0</v>
      </c>
      <c r="U115" s="152">
        <v>0</v>
      </c>
      <c r="V115" s="152">
        <v>0</v>
      </c>
      <c r="W115" s="152">
        <f>MouserListTable[[#This Row],['#/Unit]]*FilterSpecs!$C$3+MouserListTable[[#This Row],[Extra]]</f>
        <v>0</v>
      </c>
      <c r="X115" s="152">
        <f>IF(MouserListTable[[#This Row],[Tag]]=FilterSpecs!$F$7,MouserListTable[[#This Row],['#/Unit]]*MouserListTable[[#This Row],[Price (USD)]],0)</f>
        <v>0</v>
      </c>
      <c r="Y115" s="152">
        <f>MouserListTable[[#This Row],[Tot '#]]*MouserListTable[[#This Row],[Price (USD)]]</f>
        <v>0</v>
      </c>
      <c r="Z115" s="146"/>
      <c r="AA115" s="153" t="str">
        <f>InitialOrderTable[[#This Row],[SKU]]</f>
        <v>474-PRT-10288</v>
      </c>
      <c r="AB115" s="153">
        <f>VALUE(InitialOrderTable[[#This Row],['# Initial]])</f>
        <v>0</v>
      </c>
      <c r="AD115" s="153" t="s">
        <v>893</v>
      </c>
      <c r="AF115" s="153">
        <v>10</v>
      </c>
      <c r="AK115" s="146" t="e">
        <f ca="1">[1]!nonzeroQtys($AE$13,AD115)</f>
        <v>#NAME?</v>
      </c>
    </row>
    <row r="116" spans="1:37" s="153" customFormat="1" x14ac:dyDescent="0.25">
      <c r="A116" s="97" t="s">
        <v>887</v>
      </c>
      <c r="B116" s="97" t="s">
        <v>2014</v>
      </c>
      <c r="C116" s="150" t="s">
        <v>5</v>
      </c>
      <c r="D116" s="151" t="str">
        <f>IF(MouserListTable[[#This Row],[Vendor]]=FilterSpecs!$A$8,MouserListTable[[#This Row],[Mouser SKU]], MouserListTable[[#This Row],[Supplier SKU]])</f>
        <v>474-PRT-10287</v>
      </c>
      <c r="E116" s="152">
        <f>MouserListTable[[#This Row],[Tot '#]]-MouserListTable[[#This Row],['# Initial]]</f>
        <v>0</v>
      </c>
      <c r="F116" s="152">
        <f>IF(AND(MouserListTable[[#This Row],[Tag]]&lt;&gt;FilterSpecs!$F$12, MouserListTable[[#This Row],[Tag]]&lt;&gt;FilterSpecs!$F$9), MouserListTable[[#This Row],['#/Unit]]*FilterSpecs!$B$3+MouserListTable[[#This Row],[Extra Initial]],0)</f>
        <v>0</v>
      </c>
      <c r="G116" s="150" t="s">
        <v>809</v>
      </c>
      <c r="H116" s="150" t="s">
        <v>810</v>
      </c>
      <c r="I116" s="150" t="s">
        <v>811</v>
      </c>
      <c r="J116" s="150"/>
      <c r="K116" s="154">
        <v>2.95</v>
      </c>
      <c r="L116" s="150" t="s">
        <v>1898</v>
      </c>
      <c r="M116" s="150"/>
      <c r="N116" s="154">
        <f>MouserListTable[[#This Row],['# Initial]]*MouserListTable[[#This Row],[Price (USD)]]</f>
        <v>0</v>
      </c>
      <c r="O116" s="151" t="s">
        <v>808</v>
      </c>
      <c r="P116" s="150">
        <f t="shared" si="2"/>
        <v>103</v>
      </c>
      <c r="Q116" s="150" t="s">
        <v>5</v>
      </c>
      <c r="R11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474-PRT-10287</v>
      </c>
      <c r="S116" s="157" t="str">
        <f>HYPERLINK("https://www.mouser.com/ProductDetail/" &amp;MouserListTable[[#This Row],[Mouser SKU]])</f>
        <v>https://www.mouser.com/ProductDetail/474-PRT-10287</v>
      </c>
      <c r="T116" s="152">
        <v>0</v>
      </c>
      <c r="U116" s="152">
        <v>0</v>
      </c>
      <c r="V116" s="152">
        <v>0</v>
      </c>
      <c r="W116" s="152">
        <f>MouserListTable[[#This Row],['#/Unit]]*FilterSpecs!$C$3+MouserListTable[[#This Row],[Extra]]</f>
        <v>0</v>
      </c>
      <c r="X116" s="152">
        <f>IF(MouserListTable[[#This Row],[Tag]]=FilterSpecs!$F$7,MouserListTable[[#This Row],['#/Unit]]*MouserListTable[[#This Row],[Price (USD)]],0)</f>
        <v>0</v>
      </c>
      <c r="Y116" s="152">
        <f>MouserListTable[[#This Row],[Tot '#]]*MouserListTable[[#This Row],[Price (USD)]]</f>
        <v>0</v>
      </c>
      <c r="Z116" s="146"/>
      <c r="AA116" s="153" t="str">
        <f>InitialOrderTable[[#This Row],[SKU]]</f>
        <v>474-PRT-10287</v>
      </c>
      <c r="AB116" s="153">
        <f>VALUE(InitialOrderTable[[#This Row],['# Initial]])</f>
        <v>0</v>
      </c>
      <c r="AD116" s="153" t="s">
        <v>1400</v>
      </c>
      <c r="AF116" s="153">
        <v>10</v>
      </c>
      <c r="AK116" s="146" t="e">
        <f ca="1">[1]!nonzeroQtys($AE$13,AD116)</f>
        <v>#NAME?</v>
      </c>
    </row>
    <row r="117" spans="1:37" s="104" customFormat="1" x14ac:dyDescent="0.25">
      <c r="A117" s="97" t="s">
        <v>887</v>
      </c>
      <c r="B117" s="97" t="s">
        <v>2014</v>
      </c>
      <c r="C117" s="150" t="s">
        <v>1884</v>
      </c>
      <c r="D117" s="151" t="str">
        <f>IF(MouserListTable[[#This Row],[Vendor]]=FilterSpecs!$A$8,MouserListTable[[#This Row],[Mouser SKU]], MouserListTable[[#This Row],[Supplier SKU]])</f>
        <v>485-368</v>
      </c>
      <c r="E117" s="152">
        <f>MouserListTable[[#This Row],[Tot '#]]-MouserListTable[[#This Row],['# Initial]]</f>
        <v>0</v>
      </c>
      <c r="F117" s="152">
        <f>IF(AND(MouserListTable[[#This Row],[Tag]]&lt;&gt;FilterSpecs!$F$12, MouserListTable[[#This Row],[Tag]]&lt;&gt;FilterSpecs!$F$9), MouserListTable[[#This Row],['#/Unit]]*FilterSpecs!$B$3+MouserListTable[[#This Row],[Extra Initial]],0)</f>
        <v>0</v>
      </c>
      <c r="G117" s="150"/>
      <c r="H117" s="150"/>
      <c r="I117" s="150" t="s">
        <v>2199</v>
      </c>
      <c r="J117" s="150"/>
      <c r="K117" s="154">
        <v>2</v>
      </c>
      <c r="L117" s="150" t="s">
        <v>1896</v>
      </c>
      <c r="M117" s="150"/>
      <c r="N117" s="154">
        <f>MouserListTable[[#This Row],['# Initial]]*MouserListTable[[#This Row],[Price (USD)]]</f>
        <v>0</v>
      </c>
      <c r="O117" s="151" t="s">
        <v>2198</v>
      </c>
      <c r="P117" s="150">
        <f t="shared" si="2"/>
        <v>104</v>
      </c>
      <c r="Q117" s="150" t="s">
        <v>1884</v>
      </c>
      <c r="R11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485-368</v>
      </c>
      <c r="S117" s="157" t="str">
        <f>HYPERLINK("https://www.mouser.com/ProductDetail/" &amp;MouserListTable[[#This Row],[Mouser SKU]])</f>
        <v>https://www.mouser.com/ProductDetail/485-368</v>
      </c>
      <c r="T117" s="152">
        <v>0</v>
      </c>
      <c r="U117" s="152">
        <v>0</v>
      </c>
      <c r="V117" s="152">
        <v>0</v>
      </c>
      <c r="W117" s="152">
        <f>MouserListTable[[#This Row],['#/Unit]]*FilterSpecs!$C$3+MouserListTable[[#This Row],[Extra]]</f>
        <v>0</v>
      </c>
      <c r="X117" s="152">
        <f>IF(MouserListTable[[#This Row],[Tag]]=FilterSpecs!$F$7,MouserListTable[[#This Row],['#/Unit]]*MouserListTable[[#This Row],[Price (USD)]],0)</f>
        <v>0</v>
      </c>
      <c r="Y117" s="152">
        <f>MouserListTable[[#This Row],[Tot '#]]*MouserListTable[[#This Row],[Price (USD)]]</f>
        <v>0</v>
      </c>
      <c r="Z117" s="146"/>
      <c r="AA117" s="153" t="str">
        <f>InitialOrderTable[[#This Row],[SKU]]</f>
        <v>485-368</v>
      </c>
      <c r="AB117" s="153">
        <f>VALUE(InitialOrderTable[[#This Row],['# Initial]])</f>
        <v>0</v>
      </c>
      <c r="AD117" s="104" t="s">
        <v>442</v>
      </c>
      <c r="AF117" s="104">
        <v>2</v>
      </c>
      <c r="AK117" s="146" t="e">
        <f ca="1">[1]!nonzeroQtys($AE$13,AD117)</f>
        <v>#NAME?</v>
      </c>
    </row>
    <row r="118" spans="1:37" s="104" customFormat="1" x14ac:dyDescent="0.25">
      <c r="A118" s="97" t="s">
        <v>887</v>
      </c>
      <c r="B118" s="97" t="s">
        <v>2014</v>
      </c>
      <c r="C118" s="150" t="s">
        <v>1884</v>
      </c>
      <c r="D118" s="151" t="str">
        <f>IF(MouserListTable[[#This Row],[Vendor]]=FilterSpecs!$A$8,MouserListTable[[#This Row],[Mouser SKU]], MouserListTable[[#This Row],[Supplier SKU]])</f>
        <v>485-369</v>
      </c>
      <c r="E118" s="152">
        <f>MouserListTable[[#This Row],[Tot '#]]-MouserListTable[[#This Row],['# Initial]]</f>
        <v>0</v>
      </c>
      <c r="F118" s="152">
        <f>IF(AND(MouserListTable[[#This Row],[Tag]]&lt;&gt;FilterSpecs!$F$12, MouserListTable[[#This Row],[Tag]]&lt;&gt;FilterSpecs!$F$9), MouserListTable[[#This Row],['#/Unit]]*FilterSpecs!$B$3+MouserListTable[[#This Row],[Extra Initial]],0)</f>
        <v>0</v>
      </c>
      <c r="G118" s="150"/>
      <c r="H118" s="150"/>
      <c r="I118" s="150" t="s">
        <v>2201</v>
      </c>
      <c r="J118" s="150"/>
      <c r="K118" s="154">
        <v>2</v>
      </c>
      <c r="L118" s="150" t="s">
        <v>1896</v>
      </c>
      <c r="M118" s="150"/>
      <c r="N118" s="154">
        <f>MouserListTable[[#This Row],['# Initial]]*MouserListTable[[#This Row],[Price (USD)]]</f>
        <v>0</v>
      </c>
      <c r="O118" s="151" t="s">
        <v>2200</v>
      </c>
      <c r="P118" s="150">
        <f t="shared" si="2"/>
        <v>105</v>
      </c>
      <c r="Q118" s="150" t="s">
        <v>1884</v>
      </c>
      <c r="R11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485-369</v>
      </c>
      <c r="S118" s="157" t="str">
        <f>HYPERLINK("https://www.mouser.com/ProductDetail/" &amp;MouserListTable[[#This Row],[Mouser SKU]])</f>
        <v>https://www.mouser.com/ProductDetail/485-369</v>
      </c>
      <c r="T118" s="152">
        <v>0</v>
      </c>
      <c r="U118" s="152">
        <v>0</v>
      </c>
      <c r="V118" s="152">
        <v>0</v>
      </c>
      <c r="W118" s="152">
        <f>MouserListTable[[#This Row],['#/Unit]]*FilterSpecs!$C$3+MouserListTable[[#This Row],[Extra]]</f>
        <v>0</v>
      </c>
      <c r="X118" s="152">
        <f>IF(MouserListTable[[#This Row],[Tag]]=FilterSpecs!$F$7,MouserListTable[[#This Row],['#/Unit]]*MouserListTable[[#This Row],[Price (USD)]],0)</f>
        <v>0</v>
      </c>
      <c r="Y118" s="152">
        <f>MouserListTable[[#This Row],[Tot '#]]*MouserListTable[[#This Row],[Price (USD)]]</f>
        <v>0</v>
      </c>
      <c r="Z118" s="146"/>
      <c r="AA118" s="153" t="str">
        <f>InitialOrderTable[[#This Row],[SKU]]</f>
        <v>485-369</v>
      </c>
      <c r="AB118" s="153">
        <f>VALUE(InitialOrderTable[[#This Row],['# Initial]])</f>
        <v>0</v>
      </c>
      <c r="AD118" s="104" t="s">
        <v>696</v>
      </c>
      <c r="AF118" s="104">
        <v>5</v>
      </c>
      <c r="AK118" s="146" t="e">
        <f ca="1">[1]!nonzeroQtys($AE$13,AD118)</f>
        <v>#NAME?</v>
      </c>
    </row>
    <row r="119" spans="1:37" s="104" customFormat="1" x14ac:dyDescent="0.25">
      <c r="A119" s="150" t="s">
        <v>887</v>
      </c>
      <c r="B119" s="150" t="s">
        <v>2014</v>
      </c>
      <c r="C119" s="150" t="s">
        <v>5</v>
      </c>
      <c r="D119" s="151" t="str">
        <f>IF(MouserListTable[[#This Row],[Vendor]]=FilterSpecs!$A$8,MouserListTable[[#This Row],[Mouser SKU]], MouserListTable[[#This Row],[Supplier SKU]])</f>
        <v>474-PRT-13126</v>
      </c>
      <c r="E119" s="152">
        <f>MouserListTable[[#This Row],[Tot '#]]-MouserListTable[[#This Row],['# Initial]]</f>
        <v>2</v>
      </c>
      <c r="F119" s="152">
        <f>IF(AND(MouserListTable[[#This Row],[Tag]]&lt;&gt;FilterSpecs!$F$12, MouserListTable[[#This Row],[Tag]]&lt;&gt;FilterSpecs!$F$9), MouserListTable[[#This Row],['#/Unit]]*FilterSpecs!$B$3+MouserListTable[[#This Row],[Extra Initial]],0)</f>
        <v>0</v>
      </c>
      <c r="G119" s="150" t="s">
        <v>958</v>
      </c>
      <c r="H119" s="150" t="s">
        <v>959</v>
      </c>
      <c r="I119" s="150" t="s">
        <v>960</v>
      </c>
      <c r="J119" s="150">
        <v>1</v>
      </c>
      <c r="K119" s="154">
        <v>0.95</v>
      </c>
      <c r="L119" s="150" t="s">
        <v>1897</v>
      </c>
      <c r="M119" s="150"/>
      <c r="N119" s="154">
        <f>MouserListTable[[#This Row],['# Initial]]*MouserListTable[[#This Row],[Price (USD)]]</f>
        <v>0</v>
      </c>
      <c r="O119" s="151" t="s">
        <v>957</v>
      </c>
      <c r="P119" s="150">
        <f t="shared" si="2"/>
        <v>106</v>
      </c>
      <c r="Q119" s="150" t="s">
        <v>5</v>
      </c>
      <c r="R11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474-PRT-13126</v>
      </c>
      <c r="S119" s="157" t="str">
        <f>HYPERLINK("https://www.mouser.com/ProductDetail/" &amp;MouserListTable[[#This Row],[Mouser SKU]])</f>
        <v>https://www.mouser.com/ProductDetail/474-PRT-13126</v>
      </c>
      <c r="T119" s="152">
        <v>0</v>
      </c>
      <c r="U119" s="152">
        <v>2</v>
      </c>
      <c r="V119" s="152">
        <v>0</v>
      </c>
      <c r="W119" s="152">
        <f>MouserListTable[[#This Row],['#/Unit]]*FilterSpecs!$C$3+MouserListTable[[#This Row],[Extra]]</f>
        <v>2</v>
      </c>
      <c r="X119" s="152">
        <f>IF(MouserListTable[[#This Row],[Tag]]=FilterSpecs!$F$7,MouserListTable[[#This Row],['#/Unit]]*MouserListTable[[#This Row],[Price (USD)]],0)</f>
        <v>0</v>
      </c>
      <c r="Y119" s="152">
        <f>MouserListTable[[#This Row],[Tot '#]]*MouserListTable[[#This Row],[Price (USD)]]</f>
        <v>1.9</v>
      </c>
      <c r="Z119" s="146"/>
      <c r="AA119" s="153" t="str">
        <f>InitialOrderTable[[#This Row],[SKU]]</f>
        <v>474-PRT-13126</v>
      </c>
      <c r="AB119" s="153">
        <f>VALUE(InitialOrderTable[[#This Row],['# Initial]])</f>
        <v>0</v>
      </c>
      <c r="AD119" s="104" t="s">
        <v>692</v>
      </c>
      <c r="AF119" s="104">
        <v>5</v>
      </c>
      <c r="AK119" s="146" t="e">
        <f ca="1">[1]!nonzeroQtys($AE$13,AD119)</f>
        <v>#NAME?</v>
      </c>
    </row>
    <row r="120" spans="1:37" s="153" customFormat="1" x14ac:dyDescent="0.25">
      <c r="A120" s="150" t="s">
        <v>887</v>
      </c>
      <c r="B120" s="150" t="s">
        <v>2014</v>
      </c>
      <c r="C120" s="150" t="s">
        <v>5</v>
      </c>
      <c r="D120" s="151" t="str">
        <f>IF(MouserListTable[[#This Row],[Vendor]]=FilterSpecs!$A$8,MouserListTable[[#This Row],[Mouser SKU]], MouserListTable[[#This Row],[Supplier SKU]])</f>
        <v>474-PRT-11476</v>
      </c>
      <c r="E120" s="152">
        <f>MouserListTable[[#This Row],[Tot '#]]-MouserListTable[[#This Row],['# Initial]]</f>
        <v>1</v>
      </c>
      <c r="F120" s="152">
        <f>IF(AND(MouserListTable[[#This Row],[Tag]]&lt;&gt;FilterSpecs!$F$12, MouserListTable[[#This Row],[Tag]]&lt;&gt;FilterSpecs!$F$9), MouserListTable[[#This Row],['#/Unit]]*FilterSpecs!$B$3+MouserListTable[[#This Row],[Extra Initial]],0)</f>
        <v>5</v>
      </c>
      <c r="G120" s="150" t="s">
        <v>1016</v>
      </c>
      <c r="H120" s="150" t="s">
        <v>1017</v>
      </c>
      <c r="I120" s="150" t="s">
        <v>1018</v>
      </c>
      <c r="J120" s="153">
        <v>1</v>
      </c>
      <c r="K120" s="154">
        <v>0.95</v>
      </c>
      <c r="L120" s="150" t="s">
        <v>1897</v>
      </c>
      <c r="M120" s="151"/>
      <c r="N120" s="154">
        <f>MouserListTable[[#This Row],['# Initial]]*MouserListTable[[#This Row],[Price (USD)]]</f>
        <v>4.75</v>
      </c>
      <c r="O120" s="151" t="s">
        <v>1015</v>
      </c>
      <c r="P120" s="150">
        <f t="shared" si="2"/>
        <v>107</v>
      </c>
      <c r="Q120" s="150" t="s">
        <v>5</v>
      </c>
      <c r="R12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474-PRT-11476</v>
      </c>
      <c r="S120" s="157" t="str">
        <f>HYPERLINK("https://www.mouser.com/ProductDetail/" &amp;MouserListTable[[#This Row],[Mouser SKU]])</f>
        <v>https://www.mouser.com/ProductDetail/474-PRT-11476</v>
      </c>
      <c r="T120" s="152">
        <v>1</v>
      </c>
      <c r="U120" s="152">
        <v>1</v>
      </c>
      <c r="V120" s="152">
        <v>0</v>
      </c>
      <c r="W120" s="152">
        <f>MouserListTable[[#This Row],['#/Unit]]*FilterSpecs!$C$3+MouserListTable[[#This Row],[Extra]]</f>
        <v>6</v>
      </c>
      <c r="X120" s="152">
        <f>IF(MouserListTable[[#This Row],[Tag]]=FilterSpecs!$F$7,MouserListTable[[#This Row],['#/Unit]]*MouserListTable[[#This Row],[Price (USD)]],0)</f>
        <v>0.95</v>
      </c>
      <c r="Y120" s="152">
        <f>MouserListTable[[#This Row],[Tot '#]]*MouserListTable[[#This Row],[Price (USD)]]</f>
        <v>5.6999999999999993</v>
      </c>
      <c r="Z120" s="146"/>
      <c r="AA120" s="153" t="str">
        <f>InitialOrderTable[[#This Row],[SKU]]</f>
        <v>474-PRT-11476</v>
      </c>
      <c r="AB120" s="153">
        <f>VALUE(InitialOrderTable[[#This Row],['# Initial]])</f>
        <v>5</v>
      </c>
      <c r="AD120" s="153">
        <v>3525</v>
      </c>
      <c r="AF120" s="153">
        <v>1</v>
      </c>
      <c r="AK120" s="146" t="e">
        <f ca="1">[1]!nonzeroQtys($AE$13,AD120)</f>
        <v>#NAME?</v>
      </c>
    </row>
    <row r="121" spans="1:37" s="153" customFormat="1" x14ac:dyDescent="0.25">
      <c r="A121" s="150" t="s">
        <v>887</v>
      </c>
      <c r="B121" s="150" t="s">
        <v>2014</v>
      </c>
      <c r="C121" s="150" t="s">
        <v>5</v>
      </c>
      <c r="D121" s="151" t="str">
        <f>IF(MouserListTable[[#This Row],[Vendor]]=FilterSpecs!$A$8,MouserListTable[[#This Row],[Mouser SKU]], MouserListTable[[#This Row],[Supplier SKU]])</f>
        <v>474-PRT-11474</v>
      </c>
      <c r="E121" s="152">
        <f>MouserListTable[[#This Row],[Tot '#]]-MouserListTable[[#This Row],['# Initial]]</f>
        <v>4</v>
      </c>
      <c r="F121" s="152">
        <f>IF(AND(MouserListTable[[#This Row],[Tag]]&lt;&gt;FilterSpecs!$F$12, MouserListTable[[#This Row],[Tag]]&lt;&gt;FilterSpecs!$F$9), MouserListTable[[#This Row],['#/Unit]]*FilterSpecs!$B$3+MouserListTable[[#This Row],[Extra Initial]],0)</f>
        <v>0</v>
      </c>
      <c r="G121" s="150" t="s">
        <v>2397</v>
      </c>
      <c r="H121" s="150" t="s">
        <v>2398</v>
      </c>
      <c r="I121" s="150" t="s">
        <v>2399</v>
      </c>
      <c r="J121" s="153">
        <v>1</v>
      </c>
      <c r="K121" s="154">
        <v>0.3</v>
      </c>
      <c r="L121" s="150" t="s">
        <v>1896</v>
      </c>
      <c r="M121" s="151"/>
      <c r="N121" s="154">
        <f>MouserListTable[[#This Row],['# Initial]]*MouserListTable[[#This Row],[Price (USD)]]</f>
        <v>0</v>
      </c>
      <c r="O121" s="151" t="s">
        <v>2396</v>
      </c>
      <c r="P121" s="150">
        <f t="shared" si="2"/>
        <v>108</v>
      </c>
      <c r="Q121" s="150" t="s">
        <v>5</v>
      </c>
      <c r="R12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474-PRT-11474</v>
      </c>
      <c r="S121" s="157" t="str">
        <f>HYPERLINK("https://www.mouser.com/ProductDetail/" &amp;MouserListTable[[#This Row],[Mouser SKU]])</f>
        <v>https://www.mouser.com/ProductDetail/474-PRT-11474</v>
      </c>
      <c r="T121" s="152">
        <v>0</v>
      </c>
      <c r="U121" s="152">
        <v>4</v>
      </c>
      <c r="V121" s="152">
        <v>0</v>
      </c>
      <c r="W121" s="152">
        <f>MouserListTable[[#This Row],['#/Unit]]*FilterSpecs!$C$3+MouserListTable[[#This Row],[Extra]]</f>
        <v>4</v>
      </c>
      <c r="X121" s="152">
        <f>IF(MouserListTable[[#This Row],[Tag]]=FilterSpecs!$F$7,MouserListTable[[#This Row],['#/Unit]]*MouserListTable[[#This Row],[Price (USD)]],0)</f>
        <v>0</v>
      </c>
      <c r="Y121" s="152">
        <f>MouserListTable[[#This Row],[Tot '#]]*MouserListTable[[#This Row],[Price (USD)]]</f>
        <v>1.2</v>
      </c>
      <c r="Z121" s="146"/>
      <c r="AA121" s="153" t="str">
        <f>InitialOrderTable[[#This Row],[SKU]]</f>
        <v>474-PRT-11474</v>
      </c>
      <c r="AB121" s="153">
        <f>VALUE(InitialOrderTable[[#This Row],['# Initial]])</f>
        <v>0</v>
      </c>
      <c r="AD121" s="153" t="s">
        <v>2128</v>
      </c>
      <c r="AF121" s="153">
        <v>1</v>
      </c>
      <c r="AK121" s="146" t="e">
        <f ca="1">[1]!nonzeroQtys($AE$13,AD121)</f>
        <v>#NAME?</v>
      </c>
    </row>
    <row r="122" spans="1:37" s="153" customFormat="1" x14ac:dyDescent="0.25">
      <c r="A122" s="150" t="s">
        <v>887</v>
      </c>
      <c r="B122" s="150" t="s">
        <v>2014</v>
      </c>
      <c r="C122" s="150" t="s">
        <v>1884</v>
      </c>
      <c r="D122" s="151" t="str">
        <f>IF(MouserListTable[[#This Row],[Vendor]]=FilterSpecs!$A$8,MouserListTable[[#This Row],[Mouser SKU]], MouserListTable[[#This Row],[Supplier SKU]])</f>
        <v>485-1829</v>
      </c>
      <c r="E122" s="152">
        <f>MouserListTable[[#This Row],[Tot '#]]-MouserListTable[[#This Row],['# Initial]]</f>
        <v>0</v>
      </c>
      <c r="F122" s="152">
        <f>IF(AND(MouserListTable[[#This Row],[Tag]]&lt;&gt;FilterSpecs!$F$12, MouserListTable[[#This Row],[Tag]]&lt;&gt;FilterSpecs!$F$9), MouserListTable[[#This Row],['#/Unit]]*FilterSpecs!$B$3+MouserListTable[[#This Row],[Extra Initial]],0)</f>
        <v>0</v>
      </c>
      <c r="G122" s="150"/>
      <c r="H122" s="150"/>
      <c r="I122" s="150" t="s">
        <v>2265</v>
      </c>
      <c r="K122" s="118">
        <v>0.95</v>
      </c>
      <c r="L122" s="97" t="s">
        <v>1896</v>
      </c>
      <c r="N122" s="154">
        <f>MouserListTable[[#This Row],['# Initial]]*MouserListTable[[#This Row],[Price (USD)]]</f>
        <v>0</v>
      </c>
      <c r="O122" s="151" t="s">
        <v>2264</v>
      </c>
      <c r="P122" s="150">
        <f t="shared" si="2"/>
        <v>109</v>
      </c>
      <c r="Q122" s="150" t="s">
        <v>1884</v>
      </c>
      <c r="R12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485-1829</v>
      </c>
      <c r="S122" s="157" t="str">
        <f>HYPERLINK("https://www.mouser.com/ProductDetail/" &amp;MouserListTable[[#This Row],[Mouser SKU]])</f>
        <v>https://www.mouser.com/ProductDetail/485-1829</v>
      </c>
      <c r="T122" s="152">
        <v>0</v>
      </c>
      <c r="U122" s="152">
        <v>0</v>
      </c>
      <c r="V122" s="152">
        <v>0</v>
      </c>
      <c r="W122" s="152">
        <f>MouserListTable[[#This Row],['#/Unit]]*FilterSpecs!$C$3+MouserListTable[[#This Row],[Extra]]</f>
        <v>0</v>
      </c>
      <c r="X122" s="152">
        <f>IF(MouserListTable[[#This Row],[Tag]]=FilterSpecs!$F$7,MouserListTable[[#This Row],['#/Unit]]*MouserListTable[[#This Row],[Price (USD)]],0)</f>
        <v>0</v>
      </c>
      <c r="Y122" s="152">
        <f>MouserListTable[[#This Row],[Tot '#]]*MouserListTable[[#This Row],[Price (USD)]]</f>
        <v>0</v>
      </c>
      <c r="Z122" s="146"/>
      <c r="AA122" s="153" t="str">
        <f>InitialOrderTable[[#This Row],[SKU]]</f>
        <v>485-1829</v>
      </c>
      <c r="AB122" s="153">
        <f>VALUE(InitialOrderTable[[#This Row],['# Initial]])</f>
        <v>0</v>
      </c>
      <c r="AD122" s="153" t="s">
        <v>384</v>
      </c>
      <c r="AF122" s="153">
        <v>5</v>
      </c>
      <c r="AK122" s="146" t="e">
        <f ca="1">[1]!nonzeroQtys($AE$13,AD122)</f>
        <v>#NAME?</v>
      </c>
    </row>
    <row r="123" spans="1:37" s="153" customFormat="1" x14ac:dyDescent="0.25">
      <c r="A123" s="97" t="s">
        <v>887</v>
      </c>
      <c r="B123" s="97" t="s">
        <v>2014</v>
      </c>
      <c r="C123" s="150" t="s">
        <v>1884</v>
      </c>
      <c r="D123" s="151" t="str">
        <f>IF(MouserListTable[[#This Row],[Vendor]]=FilterSpecs!$A$8,MouserListTable[[#This Row],[Mouser SKU]], MouserListTable[[#This Row],[Supplier SKU]])</f>
        <v>485-1388</v>
      </c>
      <c r="E123" s="152">
        <f>MouserListTable[[#This Row],[Tot '#]]-MouserListTable[[#This Row],['# Initial]]</f>
        <v>0</v>
      </c>
      <c r="F123" s="152">
        <f>IF(AND(MouserListTable[[#This Row],[Tag]]&lt;&gt;FilterSpecs!$F$12, MouserListTable[[#This Row],[Tag]]&lt;&gt;FilterSpecs!$F$9), MouserListTable[[#This Row],['#/Unit]]*FilterSpecs!$B$3+MouserListTable[[#This Row],[Extra Initial]],0)</f>
        <v>0</v>
      </c>
      <c r="G123" s="150"/>
      <c r="H123" s="150"/>
      <c r="I123" s="150" t="s">
        <v>2267</v>
      </c>
      <c r="J123" s="150"/>
      <c r="K123" s="154">
        <v>0.95</v>
      </c>
      <c r="L123" s="153" t="s">
        <v>1896</v>
      </c>
      <c r="M123" s="150"/>
      <c r="N123" s="154">
        <f>MouserListTable[[#This Row],['# Initial]]*MouserListTable[[#This Row],[Price (USD)]]</f>
        <v>0</v>
      </c>
      <c r="O123" s="151" t="s">
        <v>2266</v>
      </c>
      <c r="P123" s="150">
        <f t="shared" si="2"/>
        <v>110</v>
      </c>
      <c r="Q123" s="150" t="s">
        <v>1884</v>
      </c>
      <c r="R12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485-1388</v>
      </c>
      <c r="S123" s="157" t="str">
        <f>HYPERLINK("https://www.mouser.com/ProductDetail/" &amp;MouserListTable[[#This Row],[Mouser SKU]])</f>
        <v>https://www.mouser.com/ProductDetail/485-1388</v>
      </c>
      <c r="T123" s="152">
        <v>0</v>
      </c>
      <c r="U123" s="152">
        <v>0</v>
      </c>
      <c r="V123" s="152">
        <v>0</v>
      </c>
      <c r="W123" s="152">
        <f>MouserListTable[[#This Row],['#/Unit]]*FilterSpecs!$C$3+MouserListTable[[#This Row],[Extra]]</f>
        <v>0</v>
      </c>
      <c r="X123" s="152">
        <f>IF(MouserListTable[[#This Row],[Tag]]=FilterSpecs!$F$7,MouserListTable[[#This Row],['#/Unit]]*MouserListTable[[#This Row],[Price (USD)]],0)</f>
        <v>0</v>
      </c>
      <c r="Y123" s="152">
        <f>MouserListTable[[#This Row],[Tot '#]]*MouserListTable[[#This Row],[Price (USD)]]</f>
        <v>0</v>
      </c>
      <c r="Z123" s="146"/>
      <c r="AA123" s="153" t="str">
        <f>InitialOrderTable[[#This Row],[SKU]]</f>
        <v>485-1388</v>
      </c>
      <c r="AB123" s="153">
        <f>VALUE(InitialOrderTable[[#This Row],['# Initial]])</f>
        <v>0</v>
      </c>
      <c r="AD123" s="153" t="s">
        <v>372</v>
      </c>
      <c r="AF123" s="153">
        <v>5</v>
      </c>
      <c r="AK123" s="146" t="e">
        <f ca="1">[1]!nonzeroQtys($AE$13,AD123)</f>
        <v>#NAME?</v>
      </c>
    </row>
    <row r="124" spans="1:37" s="153" customFormat="1" x14ac:dyDescent="0.25">
      <c r="A124" s="97" t="s">
        <v>887</v>
      </c>
      <c r="B124" s="97" t="s">
        <v>2014</v>
      </c>
      <c r="C124" s="150" t="s">
        <v>1884</v>
      </c>
      <c r="D124" s="151" t="str">
        <f>IF(MouserListTable[[#This Row],[Vendor]]=FilterSpecs!$A$8,MouserListTable[[#This Row],[Mouser SKU]], MouserListTable[[#This Row],[Supplier SKU]])</f>
        <v>485-1390</v>
      </c>
      <c r="E124" s="152">
        <f>MouserListTable[[#This Row],[Tot '#]]-MouserListTable[[#This Row],['# Initial]]</f>
        <v>0</v>
      </c>
      <c r="F124" s="152">
        <f>IF(AND(MouserListTable[[#This Row],[Tag]]&lt;&gt;FilterSpecs!$F$12, MouserListTable[[#This Row],[Tag]]&lt;&gt;FilterSpecs!$F$9), MouserListTable[[#This Row],['#/Unit]]*FilterSpecs!$B$3+MouserListTable[[#This Row],[Extra Initial]],0)</f>
        <v>0</v>
      </c>
      <c r="G124" s="150"/>
      <c r="H124" s="150"/>
      <c r="I124" s="150" t="s">
        <v>2269</v>
      </c>
      <c r="J124" s="150"/>
      <c r="K124" s="154">
        <v>0.95</v>
      </c>
      <c r="L124" s="153" t="s">
        <v>1896</v>
      </c>
      <c r="M124" s="150"/>
      <c r="N124" s="154">
        <f>MouserListTable[[#This Row],['# Initial]]*MouserListTable[[#This Row],[Price (USD)]]</f>
        <v>0</v>
      </c>
      <c r="O124" s="151" t="s">
        <v>2268</v>
      </c>
      <c r="P124" s="150">
        <f t="shared" si="2"/>
        <v>111</v>
      </c>
      <c r="Q124" s="150" t="s">
        <v>1884</v>
      </c>
      <c r="R12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485-1390</v>
      </c>
      <c r="S124" s="157" t="str">
        <f>HYPERLINK("https://www.mouser.com/ProductDetail/" &amp;MouserListTable[[#This Row],[Mouser SKU]])</f>
        <v>https://www.mouser.com/ProductDetail/485-1390</v>
      </c>
      <c r="T124" s="152">
        <v>0</v>
      </c>
      <c r="U124" s="152">
        <v>0</v>
      </c>
      <c r="V124" s="152">
        <v>0</v>
      </c>
      <c r="W124" s="152">
        <f>MouserListTable[[#This Row],['#/Unit]]*FilterSpecs!$C$3+MouserListTable[[#This Row],[Extra]]</f>
        <v>0</v>
      </c>
      <c r="X124" s="152">
        <f>IF(MouserListTable[[#This Row],[Tag]]=FilterSpecs!$F$7,MouserListTable[[#This Row],['#/Unit]]*MouserListTable[[#This Row],[Price (USD)]],0)</f>
        <v>0</v>
      </c>
      <c r="Y124" s="152">
        <f>MouserListTable[[#This Row],[Tot '#]]*MouserListTable[[#This Row],[Price (USD)]]</f>
        <v>0</v>
      </c>
      <c r="Z124" s="146"/>
      <c r="AA124" s="153" t="str">
        <f>InitialOrderTable[[#This Row],[SKU]]</f>
        <v>485-1390</v>
      </c>
      <c r="AB124" s="153">
        <f>VALUE(InitialOrderTable[[#This Row],['# Initial]])</f>
        <v>0</v>
      </c>
      <c r="AD124" s="153" t="s">
        <v>388</v>
      </c>
      <c r="AF124" s="153">
        <v>5</v>
      </c>
      <c r="AK124" s="146" t="e">
        <f ca="1">[1]!nonzeroQtys($AE$13,AD124)</f>
        <v>#NAME?</v>
      </c>
    </row>
    <row r="125" spans="1:37" s="153" customFormat="1" x14ac:dyDescent="0.25">
      <c r="A125" s="97" t="s">
        <v>887</v>
      </c>
      <c r="B125" s="97" t="s">
        <v>2014</v>
      </c>
      <c r="C125" s="150" t="s">
        <v>1884</v>
      </c>
      <c r="D125" s="151" t="str">
        <f>IF(MouserListTable[[#This Row],[Vendor]]=FilterSpecs!$A$8,MouserListTable[[#This Row],[Mouser SKU]], MouserListTable[[#This Row],[Supplier SKU]])</f>
        <v>485-1389</v>
      </c>
      <c r="E125" s="152">
        <f>MouserListTable[[#This Row],[Tot '#]]-MouserListTable[[#This Row],['# Initial]]</f>
        <v>0</v>
      </c>
      <c r="F125" s="152">
        <f>IF(AND(MouserListTable[[#This Row],[Tag]]&lt;&gt;FilterSpecs!$F$12, MouserListTable[[#This Row],[Tag]]&lt;&gt;FilterSpecs!$F$9), MouserListTable[[#This Row],['#/Unit]]*FilterSpecs!$B$3+MouserListTable[[#This Row],[Extra Initial]],0)</f>
        <v>0</v>
      </c>
      <c r="G125" s="150"/>
      <c r="H125" s="150"/>
      <c r="I125" s="150" t="s">
        <v>2271</v>
      </c>
      <c r="J125" s="150"/>
      <c r="K125" s="154">
        <v>0.95</v>
      </c>
      <c r="L125" s="153" t="s">
        <v>1896</v>
      </c>
      <c r="M125" s="150"/>
      <c r="N125" s="154">
        <f>MouserListTable[[#This Row],['# Initial]]*MouserListTable[[#This Row],[Price (USD)]]</f>
        <v>0</v>
      </c>
      <c r="O125" s="151" t="s">
        <v>2270</v>
      </c>
      <c r="P125" s="150">
        <f t="shared" si="2"/>
        <v>112</v>
      </c>
      <c r="Q125" s="150" t="s">
        <v>1884</v>
      </c>
      <c r="R12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485-1389</v>
      </c>
      <c r="S125" s="157" t="str">
        <f>HYPERLINK("https://www.mouser.com/ProductDetail/" &amp;MouserListTable[[#This Row],[Mouser SKU]])</f>
        <v>https://www.mouser.com/ProductDetail/485-1389</v>
      </c>
      <c r="T125" s="152">
        <v>0</v>
      </c>
      <c r="U125" s="152">
        <v>0</v>
      </c>
      <c r="V125" s="152">
        <v>0</v>
      </c>
      <c r="W125" s="152">
        <f>MouserListTable[[#This Row],['#/Unit]]*FilterSpecs!$C$3+MouserListTable[[#This Row],[Extra]]</f>
        <v>0</v>
      </c>
      <c r="X125" s="152">
        <f>IF(MouserListTable[[#This Row],[Tag]]=FilterSpecs!$F$7,MouserListTable[[#This Row],['#/Unit]]*MouserListTable[[#This Row],[Price (USD)]],0)</f>
        <v>0</v>
      </c>
      <c r="Y125" s="152">
        <f>MouserListTable[[#This Row],[Tot '#]]*MouserListTable[[#This Row],[Price (USD)]]</f>
        <v>0</v>
      </c>
      <c r="Z125" s="146"/>
      <c r="AA125" s="153" t="str">
        <f>InitialOrderTable[[#This Row],[SKU]]</f>
        <v>485-1389</v>
      </c>
      <c r="AB125" s="153">
        <f>VALUE(InitialOrderTable[[#This Row],['# Initial]])</f>
        <v>0</v>
      </c>
      <c r="AD125" s="153" t="s">
        <v>1829</v>
      </c>
      <c r="AF125" s="153">
        <v>25</v>
      </c>
      <c r="AK125" s="146" t="e">
        <f ca="1">[1]!nonzeroQtys($AE$13,AD125)</f>
        <v>#NAME?</v>
      </c>
    </row>
    <row r="126" spans="1:37" s="153" customFormat="1" x14ac:dyDescent="0.25">
      <c r="A126" s="97" t="s">
        <v>887</v>
      </c>
      <c r="B126" s="97" t="s">
        <v>2014</v>
      </c>
      <c r="C126" s="150" t="s">
        <v>1884</v>
      </c>
      <c r="D126" s="151" t="str">
        <f>IF(MouserListTable[[#This Row],[Vendor]]=FilterSpecs!$A$8,MouserListTable[[#This Row],[Mouser SKU]], MouserListTable[[#This Row],[Supplier SKU]])</f>
        <v>485-1827</v>
      </c>
      <c r="E126" s="152">
        <f>MouserListTable[[#This Row],[Tot '#]]-MouserListTable[[#This Row],['# Initial]]</f>
        <v>0</v>
      </c>
      <c r="F126" s="152">
        <f>IF(AND(MouserListTable[[#This Row],[Tag]]&lt;&gt;FilterSpecs!$F$12, MouserListTable[[#This Row],[Tag]]&lt;&gt;FilterSpecs!$F$9), MouserListTable[[#This Row],['#/Unit]]*FilterSpecs!$B$3+MouserListTable[[#This Row],[Extra Initial]],0)</f>
        <v>0</v>
      </c>
      <c r="G126" s="150"/>
      <c r="H126" s="150"/>
      <c r="I126" s="150" t="s">
        <v>2273</v>
      </c>
      <c r="J126" s="150"/>
      <c r="K126" s="154">
        <v>0.95</v>
      </c>
      <c r="L126" s="153" t="s">
        <v>1896</v>
      </c>
      <c r="M126" s="150"/>
      <c r="N126" s="154">
        <f>MouserListTable[[#This Row],['# Initial]]*MouserListTable[[#This Row],[Price (USD)]]</f>
        <v>0</v>
      </c>
      <c r="O126" s="151" t="s">
        <v>2272</v>
      </c>
      <c r="P126" s="150">
        <f t="shared" si="2"/>
        <v>113</v>
      </c>
      <c r="Q126" s="150" t="s">
        <v>1884</v>
      </c>
      <c r="R12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485-1827</v>
      </c>
      <c r="S126" s="157" t="str">
        <f>HYPERLINK("https://www.mouser.com/ProductDetail/" &amp;MouserListTable[[#This Row],[Mouser SKU]])</f>
        <v>https://www.mouser.com/ProductDetail/485-1827</v>
      </c>
      <c r="T126" s="152">
        <v>0</v>
      </c>
      <c r="U126" s="152">
        <v>0</v>
      </c>
      <c r="V126" s="152">
        <v>0</v>
      </c>
      <c r="W126" s="152">
        <f>MouserListTable[[#This Row],['#/Unit]]*FilterSpecs!$C$3+MouserListTable[[#This Row],[Extra]]</f>
        <v>0</v>
      </c>
      <c r="X126" s="152">
        <f>IF(MouserListTable[[#This Row],[Tag]]=FilterSpecs!$F$7,MouserListTable[[#This Row],['#/Unit]]*MouserListTable[[#This Row],[Price (USD)]],0)</f>
        <v>0</v>
      </c>
      <c r="Y126" s="152">
        <f>MouserListTable[[#This Row],[Tot '#]]*MouserListTable[[#This Row],[Price (USD)]]</f>
        <v>0</v>
      </c>
      <c r="Z126" s="146"/>
      <c r="AA126" s="153" t="str">
        <f>InitialOrderTable[[#This Row],[SKU]]</f>
        <v>485-1827</v>
      </c>
      <c r="AB126" s="153">
        <f>VALUE(InitialOrderTable[[#This Row],['# Initial]])</f>
        <v>0</v>
      </c>
      <c r="AD126" s="153" t="s">
        <v>656</v>
      </c>
      <c r="AF126" s="153">
        <v>10</v>
      </c>
      <c r="AK126" s="146" t="e">
        <f ca="1">[1]!nonzeroQtys($AE$13,AD126)</f>
        <v>#NAME?</v>
      </c>
    </row>
    <row r="127" spans="1:37" s="153" customFormat="1" x14ac:dyDescent="0.25">
      <c r="A127" s="97" t="s">
        <v>887</v>
      </c>
      <c r="B127" s="97" t="s">
        <v>2014</v>
      </c>
      <c r="C127" s="150" t="s">
        <v>1884</v>
      </c>
      <c r="D127" s="151" t="str">
        <f>IF(MouserListTable[[#This Row],[Vendor]]=FilterSpecs!$A$8,MouserListTable[[#This Row],[Mouser SKU]], MouserListTable[[#This Row],[Supplier SKU]])</f>
        <v>485-1826</v>
      </c>
      <c r="E127" s="152">
        <f>MouserListTable[[#This Row],[Tot '#]]-MouserListTable[[#This Row],['# Initial]]</f>
        <v>0</v>
      </c>
      <c r="F127" s="152">
        <f>IF(AND(MouserListTable[[#This Row],[Tag]]&lt;&gt;FilterSpecs!$F$12, MouserListTable[[#This Row],[Tag]]&lt;&gt;FilterSpecs!$F$9), MouserListTable[[#This Row],['#/Unit]]*FilterSpecs!$B$3+MouserListTable[[#This Row],[Extra Initial]],0)</f>
        <v>0</v>
      </c>
      <c r="G127" s="150"/>
      <c r="H127" s="150"/>
      <c r="I127" s="150" t="s">
        <v>2275</v>
      </c>
      <c r="J127" s="150"/>
      <c r="K127" s="154">
        <v>0.95</v>
      </c>
      <c r="L127" s="153" t="s">
        <v>1896</v>
      </c>
      <c r="M127" s="150"/>
      <c r="N127" s="154">
        <f>MouserListTable[[#This Row],['# Initial]]*MouserListTable[[#This Row],[Price (USD)]]</f>
        <v>0</v>
      </c>
      <c r="O127" s="151" t="s">
        <v>2274</v>
      </c>
      <c r="P127" s="150">
        <f t="shared" si="2"/>
        <v>114</v>
      </c>
      <c r="Q127" s="150" t="s">
        <v>1884</v>
      </c>
      <c r="R12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485-1826</v>
      </c>
      <c r="S127" s="157" t="str">
        <f>HYPERLINK("https://www.mouser.com/ProductDetail/" &amp;MouserListTable[[#This Row],[Mouser SKU]])</f>
        <v>https://www.mouser.com/ProductDetail/485-1826</v>
      </c>
      <c r="T127" s="152">
        <v>0</v>
      </c>
      <c r="U127" s="152">
        <v>0</v>
      </c>
      <c r="V127" s="152">
        <v>0</v>
      </c>
      <c r="W127" s="152">
        <f>MouserListTable[[#This Row],['#/Unit]]*FilterSpecs!$C$3+MouserListTable[[#This Row],[Extra]]</f>
        <v>0</v>
      </c>
      <c r="X127" s="152">
        <f>IF(MouserListTable[[#This Row],[Tag]]=FilterSpecs!$F$7,MouserListTable[[#This Row],['#/Unit]]*MouserListTable[[#This Row],[Price (USD)]],0)</f>
        <v>0</v>
      </c>
      <c r="Y127" s="152">
        <f>MouserListTable[[#This Row],[Tot '#]]*MouserListTable[[#This Row],[Price (USD)]]</f>
        <v>0</v>
      </c>
      <c r="Z127" s="146"/>
      <c r="AA127" s="153" t="str">
        <f>InitialOrderTable[[#This Row],[SKU]]</f>
        <v>485-1826</v>
      </c>
      <c r="AB127" s="153">
        <f>VALUE(InitialOrderTable[[#This Row],['# Initial]])</f>
        <v>0</v>
      </c>
      <c r="AD127" s="153" t="s">
        <v>953</v>
      </c>
      <c r="AF127" s="153">
        <v>5</v>
      </c>
      <c r="AK127" s="146" t="e">
        <f ca="1">[1]!nonzeroQtys($AE$13,AD127)</f>
        <v>#NAME?</v>
      </c>
    </row>
    <row r="128" spans="1:37" s="153" customFormat="1" x14ac:dyDescent="0.25">
      <c r="A128" s="150" t="s">
        <v>887</v>
      </c>
      <c r="B128" s="150" t="s">
        <v>10</v>
      </c>
      <c r="C128" s="150" t="s">
        <v>5</v>
      </c>
      <c r="D128" s="151" t="str">
        <f>IF(MouserListTable[[#This Row],[Vendor]]=FilterSpecs!$A$8,MouserListTable[[#This Row],[Mouser SKU]], MouserListTable[[#This Row],[Supplier SKU]])</f>
        <v>474-SEN-00246</v>
      </c>
      <c r="E128" s="152">
        <f>MouserListTable[[#This Row],[Tot '#]]-MouserListTable[[#This Row],['# Initial]]</f>
        <v>0</v>
      </c>
      <c r="F128" s="152">
        <f>IF(AND(MouserListTable[[#This Row],[Tag]]&lt;&gt;FilterSpecs!$F$12, MouserListTable[[#This Row],[Tag]]&lt;&gt;FilterSpecs!$F$9), MouserListTable[[#This Row],['#/Unit]]*FilterSpecs!$B$3+MouserListTable[[#This Row],[Extra Initial]],0)</f>
        <v>0</v>
      </c>
      <c r="G128" s="150" t="s">
        <v>67</v>
      </c>
      <c r="H128" s="150" t="s">
        <v>68</v>
      </c>
      <c r="I128" s="150" t="s">
        <v>69</v>
      </c>
      <c r="J128" s="150">
        <v>1</v>
      </c>
      <c r="K128" s="154">
        <v>0.95</v>
      </c>
      <c r="L128" s="150" t="s">
        <v>1897</v>
      </c>
      <c r="M128" s="151"/>
      <c r="N128" s="154">
        <f>MouserListTable[[#This Row],['# Initial]]*MouserListTable[[#This Row],[Price (USD)]]</f>
        <v>0</v>
      </c>
      <c r="O128" s="151" t="s">
        <v>66</v>
      </c>
      <c r="P128" s="150">
        <f t="shared" si="2"/>
        <v>115</v>
      </c>
      <c r="Q128" s="150" t="s">
        <v>5</v>
      </c>
      <c r="R12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474-SEN-00246</v>
      </c>
      <c r="S128" s="157" t="str">
        <f>HYPERLINK("https://www.mouser.com/ProductDetail/" &amp;MouserListTable[[#This Row],[Mouser SKU]])</f>
        <v>https://www.mouser.com/ProductDetail/474-SEN-00246</v>
      </c>
      <c r="T128" s="152">
        <v>0</v>
      </c>
      <c r="U128" s="152">
        <v>0</v>
      </c>
      <c r="V128" s="152">
        <v>0</v>
      </c>
      <c r="W128" s="152">
        <f>MouserListTable[[#This Row],['#/Unit]]*FilterSpecs!$C$3+MouserListTable[[#This Row],[Extra]]</f>
        <v>0</v>
      </c>
      <c r="X128" s="152">
        <f>IF(MouserListTable[[#This Row],[Tag]]=FilterSpecs!$F$7,MouserListTable[[#This Row],['#/Unit]]*MouserListTable[[#This Row],[Price (USD)]],0)</f>
        <v>0</v>
      </c>
      <c r="Y128" s="152">
        <f>MouserListTable[[#This Row],[Tot '#]]*MouserListTable[[#This Row],[Price (USD)]]</f>
        <v>0</v>
      </c>
      <c r="Z128" s="146"/>
      <c r="AA128" s="153" t="str">
        <f>InitialOrderTable[[#This Row],[SKU]]</f>
        <v>474-SEN-00246</v>
      </c>
      <c r="AB128" s="153">
        <f>VALUE(InitialOrderTable[[#This Row],['# Initial]])</f>
        <v>0</v>
      </c>
      <c r="AD128" s="153" t="s">
        <v>396</v>
      </c>
      <c r="AF128" s="153">
        <v>5</v>
      </c>
      <c r="AK128" s="146" t="e">
        <f ca="1">[1]!nonzeroQtys($AE$13,AD128)</f>
        <v>#NAME?</v>
      </c>
    </row>
    <row r="129" spans="1:37" s="153" customFormat="1" x14ac:dyDescent="0.25">
      <c r="A129" s="150" t="s">
        <v>887</v>
      </c>
      <c r="B129" s="150" t="s">
        <v>10</v>
      </c>
      <c r="C129" s="150" t="s">
        <v>5</v>
      </c>
      <c r="D129" s="151" t="str">
        <f>IF(MouserListTable[[#This Row],[Vendor]]=FilterSpecs!$A$8,MouserListTable[[#This Row],[Mouser SKU]], MouserListTable[[#This Row],[Supplier SKU]])</f>
        <v>474-SEN-00241</v>
      </c>
      <c r="E129" s="152">
        <f>MouserListTable[[#This Row],[Tot '#]]-MouserListTable[[#This Row],['# Initial]]</f>
        <v>0</v>
      </c>
      <c r="F129" s="152">
        <f>IF(AND(MouserListTable[[#This Row],[Tag]]&lt;&gt;FilterSpecs!$F$12, MouserListTable[[#This Row],[Tag]]&lt;&gt;FilterSpecs!$F$9), MouserListTable[[#This Row],['#/Unit]]*FilterSpecs!$B$3+MouserListTable[[#This Row],[Extra Initial]],0)</f>
        <v>20</v>
      </c>
      <c r="G129" s="150" t="s">
        <v>71</v>
      </c>
      <c r="H129" s="150" t="s">
        <v>72</v>
      </c>
      <c r="I129" s="150" t="s">
        <v>73</v>
      </c>
      <c r="J129" s="150">
        <v>1</v>
      </c>
      <c r="K129" s="154">
        <v>1.95</v>
      </c>
      <c r="L129" s="150" t="s">
        <v>1897</v>
      </c>
      <c r="M129" s="151"/>
      <c r="N129" s="154">
        <f>MouserListTable[[#This Row],['# Initial]]*MouserListTable[[#This Row],[Price (USD)]]</f>
        <v>39</v>
      </c>
      <c r="O129" s="151" t="s">
        <v>70</v>
      </c>
      <c r="P129" s="150">
        <f t="shared" si="2"/>
        <v>116</v>
      </c>
      <c r="Q129" s="150" t="s">
        <v>5</v>
      </c>
      <c r="R12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474-SEN-00241</v>
      </c>
      <c r="S129" s="157" t="str">
        <f>HYPERLINK("https://www.mouser.com/ProductDetail/" &amp;MouserListTable[[#This Row],[Mouser SKU]])</f>
        <v>https://www.mouser.com/ProductDetail/474-SEN-00241</v>
      </c>
      <c r="T129" s="152">
        <v>4</v>
      </c>
      <c r="U129" s="152">
        <v>0</v>
      </c>
      <c r="V129" s="152">
        <v>0</v>
      </c>
      <c r="W129" s="152">
        <f>MouserListTable[[#This Row],['#/Unit]]*FilterSpecs!$C$3+MouserListTable[[#This Row],[Extra]]</f>
        <v>20</v>
      </c>
      <c r="X129" s="152">
        <f>IF(MouserListTable[[#This Row],[Tag]]=FilterSpecs!$F$7,MouserListTable[[#This Row],['#/Unit]]*MouserListTable[[#This Row],[Price (USD)]],0)</f>
        <v>7.8</v>
      </c>
      <c r="Y129" s="152">
        <f>MouserListTable[[#This Row],[Tot '#]]*MouserListTable[[#This Row],[Price (USD)]]</f>
        <v>39</v>
      </c>
      <c r="Z129" s="146"/>
      <c r="AA129" s="153" t="str">
        <f>InitialOrderTable[[#This Row],[SKU]]</f>
        <v>474-SEN-00241</v>
      </c>
      <c r="AB129" s="153">
        <f>VALUE(InitialOrderTable[[#This Row],['# Initial]])</f>
        <v>20</v>
      </c>
      <c r="AD129" s="153" t="s">
        <v>392</v>
      </c>
      <c r="AF129" s="153">
        <v>5</v>
      </c>
      <c r="AK129" s="146" t="e">
        <f ca="1">[1]!nonzeroQtys($AE$13,AD129)</f>
        <v>#NAME?</v>
      </c>
    </row>
    <row r="130" spans="1:37" s="153" customFormat="1" x14ac:dyDescent="0.25">
      <c r="A130" s="150" t="s">
        <v>887</v>
      </c>
      <c r="B130" s="150" t="s">
        <v>10</v>
      </c>
      <c r="C130" s="150" t="s">
        <v>5</v>
      </c>
      <c r="D130" s="151" t="str">
        <f>IF(MouserListTable[[#This Row],[Vendor]]=FilterSpecs!$A$8,MouserListTable[[#This Row],[Mouser SKU]], MouserListTable[[#This Row],[Supplier SKU]])</f>
        <v>474-SEN-13968</v>
      </c>
      <c r="E130" s="152">
        <f>MouserListTable[[#This Row],[Tot '#]]-MouserListTable[[#This Row],['# Initial]]</f>
        <v>0</v>
      </c>
      <c r="F130" s="152">
        <f>IF(AND(MouserListTable[[#This Row],[Tag]]&lt;&gt;FilterSpecs!$F$12, MouserListTable[[#This Row],[Tag]]&lt;&gt;FilterSpecs!$F$9), MouserListTable[[#This Row],['#/Unit]]*FilterSpecs!$B$3+MouserListTable[[#This Row],[Extra Initial]],0)</f>
        <v>5</v>
      </c>
      <c r="G130" s="150" t="s">
        <v>75</v>
      </c>
      <c r="H130" s="150" t="s">
        <v>76</v>
      </c>
      <c r="I130" s="150" t="s">
        <v>77</v>
      </c>
      <c r="J130" s="150"/>
      <c r="K130" s="154">
        <v>14.95</v>
      </c>
      <c r="L130" s="89" t="s">
        <v>1897</v>
      </c>
      <c r="M130" s="151"/>
      <c r="N130" s="154">
        <f>MouserListTable[[#This Row],['# Initial]]*MouserListTable[[#This Row],[Price (USD)]]</f>
        <v>74.75</v>
      </c>
      <c r="O130" s="151" t="s">
        <v>74</v>
      </c>
      <c r="P130" s="150">
        <f t="shared" si="2"/>
        <v>117</v>
      </c>
      <c r="Q130" s="150" t="s">
        <v>5</v>
      </c>
      <c r="R13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474-SEN-13968</v>
      </c>
      <c r="S130" s="157" t="str">
        <f>HYPERLINK("https://www.mouser.com/ProductDetail/" &amp;MouserListTable[[#This Row],[Mouser SKU]])</f>
        <v>https://www.mouser.com/ProductDetail/474-SEN-13968</v>
      </c>
      <c r="T130" s="152">
        <v>1</v>
      </c>
      <c r="U130" s="152">
        <v>0</v>
      </c>
      <c r="V130" s="152">
        <v>0</v>
      </c>
      <c r="W130" s="152">
        <f>MouserListTable[[#This Row],['#/Unit]]*FilterSpecs!$C$3+MouserListTable[[#This Row],[Extra]]</f>
        <v>5</v>
      </c>
      <c r="X130" s="152">
        <f>IF(MouserListTable[[#This Row],[Tag]]=FilterSpecs!$F$7,MouserListTable[[#This Row],['#/Unit]]*MouserListTable[[#This Row],[Price (USD)]],0)</f>
        <v>14.95</v>
      </c>
      <c r="Y130" s="152">
        <f>MouserListTable[[#This Row],[Tot '#]]*MouserListTable[[#This Row],[Price (USD)]]</f>
        <v>74.75</v>
      </c>
      <c r="Z130" s="146"/>
      <c r="AA130" s="153" t="str">
        <f>InitialOrderTable[[#This Row],[SKU]]</f>
        <v>474-SEN-13968</v>
      </c>
      <c r="AB130" s="153">
        <f>VALUE(InitialOrderTable[[#This Row],['# Initial]])</f>
        <v>5</v>
      </c>
      <c r="AD130" s="153" t="s">
        <v>426</v>
      </c>
      <c r="AF130" s="153">
        <v>5</v>
      </c>
      <c r="AK130" s="146" t="e">
        <f ca="1">[1]!nonzeroQtys($AE$13,AD130)</f>
        <v>#NAME?</v>
      </c>
    </row>
    <row r="131" spans="1:37" s="153" customFormat="1" x14ac:dyDescent="0.25">
      <c r="A131" s="150" t="s">
        <v>887</v>
      </c>
      <c r="B131" s="150" t="s">
        <v>10</v>
      </c>
      <c r="C131" s="150" t="s">
        <v>5</v>
      </c>
      <c r="D131" s="151" t="str">
        <f>IF(MouserListTable[[#This Row],[Vendor]]=FilterSpecs!$A$8,MouserListTable[[#This Row],[Mouser SKU]], MouserListTable[[#This Row],[Supplier SKU]])</f>
        <v>474-SEN-13959</v>
      </c>
      <c r="E131" s="152">
        <f>MouserListTable[[#This Row],[Tot '#]]-MouserListTable[[#This Row],['# Initial]]</f>
        <v>0</v>
      </c>
      <c r="F131" s="152">
        <f>IF(AND(MouserListTable[[#This Row],[Tag]]&lt;&gt;FilterSpecs!$F$12, MouserListTable[[#This Row],[Tag]]&lt;&gt;FilterSpecs!$F$9), MouserListTable[[#This Row],['#/Unit]]*FilterSpecs!$B$3+MouserListTable[[#This Row],[Extra Initial]],0)</f>
        <v>5</v>
      </c>
      <c r="G131" s="150" t="s">
        <v>79</v>
      </c>
      <c r="H131" s="150" t="s">
        <v>80</v>
      </c>
      <c r="I131" s="150" t="s">
        <v>81</v>
      </c>
      <c r="J131" s="150">
        <v>1</v>
      </c>
      <c r="K131" s="154">
        <v>3.95</v>
      </c>
      <c r="L131" s="150" t="s">
        <v>1897</v>
      </c>
      <c r="M131" s="151"/>
      <c r="N131" s="154">
        <f>MouserListTable[[#This Row],['# Initial]]*MouserListTable[[#This Row],[Price (USD)]]</f>
        <v>19.75</v>
      </c>
      <c r="O131" s="151" t="s">
        <v>78</v>
      </c>
      <c r="P131" s="150">
        <f t="shared" si="2"/>
        <v>118</v>
      </c>
      <c r="Q131" s="150" t="s">
        <v>5</v>
      </c>
      <c r="R13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474-SEN-13959</v>
      </c>
      <c r="S131" s="157" t="str">
        <f>HYPERLINK("https://www.mouser.com/ProductDetail/" &amp;MouserListTable[[#This Row],[Mouser SKU]])</f>
        <v>https://www.mouser.com/ProductDetail/474-SEN-13959</v>
      </c>
      <c r="T131" s="152">
        <v>1</v>
      </c>
      <c r="U131" s="152">
        <v>0</v>
      </c>
      <c r="V131" s="152">
        <v>0</v>
      </c>
      <c r="W131" s="152">
        <f>MouserListTable[[#This Row],['#/Unit]]*FilterSpecs!$C$3+MouserListTable[[#This Row],[Extra]]</f>
        <v>5</v>
      </c>
      <c r="X131" s="152">
        <f>IF(MouserListTable[[#This Row],[Tag]]=FilterSpecs!$F$7,MouserListTable[[#This Row],['#/Unit]]*MouserListTable[[#This Row],[Price (USD)]],0)</f>
        <v>3.95</v>
      </c>
      <c r="Y131" s="152">
        <f>MouserListTable[[#This Row],[Tot '#]]*MouserListTable[[#This Row],[Price (USD)]]</f>
        <v>19.75</v>
      </c>
      <c r="Z131" s="146"/>
      <c r="AA131" s="153" t="str">
        <f>InitialOrderTable[[#This Row],[SKU]]</f>
        <v>474-SEN-13959</v>
      </c>
      <c r="AB131" s="153">
        <f>VALUE(InitialOrderTable[[#This Row],['# Initial]])</f>
        <v>5</v>
      </c>
      <c r="AD131" s="153" t="s">
        <v>2168</v>
      </c>
      <c r="AF131" s="153">
        <v>10</v>
      </c>
      <c r="AK131" s="146" t="e">
        <f ca="1">[1]!nonzeroQtys($AE$13,AD131)</f>
        <v>#NAME?</v>
      </c>
    </row>
    <row r="132" spans="1:37" s="153" customFormat="1" x14ac:dyDescent="0.25">
      <c r="A132" s="97" t="s">
        <v>887</v>
      </c>
      <c r="B132" s="97" t="s">
        <v>10</v>
      </c>
      <c r="C132" s="150" t="s">
        <v>5</v>
      </c>
      <c r="D132" s="151" t="str">
        <f>IF(MouserListTable[[#This Row],[Vendor]]=FilterSpecs!$A$8,MouserListTable[[#This Row],[Mouser SKU]], MouserListTable[[#This Row],[Supplier SKU]])</f>
        <v>474-SEN-12785</v>
      </c>
      <c r="E132" s="152">
        <f>MouserListTable[[#This Row],[Tot '#]]-MouserListTable[[#This Row],['# Initial]]</f>
        <v>0</v>
      </c>
      <c r="F132" s="152">
        <f>IF(AND(MouserListTable[[#This Row],[Tag]]&lt;&gt;FilterSpecs!$F$12, MouserListTable[[#This Row],[Tag]]&lt;&gt;FilterSpecs!$F$9), MouserListTable[[#This Row],['#/Unit]]*FilterSpecs!$B$3+MouserListTable[[#This Row],[Extra Initial]],0)</f>
        <v>0</v>
      </c>
      <c r="G132" s="150" t="s">
        <v>83</v>
      </c>
      <c r="H132" s="150" t="s">
        <v>84</v>
      </c>
      <c r="I132" s="150" t="s">
        <v>85</v>
      </c>
      <c r="J132" s="150">
        <v>1</v>
      </c>
      <c r="K132" s="154">
        <v>24.95</v>
      </c>
      <c r="L132" s="150" t="s">
        <v>1897</v>
      </c>
      <c r="N132" s="154">
        <f>MouserListTable[[#This Row],['# Initial]]*MouserListTable[[#This Row],[Price (USD)]]</f>
        <v>0</v>
      </c>
      <c r="O132" s="151" t="s">
        <v>82</v>
      </c>
      <c r="P132" s="150">
        <f t="shared" si="2"/>
        <v>119</v>
      </c>
      <c r="Q132" s="150" t="s">
        <v>5</v>
      </c>
      <c r="R13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474-SEN-12785</v>
      </c>
      <c r="S132" s="157" t="str">
        <f>HYPERLINK("https://www.mouser.com/ProductDetail/" &amp;MouserListTable[[#This Row],[Mouser SKU]])</f>
        <v>https://www.mouser.com/ProductDetail/474-SEN-12785</v>
      </c>
      <c r="T132" s="152">
        <v>0</v>
      </c>
      <c r="U132" s="152">
        <v>0</v>
      </c>
      <c r="V132" s="152">
        <v>0</v>
      </c>
      <c r="W132" s="152">
        <f>MouserListTable[[#This Row],['#/Unit]]*FilterSpecs!$C$3+MouserListTable[[#This Row],[Extra]]</f>
        <v>0</v>
      </c>
      <c r="X132" s="152">
        <f>IF(MouserListTable[[#This Row],[Tag]]=FilterSpecs!$F$7,MouserListTable[[#This Row],['#/Unit]]*MouserListTable[[#This Row],[Price (USD)]],0)</f>
        <v>0</v>
      </c>
      <c r="Y132" s="152">
        <f>MouserListTable[[#This Row],[Tot '#]]*MouserListTable[[#This Row],[Price (USD)]]</f>
        <v>0</v>
      </c>
      <c r="Z132" s="146"/>
      <c r="AA132" s="153" t="str">
        <f>InitialOrderTable[[#This Row],[SKU]]</f>
        <v>474-SEN-12785</v>
      </c>
      <c r="AB132" s="153">
        <f>VALUE(InitialOrderTable[[#This Row],['# Initial]])</f>
        <v>0</v>
      </c>
      <c r="AD132" s="153" t="s">
        <v>2150</v>
      </c>
      <c r="AF132" s="153">
        <v>1</v>
      </c>
      <c r="AK132" s="146" t="e">
        <f ca="1">[1]!nonzeroQtys($AE$13,AD132)</f>
        <v>#NAME?</v>
      </c>
    </row>
    <row r="133" spans="1:37" s="153" customFormat="1" x14ac:dyDescent="0.25">
      <c r="A133" s="150" t="s">
        <v>887</v>
      </c>
      <c r="B133" s="150" t="s">
        <v>10</v>
      </c>
      <c r="C133" s="150" t="s">
        <v>5</v>
      </c>
      <c r="D133" s="151" t="str">
        <f>IF(MouserListTable[[#This Row],[Vendor]]=FilterSpecs!$A$8,MouserListTable[[#This Row],[Mouser SKU]], MouserListTable[[#This Row],[Supplier SKU]])</f>
        <v>474-SEN-13162</v>
      </c>
      <c r="E133" s="152">
        <f>MouserListTable[[#This Row],[Tot '#]]-MouserListTable[[#This Row],['# Initial]]</f>
        <v>0</v>
      </c>
      <c r="F133" s="152">
        <f>IF(AND(MouserListTable[[#This Row],[Tag]]&lt;&gt;FilterSpecs!$F$12, MouserListTable[[#This Row],[Tag]]&lt;&gt;FilterSpecs!$F$9), MouserListTable[[#This Row],['#/Unit]]*FilterSpecs!$B$3+MouserListTable[[#This Row],[Extra Initial]],0)</f>
        <v>0</v>
      </c>
      <c r="G133" s="150" t="s">
        <v>87</v>
      </c>
      <c r="H133" s="150" t="s">
        <v>88</v>
      </c>
      <c r="I133" s="150" t="s">
        <v>89</v>
      </c>
      <c r="J133" s="150"/>
      <c r="K133" s="154">
        <v>24.95</v>
      </c>
      <c r="L133" s="150" t="s">
        <v>1897</v>
      </c>
      <c r="M133" s="151"/>
      <c r="N133" s="154">
        <f>MouserListTable[[#This Row],['# Initial]]*MouserListTable[[#This Row],[Price (USD)]]</f>
        <v>0</v>
      </c>
      <c r="O133" s="151" t="s">
        <v>86</v>
      </c>
      <c r="P133" s="150">
        <f t="shared" si="2"/>
        <v>120</v>
      </c>
      <c r="Q133" s="150" t="s">
        <v>5</v>
      </c>
      <c r="R13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474-SEN-13162</v>
      </c>
      <c r="S133" s="157" t="str">
        <f>HYPERLINK("https://www.mouser.com/ProductDetail/" &amp;MouserListTable[[#This Row],[Mouser SKU]])</f>
        <v>https://www.mouser.com/ProductDetail/474-SEN-13162</v>
      </c>
      <c r="T133" s="152">
        <v>0</v>
      </c>
      <c r="U133" s="152">
        <v>0</v>
      </c>
      <c r="V133" s="152">
        <v>0</v>
      </c>
      <c r="W133" s="152">
        <f>MouserListTable[[#This Row],['#/Unit]]*FilterSpecs!$C$3+MouserListTable[[#This Row],[Extra]]</f>
        <v>0</v>
      </c>
      <c r="X133" s="152">
        <f>IF(MouserListTable[[#This Row],[Tag]]=FilterSpecs!$F$7,MouserListTable[[#This Row],['#/Unit]]*MouserListTable[[#This Row],[Price (USD)]],0)</f>
        <v>0</v>
      </c>
      <c r="Y133" s="152">
        <f>MouserListTable[[#This Row],[Tot '#]]*MouserListTable[[#This Row],[Price (USD)]]</f>
        <v>0</v>
      </c>
      <c r="Z133" s="146"/>
      <c r="AA133" s="153" t="str">
        <f>InitialOrderTable[[#This Row],[SKU]]</f>
        <v>474-SEN-13162</v>
      </c>
      <c r="AB133" s="153">
        <f>VALUE(InitialOrderTable[[#This Row],['# Initial]])</f>
        <v>0</v>
      </c>
      <c r="AD133" s="153" t="s">
        <v>2164</v>
      </c>
      <c r="AF133" s="153">
        <v>1</v>
      </c>
      <c r="AK133" s="146" t="e">
        <f ca="1">[1]!nonzeroQtys($AE$13,AD133)</f>
        <v>#NAME?</v>
      </c>
    </row>
    <row r="134" spans="1:37" s="153" customFormat="1" x14ac:dyDescent="0.25">
      <c r="A134" s="97" t="s">
        <v>887</v>
      </c>
      <c r="B134" s="97" t="s">
        <v>10</v>
      </c>
      <c r="C134" s="150" t="s">
        <v>5</v>
      </c>
      <c r="D134" s="151" t="str">
        <f>IF(MouserListTable[[#This Row],[Vendor]]=FilterSpecs!$A$8,MouserListTable[[#This Row],[Mouser SKU]], MouserListTable[[#This Row],[Supplier SKU]])</f>
        <v>474-SEN-12787</v>
      </c>
      <c r="E134" s="152">
        <f>MouserListTable[[#This Row],[Tot '#]]-MouserListTable[[#This Row],['# Initial]]</f>
        <v>0</v>
      </c>
      <c r="F134" s="152">
        <f>IF(AND(MouserListTable[[#This Row],[Tag]]&lt;&gt;FilterSpecs!$F$12, MouserListTable[[#This Row],[Tag]]&lt;&gt;FilterSpecs!$F$9), MouserListTable[[#This Row],['#/Unit]]*FilterSpecs!$B$3+MouserListTable[[#This Row],[Extra Initial]],0)</f>
        <v>0</v>
      </c>
      <c r="G134" s="150" t="s">
        <v>91</v>
      </c>
      <c r="H134" s="150" t="s">
        <v>92</v>
      </c>
      <c r="I134" s="150" t="s">
        <v>93</v>
      </c>
      <c r="J134" s="150">
        <v>1</v>
      </c>
      <c r="K134" s="154">
        <v>14.95</v>
      </c>
      <c r="L134" s="150" t="s">
        <v>1897</v>
      </c>
      <c r="N134" s="154">
        <f>MouserListTable[[#This Row],['# Initial]]*MouserListTable[[#This Row],[Price (USD)]]</f>
        <v>0</v>
      </c>
      <c r="O134" s="151" t="s">
        <v>90</v>
      </c>
      <c r="P134" s="150">
        <f t="shared" si="2"/>
        <v>121</v>
      </c>
      <c r="Q134" s="150" t="s">
        <v>5</v>
      </c>
      <c r="R13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474-SEN-12787</v>
      </c>
      <c r="S134" s="157" t="str">
        <f>HYPERLINK("https://www.mouser.com/ProductDetail/" &amp;MouserListTable[[#This Row],[Mouser SKU]])</f>
        <v>https://www.mouser.com/ProductDetail/474-SEN-12787</v>
      </c>
      <c r="T134" s="152">
        <v>0</v>
      </c>
      <c r="U134" s="152">
        <v>0</v>
      </c>
      <c r="V134" s="152">
        <v>0</v>
      </c>
      <c r="W134" s="152">
        <f>MouserListTable[[#This Row],['#/Unit]]*FilterSpecs!$C$3+MouserListTable[[#This Row],[Extra]]</f>
        <v>0</v>
      </c>
      <c r="X134" s="152">
        <f>IF(MouserListTable[[#This Row],[Tag]]=FilterSpecs!$F$7,MouserListTable[[#This Row],['#/Unit]]*MouserListTable[[#This Row],[Price (USD)]],0)</f>
        <v>0</v>
      </c>
      <c r="Y134" s="152">
        <f>MouserListTable[[#This Row],[Tot '#]]*MouserListTable[[#This Row],[Price (USD)]]</f>
        <v>0</v>
      </c>
      <c r="Z134" s="146"/>
      <c r="AA134" s="153" t="str">
        <f>InitialOrderTable[[#This Row],[SKU]]</f>
        <v>474-SEN-12787</v>
      </c>
      <c r="AB134" s="153">
        <f>VALUE(InitialOrderTable[[#This Row],['# Initial]])</f>
        <v>0</v>
      </c>
      <c r="AD134" s="153" t="s">
        <v>2156</v>
      </c>
      <c r="AF134" s="153">
        <v>1</v>
      </c>
      <c r="AK134" s="146" t="e">
        <f ca="1">[1]!nonzeroQtys($AE$13,AD134)</f>
        <v>#NAME?</v>
      </c>
    </row>
    <row r="135" spans="1:37" s="153" customFormat="1" x14ac:dyDescent="0.25">
      <c r="A135" s="150" t="s">
        <v>887</v>
      </c>
      <c r="B135" s="150" t="s">
        <v>10</v>
      </c>
      <c r="C135" s="150" t="s">
        <v>5</v>
      </c>
      <c r="D135" s="151" t="str">
        <f>IF(MouserListTable[[#This Row],[Vendor]]=FilterSpecs!$A$8,MouserListTable[[#This Row],[Mouser SKU]], MouserListTable[[#This Row],[Supplier SKU]])</f>
        <v>474-SPX-14343</v>
      </c>
      <c r="E135" s="152">
        <f>MouserListTable[[#This Row],[Tot '#]]-MouserListTable[[#This Row],['# Initial]]</f>
        <v>3</v>
      </c>
      <c r="F135" s="152">
        <f>IF(AND(MouserListTable[[#This Row],[Tag]]&lt;&gt;FilterSpecs!$F$12, MouserListTable[[#This Row],[Tag]]&lt;&gt;FilterSpecs!$F$9), MouserListTable[[#This Row],['#/Unit]]*FilterSpecs!$B$3+MouserListTable[[#This Row],[Extra Initial]],0)</f>
        <v>0</v>
      </c>
      <c r="G135" s="150" t="s">
        <v>95</v>
      </c>
      <c r="H135" s="150" t="s">
        <v>96</v>
      </c>
      <c r="I135" s="150" t="s">
        <v>97</v>
      </c>
      <c r="J135" s="150">
        <v>1</v>
      </c>
      <c r="K135" s="154">
        <v>19.95</v>
      </c>
      <c r="L135" s="150" t="s">
        <v>2461</v>
      </c>
      <c r="M135" s="151"/>
      <c r="N135" s="154">
        <f>MouserListTable[[#This Row],['# Initial]]*MouserListTable[[#This Row],[Price (USD)]]</f>
        <v>0</v>
      </c>
      <c r="O135" s="151" t="s">
        <v>94</v>
      </c>
      <c r="P135" s="150">
        <f t="shared" si="2"/>
        <v>122</v>
      </c>
      <c r="Q135" s="150" t="s">
        <v>5</v>
      </c>
      <c r="R13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474-SPX-14343</v>
      </c>
      <c r="S135" s="157" t="str">
        <f>HYPERLINK("https://www.mouser.com/ProductDetail/" &amp;MouserListTable[[#This Row],[Mouser SKU]])</f>
        <v>https://www.mouser.com/ProductDetail/474-SPX-14343</v>
      </c>
      <c r="T135" s="152">
        <v>0</v>
      </c>
      <c r="U135" s="152">
        <v>3</v>
      </c>
      <c r="V135" s="152">
        <v>0</v>
      </c>
      <c r="W135" s="152">
        <f>MouserListTable[[#This Row],['#/Unit]]*FilterSpecs!$C$3+MouserListTable[[#This Row],[Extra]]</f>
        <v>3</v>
      </c>
      <c r="X135" s="152">
        <f>IF(MouserListTable[[#This Row],[Tag]]=FilterSpecs!$F$7,MouserListTable[[#This Row],['#/Unit]]*MouserListTable[[#This Row],[Price (USD)]],0)</f>
        <v>0</v>
      </c>
      <c r="Y135" s="152">
        <f>MouserListTable[[#This Row],[Tot '#]]*MouserListTable[[#This Row],[Price (USD)]]</f>
        <v>59.849999999999994</v>
      </c>
      <c r="Z135" s="146"/>
      <c r="AA135" s="153" t="str">
        <f>InitialOrderTable[[#This Row],[SKU]]</f>
        <v>474-SPX-14343</v>
      </c>
      <c r="AB135" s="153">
        <f>VALUE(InitialOrderTable[[#This Row],['# Initial]])</f>
        <v>0</v>
      </c>
      <c r="AD135" s="153" t="s">
        <v>482</v>
      </c>
      <c r="AF135" s="153">
        <v>5</v>
      </c>
      <c r="AK135" s="146" t="e">
        <f ca="1">[1]!nonzeroQtys($AE$13,AD135)</f>
        <v>#NAME?</v>
      </c>
    </row>
    <row r="136" spans="1:37" s="153" customFormat="1" x14ac:dyDescent="0.25">
      <c r="A136" s="150" t="s">
        <v>887</v>
      </c>
      <c r="B136" s="150" t="s">
        <v>10</v>
      </c>
      <c r="C136" s="150" t="s">
        <v>1892</v>
      </c>
      <c r="D136" s="151" t="str">
        <f>IF(MouserListTable[[#This Row],[Vendor]]=FilterSpecs!$A$8,MouserListTable[[#This Row],[Mouser SKU]], MouserListTable[[#This Row],[Supplier SKU]])</f>
        <v>975-RFD77306</v>
      </c>
      <c r="E136" s="152">
        <f>MouserListTable[[#This Row],[Tot '#]]-MouserListTable[[#This Row],['# Initial]]</f>
        <v>0</v>
      </c>
      <c r="F136" s="152">
        <f>IF(AND(MouserListTable[[#This Row],[Tag]]&lt;&gt;FilterSpecs!$F$12, MouserListTable[[#This Row],[Tag]]&lt;&gt;FilterSpecs!$F$9), MouserListTable[[#This Row],['#/Unit]]*FilterSpecs!$B$3+MouserListTable[[#This Row],[Extra Initial]],0)</f>
        <v>5</v>
      </c>
      <c r="G136" s="150" t="s">
        <v>2560</v>
      </c>
      <c r="H136" s="150">
        <v>29.62</v>
      </c>
      <c r="I136" s="150" t="s">
        <v>2560</v>
      </c>
      <c r="J136" s="150"/>
      <c r="K136" s="154">
        <v>29.62</v>
      </c>
      <c r="L136" s="152" t="s">
        <v>1897</v>
      </c>
      <c r="M136" s="150"/>
      <c r="N136" s="154">
        <f>MouserListTable[[#This Row],['# Initial]]*MouserListTable[[#This Row],[Price (USD)]]</f>
        <v>148.1</v>
      </c>
      <c r="O136" s="120" t="s">
        <v>2561</v>
      </c>
      <c r="P136" s="150">
        <f t="shared" si="2"/>
        <v>123</v>
      </c>
      <c r="Q136" s="150" t="s">
        <v>1892</v>
      </c>
      <c r="R13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975-RFD77306</v>
      </c>
      <c r="S136" s="136" t="str">
        <f>HYPERLINK("https://www.mouser.com/ProductDetail/" &amp;MouserListTable[[#This Row],[Mouser SKU]])</f>
        <v>https://www.mouser.com/ProductDetail/975-RFD77306</v>
      </c>
      <c r="T136" s="152">
        <v>1</v>
      </c>
      <c r="U136" s="152">
        <v>0</v>
      </c>
      <c r="V136" s="152">
        <v>0</v>
      </c>
      <c r="W136" s="152">
        <f>MouserListTable[[#This Row],['#/Unit]]*FilterSpecs!$C$3+MouserListTable[[#This Row],[Extra]]</f>
        <v>5</v>
      </c>
      <c r="X136" s="152">
        <f>IF(MouserListTable[[#This Row],[Tag]]=FilterSpecs!$F$7,MouserListTable[[#This Row],['#/Unit]]*MouserListTable[[#This Row],[Price (USD)]],0)</f>
        <v>29.62</v>
      </c>
      <c r="Y136" s="152">
        <f>MouserListTable[[#This Row],[Tot '#]]*MouserListTable[[#This Row],[Price (USD)]]</f>
        <v>148.1</v>
      </c>
      <c r="Z136" s="146"/>
      <c r="AA136" s="153" t="str">
        <f>InitialOrderTable[[#This Row],[SKU]]</f>
        <v>975-RFD77306</v>
      </c>
      <c r="AB136" s="153">
        <f>VALUE(InitialOrderTable[[#This Row],['# Initial]])</f>
        <v>5</v>
      </c>
      <c r="AD136" s="153" t="s">
        <v>466</v>
      </c>
      <c r="AF136" s="153">
        <v>5</v>
      </c>
      <c r="AK136" s="146" t="e">
        <f ca="1">[1]!nonzeroQtys($AE$13,AD136)</f>
        <v>#NAME?</v>
      </c>
    </row>
    <row r="137" spans="1:37" s="153" customFormat="1" x14ac:dyDescent="0.25">
      <c r="A137" s="97" t="s">
        <v>887</v>
      </c>
      <c r="B137" s="97" t="s">
        <v>10</v>
      </c>
      <c r="C137" s="150" t="s">
        <v>5</v>
      </c>
      <c r="D137" s="151" t="str">
        <f>IF(MouserListTable[[#This Row],[Vendor]]=FilterSpecs!$A$8,MouserListTable[[#This Row],[Mouser SKU]], MouserListTable[[#This Row],[Supplier SKU]])</f>
        <v>474-SEN-00242</v>
      </c>
      <c r="E137" s="152">
        <f>MouserListTable[[#This Row],[Tot '#]]-MouserListTable[[#This Row],['# Initial]]</f>
        <v>0</v>
      </c>
      <c r="F137" s="152">
        <f>IF(AND(MouserListTable[[#This Row],[Tag]]&lt;&gt;FilterSpecs!$F$12, MouserListTable[[#This Row],[Tag]]&lt;&gt;FilterSpecs!$F$9), MouserListTable[[#This Row],['#/Unit]]*FilterSpecs!$B$3+MouserListTable[[#This Row],[Extra Initial]],0)</f>
        <v>0</v>
      </c>
      <c r="G137" s="150" t="s">
        <v>99</v>
      </c>
      <c r="H137" s="150" t="s">
        <v>100</v>
      </c>
      <c r="I137" s="150" t="s">
        <v>101</v>
      </c>
      <c r="J137" s="150">
        <v>1</v>
      </c>
      <c r="K137" s="154">
        <v>13.95</v>
      </c>
      <c r="L137" s="150" t="s">
        <v>1897</v>
      </c>
      <c r="N137" s="154">
        <f>MouserListTable[[#This Row],['# Initial]]*MouserListTable[[#This Row],[Price (USD)]]</f>
        <v>0</v>
      </c>
      <c r="O137" s="151" t="s">
        <v>98</v>
      </c>
      <c r="P137" s="150">
        <f t="shared" si="2"/>
        <v>124</v>
      </c>
      <c r="Q137" s="150" t="s">
        <v>5</v>
      </c>
      <c r="R13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474-SEN-00242</v>
      </c>
      <c r="S137" s="157" t="str">
        <f>HYPERLINK("https://www.mouser.com/ProductDetail/" &amp;MouserListTable[[#This Row],[Mouser SKU]])</f>
        <v>https://www.mouser.com/ProductDetail/474-SEN-00242</v>
      </c>
      <c r="T137" s="152">
        <v>0</v>
      </c>
      <c r="U137" s="152">
        <v>0</v>
      </c>
      <c r="V137" s="152">
        <v>0</v>
      </c>
      <c r="W137" s="152">
        <f>MouserListTable[[#This Row],['#/Unit]]*FilterSpecs!$C$3+MouserListTable[[#This Row],[Extra]]</f>
        <v>0</v>
      </c>
      <c r="X137" s="152">
        <f>IF(MouserListTable[[#This Row],[Tag]]=FilterSpecs!$F$7,MouserListTable[[#This Row],['#/Unit]]*MouserListTable[[#This Row],[Price (USD)]],0)</f>
        <v>0</v>
      </c>
      <c r="Y137" s="152">
        <f>MouserListTable[[#This Row],[Tot '#]]*MouserListTable[[#This Row],[Price (USD)]]</f>
        <v>0</v>
      </c>
      <c r="Z137" s="146"/>
      <c r="AA137" s="153" t="str">
        <f>InitialOrderTable[[#This Row],[SKU]]</f>
        <v>474-SEN-00242</v>
      </c>
      <c r="AB137" s="153">
        <f>VALUE(InitialOrderTable[[#This Row],['# Initial]])</f>
        <v>0</v>
      </c>
      <c r="AD137" s="153" t="s">
        <v>2457</v>
      </c>
      <c r="AF137" s="153">
        <v>1</v>
      </c>
      <c r="AK137" s="146" t="e">
        <f ca="1">[1]!nonzeroQtys($AE$13,AD137)</f>
        <v>#NAME?</v>
      </c>
    </row>
    <row r="138" spans="1:37" s="153" customFormat="1" x14ac:dyDescent="0.25">
      <c r="A138" s="97" t="s">
        <v>887</v>
      </c>
      <c r="B138" s="97" t="s">
        <v>10</v>
      </c>
      <c r="C138" s="150" t="s">
        <v>5</v>
      </c>
      <c r="D138" s="151" t="str">
        <f>IF(MouserListTable[[#This Row],[Vendor]]=FilterSpecs!$A$8,MouserListTable[[#This Row],[Mouser SKU]], MouserListTable[[#This Row],[Supplier SKU]])</f>
        <v>474-SEN-08733</v>
      </c>
      <c r="E138" s="152">
        <f>MouserListTable[[#This Row],[Tot '#]]-MouserListTable[[#This Row],['# Initial]]</f>
        <v>0</v>
      </c>
      <c r="F138" s="152">
        <f>IF(AND(MouserListTable[[#This Row],[Tag]]&lt;&gt;FilterSpecs!$F$12, MouserListTable[[#This Row],[Tag]]&lt;&gt;FilterSpecs!$F$9), MouserListTable[[#This Row],['#/Unit]]*FilterSpecs!$B$3+MouserListTable[[#This Row],[Extra Initial]],0)</f>
        <v>0</v>
      </c>
      <c r="G138" s="150" t="s">
        <v>1081</v>
      </c>
      <c r="H138" s="150" t="s">
        <v>1082</v>
      </c>
      <c r="I138" s="150" t="s">
        <v>1083</v>
      </c>
      <c r="J138" s="150">
        <v>1</v>
      </c>
      <c r="K138" s="154">
        <v>1.5</v>
      </c>
      <c r="L138" s="150" t="s">
        <v>1897</v>
      </c>
      <c r="N138" s="154">
        <f>MouserListTable[[#This Row],['# Initial]]*MouserListTable[[#This Row],[Price (USD)]]</f>
        <v>0</v>
      </c>
      <c r="O138" s="151" t="s">
        <v>1080</v>
      </c>
      <c r="P138" s="150">
        <f t="shared" si="2"/>
        <v>125</v>
      </c>
      <c r="Q138" s="150" t="s">
        <v>5</v>
      </c>
      <c r="R13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474-SEN-08733</v>
      </c>
      <c r="S138" s="157" t="str">
        <f>HYPERLINK("https://www.mouser.com/ProductDetail/" &amp;MouserListTable[[#This Row],[Mouser SKU]])</f>
        <v>https://www.mouser.com/ProductDetail/474-SEN-08733</v>
      </c>
      <c r="T138" s="152">
        <v>0</v>
      </c>
      <c r="U138" s="152">
        <v>0</v>
      </c>
      <c r="V138" s="152">
        <v>0</v>
      </c>
      <c r="W138" s="152">
        <f>MouserListTable[[#This Row],['#/Unit]]*FilterSpecs!$C$3+MouserListTable[[#This Row],[Extra]]</f>
        <v>0</v>
      </c>
      <c r="X138" s="152">
        <f>IF(MouserListTable[[#This Row],[Tag]]=FilterSpecs!$F$7,MouserListTable[[#This Row],['#/Unit]]*MouserListTable[[#This Row],[Price (USD)]],0)</f>
        <v>0</v>
      </c>
      <c r="Y138" s="152">
        <f>MouserListTable[[#This Row],[Tot '#]]*MouserListTable[[#This Row],[Price (USD)]]</f>
        <v>0</v>
      </c>
      <c r="Z138" s="146"/>
      <c r="AA138" s="153" t="str">
        <f>InitialOrderTable[[#This Row],[SKU]]</f>
        <v>474-SEN-08733</v>
      </c>
      <c r="AB138" s="153">
        <f>VALUE(InitialOrderTable[[#This Row],['# Initial]])</f>
        <v>0</v>
      </c>
      <c r="AD138" s="153" t="s">
        <v>2160</v>
      </c>
      <c r="AF138" s="153">
        <v>1</v>
      </c>
      <c r="AK138" s="146" t="e">
        <f ca="1">[1]!nonzeroQtys($AE$13,AD138)</f>
        <v>#NAME?</v>
      </c>
    </row>
    <row r="139" spans="1:37" s="153" customFormat="1" x14ac:dyDescent="0.25">
      <c r="A139" s="150" t="s">
        <v>887</v>
      </c>
      <c r="B139" s="150" t="s">
        <v>10</v>
      </c>
      <c r="C139" s="150" t="s">
        <v>1884</v>
      </c>
      <c r="D139" s="151" t="str">
        <f>IF(MouserListTable[[#This Row],[Vendor]]=FilterSpecs!$A$8,MouserListTable[[#This Row],[Mouser SKU]], MouserListTable[[#This Row],[Supplier SKU]])</f>
        <v>485-3538</v>
      </c>
      <c r="E139" s="152">
        <f>MouserListTable[[#This Row],[Tot '#]]-MouserListTable[[#This Row],['# Initial]]</f>
        <v>0</v>
      </c>
      <c r="F139" s="152">
        <f>IF(AND(MouserListTable[[#This Row],[Tag]]&lt;&gt;FilterSpecs!$F$12, MouserListTable[[#This Row],[Tag]]&lt;&gt;FilterSpecs!$F$9), MouserListTable[[#This Row],['#/Unit]]*FilterSpecs!$B$3+MouserListTable[[#This Row],[Extra Initial]],0)</f>
        <v>0</v>
      </c>
      <c r="G139" s="150"/>
      <c r="H139" s="150"/>
      <c r="I139" s="150" t="s">
        <v>2293</v>
      </c>
      <c r="K139" s="118">
        <v>39.950000000000003</v>
      </c>
      <c r="L139" s="97" t="s">
        <v>1896</v>
      </c>
      <c r="N139" s="154">
        <f>MouserListTable[[#This Row],['# Initial]]*MouserListTable[[#This Row],[Price (USD)]]</f>
        <v>0</v>
      </c>
      <c r="O139" s="151" t="s">
        <v>2292</v>
      </c>
      <c r="P139" s="150">
        <f t="shared" si="2"/>
        <v>126</v>
      </c>
      <c r="Q139" s="150" t="s">
        <v>1884</v>
      </c>
      <c r="R13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485-3538</v>
      </c>
      <c r="S139" s="157" t="str">
        <f>HYPERLINK("https://www.mouser.com/ProductDetail/" &amp;MouserListTable[[#This Row],[Mouser SKU]])</f>
        <v>https://www.mouser.com/ProductDetail/485-3538</v>
      </c>
      <c r="T139" s="152">
        <v>0</v>
      </c>
      <c r="U139" s="152">
        <v>0</v>
      </c>
      <c r="V139" s="152">
        <v>0</v>
      </c>
      <c r="W139" s="152">
        <f>MouserListTable[[#This Row],['#/Unit]]*FilterSpecs!$C$3+MouserListTable[[#This Row],[Extra]]</f>
        <v>0</v>
      </c>
      <c r="X139" s="152">
        <f>IF(MouserListTable[[#This Row],[Tag]]=FilterSpecs!$F$7,MouserListTable[[#This Row],['#/Unit]]*MouserListTable[[#This Row],[Price (USD)]],0)</f>
        <v>0</v>
      </c>
      <c r="Y139" s="152">
        <f>MouserListTable[[#This Row],[Tot '#]]*MouserListTable[[#This Row],[Price (USD)]]</f>
        <v>0</v>
      </c>
      <c r="Z139" s="146"/>
      <c r="AA139" s="153" t="str">
        <f>InitialOrderTable[[#This Row],[SKU]]</f>
        <v>485-3538</v>
      </c>
      <c r="AB139" s="153">
        <f>VALUE(InitialOrderTable[[#This Row],['# Initial]])</f>
        <v>0</v>
      </c>
      <c r="AD139" s="153" t="s">
        <v>2162</v>
      </c>
      <c r="AF139" s="153">
        <v>1</v>
      </c>
      <c r="AK139" s="146" t="e">
        <f ca="1">[1]!nonzeroQtys($AE$13,AD139)</f>
        <v>#NAME?</v>
      </c>
    </row>
    <row r="140" spans="1:37" s="153" customFormat="1" x14ac:dyDescent="0.25">
      <c r="A140" s="150" t="s">
        <v>887</v>
      </c>
      <c r="B140" s="150" t="s">
        <v>10</v>
      </c>
      <c r="C140" s="150" t="s">
        <v>1884</v>
      </c>
      <c r="D140" s="151" t="str">
        <f>IF(MouserListTable[[#This Row],[Vendor]]=FilterSpecs!$A$8,MouserListTable[[#This Row],[Mouser SKU]], MouserListTable[[#This Row],[Supplier SKU]])</f>
        <v>485-3317</v>
      </c>
      <c r="E140" s="152">
        <f>MouserListTable[[#This Row],[Tot '#]]-MouserListTable[[#This Row],['# Initial]]</f>
        <v>0</v>
      </c>
      <c r="F140" s="152">
        <f>IF(AND(MouserListTable[[#This Row],[Tag]]&lt;&gt;FilterSpecs!$F$12, MouserListTable[[#This Row],[Tag]]&lt;&gt;FilterSpecs!$F$9), MouserListTable[[#This Row],['#/Unit]]*FilterSpecs!$B$3+MouserListTable[[#This Row],[Extra Initial]],0)</f>
        <v>5</v>
      </c>
      <c r="G140" s="150"/>
      <c r="H140" s="150"/>
      <c r="I140" s="150" t="s">
        <v>2295</v>
      </c>
      <c r="K140" s="154">
        <v>14.95</v>
      </c>
      <c r="L140" s="150" t="s">
        <v>1897</v>
      </c>
      <c r="M140" s="151"/>
      <c r="N140" s="154">
        <f>MouserListTable[[#This Row],['# Initial]]*MouserListTable[[#This Row],[Price (USD)]]</f>
        <v>74.75</v>
      </c>
      <c r="O140" s="151" t="s">
        <v>2294</v>
      </c>
      <c r="P140" s="150">
        <f t="shared" si="2"/>
        <v>127</v>
      </c>
      <c r="Q140" s="150" t="s">
        <v>1884</v>
      </c>
      <c r="R14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485-3317</v>
      </c>
      <c r="S140" s="157" t="str">
        <f>HYPERLINK("https://www.mouser.com/ProductDetail/" &amp;MouserListTable[[#This Row],[Mouser SKU]])</f>
        <v>https://www.mouser.com/ProductDetail/485-3317</v>
      </c>
      <c r="T140" s="152">
        <v>1</v>
      </c>
      <c r="U140" s="152">
        <v>0</v>
      </c>
      <c r="V140" s="152">
        <v>0</v>
      </c>
      <c r="W140" s="152">
        <f>MouserListTable[[#This Row],['#/Unit]]*FilterSpecs!$C$3+MouserListTable[[#This Row],[Extra]]</f>
        <v>5</v>
      </c>
      <c r="X140" s="152">
        <f>IF(MouserListTable[[#This Row],[Tag]]=FilterSpecs!$F$7,MouserListTable[[#This Row],['#/Unit]]*MouserListTable[[#This Row],[Price (USD)]],0)</f>
        <v>14.95</v>
      </c>
      <c r="Y140" s="152">
        <f>MouserListTable[[#This Row],[Tot '#]]*MouserListTable[[#This Row],[Price (USD)]]</f>
        <v>74.75</v>
      </c>
      <c r="Z140" s="146"/>
      <c r="AA140" s="153" t="str">
        <f>InitialOrderTable[[#This Row],[SKU]]</f>
        <v>485-3317</v>
      </c>
      <c r="AB140" s="153">
        <f>VALUE(InitialOrderTable[[#This Row],['# Initial]])</f>
        <v>5</v>
      </c>
      <c r="AD140" s="153" t="s">
        <v>2154</v>
      </c>
      <c r="AF140" s="153">
        <v>1</v>
      </c>
      <c r="AK140" s="146" t="e">
        <f ca="1">[1]!nonzeroQtys($AE$13,AD140)</f>
        <v>#NAME?</v>
      </c>
    </row>
    <row r="141" spans="1:37" s="153" customFormat="1" x14ac:dyDescent="0.25">
      <c r="A141" s="150" t="s">
        <v>887</v>
      </c>
      <c r="B141" s="150" t="s">
        <v>10</v>
      </c>
      <c r="C141" s="150" t="s">
        <v>1884</v>
      </c>
      <c r="D141" s="151" t="str">
        <f>IF(MouserListTable[[#This Row],[Vendor]]=FilterSpecs!$A$8,MouserListTable[[#This Row],[Mouser SKU]], MouserListTable[[#This Row],[Supplier SKU]])</f>
        <v>485-3316</v>
      </c>
      <c r="E141" s="152">
        <f>MouserListTable[[#This Row],[Tot '#]]-MouserListTable[[#This Row],['# Initial]]</f>
        <v>0</v>
      </c>
      <c r="F141" s="152">
        <f>IF(AND(MouserListTable[[#This Row],[Tag]]&lt;&gt;FilterSpecs!$F$12, MouserListTable[[#This Row],[Tag]]&lt;&gt;FilterSpecs!$F$9), MouserListTable[[#This Row],['#/Unit]]*FilterSpecs!$B$3+MouserListTable[[#This Row],[Extra Initial]],0)</f>
        <v>0</v>
      </c>
      <c r="G141" s="150"/>
      <c r="H141" s="150"/>
      <c r="I141" s="150" t="s">
        <v>2297</v>
      </c>
      <c r="K141" s="118">
        <v>13.95</v>
      </c>
      <c r="L141" s="97" t="s">
        <v>1896</v>
      </c>
      <c r="N141" s="154">
        <f>MouserListTable[[#This Row],['# Initial]]*MouserListTable[[#This Row],[Price (USD)]]</f>
        <v>0</v>
      </c>
      <c r="O141" s="151" t="s">
        <v>2296</v>
      </c>
      <c r="P141" s="150">
        <f t="shared" si="2"/>
        <v>128</v>
      </c>
      <c r="Q141" s="150" t="s">
        <v>1884</v>
      </c>
      <c r="R14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485-3316</v>
      </c>
      <c r="S141" s="157" t="str">
        <f>HYPERLINK("https://www.mouser.com/ProductDetail/" &amp;MouserListTable[[#This Row],[Mouser SKU]])</f>
        <v>https://www.mouser.com/ProductDetail/485-3316</v>
      </c>
      <c r="T141" s="152">
        <v>0</v>
      </c>
      <c r="U141" s="152">
        <v>0</v>
      </c>
      <c r="V141" s="152">
        <v>0</v>
      </c>
      <c r="W141" s="152">
        <f>MouserListTable[[#This Row],['#/Unit]]*FilterSpecs!$C$3+MouserListTable[[#This Row],[Extra]]</f>
        <v>0</v>
      </c>
      <c r="X141" s="152">
        <f>IF(MouserListTable[[#This Row],[Tag]]=FilterSpecs!$F$7,MouserListTable[[#This Row],['#/Unit]]*MouserListTable[[#This Row],[Price (USD)]],0)</f>
        <v>0</v>
      </c>
      <c r="Y141" s="152">
        <f>MouserListTable[[#This Row],[Tot '#]]*MouserListTable[[#This Row],[Price (USD)]]</f>
        <v>0</v>
      </c>
      <c r="Z141" s="146"/>
      <c r="AA141" s="153" t="str">
        <f>InitialOrderTable[[#This Row],[SKU]]</f>
        <v>485-3316</v>
      </c>
      <c r="AB141" s="153">
        <f>VALUE(InitialOrderTable[[#This Row],['# Initial]])</f>
        <v>0</v>
      </c>
      <c r="AD141" s="153" t="s">
        <v>2146</v>
      </c>
      <c r="AF141" s="153">
        <v>1</v>
      </c>
      <c r="AK141" s="146" t="e">
        <f ca="1">[1]!nonzeroQtys($AE$13,AD141)</f>
        <v>#NAME?</v>
      </c>
    </row>
    <row r="142" spans="1:37" s="153" customFormat="1" x14ac:dyDescent="0.25">
      <c r="A142" s="150" t="s">
        <v>887</v>
      </c>
      <c r="B142" s="150" t="s">
        <v>10</v>
      </c>
      <c r="C142" s="150" t="s">
        <v>1884</v>
      </c>
      <c r="D142" s="151" t="str">
        <f>IF(MouserListTable[[#This Row],[Vendor]]=FilterSpecs!$A$8,MouserListTable[[#This Row],[Mouser SKU]], MouserListTable[[#This Row],[Supplier SKU]])</f>
        <v>485-1568</v>
      </c>
      <c r="E142" s="152">
        <f>MouserListTable[[#This Row],[Tot '#]]-MouserListTable[[#This Row],['# Initial]]</f>
        <v>0</v>
      </c>
      <c r="F142" s="152">
        <f>IF(AND(MouserListTable[[#This Row],[Tag]]&lt;&gt;FilterSpecs!$F$12, MouserListTable[[#This Row],[Tag]]&lt;&gt;FilterSpecs!$F$9), MouserListTable[[#This Row],['#/Unit]]*FilterSpecs!$B$3+MouserListTable[[#This Row],[Extra Initial]],0)</f>
        <v>0</v>
      </c>
      <c r="G142" s="150"/>
      <c r="H142" s="150"/>
      <c r="I142" s="150" t="s">
        <v>2299</v>
      </c>
      <c r="K142" s="118">
        <v>24.95</v>
      </c>
      <c r="L142" s="97" t="s">
        <v>1896</v>
      </c>
      <c r="N142" s="154">
        <f>MouserListTable[[#This Row],['# Initial]]*MouserListTable[[#This Row],[Price (USD)]]</f>
        <v>0</v>
      </c>
      <c r="O142" s="151" t="s">
        <v>2298</v>
      </c>
      <c r="P142" s="150">
        <f t="shared" ref="P142:P205" si="3">IF($P141="List #",1,$P141+1)</f>
        <v>129</v>
      </c>
      <c r="Q142" s="150" t="s">
        <v>1884</v>
      </c>
      <c r="R14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485-1568</v>
      </c>
      <c r="S142" s="157" t="str">
        <f>HYPERLINK("https://www.mouser.com/ProductDetail/" &amp;MouserListTable[[#This Row],[Mouser SKU]])</f>
        <v>https://www.mouser.com/ProductDetail/485-1568</v>
      </c>
      <c r="T142" s="152">
        <v>0</v>
      </c>
      <c r="U142" s="152">
        <v>0</v>
      </c>
      <c r="V142" s="152">
        <v>0</v>
      </c>
      <c r="W142" s="152">
        <f>MouserListTable[[#This Row],['#/Unit]]*FilterSpecs!$C$3+MouserListTable[[#This Row],[Extra]]</f>
        <v>0</v>
      </c>
      <c r="X142" s="152">
        <f>IF(MouserListTable[[#This Row],[Tag]]=FilterSpecs!$F$7,MouserListTable[[#This Row],['#/Unit]]*MouserListTable[[#This Row],[Price (USD)]],0)</f>
        <v>0</v>
      </c>
      <c r="Y142" s="152">
        <f>MouserListTable[[#This Row],[Tot '#]]*MouserListTable[[#This Row],[Price (USD)]]</f>
        <v>0</v>
      </c>
      <c r="Z142" s="146"/>
      <c r="AA142" s="153" t="str">
        <f>InitialOrderTable[[#This Row],[SKU]]</f>
        <v>485-1568</v>
      </c>
      <c r="AB142" s="153">
        <f>VALUE(InitialOrderTable[[#This Row],['# Initial]])</f>
        <v>0</v>
      </c>
      <c r="AD142" s="153" t="s">
        <v>2148</v>
      </c>
      <c r="AF142" s="153">
        <v>1</v>
      </c>
      <c r="AK142" s="146" t="e">
        <f ca="1">[1]!nonzeroQtys($AE$13,AD142)</f>
        <v>#NAME?</v>
      </c>
    </row>
    <row r="143" spans="1:37" s="153" customFormat="1" x14ac:dyDescent="0.25">
      <c r="A143" s="150" t="s">
        <v>887</v>
      </c>
      <c r="B143" s="150" t="s">
        <v>10</v>
      </c>
      <c r="C143" s="150" t="s">
        <v>1884</v>
      </c>
      <c r="D143" s="151" t="str">
        <f>IF(MouserListTable[[#This Row],[Vendor]]=FilterSpecs!$A$8,MouserListTable[[#This Row],[Mouser SKU]], MouserListTable[[#This Row],[Supplier SKU]])</f>
        <v>485-164</v>
      </c>
      <c r="E143" s="152">
        <f>MouserListTable[[#This Row],[Tot '#]]-MouserListTable[[#This Row],['# Initial]]</f>
        <v>0</v>
      </c>
      <c r="F143" s="152">
        <f>IF(AND(MouserListTable[[#This Row],[Tag]]&lt;&gt;FilterSpecs!$F$12, MouserListTable[[#This Row],[Tag]]&lt;&gt;FilterSpecs!$F$9), MouserListTable[[#This Row],['#/Unit]]*FilterSpecs!$B$3+MouserListTable[[#This Row],[Extra Initial]],0)</f>
        <v>0</v>
      </c>
      <c r="G143" s="150"/>
      <c r="H143" s="150"/>
      <c r="I143" s="150" t="s">
        <v>2301</v>
      </c>
      <c r="K143" s="118">
        <v>14.95</v>
      </c>
      <c r="L143" s="97" t="s">
        <v>1896</v>
      </c>
      <c r="N143" s="154">
        <f>MouserListTable[[#This Row],['# Initial]]*MouserListTable[[#This Row],[Price (USD)]]</f>
        <v>0</v>
      </c>
      <c r="O143" s="151" t="s">
        <v>2300</v>
      </c>
      <c r="P143" s="150">
        <f t="shared" si="3"/>
        <v>130</v>
      </c>
      <c r="Q143" s="150" t="s">
        <v>1884</v>
      </c>
      <c r="R14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485-164</v>
      </c>
      <c r="S143" s="157" t="str">
        <f>HYPERLINK("https://www.mouser.com/ProductDetail/" &amp;MouserListTable[[#This Row],[Mouser SKU]])</f>
        <v>https://www.mouser.com/ProductDetail/485-164</v>
      </c>
      <c r="T143" s="152">
        <v>0</v>
      </c>
      <c r="U143" s="152">
        <v>0</v>
      </c>
      <c r="V143" s="152">
        <v>0</v>
      </c>
      <c r="W143" s="152">
        <f>MouserListTable[[#This Row],['#/Unit]]*FilterSpecs!$C$3+MouserListTable[[#This Row],[Extra]]</f>
        <v>0</v>
      </c>
      <c r="X143" s="152">
        <f>IF(MouserListTable[[#This Row],[Tag]]=FilterSpecs!$F$7,MouserListTable[[#This Row],['#/Unit]]*MouserListTable[[#This Row],[Price (USD)]],0)</f>
        <v>0</v>
      </c>
      <c r="Y143" s="152">
        <f>MouserListTable[[#This Row],[Tot '#]]*MouserListTable[[#This Row],[Price (USD)]]</f>
        <v>0</v>
      </c>
      <c r="Z143" s="146"/>
      <c r="AA143" s="153" t="str">
        <f>InitialOrderTable[[#This Row],[SKU]]</f>
        <v>485-164</v>
      </c>
      <c r="AB143" s="153">
        <f>VALUE(InitialOrderTable[[#This Row],['# Initial]])</f>
        <v>0</v>
      </c>
      <c r="AD143" s="153" t="s">
        <v>2138</v>
      </c>
      <c r="AF143" s="153">
        <v>1</v>
      </c>
      <c r="AK143" s="146" t="e">
        <f ca="1">[1]!nonzeroQtys($AE$13,AD143)</f>
        <v>#NAME?</v>
      </c>
    </row>
    <row r="144" spans="1:37" s="153" customFormat="1" x14ac:dyDescent="0.25">
      <c r="A144" s="150" t="s">
        <v>887</v>
      </c>
      <c r="B144" s="150" t="s">
        <v>10</v>
      </c>
      <c r="C144" s="150" t="s">
        <v>1884</v>
      </c>
      <c r="D144" s="151" t="str">
        <f>IF(MouserListTable[[#This Row],[Vendor]]=FilterSpecs!$A$8,MouserListTable[[#This Row],[Mouser SKU]], MouserListTable[[#This Row],[Supplier SKU]])</f>
        <v>485-1031</v>
      </c>
      <c r="E144" s="152">
        <f>MouserListTable[[#This Row],[Tot '#]]-MouserListTable[[#This Row],['# Initial]]</f>
        <v>0</v>
      </c>
      <c r="F144" s="152">
        <f>IF(AND(MouserListTable[[#This Row],[Tag]]&lt;&gt;FilterSpecs!$F$12, MouserListTable[[#This Row],[Tag]]&lt;&gt;FilterSpecs!$F$9), MouserListTable[[#This Row],['#/Unit]]*FilterSpecs!$B$3+MouserListTable[[#This Row],[Extra Initial]],0)</f>
        <v>0</v>
      </c>
      <c r="G144" s="150"/>
      <c r="H144" s="150"/>
      <c r="I144" s="150" t="s">
        <v>2303</v>
      </c>
      <c r="K144" s="118">
        <v>15.95</v>
      </c>
      <c r="L144" s="97" t="s">
        <v>1896</v>
      </c>
      <c r="N144" s="154">
        <f>MouserListTable[[#This Row],['# Initial]]*MouserListTable[[#This Row],[Price (USD)]]</f>
        <v>0</v>
      </c>
      <c r="O144" s="151" t="s">
        <v>2302</v>
      </c>
      <c r="P144" s="150">
        <f t="shared" si="3"/>
        <v>131</v>
      </c>
      <c r="Q144" s="150" t="s">
        <v>1884</v>
      </c>
      <c r="R14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485-1031</v>
      </c>
      <c r="S144" s="157" t="str">
        <f>HYPERLINK("https://www.mouser.com/ProductDetail/" &amp;MouserListTable[[#This Row],[Mouser SKU]])</f>
        <v>https://www.mouser.com/ProductDetail/485-1031</v>
      </c>
      <c r="T144" s="152">
        <v>0</v>
      </c>
      <c r="U144" s="152">
        <v>0</v>
      </c>
      <c r="V144" s="152">
        <v>0</v>
      </c>
      <c r="W144" s="152">
        <f>MouserListTable[[#This Row],['#/Unit]]*FilterSpecs!$C$3+MouserListTable[[#This Row],[Extra]]</f>
        <v>0</v>
      </c>
      <c r="X144" s="152">
        <f>IF(MouserListTable[[#This Row],[Tag]]=FilterSpecs!$F$7,MouserListTable[[#This Row],['#/Unit]]*MouserListTable[[#This Row],[Price (USD)]],0)</f>
        <v>0</v>
      </c>
      <c r="Y144" s="152">
        <f>MouserListTable[[#This Row],[Tot '#]]*MouserListTable[[#This Row],[Price (USD)]]</f>
        <v>0</v>
      </c>
      <c r="Z144" s="146"/>
      <c r="AA144" s="153" t="str">
        <f>InitialOrderTable[[#This Row],[SKU]]</f>
        <v>485-1031</v>
      </c>
      <c r="AB144" s="153">
        <f>VALUE(InitialOrderTable[[#This Row],['# Initial]])</f>
        <v>0</v>
      </c>
      <c r="AD144" s="153" t="s">
        <v>2136</v>
      </c>
      <c r="AF144" s="153">
        <v>1</v>
      </c>
      <c r="AK144" s="146" t="e">
        <f ca="1">[1]!nonzeroQtys($AE$13,AD144)</f>
        <v>#NAME?</v>
      </c>
    </row>
    <row r="145" spans="1:37" s="153" customFormat="1" x14ac:dyDescent="0.25">
      <c r="A145" s="150" t="s">
        <v>887</v>
      </c>
      <c r="B145" s="150" t="s">
        <v>10</v>
      </c>
      <c r="C145" s="150" t="s">
        <v>2524</v>
      </c>
      <c r="D145" s="151" t="str">
        <f>IF(MouserListTable[[#This Row],[Vendor]]=FilterSpecs!$A$8,MouserListTable[[#This Row],[Mouser SKU]], MouserListTable[[#This Row],[Supplier SKU]])</f>
        <v>511-53L0-SATEL-I1</v>
      </c>
      <c r="E145" s="152">
        <f>MouserListTable[[#This Row],[Tot '#]]-MouserListTable[[#This Row],['# Initial]]</f>
        <v>0</v>
      </c>
      <c r="F145" s="152">
        <f>IF(AND(MouserListTable[[#This Row],[Tag]]&lt;&gt;FilterSpecs!$F$12, MouserListTable[[#This Row],[Tag]]&lt;&gt;FilterSpecs!$F$9), MouserListTable[[#This Row],['#/Unit]]*FilterSpecs!$B$3+MouserListTable[[#This Row],[Extra Initial]],0)</f>
        <v>5</v>
      </c>
      <c r="G145" s="150"/>
      <c r="H145" s="150"/>
      <c r="I145" s="150" t="s">
        <v>2523</v>
      </c>
      <c r="J145" s="150"/>
      <c r="K145" s="154">
        <v>18.5</v>
      </c>
      <c r="L145" s="152" t="s">
        <v>1897</v>
      </c>
      <c r="M145" s="150"/>
      <c r="N145" s="154">
        <f>MouserListTable[[#This Row],['# Initial]]*MouserListTable[[#This Row],[Price (USD)]]</f>
        <v>92.5</v>
      </c>
      <c r="O145" s="151" t="s">
        <v>2521</v>
      </c>
      <c r="P145" s="150">
        <f t="shared" si="3"/>
        <v>132</v>
      </c>
      <c r="Q145" s="150" t="s">
        <v>2524</v>
      </c>
      <c r="R14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511-53L0-SATEL-I1</v>
      </c>
      <c r="S145" s="157" t="str">
        <f>HYPERLINK("https://www.mouser.com/ProductDetail/" &amp;MouserListTable[[#This Row],[Mouser SKU]])</f>
        <v>https://www.mouser.com/ProductDetail/511-53L0-SATEL-I1</v>
      </c>
      <c r="T145" s="152">
        <v>1</v>
      </c>
      <c r="U145" s="152">
        <v>0</v>
      </c>
      <c r="V145" s="152">
        <v>0</v>
      </c>
      <c r="W145" s="152">
        <f>MouserListTable[[#This Row],['#/Unit]]*FilterSpecs!$C$3+MouserListTable[[#This Row],[Extra]]</f>
        <v>5</v>
      </c>
      <c r="X145" s="152">
        <f>IF(MouserListTable[[#This Row],[Tag]]=FilterSpecs!$F$7,MouserListTable[[#This Row],['#/Unit]]*MouserListTable[[#This Row],[Price (USD)]],0)</f>
        <v>18.5</v>
      </c>
      <c r="Y145" s="152">
        <f>MouserListTable[[#This Row],[Tot '#]]*MouserListTable[[#This Row],[Price (USD)]]</f>
        <v>92.5</v>
      </c>
      <c r="Z145" s="146"/>
      <c r="AA145" s="153" t="str">
        <f>InitialOrderTable[[#This Row],[SKU]]</f>
        <v>511-53L0-SATEL-I1</v>
      </c>
      <c r="AB145" s="153">
        <f>VALUE(InitialOrderTable[[#This Row],['# Initial]])</f>
        <v>5</v>
      </c>
      <c r="AD145" s="153" t="s">
        <v>2134</v>
      </c>
      <c r="AF145" s="153">
        <v>1</v>
      </c>
      <c r="AK145" s="146" t="e">
        <f ca="1">[1]!nonzeroQtys($AE$13,AD145)</f>
        <v>#NAME?</v>
      </c>
    </row>
    <row r="146" spans="1:37" s="153" customFormat="1" x14ac:dyDescent="0.25">
      <c r="A146" s="150" t="s">
        <v>887</v>
      </c>
      <c r="B146" s="150" t="s">
        <v>11</v>
      </c>
      <c r="C146" s="150" t="s">
        <v>5</v>
      </c>
      <c r="D146" s="151" t="str">
        <f>IF(MouserListTable[[#This Row],[Vendor]]=FilterSpecs!$A$8,MouserListTable[[#This Row],[Mouser SKU]], MouserListTable[[#This Row],[Supplier SKU]])</f>
        <v>474-SEN-09196</v>
      </c>
      <c r="E146" s="152">
        <f>MouserListTable[[#This Row],[Tot '#]]-MouserListTable[[#This Row],['# Initial]]</f>
        <v>0</v>
      </c>
      <c r="F146" s="152">
        <f>IF(AND(MouserListTable[[#This Row],[Tag]]&lt;&gt;FilterSpecs!$F$12, MouserListTable[[#This Row],[Tag]]&lt;&gt;FilterSpecs!$F$9), MouserListTable[[#This Row],['#/Unit]]*FilterSpecs!$B$3+MouserListTable[[#This Row],[Extra Initial]],0)</f>
        <v>5</v>
      </c>
      <c r="G146" s="150" t="s">
        <v>103</v>
      </c>
      <c r="H146" s="150" t="s">
        <v>104</v>
      </c>
      <c r="I146" s="150" t="s">
        <v>105</v>
      </c>
      <c r="J146" s="153">
        <v>1</v>
      </c>
      <c r="K146" s="154">
        <v>2.95</v>
      </c>
      <c r="L146" s="150" t="s">
        <v>1897</v>
      </c>
      <c r="M146" s="151"/>
      <c r="N146" s="154">
        <f>MouserListTable[[#This Row],['# Initial]]*MouserListTable[[#This Row],[Price (USD)]]</f>
        <v>14.75</v>
      </c>
      <c r="O146" s="151" t="s">
        <v>102</v>
      </c>
      <c r="P146" s="150">
        <f t="shared" si="3"/>
        <v>133</v>
      </c>
      <c r="Q146" s="150" t="s">
        <v>5</v>
      </c>
      <c r="R14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474-SEN-09196</v>
      </c>
      <c r="S146" s="157" t="str">
        <f>HYPERLINK("https://www.mouser.com/ProductDetail/" &amp;MouserListTable[[#This Row],[Mouser SKU]])</f>
        <v>https://www.mouser.com/ProductDetail/474-SEN-09196</v>
      </c>
      <c r="T146" s="152">
        <v>1</v>
      </c>
      <c r="U146" s="152">
        <v>0</v>
      </c>
      <c r="V146" s="152">
        <v>0</v>
      </c>
      <c r="W146" s="152">
        <f>MouserListTable[[#This Row],['#/Unit]]*FilterSpecs!$C$3+MouserListTable[[#This Row],[Extra]]</f>
        <v>5</v>
      </c>
      <c r="X146" s="152">
        <f>IF(MouserListTable[[#This Row],[Tag]]=FilterSpecs!$F$7,MouserListTable[[#This Row],['#/Unit]]*MouserListTable[[#This Row],[Price (USD)]],0)</f>
        <v>2.95</v>
      </c>
      <c r="Y146" s="152">
        <f>MouserListTable[[#This Row],[Tot '#]]*MouserListTable[[#This Row],[Price (USD)]]</f>
        <v>14.75</v>
      </c>
      <c r="Z146" s="146"/>
      <c r="AA146" s="153" t="str">
        <f>InitialOrderTable[[#This Row],[SKU]]</f>
        <v>474-SEN-09196</v>
      </c>
      <c r="AB146" s="153">
        <f>VALUE(InitialOrderTable[[#This Row],['# Initial]])</f>
        <v>5</v>
      </c>
      <c r="AD146" s="153" t="s">
        <v>1521</v>
      </c>
      <c r="AF146" s="153">
        <v>5</v>
      </c>
      <c r="AK146" s="146" t="e">
        <f ca="1">[1]!nonzeroQtys($AE$13,AD146)</f>
        <v>#NAME?</v>
      </c>
    </row>
    <row r="147" spans="1:37" s="153" customFormat="1" x14ac:dyDescent="0.25">
      <c r="A147" s="150" t="s">
        <v>887</v>
      </c>
      <c r="B147" s="150" t="s">
        <v>11</v>
      </c>
      <c r="C147" s="150" t="s">
        <v>5</v>
      </c>
      <c r="D147" s="151" t="str">
        <f>IF(MouserListTable[[#This Row],[Vendor]]=FilterSpecs!$A$8,MouserListTable[[#This Row],[Mouser SKU]], MouserListTable[[#This Row],[Supplier SKU]])</f>
        <v>474-SEN-09197</v>
      </c>
      <c r="E147" s="152">
        <f>MouserListTable[[#This Row],[Tot '#]]-MouserListTable[[#This Row],['# Initial]]</f>
        <v>0</v>
      </c>
      <c r="F147" s="152">
        <f>IF(AND(MouserListTable[[#This Row],[Tag]]&lt;&gt;FilterSpecs!$F$12, MouserListTable[[#This Row],[Tag]]&lt;&gt;FilterSpecs!$F$9), MouserListTable[[#This Row],['#/Unit]]*FilterSpecs!$B$3+MouserListTable[[#This Row],[Extra Initial]],0)</f>
        <v>0</v>
      </c>
      <c r="G147" s="150" t="s">
        <v>1326</v>
      </c>
      <c r="H147" s="150" t="s">
        <v>1327</v>
      </c>
      <c r="I147" s="150" t="s">
        <v>1328</v>
      </c>
      <c r="J147" s="153">
        <v>1</v>
      </c>
      <c r="K147" s="118">
        <v>2.95</v>
      </c>
      <c r="L147" s="97" t="s">
        <v>1896</v>
      </c>
      <c r="N147" s="154">
        <f>MouserListTable[[#This Row],['# Initial]]*MouserListTable[[#This Row],[Price (USD)]]</f>
        <v>0</v>
      </c>
      <c r="O147" s="151" t="s">
        <v>1325</v>
      </c>
      <c r="P147" s="150">
        <f t="shared" si="3"/>
        <v>134</v>
      </c>
      <c r="Q147" s="150" t="s">
        <v>5</v>
      </c>
      <c r="R14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474-SEN-09197</v>
      </c>
      <c r="S147" s="157" t="str">
        <f>HYPERLINK("https://www.mouser.com/ProductDetail/" &amp;MouserListTable[[#This Row],[Mouser SKU]])</f>
        <v>https://www.mouser.com/ProductDetail/474-SEN-09197</v>
      </c>
      <c r="T147" s="152">
        <v>0</v>
      </c>
      <c r="U147" s="152">
        <v>0</v>
      </c>
      <c r="V147" s="152">
        <v>0</v>
      </c>
      <c r="W147" s="152">
        <f>MouserListTable[[#This Row],['#/Unit]]*FilterSpecs!$C$3+MouserListTable[[#This Row],[Extra]]</f>
        <v>0</v>
      </c>
      <c r="X147" s="152">
        <f>IF(MouserListTable[[#This Row],[Tag]]=FilterSpecs!$F$7,MouserListTable[[#This Row],['#/Unit]]*MouserListTable[[#This Row],[Price (USD)]],0)</f>
        <v>0</v>
      </c>
      <c r="Y147" s="152">
        <f>MouserListTable[[#This Row],[Tot '#]]*MouserListTable[[#This Row],[Price (USD)]]</f>
        <v>0</v>
      </c>
      <c r="Z147" s="146"/>
      <c r="AA147" s="153" t="str">
        <f>InitialOrderTable[[#This Row],[SKU]]</f>
        <v>474-SEN-09197</v>
      </c>
      <c r="AB147" s="153">
        <f>VALUE(InitialOrderTable[[#This Row],['# Initial]])</f>
        <v>0</v>
      </c>
      <c r="AD147" s="153" t="s">
        <v>1525</v>
      </c>
      <c r="AF147" s="153">
        <v>5</v>
      </c>
      <c r="AK147" s="146" t="e">
        <f ca="1">[1]!nonzeroQtys($AE$13,AD147)</f>
        <v>#NAME?</v>
      </c>
    </row>
    <row r="148" spans="1:37" s="153" customFormat="1" x14ac:dyDescent="0.25">
      <c r="A148" s="150" t="s">
        <v>887</v>
      </c>
      <c r="B148" s="150" t="s">
        <v>11</v>
      </c>
      <c r="C148" s="150" t="s">
        <v>5</v>
      </c>
      <c r="D148" s="151" t="str">
        <f>IF(MouserListTable[[#This Row],[Vendor]]=FilterSpecs!$A$8,MouserListTable[[#This Row],[Mouser SKU]], MouserListTable[[#This Row],[Supplier SKU]])</f>
        <v>474-SEN-09198</v>
      </c>
      <c r="E148" s="152">
        <f>MouserListTable[[#This Row],[Tot '#]]-MouserListTable[[#This Row],['# Initial]]</f>
        <v>0</v>
      </c>
      <c r="F148" s="152">
        <f>IF(AND(MouserListTable[[#This Row],[Tag]]&lt;&gt;FilterSpecs!$F$12, MouserListTable[[#This Row],[Tag]]&lt;&gt;FilterSpecs!$F$9), MouserListTable[[#This Row],['#/Unit]]*FilterSpecs!$B$3+MouserListTable[[#This Row],[Extra Initial]],0)</f>
        <v>0</v>
      </c>
      <c r="G148" s="150" t="s">
        <v>1330</v>
      </c>
      <c r="H148" s="150" t="s">
        <v>1331</v>
      </c>
      <c r="I148" s="150" t="s">
        <v>1332</v>
      </c>
      <c r="J148" s="153">
        <v>1</v>
      </c>
      <c r="K148" s="118">
        <v>2.95</v>
      </c>
      <c r="L148" s="97" t="s">
        <v>1896</v>
      </c>
      <c r="N148" s="154">
        <f>MouserListTable[[#This Row],['# Initial]]*MouserListTable[[#This Row],[Price (USD)]]</f>
        <v>0</v>
      </c>
      <c r="O148" s="151" t="s">
        <v>1329</v>
      </c>
      <c r="P148" s="150">
        <f t="shared" si="3"/>
        <v>135</v>
      </c>
      <c r="Q148" s="150" t="s">
        <v>5</v>
      </c>
      <c r="R14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474-SEN-09198</v>
      </c>
      <c r="S148" s="157" t="str">
        <f>HYPERLINK("https://www.mouser.com/ProductDetail/" &amp;MouserListTable[[#This Row],[Mouser SKU]])</f>
        <v>https://www.mouser.com/ProductDetail/474-SEN-09198</v>
      </c>
      <c r="T148" s="152">
        <v>0</v>
      </c>
      <c r="U148" s="152">
        <v>0</v>
      </c>
      <c r="V148" s="152">
        <v>0</v>
      </c>
      <c r="W148" s="152">
        <f>MouserListTable[[#This Row],['#/Unit]]*FilterSpecs!$C$3+MouserListTable[[#This Row],[Extra]]</f>
        <v>0</v>
      </c>
      <c r="X148" s="152">
        <f>IF(MouserListTable[[#This Row],[Tag]]=FilterSpecs!$F$7,MouserListTable[[#This Row],['#/Unit]]*MouserListTable[[#This Row],[Price (USD)]],0)</f>
        <v>0</v>
      </c>
      <c r="Y148" s="152">
        <f>MouserListTable[[#This Row],[Tot '#]]*MouserListTable[[#This Row],[Price (USD)]]</f>
        <v>0</v>
      </c>
      <c r="Z148" s="146"/>
      <c r="AA148" s="153" t="str">
        <f>InitialOrderTable[[#This Row],[SKU]]</f>
        <v>474-SEN-09198</v>
      </c>
      <c r="AB148" s="153">
        <f>VALUE(InitialOrderTable[[#This Row],['# Initial]])</f>
        <v>0</v>
      </c>
      <c r="AD148" s="153" t="s">
        <v>2140</v>
      </c>
      <c r="AF148" s="153">
        <v>10</v>
      </c>
      <c r="AK148" s="146" t="e">
        <f ca="1">[1]!nonzeroQtys($AE$13,AD148)</f>
        <v>#NAME?</v>
      </c>
    </row>
    <row r="149" spans="1:37" s="153" customFormat="1" x14ac:dyDescent="0.25">
      <c r="A149" s="150" t="s">
        <v>887</v>
      </c>
      <c r="B149" s="150" t="s">
        <v>11</v>
      </c>
      <c r="C149" s="150" t="s">
        <v>5</v>
      </c>
      <c r="D149" s="151" t="str">
        <f>IF(MouserListTable[[#This Row],[Vendor]]=FilterSpecs!$A$8,MouserListTable[[#This Row],[Mouser SKU]], MouserListTable[[#This Row],[Supplier SKU]])</f>
        <v>474-SEN-09199</v>
      </c>
      <c r="E149" s="152">
        <f>MouserListTable[[#This Row],[Tot '#]]-MouserListTable[[#This Row],['# Initial]]</f>
        <v>0</v>
      </c>
      <c r="F149" s="152">
        <f>IF(AND(MouserListTable[[#This Row],[Tag]]&lt;&gt;FilterSpecs!$F$12, MouserListTable[[#This Row],[Tag]]&lt;&gt;FilterSpecs!$F$9), MouserListTable[[#This Row],['#/Unit]]*FilterSpecs!$B$3+MouserListTable[[#This Row],[Extra Initial]],0)</f>
        <v>0</v>
      </c>
      <c r="G149" s="150" t="s">
        <v>1334</v>
      </c>
      <c r="H149" s="150" t="s">
        <v>1335</v>
      </c>
      <c r="I149" s="150" t="s">
        <v>1336</v>
      </c>
      <c r="J149" s="153">
        <v>1</v>
      </c>
      <c r="K149" s="118">
        <v>2.95</v>
      </c>
      <c r="L149" s="97" t="s">
        <v>1899</v>
      </c>
      <c r="N149" s="154">
        <f>MouserListTable[[#This Row],['# Initial]]*MouserListTable[[#This Row],[Price (USD)]]</f>
        <v>0</v>
      </c>
      <c r="O149" s="151" t="s">
        <v>1333</v>
      </c>
      <c r="P149" s="150">
        <f t="shared" si="3"/>
        <v>136</v>
      </c>
      <c r="Q149" s="150" t="s">
        <v>5</v>
      </c>
      <c r="R14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474-SEN-09199</v>
      </c>
      <c r="S149" s="157" t="str">
        <f>HYPERLINK("https://www.mouser.com/ProductDetail/" &amp;MouserListTable[[#This Row],[Mouser SKU]])</f>
        <v>https://www.mouser.com/ProductDetail/474-SEN-09199</v>
      </c>
      <c r="T149" s="152">
        <v>0</v>
      </c>
      <c r="U149" s="152">
        <v>0</v>
      </c>
      <c r="V149" s="152">
        <v>0</v>
      </c>
      <c r="W149" s="152">
        <f>MouserListTable[[#This Row],['#/Unit]]*FilterSpecs!$C$3+MouserListTable[[#This Row],[Extra]]</f>
        <v>0</v>
      </c>
      <c r="X149" s="152">
        <f>IF(MouserListTable[[#This Row],[Tag]]=FilterSpecs!$F$7,MouserListTable[[#This Row],['#/Unit]]*MouserListTable[[#This Row],[Price (USD)]],0)</f>
        <v>0</v>
      </c>
      <c r="Y149" s="152">
        <f>MouserListTable[[#This Row],[Tot '#]]*MouserListTable[[#This Row],[Price (USD)]]</f>
        <v>0</v>
      </c>
      <c r="Z149" s="146"/>
      <c r="AA149" s="153" t="str">
        <f>InitialOrderTable[[#This Row],[SKU]]</f>
        <v>474-SEN-09199</v>
      </c>
      <c r="AB149" s="153">
        <f>VALUE(InitialOrderTable[[#This Row],['# Initial]])</f>
        <v>0</v>
      </c>
      <c r="AD149" s="153" t="s">
        <v>2142</v>
      </c>
      <c r="AF149" s="153">
        <v>1</v>
      </c>
      <c r="AK149" s="146" t="e">
        <f ca="1">[1]!nonzeroQtys($AE$13,AD149)</f>
        <v>#NAME?</v>
      </c>
    </row>
    <row r="150" spans="1:37" s="153" customFormat="1" x14ac:dyDescent="0.25">
      <c r="A150" s="150" t="s">
        <v>887</v>
      </c>
      <c r="B150" s="150" t="s">
        <v>11</v>
      </c>
      <c r="C150" s="150" t="s">
        <v>1884</v>
      </c>
      <c r="D150" s="151" t="str">
        <f>IF(MouserListTable[[#This Row],[Vendor]]=FilterSpecs!$A$8,MouserListTable[[#This Row],[Mouser SKU]], MouserListTable[[#This Row],[Supplier SKU]])</f>
        <v>485-1071</v>
      </c>
      <c r="E150" s="152">
        <f>MouserListTable[[#This Row],[Tot '#]]-MouserListTable[[#This Row],['# Initial]]</f>
        <v>0</v>
      </c>
      <c r="F150" s="152">
        <f>IF(AND(MouserListTable[[#This Row],[Tag]]&lt;&gt;FilterSpecs!$F$12, MouserListTable[[#This Row],[Tag]]&lt;&gt;FilterSpecs!$F$9), MouserListTable[[#This Row],['#/Unit]]*FilterSpecs!$B$3+MouserListTable[[#This Row],[Extra Initial]],0)</f>
        <v>0</v>
      </c>
      <c r="G150" s="150"/>
      <c r="H150" s="150"/>
      <c r="I150" s="150" t="s">
        <v>2307</v>
      </c>
      <c r="K150" s="118">
        <v>17.95</v>
      </c>
      <c r="L150" s="97" t="s">
        <v>1896</v>
      </c>
      <c r="N150" s="154">
        <f>MouserListTable[[#This Row],['# Initial]]*MouserListTable[[#This Row],[Price (USD)]]</f>
        <v>0</v>
      </c>
      <c r="O150" s="151" t="s">
        <v>2306</v>
      </c>
      <c r="P150" s="150">
        <f t="shared" si="3"/>
        <v>137</v>
      </c>
      <c r="Q150" s="150" t="s">
        <v>1884</v>
      </c>
      <c r="R15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485-1071</v>
      </c>
      <c r="S150" s="157" t="str">
        <f>HYPERLINK("https://www.mouser.com/ProductDetail/" &amp;MouserListTable[[#This Row],[Mouser SKU]])</f>
        <v>https://www.mouser.com/ProductDetail/485-1071</v>
      </c>
      <c r="T150" s="152">
        <v>0</v>
      </c>
      <c r="U150" s="152">
        <v>0</v>
      </c>
      <c r="V150" s="152">
        <v>0</v>
      </c>
      <c r="W150" s="152">
        <f>MouserListTable[[#This Row],['#/Unit]]*FilterSpecs!$C$3+MouserListTable[[#This Row],[Extra]]</f>
        <v>0</v>
      </c>
      <c r="X150" s="152">
        <f>IF(MouserListTable[[#This Row],[Tag]]=FilterSpecs!$F$7,MouserListTable[[#This Row],['#/Unit]]*MouserListTable[[#This Row],[Price (USD)]],0)</f>
        <v>0</v>
      </c>
      <c r="Y150" s="152">
        <f>MouserListTable[[#This Row],[Tot '#]]*MouserListTable[[#This Row],[Price (USD)]]</f>
        <v>0</v>
      </c>
      <c r="Z150" s="146"/>
      <c r="AA150" s="153" t="str">
        <f>InitialOrderTable[[#This Row],[SKU]]</f>
        <v>485-1071</v>
      </c>
      <c r="AB150" s="153">
        <f>VALUE(InitialOrderTable[[#This Row],['# Initial]])</f>
        <v>0</v>
      </c>
      <c r="AD150" s="153" t="s">
        <v>812</v>
      </c>
      <c r="AF150" s="153">
        <v>25</v>
      </c>
      <c r="AK150" s="146" t="e">
        <f ca="1">[1]!nonzeroQtys($AE$13,AD150)</f>
        <v>#NAME?</v>
      </c>
    </row>
    <row r="151" spans="1:37" s="104" customFormat="1" x14ac:dyDescent="0.25">
      <c r="A151" s="150" t="s">
        <v>887</v>
      </c>
      <c r="B151" s="150" t="s">
        <v>11</v>
      </c>
      <c r="C151" s="150" t="s">
        <v>5</v>
      </c>
      <c r="D151" s="151" t="str">
        <f>IF(MouserListTable[[#This Row],[Vendor]]=FilterSpecs!$A$8,MouserListTable[[#This Row],[Mouser SKU]], MouserListTable[[#This Row],[Supplier SKU]])</f>
        <v>474-SEN-09674</v>
      </c>
      <c r="E151" s="152">
        <f>MouserListTable[[#This Row],[Tot '#]]-MouserListTable[[#This Row],['# Initial]]</f>
        <v>0</v>
      </c>
      <c r="F151" s="152">
        <f>IF(AND(MouserListTable[[#This Row],[Tag]]&lt;&gt;FilterSpecs!$F$12, MouserListTable[[#This Row],[Tag]]&lt;&gt;FilterSpecs!$F$9), MouserListTable[[#This Row],['#/Unit]]*FilterSpecs!$B$3+MouserListTable[[#This Row],[Extra Initial]],0)</f>
        <v>0</v>
      </c>
      <c r="G151" s="150" t="s">
        <v>1417</v>
      </c>
      <c r="H151" s="150" t="s">
        <v>1418</v>
      </c>
      <c r="I151" s="150" t="s">
        <v>1419</v>
      </c>
      <c r="J151" s="153">
        <v>1</v>
      </c>
      <c r="K151" s="118">
        <v>20.95</v>
      </c>
      <c r="L151" s="97" t="s">
        <v>1896</v>
      </c>
      <c r="M151" s="153"/>
      <c r="N151" s="154">
        <f>MouserListTable[[#This Row],['# Initial]]*MouserListTable[[#This Row],[Price (USD)]]</f>
        <v>0</v>
      </c>
      <c r="O151" s="151" t="s">
        <v>1416</v>
      </c>
      <c r="P151" s="150">
        <f t="shared" si="3"/>
        <v>138</v>
      </c>
      <c r="Q151" s="150" t="s">
        <v>5</v>
      </c>
      <c r="R15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474-SEN-09674</v>
      </c>
      <c r="S151" s="157" t="str">
        <f>HYPERLINK("https://www.mouser.com/ProductDetail/" &amp;MouserListTable[[#This Row],[Mouser SKU]])</f>
        <v>https://www.mouser.com/ProductDetail/474-SEN-09674</v>
      </c>
      <c r="T151" s="152">
        <v>0</v>
      </c>
      <c r="U151" s="152">
        <v>0</v>
      </c>
      <c r="V151" s="152">
        <v>0</v>
      </c>
      <c r="W151" s="152">
        <f>MouserListTable[[#This Row],['#/Unit]]*FilterSpecs!$C$3+MouserListTable[[#This Row],[Extra]]</f>
        <v>0</v>
      </c>
      <c r="X151" s="152">
        <f>IF(MouserListTable[[#This Row],[Tag]]=FilterSpecs!$F$7,MouserListTable[[#This Row],['#/Unit]]*MouserListTable[[#This Row],[Price (USD)]],0)</f>
        <v>0</v>
      </c>
      <c r="Y151" s="152">
        <f>MouserListTable[[#This Row],[Tot '#]]*MouserListTable[[#This Row],[Price (USD)]]</f>
        <v>0</v>
      </c>
      <c r="Z151" s="146"/>
      <c r="AA151" s="153" t="str">
        <f>InitialOrderTable[[#This Row],[SKU]]</f>
        <v>474-SEN-09674</v>
      </c>
      <c r="AB151" s="153">
        <f>VALUE(InitialOrderTable[[#This Row],['# Initial]])</f>
        <v>0</v>
      </c>
      <c r="AD151" s="104" t="s">
        <v>2180</v>
      </c>
      <c r="AF151" s="104">
        <v>3</v>
      </c>
      <c r="AK151" s="146" t="e">
        <f ca="1">[1]!nonzeroQtys($AE$13,AD151)</f>
        <v>#NAME?</v>
      </c>
    </row>
    <row r="152" spans="1:37" s="104" customFormat="1" x14ac:dyDescent="0.25">
      <c r="A152" s="97" t="s">
        <v>887</v>
      </c>
      <c r="B152" s="97" t="s">
        <v>11</v>
      </c>
      <c r="C152" s="150" t="s">
        <v>5</v>
      </c>
      <c r="D152" s="151" t="str">
        <f>IF(MouserListTable[[#This Row],[Vendor]]=FilterSpecs!$A$8,MouserListTable[[#This Row],[Mouser SKU]], MouserListTable[[#This Row],[Supplier SKU]])</f>
        <v>474-SEN-09673</v>
      </c>
      <c r="E152" s="152">
        <f>MouserListTable[[#This Row],[Tot '#]]-MouserListTable[[#This Row],['# Initial]]</f>
        <v>0</v>
      </c>
      <c r="F152" s="152">
        <f>IF(AND(MouserListTable[[#This Row],[Tag]]&lt;&gt;FilterSpecs!$F$12, MouserListTable[[#This Row],[Tag]]&lt;&gt;FilterSpecs!$F$9), MouserListTable[[#This Row],['#/Unit]]*FilterSpecs!$B$3+MouserListTable[[#This Row],[Extra Initial]],0)</f>
        <v>0</v>
      </c>
      <c r="G152" s="150" t="s">
        <v>1421</v>
      </c>
      <c r="H152" s="150" t="s">
        <v>1422</v>
      </c>
      <c r="I152" s="150" t="s">
        <v>1423</v>
      </c>
      <c r="J152" s="150">
        <v>1</v>
      </c>
      <c r="K152" s="154">
        <v>5.95</v>
      </c>
      <c r="L152" s="150" t="s">
        <v>1896</v>
      </c>
      <c r="M152" s="153"/>
      <c r="N152" s="154">
        <f>MouserListTable[[#This Row],['# Initial]]*MouserListTable[[#This Row],[Price (USD)]]</f>
        <v>0</v>
      </c>
      <c r="O152" s="151" t="s">
        <v>1420</v>
      </c>
      <c r="P152" s="150">
        <f t="shared" si="3"/>
        <v>139</v>
      </c>
      <c r="Q152" s="150" t="s">
        <v>5</v>
      </c>
      <c r="R15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474-SEN-09673</v>
      </c>
      <c r="S152" s="157" t="str">
        <f>HYPERLINK("https://www.mouser.com/ProductDetail/" &amp;MouserListTable[[#This Row],[Mouser SKU]])</f>
        <v>https://www.mouser.com/ProductDetail/474-SEN-09673</v>
      </c>
      <c r="T152" s="152">
        <v>0</v>
      </c>
      <c r="U152" s="152">
        <v>0</v>
      </c>
      <c r="V152" s="152">
        <v>0</v>
      </c>
      <c r="W152" s="152">
        <f>MouserListTable[[#This Row],['#/Unit]]*FilterSpecs!$C$3+MouserListTable[[#This Row],[Extra]]</f>
        <v>0</v>
      </c>
      <c r="X152" s="152">
        <f>IF(MouserListTable[[#This Row],[Tag]]=FilterSpecs!$F$7,MouserListTable[[#This Row],['#/Unit]]*MouserListTable[[#This Row],[Price (USD)]],0)</f>
        <v>0</v>
      </c>
      <c r="Y152" s="152">
        <f>MouserListTable[[#This Row],[Tot '#]]*MouserListTable[[#This Row],[Price (USD)]]</f>
        <v>0</v>
      </c>
      <c r="Z152" s="146"/>
      <c r="AA152" s="153" t="str">
        <f>InitialOrderTable[[#This Row],[SKU]]</f>
        <v>474-SEN-09673</v>
      </c>
      <c r="AB152" s="153">
        <f>VALUE(InitialOrderTable[[#This Row],['# Initial]])</f>
        <v>0</v>
      </c>
      <c r="AD152" s="104" t="s">
        <v>2170</v>
      </c>
      <c r="AF152" s="104">
        <v>1</v>
      </c>
      <c r="AK152" s="146" t="e">
        <f ca="1">[1]!nonzeroQtys($AE$13,AD152)</f>
        <v>#NAME?</v>
      </c>
    </row>
    <row r="153" spans="1:37" s="104" customFormat="1" x14ac:dyDescent="0.25">
      <c r="A153" s="97" t="s">
        <v>887</v>
      </c>
      <c r="B153" s="97" t="s">
        <v>11</v>
      </c>
      <c r="C153" s="150" t="s">
        <v>5</v>
      </c>
      <c r="D153" s="151" t="str">
        <f>IF(MouserListTable[[#This Row],[Vendor]]=FilterSpecs!$A$8,MouserListTable[[#This Row],[Mouser SKU]], MouserListTable[[#This Row],[Supplier SKU]])</f>
        <v>474-SEN-09376</v>
      </c>
      <c r="E153" s="152">
        <f>MouserListTable[[#This Row],[Tot '#]]-MouserListTable[[#This Row],['# Initial]]</f>
        <v>0</v>
      </c>
      <c r="F153" s="152">
        <f>IF(AND(MouserListTable[[#This Row],[Tag]]&lt;&gt;FilterSpecs!$F$12, MouserListTable[[#This Row],[Tag]]&lt;&gt;FilterSpecs!$F$9), MouserListTable[[#This Row],['#/Unit]]*FilterSpecs!$B$3+MouserListTable[[#This Row],[Extra Initial]],0)</f>
        <v>0</v>
      </c>
      <c r="G153" s="150" t="s">
        <v>669</v>
      </c>
      <c r="H153" s="150" t="s">
        <v>670</v>
      </c>
      <c r="I153" s="150" t="s">
        <v>671</v>
      </c>
      <c r="J153" s="150">
        <v>1</v>
      </c>
      <c r="K153" s="154">
        <v>9.9499999999999993</v>
      </c>
      <c r="L153" s="150" t="s">
        <v>1896</v>
      </c>
      <c r="M153" s="153"/>
      <c r="N153" s="154">
        <f>MouserListTable[[#This Row],['# Initial]]*MouserListTable[[#This Row],[Price (USD)]]</f>
        <v>0</v>
      </c>
      <c r="O153" s="151" t="s">
        <v>668</v>
      </c>
      <c r="P153" s="150">
        <f t="shared" si="3"/>
        <v>140</v>
      </c>
      <c r="Q153" s="150" t="s">
        <v>5</v>
      </c>
      <c r="R15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474-SEN-09376</v>
      </c>
      <c r="S153" s="157" t="str">
        <f>HYPERLINK("https://www.mouser.com/ProductDetail/" &amp;MouserListTable[[#This Row],[Mouser SKU]])</f>
        <v>https://www.mouser.com/ProductDetail/474-SEN-09376</v>
      </c>
      <c r="T153" s="152">
        <v>0</v>
      </c>
      <c r="U153" s="152">
        <v>0</v>
      </c>
      <c r="V153" s="152">
        <v>0</v>
      </c>
      <c r="W153" s="152">
        <f>MouserListTable[[#This Row],['#/Unit]]*FilterSpecs!$C$3+MouserListTable[[#This Row],[Extra]]</f>
        <v>0</v>
      </c>
      <c r="X153" s="152">
        <f>IF(MouserListTable[[#This Row],[Tag]]=FilterSpecs!$F$7,MouserListTable[[#This Row],['#/Unit]]*MouserListTable[[#This Row],[Price (USD)]],0)</f>
        <v>0</v>
      </c>
      <c r="Y153" s="152">
        <f>MouserListTable[[#This Row],[Tot '#]]*MouserListTable[[#This Row],[Price (USD)]]</f>
        <v>0</v>
      </c>
      <c r="Z153" s="146"/>
      <c r="AA153" s="153" t="str">
        <f>InitialOrderTable[[#This Row],[SKU]]</f>
        <v>474-SEN-09376</v>
      </c>
      <c r="AB153" s="153">
        <f>VALUE(InitialOrderTable[[#This Row],['# Initial]])</f>
        <v>0</v>
      </c>
      <c r="AD153" s="104" t="s">
        <v>2178</v>
      </c>
      <c r="AF153" s="104">
        <v>2</v>
      </c>
      <c r="AK153" s="146" t="e">
        <f ca="1">[1]!nonzeroQtys($AE$13,AD153)</f>
        <v>#NAME?</v>
      </c>
    </row>
    <row r="154" spans="1:37" s="104" customFormat="1" x14ac:dyDescent="0.25">
      <c r="A154" s="150" t="s">
        <v>887</v>
      </c>
      <c r="B154" s="150" t="s">
        <v>11</v>
      </c>
      <c r="C154" s="150" t="s">
        <v>1884</v>
      </c>
      <c r="D154" s="151" t="str">
        <f>IF(MouserListTable[[#This Row],[Vendor]]=FilterSpecs!$A$8,MouserListTable[[#This Row],[Mouser SKU]], MouserListTable[[#This Row],[Supplier SKU]])</f>
        <v>485-1075</v>
      </c>
      <c r="E154" s="152">
        <f>MouserListTable[[#This Row],[Tot '#]]-MouserListTable[[#This Row],['# Initial]]</f>
        <v>4</v>
      </c>
      <c r="F154" s="152">
        <f>IF(AND(MouserListTable[[#This Row],[Tag]]&lt;&gt;FilterSpecs!$F$12, MouserListTable[[#This Row],[Tag]]&lt;&gt;FilterSpecs!$F$9), MouserListTable[[#This Row],['#/Unit]]*FilterSpecs!$B$3+MouserListTable[[#This Row],[Extra Initial]],0)</f>
        <v>0</v>
      </c>
      <c r="G154" s="150"/>
      <c r="H154" s="150"/>
      <c r="I154" s="150" t="s">
        <v>2313</v>
      </c>
      <c r="J154" s="150"/>
      <c r="K154" s="154">
        <v>7.95</v>
      </c>
      <c r="L154" s="150" t="s">
        <v>1896</v>
      </c>
      <c r="M154" s="151"/>
      <c r="N154" s="154">
        <f>MouserListTable[[#This Row],['# Initial]]*MouserListTable[[#This Row],[Price (USD)]]</f>
        <v>0</v>
      </c>
      <c r="O154" s="151" t="s">
        <v>2312</v>
      </c>
      <c r="P154" s="150">
        <f t="shared" si="3"/>
        <v>141</v>
      </c>
      <c r="Q154" s="150" t="s">
        <v>1884</v>
      </c>
      <c r="R15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485-1075</v>
      </c>
      <c r="S154" s="157" t="str">
        <f>HYPERLINK("https://www.mouser.com/ProductDetail/" &amp;MouserListTable[[#This Row],[Mouser SKU]])</f>
        <v>https://www.mouser.com/ProductDetail/485-1075</v>
      </c>
      <c r="T154" s="152">
        <v>0</v>
      </c>
      <c r="U154" s="152">
        <v>4</v>
      </c>
      <c r="V154" s="152">
        <v>0</v>
      </c>
      <c r="W154" s="152">
        <f>MouserListTable[[#This Row],['#/Unit]]*FilterSpecs!$C$3+MouserListTable[[#This Row],[Extra]]</f>
        <v>4</v>
      </c>
      <c r="X154" s="152">
        <f>IF(MouserListTable[[#This Row],[Tag]]=FilterSpecs!$F$7,MouserListTable[[#This Row],['#/Unit]]*MouserListTable[[#This Row],[Price (USD)]],0)</f>
        <v>0</v>
      </c>
      <c r="Y154" s="152">
        <f>MouserListTable[[#This Row],[Tot '#]]*MouserListTable[[#This Row],[Price (USD)]]</f>
        <v>31.8</v>
      </c>
      <c r="Z154" s="146"/>
      <c r="AA154" s="153" t="str">
        <f>InitialOrderTable[[#This Row],[SKU]]</f>
        <v>485-1075</v>
      </c>
      <c r="AB154" s="153">
        <f>VALUE(InitialOrderTable[[#This Row],['# Initial]])</f>
        <v>0</v>
      </c>
      <c r="AD154" s="104" t="s">
        <v>2172</v>
      </c>
      <c r="AF154" s="104">
        <v>1</v>
      </c>
      <c r="AK154" s="146" t="e">
        <f ca="1">[1]!nonzeroQtys($AE$13,AD154)</f>
        <v>#NAME?</v>
      </c>
    </row>
    <row r="155" spans="1:37" s="104" customFormat="1" x14ac:dyDescent="0.25">
      <c r="A155" s="97" t="s">
        <v>887</v>
      </c>
      <c r="B155" s="97" t="s">
        <v>11</v>
      </c>
      <c r="C155" s="150" t="s">
        <v>5</v>
      </c>
      <c r="D155" s="151" t="str">
        <f>IF(MouserListTable[[#This Row],[Vendor]]=FilterSpecs!$A$8,MouserListTable[[#This Row],[Mouser SKU]], MouserListTable[[#This Row],[Supplier SKU]])</f>
        <v>474-SEN-09375</v>
      </c>
      <c r="E155" s="152">
        <f>MouserListTable[[#This Row],[Tot '#]]-MouserListTable[[#This Row],['# Initial]]</f>
        <v>0</v>
      </c>
      <c r="F155" s="152">
        <f>IF(AND(MouserListTable[[#This Row],[Tag]]&lt;&gt;FilterSpecs!$F$12, MouserListTable[[#This Row],[Tag]]&lt;&gt;FilterSpecs!$F$9), MouserListTable[[#This Row],['#/Unit]]*FilterSpecs!$B$3+MouserListTable[[#This Row],[Extra Initial]],0)</f>
        <v>0</v>
      </c>
      <c r="G155" s="150" t="s">
        <v>1409</v>
      </c>
      <c r="H155" s="150" t="s">
        <v>1410</v>
      </c>
      <c r="I155" s="150" t="s">
        <v>1411</v>
      </c>
      <c r="J155" s="150">
        <v>1</v>
      </c>
      <c r="K155" s="154">
        <v>6.95</v>
      </c>
      <c r="L155" s="150" t="s">
        <v>1896</v>
      </c>
      <c r="M155" s="153"/>
      <c r="N155" s="154">
        <f>MouserListTable[[#This Row],['# Initial]]*MouserListTable[[#This Row],[Price (USD)]]</f>
        <v>0</v>
      </c>
      <c r="O155" s="151" t="s">
        <v>1408</v>
      </c>
      <c r="P155" s="150">
        <f t="shared" si="3"/>
        <v>142</v>
      </c>
      <c r="Q155" s="150" t="s">
        <v>5</v>
      </c>
      <c r="R15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474-SEN-09375</v>
      </c>
      <c r="S155" s="157" t="str">
        <f>HYPERLINK("https://www.mouser.com/ProductDetail/" &amp;MouserListTable[[#This Row],[Mouser SKU]])</f>
        <v>https://www.mouser.com/ProductDetail/474-SEN-09375</v>
      </c>
      <c r="T155" s="152">
        <v>0</v>
      </c>
      <c r="U155" s="152">
        <v>0</v>
      </c>
      <c r="V155" s="152">
        <v>0</v>
      </c>
      <c r="W155" s="152">
        <f>MouserListTable[[#This Row],['#/Unit]]*FilterSpecs!$C$3+MouserListTable[[#This Row],[Extra]]</f>
        <v>0</v>
      </c>
      <c r="X155" s="152">
        <f>IF(MouserListTable[[#This Row],[Tag]]=FilterSpecs!$F$7,MouserListTable[[#This Row],['#/Unit]]*MouserListTable[[#This Row],[Price (USD)]],0)</f>
        <v>0</v>
      </c>
      <c r="Y155" s="152">
        <f>MouserListTable[[#This Row],[Tot '#]]*MouserListTable[[#This Row],[Price (USD)]]</f>
        <v>0</v>
      </c>
      <c r="Z155" s="146"/>
      <c r="AA155" s="153" t="str">
        <f>InitialOrderTable[[#This Row],[SKU]]</f>
        <v>474-SEN-09375</v>
      </c>
      <c r="AB155" s="153">
        <f>VALUE(InitialOrderTable[[#This Row],['# Initial]])</f>
        <v>0</v>
      </c>
      <c r="AD155" s="104" t="s">
        <v>2174</v>
      </c>
      <c r="AF155" s="104">
        <v>5</v>
      </c>
      <c r="AK155" s="146" t="e">
        <f ca="1">[1]!nonzeroQtys($AE$13,AD155)</f>
        <v>#NAME?</v>
      </c>
    </row>
    <row r="156" spans="1:37" s="104" customFormat="1" x14ac:dyDescent="0.25">
      <c r="A156" s="97" t="s">
        <v>887</v>
      </c>
      <c r="B156" s="97" t="s">
        <v>11</v>
      </c>
      <c r="C156" s="150" t="s">
        <v>5</v>
      </c>
      <c r="D156" s="151" t="str">
        <f>IF(MouserListTable[[#This Row],[Vendor]]=FilterSpecs!$A$8,MouserListTable[[#This Row],[Mouser SKU]], MouserListTable[[#This Row],[Supplier SKU]])</f>
        <v>474-SEN-08606</v>
      </c>
      <c r="E156" s="152">
        <f>MouserListTable[[#This Row],[Tot '#]]-MouserListTable[[#This Row],['# Initial]]</f>
        <v>0</v>
      </c>
      <c r="F156" s="152">
        <f>IF(AND(MouserListTable[[#This Row],[Tag]]&lt;&gt;FilterSpecs!$F$12, MouserListTable[[#This Row],[Tag]]&lt;&gt;FilterSpecs!$F$9), MouserListTable[[#This Row],['#/Unit]]*FilterSpecs!$B$3+MouserListTable[[#This Row],[Extra Initial]],0)</f>
        <v>0</v>
      </c>
      <c r="G156" s="150" t="s">
        <v>1413</v>
      </c>
      <c r="H156" s="150" t="s">
        <v>1414</v>
      </c>
      <c r="I156" s="150" t="s">
        <v>1415</v>
      </c>
      <c r="J156" s="150">
        <v>1</v>
      </c>
      <c r="K156" s="154">
        <v>12.95</v>
      </c>
      <c r="L156" s="150" t="s">
        <v>1896</v>
      </c>
      <c r="M156" s="153"/>
      <c r="N156" s="154">
        <f>MouserListTable[[#This Row],['# Initial]]*MouserListTable[[#This Row],[Price (USD)]]</f>
        <v>0</v>
      </c>
      <c r="O156" s="151" t="s">
        <v>1412</v>
      </c>
      <c r="P156" s="150">
        <f t="shared" si="3"/>
        <v>143</v>
      </c>
      <c r="Q156" s="150" t="s">
        <v>5</v>
      </c>
      <c r="R15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474-SEN-08606</v>
      </c>
      <c r="S156" s="157" t="str">
        <f>HYPERLINK("https://www.mouser.com/ProductDetail/" &amp;MouserListTable[[#This Row],[Mouser SKU]])</f>
        <v>https://www.mouser.com/ProductDetail/474-SEN-08606</v>
      </c>
      <c r="T156" s="152">
        <v>0</v>
      </c>
      <c r="U156" s="152">
        <v>0</v>
      </c>
      <c r="V156" s="152">
        <v>0</v>
      </c>
      <c r="W156" s="152">
        <f>MouserListTable[[#This Row],['#/Unit]]*FilterSpecs!$C$3+MouserListTable[[#This Row],[Extra]]</f>
        <v>0</v>
      </c>
      <c r="X156" s="152">
        <f>IF(MouserListTable[[#This Row],[Tag]]=FilterSpecs!$F$7,MouserListTable[[#This Row],['#/Unit]]*MouserListTable[[#This Row],[Price (USD)]],0)</f>
        <v>0</v>
      </c>
      <c r="Y156" s="152">
        <f>MouserListTable[[#This Row],[Tot '#]]*MouserListTable[[#This Row],[Price (USD)]]</f>
        <v>0</v>
      </c>
      <c r="Z156" s="146"/>
      <c r="AA156" s="153" t="str">
        <f>InitialOrderTable[[#This Row],[SKU]]</f>
        <v>474-SEN-08606</v>
      </c>
      <c r="AB156" s="153">
        <f>VALUE(InitialOrderTable[[#This Row],['# Initial]])</f>
        <v>0</v>
      </c>
      <c r="AD156" s="104" t="s">
        <v>2176</v>
      </c>
      <c r="AF156" s="104">
        <v>5</v>
      </c>
      <c r="AK156" s="146" t="e">
        <f ca="1">[1]!nonzeroQtys($AE$13,AD156)</f>
        <v>#NAME?</v>
      </c>
    </row>
    <row r="157" spans="1:37" s="104" customFormat="1" x14ac:dyDescent="0.25">
      <c r="A157" s="97" t="s">
        <v>887</v>
      </c>
      <c r="B157" s="97" t="s">
        <v>11</v>
      </c>
      <c r="C157" s="150" t="s">
        <v>5</v>
      </c>
      <c r="D157" s="151" t="str">
        <f>IF(MouserListTable[[#This Row],[Vendor]]=FilterSpecs!$A$8,MouserListTable[[#This Row],[Mouser SKU]], MouserListTable[[#This Row],[Supplier SKU]])</f>
        <v>474-SEN-10293</v>
      </c>
      <c r="E157" s="152">
        <f>MouserListTable[[#This Row],[Tot '#]]-MouserListTable[[#This Row],['# Initial]]</f>
        <v>0</v>
      </c>
      <c r="F157" s="152">
        <f>IF(AND(MouserListTable[[#This Row],[Tag]]&lt;&gt;FilterSpecs!$F$12, MouserListTable[[#This Row],[Tag]]&lt;&gt;FilterSpecs!$F$9), MouserListTable[[#This Row],['#/Unit]]*FilterSpecs!$B$3+MouserListTable[[#This Row],[Extra Initial]],0)</f>
        <v>0</v>
      </c>
      <c r="G157" s="150" t="s">
        <v>713</v>
      </c>
      <c r="H157" s="150" t="s">
        <v>714</v>
      </c>
      <c r="I157" s="150" t="s">
        <v>715</v>
      </c>
      <c r="J157" s="150">
        <v>1</v>
      </c>
      <c r="K157" s="154">
        <v>1.5</v>
      </c>
      <c r="L157" s="150" t="s">
        <v>1899</v>
      </c>
      <c r="M157" s="153"/>
      <c r="N157" s="154">
        <f>MouserListTable[[#This Row],['# Initial]]*MouserListTable[[#This Row],[Price (USD)]]</f>
        <v>0</v>
      </c>
      <c r="O157" s="151" t="s">
        <v>712</v>
      </c>
      <c r="P157" s="150">
        <f t="shared" si="3"/>
        <v>144</v>
      </c>
      <c r="Q157" s="150" t="s">
        <v>5</v>
      </c>
      <c r="R15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474-SEN-10293</v>
      </c>
      <c r="S157" s="157" t="str">
        <f>HYPERLINK("https://www.mouser.com/ProductDetail/" &amp;MouserListTable[[#This Row],[Mouser SKU]])</f>
        <v>https://www.mouser.com/ProductDetail/474-SEN-10293</v>
      </c>
      <c r="T157" s="152">
        <v>0</v>
      </c>
      <c r="U157" s="152">
        <v>0</v>
      </c>
      <c r="V157" s="152">
        <v>0</v>
      </c>
      <c r="W157" s="152">
        <f>MouserListTable[[#This Row],['#/Unit]]*FilterSpecs!$C$3+MouserListTable[[#This Row],[Extra]]</f>
        <v>0</v>
      </c>
      <c r="X157" s="152">
        <f>IF(MouserListTable[[#This Row],[Tag]]=FilterSpecs!$F$7,MouserListTable[[#This Row],['#/Unit]]*MouserListTable[[#This Row],[Price (USD)]],0)</f>
        <v>0</v>
      </c>
      <c r="Y157" s="152">
        <f>MouserListTable[[#This Row],[Tot '#]]*MouserListTable[[#This Row],[Price (USD)]]</f>
        <v>0</v>
      </c>
      <c r="Z157" s="146"/>
      <c r="AA157" s="153" t="str">
        <f>InitialOrderTable[[#This Row],[SKU]]</f>
        <v>474-SEN-10293</v>
      </c>
      <c r="AB157" s="153">
        <f>VALUE(InitialOrderTable[[#This Row],['# Initial]])</f>
        <v>0</v>
      </c>
      <c r="AD157" s="104" t="s">
        <v>504</v>
      </c>
      <c r="AF157" s="104">
        <v>10</v>
      </c>
      <c r="AK157" s="146" t="e">
        <f ca="1">[1]!nonzeroQtys($AE$13,AD157)</f>
        <v>#NAME?</v>
      </c>
    </row>
    <row r="158" spans="1:37" s="104" customFormat="1" x14ac:dyDescent="0.25">
      <c r="A158" s="97" t="s">
        <v>887</v>
      </c>
      <c r="B158" s="97" t="s">
        <v>11</v>
      </c>
      <c r="C158" s="150" t="s">
        <v>1884</v>
      </c>
      <c r="D158" s="151" t="str">
        <f>IF(MouserListTable[[#This Row],[Vendor]]=FilterSpecs!$A$8,MouserListTable[[#This Row],[Mouser SKU]], MouserListTable[[#This Row],[Supplier SKU]])</f>
        <v>485-1739</v>
      </c>
      <c r="E158" s="152">
        <f>MouserListTable[[#This Row],[Tot '#]]-MouserListTable[[#This Row],['# Initial]]</f>
        <v>0</v>
      </c>
      <c r="F158" s="152">
        <f>IF(AND(MouserListTable[[#This Row],[Tag]]&lt;&gt;FilterSpecs!$F$12, MouserListTable[[#This Row],[Tag]]&lt;&gt;FilterSpecs!$F$9), MouserListTable[[#This Row],['#/Unit]]*FilterSpecs!$B$3+MouserListTable[[#This Row],[Extra Initial]],0)</f>
        <v>0</v>
      </c>
      <c r="G158" s="150"/>
      <c r="H158" s="150"/>
      <c r="I158" s="150" t="s">
        <v>2309</v>
      </c>
      <c r="J158" s="150"/>
      <c r="K158" s="154">
        <v>0.95</v>
      </c>
      <c r="L158" s="150" t="s">
        <v>1896</v>
      </c>
      <c r="M158" s="153"/>
      <c r="N158" s="154">
        <f>MouserListTable[[#This Row],['# Initial]]*MouserListTable[[#This Row],[Price (USD)]]</f>
        <v>0</v>
      </c>
      <c r="O158" s="151" t="s">
        <v>2308</v>
      </c>
      <c r="P158" s="150">
        <f t="shared" si="3"/>
        <v>145</v>
      </c>
      <c r="Q158" s="150" t="s">
        <v>1884</v>
      </c>
      <c r="R15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485-1739</v>
      </c>
      <c r="S158" s="157" t="str">
        <f>HYPERLINK("https://www.mouser.com/ProductDetail/" &amp;MouserListTable[[#This Row],[Mouser SKU]])</f>
        <v>https://www.mouser.com/ProductDetail/485-1739</v>
      </c>
      <c r="T158" s="152">
        <v>0</v>
      </c>
      <c r="U158" s="152">
        <v>0</v>
      </c>
      <c r="V158" s="152">
        <v>0</v>
      </c>
      <c r="W158" s="152">
        <f>MouserListTable[[#This Row],['#/Unit]]*FilterSpecs!$C$3+MouserListTable[[#This Row],[Extra]]</f>
        <v>0</v>
      </c>
      <c r="X158" s="152">
        <f>IF(MouserListTable[[#This Row],[Tag]]=FilterSpecs!$F$7,MouserListTable[[#This Row],['#/Unit]]*MouserListTable[[#This Row],[Price (USD)]],0)</f>
        <v>0</v>
      </c>
      <c r="Y158" s="152">
        <f>MouserListTable[[#This Row],[Tot '#]]*MouserListTable[[#This Row],[Price (USD)]]</f>
        <v>0</v>
      </c>
      <c r="Z158" s="146"/>
      <c r="AA158" s="153" t="str">
        <f>InitialOrderTable[[#This Row],[SKU]]</f>
        <v>485-1739</v>
      </c>
      <c r="AB158" s="153">
        <f>VALUE(InitialOrderTable[[#This Row],['# Initial]])</f>
        <v>0</v>
      </c>
      <c r="AD158" s="104" t="s">
        <v>1340</v>
      </c>
      <c r="AF158" s="104">
        <v>5</v>
      </c>
      <c r="AK158" s="146" t="e">
        <f ca="1">[1]!nonzeroQtys($AE$13,AD158)</f>
        <v>#NAME?</v>
      </c>
    </row>
    <row r="159" spans="1:37" s="104" customFormat="1" x14ac:dyDescent="0.25">
      <c r="A159" s="150" t="s">
        <v>887</v>
      </c>
      <c r="B159" s="150" t="s">
        <v>11</v>
      </c>
      <c r="C159" s="150" t="s">
        <v>5</v>
      </c>
      <c r="D159" s="151" t="str">
        <f>IF(MouserListTable[[#This Row],[Vendor]]=FilterSpecs!$A$8,MouserListTable[[#This Row],[Mouser SKU]], MouserListTable[[#This Row],[Supplier SKU]])</f>
        <v>474-SEN-10289</v>
      </c>
      <c r="E159" s="152">
        <f>MouserListTable[[#This Row],[Tot '#]]-MouserListTable[[#This Row],['# Initial]]</f>
        <v>0</v>
      </c>
      <c r="F159" s="152">
        <f>IF(AND(MouserListTable[[#This Row],[Tag]]&lt;&gt;FilterSpecs!$F$12, MouserListTable[[#This Row],[Tag]]&lt;&gt;FilterSpecs!$F$9), MouserListTable[[#This Row],['#/Unit]]*FilterSpecs!$B$3+MouserListTable[[#This Row],[Extra Initial]],0)</f>
        <v>5</v>
      </c>
      <c r="G159" s="150" t="s">
        <v>283</v>
      </c>
      <c r="H159" s="150" t="s">
        <v>284</v>
      </c>
      <c r="I159" s="150" t="s">
        <v>285</v>
      </c>
      <c r="J159" s="150">
        <v>1</v>
      </c>
      <c r="K159" s="154">
        <v>1.95</v>
      </c>
      <c r="L159" s="150" t="s">
        <v>1897</v>
      </c>
      <c r="M159" s="151"/>
      <c r="N159" s="154">
        <f>MouserListTable[[#This Row],['# Initial]]*MouserListTable[[#This Row],[Price (USD)]]</f>
        <v>9.75</v>
      </c>
      <c r="O159" s="151" t="s">
        <v>282</v>
      </c>
      <c r="P159" s="150">
        <f t="shared" si="3"/>
        <v>146</v>
      </c>
      <c r="Q159" s="150" t="s">
        <v>5</v>
      </c>
      <c r="R15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474-SEN-10289</v>
      </c>
      <c r="S159" s="157" t="str">
        <f>HYPERLINK("https://www.mouser.com/ProductDetail/" &amp;MouserListTable[[#This Row],[Mouser SKU]])</f>
        <v>https://www.mouser.com/ProductDetail/474-SEN-10289</v>
      </c>
      <c r="T159" s="152">
        <v>1</v>
      </c>
      <c r="U159" s="152">
        <v>0</v>
      </c>
      <c r="V159" s="152">
        <v>0</v>
      </c>
      <c r="W159" s="152">
        <f>MouserListTable[[#This Row],['#/Unit]]*FilterSpecs!$C$3+MouserListTable[[#This Row],[Extra]]</f>
        <v>5</v>
      </c>
      <c r="X159" s="152">
        <f>IF(MouserListTable[[#This Row],[Tag]]=FilterSpecs!$F$7,MouserListTable[[#This Row],['#/Unit]]*MouserListTable[[#This Row],[Price (USD)]],0)</f>
        <v>1.95</v>
      </c>
      <c r="Y159" s="152">
        <f>MouserListTable[[#This Row],[Tot '#]]*MouserListTable[[#This Row],[Price (USD)]]</f>
        <v>9.75</v>
      </c>
      <c r="Z159" s="146"/>
      <c r="AA159" s="153" t="str">
        <f>InitialOrderTable[[#This Row],[SKU]]</f>
        <v>474-SEN-10289</v>
      </c>
      <c r="AB159" s="153">
        <f>VALUE(InitialOrderTable[[#This Row],['# Initial]])</f>
        <v>5</v>
      </c>
      <c r="AD159" s="104" t="s">
        <v>478</v>
      </c>
      <c r="AF159" s="104">
        <v>10</v>
      </c>
      <c r="AK159" s="146" t="e">
        <f ca="1">[1]!nonzeroQtys($AE$13,AD159)</f>
        <v>#NAME?</v>
      </c>
    </row>
    <row r="160" spans="1:37" s="104" customFormat="1" x14ac:dyDescent="0.25">
      <c r="A160" s="97" t="s">
        <v>887</v>
      </c>
      <c r="B160" s="97" t="s">
        <v>11</v>
      </c>
      <c r="C160" s="150" t="s">
        <v>1884</v>
      </c>
      <c r="D160" s="151" t="str">
        <f>IF(MouserListTable[[#This Row],[Vendor]]=FilterSpecs!$A$8,MouserListTable[[#This Row],[Mouser SKU]], MouserListTable[[#This Row],[Supplier SKU]])</f>
        <v>485-1917</v>
      </c>
      <c r="E160" s="152">
        <f>MouserListTable[[#This Row],[Tot '#]]-MouserListTable[[#This Row],['# Initial]]</f>
        <v>0</v>
      </c>
      <c r="F160" s="152">
        <f>IF(AND(MouserListTable[[#This Row],[Tag]]&lt;&gt;FilterSpecs!$F$12, MouserListTable[[#This Row],[Tag]]&lt;&gt;FilterSpecs!$F$9), MouserListTable[[#This Row],['#/Unit]]*FilterSpecs!$B$3+MouserListTable[[#This Row],[Extra Initial]],0)</f>
        <v>0</v>
      </c>
      <c r="G160" s="150"/>
      <c r="H160" s="150"/>
      <c r="I160" s="150" t="s">
        <v>2305</v>
      </c>
      <c r="J160" s="150"/>
      <c r="K160" s="154">
        <v>18</v>
      </c>
      <c r="L160" s="150" t="s">
        <v>1896</v>
      </c>
      <c r="M160" s="153"/>
      <c r="N160" s="154">
        <f>MouserListTable[[#This Row],['# Initial]]*MouserListTable[[#This Row],[Price (USD)]]</f>
        <v>0</v>
      </c>
      <c r="O160" s="151" t="s">
        <v>2304</v>
      </c>
      <c r="P160" s="150">
        <f t="shared" si="3"/>
        <v>147</v>
      </c>
      <c r="Q160" s="150" t="s">
        <v>1884</v>
      </c>
      <c r="R16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485-1917</v>
      </c>
      <c r="S160" s="157" t="str">
        <f>HYPERLINK("https://www.mouser.com/ProductDetail/" &amp;MouserListTable[[#This Row],[Mouser SKU]])</f>
        <v>https://www.mouser.com/ProductDetail/485-1917</v>
      </c>
      <c r="T160" s="152">
        <v>0</v>
      </c>
      <c r="U160" s="152">
        <v>0</v>
      </c>
      <c r="V160" s="152">
        <v>0</v>
      </c>
      <c r="W160" s="152">
        <f>MouserListTable[[#This Row],['#/Unit]]*FilterSpecs!$C$3+MouserListTable[[#This Row],[Extra]]</f>
        <v>0</v>
      </c>
      <c r="X160" s="152">
        <f>IF(MouserListTable[[#This Row],[Tag]]=FilterSpecs!$F$7,MouserListTable[[#This Row],['#/Unit]]*MouserListTable[[#This Row],[Price (USD)]],0)</f>
        <v>0</v>
      </c>
      <c r="Y160" s="152">
        <f>MouserListTable[[#This Row],[Tot '#]]*MouserListTable[[#This Row],[Price (USD)]]</f>
        <v>0</v>
      </c>
      <c r="Z160" s="146"/>
      <c r="AA160" s="153" t="str">
        <f>InitialOrderTable[[#This Row],[SKU]]</f>
        <v>485-1917</v>
      </c>
      <c r="AB160" s="153">
        <f>VALUE(InitialOrderTable[[#This Row],['# Initial]])</f>
        <v>0</v>
      </c>
      <c r="AD160" s="104" t="s">
        <v>2184</v>
      </c>
      <c r="AF160" s="104">
        <v>5</v>
      </c>
      <c r="AK160" s="146" t="e">
        <f ca="1">[1]!nonzeroQtys($AE$13,AD160)</f>
        <v>#NAME?</v>
      </c>
    </row>
    <row r="161" spans="1:37" s="104" customFormat="1" x14ac:dyDescent="0.25">
      <c r="A161" s="97" t="s">
        <v>887</v>
      </c>
      <c r="B161" s="97" t="s">
        <v>11</v>
      </c>
      <c r="C161" s="150" t="s">
        <v>1884</v>
      </c>
      <c r="D161" s="151" t="str">
        <f>IF(MouserListTable[[#This Row],[Vendor]]=FilterSpecs!$A$8,MouserListTable[[#This Row],[Mouser SKU]], MouserListTable[[#This Row],[Supplier SKU]])</f>
        <v>485-1361</v>
      </c>
      <c r="E161" s="152">
        <f>MouserListTable[[#This Row],[Tot '#]]-MouserListTable[[#This Row],['# Initial]]</f>
        <v>0</v>
      </c>
      <c r="F161" s="152">
        <f>IF(AND(MouserListTable[[#This Row],[Tag]]&lt;&gt;FilterSpecs!$F$12, MouserListTable[[#This Row],[Tag]]&lt;&gt;FilterSpecs!$F$9), MouserListTable[[#This Row],['#/Unit]]*FilterSpecs!$B$3+MouserListTable[[#This Row],[Extra Initial]],0)</f>
        <v>1</v>
      </c>
      <c r="G161" s="150"/>
      <c r="H161" s="150"/>
      <c r="I161" s="150" t="s">
        <v>2311</v>
      </c>
      <c r="J161" s="150"/>
      <c r="K161" s="154">
        <v>3.95</v>
      </c>
      <c r="L161" s="150" t="s">
        <v>1896</v>
      </c>
      <c r="M161" s="151"/>
      <c r="N161" s="154">
        <f>MouserListTable[[#This Row],['# Initial]]*MouserListTable[[#This Row],[Price (USD)]]</f>
        <v>3.95</v>
      </c>
      <c r="O161" s="151" t="s">
        <v>2310</v>
      </c>
      <c r="P161" s="150">
        <f t="shared" si="3"/>
        <v>148</v>
      </c>
      <c r="Q161" s="150" t="s">
        <v>1884</v>
      </c>
      <c r="R16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485-1361</v>
      </c>
      <c r="S161" s="157" t="str">
        <f>HYPERLINK("https://www.mouser.com/ProductDetail/" &amp;MouserListTable[[#This Row],[Mouser SKU]])</f>
        <v>https://www.mouser.com/ProductDetail/485-1361</v>
      </c>
      <c r="T161" s="152">
        <v>0</v>
      </c>
      <c r="U161" s="152">
        <v>1</v>
      </c>
      <c r="V161" s="152">
        <v>1</v>
      </c>
      <c r="W161" s="152">
        <f>MouserListTable[[#This Row],['#/Unit]]*FilterSpecs!$C$3+MouserListTable[[#This Row],[Extra]]</f>
        <v>1</v>
      </c>
      <c r="X161" s="152">
        <f>IF(MouserListTable[[#This Row],[Tag]]=FilterSpecs!$F$7,MouserListTable[[#This Row],['#/Unit]]*MouserListTable[[#This Row],[Price (USD)]],0)</f>
        <v>0</v>
      </c>
      <c r="Y161" s="152">
        <f>MouserListTable[[#This Row],[Tot '#]]*MouserListTable[[#This Row],[Price (USD)]]</f>
        <v>3.95</v>
      </c>
      <c r="Z161" s="146"/>
      <c r="AA161" s="153" t="str">
        <f>InitialOrderTable[[#This Row],[SKU]]</f>
        <v>485-1361</v>
      </c>
      <c r="AB161" s="153">
        <f>VALUE(InitialOrderTable[[#This Row],['# Initial]])</f>
        <v>1</v>
      </c>
      <c r="AD161" s="104" t="s">
        <v>1805</v>
      </c>
      <c r="AF161" s="104">
        <v>5</v>
      </c>
      <c r="AK161" s="146" t="e">
        <f ca="1">[1]!nonzeroQtys($AE$13,AD161)</f>
        <v>#NAME?</v>
      </c>
    </row>
    <row r="162" spans="1:37" s="104" customFormat="1" x14ac:dyDescent="0.25">
      <c r="A162" s="97" t="s">
        <v>887</v>
      </c>
      <c r="B162" s="97" t="s">
        <v>11</v>
      </c>
      <c r="C162" s="150" t="s">
        <v>5</v>
      </c>
      <c r="D162" s="151" t="str">
        <f>IF(MouserListTable[[#This Row],[Vendor]]=FilterSpecs!$A$8,MouserListTable[[#This Row],[Mouser SKU]], MouserListTable[[#This Row],[Supplier SKU]])</f>
        <v>474-COM-14111</v>
      </c>
      <c r="E162" s="152">
        <f>MouserListTable[[#This Row],[Tot '#]]-MouserListTable[[#This Row],['# Initial]]</f>
        <v>0</v>
      </c>
      <c r="F162" s="152">
        <f>IF(AND(MouserListTable[[#This Row],[Tag]]&lt;&gt;FilterSpecs!$F$12, MouserListTable[[#This Row],[Tag]]&lt;&gt;FilterSpecs!$F$9), MouserListTable[[#This Row],['#/Unit]]*FilterSpecs!$B$3+MouserListTable[[#This Row],[Extra Initial]],0)</f>
        <v>2</v>
      </c>
      <c r="G162" s="150" t="s">
        <v>107</v>
      </c>
      <c r="H162" s="150" t="s">
        <v>108</v>
      </c>
      <c r="I162" s="150" t="s">
        <v>109</v>
      </c>
      <c r="J162" s="150">
        <v>1</v>
      </c>
      <c r="K162" s="154">
        <v>25</v>
      </c>
      <c r="L162" s="150" t="s">
        <v>1896</v>
      </c>
      <c r="M162" s="151"/>
      <c r="N162" s="154">
        <f>MouserListTable[[#This Row],['# Initial]]*MouserListTable[[#This Row],[Price (USD)]]</f>
        <v>50</v>
      </c>
      <c r="O162" s="151" t="s">
        <v>106</v>
      </c>
      <c r="P162" s="150">
        <f t="shared" si="3"/>
        <v>149</v>
      </c>
      <c r="Q162" s="150" t="s">
        <v>5</v>
      </c>
      <c r="R16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474-COM-14111</v>
      </c>
      <c r="S162" s="157" t="str">
        <f>HYPERLINK("https://www.mouser.com/ProductDetail/" &amp;MouserListTable[[#This Row],[Mouser SKU]])</f>
        <v>https://www.mouser.com/ProductDetail/474-COM-14111</v>
      </c>
      <c r="T162" s="152">
        <v>0</v>
      </c>
      <c r="U162" s="152">
        <v>2</v>
      </c>
      <c r="V162" s="152">
        <v>2</v>
      </c>
      <c r="W162" s="152">
        <f>MouserListTable[[#This Row],['#/Unit]]*FilterSpecs!$C$3+MouserListTable[[#This Row],[Extra]]</f>
        <v>2</v>
      </c>
      <c r="X162" s="152">
        <f>IF(MouserListTable[[#This Row],[Tag]]=FilterSpecs!$F$7,MouserListTable[[#This Row],['#/Unit]]*MouserListTable[[#This Row],[Price (USD)]],0)</f>
        <v>0</v>
      </c>
      <c r="Y162" s="152">
        <f>MouserListTable[[#This Row],[Tot '#]]*MouserListTable[[#This Row],[Price (USD)]]</f>
        <v>50</v>
      </c>
      <c r="Z162" s="146"/>
      <c r="AA162" s="153" t="str">
        <f>InitialOrderTable[[#This Row],[SKU]]</f>
        <v>474-COM-14111</v>
      </c>
      <c r="AB162" s="153">
        <f>VALUE(InitialOrderTable[[#This Row],['# Initial]])</f>
        <v>2</v>
      </c>
      <c r="AD162" s="104" t="s">
        <v>512</v>
      </c>
      <c r="AF162" s="104">
        <v>5</v>
      </c>
      <c r="AK162" s="146" t="e">
        <f ca="1">[1]!nonzeroQtys($AE$13,AD162)</f>
        <v>#NAME?</v>
      </c>
    </row>
    <row r="163" spans="1:37" s="104" customFormat="1" x14ac:dyDescent="0.25">
      <c r="A163" s="97" t="s">
        <v>887</v>
      </c>
      <c r="B163" s="97" t="s">
        <v>11</v>
      </c>
      <c r="C163" s="150" t="s">
        <v>1884</v>
      </c>
      <c r="D163" s="151" t="str">
        <f>IF(MouserListTable[[#This Row],[Vendor]]=FilterSpecs!$A$8,MouserListTable[[#This Row],[Mouser SKU]], MouserListTable[[#This Row],[Supplier SKU]])</f>
        <v>485-1168</v>
      </c>
      <c r="E163" s="152">
        <f>MouserListTable[[#This Row],[Tot '#]]-MouserListTable[[#This Row],['# Initial]]</f>
        <v>0</v>
      </c>
      <c r="F163" s="152">
        <f>IF(AND(MouserListTable[[#This Row],[Tag]]&lt;&gt;FilterSpecs!$F$12, MouserListTable[[#This Row],[Tag]]&lt;&gt;FilterSpecs!$F$9), MouserListTable[[#This Row],['#/Unit]]*FilterSpecs!$B$3+MouserListTable[[#This Row],[Extra Initial]],0)</f>
        <v>1</v>
      </c>
      <c r="G163" s="150"/>
      <c r="H163" s="150"/>
      <c r="I163" s="150" t="s">
        <v>2315</v>
      </c>
      <c r="J163" s="150"/>
      <c r="K163" s="154">
        <v>4.95</v>
      </c>
      <c r="L163" s="150" t="s">
        <v>1896</v>
      </c>
      <c r="M163" s="151"/>
      <c r="N163" s="154">
        <f>MouserListTable[[#This Row],['# Initial]]*MouserListTable[[#This Row],[Price (USD)]]</f>
        <v>4.95</v>
      </c>
      <c r="O163" s="151" t="s">
        <v>2314</v>
      </c>
      <c r="P163" s="150">
        <f t="shared" si="3"/>
        <v>150</v>
      </c>
      <c r="Q163" s="150" t="s">
        <v>1884</v>
      </c>
      <c r="R16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485-1168</v>
      </c>
      <c r="S163" s="157" t="str">
        <f>HYPERLINK("https://www.mouser.com/ProductDetail/" &amp;MouserListTable[[#This Row],[Mouser SKU]])</f>
        <v>https://www.mouser.com/ProductDetail/485-1168</v>
      </c>
      <c r="T163" s="152">
        <v>0</v>
      </c>
      <c r="U163" s="152">
        <v>1</v>
      </c>
      <c r="V163" s="152">
        <v>1</v>
      </c>
      <c r="W163" s="152">
        <f>MouserListTable[[#This Row],['#/Unit]]*FilterSpecs!$C$3+MouserListTable[[#This Row],[Extra]]</f>
        <v>1</v>
      </c>
      <c r="X163" s="152">
        <f>IF(MouserListTable[[#This Row],[Tag]]=FilterSpecs!$F$7,MouserListTable[[#This Row],['#/Unit]]*MouserListTable[[#This Row],[Price (USD)]],0)</f>
        <v>0</v>
      </c>
      <c r="Y163" s="152">
        <f>MouserListTable[[#This Row],[Tot '#]]*MouserListTable[[#This Row],[Price (USD)]]</f>
        <v>4.95</v>
      </c>
      <c r="Z163" s="146"/>
      <c r="AA163" s="153" t="str">
        <f>InitialOrderTable[[#This Row],[SKU]]</f>
        <v>485-1168</v>
      </c>
      <c r="AB163" s="153">
        <f>VALUE(InitialOrderTable[[#This Row],['# Initial]])</f>
        <v>1</v>
      </c>
      <c r="AD163" s="104" t="s">
        <v>1741</v>
      </c>
      <c r="AF163" s="104">
        <v>10</v>
      </c>
      <c r="AK163" s="146" t="e">
        <f ca="1">[1]!nonzeroQtys($AE$13,AD163)</f>
        <v>#NAME?</v>
      </c>
    </row>
    <row r="164" spans="1:37" s="104" customFormat="1" x14ac:dyDescent="0.25">
      <c r="A164" s="97" t="s">
        <v>887</v>
      </c>
      <c r="B164" s="97" t="s">
        <v>11</v>
      </c>
      <c r="C164" s="150" t="s">
        <v>5</v>
      </c>
      <c r="D164" s="151" t="str">
        <f>IF(MouserListTable[[#This Row],[Vendor]]=FilterSpecs!$A$8,MouserListTable[[#This Row],[Mouser SKU]], MouserListTable[[#This Row],[Supplier SKU]])</f>
        <v>474-SEN-12041</v>
      </c>
      <c r="E164" s="152">
        <f>MouserListTable[[#This Row],[Tot '#]]-MouserListTable[[#This Row],['# Initial]]</f>
        <v>0</v>
      </c>
      <c r="F164" s="152">
        <f>IF(AND(MouserListTable[[#This Row],[Tag]]&lt;&gt;FilterSpecs!$F$12, MouserListTable[[#This Row],[Tag]]&lt;&gt;FilterSpecs!$F$9), MouserListTable[[#This Row],['#/Unit]]*FilterSpecs!$B$3+MouserListTable[[#This Row],[Extra Initial]],0)</f>
        <v>0</v>
      </c>
      <c r="G164" s="150" t="s">
        <v>1205</v>
      </c>
      <c r="H164" s="150" t="s">
        <v>1206</v>
      </c>
      <c r="I164" s="150" t="s">
        <v>1207</v>
      </c>
      <c r="J164" s="147">
        <v>5.95</v>
      </c>
      <c r="K164" s="150">
        <v>5.95</v>
      </c>
      <c r="L164" s="150" t="s">
        <v>1896</v>
      </c>
      <c r="M164" s="150"/>
      <c r="N164" s="154">
        <f>MouserListTable[[#This Row],['# Initial]]*MouserListTable[[#This Row],[Price (USD)]]</f>
        <v>0</v>
      </c>
      <c r="O164" s="150" t="s">
        <v>1204</v>
      </c>
      <c r="P164" s="150">
        <f t="shared" si="3"/>
        <v>151</v>
      </c>
      <c r="Q164" s="150" t="s">
        <v>5</v>
      </c>
      <c r="R16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474-SEN-12041</v>
      </c>
      <c r="S164" s="157" t="str">
        <f>HYPERLINK("https://www.mouser.com/ProductDetail/" &amp;MouserListTable[[#This Row],[Mouser SKU]])</f>
        <v>https://www.mouser.com/ProductDetail/474-SEN-12041</v>
      </c>
      <c r="T164" s="146"/>
      <c r="U164" s="146"/>
      <c r="V164" s="146"/>
      <c r="W164" s="146"/>
      <c r="X164" s="146"/>
      <c r="Y164" s="146"/>
      <c r="Z164" s="146"/>
      <c r="AA164" s="153" t="str">
        <f>InitialOrderTable[[#This Row],[SKU]]</f>
        <v>474-SEN-12041</v>
      </c>
      <c r="AB164" s="153">
        <f>VALUE(InitialOrderTable[[#This Row],['# Initial]])</f>
        <v>0</v>
      </c>
      <c r="AD164" s="104" t="s">
        <v>1753</v>
      </c>
      <c r="AF164" s="104">
        <v>10</v>
      </c>
      <c r="AK164" s="146" t="e">
        <f ca="1">[1]!nonzeroQtys($AE$13,AD164)</f>
        <v>#NAME?</v>
      </c>
    </row>
    <row r="165" spans="1:37" s="153" customFormat="1" x14ac:dyDescent="0.25">
      <c r="A165" s="97" t="s">
        <v>887</v>
      </c>
      <c r="B165" s="97" t="s">
        <v>11</v>
      </c>
      <c r="C165" s="150" t="s">
        <v>5</v>
      </c>
      <c r="D165" s="151" t="str">
        <f>IF(MouserListTable[[#This Row],[Vendor]]=FilterSpecs!$A$8,MouserListTable[[#This Row],[Mouser SKU]], MouserListTable[[#This Row],[Supplier SKU]])</f>
        <v>474-PRT-13144</v>
      </c>
      <c r="E165" s="152">
        <f>MouserListTable[[#This Row],[Tot '#]]-MouserListTable[[#This Row],['# Initial]]</f>
        <v>0</v>
      </c>
      <c r="F165" s="152">
        <f>IF(AND(MouserListTable[[#This Row],[Tag]]&lt;&gt;FilterSpecs!$F$12, MouserListTable[[#This Row],[Tag]]&lt;&gt;FilterSpecs!$F$9), MouserListTable[[#This Row],['#/Unit]]*FilterSpecs!$B$3+MouserListTable[[#This Row],[Extra Initial]],0)</f>
        <v>0</v>
      </c>
      <c r="G165" s="150" t="s">
        <v>1209</v>
      </c>
      <c r="H165" s="150" t="s">
        <v>1210</v>
      </c>
      <c r="I165" s="150" t="s">
        <v>1211</v>
      </c>
      <c r="J165" s="147">
        <v>14.95</v>
      </c>
      <c r="K165" s="150">
        <v>14.95</v>
      </c>
      <c r="L165" s="150" t="s">
        <v>1896</v>
      </c>
      <c r="M165" s="150"/>
      <c r="N165" s="154">
        <f>MouserListTable[[#This Row],['# Initial]]*MouserListTable[[#This Row],[Price (USD)]]</f>
        <v>0</v>
      </c>
      <c r="O165" s="150" t="s">
        <v>1208</v>
      </c>
      <c r="P165" s="150">
        <f t="shared" si="3"/>
        <v>152</v>
      </c>
      <c r="Q165" s="150" t="s">
        <v>5</v>
      </c>
      <c r="R16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474-PRT-13144</v>
      </c>
      <c r="S165" s="157" t="str">
        <f>HYPERLINK("https://www.mouser.com/ProductDetail/" &amp;MouserListTable[[#This Row],[Mouser SKU]])</f>
        <v>https://www.mouser.com/ProductDetail/474-PRT-13144</v>
      </c>
      <c r="T165" s="146"/>
      <c r="U165" s="146"/>
      <c r="V165" s="146"/>
      <c r="W165" s="146"/>
      <c r="X165" s="146"/>
      <c r="Y165" s="146"/>
      <c r="Z165" s="146"/>
      <c r="AA165" s="153" t="str">
        <f>InitialOrderTable[[#This Row],[SKU]]</f>
        <v>474-PRT-13144</v>
      </c>
      <c r="AB165" s="153">
        <f>VALUE(InitialOrderTable[[#This Row],['# Initial]])</f>
        <v>0</v>
      </c>
      <c r="AD165" s="153" t="s">
        <v>364</v>
      </c>
      <c r="AF165" s="153">
        <v>1</v>
      </c>
      <c r="AK165" s="146" t="e">
        <f ca="1">[1]!nonzeroQtys($AE$13,AD165)</f>
        <v>#NAME?</v>
      </c>
    </row>
    <row r="166" spans="1:37" s="153" customFormat="1" x14ac:dyDescent="0.25">
      <c r="A166" s="97" t="s">
        <v>887</v>
      </c>
      <c r="B166" s="97" t="s">
        <v>11</v>
      </c>
      <c r="C166" s="150" t="s">
        <v>5</v>
      </c>
      <c r="D166" s="151" t="str">
        <f>IF(MouserListTable[[#This Row],[Vendor]]=FilterSpecs!$A$8,MouserListTable[[#This Row],[Mouser SKU]], MouserListTable[[#This Row],[Supplier SKU]])</f>
        <v>474-DEV-13298</v>
      </c>
      <c r="E166" s="152">
        <f>MouserListTable[[#This Row],[Tot '#]]-MouserListTable[[#This Row],['# Initial]]</f>
        <v>0</v>
      </c>
      <c r="F166" s="152">
        <f>IF(AND(MouserListTable[[#This Row],[Tag]]&lt;&gt;FilterSpecs!$F$12, MouserListTable[[#This Row],[Tag]]&lt;&gt;FilterSpecs!$F$9), MouserListTable[[#This Row],['#/Unit]]*FilterSpecs!$B$3+MouserListTable[[#This Row],[Extra Initial]],0)</f>
        <v>0</v>
      </c>
      <c r="G166" s="150" t="s">
        <v>1213</v>
      </c>
      <c r="H166" s="150" t="s">
        <v>1214</v>
      </c>
      <c r="I166" s="150" t="s">
        <v>1215</v>
      </c>
      <c r="J166" s="147">
        <v>89.95</v>
      </c>
      <c r="K166" s="150">
        <v>89.95</v>
      </c>
      <c r="L166" s="150" t="s">
        <v>1896</v>
      </c>
      <c r="M166" s="150"/>
      <c r="N166" s="154">
        <f>MouserListTable[[#This Row],['# Initial]]*MouserListTable[[#This Row],[Price (USD)]]</f>
        <v>0</v>
      </c>
      <c r="O166" s="150" t="s">
        <v>1212</v>
      </c>
      <c r="P166" s="150">
        <f t="shared" si="3"/>
        <v>153</v>
      </c>
      <c r="Q166" s="150" t="s">
        <v>5</v>
      </c>
      <c r="R16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474-DEV-13298</v>
      </c>
      <c r="S166" s="157" t="str">
        <f>HYPERLINK("https://www.mouser.com/ProductDetail/" &amp;MouserListTable[[#This Row],[Mouser SKU]])</f>
        <v>https://www.mouser.com/ProductDetail/474-DEV-13298</v>
      </c>
      <c r="T166" s="146"/>
      <c r="U166" s="146"/>
      <c r="V166" s="146"/>
      <c r="W166" s="146"/>
      <c r="X166" s="146"/>
      <c r="Y166" s="146"/>
      <c r="Z166" s="146"/>
      <c r="AA166" s="153" t="str">
        <f>InitialOrderTable[[#This Row],[SKU]]</f>
        <v>474-DEV-13298</v>
      </c>
      <c r="AB166" s="153">
        <f>VALUE(InitialOrderTable[[#This Row],['# Initial]])</f>
        <v>0</v>
      </c>
      <c r="AD166" s="153" t="s">
        <v>430</v>
      </c>
      <c r="AF166" s="153">
        <v>5</v>
      </c>
      <c r="AK166" s="146" t="e">
        <f ca="1">[1]!nonzeroQtys($AE$13,AD166)</f>
        <v>#NAME?</v>
      </c>
    </row>
    <row r="167" spans="1:37" s="153" customFormat="1" x14ac:dyDescent="0.25">
      <c r="A167" s="150" t="s">
        <v>887</v>
      </c>
      <c r="B167" s="150" t="s">
        <v>2008</v>
      </c>
      <c r="C167" s="150" t="s">
        <v>5</v>
      </c>
      <c r="D167" s="151" t="str">
        <f>IF(MouserListTable[[#This Row],[Vendor]]=FilterSpecs!$A$8,MouserListTable[[#This Row],[Mouser SKU]], MouserListTable[[#This Row],[Supplier SKU]])</f>
        <v>474-DEV-13293</v>
      </c>
      <c r="E167" s="152">
        <f>MouserListTable[[#This Row],[Tot '#]]-MouserListTable[[#This Row],['# Initial]]</f>
        <v>0</v>
      </c>
      <c r="F167" s="152">
        <f>IF(AND(MouserListTable[[#This Row],[Tag]]&lt;&gt;FilterSpecs!$F$12, MouserListTable[[#This Row],[Tag]]&lt;&gt;FilterSpecs!$F$9), MouserListTable[[#This Row],['#/Unit]]*FilterSpecs!$B$3+MouserListTable[[#This Row],[Extra Initial]],0)</f>
        <v>0</v>
      </c>
      <c r="G167" s="150" t="s">
        <v>111</v>
      </c>
      <c r="H167" s="150" t="s">
        <v>112</v>
      </c>
      <c r="I167" s="150" t="s">
        <v>113</v>
      </c>
      <c r="J167" s="150">
        <v>1</v>
      </c>
      <c r="K167" s="154">
        <v>12.95</v>
      </c>
      <c r="L167" s="150" t="s">
        <v>2461</v>
      </c>
      <c r="M167" s="151"/>
      <c r="N167" s="154">
        <f>MouserListTable[[#This Row],['# Initial]]*MouserListTable[[#This Row],[Price (USD)]]</f>
        <v>0</v>
      </c>
      <c r="O167" s="151" t="s">
        <v>110</v>
      </c>
      <c r="P167" s="150">
        <f t="shared" si="3"/>
        <v>154</v>
      </c>
      <c r="Q167" s="150" t="s">
        <v>5</v>
      </c>
      <c r="R16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474-DEV-13293</v>
      </c>
      <c r="S167" s="157" t="str">
        <f>HYPERLINK("https://www.mouser.com/ProductDetail/" &amp;MouserListTable[[#This Row],[Mouser SKU]])</f>
        <v>https://www.mouser.com/ProductDetail/474-DEV-13293</v>
      </c>
      <c r="T167" s="152">
        <v>0</v>
      </c>
      <c r="U167" s="152">
        <v>0</v>
      </c>
      <c r="V167" s="152">
        <v>0</v>
      </c>
      <c r="W167" s="152">
        <f>MouserListTable[[#This Row],['#/Unit]]*FilterSpecs!$C$3+MouserListTable[[#This Row],[Extra]]</f>
        <v>0</v>
      </c>
      <c r="X167" s="152">
        <f>IF(MouserListTable[[#This Row],[Tag]]=FilterSpecs!$F$7,MouserListTable[[#This Row],['#/Unit]]*MouserListTable[[#This Row],[Price (USD)]],0)</f>
        <v>0</v>
      </c>
      <c r="Y167" s="152">
        <f>MouserListTable[[#This Row],[Tot '#]]*MouserListTable[[#This Row],[Price (USD)]]</f>
        <v>0</v>
      </c>
      <c r="Z167" s="146"/>
      <c r="AA167" s="153" t="str">
        <f>InitialOrderTable[[#This Row],[SKU]]</f>
        <v>474-DEV-13293</v>
      </c>
      <c r="AB167" s="153">
        <f>VALUE(InitialOrderTable[[#This Row],['# Initial]])</f>
        <v>0</v>
      </c>
      <c r="AD167" s="153" t="s">
        <v>434</v>
      </c>
      <c r="AF167" s="153">
        <v>5</v>
      </c>
      <c r="AK167" s="146" t="e">
        <f ca="1">[1]!nonzeroQtys($AE$13,AD167)</f>
        <v>#NAME?</v>
      </c>
    </row>
    <row r="168" spans="1:37" s="153" customFormat="1" x14ac:dyDescent="0.25">
      <c r="A168" s="150" t="s">
        <v>887</v>
      </c>
      <c r="B168" s="150" t="s">
        <v>2008</v>
      </c>
      <c r="C168" s="150" t="s">
        <v>1884</v>
      </c>
      <c r="D168" s="120" t="str">
        <f>IF(MouserListTable[[#This Row],[Vendor]]=FilterSpecs!$A$8,MouserListTable[[#This Row],[Mouser SKU]], MouserListTable[[#This Row],[Supplier SKU]])</f>
        <v>485-716</v>
      </c>
      <c r="E168" s="152">
        <f>MouserListTable[[#This Row],[Tot '#]]-MouserListTable[[#This Row],['# Initial]]</f>
        <v>0</v>
      </c>
      <c r="F168" s="152">
        <f>IF(AND(MouserListTable[[#This Row],[Tag]]&lt;&gt;FilterSpecs!$F$12, MouserListTable[[#This Row],[Tag]]&lt;&gt;FilterSpecs!$F$9), MouserListTable[[#This Row],['#/Unit]]*FilterSpecs!$B$3+MouserListTable[[#This Row],[Extra Initial]],0)</f>
        <v>5</v>
      </c>
      <c r="G168" s="150"/>
      <c r="H168" s="150"/>
      <c r="I168" s="150" t="s">
        <v>2550</v>
      </c>
      <c r="J168" s="150"/>
      <c r="K168" s="154">
        <v>23.95</v>
      </c>
      <c r="L168" s="152" t="s">
        <v>1897</v>
      </c>
      <c r="M168" s="150"/>
      <c r="N168" s="154">
        <f>MouserListTable[[#This Row],['# Initial]]*MouserListTable[[#This Row],[Price (USD)]]</f>
        <v>119.75</v>
      </c>
      <c r="O168" s="151">
        <v>716</v>
      </c>
      <c r="P168" s="150">
        <f t="shared" si="3"/>
        <v>155</v>
      </c>
      <c r="Q168" s="150" t="s">
        <v>1884</v>
      </c>
      <c r="R16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485-716</v>
      </c>
      <c r="S168" s="157" t="str">
        <f>HYPERLINK("https://www.mouser.com/ProductDetail/" &amp;MouserListTable[[#This Row],[Mouser SKU]])</f>
        <v>https://www.mouser.com/ProductDetail/485-716</v>
      </c>
      <c r="T168" s="152">
        <v>1</v>
      </c>
      <c r="U168" s="152">
        <v>0</v>
      </c>
      <c r="V168" s="152">
        <v>0</v>
      </c>
      <c r="W168" s="152">
        <f>MouserListTable[[#This Row],['#/Unit]]*FilterSpecs!$C$3+MouserListTable[[#This Row],[Extra]]</f>
        <v>5</v>
      </c>
      <c r="X168" s="152">
        <f>IF(MouserListTable[[#This Row],[Tag]]=FilterSpecs!$F$7,MouserListTable[[#This Row],['#/Unit]]*MouserListTable[[#This Row],[Price (USD)]],0)</f>
        <v>23.95</v>
      </c>
      <c r="Y168" s="152">
        <f>MouserListTable[[#This Row],[Tot '#]]*MouserListTable[[#This Row],[Price (USD)]]</f>
        <v>119.75</v>
      </c>
      <c r="Z168" s="146"/>
      <c r="AA168" s="153" t="str">
        <f>InitialOrderTable[[#This Row],[SKU]]</f>
        <v>485-716</v>
      </c>
      <c r="AB168" s="153">
        <f>VALUE(InitialOrderTable[[#This Row],['# Initial]])</f>
        <v>5</v>
      </c>
      <c r="AD168" s="153" t="s">
        <v>604</v>
      </c>
      <c r="AF168" s="153">
        <v>5</v>
      </c>
      <c r="AK168" s="146" t="e">
        <f ca="1">[1]!nonzeroQtys($AE$13,AD168)</f>
        <v>#NAME?</v>
      </c>
    </row>
    <row r="169" spans="1:37" s="153" customFormat="1" x14ac:dyDescent="0.25">
      <c r="A169" s="150" t="s">
        <v>887</v>
      </c>
      <c r="B169" s="150" t="s">
        <v>2008</v>
      </c>
      <c r="C169" s="150" t="s">
        <v>1884</v>
      </c>
      <c r="D169" s="120" t="str">
        <f>IF(MouserListTable[[#This Row],[Vendor]]=FilterSpecs!$A$8,MouserListTable[[#This Row],[Mouser SKU]], MouserListTable[[#This Row],[Supplier SKU]])</f>
        <v>485-772</v>
      </c>
      <c r="E169" s="152">
        <f>MouserListTable[[#This Row],[Tot '#]]-MouserListTable[[#This Row],['# Initial]]</f>
        <v>0</v>
      </c>
      <c r="F169" s="152">
        <f>IF(AND(MouserListTable[[#This Row],[Tag]]&lt;&gt;FilterSpecs!$F$12, MouserListTable[[#This Row],[Tag]]&lt;&gt;FilterSpecs!$F$9), MouserListTable[[#This Row],['#/Unit]]*FilterSpecs!$B$3+MouserListTable[[#This Row],[Extra Initial]],0)</f>
        <v>0</v>
      </c>
      <c r="G169" s="150"/>
      <c r="H169" s="150"/>
      <c r="I169" s="150" t="s">
        <v>2551</v>
      </c>
      <c r="J169" s="150"/>
      <c r="K169" s="154">
        <v>19.95</v>
      </c>
      <c r="L169" s="152" t="s">
        <v>1897</v>
      </c>
      <c r="M169" s="150"/>
      <c r="N169" s="154">
        <f>MouserListTable[[#This Row],['# Initial]]*MouserListTable[[#This Row],[Price (USD)]]</f>
        <v>0</v>
      </c>
      <c r="O169" s="151">
        <v>772</v>
      </c>
      <c r="P169" s="150">
        <f t="shared" si="3"/>
        <v>156</v>
      </c>
      <c r="Q169" s="150" t="s">
        <v>1884</v>
      </c>
      <c r="R16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485-772</v>
      </c>
      <c r="S169" s="157" t="str">
        <f>HYPERLINK("https://www.mouser.com/ProductDetail/" &amp;MouserListTable[[#This Row],[Mouser SKU]])</f>
        <v>https://www.mouser.com/ProductDetail/485-772</v>
      </c>
      <c r="T169" s="152">
        <v>0</v>
      </c>
      <c r="U169" s="152">
        <v>0</v>
      </c>
      <c r="V169" s="152">
        <v>0</v>
      </c>
      <c r="W169" s="152">
        <f>MouserListTable[[#This Row],['#/Unit]]*FilterSpecs!$C$3+MouserListTable[[#This Row],[Extra]]</f>
        <v>0</v>
      </c>
      <c r="X169" s="152">
        <f>IF(MouserListTable[[#This Row],[Tag]]=FilterSpecs!$F$7,MouserListTable[[#This Row],['#/Unit]]*MouserListTable[[#This Row],[Price (USD)]],0)</f>
        <v>0</v>
      </c>
      <c r="Y169" s="152">
        <f>MouserListTable[[#This Row],[Tot '#]]*MouserListTable[[#This Row],[Price (USD)]]</f>
        <v>0</v>
      </c>
      <c r="Z169" s="146"/>
      <c r="AA169" s="153" t="str">
        <f>InitialOrderTable[[#This Row],[SKU]]</f>
        <v>485-772</v>
      </c>
      <c r="AB169" s="153">
        <f>VALUE(InitialOrderTable[[#This Row],['# Initial]])</f>
        <v>0</v>
      </c>
      <c r="AD169" s="153" t="s">
        <v>368</v>
      </c>
      <c r="AF169" s="153">
        <v>1</v>
      </c>
      <c r="AK169" s="146" t="e">
        <f ca="1">[1]!nonzeroQtys($AE$13,AD169)</f>
        <v>#NAME?</v>
      </c>
    </row>
    <row r="170" spans="1:37" s="153" customFormat="1" x14ac:dyDescent="0.25">
      <c r="A170" s="150" t="s">
        <v>887</v>
      </c>
      <c r="B170" s="150" t="s">
        <v>2008</v>
      </c>
      <c r="C170" s="150" t="s">
        <v>5</v>
      </c>
      <c r="D170" s="151" t="str">
        <f>IF(MouserListTable[[#This Row],[Vendor]]=FilterSpecs!$A$8,MouserListTable[[#This Row],[Mouser SKU]], MouserListTable[[#This Row],[Supplier SKU]])</f>
        <v>474-LCD-00710</v>
      </c>
      <c r="E170" s="152">
        <f>MouserListTable[[#This Row],[Tot '#]]-MouserListTable[[#This Row],['# Initial]]</f>
        <v>1</v>
      </c>
      <c r="F170" s="152">
        <f>IF(AND(MouserListTable[[#This Row],[Tag]]&lt;&gt;FilterSpecs!$F$12, MouserListTable[[#This Row],[Tag]]&lt;&gt;FilterSpecs!$F$9), MouserListTable[[#This Row],['#/Unit]]*FilterSpecs!$B$3+MouserListTable[[#This Row],[Extra Initial]],0)</f>
        <v>0</v>
      </c>
      <c r="G170" s="150" t="s">
        <v>1170</v>
      </c>
      <c r="H170" s="150" t="s">
        <v>1171</v>
      </c>
      <c r="I170" s="150" t="s">
        <v>1172</v>
      </c>
      <c r="J170" s="150">
        <v>1</v>
      </c>
      <c r="K170" s="154">
        <v>19.95</v>
      </c>
      <c r="L170" s="150" t="s">
        <v>1896</v>
      </c>
      <c r="M170" s="151"/>
      <c r="N170" s="154">
        <f>MouserListTable[[#This Row],['# Initial]]*MouserListTable[[#This Row],[Price (USD)]]</f>
        <v>0</v>
      </c>
      <c r="O170" s="151" t="s">
        <v>1169</v>
      </c>
      <c r="P170" s="150">
        <f t="shared" si="3"/>
        <v>157</v>
      </c>
      <c r="Q170" s="150" t="s">
        <v>5</v>
      </c>
      <c r="R17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474-LCD-00710</v>
      </c>
      <c r="S170" s="157" t="str">
        <f>HYPERLINK("https://www.mouser.com/ProductDetail/" &amp;MouserListTable[[#This Row],[Mouser SKU]])</f>
        <v>https://www.mouser.com/ProductDetail/474-LCD-00710</v>
      </c>
      <c r="T170" s="152">
        <v>0</v>
      </c>
      <c r="U170" s="152">
        <v>1</v>
      </c>
      <c r="V170" s="152">
        <v>0</v>
      </c>
      <c r="W170" s="152">
        <f>MouserListTable[[#This Row],['#/Unit]]*FilterSpecs!$C$3+MouserListTable[[#This Row],[Extra]]</f>
        <v>1</v>
      </c>
      <c r="X170" s="152">
        <f>IF(MouserListTable[[#This Row],[Tag]]=FilterSpecs!$F$7,MouserListTable[[#This Row],['#/Unit]]*MouserListTable[[#This Row],[Price (USD)]],0)</f>
        <v>0</v>
      </c>
      <c r="Y170" s="152">
        <f>MouserListTable[[#This Row],[Tot '#]]*MouserListTable[[#This Row],[Price (USD)]]</f>
        <v>19.95</v>
      </c>
      <c r="Z170" s="146"/>
      <c r="AA170" s="153" t="str">
        <f>InitialOrderTable[[#This Row],[SKU]]</f>
        <v>474-LCD-00710</v>
      </c>
      <c r="AB170" s="153">
        <f>VALUE(InitialOrderTable[[#This Row],['# Initial]])</f>
        <v>0</v>
      </c>
      <c r="AD170" s="153" t="s">
        <v>720</v>
      </c>
      <c r="AF170" s="153">
        <v>5</v>
      </c>
      <c r="AK170" s="146" t="e">
        <f ca="1">[1]!nonzeroQtys($AE$13,AD170)</f>
        <v>#NAME?</v>
      </c>
    </row>
    <row r="171" spans="1:37" s="153" customFormat="1" x14ac:dyDescent="0.25">
      <c r="A171" s="97" t="s">
        <v>887</v>
      </c>
      <c r="B171" s="97" t="s">
        <v>2008</v>
      </c>
      <c r="C171" s="150" t="s">
        <v>5</v>
      </c>
      <c r="D171" s="151" t="str">
        <f>IF(MouserListTable[[#This Row],[Vendor]]=FilterSpecs!$A$8,MouserListTable[[#This Row],[Mouser SKU]], MouserListTable[[#This Row],[Supplier SKU]])</f>
        <v>474-LCD-09568</v>
      </c>
      <c r="E171" s="152">
        <f>MouserListTable[[#This Row],[Tot '#]]-MouserListTable[[#This Row],['# Initial]]</f>
        <v>0</v>
      </c>
      <c r="F171" s="152">
        <f>IF(AND(MouserListTable[[#This Row],[Tag]]&lt;&gt;FilterSpecs!$F$12, MouserListTable[[#This Row],[Tag]]&lt;&gt;FilterSpecs!$F$9), MouserListTable[[#This Row],['#/Unit]]*FilterSpecs!$B$3+MouserListTable[[#This Row],[Extra Initial]],0)</f>
        <v>0</v>
      </c>
      <c r="G171" s="150" t="s">
        <v>1510</v>
      </c>
      <c r="H171" s="150" t="s">
        <v>1511</v>
      </c>
      <c r="I171" s="150" t="s">
        <v>1512</v>
      </c>
      <c r="J171" s="150">
        <v>1</v>
      </c>
      <c r="K171" s="154">
        <v>29.95</v>
      </c>
      <c r="L171" s="150" t="s">
        <v>1896</v>
      </c>
      <c r="N171" s="154">
        <f>MouserListTable[[#This Row],['# Initial]]*MouserListTable[[#This Row],[Price (USD)]]</f>
        <v>0</v>
      </c>
      <c r="O171" s="151" t="s">
        <v>1509</v>
      </c>
      <c r="P171" s="150">
        <f t="shared" si="3"/>
        <v>158</v>
      </c>
      <c r="Q171" s="150" t="s">
        <v>5</v>
      </c>
      <c r="R17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474-LCD-09568</v>
      </c>
      <c r="S171" s="157" t="str">
        <f>HYPERLINK("https://www.mouser.com/ProductDetail/" &amp;MouserListTable[[#This Row],[Mouser SKU]])</f>
        <v>https://www.mouser.com/ProductDetail/474-LCD-09568</v>
      </c>
      <c r="T171" s="152">
        <v>0</v>
      </c>
      <c r="U171" s="152">
        <v>0</v>
      </c>
      <c r="V171" s="152">
        <v>0</v>
      </c>
      <c r="W171" s="152">
        <f>MouserListTable[[#This Row],['#/Unit]]*FilterSpecs!$C$3+MouserListTable[[#This Row],[Extra]]</f>
        <v>0</v>
      </c>
      <c r="X171" s="152">
        <f>IF(MouserListTable[[#This Row],[Tag]]=FilterSpecs!$F$7,MouserListTable[[#This Row],['#/Unit]]*MouserListTable[[#This Row],[Price (USD)]],0)</f>
        <v>0</v>
      </c>
      <c r="Y171" s="152">
        <f>MouserListTable[[#This Row],[Tot '#]]*MouserListTable[[#This Row],[Price (USD)]]</f>
        <v>0</v>
      </c>
      <c r="Z171" s="146"/>
      <c r="AA171" s="153" t="str">
        <f>InitialOrderTable[[#This Row],[SKU]]</f>
        <v>474-LCD-09568</v>
      </c>
      <c r="AB171" s="153">
        <f>VALUE(InitialOrderTable[[#This Row],['# Initial]])</f>
        <v>0</v>
      </c>
      <c r="AD171" s="153" t="s">
        <v>716</v>
      </c>
      <c r="AF171" s="153">
        <v>5</v>
      </c>
      <c r="AK171" s="146" t="e">
        <f ca="1">[1]!nonzeroQtys($AE$13,AD171)</f>
        <v>#NAME?</v>
      </c>
    </row>
    <row r="172" spans="1:37" s="153" customFormat="1" x14ac:dyDescent="0.25">
      <c r="A172" s="150" t="s">
        <v>887</v>
      </c>
      <c r="B172" s="150" t="s">
        <v>2008</v>
      </c>
      <c r="C172" s="150" t="s">
        <v>1884</v>
      </c>
      <c r="D172" s="151" t="str">
        <f>IF(MouserListTable[[#This Row],[Vendor]]=FilterSpecs!$A$8,MouserListTable[[#This Row],[Mouser SKU]], MouserListTable[[#This Row],[Supplier SKU]])</f>
        <v>485-198</v>
      </c>
      <c r="E172" s="152">
        <f>MouserListTable[[#This Row],[Tot '#]]-MouserListTable[[#This Row],['# Initial]]</f>
        <v>0</v>
      </c>
      <c r="F172" s="152">
        <f>IF(AND(MouserListTable[[#This Row],[Tag]]&lt;&gt;FilterSpecs!$F$12, MouserListTable[[#This Row],[Tag]]&lt;&gt;FilterSpecs!$F$9), MouserListTable[[#This Row],['#/Unit]]*FilterSpecs!$B$3+MouserListTable[[#This Row],[Extra Initial]],0)</f>
        <v>0</v>
      </c>
      <c r="G172" s="150"/>
      <c r="H172" s="150"/>
      <c r="I172" s="150" t="s">
        <v>2049</v>
      </c>
      <c r="K172" s="118">
        <v>17.95</v>
      </c>
      <c r="L172" s="97" t="s">
        <v>1896</v>
      </c>
      <c r="N172" s="154">
        <f>MouserListTable[[#This Row],['# Initial]]*MouserListTable[[#This Row],[Price (USD)]]</f>
        <v>0</v>
      </c>
      <c r="O172" s="151" t="s">
        <v>2050</v>
      </c>
      <c r="P172" s="150">
        <f t="shared" si="3"/>
        <v>159</v>
      </c>
      <c r="Q172" s="150" t="s">
        <v>1884</v>
      </c>
      <c r="R17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485-198</v>
      </c>
      <c r="S172" s="157" t="str">
        <f>HYPERLINK("https://www.mouser.com/ProductDetail/" &amp;MouserListTable[[#This Row],[Mouser SKU]])</f>
        <v>https://www.mouser.com/ProductDetail/485-198</v>
      </c>
      <c r="T172" s="152">
        <v>0</v>
      </c>
      <c r="U172" s="152">
        <v>0</v>
      </c>
      <c r="V172" s="152">
        <v>0</v>
      </c>
      <c r="W172" s="152">
        <f>MouserListTable[[#This Row],['#/Unit]]*FilterSpecs!$C$3+MouserListTable[[#This Row],[Extra]]</f>
        <v>0</v>
      </c>
      <c r="X172" s="152">
        <f>IF(MouserListTable[[#This Row],[Tag]]=FilterSpecs!$F$7,MouserListTable[[#This Row],['#/Unit]]*MouserListTable[[#This Row],[Price (USD)]],0)</f>
        <v>0</v>
      </c>
      <c r="Y172" s="152">
        <f>MouserListTable[[#This Row],[Tot '#]]*MouserListTable[[#This Row],[Price (USD)]]</f>
        <v>0</v>
      </c>
      <c r="Z172" s="146"/>
      <c r="AA172" s="153" t="str">
        <f>InitialOrderTable[[#This Row],[SKU]]</f>
        <v>485-198</v>
      </c>
      <c r="AB172" s="153">
        <f>VALUE(InitialOrderTable[[#This Row],['# Initial]])</f>
        <v>0</v>
      </c>
      <c r="AD172" s="153" t="s">
        <v>704</v>
      </c>
      <c r="AF172" s="153">
        <v>10</v>
      </c>
      <c r="AK172" s="146" t="e">
        <f ca="1">[1]!nonzeroQtys($AE$13,AD172)</f>
        <v>#NAME?</v>
      </c>
    </row>
    <row r="173" spans="1:37" s="153" customFormat="1" x14ac:dyDescent="0.25">
      <c r="A173" s="150" t="s">
        <v>887</v>
      </c>
      <c r="B173" s="150" t="s">
        <v>2008</v>
      </c>
      <c r="C173" s="150" t="s">
        <v>1884</v>
      </c>
      <c r="D173" s="151" t="str">
        <f>IF(MouserListTable[[#This Row],[Vendor]]=FilterSpecs!$A$8,MouserListTable[[#This Row],[Mouser SKU]], MouserListTable[[#This Row],[Supplier SKU]])</f>
        <v>485-3330</v>
      </c>
      <c r="E173" s="152">
        <f>MouserListTable[[#This Row],[Tot '#]]-MouserListTable[[#This Row],['# Initial]]</f>
        <v>0</v>
      </c>
      <c r="F173" s="152">
        <f>IF(AND(MouserListTable[[#This Row],[Tag]]&lt;&gt;FilterSpecs!$F$12, MouserListTable[[#This Row],[Tag]]&lt;&gt;FilterSpecs!$F$9), MouserListTable[[#This Row],['#/Unit]]*FilterSpecs!$B$3+MouserListTable[[#This Row],[Extra Initial]],0)</f>
        <v>0</v>
      </c>
      <c r="G173" s="150"/>
      <c r="H173" s="150"/>
      <c r="I173" s="150" t="s">
        <v>2317</v>
      </c>
      <c r="K173" s="118">
        <v>7.5</v>
      </c>
      <c r="L173" s="97" t="s">
        <v>1896</v>
      </c>
      <c r="N173" s="154">
        <f>MouserListTable[[#This Row],['# Initial]]*MouserListTable[[#This Row],[Price (USD)]]</f>
        <v>0</v>
      </c>
      <c r="O173" s="151" t="s">
        <v>2316</v>
      </c>
      <c r="P173" s="150">
        <f t="shared" si="3"/>
        <v>160</v>
      </c>
      <c r="Q173" s="150" t="s">
        <v>1884</v>
      </c>
      <c r="R17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485-3330</v>
      </c>
      <c r="S173" s="157" t="str">
        <f>HYPERLINK("https://www.mouser.com/ProductDetail/" &amp;MouserListTable[[#This Row],[Mouser SKU]])</f>
        <v>https://www.mouser.com/ProductDetail/485-3330</v>
      </c>
      <c r="T173" s="152">
        <v>0</v>
      </c>
      <c r="U173" s="152">
        <v>0</v>
      </c>
      <c r="V173" s="152">
        <v>0</v>
      </c>
      <c r="W173" s="152">
        <f>MouserListTable[[#This Row],['#/Unit]]*FilterSpecs!$C$3+MouserListTable[[#This Row],[Extra]]</f>
        <v>0</v>
      </c>
      <c r="X173" s="152">
        <f>IF(MouserListTable[[#This Row],[Tag]]=FilterSpecs!$F$7,MouserListTable[[#This Row],['#/Unit]]*MouserListTable[[#This Row],[Price (USD)]],0)</f>
        <v>0</v>
      </c>
      <c r="Y173" s="152">
        <f>MouserListTable[[#This Row],[Tot '#]]*MouserListTable[[#This Row],[Price (USD)]]</f>
        <v>0</v>
      </c>
      <c r="Z173" s="146"/>
      <c r="AA173" s="153" t="str">
        <f>InitialOrderTable[[#This Row],[SKU]]</f>
        <v>485-3330</v>
      </c>
      <c r="AB173" s="153">
        <f>VALUE(InitialOrderTable[[#This Row],['# Initial]])</f>
        <v>0</v>
      </c>
      <c r="AD173" s="153" t="s">
        <v>418</v>
      </c>
      <c r="AF173" s="153">
        <v>10</v>
      </c>
      <c r="AK173" s="146" t="e">
        <f ca="1">[1]!nonzeroQtys($AE$13,AD173)</f>
        <v>#NAME?</v>
      </c>
    </row>
    <row r="174" spans="1:37" s="153" customFormat="1" x14ac:dyDescent="0.25">
      <c r="A174" s="150" t="s">
        <v>887</v>
      </c>
      <c r="B174" s="150" t="s">
        <v>2008</v>
      </c>
      <c r="C174" s="150" t="s">
        <v>1884</v>
      </c>
      <c r="D174" s="151" t="str">
        <f>IF(MouserListTable[[#This Row],[Vendor]]=FilterSpecs!$A$8,MouserListTable[[#This Row],[Mouser SKU]], MouserListTable[[#This Row],[Supplier SKU]])</f>
        <v>485-1332</v>
      </c>
      <c r="E174" s="152">
        <f>MouserListTable[[#This Row],[Tot '#]]-MouserListTable[[#This Row],['# Initial]]</f>
        <v>0</v>
      </c>
      <c r="F174" s="152">
        <f>IF(AND(MouserListTable[[#This Row],[Tag]]&lt;&gt;FilterSpecs!$F$12, MouserListTable[[#This Row],[Tag]]&lt;&gt;FilterSpecs!$F$9), MouserListTable[[#This Row],['#/Unit]]*FilterSpecs!$B$3+MouserListTable[[#This Row],[Extra Initial]],0)</f>
        <v>0</v>
      </c>
      <c r="G174" s="150"/>
      <c r="H174" s="150"/>
      <c r="I174" s="150" t="s">
        <v>2347</v>
      </c>
      <c r="K174" s="154">
        <v>2.95</v>
      </c>
      <c r="L174" s="150" t="s">
        <v>1896</v>
      </c>
      <c r="M174" s="151"/>
      <c r="N174" s="154">
        <f>MouserListTable[[#This Row],['# Initial]]*MouserListTable[[#This Row],[Price (USD)]]</f>
        <v>0</v>
      </c>
      <c r="O174" s="151" t="s">
        <v>2346</v>
      </c>
      <c r="P174" s="150">
        <f t="shared" si="3"/>
        <v>161</v>
      </c>
      <c r="Q174" s="150" t="s">
        <v>1884</v>
      </c>
      <c r="R17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485-1332</v>
      </c>
      <c r="S174" s="157" t="str">
        <f>HYPERLINK("https://www.mouser.com/ProductDetail/" &amp;MouserListTable[[#This Row],[Mouser SKU]])</f>
        <v>https://www.mouser.com/ProductDetail/485-1332</v>
      </c>
      <c r="T174" s="152">
        <v>0</v>
      </c>
      <c r="U174" s="152">
        <v>0</v>
      </c>
      <c r="V174" s="152">
        <v>0</v>
      </c>
      <c r="W174" s="152">
        <f>MouserListTable[[#This Row],['#/Unit]]*FilterSpecs!$C$3+MouserListTable[[#This Row],[Extra]]</f>
        <v>0</v>
      </c>
      <c r="X174" s="152">
        <f>IF(MouserListTable[[#This Row],[Tag]]=FilterSpecs!$F$7,MouserListTable[[#This Row],['#/Unit]]*MouserListTable[[#This Row],[Price (USD)]],0)</f>
        <v>0</v>
      </c>
      <c r="Y174" s="152">
        <f>MouserListTable[[#This Row],[Tot '#]]*MouserListTable[[#This Row],[Price (USD)]]</f>
        <v>0</v>
      </c>
      <c r="Z174" s="146"/>
      <c r="AA174" s="153" t="str">
        <f>InitialOrderTable[[#This Row],[SKU]]</f>
        <v>485-1332</v>
      </c>
      <c r="AB174" s="153">
        <f>VALUE(InitialOrderTable[[#This Row],['# Initial]])</f>
        <v>0</v>
      </c>
      <c r="AD174" s="153" t="s">
        <v>422</v>
      </c>
      <c r="AF174" s="153">
        <v>10</v>
      </c>
      <c r="AK174" s="146" t="e">
        <f ca="1">[1]!nonzeroQtys($AE$13,AD174)</f>
        <v>#NAME?</v>
      </c>
    </row>
    <row r="175" spans="1:37" s="153" customFormat="1" x14ac:dyDescent="0.25">
      <c r="A175" s="150" t="s">
        <v>887</v>
      </c>
      <c r="B175" s="150" t="s">
        <v>2008</v>
      </c>
      <c r="C175" s="150" t="s">
        <v>1884</v>
      </c>
      <c r="D175" s="151" t="str">
        <f>IF(MouserListTable[[#This Row],[Vendor]]=FilterSpecs!$A$8,MouserListTable[[#This Row],[Mouser SKU]], MouserListTable[[#This Row],[Supplier SKU]])</f>
        <v>485-419</v>
      </c>
      <c r="E175" s="152">
        <f>MouserListTable[[#This Row],[Tot '#]]-MouserListTable[[#This Row],['# Initial]]</f>
        <v>0</v>
      </c>
      <c r="F175" s="152">
        <f>IF(AND(MouserListTable[[#This Row],[Tag]]&lt;&gt;FilterSpecs!$F$12, MouserListTable[[#This Row],[Tag]]&lt;&gt;FilterSpecs!$F$9), MouserListTable[[#This Row],['#/Unit]]*FilterSpecs!$B$3+MouserListTable[[#This Row],[Extra Initial]],0)</f>
        <v>5</v>
      </c>
      <c r="G175" s="150"/>
      <c r="H175" s="150"/>
      <c r="I175" s="150" t="s">
        <v>2349</v>
      </c>
      <c r="K175" s="154">
        <v>3.95</v>
      </c>
      <c r="L175" s="150" t="s">
        <v>1897</v>
      </c>
      <c r="M175" s="151"/>
      <c r="N175" s="154">
        <f>MouserListTable[[#This Row],['# Initial]]*MouserListTable[[#This Row],[Price (USD)]]</f>
        <v>19.75</v>
      </c>
      <c r="O175" s="151" t="s">
        <v>2348</v>
      </c>
      <c r="P175" s="150">
        <f t="shared" si="3"/>
        <v>162</v>
      </c>
      <c r="Q175" s="150" t="s">
        <v>1884</v>
      </c>
      <c r="R17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485-419</v>
      </c>
      <c r="S175" s="157" t="str">
        <f>HYPERLINK("https://www.mouser.com/ProductDetail/" &amp;MouserListTable[[#This Row],[Mouser SKU]])</f>
        <v>https://www.mouser.com/ProductDetail/485-419</v>
      </c>
      <c r="T175" s="152">
        <v>1</v>
      </c>
      <c r="U175" s="152">
        <v>0</v>
      </c>
      <c r="V175" s="152">
        <v>0</v>
      </c>
      <c r="W175" s="152">
        <f>MouserListTable[[#This Row],['#/Unit]]*FilterSpecs!$C$3+MouserListTable[[#This Row],[Extra]]</f>
        <v>5</v>
      </c>
      <c r="X175" s="152">
        <f>IF(MouserListTable[[#This Row],[Tag]]=FilterSpecs!$F$7,MouserListTable[[#This Row],['#/Unit]]*MouserListTable[[#This Row],[Price (USD)]],0)</f>
        <v>3.95</v>
      </c>
      <c r="Y175" s="152">
        <f>MouserListTable[[#This Row],[Tot '#]]*MouserListTable[[#This Row],[Price (USD)]]</f>
        <v>19.75</v>
      </c>
      <c r="Z175" s="146"/>
      <c r="AA175" s="153" t="str">
        <f>InitialOrderTable[[#This Row],[SKU]]</f>
        <v>485-419</v>
      </c>
      <c r="AB175" s="153">
        <f>VALUE(InitialOrderTable[[#This Row],['# Initial]])</f>
        <v>5</v>
      </c>
      <c r="AD175" s="153" t="s">
        <v>664</v>
      </c>
      <c r="AF175" s="153">
        <v>10</v>
      </c>
      <c r="AK175" s="146" t="e">
        <f ca="1">[1]!nonzeroQtys($AE$13,AD175)</f>
        <v>#NAME?</v>
      </c>
    </row>
    <row r="176" spans="1:37" s="153" customFormat="1" x14ac:dyDescent="0.25">
      <c r="A176" s="150" t="s">
        <v>887</v>
      </c>
      <c r="B176" s="150" t="s">
        <v>2008</v>
      </c>
      <c r="C176" s="150" t="s">
        <v>5</v>
      </c>
      <c r="D176" s="151" t="str">
        <f>IF(MouserListTable[[#This Row],[Vendor]]=FilterSpecs!$A$8,MouserListTable[[#This Row],[Mouser SKU]], MouserListTable[[#This Row],[Supplier SKU]])</f>
        <v>474-DEV-11649</v>
      </c>
      <c r="E176" s="152">
        <f>MouserListTable[[#This Row],[Tot '#]]-MouserListTable[[#This Row],['# Initial]]</f>
        <v>0</v>
      </c>
      <c r="F176" s="152">
        <f>IF(AND(MouserListTable[[#This Row],[Tag]]&lt;&gt;FilterSpecs!$F$12, MouserListTable[[#This Row],[Tag]]&lt;&gt;FilterSpecs!$F$9), MouserListTable[[#This Row],['#/Unit]]*FilterSpecs!$B$3+MouserListTable[[#This Row],[Extra Initial]],0)</f>
        <v>0</v>
      </c>
      <c r="G176" s="150" t="s">
        <v>1782</v>
      </c>
      <c r="H176" s="150" t="s">
        <v>1783</v>
      </c>
      <c r="I176" s="150" t="s">
        <v>1784</v>
      </c>
      <c r="J176" s="153">
        <v>29.95</v>
      </c>
      <c r="K176" s="154">
        <v>29.95</v>
      </c>
      <c r="L176" s="150" t="s">
        <v>2464</v>
      </c>
      <c r="M176" s="151"/>
      <c r="N176" s="154">
        <f>MouserListTable[[#This Row],['# Initial]]*MouserListTable[[#This Row],[Price (USD)]]</f>
        <v>0</v>
      </c>
      <c r="O176" s="151" t="s">
        <v>1781</v>
      </c>
      <c r="P176" s="150">
        <f t="shared" si="3"/>
        <v>163</v>
      </c>
      <c r="Q176" s="150" t="s">
        <v>5</v>
      </c>
      <c r="R17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474-DEV-11649</v>
      </c>
      <c r="S176" s="157" t="str">
        <f>HYPERLINK("https://www.mouser.com/ProductDetail/" &amp;MouserListTable[[#This Row],[Mouser SKU]])</f>
        <v>https://www.mouser.com/ProductDetail/474-DEV-11649</v>
      </c>
      <c r="T176" s="152">
        <v>0</v>
      </c>
      <c r="U176" s="152">
        <v>0</v>
      </c>
      <c r="V176" s="152">
        <v>0</v>
      </c>
      <c r="W176" s="152">
        <f>MouserListTable[[#This Row],['#/Unit]]*FilterSpecs!$C$3+MouserListTable[[#This Row],[Extra]]</f>
        <v>0</v>
      </c>
      <c r="X176" s="152">
        <f>IF(MouserListTable[[#This Row],[Tag]]=FilterSpecs!$F$7,MouserListTable[[#This Row],['#/Unit]]*MouserListTable[[#This Row],[Price (USD)]],0)</f>
        <v>0</v>
      </c>
      <c r="Y176" s="152">
        <f>MouserListTable[[#This Row],[Tot '#]]*MouserListTable[[#This Row],[Price (USD)]]</f>
        <v>0</v>
      </c>
      <c r="Z176" s="146"/>
      <c r="AA176" s="153" t="str">
        <f>InitialOrderTable[[#This Row],[SKU]]</f>
        <v>474-DEV-11649</v>
      </c>
      <c r="AB176" s="153">
        <f>VALUE(InitialOrderTable[[#This Row],['# Initial]])</f>
        <v>0</v>
      </c>
      <c r="AD176" s="153" t="s">
        <v>2202</v>
      </c>
      <c r="AF176" s="153">
        <v>1</v>
      </c>
      <c r="AK176" s="146" t="e">
        <f ca="1">[1]!nonzeroQtys($AE$13,AD176)</f>
        <v>#NAME?</v>
      </c>
    </row>
    <row r="177" spans="1:37" s="153" customFormat="1" x14ac:dyDescent="0.25">
      <c r="A177" s="150" t="s">
        <v>887</v>
      </c>
      <c r="B177" s="150" t="s">
        <v>891</v>
      </c>
      <c r="C177" s="150" t="s">
        <v>5</v>
      </c>
      <c r="D177" s="151" t="str">
        <f>IF(MouserListTable[[#This Row],[Vendor]]=FilterSpecs!$A$8,MouserListTable[[#This Row],[Mouser SKU]], MouserListTable[[#This Row],[Supplier SKU]])</f>
        <v>474-SEN-14348</v>
      </c>
      <c r="E177" s="152">
        <f>MouserListTable[[#This Row],[Tot '#]]-MouserListTable[[#This Row],['# Initial]]</f>
        <v>1</v>
      </c>
      <c r="F177" s="152">
        <f>IF(AND(MouserListTable[[#This Row],[Tag]]&lt;&gt;FilterSpecs!$F$12, MouserListTable[[#This Row],[Tag]]&lt;&gt;FilterSpecs!$F$9), MouserListTable[[#This Row],['#/Unit]]*FilterSpecs!$B$3+MouserListTable[[#This Row],[Extra Initial]],0)</f>
        <v>0</v>
      </c>
      <c r="G177" s="150" t="s">
        <v>677</v>
      </c>
      <c r="H177" s="150" t="s">
        <v>678</v>
      </c>
      <c r="I177" s="150" t="s">
        <v>679</v>
      </c>
      <c r="J177" s="150">
        <v>1</v>
      </c>
      <c r="K177" s="154">
        <v>34.950000000000003</v>
      </c>
      <c r="L177" s="150" t="s">
        <v>1896</v>
      </c>
      <c r="M177" s="151"/>
      <c r="N177" s="154">
        <f>MouserListTable[[#This Row],['# Initial]]*MouserListTable[[#This Row],[Price (USD)]]</f>
        <v>0</v>
      </c>
      <c r="O177" s="151" t="s">
        <v>676</v>
      </c>
      <c r="P177" s="150">
        <f t="shared" si="3"/>
        <v>164</v>
      </c>
      <c r="Q177" s="150" t="s">
        <v>5</v>
      </c>
      <c r="R17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474-SEN-14348</v>
      </c>
      <c r="S177" s="157" t="str">
        <f>HYPERLINK("https://www.mouser.com/ProductDetail/" &amp;MouserListTable[[#This Row],[Mouser SKU]])</f>
        <v>https://www.mouser.com/ProductDetail/474-SEN-14348</v>
      </c>
      <c r="T177" s="152">
        <v>0</v>
      </c>
      <c r="U177" s="152">
        <v>1</v>
      </c>
      <c r="V177" s="152">
        <v>0</v>
      </c>
      <c r="W177" s="152">
        <f>MouserListTable[[#This Row],['#/Unit]]*FilterSpecs!$C$3+MouserListTable[[#This Row],[Extra]]</f>
        <v>1</v>
      </c>
      <c r="X177" s="152">
        <f>IF(MouserListTable[[#This Row],[Tag]]=FilterSpecs!$F$7,MouserListTable[[#This Row],['#/Unit]]*MouserListTable[[#This Row],[Price (USD)]],0)</f>
        <v>0</v>
      </c>
      <c r="Y177" s="152">
        <f>MouserListTable[[#This Row],[Tot '#]]*MouserListTable[[#This Row],[Price (USD)]]</f>
        <v>34.950000000000003</v>
      </c>
      <c r="Z177" s="146"/>
      <c r="AA177" s="153" t="str">
        <f>InitialOrderTable[[#This Row],[SKU]]</f>
        <v>474-SEN-14348</v>
      </c>
      <c r="AB177" s="153">
        <f>VALUE(InitialOrderTable[[#This Row],['# Initial]])</f>
        <v>0</v>
      </c>
      <c r="AD177" s="153" t="s">
        <v>2204</v>
      </c>
      <c r="AF177" s="153">
        <v>1</v>
      </c>
      <c r="AK177" s="146" t="e">
        <f ca="1">[1]!nonzeroQtys($AE$13,AD177)</f>
        <v>#NAME?</v>
      </c>
    </row>
    <row r="178" spans="1:37" s="153" customFormat="1" x14ac:dyDescent="0.25">
      <c r="A178" s="150" t="s">
        <v>887</v>
      </c>
      <c r="B178" s="150" t="s">
        <v>891</v>
      </c>
      <c r="C178" s="150" t="s">
        <v>5</v>
      </c>
      <c r="D178" s="151" t="str">
        <f>IF(MouserListTable[[#This Row],[Vendor]]=FilterSpecs!$A$8,MouserListTable[[#This Row],[Mouser SKU]], MouserListTable[[#This Row],[Supplier SKU]])</f>
        <v>474-SEN-14045</v>
      </c>
      <c r="E178" s="152">
        <f>MouserListTable[[#This Row],[Tot '#]]-MouserListTable[[#This Row],['# Initial]]</f>
        <v>1</v>
      </c>
      <c r="F178" s="152">
        <f>IF(AND(MouserListTable[[#This Row],[Tag]]&lt;&gt;FilterSpecs!$F$12, MouserListTable[[#This Row],[Tag]]&lt;&gt;FilterSpecs!$F$9), MouserListTable[[#This Row],['#/Unit]]*FilterSpecs!$B$3+MouserListTable[[#This Row],[Extra Initial]],0)</f>
        <v>0</v>
      </c>
      <c r="G178" s="150" t="s">
        <v>681</v>
      </c>
      <c r="H178" s="150" t="s">
        <v>682</v>
      </c>
      <c r="I178" s="150" t="s">
        <v>683</v>
      </c>
      <c r="J178" s="150"/>
      <c r="K178" s="154">
        <v>12.95</v>
      </c>
      <c r="L178" s="150" t="s">
        <v>1896</v>
      </c>
      <c r="M178" s="151"/>
      <c r="N178" s="154">
        <f>MouserListTable[[#This Row],['# Initial]]*MouserListTable[[#This Row],[Price (USD)]]</f>
        <v>0</v>
      </c>
      <c r="O178" s="151" t="s">
        <v>680</v>
      </c>
      <c r="P178" s="150">
        <f t="shared" si="3"/>
        <v>165</v>
      </c>
      <c r="Q178" s="150" t="s">
        <v>5</v>
      </c>
      <c r="R17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474-SEN-14045</v>
      </c>
      <c r="S178" s="157" t="str">
        <f>HYPERLINK("https://www.mouser.com/ProductDetail/" &amp;MouserListTable[[#This Row],[Mouser SKU]])</f>
        <v>https://www.mouser.com/ProductDetail/474-SEN-14045</v>
      </c>
      <c r="T178" s="152">
        <v>0</v>
      </c>
      <c r="U178" s="152">
        <v>1</v>
      </c>
      <c r="V178" s="152">
        <v>0</v>
      </c>
      <c r="W178" s="152">
        <f>MouserListTable[[#This Row],['#/Unit]]*FilterSpecs!$C$3+MouserListTable[[#This Row],[Extra]]</f>
        <v>1</v>
      </c>
      <c r="X178" s="152">
        <f>IF(MouserListTable[[#This Row],[Tag]]=FilterSpecs!$F$7,MouserListTable[[#This Row],['#/Unit]]*MouserListTable[[#This Row],[Price (USD)]],0)</f>
        <v>0</v>
      </c>
      <c r="Y178" s="152">
        <f>MouserListTable[[#This Row],[Tot '#]]*MouserListTable[[#This Row],[Price (USD)]]</f>
        <v>12.95</v>
      </c>
      <c r="Z178" s="146"/>
      <c r="AA178" s="153" t="str">
        <f>InitialOrderTable[[#This Row],[SKU]]</f>
        <v>474-SEN-14045</v>
      </c>
      <c r="AB178" s="153">
        <f>VALUE(InitialOrderTable[[#This Row],['# Initial]])</f>
        <v>0</v>
      </c>
      <c r="AD178" s="153" t="s">
        <v>2206</v>
      </c>
      <c r="AF178" s="153">
        <v>1</v>
      </c>
      <c r="AK178" s="146" t="e">
        <f ca="1">[1]!nonzeroQtys($AE$13,AD178)</f>
        <v>#NAME?</v>
      </c>
    </row>
    <row r="179" spans="1:37" s="153" customFormat="1" x14ac:dyDescent="0.25">
      <c r="A179" s="150" t="s">
        <v>887</v>
      </c>
      <c r="B179" s="150" t="s">
        <v>891</v>
      </c>
      <c r="C179" s="150" t="s">
        <v>5</v>
      </c>
      <c r="D179" s="151" t="str">
        <f>IF(MouserListTable[[#This Row],[Vendor]]=FilterSpecs!$A$8,MouserListTable[[#This Row],[Mouser SKU]], MouserListTable[[#This Row],[Supplier SKU]])</f>
        <v>474-BOB-08891</v>
      </c>
      <c r="E179" s="152">
        <f>MouserListTable[[#This Row],[Tot '#]]-MouserListTable[[#This Row],['# Initial]]</f>
        <v>1</v>
      </c>
      <c r="F179" s="152">
        <f>IF(AND(MouserListTable[[#This Row],[Tag]]&lt;&gt;FilterSpecs!$F$12, MouserListTable[[#This Row],[Tag]]&lt;&gt;FilterSpecs!$F$9), MouserListTable[[#This Row],['#/Unit]]*FilterSpecs!$B$3+MouserListTable[[#This Row],[Extra Initial]],0)</f>
        <v>0</v>
      </c>
      <c r="G179" s="150" t="s">
        <v>685</v>
      </c>
      <c r="H179" s="150" t="s">
        <v>686</v>
      </c>
      <c r="I179" s="150" t="s">
        <v>687</v>
      </c>
      <c r="J179" s="150">
        <v>1</v>
      </c>
      <c r="K179" s="154">
        <v>0.95</v>
      </c>
      <c r="L179" s="150" t="s">
        <v>1896</v>
      </c>
      <c r="M179" s="151"/>
      <c r="N179" s="154">
        <f>MouserListTable[[#This Row],['# Initial]]*MouserListTable[[#This Row],[Price (USD)]]</f>
        <v>0</v>
      </c>
      <c r="O179" s="151" t="s">
        <v>684</v>
      </c>
      <c r="P179" s="150">
        <f t="shared" si="3"/>
        <v>166</v>
      </c>
      <c r="Q179" s="150" t="s">
        <v>5</v>
      </c>
      <c r="R17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474-BOB-08891</v>
      </c>
      <c r="S179" s="157" t="str">
        <f>HYPERLINK("https://www.mouser.com/ProductDetail/" &amp;MouserListTable[[#This Row],[Mouser SKU]])</f>
        <v>https://www.mouser.com/ProductDetail/474-BOB-08891</v>
      </c>
      <c r="T179" s="152">
        <v>0</v>
      </c>
      <c r="U179" s="152">
        <v>1</v>
      </c>
      <c r="V179" s="152">
        <v>0</v>
      </c>
      <c r="W179" s="152">
        <f>MouserListTable[[#This Row],['#/Unit]]*FilterSpecs!$C$3+MouserListTable[[#This Row],[Extra]]</f>
        <v>1</v>
      </c>
      <c r="X179" s="152">
        <f>IF(MouserListTable[[#This Row],[Tag]]=FilterSpecs!$F$7,MouserListTable[[#This Row],['#/Unit]]*MouserListTable[[#This Row],[Price (USD)]],0)</f>
        <v>0</v>
      </c>
      <c r="Y179" s="152">
        <f>MouserListTable[[#This Row],[Tot '#]]*MouserListTable[[#This Row],[Price (USD)]]</f>
        <v>0.95</v>
      </c>
      <c r="Z179" s="146"/>
      <c r="AA179" s="153" t="str">
        <f>InitialOrderTable[[#This Row],[SKU]]</f>
        <v>474-BOB-08891</v>
      </c>
      <c r="AB179" s="153">
        <f>VALUE(InitialOrderTable[[#This Row],['# Initial]])</f>
        <v>0</v>
      </c>
      <c r="AD179" s="153" t="s">
        <v>2208</v>
      </c>
      <c r="AF179" s="153">
        <v>1</v>
      </c>
      <c r="AK179" s="146" t="e">
        <f ca="1">[1]!nonzeroQtys($AE$13,AD179)</f>
        <v>#NAME?</v>
      </c>
    </row>
    <row r="180" spans="1:37" s="153" customFormat="1" x14ac:dyDescent="0.25">
      <c r="A180" s="150" t="s">
        <v>887</v>
      </c>
      <c r="B180" s="150" t="s">
        <v>891</v>
      </c>
      <c r="C180" s="150" t="s">
        <v>5</v>
      </c>
      <c r="D180" s="151" t="str">
        <f>IF(MouserListTable[[#This Row],[Vendor]]=FilterSpecs!$A$8,MouserListTable[[#This Row],[Mouser SKU]], MouserListTable[[#This Row],[Supplier SKU]])</f>
        <v>474-SEN-09403</v>
      </c>
      <c r="E180" s="152">
        <f>MouserListTable[[#This Row],[Tot '#]]-MouserListTable[[#This Row],['# Initial]]</f>
        <v>1</v>
      </c>
      <c r="F180" s="152">
        <f>IF(AND(MouserListTable[[#This Row],[Tag]]&lt;&gt;FilterSpecs!$F$12, MouserListTable[[#This Row],[Tag]]&lt;&gt;FilterSpecs!$F$9), MouserListTable[[#This Row],['#/Unit]]*FilterSpecs!$B$3+MouserListTable[[#This Row],[Extra Initial]],0)</f>
        <v>0</v>
      </c>
      <c r="G180" s="150" t="s">
        <v>689</v>
      </c>
      <c r="H180" s="150" t="s">
        <v>690</v>
      </c>
      <c r="I180" s="150" t="s">
        <v>691</v>
      </c>
      <c r="J180" s="150">
        <v>1</v>
      </c>
      <c r="K180" s="154">
        <v>7.25</v>
      </c>
      <c r="L180" s="150" t="s">
        <v>1896</v>
      </c>
      <c r="M180" s="151"/>
      <c r="N180" s="154">
        <f>MouserListTable[[#This Row],['# Initial]]*MouserListTable[[#This Row],[Price (USD)]]</f>
        <v>0</v>
      </c>
      <c r="O180" s="151" t="s">
        <v>688</v>
      </c>
      <c r="P180" s="150">
        <f t="shared" si="3"/>
        <v>167</v>
      </c>
      <c r="Q180" s="150" t="s">
        <v>5</v>
      </c>
      <c r="R18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474-SEN-09403</v>
      </c>
      <c r="S180" s="157" t="str">
        <f>HYPERLINK("https://www.mouser.com/ProductDetail/" &amp;MouserListTable[[#This Row],[Mouser SKU]])</f>
        <v>https://www.mouser.com/ProductDetail/474-SEN-09403</v>
      </c>
      <c r="T180" s="152">
        <v>0</v>
      </c>
      <c r="U180" s="152">
        <v>1</v>
      </c>
      <c r="V180" s="152">
        <v>0</v>
      </c>
      <c r="W180" s="152">
        <f>MouserListTable[[#This Row],['#/Unit]]*FilterSpecs!$C$3+MouserListTable[[#This Row],[Extra]]</f>
        <v>1</v>
      </c>
      <c r="X180" s="152">
        <f>IF(MouserListTable[[#This Row],[Tag]]=FilterSpecs!$F$7,MouserListTable[[#This Row],['#/Unit]]*MouserListTable[[#This Row],[Price (USD)]],0)</f>
        <v>0</v>
      </c>
      <c r="Y180" s="152">
        <f>MouserListTable[[#This Row],[Tot '#]]*MouserListTable[[#This Row],[Price (USD)]]</f>
        <v>7.25</v>
      </c>
      <c r="Z180" s="146"/>
      <c r="AA180" s="153" t="str">
        <f>InitialOrderTable[[#This Row],[SKU]]</f>
        <v>474-SEN-09403</v>
      </c>
      <c r="AB180" s="153">
        <f>VALUE(InitialOrderTable[[#This Row],['# Initial]])</f>
        <v>0</v>
      </c>
      <c r="AD180" s="153" t="s">
        <v>1581</v>
      </c>
      <c r="AF180" s="153">
        <v>2</v>
      </c>
    </row>
    <row r="181" spans="1:37" s="153" customFormat="1" x14ac:dyDescent="0.25">
      <c r="A181" s="97" t="s">
        <v>887</v>
      </c>
      <c r="B181" s="97" t="s">
        <v>891</v>
      </c>
      <c r="C181" s="150" t="s">
        <v>5</v>
      </c>
      <c r="D181" s="151" t="str">
        <f>IF(MouserListTable[[#This Row],[Vendor]]=FilterSpecs!$A$8,MouserListTable[[#This Row],[Mouser SKU]], MouserListTable[[#This Row],[Supplier SKU]])</f>
        <v>474-SEN-12055</v>
      </c>
      <c r="E181" s="152">
        <f>MouserListTable[[#This Row],[Tot '#]]-MouserListTable[[#This Row],['# Initial]]</f>
        <v>0</v>
      </c>
      <c r="F181" s="152">
        <f>IF(AND(MouserListTable[[#This Row],[Tag]]&lt;&gt;FilterSpecs!$F$12, MouserListTable[[#This Row],[Tag]]&lt;&gt;FilterSpecs!$F$9), MouserListTable[[#This Row],['#/Unit]]*FilterSpecs!$B$3+MouserListTable[[#This Row],[Extra Initial]],0)</f>
        <v>0</v>
      </c>
      <c r="G181" s="150" t="s">
        <v>821</v>
      </c>
      <c r="H181" s="150" t="s">
        <v>822</v>
      </c>
      <c r="I181" s="150" t="s">
        <v>205</v>
      </c>
      <c r="J181" s="150">
        <v>1</v>
      </c>
      <c r="K181" s="154">
        <v>5.95</v>
      </c>
      <c r="L181" s="150" t="s">
        <v>2461</v>
      </c>
      <c r="N181" s="154">
        <f>MouserListTable[[#This Row],['# Initial]]*MouserListTable[[#This Row],[Price (USD)]]</f>
        <v>0</v>
      </c>
      <c r="O181" s="151" t="s">
        <v>820</v>
      </c>
      <c r="P181" s="150">
        <f t="shared" si="3"/>
        <v>168</v>
      </c>
      <c r="Q181" s="150" t="s">
        <v>5</v>
      </c>
      <c r="R18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474-SEN-12055</v>
      </c>
      <c r="S181" s="157" t="str">
        <f>HYPERLINK("https://www.mouser.com/ProductDetail/" &amp;MouserListTable[[#This Row],[Mouser SKU]])</f>
        <v>https://www.mouser.com/ProductDetail/474-SEN-12055</v>
      </c>
      <c r="T181" s="152">
        <v>0</v>
      </c>
      <c r="U181" s="152">
        <v>0</v>
      </c>
      <c r="V181" s="152">
        <v>0</v>
      </c>
      <c r="W181" s="152">
        <f>MouserListTable[[#This Row],['#/Unit]]*FilterSpecs!$C$3+MouserListTable[[#This Row],[Extra]]</f>
        <v>0</v>
      </c>
      <c r="X181" s="152">
        <f>IF(MouserListTable[[#This Row],[Tag]]=FilterSpecs!$F$7,MouserListTable[[#This Row],['#/Unit]]*MouserListTable[[#This Row],[Price (USD)]],0)</f>
        <v>0</v>
      </c>
      <c r="Y181" s="152">
        <f>MouserListTable[[#This Row],[Tot '#]]*MouserListTable[[#This Row],[Price (USD)]]</f>
        <v>0</v>
      </c>
      <c r="Z181" s="146"/>
      <c r="AA181" s="153" t="str">
        <f>InitialOrderTable[[#This Row],[SKU]]</f>
        <v>474-SEN-12055</v>
      </c>
      <c r="AB181" s="153">
        <f>VALUE(InitialOrderTable[[#This Row],['# Initial]])</f>
        <v>0</v>
      </c>
      <c r="AD181" s="153" t="s">
        <v>1585</v>
      </c>
      <c r="AF181" s="153">
        <v>1</v>
      </c>
    </row>
    <row r="182" spans="1:37" s="153" customFormat="1" x14ac:dyDescent="0.25">
      <c r="A182" s="150" t="s">
        <v>887</v>
      </c>
      <c r="B182" s="150" t="s">
        <v>891</v>
      </c>
      <c r="C182" s="150" t="s">
        <v>5</v>
      </c>
      <c r="D182" s="151" t="str">
        <f>IF(MouserListTable[[#This Row],[Vendor]]=FilterSpecs!$A$8,MouserListTable[[#This Row],[Mouser SKU]], MouserListTable[[#This Row],[Supplier SKU]])</f>
        <v>474-BOB-08688</v>
      </c>
      <c r="E182" s="152">
        <f>MouserListTable[[#This Row],[Tot '#]]-MouserListTable[[#This Row],['# Initial]]</f>
        <v>2</v>
      </c>
      <c r="F182" s="152">
        <f>IF(AND(MouserListTable[[#This Row],[Tag]]&lt;&gt;FilterSpecs!$F$12, MouserListTable[[#This Row],[Tag]]&lt;&gt;FilterSpecs!$F$9), MouserListTable[[#This Row],['#/Unit]]*FilterSpecs!$B$3+MouserListTable[[#This Row],[Extra Initial]],0)</f>
        <v>0</v>
      </c>
      <c r="G182" s="150" t="s">
        <v>824</v>
      </c>
      <c r="H182" s="150" t="s">
        <v>825</v>
      </c>
      <c r="I182" s="150" t="s">
        <v>213</v>
      </c>
      <c r="J182" s="150">
        <v>1</v>
      </c>
      <c r="K182" s="154">
        <v>3.95</v>
      </c>
      <c r="L182" s="150" t="s">
        <v>1896</v>
      </c>
      <c r="M182" s="151"/>
      <c r="N182" s="154">
        <f>MouserListTable[[#This Row],['# Initial]]*MouserListTable[[#This Row],[Price (USD)]]</f>
        <v>0</v>
      </c>
      <c r="O182" s="151" t="s">
        <v>823</v>
      </c>
      <c r="P182" s="150">
        <f t="shared" si="3"/>
        <v>169</v>
      </c>
      <c r="Q182" s="150" t="s">
        <v>5</v>
      </c>
      <c r="R18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474-BOB-08688</v>
      </c>
      <c r="S182" s="157" t="str">
        <f>HYPERLINK("https://www.mouser.com/ProductDetail/" &amp;MouserListTable[[#This Row],[Mouser SKU]])</f>
        <v>https://www.mouser.com/ProductDetail/474-BOB-08688</v>
      </c>
      <c r="T182" s="152">
        <v>0</v>
      </c>
      <c r="U182" s="152">
        <v>2</v>
      </c>
      <c r="V182" s="152">
        <v>0</v>
      </c>
      <c r="W182" s="152">
        <f>MouserListTable[[#This Row],['#/Unit]]*FilterSpecs!$C$3+MouserListTable[[#This Row],[Extra]]</f>
        <v>2</v>
      </c>
      <c r="X182" s="152">
        <f>IF(MouserListTable[[#This Row],[Tag]]=FilterSpecs!$F$7,MouserListTable[[#This Row],['#/Unit]]*MouserListTable[[#This Row],[Price (USD)]],0)</f>
        <v>0</v>
      </c>
      <c r="Y182" s="152">
        <f>MouserListTable[[#This Row],[Tot '#]]*MouserListTable[[#This Row],[Price (USD)]]</f>
        <v>7.9</v>
      </c>
      <c r="Z182" s="146"/>
      <c r="AA182" s="153" t="str">
        <f>InitialOrderTable[[#This Row],[SKU]]</f>
        <v>474-BOB-08688</v>
      </c>
      <c r="AB182" s="153">
        <f>VALUE(InitialOrderTable[[#This Row],['# Initial]])</f>
        <v>0</v>
      </c>
      <c r="AD182" s="153" t="s">
        <v>996</v>
      </c>
      <c r="AF182" s="153">
        <v>5</v>
      </c>
    </row>
    <row r="183" spans="1:37" s="153" customFormat="1" x14ac:dyDescent="0.25">
      <c r="A183" s="150" t="s">
        <v>887</v>
      </c>
      <c r="B183" s="150" t="s">
        <v>9</v>
      </c>
      <c r="C183" s="150" t="s">
        <v>5</v>
      </c>
      <c r="D183" s="151" t="str">
        <f>IF(MouserListTable[[#This Row],[Vendor]]=FilterSpecs!$A$8,MouserListTable[[#This Row],[Mouser SKU]], MouserListTable[[#This Row],[Supplier SKU]])</f>
        <v>474-WRL-13677</v>
      </c>
      <c r="E183" s="152">
        <f>MouserListTable[[#This Row],[Tot '#]]-MouserListTable[[#This Row],['# Initial]]</f>
        <v>3</v>
      </c>
      <c r="F183" s="152">
        <f>IF(AND(MouserListTable[[#This Row],[Tag]]&lt;&gt;FilterSpecs!$F$12, MouserListTable[[#This Row],[Tag]]&lt;&gt;FilterSpecs!$F$9), MouserListTable[[#This Row],['#/Unit]]*FilterSpecs!$B$3+MouserListTable[[#This Row],[Extra Initial]],0)</f>
        <v>0</v>
      </c>
      <c r="G183" s="150" t="s">
        <v>250</v>
      </c>
      <c r="H183" s="150" t="s">
        <v>251</v>
      </c>
      <c r="I183" s="150" t="s">
        <v>252</v>
      </c>
      <c r="J183" s="150">
        <v>1</v>
      </c>
      <c r="K183" s="154">
        <v>14.95</v>
      </c>
      <c r="L183" s="150" t="s">
        <v>1896</v>
      </c>
      <c r="M183" s="151"/>
      <c r="N183" s="154">
        <f>MouserListTable[[#This Row],['# Initial]]*MouserListTable[[#This Row],[Price (USD)]]</f>
        <v>0</v>
      </c>
      <c r="O183" s="151" t="s">
        <v>249</v>
      </c>
      <c r="P183" s="150">
        <f t="shared" si="3"/>
        <v>170</v>
      </c>
      <c r="Q183" s="150" t="s">
        <v>5</v>
      </c>
      <c r="R18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474-WRL-13677</v>
      </c>
      <c r="S183" s="157" t="str">
        <f>HYPERLINK("https://www.mouser.com/ProductDetail/" &amp;MouserListTable[[#This Row],[Mouser SKU]])</f>
        <v>https://www.mouser.com/ProductDetail/474-WRL-13677</v>
      </c>
      <c r="T183" s="152">
        <v>0</v>
      </c>
      <c r="U183" s="152">
        <v>3</v>
      </c>
      <c r="V183" s="152">
        <v>0</v>
      </c>
      <c r="W183" s="152">
        <f>MouserListTable[[#This Row],['#/Unit]]*FilterSpecs!$C$3+MouserListTable[[#This Row],[Extra]]</f>
        <v>3</v>
      </c>
      <c r="X183" s="152">
        <f>IF(MouserListTable[[#This Row],[Tag]]=FilterSpecs!$F$7,MouserListTable[[#This Row],['#/Unit]]*MouserListTable[[#This Row],[Price (USD)]],0)</f>
        <v>0</v>
      </c>
      <c r="Y183" s="152">
        <f>MouserListTable[[#This Row],[Tot '#]]*MouserListTable[[#This Row],[Price (USD)]]</f>
        <v>44.849999999999994</v>
      </c>
      <c r="Z183" s="146"/>
      <c r="AA183" s="153" t="str">
        <f>InitialOrderTable[[#This Row],[SKU]]</f>
        <v>474-WRL-13677</v>
      </c>
      <c r="AB183" s="153">
        <f>VALUE(InitialOrderTable[[#This Row],['# Initial]])</f>
        <v>0</v>
      </c>
      <c r="AD183" s="153" t="s">
        <v>2222</v>
      </c>
      <c r="AF183" s="153">
        <v>5</v>
      </c>
    </row>
    <row r="184" spans="1:37" s="153" customFormat="1" x14ac:dyDescent="0.25">
      <c r="A184" s="97" t="s">
        <v>887</v>
      </c>
      <c r="B184" s="150" t="s">
        <v>9</v>
      </c>
      <c r="C184" s="150" t="s">
        <v>5</v>
      </c>
      <c r="D184" s="151" t="str">
        <f>IF(MouserListTable[[#This Row],[Vendor]]=FilterSpecs!$A$8,MouserListTable[[#This Row],[Mouser SKU]], MouserListTable[[#This Row],[Supplier SKU]])</f>
        <v>474-WRL-13678</v>
      </c>
      <c r="E184" s="152">
        <f>MouserListTable[[#This Row],[Tot '#]]-MouserListTable[[#This Row],['# Initial]]</f>
        <v>0</v>
      </c>
      <c r="F184" s="152">
        <f>IF(AND(MouserListTable[[#This Row],[Tag]]&lt;&gt;FilterSpecs!$F$12, MouserListTable[[#This Row],[Tag]]&lt;&gt;FilterSpecs!$F$9), MouserListTable[[#This Row],['#/Unit]]*FilterSpecs!$B$3+MouserListTable[[#This Row],[Extra Initial]],0)</f>
        <v>0</v>
      </c>
      <c r="G184" s="150" t="s">
        <v>254</v>
      </c>
      <c r="H184" s="150" t="s">
        <v>255</v>
      </c>
      <c r="I184" s="150" t="s">
        <v>256</v>
      </c>
      <c r="J184" s="150">
        <v>1</v>
      </c>
      <c r="K184" s="154">
        <v>6.95</v>
      </c>
      <c r="L184" s="150" t="s">
        <v>1899</v>
      </c>
      <c r="N184" s="154">
        <f>MouserListTable[[#This Row],['# Initial]]*MouserListTable[[#This Row],[Price (USD)]]</f>
        <v>0</v>
      </c>
      <c r="O184" s="151" t="s">
        <v>253</v>
      </c>
      <c r="P184" s="150">
        <f t="shared" si="3"/>
        <v>171</v>
      </c>
      <c r="Q184" s="150" t="s">
        <v>5</v>
      </c>
      <c r="R18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474-WRL-13678</v>
      </c>
      <c r="S184" s="157" t="str">
        <f>HYPERLINK("https://www.mouser.com/ProductDetail/" &amp;MouserListTable[[#This Row],[Mouser SKU]])</f>
        <v>https://www.mouser.com/ProductDetail/474-WRL-13678</v>
      </c>
      <c r="T184" s="152">
        <v>0</v>
      </c>
      <c r="U184" s="152">
        <v>0</v>
      </c>
      <c r="V184" s="152">
        <v>0</v>
      </c>
      <c r="W184" s="152">
        <f>MouserListTable[[#This Row],['#/Unit]]*FilterSpecs!$C$3+MouserListTable[[#This Row],[Extra]]</f>
        <v>0</v>
      </c>
      <c r="X184" s="152">
        <f>IF(MouserListTable[[#This Row],[Tag]]=FilterSpecs!$F$7,MouserListTable[[#This Row],['#/Unit]]*MouserListTable[[#This Row],[Price (USD)]],0)</f>
        <v>0</v>
      </c>
      <c r="Y184" s="152">
        <f>MouserListTable[[#This Row],[Tot '#]]*MouserListTable[[#This Row],[Price (USD)]]</f>
        <v>0</v>
      </c>
      <c r="Z184" s="146"/>
      <c r="AA184" s="153" t="str">
        <f>InitialOrderTable[[#This Row],[SKU]]</f>
        <v>474-WRL-13678</v>
      </c>
      <c r="AB184" s="153">
        <f>VALUE(InitialOrderTable[[#This Row],['# Initial]])</f>
        <v>0</v>
      </c>
      <c r="AD184" s="153" t="s">
        <v>1108</v>
      </c>
      <c r="AF184" s="153">
        <v>5</v>
      </c>
    </row>
    <row r="185" spans="1:37" s="153" customFormat="1" x14ac:dyDescent="0.25">
      <c r="A185" s="97" t="s">
        <v>887</v>
      </c>
      <c r="B185" s="150" t="s">
        <v>9</v>
      </c>
      <c r="C185" s="150" t="s">
        <v>2543</v>
      </c>
      <c r="D185" s="120" t="str">
        <f>IF(MouserListTable[[#This Row],[Vendor]]=FilterSpecs!$A$8,MouserListTable[[#This Row],[Mouser SKU]], MouserListTable[[#This Row],[Supplier SKU]])</f>
        <v>409-OPT-UP-WF-002</v>
      </c>
      <c r="E185" s="152">
        <f>MouserListTable[[#This Row],[Tot '#]]-MouserListTable[[#This Row],['# Initial]]</f>
        <v>0</v>
      </c>
      <c r="F185" s="152">
        <f>IF(AND(MouserListTable[[#This Row],[Tag]]&lt;&gt;FilterSpecs!$F$12, MouserListTable[[#This Row],[Tag]]&lt;&gt;FilterSpecs!$F$9), MouserListTable[[#This Row],['#/Unit]]*FilterSpecs!$B$3+MouserListTable[[#This Row],[Extra Initial]],0)</f>
        <v>0</v>
      </c>
      <c r="G185" s="150"/>
      <c r="H185" s="150"/>
      <c r="I185" s="150" t="s">
        <v>2542</v>
      </c>
      <c r="J185" s="150"/>
      <c r="K185" s="154">
        <v>9.99</v>
      </c>
      <c r="L185" s="152" t="s">
        <v>1896</v>
      </c>
      <c r="M185" s="150" t="s">
        <v>2546</v>
      </c>
      <c r="N185" s="154">
        <f>MouserListTable[[#This Row],['# Initial]]*MouserListTable[[#This Row],[Price (USD)]]</f>
        <v>0</v>
      </c>
      <c r="O185" s="151" t="s">
        <v>2544</v>
      </c>
      <c r="P185" s="150">
        <f t="shared" si="3"/>
        <v>172</v>
      </c>
      <c r="Q185" s="150" t="s">
        <v>2543</v>
      </c>
      <c r="R18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409-OPT-UP-WF-002</v>
      </c>
      <c r="S185" s="157" t="str">
        <f>HYPERLINK("https://www.mouser.com/ProductDetail/" &amp;MouserListTable[[#This Row],[Mouser SKU]])</f>
        <v>https://www.mouser.com/ProductDetail/409-OPT-UP-WF-002</v>
      </c>
      <c r="T185" s="152">
        <v>0</v>
      </c>
      <c r="U185" s="152">
        <v>0</v>
      </c>
      <c r="V185" s="152">
        <v>0</v>
      </c>
      <c r="W185" s="152">
        <f>MouserListTable[[#This Row],['#/Unit]]*FilterSpecs!$C$3+MouserListTable[[#This Row],[Extra]]</f>
        <v>0</v>
      </c>
      <c r="X185" s="152">
        <f>IF(MouserListTable[[#This Row],[Tag]]=FilterSpecs!$F$7,MouserListTable[[#This Row],['#/Unit]]*MouserListTable[[#This Row],[Price (USD)]],0)</f>
        <v>0</v>
      </c>
      <c r="Y185" s="152">
        <f>MouserListTable[[#This Row],[Tot '#]]*MouserListTable[[#This Row],[Price (USD)]]</f>
        <v>0</v>
      </c>
      <c r="Z185" s="146"/>
      <c r="AA185" s="153" t="str">
        <f>InitialOrderTable[[#This Row],[SKU]]</f>
        <v>409-OPT-UP-WF-002</v>
      </c>
      <c r="AB185" s="153">
        <f>VALUE(InitialOrderTable[[#This Row],['# Initial]])</f>
        <v>0</v>
      </c>
      <c r="AD185" s="153" t="s">
        <v>1104</v>
      </c>
      <c r="AF185" s="153">
        <v>5</v>
      </c>
    </row>
    <row r="186" spans="1:37" s="153" customFormat="1" x14ac:dyDescent="0.25">
      <c r="A186" s="97" t="s">
        <v>887</v>
      </c>
      <c r="B186" s="97" t="s">
        <v>9</v>
      </c>
      <c r="C186" s="150" t="s">
        <v>1884</v>
      </c>
      <c r="D186" s="120" t="str">
        <f>IF(MouserListTable[[#This Row],[Vendor]]=FilterSpecs!$A$8,MouserListTable[[#This Row],[Mouser SKU]], MouserListTable[[#This Row],[Supplier SKU]])</f>
        <v>485-2810</v>
      </c>
      <c r="E186" s="152">
        <f>MouserListTable[[#This Row],[Tot '#]]-MouserListTable[[#This Row],['# Initial]]</f>
        <v>0</v>
      </c>
      <c r="F186" s="152">
        <f>IF(AND(MouserListTable[[#This Row],[Tag]]&lt;&gt;FilterSpecs!$F$12, MouserListTable[[#This Row],[Tag]]&lt;&gt;FilterSpecs!$F$9), MouserListTable[[#This Row],['#/Unit]]*FilterSpecs!$B$3+MouserListTable[[#This Row],[Extra Initial]],0)</f>
        <v>0</v>
      </c>
      <c r="G186" s="150"/>
      <c r="H186" s="150"/>
      <c r="I186" s="150" t="s">
        <v>2540</v>
      </c>
      <c r="J186" s="150"/>
      <c r="K186" s="154">
        <v>11.99</v>
      </c>
      <c r="L186" s="152" t="s">
        <v>1896</v>
      </c>
      <c r="M186" s="150" t="s">
        <v>2547</v>
      </c>
      <c r="N186" s="154">
        <f>MouserListTable[[#This Row],['# Initial]]*MouserListTable[[#This Row],[Price (USD)]]</f>
        <v>0</v>
      </c>
      <c r="O186" s="151">
        <v>2810</v>
      </c>
      <c r="P186" s="150">
        <f t="shared" si="3"/>
        <v>173</v>
      </c>
      <c r="Q186" s="150" t="s">
        <v>1884</v>
      </c>
      <c r="R18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485-2810</v>
      </c>
      <c r="S186" s="157" t="str">
        <f>HYPERLINK("https://www.mouser.com/ProductDetail/" &amp;MouserListTable[[#This Row],[Mouser SKU]])</f>
        <v>https://www.mouser.com/ProductDetail/485-2810</v>
      </c>
      <c r="T186" s="152">
        <v>0</v>
      </c>
      <c r="U186" s="152">
        <v>0</v>
      </c>
      <c r="V186" s="152">
        <v>0</v>
      </c>
      <c r="W186" s="152">
        <f>MouserListTable[[#This Row],['#/Unit]]*FilterSpecs!$C$3+MouserListTable[[#This Row],[Extra]]</f>
        <v>0</v>
      </c>
      <c r="X186" s="152">
        <f>IF(MouserListTable[[#This Row],[Tag]]=FilterSpecs!$F$7,MouserListTable[[#This Row],['#/Unit]]*MouserListTable[[#This Row],[Price (USD)]],0)</f>
        <v>0</v>
      </c>
      <c r="Y186" s="152">
        <f>MouserListTable[[#This Row],[Tot '#]]*MouserListTable[[#This Row],[Price (USD)]]</f>
        <v>0</v>
      </c>
      <c r="Z186" s="146"/>
      <c r="AA186" s="153" t="str">
        <f>InitialOrderTable[[#This Row],[SKU]]</f>
        <v>485-2810</v>
      </c>
      <c r="AB186" s="153">
        <f>VALUE(InitialOrderTable[[#This Row],['# Initial]])</f>
        <v>0</v>
      </c>
      <c r="AD186" s="153" t="s">
        <v>1112</v>
      </c>
      <c r="AF186" s="153">
        <v>5</v>
      </c>
    </row>
    <row r="187" spans="1:37" s="153" customFormat="1" x14ac:dyDescent="0.25">
      <c r="A187" s="97" t="s">
        <v>887</v>
      </c>
      <c r="B187" s="97" t="s">
        <v>9</v>
      </c>
      <c r="C187" s="150" t="s">
        <v>1884</v>
      </c>
      <c r="D187" s="120" t="str">
        <f>IF(MouserListTable[[#This Row],[Vendor]]=FilterSpecs!$A$8,MouserListTable[[#This Row],[Mouser SKU]], MouserListTable[[#This Row],[Supplier SKU]])</f>
        <v>485-2649</v>
      </c>
      <c r="E187" s="152">
        <f>MouserListTable[[#This Row],[Tot '#]]-MouserListTable[[#This Row],['# Initial]]</f>
        <v>0</v>
      </c>
      <c r="F187" s="152">
        <f>IF(AND(MouserListTable[[#This Row],[Tag]]&lt;&gt;FilterSpecs!$F$12, MouserListTable[[#This Row],[Tag]]&lt;&gt;FilterSpecs!$F$9), MouserListTable[[#This Row],['#/Unit]]*FilterSpecs!$B$3+MouserListTable[[#This Row],[Extra Initial]],0)</f>
        <v>5</v>
      </c>
      <c r="G187" s="150"/>
      <c r="H187" s="150"/>
      <c r="I187" s="150" t="s">
        <v>2541</v>
      </c>
      <c r="J187" s="150"/>
      <c r="K187" s="154">
        <v>19.95</v>
      </c>
      <c r="L187" s="152" t="s">
        <v>1897</v>
      </c>
      <c r="M187" s="150" t="s">
        <v>2548</v>
      </c>
      <c r="N187" s="154">
        <f>MouserListTable[[#This Row],['# Initial]]*MouserListTable[[#This Row],[Price (USD)]]</f>
        <v>99.75</v>
      </c>
      <c r="O187" s="151">
        <v>2649</v>
      </c>
      <c r="P187" s="150">
        <f t="shared" si="3"/>
        <v>174</v>
      </c>
      <c r="Q187" s="150" t="s">
        <v>1884</v>
      </c>
      <c r="R18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485-2649</v>
      </c>
      <c r="S187" s="157" t="str">
        <f>HYPERLINK("https://www.mouser.com/ProductDetail/" &amp;MouserListTable[[#This Row],[Mouser SKU]])</f>
        <v>https://www.mouser.com/ProductDetail/485-2649</v>
      </c>
      <c r="T187" s="152">
        <v>1</v>
      </c>
      <c r="U187" s="152">
        <v>0</v>
      </c>
      <c r="V187" s="152">
        <v>0</v>
      </c>
      <c r="W187" s="152">
        <f>MouserListTable[[#This Row],['#/Unit]]*FilterSpecs!$C$3+MouserListTable[[#This Row],[Extra]]</f>
        <v>5</v>
      </c>
      <c r="X187" s="152">
        <f>IF(MouserListTable[[#This Row],[Tag]]=FilterSpecs!$F$7,MouserListTable[[#This Row],['#/Unit]]*MouserListTable[[#This Row],[Price (USD)]],0)</f>
        <v>19.95</v>
      </c>
      <c r="Y187" s="152">
        <f>MouserListTable[[#This Row],[Tot '#]]*MouserListTable[[#This Row],[Price (USD)]]</f>
        <v>99.75</v>
      </c>
      <c r="Z187" s="146"/>
      <c r="AA187" s="153" t="str">
        <f>InitialOrderTable[[#This Row],[SKU]]</f>
        <v>485-2649</v>
      </c>
      <c r="AB187" s="153">
        <f>VALUE(InitialOrderTable[[#This Row],['# Initial]])</f>
        <v>5</v>
      </c>
      <c r="AD187" s="153" t="s">
        <v>2441</v>
      </c>
      <c r="AF187" s="153">
        <v>1</v>
      </c>
    </row>
    <row r="188" spans="1:37" s="153" customFormat="1" x14ac:dyDescent="0.25">
      <c r="A188" s="97" t="s">
        <v>887</v>
      </c>
      <c r="B188" s="97" t="s">
        <v>9</v>
      </c>
      <c r="C188" s="150" t="s">
        <v>5</v>
      </c>
      <c r="D188" s="151" t="str">
        <f>IF(MouserListTable[[#This Row],[Vendor]]=FilterSpecs!$A$8,MouserListTable[[#This Row],[Mouser SKU]], MouserListTable[[#This Row],[Supplier SKU]])</f>
        <v>474-WRL-12579</v>
      </c>
      <c r="E188" s="152">
        <f>MouserListTable[[#This Row],[Tot '#]]-MouserListTable[[#This Row],['# Initial]]</f>
        <v>0</v>
      </c>
      <c r="F188" s="152">
        <f>IF(AND(MouserListTable[[#This Row],[Tag]]&lt;&gt;FilterSpecs!$F$12, MouserListTable[[#This Row],[Tag]]&lt;&gt;FilterSpecs!$F$9), MouserListTable[[#This Row],['#/Unit]]*FilterSpecs!$B$3+MouserListTable[[#This Row],[Extra Initial]],0)</f>
        <v>0</v>
      </c>
      <c r="G188" s="150" t="s">
        <v>2504</v>
      </c>
      <c r="H188" s="150" t="s">
        <v>2505</v>
      </c>
      <c r="I188" s="150" t="s">
        <v>2506</v>
      </c>
      <c r="J188" s="151">
        <v>1</v>
      </c>
      <c r="K188" s="154">
        <v>34.950000000000003</v>
      </c>
      <c r="L188" s="150" t="s">
        <v>1896</v>
      </c>
      <c r="M188" s="150"/>
      <c r="N188" s="154">
        <f>MouserListTable[[#This Row],['# Initial]]*MouserListTable[[#This Row],[Price (USD)]]</f>
        <v>0</v>
      </c>
      <c r="O188" s="151" t="s">
        <v>2503</v>
      </c>
      <c r="P188" s="150">
        <f t="shared" si="3"/>
        <v>175</v>
      </c>
      <c r="Q188" s="150" t="s">
        <v>5</v>
      </c>
      <c r="R18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474-WRL-12579</v>
      </c>
      <c r="S188" s="157" t="str">
        <f>HYPERLINK("https://www.mouser.com/ProductDetail/" &amp;MouserListTable[[#This Row],[Mouser SKU]])</f>
        <v>https://www.mouser.com/ProductDetail/474-WRL-12579</v>
      </c>
      <c r="T188" s="152">
        <v>0</v>
      </c>
      <c r="U188" s="152">
        <v>0</v>
      </c>
      <c r="V188" s="152">
        <v>0</v>
      </c>
      <c r="W188" s="152">
        <f>MouserListTable[[#This Row],['#/Unit]]*FilterSpecs!$C$3+MouserListTable[[#This Row],[Extra]]</f>
        <v>0</v>
      </c>
      <c r="X188" s="152">
        <f>IF(MouserListTable[[#This Row],[Tag]]=FilterSpecs!$F$7,MouserListTable[[#This Row],['#/Unit]]*MouserListTable[[#This Row],[Price (USD)]],0)</f>
        <v>0</v>
      </c>
      <c r="Y188" s="152">
        <f>MouserListTable[[#This Row],[Tot '#]]*MouserListTable[[#This Row],[Price (USD)]]</f>
        <v>0</v>
      </c>
      <c r="Z188" s="146"/>
      <c r="AA188" s="153" t="str">
        <f>InitialOrderTable[[#This Row],[SKU]]</f>
        <v>474-WRL-12579</v>
      </c>
      <c r="AB188" s="153">
        <f>VALUE(InitialOrderTable[[#This Row],['# Initial]])</f>
        <v>0</v>
      </c>
      <c r="AD188" s="153" t="s">
        <v>410</v>
      </c>
      <c r="AF188" s="153">
        <v>2</v>
      </c>
    </row>
    <row r="189" spans="1:37" s="153" customFormat="1" x14ac:dyDescent="0.25">
      <c r="A189" s="97" t="s">
        <v>887</v>
      </c>
      <c r="B189" s="97" t="s">
        <v>9</v>
      </c>
      <c r="C189" s="150" t="s">
        <v>5</v>
      </c>
      <c r="D189" s="151" t="str">
        <f>IF(MouserListTable[[#This Row],[Vendor]]=FilterSpecs!$A$8,MouserListTable[[#This Row],[Mouser SKU]], MouserListTable[[#This Row],[Supplier SKU]])</f>
        <v>474-WRL-11048</v>
      </c>
      <c r="E189" s="152">
        <f>MouserListTable[[#This Row],[Tot '#]]-MouserListTable[[#This Row],['# Initial]]</f>
        <v>0</v>
      </c>
      <c r="F189" s="152">
        <f>IF(AND(MouserListTable[[#This Row],[Tag]]&lt;&gt;FilterSpecs!$F$12, MouserListTable[[#This Row],[Tag]]&lt;&gt;FilterSpecs!$F$9), MouserListTable[[#This Row],['#/Unit]]*FilterSpecs!$B$3+MouserListTable[[#This Row],[Extra Initial]],0)</f>
        <v>0</v>
      </c>
      <c r="G189" s="150" t="s">
        <v>2508</v>
      </c>
      <c r="H189" s="150" t="s">
        <v>2509</v>
      </c>
      <c r="I189" s="150" t="s">
        <v>2510</v>
      </c>
      <c r="J189" s="151">
        <v>1</v>
      </c>
      <c r="K189" s="154">
        <v>34.950000000000003</v>
      </c>
      <c r="L189" s="150" t="s">
        <v>1896</v>
      </c>
      <c r="M189" s="150"/>
      <c r="N189" s="154">
        <f>MouserListTable[[#This Row],['# Initial]]*MouserListTable[[#This Row],[Price (USD)]]</f>
        <v>0</v>
      </c>
      <c r="O189" s="151" t="s">
        <v>2507</v>
      </c>
      <c r="P189" s="150">
        <f t="shared" si="3"/>
        <v>176</v>
      </c>
      <c r="Q189" s="150" t="s">
        <v>5</v>
      </c>
      <c r="R18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474-WRL-11048</v>
      </c>
      <c r="S189" s="157" t="str">
        <f>HYPERLINK("https://www.mouser.com/ProductDetail/" &amp;MouserListTable[[#This Row],[Mouser SKU]])</f>
        <v>https://www.mouser.com/ProductDetail/474-WRL-11048</v>
      </c>
      <c r="T189" s="152">
        <v>0</v>
      </c>
      <c r="U189" s="152">
        <v>0</v>
      </c>
      <c r="V189" s="152">
        <v>0</v>
      </c>
      <c r="W189" s="152">
        <f>MouserListTable[[#This Row],['#/Unit]]*FilterSpecs!$C$3+MouserListTable[[#This Row],[Extra]]</f>
        <v>0</v>
      </c>
      <c r="X189" s="152">
        <f>IF(MouserListTable[[#This Row],[Tag]]=FilterSpecs!$F$7,MouserListTable[[#This Row],['#/Unit]]*MouserListTable[[#This Row],[Price (USD)]],0)</f>
        <v>0</v>
      </c>
      <c r="Y189" s="152">
        <f>MouserListTable[[#This Row],[Tot '#]]*MouserListTable[[#This Row],[Price (USD)]]</f>
        <v>0</v>
      </c>
      <c r="Z189" s="146"/>
      <c r="AA189" s="153" t="str">
        <f>InitialOrderTable[[#This Row],[SKU]]</f>
        <v>474-WRL-11048</v>
      </c>
      <c r="AB189" s="153">
        <f>VALUE(InitialOrderTable[[#This Row],['# Initial]])</f>
        <v>0</v>
      </c>
      <c r="AD189" s="153" t="s">
        <v>1428</v>
      </c>
      <c r="AF189" s="153">
        <v>1</v>
      </c>
    </row>
    <row r="190" spans="1:37" s="153" customFormat="1" x14ac:dyDescent="0.25">
      <c r="A190" s="150" t="s">
        <v>887</v>
      </c>
      <c r="B190" s="150" t="s">
        <v>9</v>
      </c>
      <c r="C190" s="150" t="s">
        <v>5</v>
      </c>
      <c r="D190" s="151" t="str">
        <f>IF(MouserListTable[[#This Row],[Vendor]]=FilterSpecs!$A$8,MouserListTable[[#This Row],[Mouser SKU]], MouserListTable[[#This Row],[Supplier SKU]])</f>
        <v>474-WRL-11320</v>
      </c>
      <c r="E190" s="152">
        <f>MouserListTable[[#This Row],[Tot '#]]-MouserListTable[[#This Row],['# Initial]]</f>
        <v>0</v>
      </c>
      <c r="F190" s="152">
        <f>IF(AND(MouserListTable[[#This Row],[Tag]]&lt;&gt;FilterSpecs!$F$12, MouserListTable[[#This Row],[Tag]]&lt;&gt;FilterSpecs!$F$9), MouserListTable[[#This Row],['#/Unit]]*FilterSpecs!$B$3+MouserListTable[[#This Row],[Extra Initial]],0)</f>
        <v>5</v>
      </c>
      <c r="G190" s="150" t="s">
        <v>2512</v>
      </c>
      <c r="H190" s="150" t="s">
        <v>2513</v>
      </c>
      <c r="I190" s="150" t="s">
        <v>2514</v>
      </c>
      <c r="J190" s="151"/>
      <c r="K190" s="154">
        <v>5</v>
      </c>
      <c r="L190" s="150" t="s">
        <v>1897</v>
      </c>
      <c r="M190" s="151"/>
      <c r="N190" s="154">
        <f>MouserListTable[[#This Row],['# Initial]]*MouserListTable[[#This Row],[Price (USD)]]</f>
        <v>25</v>
      </c>
      <c r="O190" s="151" t="s">
        <v>2511</v>
      </c>
      <c r="P190" s="150">
        <f t="shared" si="3"/>
        <v>177</v>
      </c>
      <c r="Q190" s="150" t="s">
        <v>5</v>
      </c>
      <c r="R19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474-WRL-11320</v>
      </c>
      <c r="S190" s="157" t="str">
        <f>HYPERLINK("https://www.mouser.com/ProductDetail/" &amp;MouserListTable[[#This Row],[Mouser SKU]])</f>
        <v>https://www.mouser.com/ProductDetail/474-WRL-11320</v>
      </c>
      <c r="T190" s="152">
        <v>1</v>
      </c>
      <c r="U190" s="152">
        <v>0</v>
      </c>
      <c r="V190" s="152">
        <v>0</v>
      </c>
      <c r="W190" s="152">
        <f>MouserListTable[[#This Row],['#/Unit]]*FilterSpecs!$C$3+MouserListTable[[#This Row],[Extra]]</f>
        <v>5</v>
      </c>
      <c r="X190" s="152">
        <f>IF(MouserListTable[[#This Row],[Tag]]=FilterSpecs!$F$7,MouserListTable[[#This Row],['#/Unit]]*MouserListTable[[#This Row],[Price (USD)]],0)</f>
        <v>5</v>
      </c>
      <c r="Y190" s="152">
        <f>MouserListTable[[#This Row],[Tot '#]]*MouserListTable[[#This Row],[Price (USD)]]</f>
        <v>25</v>
      </c>
      <c r="Z190" s="146"/>
    </row>
    <row r="191" spans="1:37" s="153" customFormat="1" x14ac:dyDescent="0.25">
      <c r="A191" s="150" t="s">
        <v>887</v>
      </c>
      <c r="B191" s="150" t="s">
        <v>9</v>
      </c>
      <c r="C191" s="150" t="s">
        <v>5</v>
      </c>
      <c r="D191" s="151" t="str">
        <f>IF(MouserListTable[[#This Row],[Vendor]]=FilterSpecs!$A$8,MouserListTable[[#This Row],[Mouser SKU]], MouserListTable[[#This Row],[Supplier SKU]])</f>
        <v>474-WRL-13287</v>
      </c>
      <c r="E191" s="152">
        <f>MouserListTable[[#This Row],[Tot '#]]-MouserListTable[[#This Row],['# Initial]]</f>
        <v>0</v>
      </c>
      <c r="F191" s="152">
        <f>IF(AND(MouserListTable[[#This Row],[Tag]]&lt;&gt;FilterSpecs!$F$12, MouserListTable[[#This Row],[Tag]]&lt;&gt;FilterSpecs!$F$9), MouserListTable[[#This Row],['#/Unit]]*FilterSpecs!$B$3+MouserListTable[[#This Row],[Extra Initial]],0)</f>
        <v>5</v>
      </c>
      <c r="G191" s="150" t="s">
        <v>2516</v>
      </c>
      <c r="H191" s="150" t="s">
        <v>2517</v>
      </c>
      <c r="I191" s="150" t="s">
        <v>2518</v>
      </c>
      <c r="J191" s="151">
        <v>1</v>
      </c>
      <c r="K191" s="154">
        <v>14.95</v>
      </c>
      <c r="L191" s="150" t="s">
        <v>1897</v>
      </c>
      <c r="M191" s="151"/>
      <c r="N191" s="154">
        <f>MouserListTable[[#This Row],['# Initial]]*MouserListTable[[#This Row],[Price (USD)]]</f>
        <v>74.75</v>
      </c>
      <c r="O191" s="151" t="s">
        <v>2515</v>
      </c>
      <c r="P191" s="150">
        <f t="shared" si="3"/>
        <v>178</v>
      </c>
      <c r="Q191" s="150" t="s">
        <v>5</v>
      </c>
      <c r="R19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474-WRL-13287</v>
      </c>
      <c r="S191" s="157" t="str">
        <f>HYPERLINK("https://www.mouser.com/ProductDetail/" &amp;MouserListTable[[#This Row],[Mouser SKU]])</f>
        <v>https://www.mouser.com/ProductDetail/474-WRL-13287</v>
      </c>
      <c r="T191" s="152">
        <v>1</v>
      </c>
      <c r="U191" s="152">
        <v>0</v>
      </c>
      <c r="V191" s="152">
        <v>0</v>
      </c>
      <c r="W191" s="152">
        <f>MouserListTable[[#This Row],['#/Unit]]*FilterSpecs!$C$3+MouserListTable[[#This Row],[Extra]]</f>
        <v>5</v>
      </c>
      <c r="X191" s="152">
        <f>IF(MouserListTable[[#This Row],[Tag]]=FilterSpecs!$F$7,MouserListTable[[#This Row],['#/Unit]]*MouserListTable[[#This Row],[Price (USD)]],0)</f>
        <v>14.95</v>
      </c>
      <c r="Y191" s="152">
        <f>MouserListTable[[#This Row],[Tot '#]]*MouserListTable[[#This Row],[Price (USD)]]</f>
        <v>74.75</v>
      </c>
      <c r="Z191" s="146"/>
      <c r="AA191" s="153" t="str">
        <f>InitialOrderTable[[#This Row],[SKU]]</f>
        <v>474-WRL-13287</v>
      </c>
      <c r="AB191" s="153">
        <f>VALUE(InitialOrderTable[[#This Row],['# Initial]])</f>
        <v>5</v>
      </c>
      <c r="AD191" s="153" t="s">
        <v>2368</v>
      </c>
      <c r="AF191" s="153">
        <v>1</v>
      </c>
    </row>
    <row r="192" spans="1:37" s="153" customFormat="1" x14ac:dyDescent="0.25">
      <c r="A192" s="150" t="s">
        <v>888</v>
      </c>
      <c r="B192" s="150" t="s">
        <v>1592</v>
      </c>
      <c r="C192" s="150" t="s">
        <v>5</v>
      </c>
      <c r="D192" s="151" t="str">
        <f>IF(MouserListTable[[#This Row],[Vendor]]=FilterSpecs!$A$8,MouserListTable[[#This Row],[Mouser SKU]], MouserListTable[[#This Row],[Supplier SKU]])</f>
        <v>474-KIT-11591</v>
      </c>
      <c r="E192" s="152">
        <f>MouserListTable[[#This Row],[Tot '#]]-MouserListTable[[#This Row],['# Initial]]</f>
        <v>1</v>
      </c>
      <c r="F192" s="152">
        <f>IF(AND(MouserListTable[[#This Row],[Tag]]&lt;&gt;FilterSpecs!$F$12, MouserListTable[[#This Row],[Tag]]&lt;&gt;FilterSpecs!$F$9), MouserListTable[[#This Row],['#/Unit]]*FilterSpecs!$B$3+MouserListTable[[#This Row],[Extra Initial]],0)</f>
        <v>0</v>
      </c>
      <c r="G192" s="150" t="s">
        <v>1534</v>
      </c>
      <c r="H192" s="150" t="s">
        <v>1535</v>
      </c>
      <c r="I192" s="150" t="s">
        <v>1536</v>
      </c>
      <c r="J192" s="150">
        <v>1</v>
      </c>
      <c r="K192" s="154">
        <v>9.9499999999999993</v>
      </c>
      <c r="L192" s="150" t="s">
        <v>2461</v>
      </c>
      <c r="M192" s="151"/>
      <c r="N192" s="154">
        <f>MouserListTable[[#This Row],['# Initial]]*MouserListTable[[#This Row],[Price (USD)]]</f>
        <v>0</v>
      </c>
      <c r="O192" s="151" t="s">
        <v>1533</v>
      </c>
      <c r="P192" s="150">
        <f t="shared" si="3"/>
        <v>179</v>
      </c>
      <c r="Q192" s="150" t="s">
        <v>5</v>
      </c>
      <c r="R19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474-KIT-11591</v>
      </c>
      <c r="S192" s="157" t="str">
        <f>HYPERLINK("https://www.mouser.com/ProductDetail/" &amp;MouserListTable[[#This Row],[Mouser SKU]])</f>
        <v>https://www.mouser.com/ProductDetail/474-KIT-11591</v>
      </c>
      <c r="T192" s="152">
        <v>0</v>
      </c>
      <c r="U192" s="152">
        <v>1</v>
      </c>
      <c r="V192" s="152">
        <v>0</v>
      </c>
      <c r="W192" s="152">
        <f>MouserListTable[[#This Row],['#/Unit]]*FilterSpecs!$C$3+MouserListTable[[#This Row],[Extra]]</f>
        <v>1</v>
      </c>
      <c r="X192" s="152">
        <f>IF(MouserListTable[[#This Row],[Tag]]=FilterSpecs!$F$7,MouserListTable[[#This Row],['#/Unit]]*MouserListTable[[#This Row],[Price (USD)]],0)</f>
        <v>0</v>
      </c>
      <c r="Y192" s="152">
        <f>MouserListTable[[#This Row],[Tot '#]]*MouserListTable[[#This Row],[Price (USD)]]</f>
        <v>9.9499999999999993</v>
      </c>
      <c r="Z192" s="146"/>
      <c r="AA192" s="153" t="str">
        <f>InitialOrderTable[[#This Row],[SKU]]</f>
        <v>474-KIT-11591</v>
      </c>
      <c r="AB192" s="153">
        <f>VALUE(InitialOrderTable[[#This Row],['# Initial]])</f>
        <v>0</v>
      </c>
      <c r="AD192" s="153" t="s">
        <v>866</v>
      </c>
      <c r="AF192" s="153">
        <v>1</v>
      </c>
    </row>
    <row r="193" spans="1:32" s="153" customFormat="1" x14ac:dyDescent="0.25">
      <c r="A193" s="150" t="s">
        <v>888</v>
      </c>
      <c r="B193" s="150" t="s">
        <v>1592</v>
      </c>
      <c r="C193" s="150" t="s">
        <v>5</v>
      </c>
      <c r="D193" s="151" t="str">
        <f>IF(MouserListTable[[#This Row],[Vendor]]=FilterSpecs!$A$8,MouserListTable[[#This Row],[Mouser SKU]], MouserListTable[[#This Row],[Supplier SKU]])</f>
        <v>474-DEV-09215</v>
      </c>
      <c r="E193" s="152">
        <f>MouserListTable[[#This Row],[Tot '#]]-MouserListTable[[#This Row],['# Initial]]</f>
        <v>1</v>
      </c>
      <c r="F193" s="152">
        <f>IF(AND(MouserListTable[[#This Row],[Tag]]&lt;&gt;FilterSpecs!$F$12, MouserListTable[[#This Row],[Tag]]&lt;&gt;FilterSpecs!$F$9), MouserListTable[[#This Row],['#/Unit]]*FilterSpecs!$B$3+MouserListTable[[#This Row],[Extra Initial]],0)</f>
        <v>0</v>
      </c>
      <c r="G193" s="150" t="s">
        <v>1530</v>
      </c>
      <c r="H193" s="150" t="s">
        <v>1531</v>
      </c>
      <c r="I193" s="150" t="s">
        <v>1532</v>
      </c>
      <c r="J193" s="150">
        <v>1</v>
      </c>
      <c r="K193" s="154">
        <v>1.95</v>
      </c>
      <c r="L193" s="150" t="s">
        <v>1896</v>
      </c>
      <c r="M193" s="151"/>
      <c r="N193" s="154">
        <f>MouserListTable[[#This Row],['# Initial]]*MouserListTable[[#This Row],[Price (USD)]]</f>
        <v>0</v>
      </c>
      <c r="O193" s="151" t="s">
        <v>1529</v>
      </c>
      <c r="P193" s="150">
        <f t="shared" si="3"/>
        <v>180</v>
      </c>
      <c r="Q193" s="150" t="s">
        <v>5</v>
      </c>
      <c r="R19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474-DEV-09215</v>
      </c>
      <c r="S193" s="157" t="str">
        <f>HYPERLINK("https://www.mouser.com/ProductDetail/" &amp;MouserListTable[[#This Row],[Mouser SKU]])</f>
        <v>https://www.mouser.com/ProductDetail/474-DEV-09215</v>
      </c>
      <c r="T193" s="152">
        <v>0</v>
      </c>
      <c r="U193" s="152">
        <v>1</v>
      </c>
      <c r="V193" s="152">
        <v>0</v>
      </c>
      <c r="W193" s="152">
        <f>MouserListTable[[#This Row],['#/Unit]]*FilterSpecs!$C$3+MouserListTable[[#This Row],[Extra]]</f>
        <v>1</v>
      </c>
      <c r="X193" s="152">
        <f>IF(MouserListTable[[#This Row],[Tag]]=FilterSpecs!$F$7,MouserListTable[[#This Row],['#/Unit]]*MouserListTable[[#This Row],[Price (USD)]],0)</f>
        <v>0</v>
      </c>
      <c r="Y193" s="152">
        <f>MouserListTable[[#This Row],[Tot '#]]*MouserListTable[[#This Row],[Price (USD)]]</f>
        <v>1.95</v>
      </c>
      <c r="Z193" s="146"/>
      <c r="AA193" s="153" t="str">
        <f>InitialOrderTable[[#This Row],[SKU]]</f>
        <v>474-DEV-09215</v>
      </c>
      <c r="AB193" s="153">
        <f>VALUE(InitialOrderTable[[#This Row],['# Initial]])</f>
        <v>0</v>
      </c>
      <c r="AD193" s="153" t="s">
        <v>858</v>
      </c>
      <c r="AF193" s="153">
        <v>1</v>
      </c>
    </row>
    <row r="194" spans="1:32" s="153" customFormat="1" x14ac:dyDescent="0.25">
      <c r="A194" s="150" t="s">
        <v>888</v>
      </c>
      <c r="B194" s="150" t="s">
        <v>12</v>
      </c>
      <c r="C194" s="150" t="s">
        <v>5</v>
      </c>
      <c r="D194" s="151" t="str">
        <f>IF(MouserListTable[[#This Row],[Vendor]]=FilterSpecs!$A$8,MouserListTable[[#This Row],[Mouser SKU]], MouserListTable[[#This Row],[Supplier SKU]])</f>
        <v>474-BOB-12009</v>
      </c>
      <c r="E194" s="152">
        <f>MouserListTable[[#This Row],[Tot '#]]-MouserListTable[[#This Row],['# Initial]]</f>
        <v>0</v>
      </c>
      <c r="F194" s="152">
        <f>IF(AND(MouserListTable[[#This Row],[Tag]]&lt;&gt;FilterSpecs!$F$12, MouserListTable[[#This Row],[Tag]]&lt;&gt;FilterSpecs!$F$9), MouserListTable[[#This Row],['#/Unit]]*FilterSpecs!$B$3+MouserListTable[[#This Row],[Extra Initial]],0)</f>
        <v>15</v>
      </c>
      <c r="G194" s="150" t="s">
        <v>258</v>
      </c>
      <c r="H194" s="150" t="s">
        <v>259</v>
      </c>
      <c r="I194" s="150" t="s">
        <v>260</v>
      </c>
      <c r="J194" s="150">
        <v>1</v>
      </c>
      <c r="K194" s="154">
        <v>2.95</v>
      </c>
      <c r="L194" s="150" t="s">
        <v>1897</v>
      </c>
      <c r="M194" s="150"/>
      <c r="N194" s="154">
        <f>MouserListTable[[#This Row],['# Initial]]*MouserListTable[[#This Row],[Price (USD)]]</f>
        <v>44.25</v>
      </c>
      <c r="O194" s="151" t="s">
        <v>257</v>
      </c>
      <c r="P194" s="150">
        <f t="shared" si="3"/>
        <v>181</v>
      </c>
      <c r="Q194" s="150" t="s">
        <v>5</v>
      </c>
      <c r="R19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474-BOB-12009</v>
      </c>
      <c r="S194" s="157" t="str">
        <f>HYPERLINK("https://www.mouser.com/ProductDetail/" &amp;MouserListTable[[#This Row],[Mouser SKU]])</f>
        <v>https://www.mouser.com/ProductDetail/474-BOB-12009</v>
      </c>
      <c r="T194" s="152">
        <v>3</v>
      </c>
      <c r="U194" s="152">
        <v>0</v>
      </c>
      <c r="V194" s="152">
        <v>0</v>
      </c>
      <c r="W194" s="152">
        <f>MouserListTable[[#This Row],['#/Unit]]*FilterSpecs!$C$3+MouserListTable[[#This Row],[Extra]]</f>
        <v>15</v>
      </c>
      <c r="X194" s="152">
        <f>IF(MouserListTable[[#This Row],[Tag]]=FilterSpecs!$F$7,MouserListTable[[#This Row],['#/Unit]]*MouserListTable[[#This Row],[Price (USD)]],0)</f>
        <v>8.8500000000000014</v>
      </c>
      <c r="Y194" s="152">
        <f>MouserListTable[[#This Row],[Tot '#]]*MouserListTable[[#This Row],[Price (USD)]]</f>
        <v>44.25</v>
      </c>
      <c r="Z194" s="146"/>
      <c r="AA194" s="153" t="str">
        <f>InitialOrderTable[[#This Row],[SKU]]</f>
        <v>474-BOB-12009</v>
      </c>
      <c r="AB194" s="153">
        <f>VALUE(InitialOrderTable[[#This Row],['# Initial]])</f>
        <v>15</v>
      </c>
      <c r="AD194" s="153" t="s">
        <v>1164</v>
      </c>
      <c r="AF194" s="153">
        <v>1</v>
      </c>
    </row>
    <row r="195" spans="1:32" s="153" customFormat="1" x14ac:dyDescent="0.25">
      <c r="A195" s="150" t="s">
        <v>888</v>
      </c>
      <c r="B195" s="150" t="s">
        <v>12</v>
      </c>
      <c r="C195" s="150" t="s">
        <v>5</v>
      </c>
      <c r="D195" s="151" t="str">
        <f>IF(MouserListTable[[#This Row],[Vendor]]=FilterSpecs!$A$8,MouserListTable[[#This Row],[Mouser SKU]], MouserListTable[[#This Row],[Supplier SKU]])</f>
        <v>474-BOB-11955</v>
      </c>
      <c r="E195" s="152">
        <f>MouserListTable[[#This Row],[Tot '#]]-MouserListTable[[#This Row],['# Initial]]</f>
        <v>0</v>
      </c>
      <c r="F195" s="152">
        <f>IF(AND(MouserListTable[[#This Row],[Tag]]&lt;&gt;FilterSpecs!$F$12, MouserListTable[[#This Row],[Tag]]&lt;&gt;FilterSpecs!$F$9), MouserListTable[[#This Row],['#/Unit]]*FilterSpecs!$B$3+MouserListTable[[#This Row],[Extra Initial]],0)</f>
        <v>5</v>
      </c>
      <c r="G195" s="150" t="s">
        <v>287</v>
      </c>
      <c r="H195" s="150" t="s">
        <v>288</v>
      </c>
      <c r="I195" s="150" t="s">
        <v>289</v>
      </c>
      <c r="J195" s="150">
        <v>1</v>
      </c>
      <c r="K195" s="154">
        <v>6.95</v>
      </c>
      <c r="L195" s="150" t="s">
        <v>1897</v>
      </c>
      <c r="M195" s="150"/>
      <c r="N195" s="154">
        <f>MouserListTable[[#This Row],['# Initial]]*MouserListTable[[#This Row],[Price (USD)]]</f>
        <v>34.75</v>
      </c>
      <c r="O195" s="151" t="s">
        <v>286</v>
      </c>
      <c r="P195" s="150">
        <f t="shared" si="3"/>
        <v>182</v>
      </c>
      <c r="Q195" s="150" t="s">
        <v>5</v>
      </c>
      <c r="R19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474-BOB-11955</v>
      </c>
      <c r="S195" s="157" t="str">
        <f>HYPERLINK("https://www.mouser.com/ProductDetail/" &amp;MouserListTable[[#This Row],[Mouser SKU]])</f>
        <v>https://www.mouser.com/ProductDetail/474-BOB-11955</v>
      </c>
      <c r="T195" s="152">
        <v>1</v>
      </c>
      <c r="U195" s="152">
        <v>0</v>
      </c>
      <c r="V195" s="152">
        <v>0</v>
      </c>
      <c r="W195" s="152">
        <f>MouserListTable[[#This Row],['#/Unit]]*FilterSpecs!$C$3+MouserListTable[[#This Row],[Extra]]</f>
        <v>5</v>
      </c>
      <c r="X195" s="152">
        <f>IF(MouserListTable[[#This Row],[Tag]]=FilterSpecs!$F$7,MouserListTable[[#This Row],['#/Unit]]*MouserListTable[[#This Row],[Price (USD)]],0)</f>
        <v>6.95</v>
      </c>
      <c r="Y195" s="152">
        <f>MouserListTable[[#This Row],[Tot '#]]*MouserListTable[[#This Row],[Price (USD)]]</f>
        <v>34.75</v>
      </c>
      <c r="Z195" s="146"/>
      <c r="AA195" s="153" t="str">
        <f>InitialOrderTable[[#This Row],[SKU]]</f>
        <v>474-BOB-11955</v>
      </c>
      <c r="AB195" s="153">
        <f>VALUE(InitialOrderTable[[#This Row],['# Initial]])</f>
        <v>5</v>
      </c>
      <c r="AD195" s="153" t="s">
        <v>826</v>
      </c>
      <c r="AF195" s="153">
        <v>1</v>
      </c>
    </row>
    <row r="196" spans="1:32" s="104" customFormat="1" x14ac:dyDescent="0.25">
      <c r="A196" s="150" t="s">
        <v>888</v>
      </c>
      <c r="B196" s="150" t="s">
        <v>12</v>
      </c>
      <c r="C196" s="150" t="s">
        <v>5</v>
      </c>
      <c r="D196" s="151" t="str">
        <f>IF(MouserListTable[[#This Row],[Vendor]]=FilterSpecs!$A$8,MouserListTable[[#This Row],[Mouser SKU]], MouserListTable[[#This Row],[Supplier SKU]])</f>
        <v>474-BOB-11771</v>
      </c>
      <c r="E196" s="152">
        <f>MouserListTable[[#This Row],[Tot '#]]-MouserListTable[[#This Row],['# Initial]]</f>
        <v>0</v>
      </c>
      <c r="F196" s="152">
        <f>IF(AND(MouserListTable[[#This Row],[Tag]]&lt;&gt;FilterSpecs!$F$12, MouserListTable[[#This Row],[Tag]]&lt;&gt;FilterSpecs!$F$9), MouserListTable[[#This Row],['#/Unit]]*FilterSpecs!$B$3+MouserListTable[[#This Row],[Extra Initial]],0)</f>
        <v>5</v>
      </c>
      <c r="G196" s="150" t="s">
        <v>291</v>
      </c>
      <c r="H196" s="150" t="s">
        <v>292</v>
      </c>
      <c r="I196" s="150" t="s">
        <v>209</v>
      </c>
      <c r="J196" s="150">
        <v>1</v>
      </c>
      <c r="K196" s="154">
        <v>3.95</v>
      </c>
      <c r="L196" s="150" t="s">
        <v>1897</v>
      </c>
      <c r="M196" s="150"/>
      <c r="N196" s="154">
        <f>MouserListTable[[#This Row],['# Initial]]*MouserListTable[[#This Row],[Price (USD)]]</f>
        <v>19.75</v>
      </c>
      <c r="O196" s="151" t="s">
        <v>290</v>
      </c>
      <c r="P196" s="150">
        <f t="shared" si="3"/>
        <v>183</v>
      </c>
      <c r="Q196" s="150" t="s">
        <v>5</v>
      </c>
      <c r="R19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474-BOB-11771</v>
      </c>
      <c r="S196" s="157" t="str">
        <f>HYPERLINK("https://www.mouser.com/ProductDetail/" &amp;MouserListTable[[#This Row],[Mouser SKU]])</f>
        <v>https://www.mouser.com/ProductDetail/474-BOB-11771</v>
      </c>
      <c r="T196" s="152">
        <v>1</v>
      </c>
      <c r="U196" s="152">
        <v>0</v>
      </c>
      <c r="V196" s="152">
        <v>0</v>
      </c>
      <c r="W196" s="152">
        <f>MouserListTable[[#This Row],['#/Unit]]*FilterSpecs!$C$3+MouserListTable[[#This Row],[Extra]]</f>
        <v>5</v>
      </c>
      <c r="X196" s="152">
        <f>IF(MouserListTable[[#This Row],[Tag]]=FilterSpecs!$F$7,MouserListTable[[#This Row],['#/Unit]]*MouserListTable[[#This Row],[Price (USD)]],0)</f>
        <v>3.95</v>
      </c>
      <c r="Y196" s="152">
        <f>MouserListTable[[#This Row],[Tot '#]]*MouserListTable[[#This Row],[Price (USD)]]</f>
        <v>19.75</v>
      </c>
      <c r="Z196" s="146"/>
      <c r="AA196" s="153" t="str">
        <f>InitialOrderTable[[#This Row],[SKU]]</f>
        <v>474-BOB-11771</v>
      </c>
      <c r="AB196" s="153">
        <f>VALUE(InitialOrderTable[[#This Row],['# Initial]])</f>
        <v>5</v>
      </c>
      <c r="AD196" s="104" t="s">
        <v>2060</v>
      </c>
      <c r="AF196" s="104">
        <v>1</v>
      </c>
    </row>
    <row r="197" spans="1:32" s="104" customFormat="1" x14ac:dyDescent="0.25">
      <c r="A197" s="150" t="s">
        <v>888</v>
      </c>
      <c r="B197" s="150" t="s">
        <v>12</v>
      </c>
      <c r="C197" s="150" t="s">
        <v>5</v>
      </c>
      <c r="D197" s="151" t="str">
        <f>IF(MouserListTable[[#This Row],[Vendor]]=FilterSpecs!$A$8,MouserListTable[[#This Row],[Mouser SKU]], MouserListTable[[#This Row],[Supplier SKU]])</f>
        <v>474-BOB-12918</v>
      </c>
      <c r="E197" s="152">
        <f>MouserListTable[[#This Row],[Tot '#]]-MouserListTable[[#This Row],['# Initial]]</f>
        <v>0</v>
      </c>
      <c r="F197" s="152">
        <f>IF(AND(MouserListTable[[#This Row],[Tag]]&lt;&gt;FilterSpecs!$F$12, MouserListTable[[#This Row],[Tag]]&lt;&gt;FilterSpecs!$F$9), MouserListTable[[#This Row],['#/Unit]]*FilterSpecs!$B$3+MouserListTable[[#This Row],[Extra Initial]],0)</f>
        <v>5</v>
      </c>
      <c r="G197" s="150" t="s">
        <v>338</v>
      </c>
      <c r="H197" s="150" t="s">
        <v>339</v>
      </c>
      <c r="I197" s="150" t="s">
        <v>206</v>
      </c>
      <c r="J197" s="150">
        <v>1</v>
      </c>
      <c r="K197" s="154">
        <v>4.95</v>
      </c>
      <c r="L197" s="150" t="s">
        <v>1897</v>
      </c>
      <c r="M197" s="150"/>
      <c r="N197" s="154">
        <f>MouserListTable[[#This Row],['# Initial]]*MouserListTable[[#This Row],[Price (USD)]]</f>
        <v>24.75</v>
      </c>
      <c r="O197" s="151" t="s">
        <v>337</v>
      </c>
      <c r="P197" s="150">
        <f t="shared" si="3"/>
        <v>184</v>
      </c>
      <c r="Q197" s="150" t="s">
        <v>5</v>
      </c>
      <c r="R19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474-BOB-12918</v>
      </c>
      <c r="S197" s="157" t="str">
        <f>HYPERLINK("https://www.mouser.com/ProductDetail/" &amp;MouserListTable[[#This Row],[Mouser SKU]])</f>
        <v>https://www.mouser.com/ProductDetail/474-BOB-12918</v>
      </c>
      <c r="T197" s="152">
        <v>1</v>
      </c>
      <c r="U197" s="152">
        <v>0</v>
      </c>
      <c r="V197" s="152">
        <v>0</v>
      </c>
      <c r="W197" s="152">
        <f>MouserListTable[[#This Row],['#/Unit]]*FilterSpecs!$C$3+MouserListTable[[#This Row],[Extra]]</f>
        <v>5</v>
      </c>
      <c r="X197" s="152">
        <f>IF(MouserListTable[[#This Row],[Tag]]=FilterSpecs!$F$7,MouserListTable[[#This Row],['#/Unit]]*MouserListTable[[#This Row],[Price (USD)]],0)</f>
        <v>4.95</v>
      </c>
      <c r="Y197" s="152">
        <f>MouserListTable[[#This Row],[Tot '#]]*MouserListTable[[#This Row],[Price (USD)]]</f>
        <v>24.75</v>
      </c>
      <c r="Z197" s="146"/>
      <c r="AA197" s="153" t="str">
        <f>InitialOrderTable[[#This Row],[SKU]]</f>
        <v>474-BOB-12918</v>
      </c>
      <c r="AB197" s="153">
        <f>VALUE(InitialOrderTable[[#This Row],['# Initial]])</f>
        <v>5</v>
      </c>
      <c r="AD197" s="104" t="s">
        <v>2056</v>
      </c>
      <c r="AF197" s="104">
        <v>1</v>
      </c>
    </row>
    <row r="198" spans="1:32" s="104" customFormat="1" x14ac:dyDescent="0.25">
      <c r="A198" s="97" t="s">
        <v>888</v>
      </c>
      <c r="B198" s="97" t="s">
        <v>12</v>
      </c>
      <c r="C198" s="150" t="s">
        <v>1884</v>
      </c>
      <c r="D198" s="151" t="str">
        <f>IF(MouserListTable[[#This Row],[Vendor]]=FilterSpecs!$A$8,MouserListTable[[#This Row],[Mouser SKU]], MouserListTable[[#This Row],[Supplier SKU]])</f>
        <v>485-935</v>
      </c>
      <c r="E198" s="152">
        <f>MouserListTable[[#This Row],[Tot '#]]-MouserListTable[[#This Row],['# Initial]]</f>
        <v>0</v>
      </c>
      <c r="F198" s="152">
        <f>IF(AND(MouserListTable[[#This Row],[Tag]]&lt;&gt;FilterSpecs!$F$12, MouserListTable[[#This Row],[Tag]]&lt;&gt;FilterSpecs!$F$9), MouserListTable[[#This Row],['#/Unit]]*FilterSpecs!$B$3+MouserListTable[[#This Row],[Extra Initial]],0)</f>
        <v>0</v>
      </c>
      <c r="G198" s="150"/>
      <c r="H198" s="150"/>
      <c r="I198" s="150" t="s">
        <v>2131</v>
      </c>
      <c r="J198" s="153"/>
      <c r="K198" s="118">
        <v>4.95</v>
      </c>
      <c r="L198" s="153" t="s">
        <v>1896</v>
      </c>
      <c r="M198" s="153"/>
      <c r="N198" s="154">
        <f>MouserListTable[[#This Row],['# Initial]]*MouserListTable[[#This Row],[Price (USD)]]</f>
        <v>0</v>
      </c>
      <c r="O198" s="151" t="s">
        <v>2130</v>
      </c>
      <c r="P198" s="150">
        <f t="shared" si="3"/>
        <v>185</v>
      </c>
      <c r="Q198" s="150" t="s">
        <v>1884</v>
      </c>
      <c r="R19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485-935</v>
      </c>
      <c r="S198" s="157" t="str">
        <f>HYPERLINK("https://www.mouser.com/ProductDetail/" &amp;MouserListTable[[#This Row],[Mouser SKU]])</f>
        <v>https://www.mouser.com/ProductDetail/485-935</v>
      </c>
      <c r="T198" s="152">
        <v>0</v>
      </c>
      <c r="U198" s="152">
        <v>0</v>
      </c>
      <c r="V198" s="152">
        <v>0</v>
      </c>
      <c r="W198" s="152">
        <f>MouserListTable[[#This Row],['#/Unit]]*FilterSpecs!$C$3+MouserListTable[[#This Row],[Extra]]</f>
        <v>0</v>
      </c>
      <c r="X198" s="152">
        <f>IF(MouserListTable[[#This Row],[Tag]]=FilterSpecs!$F$7,MouserListTable[[#This Row],['#/Unit]]*MouserListTable[[#This Row],[Price (USD)]],0)</f>
        <v>0</v>
      </c>
      <c r="Y198" s="152">
        <f>MouserListTable[[#This Row],[Tot '#]]*MouserListTable[[#This Row],[Price (USD)]]</f>
        <v>0</v>
      </c>
      <c r="Z198" s="146"/>
      <c r="AA198" s="153" t="str">
        <f>InitialOrderTable[[#This Row],[SKU]]</f>
        <v>485-935</v>
      </c>
      <c r="AB198" s="153">
        <f>VALUE(InitialOrderTable[[#This Row],['# Initial]])</f>
        <v>0</v>
      </c>
      <c r="AD198" s="104" t="s">
        <v>2058</v>
      </c>
      <c r="AF198" s="104">
        <v>1</v>
      </c>
    </row>
    <row r="199" spans="1:32" s="104" customFormat="1" x14ac:dyDescent="0.25">
      <c r="A199" s="150" t="s">
        <v>888</v>
      </c>
      <c r="B199" s="97" t="s">
        <v>12</v>
      </c>
      <c r="C199" s="150" t="s">
        <v>1884</v>
      </c>
      <c r="D199" s="151" t="str">
        <f>IF(MouserListTable[[#This Row],[Vendor]]=FilterSpecs!$A$8,MouserListTable[[#This Row],[Mouser SKU]], MouserListTable[[#This Row],[Supplier SKU]])</f>
        <v>485-1895</v>
      </c>
      <c r="E199" s="152">
        <f>MouserListTable[[#This Row],[Tot '#]]-MouserListTable[[#This Row],['# Initial]]</f>
        <v>0</v>
      </c>
      <c r="F199" s="152">
        <f>IF(AND(MouserListTable[[#This Row],[Tag]]&lt;&gt;FilterSpecs!$F$12, MouserListTable[[#This Row],[Tag]]&lt;&gt;FilterSpecs!$F$9), MouserListTable[[#This Row],['#/Unit]]*FilterSpecs!$B$3+MouserListTable[[#This Row],[Extra Initial]],0)</f>
        <v>0</v>
      </c>
      <c r="G199" s="150"/>
      <c r="H199" s="150"/>
      <c r="I199" s="150" t="s">
        <v>2331</v>
      </c>
      <c r="J199" s="153"/>
      <c r="K199" s="118">
        <v>9.9499999999999993</v>
      </c>
      <c r="L199" s="97" t="s">
        <v>1896</v>
      </c>
      <c r="M199" s="153"/>
      <c r="N199" s="154">
        <f>MouserListTable[[#This Row],['# Initial]]*MouserListTable[[#This Row],[Price (USD)]]</f>
        <v>0</v>
      </c>
      <c r="O199" s="151" t="s">
        <v>2330</v>
      </c>
      <c r="P199" s="150">
        <f t="shared" si="3"/>
        <v>186</v>
      </c>
      <c r="Q199" s="150" t="s">
        <v>1884</v>
      </c>
      <c r="R19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485-1895</v>
      </c>
      <c r="S199" s="157" t="str">
        <f>HYPERLINK("https://www.mouser.com/ProductDetail/" &amp;MouserListTable[[#This Row],[Mouser SKU]])</f>
        <v>https://www.mouser.com/ProductDetail/485-1895</v>
      </c>
      <c r="T199" s="152">
        <v>0</v>
      </c>
      <c r="U199" s="152">
        <v>0</v>
      </c>
      <c r="V199" s="152">
        <v>0</v>
      </c>
      <c r="W199" s="152">
        <f>MouserListTable[[#This Row],['#/Unit]]*FilterSpecs!$C$3+MouserListTable[[#This Row],[Extra]]</f>
        <v>0</v>
      </c>
      <c r="X199" s="152">
        <f>IF(MouserListTable[[#This Row],[Tag]]=FilterSpecs!$F$7,MouserListTable[[#This Row],['#/Unit]]*MouserListTable[[#This Row],[Price (USD)]],0)</f>
        <v>0</v>
      </c>
      <c r="Y199" s="152">
        <f>MouserListTable[[#This Row],[Tot '#]]*MouserListTable[[#This Row],[Price (USD)]]</f>
        <v>0</v>
      </c>
      <c r="Z199" s="146"/>
      <c r="AA199" s="153" t="str">
        <f>InitialOrderTable[[#This Row],[SKU]]</f>
        <v>485-1895</v>
      </c>
      <c r="AB199" s="153">
        <f>VALUE(InitialOrderTable[[#This Row],['# Initial]])</f>
        <v>0</v>
      </c>
      <c r="AD199" s="104" t="s">
        <v>2052</v>
      </c>
      <c r="AF199" s="104">
        <v>1</v>
      </c>
    </row>
    <row r="200" spans="1:32" x14ac:dyDescent="0.25">
      <c r="A200" s="150" t="s">
        <v>888</v>
      </c>
      <c r="B200" s="97" t="s">
        <v>12</v>
      </c>
      <c r="C200" s="150" t="s">
        <v>1884</v>
      </c>
      <c r="D200" s="151" t="str">
        <f>IF(MouserListTable[[#This Row],[Vendor]]=FilterSpecs!$A$8,MouserListTable[[#This Row],[Mouser SKU]], MouserListTable[[#This Row],[Supplier SKU]])</f>
        <v>485-1897</v>
      </c>
      <c r="E200" s="152">
        <f>MouserListTable[[#This Row],[Tot '#]]-MouserListTable[[#This Row],['# Initial]]</f>
        <v>0</v>
      </c>
      <c r="F200" s="152">
        <f>IF(AND(MouserListTable[[#This Row],[Tag]]&lt;&gt;FilterSpecs!$F$12, MouserListTable[[#This Row],[Tag]]&lt;&gt;FilterSpecs!$F$9), MouserListTable[[#This Row],['#/Unit]]*FilterSpecs!$B$3+MouserListTable[[#This Row],[Extra Initial]],0)</f>
        <v>0</v>
      </c>
      <c r="G200" s="150"/>
      <c r="H200" s="150"/>
      <c r="I200" s="150" t="s">
        <v>2333</v>
      </c>
      <c r="J200" s="153"/>
      <c r="K200" s="118">
        <v>5.95</v>
      </c>
      <c r="L200" s="97" t="s">
        <v>1896</v>
      </c>
      <c r="M200" s="153"/>
      <c r="N200" s="154">
        <f>MouserListTable[[#This Row],['# Initial]]*MouserListTable[[#This Row],[Price (USD)]]</f>
        <v>0</v>
      </c>
      <c r="O200" s="151" t="s">
        <v>2332</v>
      </c>
      <c r="P200" s="150">
        <f t="shared" si="3"/>
        <v>187</v>
      </c>
      <c r="Q200" s="150" t="s">
        <v>1884</v>
      </c>
      <c r="R20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485-1897</v>
      </c>
      <c r="S200" s="157" t="str">
        <f>HYPERLINK("https://www.mouser.com/ProductDetail/" &amp;MouserListTable[[#This Row],[Mouser SKU]])</f>
        <v>https://www.mouser.com/ProductDetail/485-1897</v>
      </c>
      <c r="T200" s="152">
        <v>0</v>
      </c>
      <c r="U200" s="152">
        <v>0</v>
      </c>
      <c r="V200" s="152">
        <v>0</v>
      </c>
      <c r="W200" s="152">
        <f>MouserListTable[[#This Row],['#/Unit]]*FilterSpecs!$C$3+MouserListTable[[#This Row],[Extra]]</f>
        <v>0</v>
      </c>
      <c r="X200" s="152">
        <f>IF(MouserListTable[[#This Row],[Tag]]=FilterSpecs!$F$7,MouserListTable[[#This Row],['#/Unit]]*MouserListTable[[#This Row],[Price (USD)]],0)</f>
        <v>0</v>
      </c>
      <c r="Y200" s="152">
        <f>MouserListTable[[#This Row],[Tot '#]]*MouserListTable[[#This Row],[Price (USD)]]</f>
        <v>0</v>
      </c>
      <c r="Z200" s="132"/>
      <c r="AA200" s="153" t="str">
        <f>InitialOrderTable[[#This Row],[SKU]]</f>
        <v>485-1897</v>
      </c>
      <c r="AB200" s="153" t="s">
        <v>2573</v>
      </c>
      <c r="AD200" s="146" t="e">
        <v>#VALUE!</v>
      </c>
      <c r="AF200" s="146" t="e">
        <v>#VALUE!</v>
      </c>
    </row>
    <row r="201" spans="1:32" x14ac:dyDescent="0.25">
      <c r="A201" s="150" t="s">
        <v>888</v>
      </c>
      <c r="B201" s="97" t="s">
        <v>12</v>
      </c>
      <c r="C201" s="150" t="s">
        <v>5</v>
      </c>
      <c r="D201" s="151" t="str">
        <f>IF(MouserListTable[[#This Row],[Vendor]]=FilterSpecs!$A$8,MouserListTable[[#This Row],[Mouser SKU]], MouserListTable[[#This Row],[Supplier SKU]])</f>
        <v>474-BOB-00717</v>
      </c>
      <c r="E201" s="152">
        <f>MouserListTable[[#This Row],[Tot '#]]-MouserListTable[[#This Row],['# Initial]]</f>
        <v>0</v>
      </c>
      <c r="F201" s="152">
        <f>IF(AND(MouserListTable[[#This Row],[Tag]]&lt;&gt;FilterSpecs!$F$12, MouserListTable[[#This Row],[Tag]]&lt;&gt;FilterSpecs!$F$9), MouserListTable[[#This Row],['#/Unit]]*FilterSpecs!$B$3+MouserListTable[[#This Row],[Extra Initial]],0)</f>
        <v>0</v>
      </c>
      <c r="G201" s="150" t="s">
        <v>1269</v>
      </c>
      <c r="H201" s="150" t="s">
        <v>1270</v>
      </c>
      <c r="I201" s="150" t="s">
        <v>1271</v>
      </c>
      <c r="J201" s="153">
        <v>1</v>
      </c>
      <c r="K201" s="118">
        <v>0.95</v>
      </c>
      <c r="L201" s="97" t="s">
        <v>1896</v>
      </c>
      <c r="M201" s="153"/>
      <c r="N201" s="154">
        <f>MouserListTable[[#This Row],['# Initial]]*MouserListTable[[#This Row],[Price (USD)]]</f>
        <v>0</v>
      </c>
      <c r="O201" s="151" t="s">
        <v>1268</v>
      </c>
      <c r="P201" s="150">
        <f t="shared" si="3"/>
        <v>188</v>
      </c>
      <c r="Q201" s="150" t="s">
        <v>5</v>
      </c>
      <c r="R20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474-BOB-00717</v>
      </c>
      <c r="S201" s="157" t="str">
        <f>HYPERLINK("https://www.mouser.com/ProductDetail/" &amp;MouserListTable[[#This Row],[Mouser SKU]])</f>
        <v>https://www.mouser.com/ProductDetail/474-BOB-00717</v>
      </c>
      <c r="T201" s="152">
        <v>0</v>
      </c>
      <c r="U201" s="152">
        <v>0</v>
      </c>
      <c r="V201" s="152">
        <v>0</v>
      </c>
      <c r="W201" s="152">
        <f>MouserListTable[[#This Row],['#/Unit]]*FilterSpecs!$C$3+MouserListTable[[#This Row],[Extra]]</f>
        <v>0</v>
      </c>
      <c r="X201" s="152">
        <f>IF(MouserListTable[[#This Row],[Tag]]=FilterSpecs!$F$7,MouserListTable[[#This Row],['#/Unit]]*MouserListTable[[#This Row],[Price (USD)]],0)</f>
        <v>0</v>
      </c>
      <c r="Y201" s="152">
        <f>MouserListTable[[#This Row],[Tot '#]]*MouserListTable[[#This Row],[Price (USD)]]</f>
        <v>0</v>
      </c>
      <c r="AA201" s="132"/>
      <c r="AB201" s="153"/>
    </row>
    <row r="202" spans="1:32" x14ac:dyDescent="0.25">
      <c r="A202" s="150" t="s">
        <v>888</v>
      </c>
      <c r="B202" s="97" t="s">
        <v>12</v>
      </c>
      <c r="C202" s="150" t="s">
        <v>5</v>
      </c>
      <c r="D202" s="151" t="str">
        <f>IF(MouserListTable[[#This Row],[Vendor]]=FilterSpecs!$A$8,MouserListTable[[#This Row],[Mouser SKU]], MouserListTable[[#This Row],[Supplier SKU]])</f>
        <v>474-BOB-13655</v>
      </c>
      <c r="E202" s="152">
        <f>MouserListTable[[#This Row],[Tot '#]]-MouserListTable[[#This Row],['# Initial]]</f>
        <v>0</v>
      </c>
      <c r="F202" s="152">
        <f>IF(AND(MouserListTable[[#This Row],[Tag]]&lt;&gt;FilterSpecs!$F$12, MouserListTable[[#This Row],[Tag]]&lt;&gt;FilterSpecs!$F$9), MouserListTable[[#This Row],['#/Unit]]*FilterSpecs!$B$3+MouserListTable[[#This Row],[Extra Initial]],0)</f>
        <v>0</v>
      </c>
      <c r="G202" s="150" t="s">
        <v>1445</v>
      </c>
      <c r="H202" s="150" t="s">
        <v>1446</v>
      </c>
      <c r="I202" s="150" t="s">
        <v>1447</v>
      </c>
      <c r="J202" s="153">
        <v>1</v>
      </c>
      <c r="K202" s="118">
        <v>2.95</v>
      </c>
      <c r="L202" s="97" t="s">
        <v>1896</v>
      </c>
      <c r="M202" s="153"/>
      <c r="N202" s="154">
        <f>MouserListTable[[#This Row],['# Initial]]*MouserListTable[[#This Row],[Price (USD)]]</f>
        <v>0</v>
      </c>
      <c r="O202" s="151" t="s">
        <v>1444</v>
      </c>
      <c r="P202" s="150">
        <f t="shared" si="3"/>
        <v>189</v>
      </c>
      <c r="Q202" s="150" t="s">
        <v>5</v>
      </c>
      <c r="R20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474-BOB-13655</v>
      </c>
      <c r="S202" s="157" t="str">
        <f>HYPERLINK("https://www.mouser.com/ProductDetail/" &amp;MouserListTable[[#This Row],[Mouser SKU]])</f>
        <v>https://www.mouser.com/ProductDetail/474-BOB-13655</v>
      </c>
      <c r="T202" s="152">
        <v>0</v>
      </c>
      <c r="U202" s="152">
        <v>0</v>
      </c>
      <c r="V202" s="152">
        <v>0</v>
      </c>
      <c r="W202" s="152">
        <f>MouserListTable[[#This Row],['#/Unit]]*FilterSpecs!$C$3+MouserListTable[[#This Row],[Extra]]</f>
        <v>0</v>
      </c>
      <c r="X202" s="152">
        <f>IF(MouserListTable[[#This Row],[Tag]]=FilterSpecs!$F$7,MouserListTable[[#This Row],['#/Unit]]*MouserListTable[[#This Row],[Price (USD)]],0)</f>
        <v>0</v>
      </c>
      <c r="Y202" s="152">
        <f>MouserListTable[[#This Row],[Tot '#]]*MouserListTable[[#This Row],[Price (USD)]]</f>
        <v>0</v>
      </c>
      <c r="AA202" s="132"/>
      <c r="AB202" s="153"/>
    </row>
    <row r="203" spans="1:32" x14ac:dyDescent="0.25">
      <c r="A203" s="150" t="s">
        <v>888</v>
      </c>
      <c r="B203" s="97" t="s">
        <v>12</v>
      </c>
      <c r="C203" s="150" t="s">
        <v>5</v>
      </c>
      <c r="D203" s="151" t="str">
        <f>IF(MouserListTable[[#This Row],[Vendor]]=FilterSpecs!$A$8,MouserListTable[[#This Row],[Mouser SKU]], MouserListTable[[#This Row],[Supplier SKU]])</f>
        <v>474-BOB-00497</v>
      </c>
      <c r="E203" s="152">
        <f>MouserListTable[[#This Row],[Tot '#]]-MouserListTable[[#This Row],['# Initial]]</f>
        <v>0</v>
      </c>
      <c r="F203" s="152">
        <f>IF(AND(MouserListTable[[#This Row],[Tag]]&lt;&gt;FilterSpecs!$F$12, MouserListTable[[#This Row],[Tag]]&lt;&gt;FilterSpecs!$F$9), MouserListTable[[#This Row],['#/Unit]]*FilterSpecs!$B$3+MouserListTable[[#This Row],[Extra Initial]],0)</f>
        <v>0</v>
      </c>
      <c r="G203" s="150" t="s">
        <v>1457</v>
      </c>
      <c r="H203" s="150" t="s">
        <v>1458</v>
      </c>
      <c r="I203" s="150" t="s">
        <v>1459</v>
      </c>
      <c r="J203" s="153">
        <v>1</v>
      </c>
      <c r="K203" s="118">
        <v>2.95</v>
      </c>
      <c r="L203" s="97" t="s">
        <v>1896</v>
      </c>
      <c r="M203" s="153"/>
      <c r="N203" s="154">
        <f>MouserListTable[[#This Row],['# Initial]]*MouserListTable[[#This Row],[Price (USD)]]</f>
        <v>0</v>
      </c>
      <c r="O203" s="151" t="s">
        <v>1456</v>
      </c>
      <c r="P203" s="150">
        <f t="shared" si="3"/>
        <v>190</v>
      </c>
      <c r="Q203" s="150" t="s">
        <v>5</v>
      </c>
      <c r="R20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474-BOB-00497</v>
      </c>
      <c r="S203" s="157" t="str">
        <f>HYPERLINK("https://www.mouser.com/ProductDetail/" &amp;MouserListTable[[#This Row],[Mouser SKU]])</f>
        <v>https://www.mouser.com/ProductDetail/474-BOB-00497</v>
      </c>
      <c r="T203" s="152">
        <v>0</v>
      </c>
      <c r="U203" s="152">
        <v>0</v>
      </c>
      <c r="V203" s="152">
        <v>0</v>
      </c>
      <c r="W203" s="152">
        <f>MouserListTable[[#This Row],['#/Unit]]*FilterSpecs!$C$3+MouserListTable[[#This Row],[Extra]]</f>
        <v>0</v>
      </c>
      <c r="X203" s="152">
        <f>IF(MouserListTable[[#This Row],[Tag]]=FilterSpecs!$F$7,MouserListTable[[#This Row],['#/Unit]]*MouserListTable[[#This Row],[Price (USD)]],0)</f>
        <v>0</v>
      </c>
      <c r="Y203" s="152">
        <f>MouserListTable[[#This Row],[Tot '#]]*MouserListTable[[#This Row],[Price (USD)]]</f>
        <v>0</v>
      </c>
      <c r="AA203" s="132"/>
      <c r="AB203" s="153"/>
    </row>
    <row r="204" spans="1:32" x14ac:dyDescent="0.25">
      <c r="A204" s="150" t="s">
        <v>888</v>
      </c>
      <c r="B204" s="97" t="s">
        <v>12</v>
      </c>
      <c r="C204" s="150" t="s">
        <v>5</v>
      </c>
      <c r="D204" s="151" t="str">
        <f>IF(MouserListTable[[#This Row],[Vendor]]=FilterSpecs!$A$8,MouserListTable[[#This Row],[Mouser SKU]], MouserListTable[[#This Row],[Supplier SKU]])</f>
        <v>474-BOB-13994</v>
      </c>
      <c r="E204" s="152">
        <f>MouserListTable[[#This Row],[Tot '#]]-MouserListTable[[#This Row],['# Initial]]</f>
        <v>0</v>
      </c>
      <c r="F204" s="152">
        <f>IF(AND(MouserListTable[[#This Row],[Tag]]&lt;&gt;FilterSpecs!$F$12, MouserListTable[[#This Row],[Tag]]&lt;&gt;FilterSpecs!$F$9), MouserListTable[[#This Row],['#/Unit]]*FilterSpecs!$B$3+MouserListTable[[#This Row],[Extra Initial]],0)</f>
        <v>0</v>
      </c>
      <c r="G204" s="150" t="s">
        <v>1453</v>
      </c>
      <c r="H204" s="150" t="s">
        <v>1454</v>
      </c>
      <c r="I204" s="150" t="s">
        <v>1455</v>
      </c>
      <c r="J204" s="153">
        <v>1</v>
      </c>
      <c r="K204" s="118">
        <v>2.95</v>
      </c>
      <c r="L204" s="97" t="s">
        <v>1896</v>
      </c>
      <c r="M204" s="153"/>
      <c r="N204" s="154">
        <f>MouserListTable[[#This Row],['# Initial]]*MouserListTable[[#This Row],[Price (USD)]]</f>
        <v>0</v>
      </c>
      <c r="O204" s="151" t="s">
        <v>1452</v>
      </c>
      <c r="P204" s="150">
        <f t="shared" si="3"/>
        <v>191</v>
      </c>
      <c r="Q204" s="150" t="s">
        <v>5</v>
      </c>
      <c r="R20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474-BOB-13994</v>
      </c>
      <c r="S204" s="157" t="str">
        <f>HYPERLINK("https://www.mouser.com/ProductDetail/" &amp;MouserListTable[[#This Row],[Mouser SKU]])</f>
        <v>https://www.mouser.com/ProductDetail/474-BOB-13994</v>
      </c>
      <c r="T204" s="152">
        <v>0</v>
      </c>
      <c r="U204" s="152">
        <v>0</v>
      </c>
      <c r="V204" s="152">
        <v>0</v>
      </c>
      <c r="W204" s="152">
        <f>MouserListTable[[#This Row],['#/Unit]]*FilterSpecs!$C$3+MouserListTable[[#This Row],[Extra]]</f>
        <v>0</v>
      </c>
      <c r="X204" s="152">
        <f>IF(MouserListTable[[#This Row],[Tag]]=FilterSpecs!$F$7,MouserListTable[[#This Row],['#/Unit]]*MouserListTable[[#This Row],[Price (USD)]],0)</f>
        <v>0</v>
      </c>
      <c r="Y204" s="152">
        <f>MouserListTable[[#This Row],[Tot '#]]*MouserListTable[[#This Row],[Price (USD)]]</f>
        <v>0</v>
      </c>
      <c r="AA204" s="132"/>
      <c r="AB204" s="153"/>
    </row>
    <row r="205" spans="1:32" x14ac:dyDescent="0.25">
      <c r="A205" s="150" t="s">
        <v>888</v>
      </c>
      <c r="B205" s="97" t="s">
        <v>12</v>
      </c>
      <c r="C205" s="150" t="s">
        <v>5</v>
      </c>
      <c r="D205" s="151" t="str">
        <f>IF(MouserListTable[[#This Row],[Vendor]]=FilterSpecs!$A$8,MouserListTable[[#This Row],[Mouser SKU]], MouserListTable[[#This Row],[Supplier SKU]])</f>
        <v>474-BOB-00495</v>
      </c>
      <c r="E205" s="152">
        <f>MouserListTable[[#This Row],[Tot '#]]-MouserListTable[[#This Row],['# Initial]]</f>
        <v>0</v>
      </c>
      <c r="F205" s="152">
        <f>IF(AND(MouserListTable[[#This Row],[Tag]]&lt;&gt;FilterSpecs!$F$12, MouserListTable[[#This Row],[Tag]]&lt;&gt;FilterSpecs!$F$9), MouserListTable[[#This Row],['#/Unit]]*FilterSpecs!$B$3+MouserListTable[[#This Row],[Extra Initial]],0)</f>
        <v>0</v>
      </c>
      <c r="G205" s="150" t="s">
        <v>1449</v>
      </c>
      <c r="H205" s="150" t="s">
        <v>1450</v>
      </c>
      <c r="I205" s="150" t="s">
        <v>1451</v>
      </c>
      <c r="J205" s="153">
        <v>1</v>
      </c>
      <c r="K205" s="118">
        <v>3.95</v>
      </c>
      <c r="L205" s="97" t="s">
        <v>1896</v>
      </c>
      <c r="M205" s="153"/>
      <c r="N205" s="154">
        <f>MouserListTable[[#This Row],['# Initial]]*MouserListTable[[#This Row],[Price (USD)]]</f>
        <v>0</v>
      </c>
      <c r="O205" s="151" t="s">
        <v>1448</v>
      </c>
      <c r="P205" s="150">
        <f t="shared" si="3"/>
        <v>192</v>
      </c>
      <c r="Q205" s="150" t="s">
        <v>5</v>
      </c>
      <c r="R20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474-BOB-00495</v>
      </c>
      <c r="S205" s="157" t="str">
        <f>HYPERLINK("https://www.mouser.com/ProductDetail/" &amp;MouserListTable[[#This Row],[Mouser SKU]])</f>
        <v>https://www.mouser.com/ProductDetail/474-BOB-00495</v>
      </c>
      <c r="T205" s="152">
        <v>0</v>
      </c>
      <c r="U205" s="152">
        <v>0</v>
      </c>
      <c r="V205" s="152">
        <v>0</v>
      </c>
      <c r="W205" s="152">
        <f>MouserListTable[[#This Row],['#/Unit]]*FilterSpecs!$C$3+MouserListTable[[#This Row],[Extra]]</f>
        <v>0</v>
      </c>
      <c r="X205" s="152">
        <f>IF(MouserListTable[[#This Row],[Tag]]=FilterSpecs!$F$7,MouserListTable[[#This Row],['#/Unit]]*MouserListTable[[#This Row],[Price (USD)]],0)</f>
        <v>0</v>
      </c>
      <c r="Y205" s="152">
        <f>MouserListTable[[#This Row],[Tot '#]]*MouserListTable[[#This Row],[Price (USD)]]</f>
        <v>0</v>
      </c>
      <c r="AA205" s="132"/>
      <c r="AB205" s="153"/>
    </row>
    <row r="206" spans="1:32" x14ac:dyDescent="0.25">
      <c r="A206" s="150" t="s">
        <v>888</v>
      </c>
      <c r="B206" s="97" t="s">
        <v>12</v>
      </c>
      <c r="C206" s="150" t="s">
        <v>5</v>
      </c>
      <c r="D206" s="151" t="str">
        <f>IF(MouserListTable[[#This Row],[Vendor]]=FilterSpecs!$A$8,MouserListTable[[#This Row],[Mouser SKU]], MouserListTable[[#This Row],[Supplier SKU]])</f>
        <v>474-BOB-00499</v>
      </c>
      <c r="E206" s="152">
        <f>MouserListTable[[#This Row],[Tot '#]]-MouserListTable[[#This Row],['# Initial]]</f>
        <v>0</v>
      </c>
      <c r="F206" s="152">
        <f>IF(AND(MouserListTable[[#This Row],[Tag]]&lt;&gt;FilterSpecs!$F$12, MouserListTable[[#This Row],[Tag]]&lt;&gt;FilterSpecs!$F$9), MouserListTable[[#This Row],['#/Unit]]*FilterSpecs!$B$3+MouserListTable[[#This Row],[Extra Initial]],0)</f>
        <v>0</v>
      </c>
      <c r="G206" s="150" t="s">
        <v>1473</v>
      </c>
      <c r="H206" s="150" t="s">
        <v>1474</v>
      </c>
      <c r="I206" s="150" t="s">
        <v>1475</v>
      </c>
      <c r="J206" s="153">
        <v>1</v>
      </c>
      <c r="K206" s="118">
        <v>3.95</v>
      </c>
      <c r="L206" s="97" t="s">
        <v>1896</v>
      </c>
      <c r="M206" s="153"/>
      <c r="N206" s="154">
        <f>MouserListTable[[#This Row],['# Initial]]*MouserListTable[[#This Row],[Price (USD)]]</f>
        <v>0</v>
      </c>
      <c r="O206" s="151" t="s">
        <v>1472</v>
      </c>
      <c r="P206" s="150">
        <f t="shared" ref="P206:P269" si="4">IF($P205="List #",1,$P205+1)</f>
        <v>193</v>
      </c>
      <c r="Q206" s="150" t="s">
        <v>5</v>
      </c>
      <c r="R20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474-BOB-00499</v>
      </c>
      <c r="S206" s="157" t="str">
        <f>HYPERLINK("https://www.mouser.com/ProductDetail/" &amp;MouserListTable[[#This Row],[Mouser SKU]])</f>
        <v>https://www.mouser.com/ProductDetail/474-BOB-00499</v>
      </c>
      <c r="T206" s="152">
        <v>0</v>
      </c>
      <c r="U206" s="152">
        <v>0</v>
      </c>
      <c r="V206" s="152">
        <v>0</v>
      </c>
      <c r="W206" s="152">
        <f>MouserListTable[[#This Row],['#/Unit]]*FilterSpecs!$C$3+MouserListTable[[#This Row],[Extra]]</f>
        <v>0</v>
      </c>
      <c r="X206" s="152">
        <f>IF(MouserListTable[[#This Row],[Tag]]=FilterSpecs!$F$7,MouserListTable[[#This Row],['#/Unit]]*MouserListTable[[#This Row],[Price (USD)]],0)</f>
        <v>0</v>
      </c>
      <c r="Y206" s="152">
        <f>MouserListTable[[#This Row],[Tot '#]]*MouserListTable[[#This Row],[Price (USD)]]</f>
        <v>0</v>
      </c>
      <c r="AA206" s="132"/>
      <c r="AB206" s="153"/>
    </row>
    <row r="207" spans="1:32" x14ac:dyDescent="0.25">
      <c r="A207" s="150" t="s">
        <v>888</v>
      </c>
      <c r="B207" s="97" t="s">
        <v>12</v>
      </c>
      <c r="C207" s="150" t="s">
        <v>5</v>
      </c>
      <c r="D207" s="151" t="str">
        <f>IF(MouserListTable[[#This Row],[Vendor]]=FilterSpecs!$A$8,MouserListTable[[#This Row],[Mouser SKU]], MouserListTable[[#This Row],[Supplier SKU]])</f>
        <v>474-BOB-00496</v>
      </c>
      <c r="E207" s="152">
        <f>MouserListTable[[#This Row],[Tot '#]]-MouserListTable[[#This Row],['# Initial]]</f>
        <v>0</v>
      </c>
      <c r="F207" s="152">
        <f>IF(AND(MouserListTable[[#This Row],[Tag]]&lt;&gt;FilterSpecs!$F$12, MouserListTable[[#This Row],[Tag]]&lt;&gt;FilterSpecs!$F$9), MouserListTable[[#This Row],['#/Unit]]*FilterSpecs!$B$3+MouserListTable[[#This Row],[Extra Initial]],0)</f>
        <v>0</v>
      </c>
      <c r="G207" s="150" t="s">
        <v>1465</v>
      </c>
      <c r="H207" s="150" t="s">
        <v>1466</v>
      </c>
      <c r="I207" s="150" t="s">
        <v>1467</v>
      </c>
      <c r="J207" s="153">
        <v>1</v>
      </c>
      <c r="K207" s="118">
        <v>3.95</v>
      </c>
      <c r="L207" s="97" t="s">
        <v>1896</v>
      </c>
      <c r="M207" s="153"/>
      <c r="N207" s="154">
        <f>MouserListTable[[#This Row],['# Initial]]*MouserListTable[[#This Row],[Price (USD)]]</f>
        <v>0</v>
      </c>
      <c r="O207" s="151" t="s">
        <v>1464</v>
      </c>
      <c r="P207" s="150">
        <f t="shared" si="4"/>
        <v>194</v>
      </c>
      <c r="Q207" s="150" t="s">
        <v>5</v>
      </c>
      <c r="R20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474-BOB-00496</v>
      </c>
      <c r="S207" s="157" t="str">
        <f>HYPERLINK("https://www.mouser.com/ProductDetail/" &amp;MouserListTable[[#This Row],[Mouser SKU]])</f>
        <v>https://www.mouser.com/ProductDetail/474-BOB-00496</v>
      </c>
      <c r="T207" s="152">
        <v>0</v>
      </c>
      <c r="U207" s="152">
        <v>0</v>
      </c>
      <c r="V207" s="152">
        <v>0</v>
      </c>
      <c r="W207" s="152">
        <f>MouserListTable[[#This Row],['#/Unit]]*FilterSpecs!$C$3+MouserListTable[[#This Row],[Extra]]</f>
        <v>0</v>
      </c>
      <c r="X207" s="152">
        <f>IF(MouserListTable[[#This Row],[Tag]]=FilterSpecs!$F$7,MouserListTable[[#This Row],['#/Unit]]*MouserListTable[[#This Row],[Price (USD)]],0)</f>
        <v>0</v>
      </c>
      <c r="Y207" s="152">
        <f>MouserListTable[[#This Row],[Tot '#]]*MouserListTable[[#This Row],[Price (USD)]]</f>
        <v>0</v>
      </c>
      <c r="AA207" s="132"/>
      <c r="AB207" s="153"/>
    </row>
    <row r="208" spans="1:32" x14ac:dyDescent="0.25">
      <c r="A208" s="150" t="s">
        <v>888</v>
      </c>
      <c r="B208" s="97" t="s">
        <v>12</v>
      </c>
      <c r="C208" s="150" t="s">
        <v>5</v>
      </c>
      <c r="D208" s="151" t="str">
        <f>IF(MouserListTable[[#This Row],[Vendor]]=FilterSpecs!$A$8,MouserListTable[[#This Row],[Mouser SKU]], MouserListTable[[#This Row],[Supplier SKU]])</f>
        <v>474-BOB-00500</v>
      </c>
      <c r="E208" s="152">
        <f>MouserListTable[[#This Row],[Tot '#]]-MouserListTable[[#This Row],['# Initial]]</f>
        <v>0</v>
      </c>
      <c r="F208" s="152">
        <f>IF(AND(MouserListTable[[#This Row],[Tag]]&lt;&gt;FilterSpecs!$F$12, MouserListTable[[#This Row],[Tag]]&lt;&gt;FilterSpecs!$F$9), MouserListTable[[#This Row],['#/Unit]]*FilterSpecs!$B$3+MouserListTable[[#This Row],[Extra Initial]],0)</f>
        <v>0</v>
      </c>
      <c r="G208" s="150" t="s">
        <v>1461</v>
      </c>
      <c r="H208" s="150" t="s">
        <v>1462</v>
      </c>
      <c r="I208" s="150" t="s">
        <v>1463</v>
      </c>
      <c r="J208" s="153">
        <v>1</v>
      </c>
      <c r="K208" s="118">
        <v>3.95</v>
      </c>
      <c r="L208" s="97" t="s">
        <v>1896</v>
      </c>
      <c r="M208" s="153"/>
      <c r="N208" s="154">
        <f>MouserListTable[[#This Row],['# Initial]]*MouserListTable[[#This Row],[Price (USD)]]</f>
        <v>0</v>
      </c>
      <c r="O208" s="151" t="s">
        <v>1460</v>
      </c>
      <c r="P208" s="150">
        <f t="shared" si="4"/>
        <v>195</v>
      </c>
      <c r="Q208" s="150" t="s">
        <v>5</v>
      </c>
      <c r="R20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474-BOB-00500</v>
      </c>
      <c r="S208" s="157" t="str">
        <f>HYPERLINK("https://www.mouser.com/ProductDetail/" &amp;MouserListTable[[#This Row],[Mouser SKU]])</f>
        <v>https://www.mouser.com/ProductDetail/474-BOB-00500</v>
      </c>
      <c r="T208" s="152">
        <v>0</v>
      </c>
      <c r="U208" s="152">
        <v>0</v>
      </c>
      <c r="V208" s="152">
        <v>0</v>
      </c>
      <c r="W208" s="152">
        <f>MouserListTable[[#This Row],['#/Unit]]*FilterSpecs!$C$3+MouserListTable[[#This Row],[Extra]]</f>
        <v>0</v>
      </c>
      <c r="X208" s="152">
        <f>IF(MouserListTable[[#This Row],[Tag]]=FilterSpecs!$F$7,MouserListTable[[#This Row],['#/Unit]]*MouserListTable[[#This Row],[Price (USD)]],0)</f>
        <v>0</v>
      </c>
      <c r="Y208" s="152">
        <f>MouserListTable[[#This Row],[Tot '#]]*MouserListTable[[#This Row],[Price (USD)]]</f>
        <v>0</v>
      </c>
      <c r="AA208" s="132"/>
      <c r="AB208" s="153"/>
    </row>
    <row r="209" spans="1:28" x14ac:dyDescent="0.25">
      <c r="A209" s="150" t="s">
        <v>888</v>
      </c>
      <c r="B209" s="150" t="s">
        <v>892</v>
      </c>
      <c r="C209" s="150" t="s">
        <v>5</v>
      </c>
      <c r="D209" s="151" t="str">
        <f>IF(MouserListTable[[#This Row],[Vendor]]=FilterSpecs!$A$8,MouserListTable[[#This Row],[Mouser SKU]], MouserListTable[[#This Row],[Supplier SKU]])</f>
        <v>474-PRT-14425</v>
      </c>
      <c r="E209" s="152">
        <f>MouserListTable[[#This Row],[Tot '#]]-MouserListTable[[#This Row],['# Initial]]</f>
        <v>0</v>
      </c>
      <c r="F209" s="152">
        <f>IF(AND(MouserListTable[[#This Row],[Tag]]&lt;&gt;FilterSpecs!$F$12, MouserListTable[[#This Row],[Tag]]&lt;&gt;FilterSpecs!$F$9), MouserListTable[[#This Row],['#/Unit]]*FilterSpecs!$B$3+MouserListTable[[#This Row],[Extra Initial]],0)</f>
        <v>0</v>
      </c>
      <c r="G209" s="150" t="s">
        <v>230</v>
      </c>
      <c r="H209" s="150" t="s">
        <v>231</v>
      </c>
      <c r="I209" s="150" t="s">
        <v>232</v>
      </c>
      <c r="J209" s="150"/>
      <c r="K209" s="154">
        <v>1.5</v>
      </c>
      <c r="L209" s="150" t="s">
        <v>1897</v>
      </c>
      <c r="M209" s="150"/>
      <c r="N209" s="154">
        <f>MouserListTable[[#This Row],['# Initial]]*MouserListTable[[#This Row],[Price (USD)]]</f>
        <v>0</v>
      </c>
      <c r="O209" s="151" t="s">
        <v>229</v>
      </c>
      <c r="P209" s="150">
        <f t="shared" si="4"/>
        <v>196</v>
      </c>
      <c r="Q209" s="150" t="s">
        <v>5</v>
      </c>
      <c r="R20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474-PRT-14425</v>
      </c>
      <c r="S209" s="157" t="str">
        <f>HYPERLINK("https://www.mouser.com/ProductDetail/" &amp;MouserListTable[[#This Row],[Mouser SKU]])</f>
        <v>https://www.mouser.com/ProductDetail/474-PRT-14425</v>
      </c>
      <c r="T209" s="152">
        <v>0</v>
      </c>
      <c r="U209" s="152">
        <v>0</v>
      </c>
      <c r="V209" s="152">
        <v>0</v>
      </c>
      <c r="W209" s="152">
        <f>MouserListTable[[#This Row],['#/Unit]]*FilterSpecs!$C$3+MouserListTable[[#This Row],[Extra]]</f>
        <v>0</v>
      </c>
      <c r="X209" s="152">
        <f>IF(MouserListTable[[#This Row],[Tag]]=FilterSpecs!$F$7,MouserListTable[[#This Row],['#/Unit]]*MouserListTable[[#This Row],[Price (USD)]],0)</f>
        <v>0</v>
      </c>
      <c r="Y209" s="152">
        <f>MouserListTable[[#This Row],[Tot '#]]*MouserListTable[[#This Row],[Price (USD)]]</f>
        <v>0</v>
      </c>
      <c r="AA209" s="132"/>
      <c r="AB209" s="153"/>
    </row>
    <row r="210" spans="1:28" x14ac:dyDescent="0.25">
      <c r="A210" s="150" t="s">
        <v>888</v>
      </c>
      <c r="B210" s="150" t="s">
        <v>892</v>
      </c>
      <c r="C210" s="150" t="s">
        <v>5</v>
      </c>
      <c r="D210" s="151" t="str">
        <f>IF(MouserListTable[[#This Row],[Vendor]]=FilterSpecs!$A$8,MouserListTable[[#This Row],[Mouser SKU]], MouserListTable[[#This Row],[Supplier SKU]])</f>
        <v>474-SPX-14291</v>
      </c>
      <c r="E210" s="152">
        <f>MouserListTable[[#This Row],[Tot '#]]-MouserListTable[[#This Row],['# Initial]]</f>
        <v>1</v>
      </c>
      <c r="F210" s="152">
        <f>IF(AND(MouserListTable[[#This Row],[Tag]]&lt;&gt;FilterSpecs!$F$12, MouserListTable[[#This Row],[Tag]]&lt;&gt;FilterSpecs!$F$9), MouserListTable[[#This Row],['#/Unit]]*FilterSpecs!$B$3+MouserListTable[[#This Row],[Extra Initial]],0)</f>
        <v>0</v>
      </c>
      <c r="G210" s="150" t="s">
        <v>234</v>
      </c>
      <c r="H210" s="150" t="s">
        <v>235</v>
      </c>
      <c r="I210" s="150" t="s">
        <v>236</v>
      </c>
      <c r="J210" s="150">
        <v>1</v>
      </c>
      <c r="K210" s="154">
        <v>14.95</v>
      </c>
      <c r="L210" s="150" t="s">
        <v>1898</v>
      </c>
      <c r="M210" s="150"/>
      <c r="N210" s="154">
        <f>MouserListTable[[#This Row],['# Initial]]*MouserListTable[[#This Row],[Price (USD)]]</f>
        <v>0</v>
      </c>
      <c r="O210" s="151" t="s">
        <v>233</v>
      </c>
      <c r="P210" s="150">
        <f t="shared" si="4"/>
        <v>197</v>
      </c>
      <c r="Q210" s="150" t="s">
        <v>5</v>
      </c>
      <c r="R21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474-SPX-14291</v>
      </c>
      <c r="S210" s="157" t="str">
        <f>HYPERLINK("https://www.mouser.com/ProductDetail/" &amp;MouserListTable[[#This Row],[Mouser SKU]])</f>
        <v>https://www.mouser.com/ProductDetail/474-SPX-14291</v>
      </c>
      <c r="T210" s="152">
        <v>0</v>
      </c>
      <c r="U210" s="152">
        <v>1</v>
      </c>
      <c r="V210" s="152">
        <v>0</v>
      </c>
      <c r="W210" s="152">
        <f>MouserListTable[[#This Row],['#/Unit]]*FilterSpecs!$C$3+MouserListTable[[#This Row],[Extra]]</f>
        <v>1</v>
      </c>
      <c r="X210" s="152">
        <f>IF(MouserListTable[[#This Row],[Tag]]=FilterSpecs!$F$7,MouserListTable[[#This Row],['#/Unit]]*MouserListTable[[#This Row],[Price (USD)]],0)</f>
        <v>0</v>
      </c>
      <c r="Y210" s="152">
        <f>MouserListTable[[#This Row],[Tot '#]]*MouserListTable[[#This Row],[Price (USD)]]</f>
        <v>14.95</v>
      </c>
      <c r="AA210" s="132"/>
      <c r="AB210" s="153"/>
    </row>
    <row r="211" spans="1:28" x14ac:dyDescent="0.25">
      <c r="A211" s="97" t="s">
        <v>888</v>
      </c>
      <c r="B211" s="97" t="s">
        <v>892</v>
      </c>
      <c r="C211" s="150" t="s">
        <v>5</v>
      </c>
      <c r="D211" s="151" t="str">
        <f>IF(MouserListTable[[#This Row],[Vendor]]=FilterSpecs!$A$8,MouserListTable[[#This Row],[Mouser SKU]], MouserListTable[[#This Row],[Supplier SKU]])</f>
        <v>474-SPX-14286</v>
      </c>
      <c r="E211" s="152">
        <f>MouserListTable[[#This Row],[Tot '#]]-MouserListTable[[#This Row],['# Initial]]</f>
        <v>0</v>
      </c>
      <c r="F211" s="152">
        <f>IF(AND(MouserListTable[[#This Row],[Tag]]&lt;&gt;FilterSpecs!$F$12, MouserListTable[[#This Row],[Tag]]&lt;&gt;FilterSpecs!$F$9), MouserListTable[[#This Row],['#/Unit]]*FilterSpecs!$B$3+MouserListTable[[#This Row],[Extra Initial]],0)</f>
        <v>0</v>
      </c>
      <c r="G211" s="150" t="s">
        <v>357</v>
      </c>
      <c r="H211" s="150" t="s">
        <v>358</v>
      </c>
      <c r="I211" s="150" t="s">
        <v>359</v>
      </c>
      <c r="J211" s="150">
        <v>1</v>
      </c>
      <c r="K211" s="154">
        <v>2.95</v>
      </c>
      <c r="L211" s="150" t="s">
        <v>2461</v>
      </c>
      <c r="M211" s="150"/>
      <c r="N211" s="154">
        <f>MouserListTable[[#This Row],['# Initial]]*MouserListTable[[#This Row],[Price (USD)]]</f>
        <v>0</v>
      </c>
      <c r="O211" s="151" t="s">
        <v>356</v>
      </c>
      <c r="P211" s="150">
        <f t="shared" si="4"/>
        <v>198</v>
      </c>
      <c r="Q211" s="150" t="s">
        <v>5</v>
      </c>
      <c r="R21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474-SPX-14286</v>
      </c>
      <c r="S211" s="157" t="str">
        <f>HYPERLINK("https://www.mouser.com/ProductDetail/" &amp;MouserListTable[[#This Row],[Mouser SKU]])</f>
        <v>https://www.mouser.com/ProductDetail/474-SPX-14286</v>
      </c>
      <c r="T211" s="152">
        <v>0</v>
      </c>
      <c r="U211" s="152">
        <v>0</v>
      </c>
      <c r="V211" s="152">
        <v>0</v>
      </c>
      <c r="W211" s="152">
        <f>MouserListTable[[#This Row],['#/Unit]]*FilterSpecs!$C$3+MouserListTable[[#This Row],[Extra]]</f>
        <v>0</v>
      </c>
      <c r="X211" s="152">
        <f>IF(MouserListTable[[#This Row],[Tag]]=FilterSpecs!$F$7,MouserListTable[[#This Row],['#/Unit]]*MouserListTable[[#This Row],[Price (USD)]],0)</f>
        <v>0</v>
      </c>
      <c r="Y211" s="152">
        <f>MouserListTable[[#This Row],[Tot '#]]*MouserListTable[[#This Row],[Price (USD)]]</f>
        <v>0</v>
      </c>
      <c r="AA211" s="132"/>
      <c r="AB211" s="153"/>
    </row>
    <row r="212" spans="1:28" x14ac:dyDescent="0.25">
      <c r="A212" s="97" t="s">
        <v>888</v>
      </c>
      <c r="B212" s="97" t="s">
        <v>892</v>
      </c>
      <c r="C212" s="150" t="s">
        <v>5</v>
      </c>
      <c r="D212" s="151" t="str">
        <f>IF(MouserListTable[[#This Row],[Vendor]]=FilterSpecs!$A$8,MouserListTable[[#This Row],[Mouser SKU]], MouserListTable[[#This Row],[Supplier SKU]])</f>
        <v>474-SPX-14257</v>
      </c>
      <c r="E212" s="152">
        <f>MouserListTable[[#This Row],[Tot '#]]-MouserListTable[[#This Row],['# Initial]]</f>
        <v>0</v>
      </c>
      <c r="F212" s="152">
        <f>IF(AND(MouserListTable[[#This Row],[Tag]]&lt;&gt;FilterSpecs!$F$12, MouserListTable[[#This Row],[Tag]]&lt;&gt;FilterSpecs!$F$9), MouserListTable[[#This Row],['#/Unit]]*FilterSpecs!$B$3+MouserListTable[[#This Row],[Extra Initial]],0)</f>
        <v>0</v>
      </c>
      <c r="G212" s="150" t="s">
        <v>1174</v>
      </c>
      <c r="H212" s="150" t="s">
        <v>1175</v>
      </c>
      <c r="I212" s="150" t="s">
        <v>1176</v>
      </c>
      <c r="J212" s="150">
        <v>1</v>
      </c>
      <c r="K212" s="154">
        <v>9.9499999999999993</v>
      </c>
      <c r="L212" s="150" t="s">
        <v>2461</v>
      </c>
      <c r="M212" s="153"/>
      <c r="N212" s="154">
        <f>MouserListTable[[#This Row],['# Initial]]*MouserListTable[[#This Row],[Price (USD)]]</f>
        <v>0</v>
      </c>
      <c r="O212" s="151" t="s">
        <v>1173</v>
      </c>
      <c r="P212" s="150">
        <f t="shared" si="4"/>
        <v>199</v>
      </c>
      <c r="Q212" s="150" t="s">
        <v>5</v>
      </c>
      <c r="R21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474-SPX-14257</v>
      </c>
      <c r="S212" s="157" t="str">
        <f>HYPERLINK("https://www.mouser.com/ProductDetail/" &amp;MouserListTable[[#This Row],[Mouser SKU]])</f>
        <v>https://www.mouser.com/ProductDetail/474-SPX-14257</v>
      </c>
      <c r="T212" s="152">
        <v>0</v>
      </c>
      <c r="U212" s="152">
        <v>0</v>
      </c>
      <c r="V212" s="152">
        <v>0</v>
      </c>
      <c r="W212" s="152">
        <f>MouserListTable[[#This Row],['#/Unit]]*FilterSpecs!$C$3+MouserListTable[[#This Row],[Extra]]</f>
        <v>0</v>
      </c>
      <c r="X212" s="152">
        <f>IF(MouserListTable[[#This Row],[Tag]]=FilterSpecs!$F$7,MouserListTable[[#This Row],['#/Unit]]*MouserListTable[[#This Row],[Price (USD)]],0)</f>
        <v>0</v>
      </c>
      <c r="Y212" s="152">
        <f>MouserListTable[[#This Row],[Tot '#]]*MouserListTable[[#This Row],[Price (USD)]]</f>
        <v>0</v>
      </c>
      <c r="AA212" s="132"/>
      <c r="AB212" s="153"/>
    </row>
    <row r="213" spans="1:28" x14ac:dyDescent="0.25">
      <c r="A213" s="150" t="s">
        <v>888</v>
      </c>
      <c r="B213" s="150" t="s">
        <v>892</v>
      </c>
      <c r="C213" s="150" t="s">
        <v>5</v>
      </c>
      <c r="D213" s="151" t="str">
        <f>IF(MouserListTable[[#This Row],[Vendor]]=FilterSpecs!$A$8,MouserListTable[[#This Row],[Mouser SKU]], MouserListTable[[#This Row],[Supplier SKU]])</f>
        <v>474-SPX-14293</v>
      </c>
      <c r="E213" s="152">
        <f>MouserListTable[[#This Row],[Tot '#]]-MouserListTable[[#This Row],['# Initial]]</f>
        <v>1</v>
      </c>
      <c r="F213" s="152">
        <f>IF(AND(MouserListTable[[#This Row],[Tag]]&lt;&gt;FilterSpecs!$F$12, MouserListTable[[#This Row],[Tag]]&lt;&gt;FilterSpecs!$F$9), MouserListTable[[#This Row],['#/Unit]]*FilterSpecs!$B$3+MouserListTable[[#This Row],[Extra Initial]],0)</f>
        <v>0</v>
      </c>
      <c r="G213" s="150" t="s">
        <v>1178</v>
      </c>
      <c r="H213" s="150" t="s">
        <v>1179</v>
      </c>
      <c r="I213" s="150" t="s">
        <v>1180</v>
      </c>
      <c r="J213" s="150">
        <v>1</v>
      </c>
      <c r="K213" s="154">
        <v>14.95</v>
      </c>
      <c r="L213" s="150" t="s">
        <v>1898</v>
      </c>
      <c r="M213" s="151"/>
      <c r="N213" s="154">
        <f>MouserListTable[[#This Row],['# Initial]]*MouserListTable[[#This Row],[Price (USD)]]</f>
        <v>0</v>
      </c>
      <c r="O213" s="151" t="s">
        <v>1177</v>
      </c>
      <c r="P213" s="150">
        <f t="shared" si="4"/>
        <v>200</v>
      </c>
      <c r="Q213" s="150" t="s">
        <v>5</v>
      </c>
      <c r="R21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474-SPX-14293</v>
      </c>
      <c r="S213" s="157" t="str">
        <f>HYPERLINK("https://www.mouser.com/ProductDetail/" &amp;MouserListTable[[#This Row],[Mouser SKU]])</f>
        <v>https://www.mouser.com/ProductDetail/474-SPX-14293</v>
      </c>
      <c r="T213" s="152">
        <v>0</v>
      </c>
      <c r="U213" s="152">
        <v>1</v>
      </c>
      <c r="V213" s="152">
        <v>0</v>
      </c>
      <c r="W213" s="152">
        <f>MouserListTable[[#This Row],['#/Unit]]*FilterSpecs!$C$3+MouserListTable[[#This Row],[Extra]]</f>
        <v>1</v>
      </c>
      <c r="X213" s="152">
        <f>IF(MouserListTable[[#This Row],[Tag]]=FilterSpecs!$F$7,MouserListTable[[#This Row],['#/Unit]]*MouserListTable[[#This Row],[Price (USD)]],0)</f>
        <v>0</v>
      </c>
      <c r="Y213" s="152">
        <f>MouserListTable[[#This Row],[Tot '#]]*MouserListTable[[#This Row],[Price (USD)]]</f>
        <v>14.95</v>
      </c>
      <c r="AA213" s="132"/>
      <c r="AB213" s="153"/>
    </row>
    <row r="214" spans="1:28" s="104" customFormat="1" x14ac:dyDescent="0.25">
      <c r="A214" s="97" t="s">
        <v>888</v>
      </c>
      <c r="B214" s="97" t="s">
        <v>892</v>
      </c>
      <c r="C214" s="150" t="s">
        <v>5</v>
      </c>
      <c r="D214" s="151" t="str">
        <f>IF(MouserListTable[[#This Row],[Vendor]]=FilterSpecs!$A$8,MouserListTable[[#This Row],[Mouser SKU]], MouserListTable[[#This Row],[Supplier SKU]])</f>
        <v>474-SPX-14289</v>
      </c>
      <c r="E214" s="152">
        <f>MouserListTable[[#This Row],[Tot '#]]-MouserListTable[[#This Row],['# Initial]]</f>
        <v>0</v>
      </c>
      <c r="F214" s="152">
        <f>IF(AND(MouserListTable[[#This Row],[Tag]]&lt;&gt;FilterSpecs!$F$12, MouserListTable[[#This Row],[Tag]]&lt;&gt;FilterSpecs!$F$9), MouserListTable[[#This Row],['#/Unit]]*FilterSpecs!$B$3+MouserListTable[[#This Row],[Extra Initial]],0)</f>
        <v>0</v>
      </c>
      <c r="G214" s="150" t="s">
        <v>1814</v>
      </c>
      <c r="H214" s="150" t="s">
        <v>1815</v>
      </c>
      <c r="I214" s="150" t="s">
        <v>1816</v>
      </c>
      <c r="J214" s="150">
        <v>1</v>
      </c>
      <c r="K214" s="154">
        <v>39.950000000000003</v>
      </c>
      <c r="L214" s="150" t="s">
        <v>2461</v>
      </c>
      <c r="M214" s="153"/>
      <c r="N214" s="154">
        <f>MouserListTable[[#This Row],['# Initial]]*MouserListTable[[#This Row],[Price (USD)]]</f>
        <v>0</v>
      </c>
      <c r="O214" s="151" t="s">
        <v>1813</v>
      </c>
      <c r="P214" s="150">
        <f t="shared" si="4"/>
        <v>201</v>
      </c>
      <c r="Q214" s="150" t="s">
        <v>5</v>
      </c>
      <c r="R21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474-SPX-14289</v>
      </c>
      <c r="S214" s="157" t="str">
        <f>HYPERLINK("https://www.mouser.com/ProductDetail/" &amp;MouserListTable[[#This Row],[Mouser SKU]])</f>
        <v>https://www.mouser.com/ProductDetail/474-SPX-14289</v>
      </c>
      <c r="T214" s="152">
        <v>0</v>
      </c>
      <c r="U214" s="152">
        <v>0</v>
      </c>
      <c r="V214" s="152">
        <v>0</v>
      </c>
      <c r="W214" s="152">
        <f>MouserListTable[[#This Row],['#/Unit]]*FilterSpecs!$C$3+MouserListTable[[#This Row],[Extra]]</f>
        <v>0</v>
      </c>
      <c r="X214" s="152">
        <f>IF(MouserListTable[[#This Row],[Tag]]=FilterSpecs!$F$7,MouserListTable[[#This Row],['#/Unit]]*MouserListTable[[#This Row],[Price (USD)]],0)</f>
        <v>0</v>
      </c>
      <c r="Y214" s="152">
        <f>MouserListTable[[#This Row],[Tot '#]]*MouserListTable[[#This Row],[Price (USD)]]</f>
        <v>0</v>
      </c>
      <c r="AA214" s="132"/>
      <c r="AB214" s="153"/>
    </row>
    <row r="215" spans="1:28" s="63" customFormat="1" x14ac:dyDescent="0.25">
      <c r="A215" s="97" t="s">
        <v>888</v>
      </c>
      <c r="B215" s="97" t="s">
        <v>892</v>
      </c>
      <c r="C215" s="150" t="s">
        <v>5</v>
      </c>
      <c r="D215" s="151" t="str">
        <f>IF(MouserListTable[[#This Row],[Vendor]]=FilterSpecs!$A$8,MouserListTable[[#This Row],[Mouser SKU]], MouserListTable[[#This Row],[Supplier SKU]])</f>
        <v>474-SPX-14269</v>
      </c>
      <c r="E215" s="152">
        <f>MouserListTable[[#This Row],[Tot '#]]-MouserListTable[[#This Row],['# Initial]]</f>
        <v>0</v>
      </c>
      <c r="F215" s="152">
        <f>IF(AND(MouserListTable[[#This Row],[Tag]]&lt;&gt;FilterSpecs!$F$12, MouserListTable[[#This Row],[Tag]]&lt;&gt;FilterSpecs!$F$9), MouserListTable[[#This Row],['#/Unit]]*FilterSpecs!$B$3+MouserListTable[[#This Row],[Extra Initial]],0)</f>
        <v>0</v>
      </c>
      <c r="G215" s="150" t="s">
        <v>1774</v>
      </c>
      <c r="H215" s="150" t="s">
        <v>1775</v>
      </c>
      <c r="I215" s="150" t="s">
        <v>1776</v>
      </c>
      <c r="J215" s="150">
        <v>1</v>
      </c>
      <c r="K215" s="154">
        <v>14.95</v>
      </c>
      <c r="L215" s="150" t="s">
        <v>2461</v>
      </c>
      <c r="M215" s="153"/>
      <c r="N215" s="154">
        <f>MouserListTable[[#This Row],['# Initial]]*MouserListTable[[#This Row],[Price (USD)]]</f>
        <v>0</v>
      </c>
      <c r="O215" s="151" t="s">
        <v>1773</v>
      </c>
      <c r="P215" s="150">
        <f t="shared" si="4"/>
        <v>202</v>
      </c>
      <c r="Q215" s="150" t="s">
        <v>5</v>
      </c>
      <c r="R21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474-SPX-14269</v>
      </c>
      <c r="S215" s="157" t="str">
        <f>HYPERLINK("https://www.mouser.com/ProductDetail/" &amp;MouserListTable[[#This Row],[Mouser SKU]])</f>
        <v>https://www.mouser.com/ProductDetail/474-SPX-14269</v>
      </c>
      <c r="T215" s="152">
        <v>0</v>
      </c>
      <c r="U215" s="152">
        <v>0</v>
      </c>
      <c r="V215" s="152">
        <v>0</v>
      </c>
      <c r="W215" s="152">
        <f>MouserListTable[[#This Row],['#/Unit]]*FilterSpecs!$C$3+MouserListTable[[#This Row],[Extra]]</f>
        <v>0</v>
      </c>
      <c r="X215" s="152">
        <f>IF(MouserListTable[[#This Row],[Tag]]=FilterSpecs!$F$7,MouserListTable[[#This Row],['#/Unit]]*MouserListTable[[#This Row],[Price (USD)]],0)</f>
        <v>0</v>
      </c>
      <c r="Y215" s="152">
        <f>MouserListTable[[#This Row],[Tot '#]]*MouserListTable[[#This Row],[Price (USD)]]</f>
        <v>0</v>
      </c>
      <c r="AA215" s="132"/>
      <c r="AB215" s="153"/>
    </row>
    <row r="216" spans="1:28" s="63" customFormat="1" x14ac:dyDescent="0.25">
      <c r="A216" s="150" t="s">
        <v>888</v>
      </c>
      <c r="B216" s="150" t="s">
        <v>892</v>
      </c>
      <c r="C216" s="150" t="s">
        <v>5</v>
      </c>
      <c r="D216" s="151" t="str">
        <f>IF(MouserListTable[[#This Row],[Vendor]]=FilterSpecs!$A$8,MouserListTable[[#This Row],[Mouser SKU]], MouserListTable[[#This Row],[Supplier SKU]])</f>
        <v>474-PRT-14426</v>
      </c>
      <c r="E216" s="152">
        <f>MouserListTable[[#This Row],[Tot '#]]-MouserListTable[[#This Row],['# Initial]]</f>
        <v>0</v>
      </c>
      <c r="F216" s="152">
        <f>IF(AND(MouserListTable[[#This Row],[Tag]]&lt;&gt;FilterSpecs!$F$12, MouserListTable[[#This Row],[Tag]]&lt;&gt;FilterSpecs!$F$9), MouserListTable[[#This Row],['#/Unit]]*FilterSpecs!$B$3+MouserListTable[[#This Row],[Extra Initial]],0)</f>
        <v>0</v>
      </c>
      <c r="G216" s="150" t="s">
        <v>266</v>
      </c>
      <c r="H216" s="150" t="s">
        <v>267</v>
      </c>
      <c r="I216" s="150" t="s">
        <v>268</v>
      </c>
      <c r="J216" s="150"/>
      <c r="K216" s="154">
        <v>0.95</v>
      </c>
      <c r="L216" s="150" t="s">
        <v>1897</v>
      </c>
      <c r="M216" s="150"/>
      <c r="N216" s="154">
        <f>MouserListTable[[#This Row],['# Initial]]*MouserListTable[[#This Row],[Price (USD)]]</f>
        <v>0</v>
      </c>
      <c r="O216" s="151" t="s">
        <v>265</v>
      </c>
      <c r="P216" s="150">
        <f t="shared" si="4"/>
        <v>203</v>
      </c>
      <c r="Q216" s="150" t="s">
        <v>5</v>
      </c>
      <c r="R21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474-PRT-14426</v>
      </c>
      <c r="S216" s="157" t="str">
        <f>HYPERLINK("https://www.mouser.com/ProductDetail/" &amp;MouserListTable[[#This Row],[Mouser SKU]])</f>
        <v>https://www.mouser.com/ProductDetail/474-PRT-14426</v>
      </c>
      <c r="T216" s="152">
        <v>0</v>
      </c>
      <c r="U216" s="152">
        <v>0</v>
      </c>
      <c r="V216" s="152">
        <v>0</v>
      </c>
      <c r="W216" s="152">
        <f>MouserListTable[[#This Row],['#/Unit]]*FilterSpecs!$C$3+MouserListTable[[#This Row],[Extra]]</f>
        <v>0</v>
      </c>
      <c r="X216" s="152">
        <f>IF(MouserListTable[[#This Row],[Tag]]=FilterSpecs!$F$7,MouserListTable[[#This Row],['#/Unit]]*MouserListTable[[#This Row],[Price (USD)]],0)</f>
        <v>0</v>
      </c>
      <c r="Y216" s="152">
        <f>MouserListTable[[#This Row],[Tot '#]]*MouserListTable[[#This Row],[Price (USD)]]</f>
        <v>0</v>
      </c>
      <c r="AA216" s="132"/>
      <c r="AB216" s="153"/>
    </row>
    <row r="217" spans="1:28" s="63" customFormat="1" x14ac:dyDescent="0.25">
      <c r="A217" s="150" t="s">
        <v>888</v>
      </c>
      <c r="B217" s="150" t="s">
        <v>892</v>
      </c>
      <c r="C217" s="150" t="s">
        <v>5</v>
      </c>
      <c r="D217" s="151" t="str">
        <f>IF(MouserListTable[[#This Row],[Vendor]]=FilterSpecs!$A$8,MouserListTable[[#This Row],[Mouser SKU]], MouserListTable[[#This Row],[Supplier SKU]])</f>
        <v>474-PRT-14427</v>
      </c>
      <c r="E217" s="152">
        <f>MouserListTable[[#This Row],[Tot '#]]-MouserListTable[[#This Row],['# Initial]]</f>
        <v>0</v>
      </c>
      <c r="F217" s="152">
        <f>IF(AND(MouserListTable[[#This Row],[Tag]]&lt;&gt;FilterSpecs!$F$12, MouserListTable[[#This Row],[Tag]]&lt;&gt;FilterSpecs!$F$9), MouserListTable[[#This Row],['#/Unit]]*FilterSpecs!$B$3+MouserListTable[[#This Row],[Extra Initial]],0)</f>
        <v>0</v>
      </c>
      <c r="G217" s="150" t="s">
        <v>270</v>
      </c>
      <c r="H217" s="150" t="s">
        <v>271</v>
      </c>
      <c r="I217" s="150" t="s">
        <v>272</v>
      </c>
      <c r="J217" s="150"/>
      <c r="K217" s="154">
        <v>1.5</v>
      </c>
      <c r="L217" s="150" t="s">
        <v>1897</v>
      </c>
      <c r="M217" s="150"/>
      <c r="N217" s="154">
        <f>MouserListTable[[#This Row],['# Initial]]*MouserListTable[[#This Row],[Price (USD)]]</f>
        <v>0</v>
      </c>
      <c r="O217" s="151" t="s">
        <v>269</v>
      </c>
      <c r="P217" s="150">
        <f t="shared" si="4"/>
        <v>204</v>
      </c>
      <c r="Q217" s="150" t="s">
        <v>5</v>
      </c>
      <c r="R21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474-PRT-14427</v>
      </c>
      <c r="S217" s="157" t="str">
        <f>HYPERLINK("https://www.mouser.com/ProductDetail/" &amp;MouserListTable[[#This Row],[Mouser SKU]])</f>
        <v>https://www.mouser.com/ProductDetail/474-PRT-14427</v>
      </c>
      <c r="T217" s="152">
        <v>0</v>
      </c>
      <c r="U217" s="152">
        <v>0</v>
      </c>
      <c r="V217" s="152">
        <v>0</v>
      </c>
      <c r="W217" s="152">
        <f>MouserListTable[[#This Row],['#/Unit]]*FilterSpecs!$C$3+MouserListTable[[#This Row],[Extra]]</f>
        <v>0</v>
      </c>
      <c r="X217" s="152">
        <f>IF(MouserListTable[[#This Row],[Tag]]=FilterSpecs!$F$7,MouserListTable[[#This Row],['#/Unit]]*MouserListTable[[#This Row],[Price (USD)]],0)</f>
        <v>0</v>
      </c>
      <c r="Y217" s="152">
        <f>MouserListTable[[#This Row],[Tot '#]]*MouserListTable[[#This Row],[Price (USD)]]</f>
        <v>0</v>
      </c>
      <c r="AA217" s="132"/>
      <c r="AB217" s="153"/>
    </row>
    <row r="218" spans="1:28" s="63" customFormat="1" x14ac:dyDescent="0.25">
      <c r="A218" s="150" t="s">
        <v>888</v>
      </c>
      <c r="B218" s="150" t="s">
        <v>892</v>
      </c>
      <c r="C218" s="150" t="s">
        <v>5</v>
      </c>
      <c r="D218" s="151" t="str">
        <f>IF(MouserListTable[[#This Row],[Vendor]]=FilterSpecs!$A$8,MouserListTable[[#This Row],[Mouser SKU]], MouserListTable[[#This Row],[Supplier SKU]])</f>
        <v>474-PRT-14428</v>
      </c>
      <c r="E218" s="152">
        <f>MouserListTable[[#This Row],[Tot '#]]-MouserListTable[[#This Row],['# Initial]]</f>
        <v>0</v>
      </c>
      <c r="F218" s="152">
        <f>IF(AND(MouserListTable[[#This Row],[Tag]]&lt;&gt;FilterSpecs!$F$12, MouserListTable[[#This Row],[Tag]]&lt;&gt;FilterSpecs!$F$9), MouserListTable[[#This Row],['#/Unit]]*FilterSpecs!$B$3+MouserListTable[[#This Row],[Extra Initial]],0)</f>
        <v>0</v>
      </c>
      <c r="G218" s="150" t="s">
        <v>262</v>
      </c>
      <c r="H218" s="150" t="s">
        <v>263</v>
      </c>
      <c r="I218" s="150" t="s">
        <v>264</v>
      </c>
      <c r="J218" s="150"/>
      <c r="K218" s="154">
        <v>1.5</v>
      </c>
      <c r="L218" s="150" t="s">
        <v>1897</v>
      </c>
      <c r="M218" s="150"/>
      <c r="N218" s="154">
        <f>MouserListTable[[#This Row],['# Initial]]*MouserListTable[[#This Row],[Price (USD)]]</f>
        <v>0</v>
      </c>
      <c r="O218" s="151" t="s">
        <v>261</v>
      </c>
      <c r="P218" s="150">
        <f t="shared" si="4"/>
        <v>205</v>
      </c>
      <c r="Q218" s="150" t="s">
        <v>5</v>
      </c>
      <c r="R21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474-PRT-14428</v>
      </c>
      <c r="S218" s="157" t="str">
        <f>HYPERLINK("https://www.mouser.com/ProductDetail/" &amp;MouserListTable[[#This Row],[Mouser SKU]])</f>
        <v>https://www.mouser.com/ProductDetail/474-PRT-14428</v>
      </c>
      <c r="T218" s="152">
        <v>0</v>
      </c>
      <c r="U218" s="152">
        <v>0</v>
      </c>
      <c r="V218" s="152">
        <v>0</v>
      </c>
      <c r="W218" s="152">
        <f>MouserListTable[[#This Row],['#/Unit]]*FilterSpecs!$C$3+MouserListTable[[#This Row],[Extra]]</f>
        <v>0</v>
      </c>
      <c r="X218" s="152">
        <f>IF(MouserListTable[[#This Row],[Tag]]=FilterSpecs!$F$7,MouserListTable[[#This Row],['#/Unit]]*MouserListTable[[#This Row],[Price (USD)]],0)</f>
        <v>0</v>
      </c>
      <c r="Y218" s="152">
        <f>MouserListTable[[#This Row],[Tot '#]]*MouserListTable[[#This Row],[Price (USD)]]</f>
        <v>0</v>
      </c>
    </row>
    <row r="219" spans="1:28" s="151" customFormat="1" x14ac:dyDescent="0.25">
      <c r="A219" s="150" t="s">
        <v>888</v>
      </c>
      <c r="B219" s="150" t="s">
        <v>892</v>
      </c>
      <c r="C219" s="150" t="s">
        <v>5</v>
      </c>
      <c r="D219" s="151" t="str">
        <f>IF(MouserListTable[[#This Row],[Vendor]]=FilterSpecs!$A$8,MouserListTable[[#This Row],[Mouser SKU]], MouserListTable[[#This Row],[Supplier SKU]])</f>
        <v>474-PRT-14429</v>
      </c>
      <c r="E219" s="152">
        <f>MouserListTable[[#This Row],[Tot '#]]-MouserListTable[[#This Row],['# Initial]]</f>
        <v>1</v>
      </c>
      <c r="F219" s="152">
        <f>IF(AND(MouserListTable[[#This Row],[Tag]]&lt;&gt;FilterSpecs!$F$12, MouserListTable[[#This Row],[Tag]]&lt;&gt;FilterSpecs!$F$9), MouserListTable[[#This Row],['#/Unit]]*FilterSpecs!$B$3+MouserListTable[[#This Row],[Extra Initial]],0)</f>
        <v>0</v>
      </c>
      <c r="G219" s="150" t="s">
        <v>1810</v>
      </c>
      <c r="H219" s="150" t="s">
        <v>1811</v>
      </c>
      <c r="I219" s="150" t="s">
        <v>1812</v>
      </c>
      <c r="J219" s="150"/>
      <c r="K219" s="154">
        <v>1.95</v>
      </c>
      <c r="L219" s="150" t="s">
        <v>1896</v>
      </c>
      <c r="N219" s="154">
        <f>MouserListTable[[#This Row],['# Initial]]*MouserListTable[[#This Row],[Price (USD)]]</f>
        <v>0</v>
      </c>
      <c r="O219" s="151" t="s">
        <v>1809</v>
      </c>
      <c r="P219" s="150">
        <f t="shared" si="4"/>
        <v>206</v>
      </c>
      <c r="Q219" s="150" t="s">
        <v>5</v>
      </c>
      <c r="R21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474-PRT-14429</v>
      </c>
      <c r="S219" s="157" t="str">
        <f>HYPERLINK("https://www.mouser.com/ProductDetail/" &amp;MouserListTable[[#This Row],[Mouser SKU]])</f>
        <v>https://www.mouser.com/ProductDetail/474-PRT-14429</v>
      </c>
      <c r="T219" s="152">
        <v>0</v>
      </c>
      <c r="U219" s="152">
        <v>1</v>
      </c>
      <c r="V219" s="152">
        <v>0</v>
      </c>
      <c r="W219" s="152">
        <f>MouserListTable[[#This Row],['#/Unit]]*FilterSpecs!$C$3+MouserListTable[[#This Row],[Extra]]</f>
        <v>1</v>
      </c>
      <c r="X219" s="152">
        <f>IF(MouserListTable[[#This Row],[Tag]]=FilterSpecs!$F$7,MouserListTable[[#This Row],['#/Unit]]*MouserListTable[[#This Row],[Price (USD)]],0)</f>
        <v>0</v>
      </c>
      <c r="Y219" s="152">
        <f>MouserListTable[[#This Row],[Tot '#]]*MouserListTable[[#This Row],[Price (USD)]]</f>
        <v>1.95</v>
      </c>
    </row>
    <row r="220" spans="1:28" s="151" customFormat="1" x14ac:dyDescent="0.25">
      <c r="A220" s="150" t="s">
        <v>888</v>
      </c>
      <c r="B220" s="150" t="s">
        <v>892</v>
      </c>
      <c r="C220" s="150" t="s">
        <v>5</v>
      </c>
      <c r="D220" s="151" t="str">
        <f>IF(MouserListTable[[#This Row],[Vendor]]=FilterSpecs!$A$8,MouserListTable[[#This Row],[Mouser SKU]], MouserListTable[[#This Row],[Supplier SKU]])</f>
        <v>474-SPX-14323</v>
      </c>
      <c r="E220" s="152">
        <f>MouserListTable[[#This Row],[Tot '#]]-MouserListTable[[#This Row],['# Initial]]</f>
        <v>2</v>
      </c>
      <c r="F220" s="152">
        <f>IF(AND(MouserListTable[[#This Row],[Tag]]&lt;&gt;FilterSpecs!$F$12, MouserListTable[[#This Row],[Tag]]&lt;&gt;FilterSpecs!$F$9), MouserListTable[[#This Row],['#/Unit]]*FilterSpecs!$B$3+MouserListTable[[#This Row],[Extra Initial]],0)</f>
        <v>0</v>
      </c>
      <c r="G220" s="150" t="s">
        <v>729</v>
      </c>
      <c r="H220" s="150" t="s">
        <v>730</v>
      </c>
      <c r="I220" s="150" t="s">
        <v>731</v>
      </c>
      <c r="J220" s="150"/>
      <c r="K220" s="154">
        <v>2.95</v>
      </c>
      <c r="L220" s="150" t="s">
        <v>2461</v>
      </c>
      <c r="M220" s="150"/>
      <c r="N220" s="154">
        <f>MouserListTable[[#This Row],['# Initial]]*MouserListTable[[#This Row],[Price (USD)]]</f>
        <v>0</v>
      </c>
      <c r="O220" s="151" t="s">
        <v>728</v>
      </c>
      <c r="P220" s="150">
        <f t="shared" si="4"/>
        <v>207</v>
      </c>
      <c r="Q220" s="150" t="s">
        <v>5</v>
      </c>
      <c r="R22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474-SPX-14323</v>
      </c>
      <c r="S220" s="157" t="str">
        <f>HYPERLINK("https://www.mouser.com/ProductDetail/" &amp;MouserListTable[[#This Row],[Mouser SKU]])</f>
        <v>https://www.mouser.com/ProductDetail/474-SPX-14323</v>
      </c>
      <c r="T220" s="152">
        <v>0</v>
      </c>
      <c r="U220" s="152">
        <v>2</v>
      </c>
      <c r="V220" s="152">
        <v>0</v>
      </c>
      <c r="W220" s="152">
        <f>MouserListTable[[#This Row],['#/Unit]]*FilterSpecs!$C$3+MouserListTable[[#This Row],[Extra]]</f>
        <v>2</v>
      </c>
      <c r="X220" s="152">
        <f>IF(MouserListTable[[#This Row],[Tag]]=FilterSpecs!$F$7,MouserListTable[[#This Row],['#/Unit]]*MouserListTable[[#This Row],[Price (USD)]],0)</f>
        <v>0</v>
      </c>
      <c r="Y220" s="152">
        <f>MouserListTable[[#This Row],[Tot '#]]*MouserListTable[[#This Row],[Price (USD)]]</f>
        <v>5.9</v>
      </c>
    </row>
    <row r="221" spans="1:28" s="151" customFormat="1" x14ac:dyDescent="0.25">
      <c r="A221" s="150" t="s">
        <v>888</v>
      </c>
      <c r="B221" s="150" t="s">
        <v>892</v>
      </c>
      <c r="C221" s="150" t="s">
        <v>5</v>
      </c>
      <c r="D221" s="151" t="str">
        <f>IF(MouserListTable[[#This Row],[Vendor]]=FilterSpecs!$A$8,MouserListTable[[#This Row],[Mouser SKU]], MouserListTable[[#This Row],[Supplier SKU]])</f>
        <v>474-SPX-14324</v>
      </c>
      <c r="E221" s="152">
        <f>MouserListTable[[#This Row],[Tot '#]]-MouserListTable[[#This Row],['# Initial]]</f>
        <v>1</v>
      </c>
      <c r="F221" s="152">
        <f>IF(AND(MouserListTable[[#This Row],[Tag]]&lt;&gt;FilterSpecs!$F$12, MouserListTable[[#This Row],[Tag]]&lt;&gt;FilterSpecs!$F$9), MouserListTable[[#This Row],['#/Unit]]*FilterSpecs!$B$3+MouserListTable[[#This Row],[Extra Initial]],0)</f>
        <v>0</v>
      </c>
      <c r="G221" s="150" t="s">
        <v>1794</v>
      </c>
      <c r="H221" s="150" t="s">
        <v>1795</v>
      </c>
      <c r="I221" s="150" t="s">
        <v>1796</v>
      </c>
      <c r="J221" s="150"/>
      <c r="K221" s="154">
        <v>2.95</v>
      </c>
      <c r="L221" s="150" t="s">
        <v>1896</v>
      </c>
      <c r="N221" s="154">
        <f>MouserListTable[[#This Row],['# Initial]]*MouserListTable[[#This Row],[Price (USD)]]</f>
        <v>0</v>
      </c>
      <c r="O221" s="151" t="s">
        <v>1793</v>
      </c>
      <c r="P221" s="150">
        <f t="shared" si="4"/>
        <v>208</v>
      </c>
      <c r="Q221" s="150" t="s">
        <v>5</v>
      </c>
      <c r="R22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474-SPX-14324</v>
      </c>
      <c r="S221" s="157" t="str">
        <f>HYPERLINK("https://www.mouser.com/ProductDetail/" &amp;MouserListTable[[#This Row],[Mouser SKU]])</f>
        <v>https://www.mouser.com/ProductDetail/474-SPX-14324</v>
      </c>
      <c r="T221" s="152">
        <v>0</v>
      </c>
      <c r="U221" s="152">
        <v>1</v>
      </c>
      <c r="V221" s="152">
        <v>0</v>
      </c>
      <c r="W221" s="152">
        <f>MouserListTable[[#This Row],['#/Unit]]*FilterSpecs!$C$3+MouserListTable[[#This Row],[Extra]]</f>
        <v>1</v>
      </c>
      <c r="X221" s="152">
        <f>IF(MouserListTable[[#This Row],[Tag]]=FilterSpecs!$F$7,MouserListTable[[#This Row],['#/Unit]]*MouserListTable[[#This Row],[Price (USD)]],0)</f>
        <v>0</v>
      </c>
      <c r="Y221" s="152">
        <f>MouserListTable[[#This Row],[Tot '#]]*MouserListTable[[#This Row],[Price (USD)]]</f>
        <v>2.95</v>
      </c>
    </row>
    <row r="222" spans="1:28" s="151" customFormat="1" x14ac:dyDescent="0.25">
      <c r="A222" s="150" t="s">
        <v>888</v>
      </c>
      <c r="B222" s="150" t="s">
        <v>1593</v>
      </c>
      <c r="C222" s="150" t="s">
        <v>5</v>
      </c>
      <c r="D222" s="151" t="str">
        <f>IF(MouserListTable[[#This Row],[Vendor]]=FilterSpecs!$A$8,MouserListTable[[#This Row],[Mouser SKU]], MouserListTable[[#This Row],[Supplier SKU]])</f>
        <v>474-DEV-11723</v>
      </c>
      <c r="E222" s="152">
        <f>MouserListTable[[#This Row],[Tot '#]]-MouserListTable[[#This Row],['# Initial]]</f>
        <v>1</v>
      </c>
      <c r="F222" s="152">
        <f>IF(AND(MouserListTable[[#This Row],[Tag]]&lt;&gt;FilterSpecs!$F$12, MouserListTable[[#This Row],[Tag]]&lt;&gt;FilterSpecs!$F$9), MouserListTable[[#This Row],['#/Unit]]*FilterSpecs!$B$3+MouserListTable[[#This Row],[Extra Initial]],0)</f>
        <v>0</v>
      </c>
      <c r="G222" s="150" t="s">
        <v>1097</v>
      </c>
      <c r="H222" s="150" t="s">
        <v>1098</v>
      </c>
      <c r="I222" s="150" t="s">
        <v>1099</v>
      </c>
      <c r="J222" s="150"/>
      <c r="K222" s="154">
        <v>24.95</v>
      </c>
      <c r="L222" s="150" t="s">
        <v>1896</v>
      </c>
      <c r="N222" s="154">
        <f>MouserListTable[[#This Row],['# Initial]]*MouserListTable[[#This Row],[Price (USD)]]</f>
        <v>0</v>
      </c>
      <c r="O222" s="151" t="s">
        <v>1096</v>
      </c>
      <c r="P222" s="150">
        <f t="shared" si="4"/>
        <v>209</v>
      </c>
      <c r="Q222" s="150" t="s">
        <v>5</v>
      </c>
      <c r="R22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474-DEV-11723</v>
      </c>
      <c r="S222" s="157" t="str">
        <f>HYPERLINK("https://www.mouser.com/ProductDetail/" &amp;MouserListTable[[#This Row],[Mouser SKU]])</f>
        <v>https://www.mouser.com/ProductDetail/474-DEV-11723</v>
      </c>
      <c r="T222" s="152">
        <v>0</v>
      </c>
      <c r="U222" s="152">
        <v>1</v>
      </c>
      <c r="V222" s="152">
        <v>0</v>
      </c>
      <c r="W222" s="152">
        <f>MouserListTable[[#This Row],['#/Unit]]*FilterSpecs!$C$3+MouserListTable[[#This Row],[Extra]]</f>
        <v>1</v>
      </c>
      <c r="X222" s="152">
        <f>IF(MouserListTable[[#This Row],[Tag]]=FilterSpecs!$F$7,MouserListTable[[#This Row],['#/Unit]]*MouserListTable[[#This Row],[Price (USD)]],0)</f>
        <v>0</v>
      </c>
      <c r="Y222" s="152">
        <f>MouserListTable[[#This Row],[Tot '#]]*MouserListTable[[#This Row],[Price (USD)]]</f>
        <v>24.95</v>
      </c>
    </row>
    <row r="223" spans="1:28" s="151" customFormat="1" x14ac:dyDescent="0.25">
      <c r="A223" s="150" t="s">
        <v>888</v>
      </c>
      <c r="B223" s="150" t="s">
        <v>1593</v>
      </c>
      <c r="C223" s="150" t="s">
        <v>5</v>
      </c>
      <c r="D223" s="151" t="str">
        <f>IF(MouserListTable[[#This Row],[Vendor]]=FilterSpecs!$A$8,MouserListTable[[#This Row],[Mouser SKU]], MouserListTable[[#This Row],[Supplier SKU]])</f>
        <v>474-BOB-09056</v>
      </c>
      <c r="E223" s="152">
        <f>MouserListTable[[#This Row],[Tot '#]]-MouserListTable[[#This Row],['# Initial]]</f>
        <v>1</v>
      </c>
      <c r="F223" s="152">
        <f>IF(AND(MouserListTable[[#This Row],[Tag]]&lt;&gt;FilterSpecs!$F$12, MouserListTable[[#This Row],[Tag]]&lt;&gt;FilterSpecs!$F$9), MouserListTable[[#This Row],['#/Unit]]*FilterSpecs!$B$3+MouserListTable[[#This Row],[Extra Initial]],0)</f>
        <v>5</v>
      </c>
      <c r="G223" s="150" t="s">
        <v>487</v>
      </c>
      <c r="H223" s="150" t="s">
        <v>488</v>
      </c>
      <c r="I223" s="150" t="s">
        <v>211</v>
      </c>
      <c r="J223" s="150">
        <v>1</v>
      </c>
      <c r="K223" s="154">
        <v>4.95</v>
      </c>
      <c r="L223" s="150" t="s">
        <v>1897</v>
      </c>
      <c r="M223" s="150"/>
      <c r="N223" s="154">
        <f>MouserListTable[[#This Row],['# Initial]]*MouserListTable[[#This Row],[Price (USD)]]</f>
        <v>24.75</v>
      </c>
      <c r="O223" s="151" t="s">
        <v>486</v>
      </c>
      <c r="P223" s="150">
        <f t="shared" si="4"/>
        <v>210</v>
      </c>
      <c r="Q223" s="150" t="s">
        <v>5</v>
      </c>
      <c r="R22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474-BOB-09056</v>
      </c>
      <c r="S223" s="157" t="str">
        <f>HYPERLINK("https://www.mouser.com/ProductDetail/" &amp;MouserListTable[[#This Row],[Mouser SKU]])</f>
        <v>https://www.mouser.com/ProductDetail/474-BOB-09056</v>
      </c>
      <c r="T223" s="152">
        <v>1</v>
      </c>
      <c r="U223" s="152">
        <v>1</v>
      </c>
      <c r="V223" s="152">
        <v>0</v>
      </c>
      <c r="W223" s="152">
        <f>MouserListTable[[#This Row],['#/Unit]]*FilterSpecs!$C$3+MouserListTable[[#This Row],[Extra]]</f>
        <v>6</v>
      </c>
      <c r="X223" s="152">
        <f>IF(MouserListTable[[#This Row],[Tag]]=FilterSpecs!$F$7,MouserListTable[[#This Row],['#/Unit]]*MouserListTable[[#This Row],[Price (USD)]],0)</f>
        <v>4.95</v>
      </c>
      <c r="Y223" s="152">
        <f>MouserListTable[[#This Row],[Tot '#]]*MouserListTable[[#This Row],[Price (USD)]]</f>
        <v>29.700000000000003</v>
      </c>
    </row>
    <row r="224" spans="1:28" s="63" customFormat="1" x14ac:dyDescent="0.25">
      <c r="A224" s="150" t="s">
        <v>888</v>
      </c>
      <c r="B224" s="150" t="s">
        <v>1593</v>
      </c>
      <c r="C224" s="150" t="s">
        <v>1884</v>
      </c>
      <c r="D224" s="151" t="str">
        <f>IF(MouserListTable[[#This Row],[Vendor]]=FilterSpecs!$A$8,MouserListTable[[#This Row],[Mouser SKU]], MouserListTable[[#This Row],[Supplier SKU]])</f>
        <v>485-2717</v>
      </c>
      <c r="E224" s="152">
        <f>MouserListTable[[#This Row],[Tot '#]]-MouserListTable[[#This Row],['# Initial]]</f>
        <v>0</v>
      </c>
      <c r="F224" s="152">
        <f>IF(AND(MouserListTable[[#This Row],[Tag]]&lt;&gt;FilterSpecs!$F$12, MouserListTable[[#This Row],[Tag]]&lt;&gt;FilterSpecs!$F$9), MouserListTable[[#This Row],['#/Unit]]*FilterSpecs!$B$3+MouserListTable[[#This Row],[Extra Initial]],0)</f>
        <v>0</v>
      </c>
      <c r="G224" s="150"/>
      <c r="H224" s="150"/>
      <c r="I224" s="150" t="s">
        <v>2339</v>
      </c>
      <c r="J224" s="153"/>
      <c r="K224" s="118">
        <v>6.95</v>
      </c>
      <c r="L224" s="97" t="s">
        <v>1896</v>
      </c>
      <c r="M224" s="153"/>
      <c r="N224" s="154">
        <f>MouserListTable[[#This Row],['# Initial]]*MouserListTable[[#This Row],[Price (USD)]]</f>
        <v>0</v>
      </c>
      <c r="O224" s="151" t="s">
        <v>2338</v>
      </c>
      <c r="P224" s="150">
        <f t="shared" si="4"/>
        <v>211</v>
      </c>
      <c r="Q224" s="150" t="s">
        <v>1884</v>
      </c>
      <c r="R22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485-2717</v>
      </c>
      <c r="S224" s="157" t="str">
        <f>HYPERLINK("https://www.mouser.com/ProductDetail/" &amp;MouserListTable[[#This Row],[Mouser SKU]])</f>
        <v>https://www.mouser.com/ProductDetail/485-2717</v>
      </c>
      <c r="T224" s="152">
        <v>0</v>
      </c>
      <c r="U224" s="152">
        <v>0</v>
      </c>
      <c r="V224" s="152">
        <v>0</v>
      </c>
      <c r="W224" s="152">
        <f>MouserListTable[[#This Row],['#/Unit]]*FilterSpecs!$C$3+MouserListTable[[#This Row],[Extra]]</f>
        <v>0</v>
      </c>
      <c r="X224" s="152">
        <f>IF(MouserListTable[[#This Row],[Tag]]=FilterSpecs!$F$7,MouserListTable[[#This Row],['#/Unit]]*MouserListTable[[#This Row],[Price (USD)]],0)</f>
        <v>0</v>
      </c>
      <c r="Y224" s="152">
        <f>MouserListTable[[#This Row],[Tot '#]]*MouserListTable[[#This Row],[Price (USD)]]</f>
        <v>0</v>
      </c>
    </row>
    <row r="225" spans="1:25" s="109" customFormat="1" x14ac:dyDescent="0.25">
      <c r="A225" s="150" t="s">
        <v>888</v>
      </c>
      <c r="B225" s="150" t="s">
        <v>1593</v>
      </c>
      <c r="C225" s="150" t="s">
        <v>5</v>
      </c>
      <c r="D225" s="151" t="str">
        <f>IF(MouserListTable[[#This Row],[Vendor]]=FilterSpecs!$A$8,MouserListTable[[#This Row],[Mouser SKU]], MouserListTable[[#This Row],[Supplier SKU]])</f>
        <v>474-BOB-09118</v>
      </c>
      <c r="E225" s="152">
        <f>MouserListTable[[#This Row],[Tot '#]]-MouserListTable[[#This Row],['# Initial]]</f>
        <v>3</v>
      </c>
      <c r="F225" s="152">
        <f>IF(AND(MouserListTable[[#This Row],[Tag]]&lt;&gt;FilterSpecs!$F$12, MouserListTable[[#This Row],[Tag]]&lt;&gt;FilterSpecs!$F$9), MouserListTable[[#This Row],['#/Unit]]*FilterSpecs!$B$3+MouserListTable[[#This Row],[Extra Initial]],0)</f>
        <v>5</v>
      </c>
      <c r="G225" s="150" t="s">
        <v>490</v>
      </c>
      <c r="H225" s="150" t="s">
        <v>491</v>
      </c>
      <c r="I225" s="150" t="s">
        <v>207</v>
      </c>
      <c r="J225" s="150">
        <v>1</v>
      </c>
      <c r="K225" s="154">
        <v>4.95</v>
      </c>
      <c r="L225" s="150" t="s">
        <v>1897</v>
      </c>
      <c r="M225" s="150"/>
      <c r="N225" s="154">
        <f>MouserListTable[[#This Row],['# Initial]]*MouserListTable[[#This Row],[Price (USD)]]</f>
        <v>24.75</v>
      </c>
      <c r="O225" s="151" t="s">
        <v>489</v>
      </c>
      <c r="P225" s="150">
        <f t="shared" si="4"/>
        <v>212</v>
      </c>
      <c r="Q225" s="150" t="s">
        <v>5</v>
      </c>
      <c r="R22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474-BOB-09118</v>
      </c>
      <c r="S225" s="157" t="str">
        <f>HYPERLINK("https://www.mouser.com/ProductDetail/" &amp;MouserListTable[[#This Row],[Mouser SKU]])</f>
        <v>https://www.mouser.com/ProductDetail/474-BOB-09118</v>
      </c>
      <c r="T225" s="152">
        <v>1</v>
      </c>
      <c r="U225" s="152">
        <v>3</v>
      </c>
      <c r="V225" s="152">
        <v>0</v>
      </c>
      <c r="W225" s="152">
        <f>MouserListTable[[#This Row],['#/Unit]]*FilterSpecs!$C$3+MouserListTable[[#This Row],[Extra]]</f>
        <v>8</v>
      </c>
      <c r="X225" s="152">
        <f>IF(MouserListTable[[#This Row],[Tag]]=FilterSpecs!$F$7,MouserListTable[[#This Row],['#/Unit]]*MouserListTable[[#This Row],[Price (USD)]],0)</f>
        <v>4.95</v>
      </c>
      <c r="Y225" s="152">
        <f>MouserListTable[[#This Row],[Tot '#]]*MouserListTable[[#This Row],[Price (USD)]]</f>
        <v>39.6</v>
      </c>
    </row>
    <row r="226" spans="1:25" s="63" customFormat="1" x14ac:dyDescent="0.25">
      <c r="A226" s="150" t="s">
        <v>888</v>
      </c>
      <c r="B226" s="150" t="s">
        <v>1593</v>
      </c>
      <c r="C226" s="150" t="s">
        <v>1884</v>
      </c>
      <c r="D226" s="151" t="str">
        <f>IF(MouserListTable[[#This Row],[Vendor]]=FilterSpecs!$A$8,MouserListTable[[#This Row],[Mouser SKU]], MouserListTable[[#This Row],[Supplier SKU]])</f>
        <v>485-1085</v>
      </c>
      <c r="E226" s="152">
        <f>MouserListTable[[#This Row],[Tot '#]]-MouserListTable[[#This Row],['# Initial]]</f>
        <v>0</v>
      </c>
      <c r="F226" s="152">
        <f>IF(AND(MouserListTable[[#This Row],[Tag]]&lt;&gt;FilterSpecs!$F$12, MouserListTable[[#This Row],[Tag]]&lt;&gt;FilterSpecs!$F$9), MouserListTable[[#This Row],['#/Unit]]*FilterSpecs!$B$3+MouserListTable[[#This Row],[Extra Initial]],0)</f>
        <v>0</v>
      </c>
      <c r="G226" s="150"/>
      <c r="H226" s="150"/>
      <c r="I226" s="150" t="s">
        <v>2335</v>
      </c>
      <c r="J226" s="153"/>
      <c r="K226" s="118">
        <v>14.95</v>
      </c>
      <c r="L226" s="97" t="s">
        <v>1896</v>
      </c>
      <c r="M226" s="153"/>
      <c r="N226" s="154">
        <f>MouserListTable[[#This Row],['# Initial]]*MouserListTable[[#This Row],[Price (USD)]]</f>
        <v>0</v>
      </c>
      <c r="O226" s="151" t="s">
        <v>2334</v>
      </c>
      <c r="P226" s="150">
        <f t="shared" si="4"/>
        <v>213</v>
      </c>
      <c r="Q226" s="150" t="s">
        <v>1884</v>
      </c>
      <c r="R22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485-1085</v>
      </c>
      <c r="S226" s="157" t="str">
        <f>HYPERLINK("https://www.mouser.com/ProductDetail/" &amp;MouserListTable[[#This Row],[Mouser SKU]])</f>
        <v>https://www.mouser.com/ProductDetail/485-1085</v>
      </c>
      <c r="T226" s="152">
        <v>0</v>
      </c>
      <c r="U226" s="152">
        <v>0</v>
      </c>
      <c r="V226" s="152">
        <v>0</v>
      </c>
      <c r="W226" s="152">
        <f>MouserListTable[[#This Row],['#/Unit]]*FilterSpecs!$C$3+MouserListTable[[#This Row],[Extra]]</f>
        <v>0</v>
      </c>
      <c r="X226" s="152">
        <f>IF(MouserListTable[[#This Row],[Tag]]=FilterSpecs!$F$7,MouserListTable[[#This Row],['#/Unit]]*MouserListTable[[#This Row],[Price (USD)]],0)</f>
        <v>0</v>
      </c>
      <c r="Y226" s="152">
        <f>MouserListTable[[#This Row],[Tot '#]]*MouserListTable[[#This Row],[Price (USD)]]</f>
        <v>0</v>
      </c>
    </row>
    <row r="227" spans="1:25" s="63" customFormat="1" x14ac:dyDescent="0.25">
      <c r="A227" s="150" t="s">
        <v>888</v>
      </c>
      <c r="B227" s="150" t="s">
        <v>1593</v>
      </c>
      <c r="C227" s="150" t="s">
        <v>1884</v>
      </c>
      <c r="D227" s="151" t="str">
        <f>IF(MouserListTable[[#This Row],[Vendor]]=FilterSpecs!$A$8,MouserListTable[[#This Row],[Mouser SKU]], MouserListTable[[#This Row],[Supplier SKU]])</f>
        <v>485-856</v>
      </c>
      <c r="E227" s="152">
        <f>MouserListTable[[#This Row],[Tot '#]]-MouserListTable[[#This Row],['# Initial]]</f>
        <v>0</v>
      </c>
      <c r="F227" s="152">
        <f>IF(AND(MouserListTable[[#This Row],[Tag]]&lt;&gt;FilterSpecs!$F$12, MouserListTable[[#This Row],[Tag]]&lt;&gt;FilterSpecs!$F$9), MouserListTable[[#This Row],['#/Unit]]*FilterSpecs!$B$3+MouserListTable[[#This Row],[Extra Initial]],0)</f>
        <v>0</v>
      </c>
      <c r="G227" s="150"/>
      <c r="H227" s="150"/>
      <c r="I227" s="150" t="s">
        <v>2337</v>
      </c>
      <c r="J227" s="153"/>
      <c r="K227" s="118">
        <v>3.75</v>
      </c>
      <c r="L227" s="97" t="s">
        <v>1896</v>
      </c>
      <c r="M227" s="153"/>
      <c r="N227" s="154">
        <f>MouserListTable[[#This Row],['# Initial]]*MouserListTable[[#This Row],[Price (USD)]]</f>
        <v>0</v>
      </c>
      <c r="O227" s="151" t="s">
        <v>2336</v>
      </c>
      <c r="P227" s="150">
        <f t="shared" si="4"/>
        <v>214</v>
      </c>
      <c r="Q227" s="150" t="s">
        <v>1884</v>
      </c>
      <c r="R22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485-856</v>
      </c>
      <c r="S227" s="157" t="str">
        <f>HYPERLINK("https://www.mouser.com/ProductDetail/" &amp;MouserListTable[[#This Row],[Mouser SKU]])</f>
        <v>https://www.mouser.com/ProductDetail/485-856</v>
      </c>
      <c r="T227" s="152">
        <v>0</v>
      </c>
      <c r="U227" s="152">
        <v>0</v>
      </c>
      <c r="V227" s="152">
        <v>0</v>
      </c>
      <c r="W227" s="152">
        <f>MouserListTable[[#This Row],['#/Unit]]*FilterSpecs!$C$3+MouserListTable[[#This Row],[Extra]]</f>
        <v>0</v>
      </c>
      <c r="X227" s="152">
        <f>IF(MouserListTable[[#This Row],[Tag]]=FilterSpecs!$F$7,MouserListTable[[#This Row],['#/Unit]]*MouserListTable[[#This Row],[Price (USD)]],0)</f>
        <v>0</v>
      </c>
      <c r="Y227" s="152">
        <f>MouserListTable[[#This Row],[Tot '#]]*MouserListTable[[#This Row],[Price (USD)]]</f>
        <v>0</v>
      </c>
    </row>
    <row r="228" spans="1:25" s="63" customFormat="1" x14ac:dyDescent="0.25">
      <c r="A228" s="97" t="s">
        <v>888</v>
      </c>
      <c r="B228" s="97" t="s">
        <v>2017</v>
      </c>
      <c r="C228" s="150" t="s">
        <v>5</v>
      </c>
      <c r="D228" s="151" t="str">
        <f>IF(MouserListTable[[#This Row],[Vendor]]=FilterSpecs!$A$8,MouserListTable[[#This Row],[Mouser SKU]], MouserListTable[[#This Row],[Supplier SKU]])</f>
        <v>474-CAB-11604</v>
      </c>
      <c r="E228" s="152">
        <f>MouserListTable[[#This Row],[Tot '#]]-MouserListTable[[#This Row],['# Initial]]</f>
        <v>0</v>
      </c>
      <c r="F228" s="152">
        <f>IF(AND(MouserListTable[[#This Row],[Tag]]&lt;&gt;FilterSpecs!$F$12, MouserListTable[[#This Row],[Tag]]&lt;&gt;FilterSpecs!$F$9), MouserListTable[[#This Row],['#/Unit]]*FilterSpecs!$B$3+MouserListTable[[#This Row],[Extra Initial]],0)</f>
        <v>0</v>
      </c>
      <c r="G228" s="150" t="s">
        <v>1490</v>
      </c>
      <c r="H228" s="150" t="s">
        <v>1491</v>
      </c>
      <c r="I228" s="150" t="s">
        <v>1492</v>
      </c>
      <c r="J228" s="150">
        <v>1</v>
      </c>
      <c r="K228" s="154">
        <v>2.95</v>
      </c>
      <c r="L228" s="150" t="s">
        <v>1896</v>
      </c>
      <c r="M228" s="153"/>
      <c r="N228" s="154">
        <f>MouserListTable[[#This Row],['# Initial]]*MouserListTable[[#This Row],[Price (USD)]]</f>
        <v>0</v>
      </c>
      <c r="O228" s="151" t="s">
        <v>1489</v>
      </c>
      <c r="P228" s="150">
        <f t="shared" si="4"/>
        <v>215</v>
      </c>
      <c r="Q228" s="150" t="s">
        <v>5</v>
      </c>
      <c r="R22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474-CAB-11604</v>
      </c>
      <c r="S228" s="157" t="str">
        <f>HYPERLINK("https://www.mouser.com/ProductDetail/" &amp;MouserListTable[[#This Row],[Mouser SKU]])</f>
        <v>https://www.mouser.com/ProductDetail/474-CAB-11604</v>
      </c>
      <c r="T228" s="152">
        <v>0</v>
      </c>
      <c r="U228" s="152">
        <v>0</v>
      </c>
      <c r="V228" s="152">
        <v>0</v>
      </c>
      <c r="W228" s="152">
        <f>MouserListTable[[#This Row],['#/Unit]]*FilterSpecs!$C$3+MouserListTable[[#This Row],[Extra]]</f>
        <v>0</v>
      </c>
      <c r="X228" s="152">
        <f>IF(MouserListTable[[#This Row],[Tag]]=FilterSpecs!$F$7,MouserListTable[[#This Row],['#/Unit]]*MouserListTable[[#This Row],[Price (USD)]],0)</f>
        <v>0</v>
      </c>
      <c r="Y228" s="152">
        <f>MouserListTable[[#This Row],[Tot '#]]*MouserListTable[[#This Row],[Price (USD)]]</f>
        <v>0</v>
      </c>
    </row>
    <row r="229" spans="1:25" s="80" customFormat="1" x14ac:dyDescent="0.25">
      <c r="A229" s="97" t="s">
        <v>888</v>
      </c>
      <c r="B229" s="97" t="s">
        <v>2017</v>
      </c>
      <c r="C229" s="150" t="s">
        <v>5</v>
      </c>
      <c r="D229" s="151" t="str">
        <f>IF(MouserListTable[[#This Row],[Vendor]]=FilterSpecs!$A$8,MouserListTable[[#This Row],[Mouser SKU]], MouserListTable[[#This Row],[Supplier SKU]])</f>
        <v>474-CAB-14276</v>
      </c>
      <c r="E229" s="152">
        <f>MouserListTable[[#This Row],[Tot '#]]-MouserListTable[[#This Row],['# Initial]]</f>
        <v>0</v>
      </c>
      <c r="F229" s="152">
        <f>IF(AND(MouserListTable[[#This Row],[Tag]]&lt;&gt;FilterSpecs!$F$12, MouserListTable[[#This Row],[Tag]]&lt;&gt;FilterSpecs!$F$9), MouserListTable[[#This Row],['#/Unit]]*FilterSpecs!$B$3+MouserListTable[[#This Row],[Extra Initial]],0)</f>
        <v>0</v>
      </c>
      <c r="G229" s="150" t="s">
        <v>1502</v>
      </c>
      <c r="H229" s="150" t="s">
        <v>1503</v>
      </c>
      <c r="I229" s="150" t="s">
        <v>1504</v>
      </c>
      <c r="J229" s="150"/>
      <c r="K229" s="154">
        <v>2.95</v>
      </c>
      <c r="L229" s="150" t="s">
        <v>1896</v>
      </c>
      <c r="M229" s="153"/>
      <c r="N229" s="154">
        <f>MouserListTable[[#This Row],['# Initial]]*MouserListTable[[#This Row],[Price (USD)]]</f>
        <v>0</v>
      </c>
      <c r="O229" s="151" t="s">
        <v>1501</v>
      </c>
      <c r="P229" s="150">
        <f t="shared" si="4"/>
        <v>216</v>
      </c>
      <c r="Q229" s="150" t="s">
        <v>5</v>
      </c>
      <c r="R22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474-CAB-14276</v>
      </c>
      <c r="S229" s="157" t="str">
        <f>HYPERLINK("https://www.mouser.com/ProductDetail/" &amp;MouserListTable[[#This Row],[Mouser SKU]])</f>
        <v>https://www.mouser.com/ProductDetail/474-CAB-14276</v>
      </c>
      <c r="T229" s="152">
        <v>0</v>
      </c>
      <c r="U229" s="152">
        <v>0</v>
      </c>
      <c r="V229" s="152">
        <v>0</v>
      </c>
      <c r="W229" s="152">
        <f>MouserListTable[[#This Row],['#/Unit]]*FilterSpecs!$C$3+MouserListTable[[#This Row],[Extra]]</f>
        <v>0</v>
      </c>
      <c r="X229" s="152">
        <f>IF(MouserListTable[[#This Row],[Tag]]=FilterSpecs!$F$7,MouserListTable[[#This Row],['#/Unit]]*MouserListTable[[#This Row],[Price (USD)]],0)</f>
        <v>0</v>
      </c>
      <c r="Y229" s="152">
        <f>MouserListTable[[#This Row],[Tot '#]]*MouserListTable[[#This Row],[Price (USD)]]</f>
        <v>0</v>
      </c>
    </row>
    <row r="230" spans="1:25" x14ac:dyDescent="0.25">
      <c r="A230" s="97" t="s">
        <v>888</v>
      </c>
      <c r="B230" s="97" t="s">
        <v>2017</v>
      </c>
      <c r="C230" s="150" t="s">
        <v>1884</v>
      </c>
      <c r="D230" s="151" t="str">
        <f>IF(MouserListTable[[#This Row],[Vendor]]=FilterSpecs!$A$8,MouserListTable[[#This Row],[Mouser SKU]], MouserListTable[[#This Row],[Supplier SKU]])</f>
        <v>485-1099</v>
      </c>
      <c r="E230" s="152">
        <f>MouserListTable[[#This Row],[Tot '#]]-MouserListTable[[#This Row],['# Initial]]</f>
        <v>0</v>
      </c>
      <c r="F230" s="152">
        <f>IF(AND(MouserListTable[[#This Row],[Tag]]&lt;&gt;FilterSpecs!$F$12, MouserListTable[[#This Row],[Tag]]&lt;&gt;FilterSpecs!$F$9), MouserListTable[[#This Row],['#/Unit]]*FilterSpecs!$B$3+MouserListTable[[#This Row],[Extra Initial]],0)</f>
        <v>0</v>
      </c>
      <c r="G230" s="150"/>
      <c r="H230" s="150"/>
      <c r="I230" s="150" t="s">
        <v>2345</v>
      </c>
      <c r="J230" s="150"/>
      <c r="K230" s="154">
        <v>2.5</v>
      </c>
      <c r="L230" s="150" t="s">
        <v>1896</v>
      </c>
      <c r="M230" s="153"/>
      <c r="N230" s="154">
        <f>MouserListTable[[#This Row],['# Initial]]*MouserListTable[[#This Row],[Price (USD)]]</f>
        <v>0</v>
      </c>
      <c r="O230" s="151" t="s">
        <v>2344</v>
      </c>
      <c r="P230" s="150">
        <f t="shared" si="4"/>
        <v>217</v>
      </c>
      <c r="Q230" s="150" t="s">
        <v>1884</v>
      </c>
      <c r="R23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485-1099</v>
      </c>
      <c r="S230" s="157" t="str">
        <f>HYPERLINK("https://www.mouser.com/ProductDetail/" &amp;MouserListTable[[#This Row],[Mouser SKU]])</f>
        <v>https://www.mouser.com/ProductDetail/485-1099</v>
      </c>
      <c r="T230" s="152">
        <v>0</v>
      </c>
      <c r="U230" s="152">
        <v>0</v>
      </c>
      <c r="V230" s="152">
        <v>0</v>
      </c>
      <c r="W230" s="152">
        <f>MouserListTable[[#This Row],['#/Unit]]*FilterSpecs!$C$3+MouserListTable[[#This Row],[Extra]]</f>
        <v>0</v>
      </c>
      <c r="X230" s="152">
        <f>IF(MouserListTable[[#This Row],[Tag]]=FilterSpecs!$F$7,MouserListTable[[#This Row],['#/Unit]]*MouserListTable[[#This Row],[Price (USD)]],0)</f>
        <v>0</v>
      </c>
      <c r="Y230" s="152">
        <f>MouserListTable[[#This Row],[Tot '#]]*MouserListTable[[#This Row],[Price (USD)]]</f>
        <v>0</v>
      </c>
    </row>
    <row r="231" spans="1:25" x14ac:dyDescent="0.25">
      <c r="A231" s="150" t="s">
        <v>888</v>
      </c>
      <c r="B231" s="150" t="s">
        <v>2017</v>
      </c>
      <c r="C231" s="150" t="s">
        <v>1884</v>
      </c>
      <c r="D231" s="151" t="str">
        <f>IF(MouserListTable[[#This Row],[Vendor]]=FilterSpecs!$A$8,MouserListTable[[#This Row],[Mouser SKU]], MouserListTable[[#This Row],[Supplier SKU]])</f>
        <v>485-2910</v>
      </c>
      <c r="E231" s="152">
        <f>MouserListTable[[#This Row],[Tot '#]]-MouserListTable[[#This Row],['# Initial]]</f>
        <v>0</v>
      </c>
      <c r="F231" s="152">
        <f>IF(AND(MouserListTable[[#This Row],[Tag]]&lt;&gt;FilterSpecs!$F$12, MouserListTable[[#This Row],[Tag]]&lt;&gt;FilterSpecs!$F$9), MouserListTable[[#This Row],['#/Unit]]*FilterSpecs!$B$3+MouserListTable[[#This Row],[Extra Initial]],0)</f>
        <v>5</v>
      </c>
      <c r="G231" s="150"/>
      <c r="H231" s="150"/>
      <c r="I231" s="150" t="s">
        <v>2341</v>
      </c>
      <c r="J231" s="150"/>
      <c r="K231" s="154">
        <v>2.95</v>
      </c>
      <c r="L231" s="150" t="s">
        <v>1897</v>
      </c>
      <c r="M231" s="151"/>
      <c r="N231" s="154">
        <f>MouserListTable[[#This Row],['# Initial]]*MouserListTable[[#This Row],[Price (USD)]]</f>
        <v>14.75</v>
      </c>
      <c r="O231" s="151" t="s">
        <v>2340</v>
      </c>
      <c r="P231" s="150">
        <f t="shared" si="4"/>
        <v>218</v>
      </c>
      <c r="Q231" s="150" t="s">
        <v>1884</v>
      </c>
      <c r="R23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485-2910</v>
      </c>
      <c r="S231" s="157" t="str">
        <f>HYPERLINK("https://www.mouser.com/ProductDetail/" &amp;MouserListTable[[#This Row],[Mouser SKU]])</f>
        <v>https://www.mouser.com/ProductDetail/485-2910</v>
      </c>
      <c r="T231" s="152">
        <v>1</v>
      </c>
      <c r="U231" s="152">
        <v>0</v>
      </c>
      <c r="V231" s="152">
        <v>0</v>
      </c>
      <c r="W231" s="152">
        <f>MouserListTable[[#This Row],['#/Unit]]*FilterSpecs!$C$3+MouserListTable[[#This Row],[Extra]]</f>
        <v>5</v>
      </c>
      <c r="X231" s="152">
        <f>IF(MouserListTable[[#This Row],[Tag]]=FilterSpecs!$F$7,MouserListTable[[#This Row],['#/Unit]]*MouserListTable[[#This Row],[Price (USD)]],0)</f>
        <v>2.95</v>
      </c>
      <c r="Y231" s="152">
        <f>MouserListTable[[#This Row],[Tot '#]]*MouserListTable[[#This Row],[Price (USD)]]</f>
        <v>14.75</v>
      </c>
    </row>
    <row r="232" spans="1:25" x14ac:dyDescent="0.25">
      <c r="A232" s="150" t="s">
        <v>888</v>
      </c>
      <c r="B232" s="150" t="s">
        <v>2017</v>
      </c>
      <c r="C232" s="150" t="s">
        <v>5</v>
      </c>
      <c r="D232" s="151" t="str">
        <f>IF(MouserListTable[[#This Row],[Vendor]]=FilterSpecs!$A$8,MouserListTable[[#This Row],[Mouser SKU]], MouserListTable[[#This Row],[Supplier SKU]])</f>
        <v>474-CAB-12977</v>
      </c>
      <c r="E232" s="152">
        <f>MouserListTable[[#This Row],[Tot '#]]-MouserListTable[[#This Row],['# Initial]]</f>
        <v>1</v>
      </c>
      <c r="F232" s="152">
        <f>IF(AND(MouserListTable[[#This Row],[Tag]]&lt;&gt;FilterSpecs!$F$12, MouserListTable[[#This Row],[Tag]]&lt;&gt;FilterSpecs!$F$9), MouserListTable[[#This Row],['#/Unit]]*FilterSpecs!$B$3+MouserListTable[[#This Row],[Extra Initial]],0)</f>
        <v>0</v>
      </c>
      <c r="G232" s="150" t="s">
        <v>238</v>
      </c>
      <c r="H232" s="150" t="s">
        <v>239</v>
      </c>
      <c r="I232" s="150" t="s">
        <v>240</v>
      </c>
      <c r="J232" s="150"/>
      <c r="K232" s="154">
        <v>9.9499999999999993</v>
      </c>
      <c r="L232" s="150" t="s">
        <v>1896</v>
      </c>
      <c r="M232" s="150"/>
      <c r="N232" s="154">
        <f>MouserListTable[[#This Row],['# Initial]]*MouserListTable[[#This Row],[Price (USD)]]</f>
        <v>0</v>
      </c>
      <c r="O232" s="151" t="s">
        <v>237</v>
      </c>
      <c r="P232" s="150">
        <f t="shared" si="4"/>
        <v>219</v>
      </c>
      <c r="Q232" s="150" t="s">
        <v>5</v>
      </c>
      <c r="R23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474-CAB-12977</v>
      </c>
      <c r="S232" s="157" t="str">
        <f>HYPERLINK("https://www.mouser.com/ProductDetail/" &amp;MouserListTable[[#This Row],[Mouser SKU]])</f>
        <v>https://www.mouser.com/ProductDetail/474-CAB-12977</v>
      </c>
      <c r="T232" s="152">
        <v>0</v>
      </c>
      <c r="U232" s="152">
        <v>1</v>
      </c>
      <c r="V232" s="152">
        <v>0</v>
      </c>
      <c r="W232" s="152">
        <f>MouserListTable[[#This Row],['#/Unit]]*FilterSpecs!$C$3+MouserListTable[[#This Row],[Extra]]</f>
        <v>1</v>
      </c>
      <c r="X232" s="152">
        <f>IF(MouserListTable[[#This Row],[Tag]]=FilterSpecs!$F$7,MouserListTable[[#This Row],['#/Unit]]*MouserListTable[[#This Row],[Price (USD)]],0)</f>
        <v>0</v>
      </c>
      <c r="Y232" s="152">
        <f>MouserListTable[[#This Row],[Tot '#]]*MouserListTable[[#This Row],[Price (USD)]]</f>
        <v>9.9499999999999993</v>
      </c>
    </row>
    <row r="233" spans="1:25" x14ac:dyDescent="0.25">
      <c r="A233" s="150" t="s">
        <v>888</v>
      </c>
      <c r="B233" s="150" t="s">
        <v>2017</v>
      </c>
      <c r="C233" s="150" t="s">
        <v>1884</v>
      </c>
      <c r="D233" s="151" t="str">
        <f>IF(MouserListTable[[#This Row],[Vendor]]=FilterSpecs!$A$8,MouserListTable[[#This Row],[Mouser SKU]], MouserListTable[[#This Row],[Supplier SKU]])</f>
        <v>485-1620</v>
      </c>
      <c r="E233" s="152">
        <f>MouserListTable[[#This Row],[Tot '#]]-MouserListTable[[#This Row],['# Initial]]</f>
        <v>0</v>
      </c>
      <c r="F233" s="152">
        <f>IF(AND(MouserListTable[[#This Row],[Tag]]&lt;&gt;FilterSpecs!$F$12, MouserListTable[[#This Row],[Tag]]&lt;&gt;FilterSpecs!$F$9), MouserListTable[[#This Row],['#/Unit]]*FilterSpecs!$B$3+MouserListTable[[#This Row],[Extra Initial]],0)</f>
        <v>0</v>
      </c>
      <c r="G233" s="150"/>
      <c r="H233" s="150"/>
      <c r="I233" s="150" t="s">
        <v>2343</v>
      </c>
      <c r="J233" s="153"/>
      <c r="K233" s="118">
        <v>2.95</v>
      </c>
      <c r="L233" s="97" t="s">
        <v>1896</v>
      </c>
      <c r="M233" s="153"/>
      <c r="N233" s="154">
        <f>MouserListTable[[#This Row],['# Initial]]*MouserListTable[[#This Row],[Price (USD)]]</f>
        <v>0</v>
      </c>
      <c r="O233" s="151" t="s">
        <v>2342</v>
      </c>
      <c r="P233" s="150">
        <f t="shared" si="4"/>
        <v>220</v>
      </c>
      <c r="Q233" s="150" t="s">
        <v>1884</v>
      </c>
      <c r="R23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485-1620</v>
      </c>
      <c r="S233" s="157" t="str">
        <f>HYPERLINK("https://www.mouser.com/ProductDetail/" &amp;MouserListTable[[#This Row],[Mouser SKU]])</f>
        <v>https://www.mouser.com/ProductDetail/485-1620</v>
      </c>
      <c r="T233" s="152">
        <v>0</v>
      </c>
      <c r="U233" s="152">
        <v>0</v>
      </c>
      <c r="V233" s="152">
        <v>0</v>
      </c>
      <c r="W233" s="152">
        <f>MouserListTable[[#This Row],['#/Unit]]*FilterSpecs!$C$3+MouserListTable[[#This Row],[Extra]]</f>
        <v>0</v>
      </c>
      <c r="X233" s="152">
        <f>IF(MouserListTable[[#This Row],[Tag]]=FilterSpecs!$F$7,MouserListTable[[#This Row],['#/Unit]]*MouserListTable[[#This Row],[Price (USD)]],0)</f>
        <v>0</v>
      </c>
      <c r="Y233" s="152">
        <f>MouserListTable[[#This Row],[Tot '#]]*MouserListTable[[#This Row],[Price (USD)]]</f>
        <v>0</v>
      </c>
    </row>
    <row r="234" spans="1:25" x14ac:dyDescent="0.25">
      <c r="A234" s="150" t="s">
        <v>888</v>
      </c>
      <c r="B234" s="150" t="s">
        <v>2017</v>
      </c>
      <c r="C234" s="150" t="s">
        <v>5</v>
      </c>
      <c r="D234" s="151" t="str">
        <f>IF(MouserListTable[[#This Row],[Vendor]]=FilterSpecs!$A$8,MouserListTable[[#This Row],[Mouser SKU]], MouserListTable[[#This Row],[Supplier SKU]])</f>
        <v>474-CAB-12016</v>
      </c>
      <c r="E234" s="152">
        <f>MouserListTable[[#This Row],[Tot '#]]-MouserListTable[[#This Row],['# Initial]]</f>
        <v>0</v>
      </c>
      <c r="F234" s="152">
        <f>IF(AND(MouserListTable[[#This Row],[Tag]]&lt;&gt;FilterSpecs!$F$12, MouserListTable[[#This Row],[Tag]]&lt;&gt;FilterSpecs!$F$9), MouserListTable[[#This Row],['#/Unit]]*FilterSpecs!$B$3+MouserListTable[[#This Row],[Extra Initial]],0)</f>
        <v>1</v>
      </c>
      <c r="G234" s="150" t="s">
        <v>246</v>
      </c>
      <c r="H234" s="150" t="s">
        <v>247</v>
      </c>
      <c r="I234" s="150" t="s">
        <v>248</v>
      </c>
      <c r="J234" s="153"/>
      <c r="K234" s="154">
        <v>6.97</v>
      </c>
      <c r="L234" s="150" t="s">
        <v>1896</v>
      </c>
      <c r="M234" s="151"/>
      <c r="N234" s="154">
        <f>MouserListTable[[#This Row],['# Initial]]*MouserListTable[[#This Row],[Price (USD)]]</f>
        <v>6.97</v>
      </c>
      <c r="O234" s="151" t="s">
        <v>245</v>
      </c>
      <c r="P234" s="150">
        <f t="shared" si="4"/>
        <v>221</v>
      </c>
      <c r="Q234" s="150" t="s">
        <v>5</v>
      </c>
      <c r="R23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474-CAB-12016</v>
      </c>
      <c r="S234" s="157" t="str">
        <f>HYPERLINK("https://www.mouser.com/ProductDetail/" &amp;MouserListTable[[#This Row],[Mouser SKU]])</f>
        <v>https://www.mouser.com/ProductDetail/474-CAB-12016</v>
      </c>
      <c r="T234" s="152">
        <v>0</v>
      </c>
      <c r="U234" s="152">
        <v>1</v>
      </c>
      <c r="V234" s="152">
        <v>1</v>
      </c>
      <c r="W234" s="152">
        <f>MouserListTable[[#This Row],['#/Unit]]*FilterSpecs!$C$3+MouserListTable[[#This Row],[Extra]]</f>
        <v>1</v>
      </c>
      <c r="X234" s="152">
        <f>IF(MouserListTable[[#This Row],[Tag]]=FilterSpecs!$F$7,MouserListTable[[#This Row],['#/Unit]]*MouserListTable[[#This Row],[Price (USD)]],0)</f>
        <v>0</v>
      </c>
      <c r="Y234" s="152">
        <f>MouserListTable[[#This Row],[Tot '#]]*MouserListTable[[#This Row],[Price (USD)]]</f>
        <v>6.97</v>
      </c>
    </row>
    <row r="235" spans="1:25" x14ac:dyDescent="0.25">
      <c r="A235" s="150" t="s">
        <v>888</v>
      </c>
      <c r="B235" s="150" t="s">
        <v>1590</v>
      </c>
      <c r="C235" s="150" t="s">
        <v>5</v>
      </c>
      <c r="D235" s="151" t="str">
        <f>IF(MouserListTable[[#This Row],[Vendor]]=FilterSpecs!$A$8,MouserListTable[[#This Row],[Mouser SKU]], MouserListTable[[#This Row],[Supplier SKU]])</f>
        <v>474-DEV-14050</v>
      </c>
      <c r="E235" s="152">
        <f>MouserListTable[[#This Row],[Tot '#]]-MouserListTable[[#This Row],['# Initial]]</f>
        <v>0</v>
      </c>
      <c r="F235" s="152">
        <f>IF(AND(MouserListTable[[#This Row],[Tag]]&lt;&gt;FilterSpecs!$F$12, MouserListTable[[#This Row],[Tag]]&lt;&gt;FilterSpecs!$F$9), MouserListTable[[#This Row],['#/Unit]]*FilterSpecs!$B$3+MouserListTable[[#This Row],[Extra Initial]],0)</f>
        <v>5</v>
      </c>
      <c r="G235" s="150" t="s">
        <v>274</v>
      </c>
      <c r="H235" s="150" t="s">
        <v>275</v>
      </c>
      <c r="I235" s="150" t="s">
        <v>217</v>
      </c>
      <c r="J235" s="150"/>
      <c r="K235" s="154">
        <v>7.95</v>
      </c>
      <c r="L235" s="150" t="s">
        <v>1897</v>
      </c>
      <c r="M235" s="150"/>
      <c r="N235" s="154">
        <f>MouserListTable[[#This Row],['# Initial]]*MouserListTable[[#This Row],[Price (USD)]]</f>
        <v>39.75</v>
      </c>
      <c r="O235" s="151" t="s">
        <v>273</v>
      </c>
      <c r="P235" s="150">
        <f t="shared" si="4"/>
        <v>222</v>
      </c>
      <c r="Q235" s="150" t="s">
        <v>5</v>
      </c>
      <c r="R23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474-DEV-14050</v>
      </c>
      <c r="S235" s="157" t="str">
        <f>HYPERLINK("https://www.mouser.com/ProductDetail/" &amp;MouserListTable[[#This Row],[Mouser SKU]])</f>
        <v>https://www.mouser.com/ProductDetail/474-DEV-14050</v>
      </c>
      <c r="T235" s="152">
        <v>1</v>
      </c>
      <c r="U235" s="152">
        <v>0</v>
      </c>
      <c r="V235" s="152">
        <v>0</v>
      </c>
      <c r="W235" s="152">
        <f>MouserListTable[[#This Row],['#/Unit]]*FilterSpecs!$C$3+MouserListTable[[#This Row],[Extra]]</f>
        <v>5</v>
      </c>
      <c r="X235" s="152">
        <f>IF(MouserListTable[[#This Row],[Tag]]=FilterSpecs!$F$7,MouserListTable[[#This Row],['#/Unit]]*MouserListTable[[#This Row],[Price (USD)]],0)</f>
        <v>7.95</v>
      </c>
      <c r="Y235" s="152">
        <f>MouserListTable[[#This Row],[Tot '#]]*MouserListTable[[#This Row],[Price (USD)]]</f>
        <v>39.75</v>
      </c>
    </row>
    <row r="236" spans="1:25" x14ac:dyDescent="0.25">
      <c r="A236" s="150" t="s">
        <v>888</v>
      </c>
      <c r="B236" s="150" t="s">
        <v>1590</v>
      </c>
      <c r="C236" s="150" t="s">
        <v>5</v>
      </c>
      <c r="D236" s="151" t="str">
        <f>IF(MouserListTable[[#This Row],[Vendor]]=FilterSpecs!$A$8,MouserListTable[[#This Row],[Mouser SKU]], MouserListTable[[#This Row],[Supplier SKU]])</f>
        <v>474-BOB-13830</v>
      </c>
      <c r="E236" s="152">
        <f>MouserListTable[[#This Row],[Tot '#]]-MouserListTable[[#This Row],['# Initial]]</f>
        <v>0</v>
      </c>
      <c r="F236" s="152">
        <f>IF(AND(MouserListTable[[#This Row],[Tag]]&lt;&gt;FilterSpecs!$F$12, MouserListTable[[#This Row],[Tag]]&lt;&gt;FilterSpecs!$F$9), MouserListTable[[#This Row],['#/Unit]]*FilterSpecs!$B$3+MouserListTable[[#This Row],[Extra Initial]],0)</f>
        <v>5</v>
      </c>
      <c r="G236" s="150" t="s">
        <v>277</v>
      </c>
      <c r="H236" s="150" t="s">
        <v>278</v>
      </c>
      <c r="I236" s="150" t="s">
        <v>203</v>
      </c>
      <c r="J236" s="150">
        <v>1</v>
      </c>
      <c r="K236" s="154">
        <v>12.95</v>
      </c>
      <c r="L236" s="150" t="s">
        <v>1897</v>
      </c>
      <c r="M236" s="150"/>
      <c r="N236" s="154">
        <f>MouserListTable[[#This Row],['# Initial]]*MouserListTable[[#This Row],[Price (USD)]]</f>
        <v>64.75</v>
      </c>
      <c r="O236" s="151" t="s">
        <v>276</v>
      </c>
      <c r="P236" s="150">
        <f t="shared" si="4"/>
        <v>223</v>
      </c>
      <c r="Q236" s="150" t="s">
        <v>5</v>
      </c>
      <c r="R23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474-BOB-13830</v>
      </c>
      <c r="S236" s="157" t="str">
        <f>HYPERLINK("https://www.mouser.com/ProductDetail/" &amp;MouserListTable[[#This Row],[Mouser SKU]])</f>
        <v>https://www.mouser.com/ProductDetail/474-BOB-13830</v>
      </c>
      <c r="T236" s="152">
        <v>1</v>
      </c>
      <c r="U236" s="152">
        <v>0</v>
      </c>
      <c r="V236" s="152">
        <v>0</v>
      </c>
      <c r="W236" s="152">
        <f>MouserListTable[[#This Row],['#/Unit]]*FilterSpecs!$C$3+MouserListTable[[#This Row],[Extra]]</f>
        <v>5</v>
      </c>
      <c r="X236" s="152">
        <f>IF(MouserListTable[[#This Row],[Tag]]=FilterSpecs!$F$7,MouserListTable[[#This Row],['#/Unit]]*MouserListTable[[#This Row],[Price (USD)]],0)</f>
        <v>12.95</v>
      </c>
      <c r="Y236" s="152">
        <f>MouserListTable[[#This Row],[Tot '#]]*MouserListTable[[#This Row],[Price (USD)]]</f>
        <v>64.75</v>
      </c>
    </row>
    <row r="237" spans="1:25" x14ac:dyDescent="0.25">
      <c r="A237" s="97" t="s">
        <v>888</v>
      </c>
      <c r="B237" s="97" t="s">
        <v>1590</v>
      </c>
      <c r="C237" s="150" t="s">
        <v>5</v>
      </c>
      <c r="D237" s="151" t="str">
        <f>IF(MouserListTable[[#This Row],[Vendor]]=FilterSpecs!$A$8,MouserListTable[[#This Row],[Mouser SKU]], MouserListTable[[#This Row],[Supplier SKU]])</f>
        <v>474-BOB-12731</v>
      </c>
      <c r="E237" s="152">
        <f>MouserListTable[[#This Row],[Tot '#]]-MouserListTable[[#This Row],['# Initial]]</f>
        <v>0</v>
      </c>
      <c r="F237" s="152">
        <f>IF(AND(MouserListTable[[#This Row],[Tag]]&lt;&gt;FilterSpecs!$F$12, MouserListTable[[#This Row],[Tag]]&lt;&gt;FilterSpecs!$F$9), MouserListTable[[#This Row],['#/Unit]]*FilterSpecs!$B$3+MouserListTable[[#This Row],[Extra Initial]],0)</f>
        <v>0</v>
      </c>
      <c r="G237" s="150" t="s">
        <v>922</v>
      </c>
      <c r="H237" s="150" t="s">
        <v>923</v>
      </c>
      <c r="I237" s="150" t="s">
        <v>924</v>
      </c>
      <c r="J237" s="150">
        <v>1</v>
      </c>
      <c r="K237" s="154">
        <v>14.95</v>
      </c>
      <c r="L237" s="150" t="s">
        <v>1896</v>
      </c>
      <c r="M237" s="150"/>
      <c r="N237" s="154">
        <f>MouserListTable[[#This Row],['# Initial]]*MouserListTable[[#This Row],[Price (USD)]]</f>
        <v>0</v>
      </c>
      <c r="O237" s="151" t="s">
        <v>921</v>
      </c>
      <c r="P237" s="150">
        <f t="shared" si="4"/>
        <v>224</v>
      </c>
      <c r="Q237" s="150" t="s">
        <v>5</v>
      </c>
      <c r="R23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474-BOB-12731</v>
      </c>
      <c r="S237" s="157" t="str">
        <f>HYPERLINK("https://www.mouser.com/ProductDetail/" &amp;MouserListTable[[#This Row],[Mouser SKU]])</f>
        <v>https://www.mouser.com/ProductDetail/474-BOB-12731</v>
      </c>
      <c r="T237" s="152">
        <v>0</v>
      </c>
      <c r="U237" s="152">
        <v>0</v>
      </c>
      <c r="V237" s="152">
        <v>0</v>
      </c>
      <c r="W237" s="152">
        <f>MouserListTable[[#This Row],['#/Unit]]*FilterSpecs!$C$3+MouserListTable[[#This Row],[Extra]]</f>
        <v>0</v>
      </c>
      <c r="X237" s="152">
        <f>IF(MouserListTable[[#This Row],[Tag]]=FilterSpecs!$F$7,MouserListTable[[#This Row],['#/Unit]]*MouserListTable[[#This Row],[Price (USD)]],0)</f>
        <v>0</v>
      </c>
      <c r="Y237" s="152">
        <f>MouserListTable[[#This Row],[Tot '#]]*MouserListTable[[#This Row],[Price (USD)]]</f>
        <v>0</v>
      </c>
    </row>
    <row r="238" spans="1:25" x14ac:dyDescent="0.25">
      <c r="A238" s="150" t="s">
        <v>888</v>
      </c>
      <c r="B238" s="150" t="s">
        <v>1590</v>
      </c>
      <c r="C238" s="150" t="s">
        <v>5</v>
      </c>
      <c r="D238" s="151" t="str">
        <f>IF(MouserListTable[[#This Row],[Vendor]]=FilterSpecs!$A$8,MouserListTable[[#This Row],[Mouser SKU]], MouserListTable[[#This Row],[Supplier SKU]])</f>
        <v>474-BOB-13263</v>
      </c>
      <c r="E238" s="152">
        <f>MouserListTable[[#This Row],[Tot '#]]-MouserListTable[[#This Row],['# Initial]]</f>
        <v>0</v>
      </c>
      <c r="F238" s="152">
        <f>IF(AND(MouserListTable[[#This Row],[Tag]]&lt;&gt;FilterSpecs!$F$12, MouserListTable[[#This Row],[Tag]]&lt;&gt;FilterSpecs!$F$9), MouserListTable[[#This Row],['#/Unit]]*FilterSpecs!$B$3+MouserListTable[[#This Row],[Extra Initial]],0)</f>
        <v>1</v>
      </c>
      <c r="G238" s="150" t="s">
        <v>1008</v>
      </c>
      <c r="H238" s="150" t="s">
        <v>1009</v>
      </c>
      <c r="I238" s="150" t="s">
        <v>1010</v>
      </c>
      <c r="J238" s="150">
        <v>1</v>
      </c>
      <c r="K238" s="154">
        <v>11.95</v>
      </c>
      <c r="L238" s="150" t="s">
        <v>1896</v>
      </c>
      <c r="M238" s="150"/>
      <c r="N238" s="154">
        <f>MouserListTable[[#This Row],['# Initial]]*MouserListTable[[#This Row],[Price (USD)]]</f>
        <v>11.95</v>
      </c>
      <c r="O238" s="151" t="s">
        <v>1007</v>
      </c>
      <c r="P238" s="150">
        <f t="shared" si="4"/>
        <v>225</v>
      </c>
      <c r="Q238" s="150" t="s">
        <v>5</v>
      </c>
      <c r="R23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474-BOB-13263</v>
      </c>
      <c r="S238" s="157" t="str">
        <f>HYPERLINK("https://www.mouser.com/ProductDetail/" &amp;MouserListTable[[#This Row],[Mouser SKU]])</f>
        <v>https://www.mouser.com/ProductDetail/474-BOB-13263</v>
      </c>
      <c r="T238" s="152">
        <v>0</v>
      </c>
      <c r="U238" s="152">
        <v>1</v>
      </c>
      <c r="V238" s="152">
        <v>1</v>
      </c>
      <c r="W238" s="152">
        <f>MouserListTable[[#This Row],['#/Unit]]*FilterSpecs!$C$3+MouserListTable[[#This Row],[Extra]]</f>
        <v>1</v>
      </c>
      <c r="X238" s="152">
        <f>IF(MouserListTable[[#This Row],[Tag]]=FilterSpecs!$F$7,MouserListTable[[#This Row],['#/Unit]]*MouserListTable[[#This Row],[Price (USD)]],0)</f>
        <v>0</v>
      </c>
      <c r="Y238" s="152">
        <f>MouserListTable[[#This Row],[Tot '#]]*MouserListTable[[#This Row],[Price (USD)]]</f>
        <v>11.95</v>
      </c>
    </row>
    <row r="239" spans="1:25" x14ac:dyDescent="0.25">
      <c r="A239" s="150" t="s">
        <v>888</v>
      </c>
      <c r="B239" s="150" t="s">
        <v>1590</v>
      </c>
      <c r="C239" s="150" t="s">
        <v>5</v>
      </c>
      <c r="D239" s="151" t="str">
        <f>IF(MouserListTable[[#This Row],[Vendor]]=FilterSpecs!$A$8,MouserListTable[[#This Row],[Mouser SKU]], MouserListTable[[#This Row],[Supplier SKU]])</f>
        <v>474-DEV-12935</v>
      </c>
      <c r="E239" s="152">
        <f>MouserListTable[[#This Row],[Tot '#]]-MouserListTable[[#This Row],['# Initial]]</f>
        <v>0</v>
      </c>
      <c r="F239" s="152">
        <f>IF(AND(MouserListTable[[#This Row],[Tag]]&lt;&gt;FilterSpecs!$F$12, MouserListTable[[#This Row],[Tag]]&lt;&gt;FilterSpecs!$F$9), MouserListTable[[#This Row],['#/Unit]]*FilterSpecs!$B$3+MouserListTable[[#This Row],[Extra Initial]],0)</f>
        <v>1</v>
      </c>
      <c r="G239" s="150" t="s">
        <v>1012</v>
      </c>
      <c r="H239" s="150" t="s">
        <v>1013</v>
      </c>
      <c r="I239" s="150" t="s">
        <v>1014</v>
      </c>
      <c r="J239" s="150">
        <v>1</v>
      </c>
      <c r="K239" s="154">
        <v>19.95</v>
      </c>
      <c r="L239" s="150" t="s">
        <v>1896</v>
      </c>
      <c r="M239" s="150"/>
      <c r="N239" s="154">
        <f>MouserListTable[[#This Row],['# Initial]]*MouserListTable[[#This Row],[Price (USD)]]</f>
        <v>19.95</v>
      </c>
      <c r="O239" s="151" t="s">
        <v>1011</v>
      </c>
      <c r="P239" s="150">
        <f t="shared" si="4"/>
        <v>226</v>
      </c>
      <c r="Q239" s="150" t="s">
        <v>5</v>
      </c>
      <c r="R23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474-DEV-12935</v>
      </c>
      <c r="S239" s="157" t="str">
        <f>HYPERLINK("https://www.mouser.com/ProductDetail/" &amp;MouserListTable[[#This Row],[Mouser SKU]])</f>
        <v>https://www.mouser.com/ProductDetail/474-DEV-12935</v>
      </c>
      <c r="T239" s="152">
        <v>0</v>
      </c>
      <c r="U239" s="152">
        <v>1</v>
      </c>
      <c r="V239" s="152">
        <v>1</v>
      </c>
      <c r="W239" s="152">
        <f>MouserListTable[[#This Row],['#/Unit]]*FilterSpecs!$C$3+MouserListTable[[#This Row],[Extra]]</f>
        <v>1</v>
      </c>
      <c r="X239" s="152">
        <f>IF(MouserListTable[[#This Row],[Tag]]=FilterSpecs!$F$7,MouserListTable[[#This Row],['#/Unit]]*MouserListTable[[#This Row],[Price (USD)]],0)</f>
        <v>0</v>
      </c>
      <c r="Y239" s="152">
        <f>MouserListTable[[#This Row],[Tot '#]]*MouserListTable[[#This Row],[Price (USD)]]</f>
        <v>19.95</v>
      </c>
    </row>
    <row r="240" spans="1:25" x14ac:dyDescent="0.25">
      <c r="A240" s="150" t="s">
        <v>1058</v>
      </c>
      <c r="B240" s="150" t="s">
        <v>1589</v>
      </c>
      <c r="C240" s="150" t="s">
        <v>5</v>
      </c>
      <c r="D240" s="151" t="str">
        <f>IF(MouserListTable[[#This Row],[Vendor]]=FilterSpecs!$A$8,MouserListTable[[#This Row],[Mouser SKU]], MouserListTable[[#This Row],[Supplier SKU]])</f>
        <v>474-PRT-12885</v>
      </c>
      <c r="E240" s="152">
        <f>MouserListTable[[#This Row],[Tot '#]]-MouserListTable[[#This Row],['# Initial]]</f>
        <v>1</v>
      </c>
      <c r="F240" s="152">
        <f>IF(AND(MouserListTable[[#This Row],[Tag]]&lt;&gt;FilterSpecs!$F$12, MouserListTable[[#This Row],[Tag]]&lt;&gt;FilterSpecs!$F$9), MouserListTable[[#This Row],['#/Unit]]*FilterSpecs!$B$3+MouserListTable[[#This Row],[Extra Initial]],0)</f>
        <v>0</v>
      </c>
      <c r="G240" s="150" t="s">
        <v>1514</v>
      </c>
      <c r="H240" s="150" t="s">
        <v>1515</v>
      </c>
      <c r="I240" s="150" t="s">
        <v>1516</v>
      </c>
      <c r="J240" s="150">
        <v>1</v>
      </c>
      <c r="K240" s="154">
        <v>24.95</v>
      </c>
      <c r="L240" s="150" t="s">
        <v>1900</v>
      </c>
      <c r="M240" s="151"/>
      <c r="N240" s="154">
        <f>MouserListTable[[#This Row],['# Initial]]*MouserListTable[[#This Row],[Price (USD)]]</f>
        <v>0</v>
      </c>
      <c r="O240" s="151" t="s">
        <v>1513</v>
      </c>
      <c r="P240" s="150">
        <f t="shared" si="4"/>
        <v>227</v>
      </c>
      <c r="Q240" s="150" t="s">
        <v>5</v>
      </c>
      <c r="R24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474-PRT-12885</v>
      </c>
      <c r="S240" s="157" t="str">
        <f>HYPERLINK("https://www.mouser.com/ProductDetail/" &amp;MouserListTable[[#This Row],[Mouser SKU]])</f>
        <v>https://www.mouser.com/ProductDetail/474-PRT-12885</v>
      </c>
      <c r="T240" s="152">
        <v>0</v>
      </c>
      <c r="U240" s="152">
        <v>1</v>
      </c>
      <c r="V240" s="152">
        <v>0</v>
      </c>
      <c r="W240" s="152">
        <f>MouserListTable[[#This Row],['#/Unit]]*FilterSpecs!$C$3+MouserListTable[[#This Row],[Extra]]</f>
        <v>1</v>
      </c>
      <c r="X240" s="152">
        <f>IF(MouserListTable[[#This Row],[Tag]]=FilterSpecs!$F$7,MouserListTable[[#This Row],['#/Unit]]*MouserListTable[[#This Row],[Price (USD)]],0)</f>
        <v>0</v>
      </c>
      <c r="Y240" s="152">
        <f>MouserListTable[[#This Row],[Tot '#]]*MouserListTable[[#This Row],[Price (USD)]]</f>
        <v>24.95</v>
      </c>
    </row>
    <row r="241" spans="1:25" x14ac:dyDescent="0.25">
      <c r="A241" s="150" t="s">
        <v>1058</v>
      </c>
      <c r="B241" s="150" t="s">
        <v>1005</v>
      </c>
      <c r="C241" s="150" t="s">
        <v>5</v>
      </c>
      <c r="D241" s="151" t="str">
        <f>IF(MouserListTable[[#This Row],[Vendor]]=FilterSpecs!$A$8,MouserListTable[[#This Row],[Mouser SKU]], MouserListTable[[#This Row],[Supplier SKU]])</f>
        <v>474-GPS-00177</v>
      </c>
      <c r="E241" s="152">
        <f>MouserListTable[[#This Row],[Tot '#]]-MouserListTable[[#This Row],['# Initial]]</f>
        <v>1</v>
      </c>
      <c r="F241" s="152">
        <f>IF(AND(MouserListTable[[#This Row],[Tag]]&lt;&gt;FilterSpecs!$F$12, MouserListTable[[#This Row],[Tag]]&lt;&gt;FilterSpecs!$F$9), MouserListTable[[#This Row],['#/Unit]]*FilterSpecs!$B$3+MouserListTable[[#This Row],[Extra Initial]],0)</f>
        <v>0</v>
      </c>
      <c r="G241" s="150" t="s">
        <v>942</v>
      </c>
      <c r="H241" s="150" t="s">
        <v>943</v>
      </c>
      <c r="I241" s="150" t="s">
        <v>944</v>
      </c>
      <c r="J241" s="150"/>
      <c r="K241" s="154">
        <v>11.95</v>
      </c>
      <c r="L241" s="150" t="s">
        <v>1900</v>
      </c>
      <c r="M241" s="150" t="s">
        <v>1052</v>
      </c>
      <c r="N241" s="154">
        <f>MouserListTable[[#This Row],['# Initial]]*MouserListTable[[#This Row],[Price (USD)]]</f>
        <v>0</v>
      </c>
      <c r="O241" s="151" t="s">
        <v>941</v>
      </c>
      <c r="P241" s="150">
        <f t="shared" si="4"/>
        <v>228</v>
      </c>
      <c r="Q241" s="150" t="s">
        <v>5</v>
      </c>
      <c r="R24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474-GPS-00177</v>
      </c>
      <c r="S241" s="157" t="str">
        <f>HYPERLINK("https://www.mouser.com/ProductDetail/" &amp;MouserListTable[[#This Row],[Mouser SKU]])</f>
        <v>https://www.mouser.com/ProductDetail/474-GPS-00177</v>
      </c>
      <c r="T241" s="152">
        <v>0</v>
      </c>
      <c r="U241" s="152">
        <v>1</v>
      </c>
      <c r="V241" s="152">
        <v>0</v>
      </c>
      <c r="W241" s="152">
        <f>MouserListTable[[#This Row],['#/Unit]]*FilterSpecs!$C$3+MouserListTable[[#This Row],[Extra]]</f>
        <v>1</v>
      </c>
      <c r="X241" s="152">
        <f>IF(MouserListTable[[#This Row],[Tag]]=FilterSpecs!$F$7,MouserListTable[[#This Row],['#/Unit]]*MouserListTable[[#This Row],[Price (USD)]],0)</f>
        <v>0</v>
      </c>
      <c r="Y241" s="152">
        <f>MouserListTable[[#This Row],[Tot '#]]*MouserListTable[[#This Row],[Price (USD)]]</f>
        <v>11.95</v>
      </c>
    </row>
    <row r="242" spans="1:25" x14ac:dyDescent="0.25">
      <c r="A242" s="150" t="s">
        <v>1058</v>
      </c>
      <c r="B242" s="150" t="s">
        <v>1005</v>
      </c>
      <c r="C242" s="150" t="s">
        <v>5</v>
      </c>
      <c r="D242" s="151" t="str">
        <f>IF(MouserListTable[[#This Row],[Vendor]]=FilterSpecs!$A$8,MouserListTable[[#This Row],[Mouser SKU]], MouserListTable[[#This Row],[Supplier SKU]])</f>
        <v>474-SPX-14416</v>
      </c>
      <c r="E242" s="152">
        <f>MouserListTable[[#This Row],[Tot '#]]-MouserListTable[[#This Row],['# Initial]]</f>
        <v>1</v>
      </c>
      <c r="F242" s="152">
        <f>IF(AND(MouserListTable[[#This Row],[Tag]]&lt;&gt;FilterSpecs!$F$12, MouserListTable[[#This Row],[Tag]]&lt;&gt;FilterSpecs!$F$9), MouserListTable[[#This Row],['#/Unit]]*FilterSpecs!$B$3+MouserListTable[[#This Row],[Extra Initial]],0)</f>
        <v>0</v>
      </c>
      <c r="G242" s="150" t="s">
        <v>962</v>
      </c>
      <c r="H242" s="150" t="s">
        <v>963</v>
      </c>
      <c r="I242" s="150" t="s">
        <v>964</v>
      </c>
      <c r="J242" s="150">
        <v>1</v>
      </c>
      <c r="K242" s="154">
        <v>49.95</v>
      </c>
      <c r="L242" s="150" t="s">
        <v>1900</v>
      </c>
      <c r="M242" s="150" t="s">
        <v>1045</v>
      </c>
      <c r="N242" s="154">
        <f>MouserListTable[[#This Row],['# Initial]]*MouserListTable[[#This Row],[Price (USD)]]</f>
        <v>0</v>
      </c>
      <c r="O242" s="151" t="s">
        <v>961</v>
      </c>
      <c r="P242" s="150">
        <f t="shared" si="4"/>
        <v>229</v>
      </c>
      <c r="Q242" s="150" t="s">
        <v>5</v>
      </c>
      <c r="R24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474-SPX-14416</v>
      </c>
      <c r="S242" s="157" t="str">
        <f>HYPERLINK("https://www.mouser.com/ProductDetail/" &amp;MouserListTable[[#This Row],[Mouser SKU]])</f>
        <v>https://www.mouser.com/ProductDetail/474-SPX-14416</v>
      </c>
      <c r="T242" s="152">
        <v>0</v>
      </c>
      <c r="U242" s="152">
        <v>1</v>
      </c>
      <c r="V242" s="152">
        <v>0</v>
      </c>
      <c r="W242" s="152">
        <f>MouserListTable[[#This Row],['#/Unit]]*FilterSpecs!$C$3+MouserListTable[[#This Row],[Extra]]</f>
        <v>1</v>
      </c>
      <c r="X242" s="152">
        <f>IF(MouserListTable[[#This Row],[Tag]]=FilterSpecs!$F$7,MouserListTable[[#This Row],['#/Unit]]*MouserListTable[[#This Row],[Price (USD)]],0)</f>
        <v>0</v>
      </c>
      <c r="Y242" s="152">
        <f>MouserListTable[[#This Row],[Tot '#]]*MouserListTable[[#This Row],[Price (USD)]]</f>
        <v>49.95</v>
      </c>
    </row>
    <row r="243" spans="1:25" x14ac:dyDescent="0.25">
      <c r="A243" s="97" t="s">
        <v>1058</v>
      </c>
      <c r="B243" s="115" t="s">
        <v>1005</v>
      </c>
      <c r="C243" s="112" t="s">
        <v>5</v>
      </c>
      <c r="D243" s="151" t="str">
        <f>IF(MouserListTable[[#This Row],[Vendor]]=FilterSpecs!$A$8,MouserListTable[[#This Row],[Mouser SKU]], MouserListTable[[#This Row],[Supplier SKU]])</f>
        <v>474-GPS-13750</v>
      </c>
      <c r="E243" s="152">
        <f>MouserListTable[[#This Row],[Tot '#]]-MouserListTable[[#This Row],['# Initial]]</f>
        <v>0</v>
      </c>
      <c r="F243" s="152">
        <f>IF(AND(MouserListTable[[#This Row],[Tag]]&lt;&gt;FilterSpecs!$F$12, MouserListTable[[#This Row],[Tag]]&lt;&gt;FilterSpecs!$F$9), MouserListTable[[#This Row],['#/Unit]]*FilterSpecs!$B$3+MouserListTable[[#This Row],[Extra Initial]],0)</f>
        <v>0</v>
      </c>
      <c r="G243" s="150" t="s">
        <v>982</v>
      </c>
      <c r="H243" s="150" t="s">
        <v>983</v>
      </c>
      <c r="I243" s="150" t="s">
        <v>984</v>
      </c>
      <c r="J243" s="150">
        <v>1</v>
      </c>
      <c r="K243" s="154">
        <v>44.95</v>
      </c>
      <c r="L243" s="150" t="s">
        <v>1900</v>
      </c>
      <c r="M243" s="150" t="s">
        <v>1046</v>
      </c>
      <c r="N243" s="154">
        <f>MouserListTable[[#This Row],['# Initial]]*MouserListTable[[#This Row],[Price (USD)]]</f>
        <v>0</v>
      </c>
      <c r="O243" s="151" t="s">
        <v>981</v>
      </c>
      <c r="P243" s="150">
        <f t="shared" si="4"/>
        <v>230</v>
      </c>
      <c r="Q243" s="112" t="s">
        <v>5</v>
      </c>
      <c r="R24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474-GPS-13750</v>
      </c>
      <c r="S243" s="157" t="str">
        <f>HYPERLINK("https://www.mouser.com/ProductDetail/" &amp;MouserListTable[[#This Row],[Mouser SKU]])</f>
        <v>https://www.mouser.com/ProductDetail/474-GPS-13750</v>
      </c>
      <c r="T243" s="152">
        <v>0</v>
      </c>
      <c r="U243" s="152">
        <v>0</v>
      </c>
      <c r="V243" s="152">
        <v>0</v>
      </c>
      <c r="W243" s="152">
        <f>MouserListTable[[#This Row],['#/Unit]]*FilterSpecs!$C$3+MouserListTable[[#This Row],[Extra]]</f>
        <v>0</v>
      </c>
      <c r="X243" s="152">
        <f>IF(MouserListTable[[#This Row],[Tag]]=FilterSpecs!$F$7,MouserListTable[[#This Row],['#/Unit]]*MouserListTable[[#This Row],[Price (USD)]],0)</f>
        <v>0</v>
      </c>
      <c r="Y243" s="152">
        <f>MouserListTable[[#This Row],[Tot '#]]*MouserListTable[[#This Row],[Price (USD)]]</f>
        <v>0</v>
      </c>
    </row>
    <row r="244" spans="1:25" x14ac:dyDescent="0.25">
      <c r="A244" s="150" t="s">
        <v>1058</v>
      </c>
      <c r="B244" s="150" t="s">
        <v>1005</v>
      </c>
      <c r="C244" s="150" t="s">
        <v>5</v>
      </c>
      <c r="D244" s="151" t="str">
        <f>IF(MouserListTable[[#This Row],[Vendor]]=FilterSpecs!$A$8,MouserListTable[[#This Row],[Mouser SKU]], MouserListTable[[#This Row],[Supplier SKU]])</f>
        <v>474-GPS-10920</v>
      </c>
      <c r="E244" s="152">
        <f>MouserListTable[[#This Row],[Tot '#]]-MouserListTable[[#This Row],['# Initial]]</f>
        <v>1</v>
      </c>
      <c r="F244" s="152">
        <f>IF(AND(MouserListTable[[#This Row],[Tag]]&lt;&gt;FilterSpecs!$F$12, MouserListTable[[#This Row],[Tag]]&lt;&gt;FilterSpecs!$F$9), MouserListTable[[#This Row],['#/Unit]]*FilterSpecs!$B$3+MouserListTable[[#This Row],[Extra Initial]],0)</f>
        <v>0</v>
      </c>
      <c r="G244" s="150" t="s">
        <v>946</v>
      </c>
      <c r="H244" s="150" t="s">
        <v>947</v>
      </c>
      <c r="I244" s="150" t="s">
        <v>948</v>
      </c>
      <c r="J244" s="150">
        <v>1</v>
      </c>
      <c r="K244" s="154">
        <v>59.95</v>
      </c>
      <c r="L244" s="150" t="s">
        <v>1900</v>
      </c>
      <c r="M244" s="150" t="s">
        <v>1046</v>
      </c>
      <c r="N244" s="154">
        <f>MouserListTable[[#This Row],['# Initial]]*MouserListTable[[#This Row],[Price (USD)]]</f>
        <v>0</v>
      </c>
      <c r="O244" s="151" t="s">
        <v>945</v>
      </c>
      <c r="P244" s="150">
        <f t="shared" si="4"/>
        <v>231</v>
      </c>
      <c r="Q244" s="150" t="s">
        <v>5</v>
      </c>
      <c r="R24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474-GPS-10920</v>
      </c>
      <c r="S244" s="157" t="str">
        <f>HYPERLINK("https://www.mouser.com/ProductDetail/" &amp;MouserListTable[[#This Row],[Mouser SKU]])</f>
        <v>https://www.mouser.com/ProductDetail/474-GPS-10920</v>
      </c>
      <c r="T244" s="152">
        <v>0</v>
      </c>
      <c r="U244" s="152">
        <v>1</v>
      </c>
      <c r="V244" s="152">
        <v>0</v>
      </c>
      <c r="W244" s="152">
        <f>MouserListTable[[#This Row],['#/Unit]]*FilterSpecs!$C$3+MouserListTable[[#This Row],[Extra]]</f>
        <v>1</v>
      </c>
      <c r="X244" s="152">
        <f>IF(MouserListTable[[#This Row],[Tag]]=FilterSpecs!$F$7,MouserListTable[[#This Row],['#/Unit]]*MouserListTable[[#This Row],[Price (USD)]],0)</f>
        <v>0</v>
      </c>
      <c r="Y244" s="152">
        <f>MouserListTable[[#This Row],[Tot '#]]*MouserListTable[[#This Row],[Price (USD)]]</f>
        <v>59.95</v>
      </c>
    </row>
    <row r="245" spans="1:25" x14ac:dyDescent="0.25">
      <c r="A245" s="150" t="s">
        <v>1058</v>
      </c>
      <c r="B245" s="150" t="s">
        <v>1005</v>
      </c>
      <c r="C245" s="150" t="s">
        <v>1884</v>
      </c>
      <c r="D245" s="151" t="str">
        <f>IF(MouserListTable[[#This Row],[Vendor]]=FilterSpecs!$A$8,MouserListTable[[#This Row],[Mouser SKU]], MouserListTable[[#This Row],[Supplier SKU]])</f>
        <v>485-1272</v>
      </c>
      <c r="E245" s="152">
        <f>MouserListTable[[#This Row],[Tot '#]]-MouserListTable[[#This Row],['# Initial]]</f>
        <v>0</v>
      </c>
      <c r="F245" s="152">
        <f>IF(AND(MouserListTable[[#This Row],[Tag]]&lt;&gt;FilterSpecs!$F$12, MouserListTable[[#This Row],[Tag]]&lt;&gt;FilterSpecs!$F$9), MouserListTable[[#This Row],['#/Unit]]*FilterSpecs!$B$3+MouserListTable[[#This Row],[Extra Initial]],0)</f>
        <v>0</v>
      </c>
      <c r="G245" s="150"/>
      <c r="H245" s="150"/>
      <c r="I245" s="150" t="s">
        <v>2070</v>
      </c>
      <c r="J245" s="150"/>
      <c r="K245" s="154">
        <v>44.95</v>
      </c>
      <c r="L245" s="150" t="s">
        <v>1896</v>
      </c>
      <c r="M245" s="153"/>
      <c r="N245" s="154">
        <f>MouserListTable[[#This Row],['# Initial]]*MouserListTable[[#This Row],[Price (USD)]]</f>
        <v>0</v>
      </c>
      <c r="O245" s="151" t="s">
        <v>2069</v>
      </c>
      <c r="P245" s="150">
        <f t="shared" si="4"/>
        <v>232</v>
      </c>
      <c r="Q245" s="150" t="s">
        <v>1884</v>
      </c>
      <c r="R24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485-1272</v>
      </c>
      <c r="S245" s="157" t="str">
        <f>HYPERLINK("https://www.mouser.com/ProductDetail/" &amp;MouserListTable[[#This Row],[Mouser SKU]])</f>
        <v>https://www.mouser.com/ProductDetail/485-1272</v>
      </c>
      <c r="T245" s="152">
        <v>0</v>
      </c>
      <c r="U245" s="152">
        <v>0</v>
      </c>
      <c r="V245" s="152">
        <v>0</v>
      </c>
      <c r="W245" s="152">
        <f>MouserListTable[[#This Row],['#/Unit]]*FilterSpecs!$C$3+MouserListTable[[#This Row],[Extra]]</f>
        <v>0</v>
      </c>
      <c r="X245" s="152">
        <f>IF(MouserListTable[[#This Row],[Tag]]=FilterSpecs!$F$7,MouserListTable[[#This Row],['#/Unit]]*MouserListTable[[#This Row],[Price (USD)]],0)</f>
        <v>0</v>
      </c>
      <c r="Y245" s="152">
        <f>MouserListTable[[#This Row],[Tot '#]]*MouserListTable[[#This Row],[Price (USD)]]</f>
        <v>0</v>
      </c>
    </row>
    <row r="246" spans="1:25" x14ac:dyDescent="0.25">
      <c r="A246" s="150" t="s">
        <v>1058</v>
      </c>
      <c r="B246" s="150" t="s">
        <v>2040</v>
      </c>
      <c r="C246" s="150" t="s">
        <v>1884</v>
      </c>
      <c r="D246" s="151" t="str">
        <f>IF(MouserListTable[[#This Row],[Vendor]]=FilterSpecs!$A$8,MouserListTable[[#This Row],[Mouser SKU]], MouserListTable[[#This Row],[Supplier SKU]])</f>
        <v>485-2468</v>
      </c>
      <c r="E246" s="152">
        <f>MouserListTable[[#This Row],[Tot '#]]-MouserListTable[[#This Row],['# Initial]]</f>
        <v>1</v>
      </c>
      <c r="F246" s="152">
        <f>IF(AND(MouserListTable[[#This Row],[Tag]]&lt;&gt;FilterSpecs!$F$12, MouserListTable[[#This Row],[Tag]]&lt;&gt;FilterSpecs!$F$9), MouserListTable[[#This Row],['#/Unit]]*FilterSpecs!$B$3+MouserListTable[[#This Row],[Extra Initial]],0)</f>
        <v>0</v>
      </c>
      <c r="G246" s="150"/>
      <c r="H246" s="150"/>
      <c r="I246" s="150" t="s">
        <v>2047</v>
      </c>
      <c r="J246" s="150"/>
      <c r="K246" s="154">
        <v>39.950000000000003</v>
      </c>
      <c r="L246" s="150" t="s">
        <v>1896</v>
      </c>
      <c r="M246" s="151"/>
      <c r="N246" s="154">
        <f>MouserListTable[[#This Row],['# Initial]]*MouserListTable[[#This Row],[Price (USD)]]</f>
        <v>0</v>
      </c>
      <c r="O246" s="151" t="s">
        <v>2048</v>
      </c>
      <c r="P246" s="150">
        <f t="shared" si="4"/>
        <v>233</v>
      </c>
      <c r="Q246" s="150" t="s">
        <v>1884</v>
      </c>
      <c r="R24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485-2468</v>
      </c>
      <c r="S246" s="157" t="str">
        <f>HYPERLINK("https://www.mouser.com/ProductDetail/" &amp;MouserListTable[[#This Row],[Mouser SKU]])</f>
        <v>https://www.mouser.com/ProductDetail/485-2468</v>
      </c>
      <c r="T246" s="152">
        <v>0</v>
      </c>
      <c r="U246" s="152">
        <v>1</v>
      </c>
      <c r="V246" s="152">
        <v>0</v>
      </c>
      <c r="W246" s="152">
        <f>MouserListTable[[#This Row],['#/Unit]]*FilterSpecs!$C$3+MouserListTable[[#This Row],[Extra]]</f>
        <v>1</v>
      </c>
      <c r="X246" s="152">
        <f>IF(MouserListTable[[#This Row],[Tag]]=FilterSpecs!$F$7,MouserListTable[[#This Row],['#/Unit]]*MouserListTable[[#This Row],[Price (USD)]],0)</f>
        <v>0</v>
      </c>
      <c r="Y246" s="152">
        <f>MouserListTable[[#This Row],[Tot '#]]*MouserListTable[[#This Row],[Price (USD)]]</f>
        <v>39.950000000000003</v>
      </c>
    </row>
    <row r="247" spans="1:25" x14ac:dyDescent="0.25">
      <c r="A247" s="150" t="s">
        <v>1058</v>
      </c>
      <c r="B247" s="150" t="s">
        <v>2040</v>
      </c>
      <c r="C247" s="150" t="s">
        <v>1884</v>
      </c>
      <c r="D247" s="151" t="str">
        <f>IF(MouserListTable[[#This Row],[Vendor]]=FilterSpecs!$A$8,MouserListTable[[#This Row],[Mouser SKU]], MouserListTable[[#This Row],[Supplier SKU]])</f>
        <v>485-2505</v>
      </c>
      <c r="E247" s="152">
        <f>MouserListTable[[#This Row],[Tot '#]]-MouserListTable[[#This Row],['# Initial]]</f>
        <v>1</v>
      </c>
      <c r="F247" s="152">
        <f>IF(AND(MouserListTable[[#This Row],[Tag]]&lt;&gt;FilterSpecs!$F$12, MouserListTable[[#This Row],[Tag]]&lt;&gt;FilterSpecs!$F$9), MouserListTable[[#This Row],['#/Unit]]*FilterSpecs!$B$3+MouserListTable[[#This Row],[Extra Initial]],0)</f>
        <v>0</v>
      </c>
      <c r="G247" s="150"/>
      <c r="H247" s="150"/>
      <c r="I247" s="150" t="s">
        <v>2045</v>
      </c>
      <c r="J247" s="153"/>
      <c r="K247" s="154">
        <v>9</v>
      </c>
      <c r="L247" s="150" t="s">
        <v>1896</v>
      </c>
      <c r="M247" s="151"/>
      <c r="N247" s="154">
        <f>MouserListTable[[#This Row],['# Initial]]*MouserListTable[[#This Row],[Price (USD)]]</f>
        <v>0</v>
      </c>
      <c r="O247" s="151" t="s">
        <v>2046</v>
      </c>
      <c r="P247" s="150">
        <f t="shared" si="4"/>
        <v>234</v>
      </c>
      <c r="Q247" s="150" t="s">
        <v>1884</v>
      </c>
      <c r="R24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485-2505</v>
      </c>
      <c r="S247" s="157" t="str">
        <f>HYPERLINK("https://www.mouser.com/ProductDetail/" &amp;MouserListTable[[#This Row],[Mouser SKU]])</f>
        <v>https://www.mouser.com/ProductDetail/485-2505</v>
      </c>
      <c r="T247" s="152">
        <v>0</v>
      </c>
      <c r="U247" s="152">
        <v>1</v>
      </c>
      <c r="V247" s="152">
        <v>0</v>
      </c>
      <c r="W247" s="152">
        <f>MouserListTable[[#This Row],['#/Unit]]*FilterSpecs!$C$3+MouserListTable[[#This Row],[Extra]]</f>
        <v>1</v>
      </c>
      <c r="X247" s="152">
        <f>IF(MouserListTable[[#This Row],[Tag]]=FilterSpecs!$F$7,MouserListTable[[#This Row],['#/Unit]]*MouserListTable[[#This Row],[Price (USD)]],0)</f>
        <v>0</v>
      </c>
      <c r="Y247" s="152">
        <f>MouserListTable[[#This Row],[Tot '#]]*MouserListTable[[#This Row],[Price (USD)]]</f>
        <v>9</v>
      </c>
    </row>
    <row r="248" spans="1:25" x14ac:dyDescent="0.25">
      <c r="A248" s="150" t="s">
        <v>1058</v>
      </c>
      <c r="B248" s="150" t="s">
        <v>2040</v>
      </c>
      <c r="C248" s="150" t="s">
        <v>1884</v>
      </c>
      <c r="D248" s="151" t="str">
        <f>IF(MouserListTable[[#This Row],[Vendor]]=FilterSpecs!$A$8,MouserListTable[[#This Row],[Mouser SKU]], MouserListTable[[#This Row],[Supplier SKU]])</f>
        <v>485-1991</v>
      </c>
      <c r="E248" s="152">
        <f>MouserListTable[[#This Row],[Tot '#]]-MouserListTable[[#This Row],['# Initial]]</f>
        <v>1</v>
      </c>
      <c r="F248" s="152">
        <f>IF(AND(MouserListTable[[#This Row],[Tag]]&lt;&gt;FilterSpecs!$F$12, MouserListTable[[#This Row],[Tag]]&lt;&gt;FilterSpecs!$F$9), MouserListTable[[#This Row],['#/Unit]]*FilterSpecs!$B$3+MouserListTable[[#This Row],[Extra Initial]],0)</f>
        <v>0</v>
      </c>
      <c r="G248" s="150"/>
      <c r="H248" s="150"/>
      <c r="I248" s="150" t="s">
        <v>2043</v>
      </c>
      <c r="J248" s="153"/>
      <c r="K248" s="154">
        <v>2.95</v>
      </c>
      <c r="L248" s="150" t="s">
        <v>1896</v>
      </c>
      <c r="M248" s="151"/>
      <c r="N248" s="154">
        <f>MouserListTable[[#This Row],['# Initial]]*MouserListTable[[#This Row],[Price (USD)]]</f>
        <v>0</v>
      </c>
      <c r="O248" s="151" t="s">
        <v>2044</v>
      </c>
      <c r="P248" s="150">
        <f t="shared" si="4"/>
        <v>235</v>
      </c>
      <c r="Q248" s="150" t="s">
        <v>1884</v>
      </c>
      <c r="R24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485-1991</v>
      </c>
      <c r="S248" s="157" t="str">
        <f>HYPERLINK("https://www.mouser.com/ProductDetail/" &amp;MouserListTable[[#This Row],[Mouser SKU]])</f>
        <v>https://www.mouser.com/ProductDetail/485-1991</v>
      </c>
      <c r="T248" s="152">
        <v>0</v>
      </c>
      <c r="U248" s="152">
        <v>1</v>
      </c>
      <c r="V248" s="152">
        <v>0</v>
      </c>
      <c r="W248" s="152">
        <f>MouserListTable[[#This Row],['#/Unit]]*FilterSpecs!$C$3+MouserListTable[[#This Row],[Extra]]</f>
        <v>1</v>
      </c>
      <c r="X248" s="152">
        <f>IF(MouserListTable[[#This Row],[Tag]]=FilterSpecs!$F$7,MouserListTable[[#This Row],['#/Unit]]*MouserListTable[[#This Row],[Price (USD)]],0)</f>
        <v>0</v>
      </c>
      <c r="Y248" s="152">
        <f>MouserListTable[[#This Row],[Tot '#]]*MouserListTable[[#This Row],[Price (USD)]]</f>
        <v>2.95</v>
      </c>
    </row>
    <row r="249" spans="1:25" x14ac:dyDescent="0.25">
      <c r="A249" s="150" t="s">
        <v>1058</v>
      </c>
      <c r="B249" s="150" t="s">
        <v>1426</v>
      </c>
      <c r="C249" s="150" t="s">
        <v>5</v>
      </c>
      <c r="D249" s="151" t="str">
        <f>IF(MouserListTable[[#This Row],[Vendor]]=FilterSpecs!$A$8,MouserListTable[[#This Row],[Mouser SKU]], MouserListTable[[#This Row],[Supplier SKU]])</f>
        <v>474-SEN-12916</v>
      </c>
      <c r="E249" s="152">
        <f>MouserListTable[[#This Row],[Tot '#]]-MouserListTable[[#This Row],['# Initial]]</f>
        <v>1</v>
      </c>
      <c r="F249" s="152">
        <f>IF(AND(MouserListTable[[#This Row],[Tag]]&lt;&gt;FilterSpecs!$F$12, MouserListTable[[#This Row],[Tag]]&lt;&gt;FilterSpecs!$F$9), MouserListTable[[#This Row],['#/Unit]]*FilterSpecs!$B$3+MouserListTable[[#This Row],[Extra Initial]],0)</f>
        <v>0</v>
      </c>
      <c r="G249" s="150" t="s">
        <v>1393</v>
      </c>
      <c r="H249" s="150" t="s">
        <v>1394</v>
      </c>
      <c r="I249" s="150" t="s">
        <v>1395</v>
      </c>
      <c r="J249" s="150"/>
      <c r="K249" s="154">
        <v>149.94999999999999</v>
      </c>
      <c r="L249" s="150" t="s">
        <v>1900</v>
      </c>
      <c r="M249" s="151"/>
      <c r="N249" s="154">
        <f>MouserListTable[[#This Row],['# Initial]]*MouserListTable[[#This Row],[Price (USD)]]</f>
        <v>0</v>
      </c>
      <c r="O249" s="151" t="s">
        <v>1392</v>
      </c>
      <c r="P249" s="150">
        <f t="shared" si="4"/>
        <v>236</v>
      </c>
      <c r="Q249" s="150" t="s">
        <v>5</v>
      </c>
      <c r="R24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474-SEN-12916</v>
      </c>
      <c r="S249" s="157" t="str">
        <f>HYPERLINK("https://www.mouser.com/ProductDetail/" &amp;MouserListTable[[#This Row],[Mouser SKU]])</f>
        <v>https://www.mouser.com/ProductDetail/474-SEN-12916</v>
      </c>
      <c r="T249" s="152">
        <v>0</v>
      </c>
      <c r="U249" s="152">
        <v>1</v>
      </c>
      <c r="V249" s="152">
        <v>0</v>
      </c>
      <c r="W249" s="152">
        <f>MouserListTable[[#This Row],['#/Unit]]*FilterSpecs!$C$3+MouserListTable[[#This Row],[Extra]]</f>
        <v>1</v>
      </c>
      <c r="X249" s="152">
        <f>IF(MouserListTable[[#This Row],[Tag]]=FilterSpecs!$F$7,MouserListTable[[#This Row],['#/Unit]]*MouserListTable[[#This Row],[Price (USD)]],0)</f>
        <v>0</v>
      </c>
      <c r="Y249" s="152">
        <f>MouserListTable[[#This Row],[Tot '#]]*MouserListTable[[#This Row],[Price (USD)]]</f>
        <v>149.94999999999999</v>
      </c>
    </row>
    <row r="250" spans="1:25" x14ac:dyDescent="0.25">
      <c r="A250" s="150" t="s">
        <v>1058</v>
      </c>
      <c r="B250" s="112" t="s">
        <v>1006</v>
      </c>
      <c r="C250" s="112" t="s">
        <v>5</v>
      </c>
      <c r="D250" s="151" t="str">
        <f>IF(MouserListTable[[#This Row],[Vendor]]=FilterSpecs!$A$8,MouserListTable[[#This Row],[Mouser SKU]], MouserListTable[[#This Row],[Supplier SKU]])</f>
        <v>474-CAB-14043</v>
      </c>
      <c r="E250" s="152">
        <f>MouserListTable[[#This Row],[Tot '#]]-MouserListTable[[#This Row],['# Initial]]</f>
        <v>1</v>
      </c>
      <c r="F250" s="152">
        <f>IF(AND(MouserListTable[[#This Row],[Tag]]&lt;&gt;FilterSpecs!$F$12, MouserListTable[[#This Row],[Tag]]&lt;&gt;FilterSpecs!$F$9), MouserListTable[[#This Row],['#/Unit]]*FilterSpecs!$B$3+MouserListTable[[#This Row],[Extra Initial]],0)</f>
        <v>0</v>
      </c>
      <c r="G250" s="150" t="s">
        <v>950</v>
      </c>
      <c r="H250" s="150" t="s">
        <v>951</v>
      </c>
      <c r="I250" s="150" t="s">
        <v>952</v>
      </c>
      <c r="J250" s="150">
        <v>1</v>
      </c>
      <c r="K250" s="154">
        <v>4.95</v>
      </c>
      <c r="L250" s="150" t="s">
        <v>2461</v>
      </c>
      <c r="M250" s="150" t="s">
        <v>1054</v>
      </c>
      <c r="N250" s="154">
        <f>MouserListTable[[#This Row],['# Initial]]*MouserListTable[[#This Row],[Price (USD)]]</f>
        <v>0</v>
      </c>
      <c r="O250" s="151" t="s">
        <v>949</v>
      </c>
      <c r="P250" s="150">
        <f t="shared" si="4"/>
        <v>237</v>
      </c>
      <c r="Q250" s="112" t="s">
        <v>5</v>
      </c>
      <c r="R25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474-CAB-14043</v>
      </c>
      <c r="S250" s="157" t="str">
        <f>HYPERLINK("https://www.mouser.com/ProductDetail/" &amp;MouserListTable[[#This Row],[Mouser SKU]])</f>
        <v>https://www.mouser.com/ProductDetail/474-CAB-14043</v>
      </c>
      <c r="T250" s="152">
        <v>0</v>
      </c>
      <c r="U250" s="152">
        <v>1</v>
      </c>
      <c r="V250" s="152">
        <v>0</v>
      </c>
      <c r="W250" s="152">
        <f>MouserListTable[[#This Row],['#/Unit]]*FilterSpecs!$C$3+MouserListTable[[#This Row],[Extra]]</f>
        <v>1</v>
      </c>
      <c r="X250" s="152">
        <f>IF(MouserListTable[[#This Row],[Tag]]=FilterSpecs!$F$7,MouserListTable[[#This Row],['#/Unit]]*MouserListTable[[#This Row],[Price (USD)]],0)</f>
        <v>0</v>
      </c>
      <c r="Y250" s="152">
        <f>MouserListTable[[#This Row],[Tot '#]]*MouserListTable[[#This Row],[Price (USD)]]</f>
        <v>4.95</v>
      </c>
    </row>
    <row r="251" spans="1:25" x14ac:dyDescent="0.25">
      <c r="A251" s="150" t="s">
        <v>1058</v>
      </c>
      <c r="B251" s="112" t="s">
        <v>1006</v>
      </c>
      <c r="C251" s="112" t="s">
        <v>5</v>
      </c>
      <c r="D251" s="151" t="str">
        <f>IF(MouserListTable[[#This Row],[Vendor]]=FilterSpecs!$A$8,MouserListTable[[#This Row],[Mouser SKU]], MouserListTable[[#This Row],[Supplier SKU]])</f>
        <v>474-SEN-14117</v>
      </c>
      <c r="E251" s="152">
        <f>MouserListTable[[#This Row],[Tot '#]]-MouserListTable[[#This Row],['# Initial]]</f>
        <v>1</v>
      </c>
      <c r="F251" s="152">
        <f>IF(AND(MouserListTable[[#This Row],[Tag]]&lt;&gt;FilterSpecs!$F$12, MouserListTable[[#This Row],[Tag]]&lt;&gt;FilterSpecs!$F$9), MouserListTable[[#This Row],['#/Unit]]*FilterSpecs!$B$3+MouserListTable[[#This Row],[Extra Initial]],0)</f>
        <v>0</v>
      </c>
      <c r="G251" s="150" t="s">
        <v>966</v>
      </c>
      <c r="H251" s="150" t="s">
        <v>967</v>
      </c>
      <c r="I251" s="150" t="s">
        <v>968</v>
      </c>
      <c r="J251" s="150">
        <v>1</v>
      </c>
      <c r="K251" s="154">
        <v>349</v>
      </c>
      <c r="L251" s="150" t="s">
        <v>1900</v>
      </c>
      <c r="M251" s="150" t="s">
        <v>1047</v>
      </c>
      <c r="N251" s="154">
        <f>MouserListTable[[#This Row],['# Initial]]*MouserListTable[[#This Row],[Price (USD)]]</f>
        <v>0</v>
      </c>
      <c r="O251" s="151" t="s">
        <v>965</v>
      </c>
      <c r="P251" s="150">
        <f t="shared" si="4"/>
        <v>238</v>
      </c>
      <c r="Q251" s="112" t="s">
        <v>5</v>
      </c>
      <c r="R25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474-SEN-14117</v>
      </c>
      <c r="S251" s="157" t="str">
        <f>HYPERLINK("https://www.mouser.com/ProductDetail/" &amp;MouserListTable[[#This Row],[Mouser SKU]])</f>
        <v>https://www.mouser.com/ProductDetail/474-SEN-14117</v>
      </c>
      <c r="T251" s="152">
        <v>0</v>
      </c>
      <c r="U251" s="152">
        <v>1</v>
      </c>
      <c r="V251" s="152">
        <v>0</v>
      </c>
      <c r="W251" s="152">
        <f>MouserListTable[[#This Row],['#/Unit]]*FilterSpecs!$C$3+MouserListTable[[#This Row],[Extra]]</f>
        <v>1</v>
      </c>
      <c r="X251" s="152">
        <f>IF(MouserListTable[[#This Row],[Tag]]=FilterSpecs!$F$7,MouserListTable[[#This Row],['#/Unit]]*MouserListTable[[#This Row],[Price (USD)]],0)</f>
        <v>0</v>
      </c>
      <c r="Y251" s="152">
        <f>MouserListTable[[#This Row],[Tot '#]]*MouserListTable[[#This Row],[Price (USD)]]</f>
        <v>349</v>
      </c>
    </row>
    <row r="252" spans="1:25" x14ac:dyDescent="0.25">
      <c r="A252" s="150" t="s">
        <v>1058</v>
      </c>
      <c r="B252" s="112" t="s">
        <v>1006</v>
      </c>
      <c r="C252" s="112" t="s">
        <v>5</v>
      </c>
      <c r="D252" s="151" t="str">
        <f>IF(MouserListTable[[#This Row],[Vendor]]=FilterSpecs!$A$8,MouserListTable[[#This Row],[Mouser SKU]], MouserListTable[[#This Row],[Supplier SKU]])</f>
        <v>474-ROB-13064</v>
      </c>
      <c r="E252" s="152">
        <f>MouserListTable[[#This Row],[Tot '#]]-MouserListTable[[#This Row],['# Initial]]</f>
        <v>1</v>
      </c>
      <c r="F252" s="152">
        <f>IF(AND(MouserListTable[[#This Row],[Tag]]&lt;&gt;FilterSpecs!$F$12, MouserListTable[[#This Row],[Tag]]&lt;&gt;FilterSpecs!$F$9), MouserListTable[[#This Row],['#/Unit]]*FilterSpecs!$B$3+MouserListTable[[#This Row],[Extra Initial]],0)</f>
        <v>0</v>
      </c>
      <c r="G252" s="150" t="s">
        <v>1026</v>
      </c>
      <c r="H252" s="150" t="s">
        <v>1025</v>
      </c>
      <c r="I252" s="150" t="s">
        <v>1023</v>
      </c>
      <c r="J252" s="150">
        <v>1</v>
      </c>
      <c r="K252" s="154">
        <v>14.95</v>
      </c>
      <c r="L252" s="150" t="s">
        <v>1900</v>
      </c>
      <c r="M252" s="150" t="s">
        <v>1053</v>
      </c>
      <c r="N252" s="154">
        <f>MouserListTable[[#This Row],['# Initial]]*MouserListTable[[#This Row],[Price (USD)]]</f>
        <v>0</v>
      </c>
      <c r="O252" s="151" t="s">
        <v>1024</v>
      </c>
      <c r="P252" s="150">
        <f t="shared" si="4"/>
        <v>239</v>
      </c>
      <c r="Q252" s="112" t="s">
        <v>5</v>
      </c>
      <c r="R25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474-ROB-13064</v>
      </c>
      <c r="S252" s="157" t="str">
        <f>HYPERLINK("https://www.mouser.com/ProductDetail/" &amp;MouserListTable[[#This Row],[Mouser SKU]])</f>
        <v>https://www.mouser.com/ProductDetail/474-ROB-13064</v>
      </c>
      <c r="T252" s="152">
        <v>0</v>
      </c>
      <c r="U252" s="152">
        <v>1</v>
      </c>
      <c r="V252" s="152">
        <v>0</v>
      </c>
      <c r="W252" s="152">
        <f>MouserListTable[[#This Row],['#/Unit]]*FilterSpecs!$C$3+MouserListTable[[#This Row],[Extra]]</f>
        <v>1</v>
      </c>
      <c r="X252" s="152">
        <f>IF(MouserListTable[[#This Row],[Tag]]=FilterSpecs!$F$7,MouserListTable[[#This Row],['#/Unit]]*MouserListTable[[#This Row],[Price (USD)]],0)</f>
        <v>0</v>
      </c>
      <c r="Y252" s="152">
        <f>MouserListTable[[#This Row],[Tot '#]]*MouserListTable[[#This Row],[Price (USD)]]</f>
        <v>14.95</v>
      </c>
    </row>
    <row r="253" spans="1:25" x14ac:dyDescent="0.25">
      <c r="A253" s="150" t="s">
        <v>1058</v>
      </c>
      <c r="B253" s="150" t="s">
        <v>985</v>
      </c>
      <c r="C253" s="150" t="s">
        <v>5</v>
      </c>
      <c r="D253" s="151" t="str">
        <f>IF(MouserListTable[[#This Row],[Vendor]]=FilterSpecs!$A$8,MouserListTable[[#This Row],[Mouser SKU]], MouserListTable[[#This Row],[Supplier SKU]])</f>
        <v>474-SEN-13284</v>
      </c>
      <c r="E253" s="152">
        <f>MouserListTable[[#This Row],[Tot '#]]-MouserListTable[[#This Row],['# Initial]]</f>
        <v>1</v>
      </c>
      <c r="F253" s="152">
        <f>IF(AND(MouserListTable[[#This Row],[Tag]]&lt;&gt;FilterSpecs!$F$12, MouserListTable[[#This Row],[Tag]]&lt;&gt;FilterSpecs!$F$9), MouserListTable[[#This Row],['#/Unit]]*FilterSpecs!$B$3+MouserListTable[[#This Row],[Extra Initial]],0)</f>
        <v>0</v>
      </c>
      <c r="G253" s="150" t="s">
        <v>910</v>
      </c>
      <c r="H253" s="150" t="s">
        <v>911</v>
      </c>
      <c r="I253" s="150" t="s">
        <v>912</v>
      </c>
      <c r="J253" s="150">
        <v>1</v>
      </c>
      <c r="K253" s="154">
        <v>24.95</v>
      </c>
      <c r="L253" s="150" t="s">
        <v>1900</v>
      </c>
      <c r="M253" s="150" t="s">
        <v>1048</v>
      </c>
      <c r="N253" s="154">
        <f>MouserListTable[[#This Row],['# Initial]]*MouserListTable[[#This Row],[Price (USD)]]</f>
        <v>0</v>
      </c>
      <c r="O253" s="151" t="s">
        <v>909</v>
      </c>
      <c r="P253" s="150">
        <f t="shared" si="4"/>
        <v>240</v>
      </c>
      <c r="Q253" s="150" t="s">
        <v>5</v>
      </c>
      <c r="R25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474-SEN-13284</v>
      </c>
      <c r="S253" s="157" t="str">
        <f>HYPERLINK("https://www.mouser.com/ProductDetail/" &amp;MouserListTable[[#This Row],[Mouser SKU]])</f>
        <v>https://www.mouser.com/ProductDetail/474-SEN-13284</v>
      </c>
      <c r="T253" s="152">
        <v>0</v>
      </c>
      <c r="U253" s="152">
        <v>1</v>
      </c>
      <c r="V253" s="152">
        <v>0</v>
      </c>
      <c r="W253" s="152">
        <f>MouserListTable[[#This Row],['#/Unit]]*FilterSpecs!$C$3+MouserListTable[[#This Row],[Extra]]</f>
        <v>1</v>
      </c>
      <c r="X253" s="152">
        <f>IF(MouserListTable[[#This Row],[Tag]]=FilterSpecs!$F$7,MouserListTable[[#This Row],['#/Unit]]*MouserListTable[[#This Row],[Price (USD)]],0)</f>
        <v>0</v>
      </c>
      <c r="Y253" s="152">
        <f>MouserListTable[[#This Row],[Tot '#]]*MouserListTable[[#This Row],[Price (USD)]]</f>
        <v>24.95</v>
      </c>
    </row>
    <row r="254" spans="1:25" x14ac:dyDescent="0.25">
      <c r="A254" s="150" t="s">
        <v>1058</v>
      </c>
      <c r="B254" s="150" t="s">
        <v>985</v>
      </c>
      <c r="C254" s="150" t="s">
        <v>5</v>
      </c>
      <c r="D254" s="151" t="str">
        <f>IF(MouserListTable[[#This Row],[Vendor]]=FilterSpecs!$A$8,MouserListTable[[#This Row],[Mouser SKU]], MouserListTable[[#This Row],[Supplier SKU]])</f>
        <v>474-SEN-13762</v>
      </c>
      <c r="E254" s="152">
        <f>MouserListTable[[#This Row],[Tot '#]]-MouserListTable[[#This Row],['# Initial]]</f>
        <v>1</v>
      </c>
      <c r="F254" s="152">
        <f>IF(AND(MouserListTable[[#This Row],[Tag]]&lt;&gt;FilterSpecs!$F$12, MouserListTable[[#This Row],[Tag]]&lt;&gt;FilterSpecs!$F$9), MouserListTable[[#This Row],['#/Unit]]*FilterSpecs!$B$3+MouserListTable[[#This Row],[Extra Initial]],0)</f>
        <v>0</v>
      </c>
      <c r="G254" s="150" t="s">
        <v>914</v>
      </c>
      <c r="H254" s="150" t="s">
        <v>915</v>
      </c>
      <c r="I254" s="150" t="s">
        <v>916</v>
      </c>
      <c r="J254" s="150">
        <v>1</v>
      </c>
      <c r="K254" s="154">
        <v>14.95</v>
      </c>
      <c r="L254" s="150" t="s">
        <v>1900</v>
      </c>
      <c r="M254" s="150" t="s">
        <v>1048</v>
      </c>
      <c r="N254" s="154">
        <f>MouserListTable[[#This Row],['# Initial]]*MouserListTable[[#This Row],[Price (USD)]]</f>
        <v>0</v>
      </c>
      <c r="O254" s="151" t="s">
        <v>913</v>
      </c>
      <c r="P254" s="150">
        <f t="shared" si="4"/>
        <v>241</v>
      </c>
      <c r="Q254" s="150" t="s">
        <v>5</v>
      </c>
      <c r="R25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474-SEN-13762</v>
      </c>
      <c r="S254" s="157" t="str">
        <f>HYPERLINK("https://www.mouser.com/ProductDetail/" &amp;MouserListTable[[#This Row],[Mouser SKU]])</f>
        <v>https://www.mouser.com/ProductDetail/474-SEN-13762</v>
      </c>
      <c r="T254" s="152">
        <v>0</v>
      </c>
      <c r="U254" s="152">
        <v>1</v>
      </c>
      <c r="V254" s="152">
        <v>0</v>
      </c>
      <c r="W254" s="152">
        <f>MouserListTable[[#This Row],['#/Unit]]*FilterSpecs!$C$3+MouserListTable[[#This Row],[Extra]]</f>
        <v>1</v>
      </c>
      <c r="X254" s="152">
        <f>IF(MouserListTable[[#This Row],[Tag]]=FilterSpecs!$F$7,MouserListTable[[#This Row],['#/Unit]]*MouserListTable[[#This Row],[Price (USD)]],0)</f>
        <v>0</v>
      </c>
      <c r="Y254" s="152">
        <f>MouserListTable[[#This Row],[Tot '#]]*MouserListTable[[#This Row],[Price (USD)]]</f>
        <v>14.95</v>
      </c>
    </row>
    <row r="255" spans="1:25" x14ac:dyDescent="0.25">
      <c r="A255" s="97" t="s">
        <v>1058</v>
      </c>
      <c r="B255" s="115" t="s">
        <v>2005</v>
      </c>
      <c r="C255" s="112" t="s">
        <v>5</v>
      </c>
      <c r="D255" s="151" t="str">
        <f>IF(MouserListTable[[#This Row],[Vendor]]=FilterSpecs!$A$8,MouserListTable[[#This Row],[Mouser SKU]], MouserListTable[[#This Row],[Supplier SKU]])</f>
        <v>474-LCD-12725</v>
      </c>
      <c r="E255" s="152">
        <f>MouserListTable[[#This Row],[Tot '#]]-MouserListTable[[#This Row],['# Initial]]</f>
        <v>0</v>
      </c>
      <c r="F255" s="152">
        <f>IF(AND(MouserListTable[[#This Row],[Tag]]&lt;&gt;FilterSpecs!$F$12, MouserListTable[[#This Row],[Tag]]&lt;&gt;FilterSpecs!$F$9), MouserListTable[[#This Row],['#/Unit]]*FilterSpecs!$B$3+MouserListTable[[#This Row],[Extra Initial]],0)</f>
        <v>0</v>
      </c>
      <c r="G255" s="150" t="s">
        <v>978</v>
      </c>
      <c r="H255" s="150" t="s">
        <v>979</v>
      </c>
      <c r="I255" s="150" t="s">
        <v>980</v>
      </c>
      <c r="J255" s="150">
        <v>1</v>
      </c>
      <c r="K255" s="154">
        <v>179.95</v>
      </c>
      <c r="L255" s="150" t="s">
        <v>1900</v>
      </c>
      <c r="M255" s="150" t="s">
        <v>1049</v>
      </c>
      <c r="N255" s="154">
        <f>MouserListTable[[#This Row],['# Initial]]*MouserListTable[[#This Row],[Price (USD)]]</f>
        <v>0</v>
      </c>
      <c r="O255" s="151" t="s">
        <v>977</v>
      </c>
      <c r="P255" s="150">
        <f t="shared" si="4"/>
        <v>242</v>
      </c>
      <c r="Q255" s="112" t="s">
        <v>5</v>
      </c>
      <c r="R25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474-LCD-12725</v>
      </c>
      <c r="S255" s="157" t="str">
        <f>HYPERLINK("https://www.mouser.com/ProductDetail/" &amp;MouserListTable[[#This Row],[Mouser SKU]])</f>
        <v>https://www.mouser.com/ProductDetail/474-LCD-12725</v>
      </c>
      <c r="T255" s="152">
        <v>0</v>
      </c>
      <c r="U255" s="152">
        <v>0</v>
      </c>
      <c r="V255" s="152">
        <v>0</v>
      </c>
      <c r="W255" s="152">
        <f>MouserListTable[[#This Row],['#/Unit]]*FilterSpecs!$C$3+MouserListTable[[#This Row],[Extra]]</f>
        <v>0</v>
      </c>
      <c r="X255" s="152">
        <f>IF(MouserListTable[[#This Row],[Tag]]=FilterSpecs!$F$7,MouserListTable[[#This Row],['#/Unit]]*MouserListTable[[#This Row],[Price (USD)]],0)</f>
        <v>0</v>
      </c>
      <c r="Y255" s="152">
        <f>MouserListTable[[#This Row],[Tot '#]]*MouserListTable[[#This Row],[Price (USD)]]</f>
        <v>0</v>
      </c>
    </row>
    <row r="256" spans="1:25" x14ac:dyDescent="0.25">
      <c r="A256" s="150" t="s">
        <v>1058</v>
      </c>
      <c r="B256" s="112" t="s">
        <v>2005</v>
      </c>
      <c r="C256" s="112" t="s">
        <v>5</v>
      </c>
      <c r="D256" s="151" t="str">
        <f>IF(MouserListTable[[#This Row],[Vendor]]=FilterSpecs!$A$8,MouserListTable[[#This Row],[Mouser SKU]], MouserListTable[[#This Row],[Supplier SKU]])</f>
        <v>474-LCD-11741</v>
      </c>
      <c r="E256" s="152">
        <f>MouserListTable[[#This Row],[Tot '#]]-MouserListTable[[#This Row],['# Initial]]</f>
        <v>1</v>
      </c>
      <c r="F256" s="152">
        <f>IF(AND(MouserListTable[[#This Row],[Tag]]&lt;&gt;FilterSpecs!$F$12, MouserListTable[[#This Row],[Tag]]&lt;&gt;FilterSpecs!$F$9), MouserListTable[[#This Row],['#/Unit]]*FilterSpecs!$B$3+MouserListTable[[#This Row],[Extra Initial]],0)</f>
        <v>0</v>
      </c>
      <c r="G256" s="150" t="s">
        <v>1770</v>
      </c>
      <c r="H256" s="150" t="s">
        <v>1771</v>
      </c>
      <c r="I256" s="150" t="s">
        <v>1772</v>
      </c>
      <c r="J256" s="150"/>
      <c r="K256" s="154">
        <v>84.95</v>
      </c>
      <c r="L256" s="150" t="s">
        <v>1900</v>
      </c>
      <c r="M256" s="151"/>
      <c r="N256" s="154">
        <f>MouserListTable[[#This Row],['# Initial]]*MouserListTable[[#This Row],[Price (USD)]]</f>
        <v>0</v>
      </c>
      <c r="O256" s="151" t="s">
        <v>1769</v>
      </c>
      <c r="P256" s="150">
        <f t="shared" si="4"/>
        <v>243</v>
      </c>
      <c r="Q256" s="112" t="s">
        <v>5</v>
      </c>
      <c r="R25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474-LCD-11741</v>
      </c>
      <c r="S256" s="157" t="str">
        <f>HYPERLINK("https://www.mouser.com/ProductDetail/" &amp;MouserListTable[[#This Row],[Mouser SKU]])</f>
        <v>https://www.mouser.com/ProductDetail/474-LCD-11741</v>
      </c>
      <c r="T256" s="152">
        <v>0</v>
      </c>
      <c r="U256" s="152">
        <v>1</v>
      </c>
      <c r="V256" s="152">
        <v>0</v>
      </c>
      <c r="W256" s="152">
        <f>MouserListTable[[#This Row],['#/Unit]]*FilterSpecs!$C$3+MouserListTable[[#This Row],[Extra]]</f>
        <v>1</v>
      </c>
      <c r="X256" s="152">
        <f>IF(MouserListTable[[#This Row],[Tag]]=FilterSpecs!$F$7,MouserListTable[[#This Row],['#/Unit]]*MouserListTable[[#This Row],[Price (USD)]],0)</f>
        <v>0</v>
      </c>
      <c r="Y256" s="152">
        <f>MouserListTable[[#This Row],[Tot '#]]*MouserListTable[[#This Row],[Price (USD)]]</f>
        <v>84.95</v>
      </c>
    </row>
    <row r="257" spans="1:25" x14ac:dyDescent="0.25">
      <c r="A257" s="97" t="s">
        <v>1058</v>
      </c>
      <c r="B257" s="115" t="s">
        <v>2005</v>
      </c>
      <c r="C257" s="112" t="s">
        <v>5</v>
      </c>
      <c r="D257" s="151" t="str">
        <f>IF(MouserListTable[[#This Row],[Vendor]]=FilterSpecs!$A$8,MouserListTable[[#This Row],[Mouser SKU]], MouserListTable[[#This Row],[Supplier SKU]])</f>
        <v>474-LCD-11677</v>
      </c>
      <c r="E257" s="152">
        <f>MouserListTable[[#This Row],[Tot '#]]-MouserListTable[[#This Row],['# Initial]]</f>
        <v>0</v>
      </c>
      <c r="F257" s="152">
        <f>IF(AND(MouserListTable[[#This Row],[Tag]]&lt;&gt;FilterSpecs!$F$12, MouserListTable[[#This Row],[Tag]]&lt;&gt;FilterSpecs!$F$9), MouserListTable[[#This Row],['#/Unit]]*FilterSpecs!$B$3+MouserListTable[[#This Row],[Extra Initial]],0)</f>
        <v>0</v>
      </c>
      <c r="G257" s="150" t="s">
        <v>1734</v>
      </c>
      <c r="H257" s="150" t="s">
        <v>1735</v>
      </c>
      <c r="I257" s="150" t="s">
        <v>1736</v>
      </c>
      <c r="J257" s="150">
        <v>1</v>
      </c>
      <c r="K257" s="154">
        <v>84.95</v>
      </c>
      <c r="L257" s="150" t="s">
        <v>1900</v>
      </c>
      <c r="M257" s="153"/>
      <c r="N257" s="154">
        <f>MouserListTable[[#This Row],['# Initial]]*MouserListTable[[#This Row],[Price (USD)]]</f>
        <v>0</v>
      </c>
      <c r="O257" s="151" t="s">
        <v>1733</v>
      </c>
      <c r="P257" s="150">
        <f t="shared" si="4"/>
        <v>244</v>
      </c>
      <c r="Q257" s="112" t="s">
        <v>5</v>
      </c>
      <c r="R25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474-LCD-11677</v>
      </c>
      <c r="S257" s="157" t="str">
        <f>HYPERLINK("https://www.mouser.com/ProductDetail/" &amp;MouserListTable[[#This Row],[Mouser SKU]])</f>
        <v>https://www.mouser.com/ProductDetail/474-LCD-11677</v>
      </c>
      <c r="T257" s="152">
        <v>0</v>
      </c>
      <c r="U257" s="152">
        <v>0</v>
      </c>
      <c r="V257" s="152">
        <v>0</v>
      </c>
      <c r="W257" s="152">
        <f>MouserListTable[[#This Row],['#/Unit]]*FilterSpecs!$C$3+MouserListTable[[#This Row],[Extra]]</f>
        <v>0</v>
      </c>
      <c r="X257" s="152">
        <f>IF(MouserListTable[[#This Row],[Tag]]=FilterSpecs!$F$7,MouserListTable[[#This Row],['#/Unit]]*MouserListTable[[#This Row],[Price (USD)]],0)</f>
        <v>0</v>
      </c>
      <c r="Y257" s="152">
        <f>MouserListTable[[#This Row],[Tot '#]]*MouserListTable[[#This Row],[Price (USD)]]</f>
        <v>0</v>
      </c>
    </row>
    <row r="258" spans="1:25" x14ac:dyDescent="0.25">
      <c r="A258" s="97" t="s">
        <v>1058</v>
      </c>
      <c r="B258" s="115" t="s">
        <v>2005</v>
      </c>
      <c r="C258" s="112" t="s">
        <v>1884</v>
      </c>
      <c r="D258" s="151" t="str">
        <f>IF(MouserListTable[[#This Row],[Vendor]]=FilterSpecs!$A$8,MouserListTable[[#This Row],[Mouser SKU]], MouserListTable[[#This Row],[Supplier SKU]])</f>
        <v>485-2090</v>
      </c>
      <c r="E258" s="152">
        <f>MouserListTable[[#This Row],[Tot '#]]-MouserListTable[[#This Row],['# Initial]]</f>
        <v>0</v>
      </c>
      <c r="F258" s="152">
        <f>IF(AND(MouserListTable[[#This Row],[Tag]]&lt;&gt;FilterSpecs!$F$12, MouserListTable[[#This Row],[Tag]]&lt;&gt;FilterSpecs!$F$9), MouserListTable[[#This Row],['#/Unit]]*FilterSpecs!$B$3+MouserListTable[[#This Row],[Extra Initial]],0)</f>
        <v>0</v>
      </c>
      <c r="G258" s="150"/>
      <c r="H258" s="150"/>
      <c r="I258" s="150" t="s">
        <v>2072</v>
      </c>
      <c r="J258" s="150"/>
      <c r="K258" s="154">
        <v>39.950000000000003</v>
      </c>
      <c r="L258" s="150" t="s">
        <v>1896</v>
      </c>
      <c r="M258" s="153"/>
      <c r="N258" s="154">
        <f>MouserListTable[[#This Row],['# Initial]]*MouserListTable[[#This Row],[Price (USD)]]</f>
        <v>0</v>
      </c>
      <c r="O258" s="151" t="s">
        <v>2071</v>
      </c>
      <c r="P258" s="150">
        <f t="shared" si="4"/>
        <v>245</v>
      </c>
      <c r="Q258" s="112" t="s">
        <v>1884</v>
      </c>
      <c r="R25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485-2090</v>
      </c>
      <c r="S258" s="157" t="str">
        <f>HYPERLINK("https://www.mouser.com/ProductDetail/" &amp;MouserListTable[[#This Row],[Mouser SKU]])</f>
        <v>https://www.mouser.com/ProductDetail/485-2090</v>
      </c>
      <c r="T258" s="152">
        <v>0</v>
      </c>
      <c r="U258" s="152">
        <v>0</v>
      </c>
      <c r="V258" s="152">
        <v>0</v>
      </c>
      <c r="W258" s="152">
        <f>MouserListTable[[#This Row],['#/Unit]]*FilterSpecs!$C$3+MouserListTable[[#This Row],[Extra]]</f>
        <v>0</v>
      </c>
      <c r="X258" s="152">
        <f>IF(MouserListTable[[#This Row],[Tag]]=FilterSpecs!$F$7,MouserListTable[[#This Row],['#/Unit]]*MouserListTable[[#This Row],[Price (USD)]],0)</f>
        <v>0</v>
      </c>
      <c r="Y258" s="152">
        <f>MouserListTable[[#This Row],[Tot '#]]*MouserListTable[[#This Row],[Price (USD)]]</f>
        <v>0</v>
      </c>
    </row>
    <row r="259" spans="1:25" x14ac:dyDescent="0.25">
      <c r="A259" s="150" t="s">
        <v>1058</v>
      </c>
      <c r="B259" s="115" t="s">
        <v>2005</v>
      </c>
      <c r="C259" s="150" t="s">
        <v>1884</v>
      </c>
      <c r="D259" s="151" t="str">
        <f>IF(MouserListTable[[#This Row],[Vendor]]=FilterSpecs!$A$8,MouserListTable[[#This Row],[Mouser SKU]], MouserListTable[[#This Row],[Supplier SKU]])</f>
        <v>485-1947</v>
      </c>
      <c r="E259" s="152">
        <f>MouserListTable[[#This Row],[Tot '#]]-MouserListTable[[#This Row],['# Initial]]</f>
        <v>0</v>
      </c>
      <c r="F259" s="152">
        <f>IF(AND(MouserListTable[[#This Row],[Tag]]&lt;&gt;FilterSpecs!$F$12, MouserListTable[[#This Row],[Tag]]&lt;&gt;FilterSpecs!$F$9), MouserListTable[[#This Row],['#/Unit]]*FilterSpecs!$B$3+MouserListTable[[#This Row],[Extra Initial]],0)</f>
        <v>0</v>
      </c>
      <c r="G259" s="150"/>
      <c r="H259" s="150"/>
      <c r="I259" s="150" t="s">
        <v>2074</v>
      </c>
      <c r="J259" s="153"/>
      <c r="K259" s="118">
        <v>44.95</v>
      </c>
      <c r="L259" s="97" t="s">
        <v>1896</v>
      </c>
      <c r="M259" s="153"/>
      <c r="N259" s="154">
        <f>MouserListTable[[#This Row],['# Initial]]*MouserListTable[[#This Row],[Price (USD)]]</f>
        <v>0</v>
      </c>
      <c r="O259" s="151" t="s">
        <v>2073</v>
      </c>
      <c r="P259" s="150">
        <f t="shared" si="4"/>
        <v>246</v>
      </c>
      <c r="Q259" s="150" t="s">
        <v>1884</v>
      </c>
      <c r="R25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485-1947</v>
      </c>
      <c r="S259" s="157" t="str">
        <f>HYPERLINK("https://www.mouser.com/ProductDetail/" &amp;MouserListTable[[#This Row],[Mouser SKU]])</f>
        <v>https://www.mouser.com/ProductDetail/485-1947</v>
      </c>
      <c r="T259" s="152">
        <v>0</v>
      </c>
      <c r="U259" s="152">
        <v>0</v>
      </c>
      <c r="V259" s="152">
        <v>0</v>
      </c>
      <c r="W259" s="152">
        <f>MouserListTable[[#This Row],['#/Unit]]*FilterSpecs!$C$3+MouserListTable[[#This Row],[Extra]]</f>
        <v>0</v>
      </c>
      <c r="X259" s="152">
        <f>IF(MouserListTable[[#This Row],[Tag]]=FilterSpecs!$F$7,MouserListTable[[#This Row],['#/Unit]]*MouserListTable[[#This Row],[Price (USD)]],0)</f>
        <v>0</v>
      </c>
      <c r="Y259" s="152">
        <f>MouserListTable[[#This Row],[Tot '#]]*MouserListTable[[#This Row],[Price (USD)]]</f>
        <v>0</v>
      </c>
    </row>
    <row r="260" spans="1:25" x14ac:dyDescent="0.25">
      <c r="A260" s="150" t="s">
        <v>1058</v>
      </c>
      <c r="B260" s="112" t="s">
        <v>2005</v>
      </c>
      <c r="C260" s="150" t="s">
        <v>5</v>
      </c>
      <c r="D260" s="151" t="str">
        <f>IF(MouserListTable[[#This Row],[Vendor]]=FilterSpecs!$A$8,MouserListTable[[#This Row],[Mouser SKU]], MouserListTable[[#This Row],[Supplier SKU]])</f>
        <v>474-DEV-11814</v>
      </c>
      <c r="E260" s="152">
        <f>MouserListTable[[#This Row],[Tot '#]]-MouserListTable[[#This Row],['# Initial]]</f>
        <v>1</v>
      </c>
      <c r="F260" s="152">
        <f>IF(AND(MouserListTable[[#This Row],[Tag]]&lt;&gt;FilterSpecs!$F$12, MouserListTable[[#This Row],[Tag]]&lt;&gt;FilterSpecs!$F$9), MouserListTable[[#This Row],['#/Unit]]*FilterSpecs!$B$3+MouserListTable[[#This Row],[Extra Initial]],0)</f>
        <v>0</v>
      </c>
      <c r="G260" s="150" t="s">
        <v>1730</v>
      </c>
      <c r="H260" s="150" t="s">
        <v>1731</v>
      </c>
      <c r="I260" s="150" t="s">
        <v>1732</v>
      </c>
      <c r="J260" s="153">
        <v>1</v>
      </c>
      <c r="K260" s="154">
        <v>24.95</v>
      </c>
      <c r="L260" s="150" t="s">
        <v>1900</v>
      </c>
      <c r="M260" s="151"/>
      <c r="N260" s="154">
        <f>MouserListTable[[#This Row],['# Initial]]*MouserListTable[[#This Row],[Price (USD)]]</f>
        <v>0</v>
      </c>
      <c r="O260" s="151" t="s">
        <v>1729</v>
      </c>
      <c r="P260" s="150">
        <f t="shared" si="4"/>
        <v>247</v>
      </c>
      <c r="Q260" s="150" t="s">
        <v>5</v>
      </c>
      <c r="R26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474-DEV-11814</v>
      </c>
      <c r="S260" s="157" t="str">
        <f>HYPERLINK("https://www.mouser.com/ProductDetail/" &amp;MouserListTable[[#This Row],[Mouser SKU]])</f>
        <v>https://www.mouser.com/ProductDetail/474-DEV-11814</v>
      </c>
      <c r="T260" s="152">
        <v>0</v>
      </c>
      <c r="U260" s="152">
        <v>1</v>
      </c>
      <c r="V260" s="152">
        <v>0</v>
      </c>
      <c r="W260" s="152">
        <f>MouserListTable[[#This Row],['#/Unit]]*FilterSpecs!$C$3+MouserListTable[[#This Row],[Extra]]</f>
        <v>1</v>
      </c>
      <c r="X260" s="152">
        <f>IF(MouserListTable[[#This Row],[Tag]]=FilterSpecs!$F$7,MouserListTable[[#This Row],['#/Unit]]*MouserListTable[[#This Row],[Price (USD)]],0)</f>
        <v>0</v>
      </c>
      <c r="Y260" s="152">
        <f>MouserListTable[[#This Row],[Tot '#]]*MouserListTable[[#This Row],[Price (USD)]]</f>
        <v>24.95</v>
      </c>
    </row>
    <row r="261" spans="1:25" x14ac:dyDescent="0.25">
      <c r="A261" s="150" t="s">
        <v>1058</v>
      </c>
      <c r="B261" s="112" t="s">
        <v>1059</v>
      </c>
      <c r="C261" s="112" t="s">
        <v>5</v>
      </c>
      <c r="D261" s="151" t="str">
        <f>IF(MouserListTable[[#This Row],[Vendor]]=FilterSpecs!$A$8,MouserListTable[[#This Row],[Mouser SKU]], MouserListTable[[#This Row],[Supplier SKU]])</f>
        <v>474-DEV-14022</v>
      </c>
      <c r="E261" s="152">
        <f>MouserListTable[[#This Row],[Tot '#]]-MouserListTable[[#This Row],['# Initial]]</f>
        <v>1</v>
      </c>
      <c r="F261" s="152">
        <f>IF(AND(MouserListTable[[#This Row],[Tag]]&lt;&gt;FilterSpecs!$F$12, MouserListTable[[#This Row],[Tag]]&lt;&gt;FilterSpecs!$F$9), MouserListTable[[#This Row],['#/Unit]]*FilterSpecs!$B$3+MouserListTable[[#This Row],[Extra Initial]],0)</f>
        <v>0</v>
      </c>
      <c r="G261" s="150" t="s">
        <v>974</v>
      </c>
      <c r="H261" s="150" t="s">
        <v>975</v>
      </c>
      <c r="I261" s="150" t="s">
        <v>976</v>
      </c>
      <c r="J261" s="150"/>
      <c r="K261" s="154">
        <v>209.95</v>
      </c>
      <c r="L261" s="150" t="s">
        <v>1900</v>
      </c>
      <c r="M261" s="150" t="s">
        <v>1051</v>
      </c>
      <c r="N261" s="154">
        <f>MouserListTable[[#This Row],['# Initial]]*MouserListTable[[#This Row],[Price (USD)]]</f>
        <v>0</v>
      </c>
      <c r="O261" s="151" t="s">
        <v>973</v>
      </c>
      <c r="P261" s="150">
        <f t="shared" si="4"/>
        <v>248</v>
      </c>
      <c r="Q261" s="112" t="s">
        <v>5</v>
      </c>
      <c r="R26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474-DEV-14022</v>
      </c>
      <c r="S261" s="157" t="str">
        <f>HYPERLINK("https://www.mouser.com/ProductDetail/" &amp;MouserListTable[[#This Row],[Mouser SKU]])</f>
        <v>https://www.mouser.com/ProductDetail/474-DEV-14022</v>
      </c>
      <c r="T261" s="152">
        <v>0</v>
      </c>
      <c r="U261" s="152">
        <v>1</v>
      </c>
      <c r="V261" s="152">
        <v>0</v>
      </c>
      <c r="W261" s="152">
        <f>MouserListTable[[#This Row],['#/Unit]]*FilterSpecs!$C$3+MouserListTable[[#This Row],[Extra]]</f>
        <v>1</v>
      </c>
      <c r="X261" s="152">
        <f>IF(MouserListTable[[#This Row],[Tag]]=FilterSpecs!$F$7,MouserListTable[[#This Row],['#/Unit]]*MouserListTable[[#This Row],[Price (USD)]],0)</f>
        <v>0</v>
      </c>
      <c r="Y261" s="152">
        <f>MouserListTable[[#This Row],[Tot '#]]*MouserListTable[[#This Row],[Price (USD)]]</f>
        <v>209.95</v>
      </c>
    </row>
    <row r="262" spans="1:25" x14ac:dyDescent="0.25">
      <c r="A262" s="150" t="s">
        <v>1058</v>
      </c>
      <c r="B262" s="112" t="s">
        <v>1424</v>
      </c>
      <c r="C262" s="112" t="s">
        <v>5</v>
      </c>
      <c r="D262" s="151" t="str">
        <f>IF(MouserListTable[[#This Row],[Vendor]]=FilterSpecs!$A$8,MouserListTable[[#This Row],[Mouser SKU]], MouserListTable[[#This Row],[Supplier SKU]])</f>
        <v>474-COM-13316</v>
      </c>
      <c r="E262" s="152">
        <f>MouserListTable[[#This Row],[Tot '#]]-MouserListTable[[#This Row],['# Initial]]</f>
        <v>1</v>
      </c>
      <c r="F262" s="152">
        <f>IF(AND(MouserListTable[[#This Row],[Tag]]&lt;&gt;FilterSpecs!$F$12, MouserListTable[[#This Row],[Tag]]&lt;&gt;FilterSpecs!$F$9), MouserListTable[[#This Row],['#/Unit]]*FilterSpecs!$B$3+MouserListTable[[#This Row],[Extra Initial]],0)</f>
        <v>0</v>
      </c>
      <c r="G262" s="150" t="s">
        <v>970</v>
      </c>
      <c r="H262" s="150" t="s">
        <v>971</v>
      </c>
      <c r="I262" s="150" t="s">
        <v>972</v>
      </c>
      <c r="J262" s="150">
        <v>1</v>
      </c>
      <c r="K262" s="154">
        <v>49.95</v>
      </c>
      <c r="L262" s="150" t="s">
        <v>1896</v>
      </c>
      <c r="M262" s="150" t="s">
        <v>1050</v>
      </c>
      <c r="N262" s="154">
        <f>MouserListTable[[#This Row],['# Initial]]*MouserListTable[[#This Row],[Price (USD)]]</f>
        <v>0</v>
      </c>
      <c r="O262" s="151" t="s">
        <v>969</v>
      </c>
      <c r="P262" s="150">
        <f t="shared" si="4"/>
        <v>249</v>
      </c>
      <c r="Q262" s="112" t="s">
        <v>5</v>
      </c>
      <c r="R26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474-COM-13316</v>
      </c>
      <c r="S262" s="157" t="str">
        <f>HYPERLINK("https://www.mouser.com/ProductDetail/" &amp;MouserListTable[[#This Row],[Mouser SKU]])</f>
        <v>https://www.mouser.com/ProductDetail/474-COM-13316</v>
      </c>
      <c r="T262" s="152">
        <v>0</v>
      </c>
      <c r="U262" s="152">
        <v>1</v>
      </c>
      <c r="V262" s="152">
        <v>0</v>
      </c>
      <c r="W262" s="152">
        <f>MouserListTable[[#This Row],['#/Unit]]*FilterSpecs!$C$3+MouserListTable[[#This Row],[Extra]]</f>
        <v>1</v>
      </c>
      <c r="X262" s="152">
        <f>IF(MouserListTable[[#This Row],[Tag]]=FilterSpecs!$F$7,MouserListTable[[#This Row],['#/Unit]]*MouserListTable[[#This Row],[Price (USD)]],0)</f>
        <v>0</v>
      </c>
      <c r="Y262" s="152">
        <f>MouserListTable[[#This Row],[Tot '#]]*MouserListTable[[#This Row],[Price (USD)]]</f>
        <v>49.95</v>
      </c>
    </row>
    <row r="263" spans="1:25" x14ac:dyDescent="0.25">
      <c r="A263" s="150" t="s">
        <v>1058</v>
      </c>
      <c r="B263" s="150" t="s">
        <v>2000</v>
      </c>
      <c r="C263" s="150" t="s">
        <v>1884</v>
      </c>
      <c r="D263" s="151" t="str">
        <f>IF(MouserListTable[[#This Row],[Vendor]]=FilterSpecs!$A$8,MouserListTable[[#This Row],[Mouser SKU]], MouserListTable[[#This Row],[Supplier SKU]])</f>
        <v>485-1407</v>
      </c>
      <c r="E263" s="152">
        <f>MouserListTable[[#This Row],[Tot '#]]-MouserListTable[[#This Row],['# Initial]]</f>
        <v>0</v>
      </c>
      <c r="F263" s="152">
        <f>IF(AND(MouserListTable[[#This Row],[Tag]]&lt;&gt;FilterSpecs!$F$12, MouserListTable[[#This Row],[Tag]]&lt;&gt;FilterSpecs!$F$9), MouserListTable[[#This Row],['#/Unit]]*FilterSpecs!$B$3+MouserListTable[[#This Row],[Extra Initial]],0)</f>
        <v>0</v>
      </c>
      <c r="G263" s="150"/>
      <c r="H263" s="150"/>
      <c r="I263" s="150" t="s">
        <v>2323</v>
      </c>
      <c r="J263" s="153"/>
      <c r="K263" s="118">
        <v>9.9499999999999993</v>
      </c>
      <c r="L263" s="97" t="s">
        <v>1896</v>
      </c>
      <c r="M263" s="153"/>
      <c r="N263" s="154">
        <f>MouserListTable[[#This Row],['# Initial]]*MouserListTable[[#This Row],[Price (USD)]]</f>
        <v>0</v>
      </c>
      <c r="O263" s="151" t="s">
        <v>2322</v>
      </c>
      <c r="P263" s="150">
        <f t="shared" si="4"/>
        <v>250</v>
      </c>
      <c r="Q263" s="150" t="s">
        <v>1884</v>
      </c>
      <c r="R26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485-1407</v>
      </c>
      <c r="S263" s="157" t="str">
        <f>HYPERLINK("https://www.mouser.com/ProductDetail/" &amp;MouserListTable[[#This Row],[Mouser SKU]])</f>
        <v>https://www.mouser.com/ProductDetail/485-1407</v>
      </c>
      <c r="T263" s="152">
        <v>0</v>
      </c>
      <c r="U263" s="152">
        <v>0</v>
      </c>
      <c r="V263" s="152">
        <v>0</v>
      </c>
      <c r="W263" s="152">
        <f>MouserListTable[[#This Row],['#/Unit]]*FilterSpecs!$C$3+MouserListTable[[#This Row],[Extra]]</f>
        <v>0</v>
      </c>
      <c r="X263" s="152">
        <f>IF(MouserListTable[[#This Row],[Tag]]=FilterSpecs!$F$7,MouserListTable[[#This Row],['#/Unit]]*MouserListTable[[#This Row],[Price (USD)]],0)</f>
        <v>0</v>
      </c>
      <c r="Y263" s="152">
        <f>MouserListTable[[#This Row],[Tot '#]]*MouserListTable[[#This Row],[Price (USD)]]</f>
        <v>0</v>
      </c>
    </row>
    <row r="264" spans="1:25" x14ac:dyDescent="0.25">
      <c r="A264" s="150" t="s">
        <v>1058</v>
      </c>
      <c r="B264" s="150" t="s">
        <v>2000</v>
      </c>
      <c r="C264" s="150" t="s">
        <v>1884</v>
      </c>
      <c r="D264" s="151" t="str">
        <f>IF(MouserListTable[[#This Row],[Vendor]]=FilterSpecs!$A$8,MouserListTable[[#This Row],[Mouser SKU]], MouserListTable[[#This Row],[Supplier SKU]])</f>
        <v>485-2116</v>
      </c>
      <c r="E264" s="152">
        <f>MouserListTable[[#This Row],[Tot '#]]-MouserListTable[[#This Row],['# Initial]]</f>
        <v>0</v>
      </c>
      <c r="F264" s="152">
        <f>IF(AND(MouserListTable[[#This Row],[Tag]]&lt;&gt;FilterSpecs!$F$12, MouserListTable[[#This Row],[Tag]]&lt;&gt;FilterSpecs!$F$9), MouserListTable[[#This Row],['#/Unit]]*FilterSpecs!$B$3+MouserListTable[[#This Row],[Extra Initial]],0)</f>
        <v>0</v>
      </c>
      <c r="G264" s="150"/>
      <c r="H264" s="150"/>
      <c r="I264" s="150" t="s">
        <v>2325</v>
      </c>
      <c r="J264" s="153"/>
      <c r="K264" s="118">
        <v>24.95</v>
      </c>
      <c r="L264" s="97" t="s">
        <v>1896</v>
      </c>
      <c r="M264" s="153"/>
      <c r="N264" s="154">
        <f>MouserListTable[[#This Row],['# Initial]]*MouserListTable[[#This Row],[Price (USD)]]</f>
        <v>0</v>
      </c>
      <c r="O264" s="151" t="s">
        <v>2324</v>
      </c>
      <c r="P264" s="150">
        <f t="shared" si="4"/>
        <v>251</v>
      </c>
      <c r="Q264" s="150" t="s">
        <v>1884</v>
      </c>
      <c r="R26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485-2116</v>
      </c>
      <c r="S264" s="157" t="str">
        <f>HYPERLINK("https://www.mouser.com/ProductDetail/" &amp;MouserListTable[[#This Row],[Mouser SKU]])</f>
        <v>https://www.mouser.com/ProductDetail/485-2116</v>
      </c>
      <c r="T264" s="152">
        <v>0</v>
      </c>
      <c r="U264" s="152">
        <v>0</v>
      </c>
      <c r="V264" s="152">
        <v>0</v>
      </c>
      <c r="W264" s="152">
        <f>MouserListTable[[#This Row],['#/Unit]]*FilterSpecs!$C$3+MouserListTable[[#This Row],[Extra]]</f>
        <v>0</v>
      </c>
      <c r="X264" s="152">
        <f>IF(MouserListTable[[#This Row],[Tag]]=FilterSpecs!$F$7,MouserListTable[[#This Row],['#/Unit]]*MouserListTable[[#This Row],[Price (USD)]],0)</f>
        <v>0</v>
      </c>
      <c r="Y264" s="152">
        <f>MouserListTable[[#This Row],[Tot '#]]*MouserListTable[[#This Row],[Price (USD)]]</f>
        <v>0</v>
      </c>
    </row>
    <row r="265" spans="1:25" x14ac:dyDescent="0.25">
      <c r="A265" s="150" t="s">
        <v>1058</v>
      </c>
      <c r="B265" s="150" t="s">
        <v>2000</v>
      </c>
      <c r="C265" s="150" t="s">
        <v>1884</v>
      </c>
      <c r="D265" s="151" t="str">
        <f>IF(MouserListTable[[#This Row],[Vendor]]=FilterSpecs!$A$8,MouserListTable[[#This Row],[Mouser SKU]], MouserListTable[[#This Row],[Supplier SKU]])</f>
        <v>485-2162</v>
      </c>
      <c r="E265" s="152">
        <f>MouserListTable[[#This Row],[Tot '#]]-MouserListTable[[#This Row],['# Initial]]</f>
        <v>0</v>
      </c>
      <c r="F265" s="152">
        <f>IF(AND(MouserListTable[[#This Row],[Tag]]&lt;&gt;FilterSpecs!$F$12, MouserListTable[[#This Row],[Tag]]&lt;&gt;FilterSpecs!$F$9), MouserListTable[[#This Row],['#/Unit]]*FilterSpecs!$B$3+MouserListTable[[#This Row],[Extra Initial]],0)</f>
        <v>0</v>
      </c>
      <c r="G265" s="150"/>
      <c r="H265" s="150"/>
      <c r="I265" s="150" t="s">
        <v>2327</v>
      </c>
      <c r="J265" s="153"/>
      <c r="K265" s="118">
        <v>26.95</v>
      </c>
      <c r="L265" s="97" t="s">
        <v>1899</v>
      </c>
      <c r="M265" s="153"/>
      <c r="N265" s="154">
        <f>MouserListTable[[#This Row],['# Initial]]*MouserListTable[[#This Row],[Price (USD)]]</f>
        <v>0</v>
      </c>
      <c r="O265" s="151" t="s">
        <v>2326</v>
      </c>
      <c r="P265" s="150">
        <f t="shared" si="4"/>
        <v>252</v>
      </c>
      <c r="Q265" s="150" t="s">
        <v>1884</v>
      </c>
      <c r="R26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485-2162</v>
      </c>
      <c r="S265" s="157" t="str">
        <f>HYPERLINK("https://www.mouser.com/ProductDetail/" &amp;MouserListTable[[#This Row],[Mouser SKU]])</f>
        <v>https://www.mouser.com/ProductDetail/485-2162</v>
      </c>
      <c r="T265" s="152">
        <v>0</v>
      </c>
      <c r="U265" s="152">
        <v>0</v>
      </c>
      <c r="V265" s="152">
        <v>0</v>
      </c>
      <c r="W265" s="152">
        <f>MouserListTable[[#This Row],['#/Unit]]*FilterSpecs!$C$3+MouserListTable[[#This Row],[Extra]]</f>
        <v>0</v>
      </c>
      <c r="X265" s="152">
        <f>IF(MouserListTable[[#This Row],[Tag]]=FilterSpecs!$F$7,MouserListTable[[#This Row],['#/Unit]]*MouserListTable[[#This Row],[Price (USD)]],0)</f>
        <v>0</v>
      </c>
      <c r="Y265" s="152">
        <f>MouserListTable[[#This Row],[Tot '#]]*MouserListTable[[#This Row],[Price (USD)]]</f>
        <v>0</v>
      </c>
    </row>
    <row r="266" spans="1:25" x14ac:dyDescent="0.25">
      <c r="A266" s="150" t="s">
        <v>1058</v>
      </c>
      <c r="B266" s="150" t="s">
        <v>2000</v>
      </c>
      <c r="C266" s="150" t="s">
        <v>1884</v>
      </c>
      <c r="D266" s="151" t="str">
        <f>IF(MouserListTable[[#This Row],[Vendor]]=FilterSpecs!$A$8,MouserListTable[[#This Row],[Mouser SKU]], MouserListTable[[#This Row],[Supplier SKU]])</f>
        <v>485-1901</v>
      </c>
      <c r="E266" s="152">
        <f>MouserListTable[[#This Row],[Tot '#]]-MouserListTable[[#This Row],['# Initial]]</f>
        <v>0</v>
      </c>
      <c r="F266" s="152">
        <f>IF(AND(MouserListTable[[#This Row],[Tag]]&lt;&gt;FilterSpecs!$F$12, MouserListTable[[#This Row],[Tag]]&lt;&gt;FilterSpecs!$F$9), MouserListTable[[#This Row],['#/Unit]]*FilterSpecs!$B$3+MouserListTable[[#This Row],[Extra Initial]],0)</f>
        <v>0</v>
      </c>
      <c r="G266" s="150"/>
      <c r="H266" s="150"/>
      <c r="I266" s="150" t="s">
        <v>2329</v>
      </c>
      <c r="J266" s="153"/>
      <c r="K266" s="118">
        <v>14.95</v>
      </c>
      <c r="L266" s="97" t="s">
        <v>1896</v>
      </c>
      <c r="M266" s="153"/>
      <c r="N266" s="154">
        <f>MouserListTable[[#This Row],['# Initial]]*MouserListTable[[#This Row],[Price (USD)]]</f>
        <v>0</v>
      </c>
      <c r="O266" s="151" t="s">
        <v>2328</v>
      </c>
      <c r="P266" s="150">
        <f t="shared" si="4"/>
        <v>253</v>
      </c>
      <c r="Q266" s="150" t="s">
        <v>1884</v>
      </c>
      <c r="R26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485-1901</v>
      </c>
      <c r="S266" s="157" t="str">
        <f>HYPERLINK("https://www.mouser.com/ProductDetail/" &amp;MouserListTable[[#This Row],[Mouser SKU]])</f>
        <v>https://www.mouser.com/ProductDetail/485-1901</v>
      </c>
      <c r="T266" s="152">
        <v>0</v>
      </c>
      <c r="U266" s="152">
        <v>0</v>
      </c>
      <c r="V266" s="152">
        <v>0</v>
      </c>
      <c r="W266" s="152">
        <f>MouserListTable[[#This Row],['#/Unit]]*FilterSpecs!$C$3+MouserListTable[[#This Row],[Extra]]</f>
        <v>0</v>
      </c>
      <c r="X266" s="152">
        <f>IF(MouserListTable[[#This Row],[Tag]]=FilterSpecs!$F$7,MouserListTable[[#This Row],['#/Unit]]*MouserListTable[[#This Row],[Price (USD)]],0)</f>
        <v>0</v>
      </c>
      <c r="Y266" s="152">
        <f>MouserListTable[[#This Row],[Tot '#]]*MouserListTable[[#This Row],[Price (USD)]]</f>
        <v>0</v>
      </c>
    </row>
    <row r="267" spans="1:25" x14ac:dyDescent="0.25">
      <c r="A267" s="150" t="s">
        <v>1038</v>
      </c>
      <c r="B267" s="150" t="s">
        <v>1057</v>
      </c>
      <c r="C267" s="150" t="s">
        <v>5</v>
      </c>
      <c r="D267" s="151" t="str">
        <f>IF(MouserListTable[[#This Row],[Vendor]]=FilterSpecs!$A$8,MouserListTable[[#This Row],[Mouser SKU]], MouserListTable[[#This Row],[Supplier SKU]])</f>
        <v>474-DEV-14135</v>
      </c>
      <c r="E267" s="152">
        <f>MouserListTable[[#This Row],[Tot '#]]-MouserListTable[[#This Row],['# Initial]]</f>
        <v>1</v>
      </c>
      <c r="F267" s="152">
        <f>IF(AND(MouserListTable[[#This Row],[Tag]]&lt;&gt;FilterSpecs!$F$12, MouserListTable[[#This Row],[Tag]]&lt;&gt;FilterSpecs!$F$9), MouserListTable[[#This Row],['#/Unit]]*FilterSpecs!$B$3+MouserListTable[[#This Row],[Extra Initial]],0)</f>
        <v>0</v>
      </c>
      <c r="G267" s="150" t="s">
        <v>353</v>
      </c>
      <c r="H267" s="150" t="s">
        <v>354</v>
      </c>
      <c r="I267" s="150" t="s">
        <v>355</v>
      </c>
      <c r="J267" s="150">
        <v>1</v>
      </c>
      <c r="K267" s="154">
        <v>94.95</v>
      </c>
      <c r="L267" s="150" t="s">
        <v>2461</v>
      </c>
      <c r="M267" s="150" t="s">
        <v>1043</v>
      </c>
      <c r="N267" s="154">
        <f>MouserListTable[[#This Row],['# Initial]]*MouserListTable[[#This Row],[Price (USD)]]</f>
        <v>0</v>
      </c>
      <c r="O267" s="151" t="s">
        <v>352</v>
      </c>
      <c r="P267" s="150">
        <f t="shared" si="4"/>
        <v>254</v>
      </c>
      <c r="Q267" s="150" t="s">
        <v>5</v>
      </c>
      <c r="R26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474-DEV-14135</v>
      </c>
      <c r="S267" s="157" t="str">
        <f>HYPERLINK("https://www.mouser.com/ProductDetail/" &amp;MouserListTable[[#This Row],[Mouser SKU]])</f>
        <v>https://www.mouser.com/ProductDetail/474-DEV-14135</v>
      </c>
      <c r="T267" s="152">
        <v>0</v>
      </c>
      <c r="U267" s="152">
        <v>1</v>
      </c>
      <c r="V267" s="152">
        <v>0</v>
      </c>
      <c r="W267" s="152">
        <f>MouserListTable[[#This Row],['#/Unit]]*FilterSpecs!$C$3+MouserListTable[[#This Row],[Extra]]</f>
        <v>1</v>
      </c>
      <c r="X267" s="152">
        <f>IF(MouserListTable[[#This Row],[Tag]]=FilterSpecs!$F$7,MouserListTable[[#This Row],['#/Unit]]*MouserListTable[[#This Row],[Price (USD)]],0)</f>
        <v>0</v>
      </c>
      <c r="Y267" s="152">
        <f>MouserListTable[[#This Row],[Tot '#]]*MouserListTable[[#This Row],[Price (USD)]]</f>
        <v>94.95</v>
      </c>
    </row>
    <row r="268" spans="1:25" x14ac:dyDescent="0.25">
      <c r="A268" s="150" t="s">
        <v>1038</v>
      </c>
      <c r="B268" s="150" t="s">
        <v>1396</v>
      </c>
      <c r="C268" s="150" t="s">
        <v>5</v>
      </c>
      <c r="D268" s="151" t="str">
        <f>IF(MouserListTable[[#This Row],[Vendor]]=FilterSpecs!$A$8,MouserListTable[[#This Row],[Mouser SKU]], MouserListTable[[#This Row],[Supplier SKU]])</f>
        <v>474-DEV-14162</v>
      </c>
      <c r="E268" s="152">
        <f>MouserListTable[[#This Row],[Tot '#]]-MouserListTable[[#This Row],['# Initial]]</f>
        <v>1</v>
      </c>
      <c r="F268" s="152">
        <f>IF(AND(MouserListTable[[#This Row],[Tag]]&lt;&gt;FilterSpecs!$F$12, MouserListTable[[#This Row],[Tag]]&lt;&gt;FilterSpecs!$F$9), MouserListTable[[#This Row],['#/Unit]]*FilterSpecs!$B$3+MouserListTable[[#This Row],[Extra Initial]],0)</f>
        <v>0</v>
      </c>
      <c r="G268" s="150" t="s">
        <v>1318</v>
      </c>
      <c r="H268" s="150" t="s">
        <v>1319</v>
      </c>
      <c r="I268" s="150" t="s">
        <v>1320</v>
      </c>
      <c r="J268" s="150">
        <v>1</v>
      </c>
      <c r="K268" s="154">
        <v>69.95</v>
      </c>
      <c r="L268" s="150" t="s">
        <v>1900</v>
      </c>
      <c r="M268" s="150" t="s">
        <v>1337</v>
      </c>
      <c r="N268" s="154">
        <f>MouserListTable[[#This Row],['# Initial]]*MouserListTable[[#This Row],[Price (USD)]]</f>
        <v>0</v>
      </c>
      <c r="O268" s="151" t="s">
        <v>1317</v>
      </c>
      <c r="P268" s="150">
        <f t="shared" si="4"/>
        <v>255</v>
      </c>
      <c r="Q268" s="150" t="s">
        <v>5</v>
      </c>
      <c r="R26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474-DEV-14162</v>
      </c>
      <c r="S268" s="157" t="str">
        <f>HYPERLINK("https://www.mouser.com/ProductDetail/" &amp;MouserListTable[[#This Row],[Mouser SKU]])</f>
        <v>https://www.mouser.com/ProductDetail/474-DEV-14162</v>
      </c>
      <c r="T268" s="152">
        <v>0</v>
      </c>
      <c r="U268" s="152">
        <v>1</v>
      </c>
      <c r="V268" s="152">
        <v>0</v>
      </c>
      <c r="W268" s="152">
        <f>MouserListTable[[#This Row],['#/Unit]]*FilterSpecs!$C$3+MouserListTable[[#This Row],[Extra]]</f>
        <v>1</v>
      </c>
      <c r="X268" s="152">
        <f>IF(MouserListTable[[#This Row],[Tag]]=FilterSpecs!$F$7,MouserListTable[[#This Row],['#/Unit]]*MouserListTable[[#This Row],[Price (USD)]],0)</f>
        <v>0</v>
      </c>
      <c r="Y268" s="152">
        <f>MouserListTable[[#This Row],[Tot '#]]*MouserListTable[[#This Row],[Price (USD)]]</f>
        <v>69.95</v>
      </c>
    </row>
    <row r="269" spans="1:25" x14ac:dyDescent="0.25">
      <c r="A269" s="97" t="s">
        <v>1038</v>
      </c>
      <c r="B269" s="97" t="s">
        <v>1396</v>
      </c>
      <c r="C269" s="150" t="s">
        <v>5</v>
      </c>
      <c r="D269" s="151" t="str">
        <f>IF(MouserListTable[[#This Row],[Vendor]]=FilterSpecs!$A$8,MouserListTable[[#This Row],[Mouser SKU]], MouserListTable[[#This Row],[Supplier SKU]])</f>
        <v>474-DEV-12774</v>
      </c>
      <c r="E269" s="152">
        <f>MouserListTable[[#This Row],[Tot '#]]-MouserListTable[[#This Row],['# Initial]]</f>
        <v>0</v>
      </c>
      <c r="F269" s="152">
        <f>IF(AND(MouserListTable[[#This Row],[Tag]]&lt;&gt;FilterSpecs!$F$12, MouserListTable[[#This Row],[Tag]]&lt;&gt;FilterSpecs!$F$9), MouserListTable[[#This Row],['#/Unit]]*FilterSpecs!$B$3+MouserListTable[[#This Row],[Extra Initial]],0)</f>
        <v>0</v>
      </c>
      <c r="G269" s="150" t="s">
        <v>1306</v>
      </c>
      <c r="H269" s="150" t="s">
        <v>1307</v>
      </c>
      <c r="I269" s="150" t="s">
        <v>1308</v>
      </c>
      <c r="J269" s="150"/>
      <c r="K269" s="154">
        <v>9.9499999999999993</v>
      </c>
      <c r="L269" s="150" t="s">
        <v>1900</v>
      </c>
      <c r="M269" s="150" t="s">
        <v>1337</v>
      </c>
      <c r="N269" s="154">
        <f>MouserListTable[[#This Row],['# Initial]]*MouserListTable[[#This Row],[Price (USD)]]</f>
        <v>0</v>
      </c>
      <c r="O269" s="151" t="s">
        <v>1305</v>
      </c>
      <c r="P269" s="150">
        <f t="shared" si="4"/>
        <v>256</v>
      </c>
      <c r="Q269" s="150" t="s">
        <v>5</v>
      </c>
      <c r="R26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474-DEV-12774</v>
      </c>
      <c r="S269" s="157" t="str">
        <f>HYPERLINK("https://www.mouser.com/ProductDetail/" &amp;MouserListTable[[#This Row],[Mouser SKU]])</f>
        <v>https://www.mouser.com/ProductDetail/474-DEV-12774</v>
      </c>
      <c r="T269" s="152">
        <v>0</v>
      </c>
      <c r="U269" s="152">
        <v>0</v>
      </c>
      <c r="V269" s="152">
        <v>0</v>
      </c>
      <c r="W269" s="152">
        <f>MouserListTable[[#This Row],['#/Unit]]*FilterSpecs!$C$3+MouserListTable[[#This Row],[Extra]]</f>
        <v>0</v>
      </c>
      <c r="X269" s="152">
        <f>IF(MouserListTable[[#This Row],[Tag]]=FilterSpecs!$F$7,MouserListTable[[#This Row],['#/Unit]]*MouserListTable[[#This Row],[Price (USD)]],0)</f>
        <v>0</v>
      </c>
      <c r="Y269" s="152">
        <f>MouserListTable[[#This Row],[Tot '#]]*MouserListTable[[#This Row],[Price (USD)]]</f>
        <v>0</v>
      </c>
    </row>
    <row r="270" spans="1:25" x14ac:dyDescent="0.25">
      <c r="A270" s="97" t="s">
        <v>1038</v>
      </c>
      <c r="B270" s="97" t="s">
        <v>1396</v>
      </c>
      <c r="C270" s="150" t="s">
        <v>5</v>
      </c>
      <c r="D270" s="151" t="str">
        <f>IF(MouserListTable[[#This Row],[Vendor]]=FilterSpecs!$A$8,MouserListTable[[#This Row],[Mouser SKU]], MouserListTable[[#This Row],[Supplier SKU]])</f>
        <v>474-DEV-12086</v>
      </c>
      <c r="E270" s="152">
        <f>MouserListTable[[#This Row],[Tot '#]]-MouserListTable[[#This Row],['# Initial]]</f>
        <v>0</v>
      </c>
      <c r="F270" s="152">
        <f>IF(AND(MouserListTable[[#This Row],[Tag]]&lt;&gt;FilterSpecs!$F$12, MouserListTable[[#This Row],[Tag]]&lt;&gt;FilterSpecs!$F$9), MouserListTable[[#This Row],['#/Unit]]*FilterSpecs!$B$3+MouserListTable[[#This Row],[Extra Initial]],0)</f>
        <v>0</v>
      </c>
      <c r="G270" s="150" t="s">
        <v>1310</v>
      </c>
      <c r="H270" s="150" t="s">
        <v>1311</v>
      </c>
      <c r="I270" s="150" t="s">
        <v>1312</v>
      </c>
      <c r="J270" s="150">
        <v>1</v>
      </c>
      <c r="K270" s="154">
        <v>99.95</v>
      </c>
      <c r="L270" s="150" t="s">
        <v>1900</v>
      </c>
      <c r="M270" s="150" t="s">
        <v>1337</v>
      </c>
      <c r="N270" s="154">
        <f>MouserListTable[[#This Row],['# Initial]]*MouserListTable[[#This Row],[Price (USD)]]</f>
        <v>0</v>
      </c>
      <c r="O270" s="151" t="s">
        <v>1309</v>
      </c>
      <c r="P270" s="150">
        <f t="shared" ref="P270:P333" si="5">IF($P269="List #",1,$P269+1)</f>
        <v>257</v>
      </c>
      <c r="Q270" s="150" t="s">
        <v>5</v>
      </c>
      <c r="R27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474-DEV-12086</v>
      </c>
      <c r="S270" s="157" t="str">
        <f>HYPERLINK("https://www.mouser.com/ProductDetail/" &amp;MouserListTable[[#This Row],[Mouser SKU]])</f>
        <v>https://www.mouser.com/ProductDetail/474-DEV-12086</v>
      </c>
      <c r="T270" s="152">
        <v>0</v>
      </c>
      <c r="U270" s="152">
        <v>0</v>
      </c>
      <c r="V270" s="152">
        <v>0</v>
      </c>
      <c r="W270" s="152">
        <f>MouserListTable[[#This Row],['#/Unit]]*FilterSpecs!$C$3+MouserListTable[[#This Row],[Extra]]</f>
        <v>0</v>
      </c>
      <c r="X270" s="152">
        <f>IF(MouserListTable[[#This Row],[Tag]]=FilterSpecs!$F$7,MouserListTable[[#This Row],['#/Unit]]*MouserListTable[[#This Row],[Price (USD)]],0)</f>
        <v>0</v>
      </c>
      <c r="Y270" s="152">
        <f>MouserListTable[[#This Row],[Tot '#]]*MouserListTable[[#This Row],[Price (USD)]]</f>
        <v>0</v>
      </c>
    </row>
    <row r="271" spans="1:25" x14ac:dyDescent="0.25">
      <c r="A271" s="97" t="s">
        <v>1038</v>
      </c>
      <c r="B271" s="97" t="s">
        <v>1396</v>
      </c>
      <c r="C271" s="150" t="s">
        <v>5</v>
      </c>
      <c r="D271" s="151" t="str">
        <f>IF(MouserListTable[[#This Row],[Vendor]]=FilterSpecs!$A$8,MouserListTable[[#This Row],[Mouser SKU]], MouserListTable[[#This Row],[Supplier SKU]])</f>
        <v>474-DEV-12085</v>
      </c>
      <c r="E271" s="152">
        <f>MouserListTable[[#This Row],[Tot '#]]-MouserListTable[[#This Row],['# Initial]]</f>
        <v>0</v>
      </c>
      <c r="F271" s="152">
        <f>IF(AND(MouserListTable[[#This Row],[Tag]]&lt;&gt;FilterSpecs!$F$12, MouserListTable[[#This Row],[Tag]]&lt;&gt;FilterSpecs!$F$9), MouserListTable[[#This Row],['#/Unit]]*FilterSpecs!$B$3+MouserListTable[[#This Row],[Extra Initial]],0)</f>
        <v>0</v>
      </c>
      <c r="G271" s="150" t="s">
        <v>1314</v>
      </c>
      <c r="H271" s="150" t="s">
        <v>1315</v>
      </c>
      <c r="I271" s="150" t="s">
        <v>1316</v>
      </c>
      <c r="J271" s="150">
        <v>1</v>
      </c>
      <c r="K271" s="154">
        <v>65.95</v>
      </c>
      <c r="L271" s="150" t="s">
        <v>1900</v>
      </c>
      <c r="M271" s="150" t="s">
        <v>1337</v>
      </c>
      <c r="N271" s="154">
        <f>MouserListTable[[#This Row],['# Initial]]*MouserListTable[[#This Row],[Price (USD)]]</f>
        <v>0</v>
      </c>
      <c r="O271" s="151" t="s">
        <v>1313</v>
      </c>
      <c r="P271" s="150">
        <f t="shared" si="5"/>
        <v>258</v>
      </c>
      <c r="Q271" s="150" t="s">
        <v>5</v>
      </c>
      <c r="R27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474-DEV-12085</v>
      </c>
      <c r="S271" s="157" t="str">
        <f>HYPERLINK("https://www.mouser.com/ProductDetail/" &amp;MouserListTable[[#This Row],[Mouser SKU]])</f>
        <v>https://www.mouser.com/ProductDetail/474-DEV-12085</v>
      </c>
      <c r="T271" s="152">
        <v>0</v>
      </c>
      <c r="U271" s="152">
        <v>0</v>
      </c>
      <c r="V271" s="152">
        <v>0</v>
      </c>
      <c r="W271" s="152">
        <f>MouserListTable[[#This Row],['#/Unit]]*FilterSpecs!$C$3+MouserListTable[[#This Row],[Extra]]</f>
        <v>0</v>
      </c>
      <c r="X271" s="152">
        <f>IF(MouserListTable[[#This Row],[Tag]]=FilterSpecs!$F$7,MouserListTable[[#This Row],['#/Unit]]*MouserListTable[[#This Row],[Price (USD)]],0)</f>
        <v>0</v>
      </c>
      <c r="Y271" s="152">
        <f>MouserListTable[[#This Row],[Tot '#]]*MouserListTable[[#This Row],[Price (USD)]]</f>
        <v>0</v>
      </c>
    </row>
    <row r="272" spans="1:25" x14ac:dyDescent="0.25">
      <c r="A272" s="97" t="s">
        <v>1038</v>
      </c>
      <c r="B272" s="97" t="s">
        <v>1396</v>
      </c>
      <c r="C272" s="150" t="s">
        <v>5</v>
      </c>
      <c r="D272" s="151" t="str">
        <f>IF(MouserListTable[[#This Row],[Vendor]]=FilterSpecs!$A$8,MouserListTable[[#This Row],[Mouser SKU]], MouserListTable[[#This Row],[Supplier SKU]])</f>
        <v>474-PRT-12842</v>
      </c>
      <c r="E272" s="152">
        <f>MouserListTable[[#This Row],[Tot '#]]-MouserListTable[[#This Row],['# Initial]]</f>
        <v>0</v>
      </c>
      <c r="F272" s="152">
        <f>IF(AND(MouserListTable[[#This Row],[Tag]]&lt;&gt;FilterSpecs!$F$12, MouserListTable[[#This Row],[Tag]]&lt;&gt;FilterSpecs!$F$9), MouserListTable[[#This Row],['#/Unit]]*FilterSpecs!$B$3+MouserListTable[[#This Row],[Extra Initial]],0)</f>
        <v>0</v>
      </c>
      <c r="G272" s="150" t="s">
        <v>1302</v>
      </c>
      <c r="H272" s="150" t="s">
        <v>1303</v>
      </c>
      <c r="I272" s="150" t="s">
        <v>1304</v>
      </c>
      <c r="J272" s="150"/>
      <c r="K272" s="154">
        <v>7.95</v>
      </c>
      <c r="L272" s="150" t="s">
        <v>1900</v>
      </c>
      <c r="M272" s="150" t="s">
        <v>1337</v>
      </c>
      <c r="N272" s="154">
        <f>MouserListTable[[#This Row],['# Initial]]*MouserListTable[[#This Row],[Price (USD)]]</f>
        <v>0</v>
      </c>
      <c r="O272" s="151" t="s">
        <v>1301</v>
      </c>
      <c r="P272" s="150">
        <f t="shared" si="5"/>
        <v>259</v>
      </c>
      <c r="Q272" s="150" t="s">
        <v>5</v>
      </c>
      <c r="R27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474-PRT-12842</v>
      </c>
      <c r="S272" s="157" t="str">
        <f>HYPERLINK("https://www.mouser.com/ProductDetail/" &amp;MouserListTable[[#This Row],[Mouser SKU]])</f>
        <v>https://www.mouser.com/ProductDetail/474-PRT-12842</v>
      </c>
      <c r="T272" s="152">
        <v>0</v>
      </c>
      <c r="U272" s="152">
        <v>0</v>
      </c>
      <c r="V272" s="152">
        <v>0</v>
      </c>
      <c r="W272" s="152">
        <f>MouserListTable[[#This Row],['#/Unit]]*FilterSpecs!$C$3+MouserListTable[[#This Row],[Extra]]</f>
        <v>0</v>
      </c>
      <c r="X272" s="152">
        <f>IF(MouserListTable[[#This Row],[Tag]]=FilterSpecs!$F$7,MouserListTable[[#This Row],['#/Unit]]*MouserListTable[[#This Row],[Price (USD)]],0)</f>
        <v>0</v>
      </c>
      <c r="Y272" s="152">
        <f>MouserListTable[[#This Row],[Tot '#]]*MouserListTable[[#This Row],[Price (USD)]]</f>
        <v>0</v>
      </c>
    </row>
    <row r="273" spans="1:25" x14ac:dyDescent="0.25">
      <c r="A273" s="150" t="s">
        <v>1038</v>
      </c>
      <c r="B273" s="150" t="s">
        <v>1396</v>
      </c>
      <c r="C273" s="150" t="s">
        <v>1884</v>
      </c>
      <c r="D273" s="151" t="str">
        <f>IF(MouserListTable[[#This Row],[Vendor]]=FilterSpecs!$A$8,MouserListTable[[#This Row],[Mouser SKU]], MouserListTable[[#This Row],[Supplier SKU]])</f>
        <v>485-3396</v>
      </c>
      <c r="E273" s="152">
        <f>MouserListTable[[#This Row],[Tot '#]]-MouserListTable[[#This Row],['# Initial]]</f>
        <v>1</v>
      </c>
      <c r="F273" s="152">
        <f>IF(AND(MouserListTable[[#This Row],[Tag]]&lt;&gt;FilterSpecs!$F$12, MouserListTable[[#This Row],[Tag]]&lt;&gt;FilterSpecs!$F$9), MouserListTable[[#This Row],['#/Unit]]*FilterSpecs!$B$3+MouserListTable[[#This Row],[Extra Initial]],0)</f>
        <v>0</v>
      </c>
      <c r="G273" s="150"/>
      <c r="H273" s="150"/>
      <c r="I273" s="150" t="s">
        <v>2351</v>
      </c>
      <c r="J273" s="153"/>
      <c r="K273" s="154">
        <v>49.95</v>
      </c>
      <c r="L273" s="150" t="s">
        <v>1900</v>
      </c>
      <c r="M273" s="151"/>
      <c r="N273" s="154">
        <f>MouserListTable[[#This Row],['# Initial]]*MouserListTable[[#This Row],[Price (USD)]]</f>
        <v>0</v>
      </c>
      <c r="O273" s="151" t="s">
        <v>2350</v>
      </c>
      <c r="P273" s="150">
        <f t="shared" si="5"/>
        <v>260</v>
      </c>
      <c r="Q273" s="150" t="s">
        <v>1884</v>
      </c>
      <c r="R27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485-3396</v>
      </c>
      <c r="S273" s="157" t="str">
        <f>HYPERLINK("https://www.mouser.com/ProductDetail/" &amp;MouserListTable[[#This Row],[Mouser SKU]])</f>
        <v>https://www.mouser.com/ProductDetail/485-3396</v>
      </c>
      <c r="T273" s="152">
        <v>0</v>
      </c>
      <c r="U273" s="152">
        <v>1</v>
      </c>
      <c r="V273" s="152">
        <v>0</v>
      </c>
      <c r="W273" s="152">
        <f>MouserListTable[[#This Row],['#/Unit]]*FilterSpecs!$C$3+MouserListTable[[#This Row],[Extra]]</f>
        <v>1</v>
      </c>
      <c r="X273" s="152">
        <f>IF(MouserListTable[[#This Row],[Tag]]=FilterSpecs!$F$7,MouserListTable[[#This Row],['#/Unit]]*MouserListTable[[#This Row],[Price (USD)]],0)</f>
        <v>0</v>
      </c>
      <c r="Y273" s="152">
        <f>MouserListTable[[#This Row],[Tot '#]]*MouserListTable[[#This Row],[Price (USD)]]</f>
        <v>49.95</v>
      </c>
    </row>
    <row r="274" spans="1:25" x14ac:dyDescent="0.25">
      <c r="A274" s="150" t="s">
        <v>1038</v>
      </c>
      <c r="B274" s="150" t="s">
        <v>1396</v>
      </c>
      <c r="C274" s="150" t="s">
        <v>1884</v>
      </c>
      <c r="D274" s="151" t="str">
        <f>IF(MouserListTable[[#This Row],[Vendor]]=FilterSpecs!$A$8,MouserListTable[[#This Row],[Mouser SKU]], MouserListTable[[#This Row],[Supplier SKU]])</f>
        <v>485-1555</v>
      </c>
      <c r="E274" s="152">
        <f>MouserListTable[[#This Row],[Tot '#]]-MouserListTable[[#This Row],['# Initial]]</f>
        <v>0</v>
      </c>
      <c r="F274" s="152">
        <f>IF(AND(MouserListTable[[#This Row],[Tag]]&lt;&gt;FilterSpecs!$F$12, MouserListTable[[#This Row],[Tag]]&lt;&gt;FilterSpecs!$F$9), MouserListTable[[#This Row],['#/Unit]]*FilterSpecs!$B$3+MouserListTable[[#This Row],[Extra Initial]],0)</f>
        <v>0</v>
      </c>
      <c r="G274" s="150"/>
      <c r="H274" s="150"/>
      <c r="I274" s="150" t="s">
        <v>2353</v>
      </c>
      <c r="J274" s="153"/>
      <c r="K274" s="118">
        <v>9.9499999999999993</v>
      </c>
      <c r="L274" s="97" t="s">
        <v>1900</v>
      </c>
      <c r="M274" s="153"/>
      <c r="N274" s="154">
        <f>MouserListTable[[#This Row],['# Initial]]*MouserListTable[[#This Row],[Price (USD)]]</f>
        <v>0</v>
      </c>
      <c r="O274" s="151" t="s">
        <v>2352</v>
      </c>
      <c r="P274" s="150">
        <f t="shared" si="5"/>
        <v>261</v>
      </c>
      <c r="Q274" s="150" t="s">
        <v>1884</v>
      </c>
      <c r="R27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485-1555</v>
      </c>
      <c r="S274" s="157" t="str">
        <f>HYPERLINK("https://www.mouser.com/ProductDetail/" &amp;MouserListTable[[#This Row],[Mouser SKU]])</f>
        <v>https://www.mouser.com/ProductDetail/485-1555</v>
      </c>
      <c r="T274" s="152">
        <v>0</v>
      </c>
      <c r="U274" s="152">
        <v>0</v>
      </c>
      <c r="V274" s="152">
        <v>0</v>
      </c>
      <c r="W274" s="152">
        <f>MouserListTable[[#This Row],['#/Unit]]*FilterSpecs!$C$3+MouserListTable[[#This Row],[Extra]]</f>
        <v>0</v>
      </c>
      <c r="X274" s="152">
        <f>IF(MouserListTable[[#This Row],[Tag]]=FilterSpecs!$F$7,MouserListTable[[#This Row],['#/Unit]]*MouserListTable[[#This Row],[Price (USD)]],0)</f>
        <v>0</v>
      </c>
      <c r="Y274" s="152">
        <f>MouserListTable[[#This Row],[Tot '#]]*MouserListTable[[#This Row],[Price (USD)]]</f>
        <v>0</v>
      </c>
    </row>
    <row r="275" spans="1:25" x14ac:dyDescent="0.25">
      <c r="A275" s="150" t="s">
        <v>1038</v>
      </c>
      <c r="B275" s="150" t="s">
        <v>1396</v>
      </c>
      <c r="C275" s="150" t="s">
        <v>1884</v>
      </c>
      <c r="D275" s="151" t="str">
        <f>IF(MouserListTable[[#This Row],[Vendor]]=FilterSpecs!$A$8,MouserListTable[[#This Row],[Mouser SKU]], MouserListTable[[#This Row],[Supplier SKU]])</f>
        <v>485-699</v>
      </c>
      <c r="E275" s="152">
        <f>MouserListTable[[#This Row],[Tot '#]]-MouserListTable[[#This Row],['# Initial]]</f>
        <v>0</v>
      </c>
      <c r="F275" s="152">
        <f>IF(AND(MouserListTable[[#This Row],[Tag]]&lt;&gt;FilterSpecs!$F$12, MouserListTable[[#This Row],[Tag]]&lt;&gt;FilterSpecs!$F$9), MouserListTable[[#This Row],['#/Unit]]*FilterSpecs!$B$3+MouserListTable[[#This Row],[Extra Initial]],0)</f>
        <v>0</v>
      </c>
      <c r="G275" s="150"/>
      <c r="H275" s="150"/>
      <c r="I275" s="150" t="s">
        <v>2355</v>
      </c>
      <c r="J275" s="153"/>
      <c r="K275" s="118">
        <v>19.95</v>
      </c>
      <c r="L275" s="97" t="s">
        <v>1900</v>
      </c>
      <c r="M275" s="153"/>
      <c r="N275" s="154">
        <f>MouserListTable[[#This Row],['# Initial]]*MouserListTable[[#This Row],[Price (USD)]]</f>
        <v>0</v>
      </c>
      <c r="O275" s="151" t="s">
        <v>2354</v>
      </c>
      <c r="P275" s="150">
        <f t="shared" si="5"/>
        <v>262</v>
      </c>
      <c r="Q275" s="150" t="s">
        <v>1884</v>
      </c>
      <c r="R27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485-699</v>
      </c>
      <c r="S275" s="157" t="str">
        <f>HYPERLINK("https://www.mouser.com/ProductDetail/" &amp;MouserListTable[[#This Row],[Mouser SKU]])</f>
        <v>https://www.mouser.com/ProductDetail/485-699</v>
      </c>
      <c r="T275" s="152">
        <v>0</v>
      </c>
      <c r="U275" s="152">
        <v>0</v>
      </c>
      <c r="V275" s="152">
        <v>0</v>
      </c>
      <c r="W275" s="152">
        <f>MouserListTable[[#This Row],['#/Unit]]*FilterSpecs!$C$3+MouserListTable[[#This Row],[Extra]]</f>
        <v>0</v>
      </c>
      <c r="X275" s="152">
        <f>IF(MouserListTable[[#This Row],[Tag]]=FilterSpecs!$F$7,MouserListTable[[#This Row],['#/Unit]]*MouserListTable[[#This Row],[Price (USD)]],0)</f>
        <v>0</v>
      </c>
      <c r="Y275" s="152">
        <f>MouserListTable[[#This Row],[Tot '#]]*MouserListTable[[#This Row],[Price (USD)]]</f>
        <v>0</v>
      </c>
    </row>
    <row r="276" spans="1:25" x14ac:dyDescent="0.25">
      <c r="A276" s="150" t="s">
        <v>1038</v>
      </c>
      <c r="B276" s="150" t="s">
        <v>1396</v>
      </c>
      <c r="C276" s="150" t="s">
        <v>1884</v>
      </c>
      <c r="D276" s="151" t="str">
        <f>IF(MouserListTable[[#This Row],[Vendor]]=FilterSpecs!$A$8,MouserListTable[[#This Row],[Mouser SKU]], MouserListTable[[#This Row],[Supplier SKU]])</f>
        <v>485-572</v>
      </c>
      <c r="E276" s="152">
        <f>MouserListTable[[#This Row],[Tot '#]]-MouserListTable[[#This Row],['# Initial]]</f>
        <v>1</v>
      </c>
      <c r="F276" s="152">
        <f>IF(AND(MouserListTable[[#This Row],[Tag]]&lt;&gt;FilterSpecs!$F$12, MouserListTable[[#This Row],[Tag]]&lt;&gt;FilterSpecs!$F$9), MouserListTable[[#This Row],['#/Unit]]*FilterSpecs!$B$3+MouserListTable[[#This Row],[Extra Initial]],0)</f>
        <v>0</v>
      </c>
      <c r="G276" s="150"/>
      <c r="H276" s="150"/>
      <c r="I276" s="150" t="s">
        <v>2357</v>
      </c>
      <c r="J276" s="153"/>
      <c r="K276" s="154">
        <v>9.9499999999999993</v>
      </c>
      <c r="L276" s="150" t="s">
        <v>1900</v>
      </c>
      <c r="M276" s="151"/>
      <c r="N276" s="154">
        <f>MouserListTable[[#This Row],['# Initial]]*MouserListTable[[#This Row],[Price (USD)]]</f>
        <v>0</v>
      </c>
      <c r="O276" s="151" t="s">
        <v>2356</v>
      </c>
      <c r="P276" s="150">
        <f t="shared" si="5"/>
        <v>263</v>
      </c>
      <c r="Q276" s="150" t="s">
        <v>1884</v>
      </c>
      <c r="R27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485-572</v>
      </c>
      <c r="S276" s="157" t="str">
        <f>HYPERLINK("https://www.mouser.com/ProductDetail/" &amp;MouserListTable[[#This Row],[Mouser SKU]])</f>
        <v>https://www.mouser.com/ProductDetail/485-572</v>
      </c>
      <c r="T276" s="152">
        <v>0</v>
      </c>
      <c r="U276" s="152">
        <v>1</v>
      </c>
      <c r="V276" s="152">
        <v>0</v>
      </c>
      <c r="W276" s="152">
        <f>MouserListTable[[#This Row],['#/Unit]]*FilterSpecs!$C$3+MouserListTable[[#This Row],[Extra]]</f>
        <v>1</v>
      </c>
      <c r="X276" s="152">
        <f>IF(MouserListTable[[#This Row],[Tag]]=FilterSpecs!$F$7,MouserListTable[[#This Row],['#/Unit]]*MouserListTable[[#This Row],[Price (USD)]],0)</f>
        <v>0</v>
      </c>
      <c r="Y276" s="152">
        <f>MouserListTable[[#This Row],[Tot '#]]*MouserListTable[[#This Row],[Price (USD)]]</f>
        <v>9.9499999999999993</v>
      </c>
    </row>
    <row r="277" spans="1:25" x14ac:dyDescent="0.25">
      <c r="A277" s="150" t="s">
        <v>1038</v>
      </c>
      <c r="B277" s="150" t="s">
        <v>1396</v>
      </c>
      <c r="C277" s="150" t="s">
        <v>1884</v>
      </c>
      <c r="D277" s="151" t="str">
        <f>IF(MouserListTable[[#This Row],[Vendor]]=FilterSpecs!$A$8,MouserListTable[[#This Row],[Mouser SKU]], MouserListTable[[#This Row],[Supplier SKU]])</f>
        <v>485-702</v>
      </c>
      <c r="E277" s="152">
        <f>MouserListTable[[#This Row],[Tot '#]]-MouserListTable[[#This Row],['# Initial]]</f>
        <v>0</v>
      </c>
      <c r="F277" s="152">
        <f>IF(AND(MouserListTable[[#This Row],[Tag]]&lt;&gt;FilterSpecs!$F$12, MouserListTable[[#This Row],[Tag]]&lt;&gt;FilterSpecs!$F$9), MouserListTable[[#This Row],['#/Unit]]*FilterSpecs!$B$3+MouserListTable[[#This Row],[Extra Initial]],0)</f>
        <v>0</v>
      </c>
      <c r="G277" s="150"/>
      <c r="H277" s="150"/>
      <c r="I277" s="150" t="s">
        <v>2359</v>
      </c>
      <c r="J277" s="153"/>
      <c r="K277" s="118">
        <v>7.95</v>
      </c>
      <c r="L277" s="97" t="s">
        <v>1900</v>
      </c>
      <c r="M277" s="153"/>
      <c r="N277" s="154">
        <f>MouserListTable[[#This Row],['# Initial]]*MouserListTable[[#This Row],[Price (USD)]]</f>
        <v>0</v>
      </c>
      <c r="O277" s="151" t="s">
        <v>2358</v>
      </c>
      <c r="P277" s="150">
        <f t="shared" si="5"/>
        <v>264</v>
      </c>
      <c r="Q277" s="150" t="s">
        <v>1884</v>
      </c>
      <c r="R27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485-702</v>
      </c>
      <c r="S277" s="157" t="str">
        <f>HYPERLINK("https://www.mouser.com/ProductDetail/" &amp;MouserListTable[[#This Row],[Mouser SKU]])</f>
        <v>https://www.mouser.com/ProductDetail/485-702</v>
      </c>
      <c r="T277" s="152">
        <v>0</v>
      </c>
      <c r="U277" s="152">
        <v>0</v>
      </c>
      <c r="V277" s="152">
        <v>0</v>
      </c>
      <c r="W277" s="152">
        <f>MouserListTable[[#This Row],['#/Unit]]*FilterSpecs!$C$3+MouserListTable[[#This Row],[Extra]]</f>
        <v>0</v>
      </c>
      <c r="X277" s="152">
        <f>IF(MouserListTable[[#This Row],[Tag]]=FilterSpecs!$F$7,MouserListTable[[#This Row],['#/Unit]]*MouserListTable[[#This Row],[Price (USD)]],0)</f>
        <v>0</v>
      </c>
      <c r="Y277" s="152">
        <f>MouserListTable[[#This Row],[Tot '#]]*MouserListTable[[#This Row],[Price (USD)]]</f>
        <v>0</v>
      </c>
    </row>
    <row r="278" spans="1:25" x14ac:dyDescent="0.25">
      <c r="A278" s="150" t="s">
        <v>1038</v>
      </c>
      <c r="B278" s="150" t="s">
        <v>1396</v>
      </c>
      <c r="C278" s="150" t="s">
        <v>1884</v>
      </c>
      <c r="D278" s="151" t="str">
        <f>IF(MouserListTable[[#This Row],[Vendor]]=FilterSpecs!$A$8,MouserListTable[[#This Row],[Mouser SKU]], MouserListTable[[#This Row],[Supplier SKU]])</f>
        <v>485-2627</v>
      </c>
      <c r="E278" s="152">
        <f>MouserListTable[[#This Row],[Tot '#]]-MouserListTable[[#This Row],['# Initial]]</f>
        <v>1</v>
      </c>
      <c r="F278" s="152">
        <f>IF(AND(MouserListTable[[#This Row],[Tag]]&lt;&gt;FilterSpecs!$F$12, MouserListTable[[#This Row],[Tag]]&lt;&gt;FilterSpecs!$F$9), MouserListTable[[#This Row],['#/Unit]]*FilterSpecs!$B$3+MouserListTable[[#This Row],[Extra Initial]],0)</f>
        <v>0</v>
      </c>
      <c r="G278" s="150"/>
      <c r="H278" s="150"/>
      <c r="I278" s="150" t="s">
        <v>2361</v>
      </c>
      <c r="J278" s="153"/>
      <c r="K278" s="154">
        <v>39.950000000000003</v>
      </c>
      <c r="L278" s="150" t="s">
        <v>1900</v>
      </c>
      <c r="M278" s="151"/>
      <c r="N278" s="154">
        <f>MouserListTable[[#This Row],['# Initial]]*MouserListTable[[#This Row],[Price (USD)]]</f>
        <v>0</v>
      </c>
      <c r="O278" s="151" t="s">
        <v>2360</v>
      </c>
      <c r="P278" s="150">
        <f t="shared" si="5"/>
        <v>265</v>
      </c>
      <c r="Q278" s="150" t="s">
        <v>1884</v>
      </c>
      <c r="R27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485-2627</v>
      </c>
      <c r="S278" s="157" t="str">
        <f>HYPERLINK("https://www.mouser.com/ProductDetail/" &amp;MouserListTable[[#This Row],[Mouser SKU]])</f>
        <v>https://www.mouser.com/ProductDetail/485-2627</v>
      </c>
      <c r="T278" s="152">
        <v>0</v>
      </c>
      <c r="U278" s="152">
        <v>1</v>
      </c>
      <c r="V278" s="152">
        <v>0</v>
      </c>
      <c r="W278" s="152">
        <f>MouserListTable[[#This Row],['#/Unit]]*FilterSpecs!$C$3+MouserListTable[[#This Row],[Extra]]</f>
        <v>1</v>
      </c>
      <c r="X278" s="152">
        <f>IF(MouserListTable[[#This Row],[Tag]]=FilterSpecs!$F$7,MouserListTable[[#This Row],['#/Unit]]*MouserListTable[[#This Row],[Price (USD)]],0)</f>
        <v>0</v>
      </c>
      <c r="Y278" s="152">
        <f>MouserListTable[[#This Row],[Tot '#]]*MouserListTable[[#This Row],[Price (USD)]]</f>
        <v>39.950000000000003</v>
      </c>
    </row>
    <row r="279" spans="1:25" x14ac:dyDescent="0.25">
      <c r="A279" s="150" t="s">
        <v>1038</v>
      </c>
      <c r="B279" s="150" t="s">
        <v>1396</v>
      </c>
      <c r="C279" s="150" t="s">
        <v>1884</v>
      </c>
      <c r="D279" s="151" t="str">
        <f>IF(MouserListTable[[#This Row],[Vendor]]=FilterSpecs!$A$8,MouserListTable[[#This Row],[Mouser SKU]], MouserListTable[[#This Row],[Supplier SKU]])</f>
        <v>485-2628</v>
      </c>
      <c r="E279" s="152">
        <f>MouserListTable[[#This Row],[Tot '#]]-MouserListTable[[#This Row],['# Initial]]</f>
        <v>0</v>
      </c>
      <c r="F279" s="152">
        <f>IF(AND(MouserListTable[[#This Row],[Tag]]&lt;&gt;FilterSpecs!$F$12, MouserListTable[[#This Row],[Tag]]&lt;&gt;FilterSpecs!$F$9), MouserListTable[[#This Row],['#/Unit]]*FilterSpecs!$B$3+MouserListTable[[#This Row],[Extra Initial]],0)</f>
        <v>0</v>
      </c>
      <c r="G279" s="150"/>
      <c r="H279" s="150"/>
      <c r="I279" s="150" t="s">
        <v>2363</v>
      </c>
      <c r="J279" s="153"/>
      <c r="K279" s="118">
        <v>39.950000000000003</v>
      </c>
      <c r="L279" s="97" t="s">
        <v>1900</v>
      </c>
      <c r="M279" s="153"/>
      <c r="N279" s="154">
        <f>MouserListTable[[#This Row],['# Initial]]*MouserListTable[[#This Row],[Price (USD)]]</f>
        <v>0</v>
      </c>
      <c r="O279" s="151" t="s">
        <v>2362</v>
      </c>
      <c r="P279" s="150">
        <f t="shared" si="5"/>
        <v>266</v>
      </c>
      <c r="Q279" s="150" t="s">
        <v>1884</v>
      </c>
      <c r="R27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485-2628</v>
      </c>
      <c r="S279" s="157" t="str">
        <f>HYPERLINK("https://www.mouser.com/ProductDetail/" &amp;MouserListTable[[#This Row],[Mouser SKU]])</f>
        <v>https://www.mouser.com/ProductDetail/485-2628</v>
      </c>
      <c r="T279" s="152">
        <v>0</v>
      </c>
      <c r="U279" s="152">
        <v>0</v>
      </c>
      <c r="V279" s="152">
        <v>0</v>
      </c>
      <c r="W279" s="152">
        <f>MouserListTable[[#This Row],['#/Unit]]*FilterSpecs!$C$3+MouserListTable[[#This Row],[Extra]]</f>
        <v>0</v>
      </c>
      <c r="X279" s="152">
        <f>IF(MouserListTable[[#This Row],[Tag]]=FilterSpecs!$F$7,MouserListTable[[#This Row],['#/Unit]]*MouserListTable[[#This Row],[Price (USD)]],0)</f>
        <v>0</v>
      </c>
      <c r="Y279" s="152">
        <f>MouserListTable[[#This Row],[Tot '#]]*MouserListTable[[#This Row],[Price (USD)]]</f>
        <v>0</v>
      </c>
    </row>
    <row r="280" spans="1:25" x14ac:dyDescent="0.25">
      <c r="A280" s="150" t="s">
        <v>1038</v>
      </c>
      <c r="B280" s="150" t="s">
        <v>1396</v>
      </c>
      <c r="C280" s="150" t="s">
        <v>1884</v>
      </c>
      <c r="D280" s="151" t="str">
        <f>IF(MouserListTable[[#This Row],[Vendor]]=FilterSpecs!$A$8,MouserListTable[[#This Row],[Mouser SKU]], MouserListTable[[#This Row],[Supplier SKU]])</f>
        <v>485-1810</v>
      </c>
      <c r="E280" s="152">
        <f>MouserListTable[[#This Row],[Tot '#]]-MouserListTable[[#This Row],['# Initial]]</f>
        <v>0</v>
      </c>
      <c r="F280" s="152">
        <f>IF(AND(MouserListTable[[#This Row],[Tag]]&lt;&gt;FilterSpecs!$F$12, MouserListTable[[#This Row],[Tag]]&lt;&gt;FilterSpecs!$F$9), MouserListTable[[#This Row],['#/Unit]]*FilterSpecs!$B$3+MouserListTable[[#This Row],[Extra Initial]],0)</f>
        <v>0</v>
      </c>
      <c r="G280" s="150"/>
      <c r="H280" s="150"/>
      <c r="I280" s="150" t="s">
        <v>2365</v>
      </c>
      <c r="J280" s="153"/>
      <c r="K280" s="118">
        <v>49.95</v>
      </c>
      <c r="L280" s="97" t="s">
        <v>1900</v>
      </c>
      <c r="M280" s="153"/>
      <c r="N280" s="154">
        <f>MouserListTable[[#This Row],['# Initial]]*MouserListTable[[#This Row],[Price (USD)]]</f>
        <v>0</v>
      </c>
      <c r="O280" s="151" t="s">
        <v>2364</v>
      </c>
      <c r="P280" s="150">
        <f t="shared" si="5"/>
        <v>267</v>
      </c>
      <c r="Q280" s="150" t="s">
        <v>1884</v>
      </c>
      <c r="R28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485-1810</v>
      </c>
      <c r="S280" s="157" t="str">
        <f>HYPERLINK("https://www.mouser.com/ProductDetail/" &amp;MouserListTable[[#This Row],[Mouser SKU]])</f>
        <v>https://www.mouser.com/ProductDetail/485-1810</v>
      </c>
      <c r="T280" s="152">
        <v>0</v>
      </c>
      <c r="U280" s="152">
        <v>0</v>
      </c>
      <c r="V280" s="152">
        <v>0</v>
      </c>
      <c r="W280" s="152">
        <f>MouserListTable[[#This Row],['#/Unit]]*FilterSpecs!$C$3+MouserListTable[[#This Row],[Extra]]</f>
        <v>0</v>
      </c>
      <c r="X280" s="152">
        <f>IF(MouserListTable[[#This Row],[Tag]]=FilterSpecs!$F$7,MouserListTable[[#This Row],['#/Unit]]*MouserListTable[[#This Row],[Price (USD)]],0)</f>
        <v>0</v>
      </c>
      <c r="Y280" s="152">
        <f>MouserListTable[[#This Row],[Tot '#]]*MouserListTable[[#This Row],[Price (USD)]]</f>
        <v>0</v>
      </c>
    </row>
    <row r="281" spans="1:25" x14ac:dyDescent="0.25">
      <c r="A281" s="150" t="s">
        <v>1038</v>
      </c>
      <c r="B281" s="150" t="s">
        <v>1034</v>
      </c>
      <c r="C281" s="150" t="s">
        <v>5</v>
      </c>
      <c r="D281" s="151" t="str">
        <f>IF(MouserListTable[[#This Row],[Vendor]]=FilterSpecs!$A$8,MouserListTable[[#This Row],[Mouser SKU]], MouserListTable[[#This Row],[Supplier SKU]])</f>
        <v>474-DEV-09564</v>
      </c>
      <c r="E281" s="152">
        <f>MouserListTable[[#This Row],[Tot '#]]-MouserListTable[[#This Row],['# Initial]]</f>
        <v>1</v>
      </c>
      <c r="F281" s="152">
        <f>IF(AND(MouserListTable[[#This Row],[Tag]]&lt;&gt;FilterSpecs!$F$12, MouserListTable[[#This Row],[Tag]]&lt;&gt;FilterSpecs!$F$9), MouserListTable[[#This Row],['#/Unit]]*FilterSpecs!$B$3+MouserListTable[[#This Row],[Extra Initial]],0)</f>
        <v>0</v>
      </c>
      <c r="G281" s="150" t="s">
        <v>334</v>
      </c>
      <c r="H281" s="150" t="s">
        <v>335</v>
      </c>
      <c r="I281" s="150" t="s">
        <v>336</v>
      </c>
      <c r="J281" s="150">
        <v>1</v>
      </c>
      <c r="K281" s="154">
        <v>54.95</v>
      </c>
      <c r="L281" s="150" t="s">
        <v>1900</v>
      </c>
      <c r="M281" s="150" t="s">
        <v>1037</v>
      </c>
      <c r="N281" s="154">
        <f>MouserListTable[[#This Row],['# Initial]]*MouserListTable[[#This Row],[Price (USD)]]</f>
        <v>0</v>
      </c>
      <c r="O281" s="151" t="s">
        <v>333</v>
      </c>
      <c r="P281" s="150">
        <f t="shared" si="5"/>
        <v>268</v>
      </c>
      <c r="Q281" s="150" t="s">
        <v>5</v>
      </c>
      <c r="R28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474-DEV-09564</v>
      </c>
      <c r="S281" s="157" t="str">
        <f>HYPERLINK("https://www.mouser.com/ProductDetail/" &amp;MouserListTable[[#This Row],[Mouser SKU]])</f>
        <v>https://www.mouser.com/ProductDetail/474-DEV-09564</v>
      </c>
      <c r="T281" s="152">
        <v>0</v>
      </c>
      <c r="U281" s="152">
        <v>1</v>
      </c>
      <c r="V281" s="152">
        <v>0</v>
      </c>
      <c r="W281" s="152">
        <f>MouserListTable[[#This Row],['#/Unit]]*FilterSpecs!$C$3+MouserListTable[[#This Row],[Extra]]</f>
        <v>1</v>
      </c>
      <c r="X281" s="152">
        <f>IF(MouserListTable[[#This Row],[Tag]]=FilterSpecs!$F$7,MouserListTable[[#This Row],['#/Unit]]*MouserListTable[[#This Row],[Price (USD)]],0)</f>
        <v>0</v>
      </c>
      <c r="Y281" s="152">
        <f>MouserListTable[[#This Row],[Tot '#]]*MouserListTable[[#This Row],[Price (USD)]]</f>
        <v>54.95</v>
      </c>
    </row>
    <row r="282" spans="1:25" x14ac:dyDescent="0.25">
      <c r="A282" s="97" t="s">
        <v>1038</v>
      </c>
      <c r="B282" s="97" t="s">
        <v>1034</v>
      </c>
      <c r="C282" s="150" t="s">
        <v>5</v>
      </c>
      <c r="D282" s="151" t="str">
        <f>IF(MouserListTable[[#This Row],[Vendor]]=FilterSpecs!$A$8,MouserListTable[[#This Row],[Mouser SKU]], MouserListTable[[#This Row],[Supplier SKU]])</f>
        <v>474-DEV-11695</v>
      </c>
      <c r="E282" s="152">
        <f>MouserListTable[[#This Row],[Tot '#]]-MouserListTable[[#This Row],['# Initial]]</f>
        <v>0</v>
      </c>
      <c r="F282" s="152">
        <f>IF(AND(MouserListTable[[#This Row],[Tag]]&lt;&gt;FilterSpecs!$F$12, MouserListTable[[#This Row],[Tag]]&lt;&gt;FilterSpecs!$F$9), MouserListTable[[#This Row],['#/Unit]]*FilterSpecs!$B$3+MouserListTable[[#This Row],[Extra Initial]],0)</f>
        <v>0</v>
      </c>
      <c r="G282" s="150" t="s">
        <v>330</v>
      </c>
      <c r="H282" s="150" t="s">
        <v>331</v>
      </c>
      <c r="I282" s="150" t="s">
        <v>332</v>
      </c>
      <c r="J282" s="150"/>
      <c r="K282" s="154">
        <v>59.95</v>
      </c>
      <c r="L282" s="150" t="s">
        <v>1899</v>
      </c>
      <c r="M282" s="150" t="s">
        <v>1037</v>
      </c>
      <c r="N282" s="154">
        <f>MouserListTable[[#This Row],['# Initial]]*MouserListTable[[#This Row],[Price (USD)]]</f>
        <v>0</v>
      </c>
      <c r="O282" s="151" t="s">
        <v>329</v>
      </c>
      <c r="P282" s="150">
        <f t="shared" si="5"/>
        <v>269</v>
      </c>
      <c r="Q282" s="150" t="s">
        <v>5</v>
      </c>
      <c r="R28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474-DEV-11695</v>
      </c>
      <c r="S282" s="157" t="str">
        <f>HYPERLINK("https://www.mouser.com/ProductDetail/" &amp;MouserListTable[[#This Row],[Mouser SKU]])</f>
        <v>https://www.mouser.com/ProductDetail/474-DEV-11695</v>
      </c>
      <c r="T282" s="152">
        <v>0</v>
      </c>
      <c r="U282" s="152">
        <v>0</v>
      </c>
      <c r="V282" s="152">
        <v>0</v>
      </c>
      <c r="W282" s="152">
        <f>MouserListTable[[#This Row],['#/Unit]]*FilterSpecs!$C$3+MouserListTable[[#This Row],[Extra]]</f>
        <v>0</v>
      </c>
      <c r="X282" s="152">
        <f>IF(MouserListTable[[#This Row],[Tag]]=FilterSpecs!$F$7,MouserListTable[[#This Row],['#/Unit]]*MouserListTable[[#This Row],[Price (USD)]],0)</f>
        <v>0</v>
      </c>
      <c r="Y282" s="152">
        <f>MouserListTable[[#This Row],[Tot '#]]*MouserListTable[[#This Row],[Price (USD)]]</f>
        <v>0</v>
      </c>
    </row>
    <row r="283" spans="1:25" x14ac:dyDescent="0.25">
      <c r="A283" s="150" t="s">
        <v>1038</v>
      </c>
      <c r="B283" s="150" t="s">
        <v>1035</v>
      </c>
      <c r="C283" s="150" t="s">
        <v>5</v>
      </c>
      <c r="D283" s="151" t="str">
        <f>IF(MouserListTable[[#This Row],[Vendor]]=FilterSpecs!$A$8,MouserListTable[[#This Row],[Mouser SKU]], MouserListTable[[#This Row],[Supplier SKU]])</f>
        <v>474-DEV-13097</v>
      </c>
      <c r="E283" s="152">
        <f>MouserListTable[[#This Row],[Tot '#]]-MouserListTable[[#This Row],['# Initial]]</f>
        <v>1</v>
      </c>
      <c r="F283" s="152">
        <f>IF(AND(MouserListTable[[#This Row],[Tag]]&lt;&gt;FilterSpecs!$F$12, MouserListTable[[#This Row],[Tag]]&lt;&gt;FilterSpecs!$F$9), MouserListTable[[#This Row],['#/Unit]]*FilterSpecs!$B$3+MouserListTable[[#This Row],[Extra Initial]],0)</f>
        <v>0</v>
      </c>
      <c r="G283" s="150" t="s">
        <v>294</v>
      </c>
      <c r="H283" s="150" t="s">
        <v>295</v>
      </c>
      <c r="I283" s="150" t="s">
        <v>296</v>
      </c>
      <c r="J283" s="150">
        <v>1</v>
      </c>
      <c r="K283" s="154">
        <v>99.95</v>
      </c>
      <c r="L283" s="150" t="s">
        <v>1900</v>
      </c>
      <c r="M283" s="150" t="s">
        <v>1042</v>
      </c>
      <c r="N283" s="154">
        <f>MouserListTable[[#This Row],['# Initial]]*MouserListTable[[#This Row],[Price (USD)]]</f>
        <v>0</v>
      </c>
      <c r="O283" s="151" t="s">
        <v>293</v>
      </c>
      <c r="P283" s="150">
        <f t="shared" si="5"/>
        <v>270</v>
      </c>
      <c r="Q283" s="150" t="s">
        <v>5</v>
      </c>
      <c r="R28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474-DEV-13097</v>
      </c>
      <c r="S283" s="157" t="str">
        <f>HYPERLINK("https://www.mouser.com/ProductDetail/" &amp;MouserListTable[[#This Row],[Mouser SKU]])</f>
        <v>https://www.mouser.com/ProductDetail/474-DEV-13097</v>
      </c>
      <c r="T283" s="152">
        <v>0</v>
      </c>
      <c r="U283" s="152">
        <v>1</v>
      </c>
      <c r="V283" s="152">
        <v>0</v>
      </c>
      <c r="W283" s="152">
        <f>MouserListTable[[#This Row],['#/Unit]]*FilterSpecs!$C$3+MouserListTable[[#This Row],[Extra]]</f>
        <v>1</v>
      </c>
      <c r="X283" s="152">
        <f>IF(MouserListTable[[#This Row],[Tag]]=FilterSpecs!$F$7,MouserListTable[[#This Row],['#/Unit]]*MouserListTable[[#This Row],[Price (USD)]],0)</f>
        <v>0</v>
      </c>
      <c r="Y283" s="152">
        <f>MouserListTable[[#This Row],[Tot '#]]*MouserListTable[[#This Row],[Price (USD)]]</f>
        <v>99.95</v>
      </c>
    </row>
    <row r="284" spans="1:25" x14ac:dyDescent="0.25">
      <c r="A284" s="150" t="s">
        <v>1038</v>
      </c>
      <c r="B284" s="150" t="s">
        <v>1035</v>
      </c>
      <c r="C284" s="150" t="s">
        <v>5</v>
      </c>
      <c r="D284" s="151" t="str">
        <f>IF(MouserListTable[[#This Row],[Vendor]]=FilterSpecs!$A$8,MouserListTable[[#This Row],[Mouser SKU]], MouserListTable[[#This Row],[Supplier SKU]])</f>
        <v>474-DEV-13045</v>
      </c>
      <c r="E284" s="152">
        <f>MouserListTable[[#This Row],[Tot '#]]-MouserListTable[[#This Row],['# Initial]]</f>
        <v>1</v>
      </c>
      <c r="F284" s="152">
        <f>IF(AND(MouserListTable[[#This Row],[Tag]]&lt;&gt;FilterSpecs!$F$12, MouserListTable[[#This Row],[Tag]]&lt;&gt;FilterSpecs!$F$9), MouserListTable[[#This Row],['#/Unit]]*FilterSpecs!$B$3+MouserListTable[[#This Row],[Extra Initial]],0)</f>
        <v>0</v>
      </c>
      <c r="G284" s="150" t="s">
        <v>314</v>
      </c>
      <c r="H284" s="150" t="s">
        <v>315</v>
      </c>
      <c r="I284" s="150" t="s">
        <v>316</v>
      </c>
      <c r="J284" s="150">
        <v>1</v>
      </c>
      <c r="K284" s="154">
        <v>19.95</v>
      </c>
      <c r="L284" s="150" t="s">
        <v>1900</v>
      </c>
      <c r="M284" s="150" t="s">
        <v>1042</v>
      </c>
      <c r="N284" s="154">
        <f>MouserListTable[[#This Row],['# Initial]]*MouserListTable[[#This Row],[Price (USD)]]</f>
        <v>0</v>
      </c>
      <c r="O284" s="151" t="s">
        <v>313</v>
      </c>
      <c r="P284" s="150">
        <f t="shared" si="5"/>
        <v>271</v>
      </c>
      <c r="Q284" s="150" t="s">
        <v>5</v>
      </c>
      <c r="R28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474-DEV-13045</v>
      </c>
      <c r="S284" s="157" t="str">
        <f>HYPERLINK("https://www.mouser.com/ProductDetail/" &amp;MouserListTable[[#This Row],[Mouser SKU]])</f>
        <v>https://www.mouser.com/ProductDetail/474-DEV-13045</v>
      </c>
      <c r="T284" s="152">
        <v>0</v>
      </c>
      <c r="U284" s="152">
        <v>1</v>
      </c>
      <c r="V284" s="152">
        <v>0</v>
      </c>
      <c r="W284" s="152">
        <f>MouserListTable[[#This Row],['#/Unit]]*FilterSpecs!$C$3+MouserListTable[[#This Row],[Extra]]</f>
        <v>1</v>
      </c>
      <c r="X284" s="152">
        <f>IF(MouserListTable[[#This Row],[Tag]]=FilterSpecs!$F$7,MouserListTable[[#This Row],['#/Unit]]*MouserListTable[[#This Row],[Price (USD)]],0)</f>
        <v>0</v>
      </c>
      <c r="Y284" s="152">
        <f>MouserListTable[[#This Row],[Tot '#]]*MouserListTable[[#This Row],[Price (USD)]]</f>
        <v>19.95</v>
      </c>
    </row>
    <row r="285" spans="1:25" x14ac:dyDescent="0.25">
      <c r="A285" s="150" t="s">
        <v>1038</v>
      </c>
      <c r="B285" s="150" t="s">
        <v>1035</v>
      </c>
      <c r="C285" s="150" t="s">
        <v>5</v>
      </c>
      <c r="D285" s="151" t="str">
        <f>IF(MouserListTable[[#This Row],[Vendor]]=FilterSpecs!$A$8,MouserListTable[[#This Row],[Mouser SKU]], MouserListTable[[#This Row],[Supplier SKU]])</f>
        <v>474-DEV-13038</v>
      </c>
      <c r="E285" s="152">
        <f>MouserListTable[[#This Row],[Tot '#]]-MouserListTable[[#This Row],['# Initial]]</f>
        <v>1</v>
      </c>
      <c r="F285" s="152">
        <f>IF(AND(MouserListTable[[#This Row],[Tag]]&lt;&gt;FilterSpecs!$F$12, MouserListTable[[#This Row],[Tag]]&lt;&gt;FilterSpecs!$F$9), MouserListTable[[#This Row],['#/Unit]]*FilterSpecs!$B$3+MouserListTable[[#This Row],[Extra Initial]],0)</f>
        <v>0</v>
      </c>
      <c r="G285" s="150" t="s">
        <v>302</v>
      </c>
      <c r="H285" s="150" t="s">
        <v>303</v>
      </c>
      <c r="I285" s="150" t="s">
        <v>304</v>
      </c>
      <c r="J285" s="150">
        <v>1</v>
      </c>
      <c r="K285" s="154">
        <v>9.9499999999999993</v>
      </c>
      <c r="L285" s="150" t="s">
        <v>1900</v>
      </c>
      <c r="M285" s="150" t="s">
        <v>1042</v>
      </c>
      <c r="N285" s="154">
        <f>MouserListTable[[#This Row],['# Initial]]*MouserListTable[[#This Row],[Price (USD)]]</f>
        <v>0</v>
      </c>
      <c r="O285" s="151" t="s">
        <v>301</v>
      </c>
      <c r="P285" s="150">
        <f t="shared" si="5"/>
        <v>272</v>
      </c>
      <c r="Q285" s="150" t="s">
        <v>5</v>
      </c>
      <c r="R28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474-DEV-13038</v>
      </c>
      <c r="S285" s="157" t="str">
        <f>HYPERLINK("https://www.mouser.com/ProductDetail/" &amp;MouserListTable[[#This Row],[Mouser SKU]])</f>
        <v>https://www.mouser.com/ProductDetail/474-DEV-13038</v>
      </c>
      <c r="T285" s="152">
        <v>0</v>
      </c>
      <c r="U285" s="152">
        <v>1</v>
      </c>
      <c r="V285" s="152">
        <v>0</v>
      </c>
      <c r="W285" s="152">
        <f>MouserListTable[[#This Row],['#/Unit]]*FilterSpecs!$C$3+MouserListTable[[#This Row],[Extra]]</f>
        <v>1</v>
      </c>
      <c r="X285" s="152">
        <f>IF(MouserListTable[[#This Row],[Tag]]=FilterSpecs!$F$7,MouserListTable[[#This Row],['#/Unit]]*MouserListTable[[#This Row],[Price (USD)]],0)</f>
        <v>0</v>
      </c>
      <c r="Y285" s="152">
        <f>MouserListTable[[#This Row],[Tot '#]]*MouserListTable[[#This Row],[Price (USD)]]</f>
        <v>9.9499999999999993</v>
      </c>
    </row>
    <row r="286" spans="1:25" x14ac:dyDescent="0.25">
      <c r="A286" s="150" t="s">
        <v>1038</v>
      </c>
      <c r="B286" s="150" t="s">
        <v>1035</v>
      </c>
      <c r="C286" s="150" t="s">
        <v>5</v>
      </c>
      <c r="D286" s="151" t="str">
        <f>IF(MouserListTable[[#This Row],[Vendor]]=FilterSpecs!$A$8,MouserListTable[[#This Row],[Mouser SKU]], MouserListTable[[#This Row],[Supplier SKU]])</f>
        <v>474-DEV-13034</v>
      </c>
      <c r="E286" s="152">
        <f>MouserListTable[[#This Row],[Tot '#]]-MouserListTable[[#This Row],['# Initial]]</f>
        <v>1</v>
      </c>
      <c r="F286" s="152">
        <f>IF(AND(MouserListTable[[#This Row],[Tag]]&lt;&gt;FilterSpecs!$F$12, MouserListTable[[#This Row],[Tag]]&lt;&gt;FilterSpecs!$F$9), MouserListTable[[#This Row],['#/Unit]]*FilterSpecs!$B$3+MouserListTable[[#This Row],[Extra Initial]],0)</f>
        <v>0</v>
      </c>
      <c r="G286" s="150" t="s">
        <v>306</v>
      </c>
      <c r="H286" s="150" t="s">
        <v>307</v>
      </c>
      <c r="I286" s="150" t="s">
        <v>308</v>
      </c>
      <c r="J286" s="150">
        <v>1</v>
      </c>
      <c r="K286" s="154">
        <v>9.9499999999999993</v>
      </c>
      <c r="L286" s="150" t="s">
        <v>1900</v>
      </c>
      <c r="M286" s="150" t="s">
        <v>1042</v>
      </c>
      <c r="N286" s="154">
        <f>MouserListTable[[#This Row],['# Initial]]*MouserListTable[[#This Row],[Price (USD)]]</f>
        <v>0</v>
      </c>
      <c r="O286" s="151" t="s">
        <v>305</v>
      </c>
      <c r="P286" s="150">
        <f t="shared" si="5"/>
        <v>273</v>
      </c>
      <c r="Q286" s="150" t="s">
        <v>5</v>
      </c>
      <c r="R28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474-DEV-13034</v>
      </c>
      <c r="S286" s="157" t="str">
        <f>HYPERLINK("https://www.mouser.com/ProductDetail/" &amp;MouserListTable[[#This Row],[Mouser SKU]])</f>
        <v>https://www.mouser.com/ProductDetail/474-DEV-13034</v>
      </c>
      <c r="T286" s="152">
        <v>0</v>
      </c>
      <c r="U286" s="152">
        <v>1</v>
      </c>
      <c r="V286" s="152">
        <v>0</v>
      </c>
      <c r="W286" s="152">
        <f>MouserListTable[[#This Row],['#/Unit]]*FilterSpecs!$C$3+MouserListTable[[#This Row],[Extra]]</f>
        <v>1</v>
      </c>
      <c r="X286" s="152">
        <f>IF(MouserListTable[[#This Row],[Tag]]=FilterSpecs!$F$7,MouserListTable[[#This Row],['#/Unit]]*MouserListTable[[#This Row],[Price (USD)]],0)</f>
        <v>0</v>
      </c>
      <c r="Y286" s="152">
        <f>MouserListTable[[#This Row],[Tot '#]]*MouserListTable[[#This Row],[Price (USD)]]</f>
        <v>9.9499999999999993</v>
      </c>
    </row>
    <row r="287" spans="1:25" x14ac:dyDescent="0.25">
      <c r="A287" s="150" t="s">
        <v>1038</v>
      </c>
      <c r="B287" s="150" t="s">
        <v>1035</v>
      </c>
      <c r="C287" s="150" t="s">
        <v>5</v>
      </c>
      <c r="D287" s="151" t="str">
        <f>IF(MouserListTable[[#This Row],[Vendor]]=FilterSpecs!$A$8,MouserListTable[[#This Row],[Mouser SKU]], MouserListTable[[#This Row],[Supplier SKU]])</f>
        <v>474-DEV-13041</v>
      </c>
      <c r="E287" s="152">
        <f>MouserListTable[[#This Row],[Tot '#]]-MouserListTable[[#This Row],['# Initial]]</f>
        <v>1</v>
      </c>
      <c r="F287" s="152">
        <f>IF(AND(MouserListTable[[#This Row],[Tag]]&lt;&gt;FilterSpecs!$F$12, MouserListTable[[#This Row],[Tag]]&lt;&gt;FilterSpecs!$F$9), MouserListTable[[#This Row],['#/Unit]]*FilterSpecs!$B$3+MouserListTable[[#This Row],[Extra Initial]],0)</f>
        <v>0</v>
      </c>
      <c r="G287" s="150" t="s">
        <v>310</v>
      </c>
      <c r="H287" s="150" t="s">
        <v>311</v>
      </c>
      <c r="I287" s="150" t="s">
        <v>312</v>
      </c>
      <c r="J287" s="150">
        <v>1</v>
      </c>
      <c r="K287" s="154">
        <v>9.9499999999999993</v>
      </c>
      <c r="L287" s="150" t="s">
        <v>1900</v>
      </c>
      <c r="M287" s="150" t="s">
        <v>1042</v>
      </c>
      <c r="N287" s="154">
        <f>MouserListTable[[#This Row],['# Initial]]*MouserListTable[[#This Row],[Price (USD)]]</f>
        <v>0</v>
      </c>
      <c r="O287" s="151" t="s">
        <v>309</v>
      </c>
      <c r="P287" s="150">
        <f t="shared" si="5"/>
        <v>274</v>
      </c>
      <c r="Q287" s="150" t="s">
        <v>5</v>
      </c>
      <c r="R28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474-DEV-13041</v>
      </c>
      <c r="S287" s="157" t="str">
        <f>HYPERLINK("https://www.mouser.com/ProductDetail/" &amp;MouserListTable[[#This Row],[Mouser SKU]])</f>
        <v>https://www.mouser.com/ProductDetail/474-DEV-13041</v>
      </c>
      <c r="T287" s="152">
        <v>0</v>
      </c>
      <c r="U287" s="152">
        <v>1</v>
      </c>
      <c r="V287" s="152">
        <v>0</v>
      </c>
      <c r="W287" s="152">
        <f>MouserListTable[[#This Row],['#/Unit]]*FilterSpecs!$C$3+MouserListTable[[#This Row],[Extra]]</f>
        <v>1</v>
      </c>
      <c r="X287" s="152">
        <f>IF(MouserListTable[[#This Row],[Tag]]=FilterSpecs!$F$7,MouserListTable[[#This Row],['#/Unit]]*MouserListTable[[#This Row],[Price (USD)]],0)</f>
        <v>0</v>
      </c>
      <c r="Y287" s="152">
        <f>MouserListTable[[#This Row],[Tot '#]]*MouserListTable[[#This Row],[Price (USD)]]</f>
        <v>9.9499999999999993</v>
      </c>
    </row>
    <row r="288" spans="1:25" x14ac:dyDescent="0.25">
      <c r="A288" s="150" t="s">
        <v>1038</v>
      </c>
      <c r="B288" s="150" t="s">
        <v>1035</v>
      </c>
      <c r="C288" s="150" t="s">
        <v>5</v>
      </c>
      <c r="D288" s="151" t="str">
        <f>IF(MouserListTable[[#This Row],[Vendor]]=FilterSpecs!$A$8,MouserListTable[[#This Row],[Mouser SKU]], MouserListTable[[#This Row],[Supplier SKU]])</f>
        <v>474-DEV-13727</v>
      </c>
      <c r="E288" s="152">
        <f>MouserListTable[[#This Row],[Tot '#]]-MouserListTable[[#This Row],['# Initial]]</f>
        <v>1</v>
      </c>
      <c r="F288" s="152">
        <f>IF(AND(MouserListTable[[#This Row],[Tag]]&lt;&gt;FilterSpecs!$F$12, MouserListTable[[#This Row],[Tag]]&lt;&gt;FilterSpecs!$F$9), MouserListTable[[#This Row],['#/Unit]]*FilterSpecs!$B$3+MouserListTable[[#This Row],[Extra Initial]],0)</f>
        <v>0</v>
      </c>
      <c r="G288" s="150" t="s">
        <v>298</v>
      </c>
      <c r="H288" s="150" t="s">
        <v>299</v>
      </c>
      <c r="I288" s="150" t="s">
        <v>300</v>
      </c>
      <c r="J288" s="150">
        <v>1</v>
      </c>
      <c r="K288" s="154">
        <v>9.9499999999999993</v>
      </c>
      <c r="L288" s="150" t="s">
        <v>1900</v>
      </c>
      <c r="M288" s="150" t="s">
        <v>1042</v>
      </c>
      <c r="N288" s="154">
        <f>MouserListTable[[#This Row],['# Initial]]*MouserListTable[[#This Row],[Price (USD)]]</f>
        <v>0</v>
      </c>
      <c r="O288" s="151" t="s">
        <v>297</v>
      </c>
      <c r="P288" s="150">
        <f t="shared" si="5"/>
        <v>275</v>
      </c>
      <c r="Q288" s="150" t="s">
        <v>5</v>
      </c>
      <c r="R28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474-DEV-13727</v>
      </c>
      <c r="S288" s="157" t="str">
        <f>HYPERLINK("https://www.mouser.com/ProductDetail/" &amp;MouserListTable[[#This Row],[Mouser SKU]])</f>
        <v>https://www.mouser.com/ProductDetail/474-DEV-13727</v>
      </c>
      <c r="T288" s="152">
        <v>0</v>
      </c>
      <c r="U288" s="152">
        <v>1</v>
      </c>
      <c r="V288" s="152">
        <v>0</v>
      </c>
      <c r="W288" s="152">
        <f>MouserListTable[[#This Row],['#/Unit]]*FilterSpecs!$C$3+MouserListTable[[#This Row],[Extra]]</f>
        <v>1</v>
      </c>
      <c r="X288" s="152">
        <f>IF(MouserListTable[[#This Row],[Tag]]=FilterSpecs!$F$7,MouserListTable[[#This Row],['#/Unit]]*MouserListTable[[#This Row],[Price (USD)]],0)</f>
        <v>0</v>
      </c>
      <c r="Y288" s="152">
        <f>MouserListTable[[#This Row],[Tot '#]]*MouserListTable[[#This Row],[Price (USD)]]</f>
        <v>9.9499999999999993</v>
      </c>
    </row>
    <row r="289" spans="1:25" x14ac:dyDescent="0.25">
      <c r="A289" s="150" t="s">
        <v>1038</v>
      </c>
      <c r="B289" s="150" t="s">
        <v>1035</v>
      </c>
      <c r="C289" s="150" t="s">
        <v>5</v>
      </c>
      <c r="D289" s="151" t="str">
        <f>IF(MouserListTable[[#This Row],[Vendor]]=FilterSpecs!$A$8,MouserListTable[[#This Row],[Mouser SKU]], MouserListTable[[#This Row],[Supplier SKU]])</f>
        <v>474-DEV-13035</v>
      </c>
      <c r="E289" s="152">
        <f>MouserListTable[[#This Row],[Tot '#]]-MouserListTable[[#This Row],['# Initial]]</f>
        <v>1</v>
      </c>
      <c r="F289" s="152">
        <f>IF(AND(MouserListTable[[#This Row],[Tag]]&lt;&gt;FilterSpecs!$F$12, MouserListTable[[#This Row],[Tag]]&lt;&gt;FilterSpecs!$F$9), MouserListTable[[#This Row],['#/Unit]]*FilterSpecs!$B$3+MouserListTable[[#This Row],[Extra Initial]],0)</f>
        <v>0</v>
      </c>
      <c r="G289" s="150" t="s">
        <v>1117</v>
      </c>
      <c r="H289" s="150" t="s">
        <v>1118</v>
      </c>
      <c r="I289" s="150" t="s">
        <v>1119</v>
      </c>
      <c r="J289" s="150">
        <v>1</v>
      </c>
      <c r="K289" s="154">
        <v>14.95</v>
      </c>
      <c r="L289" s="150" t="s">
        <v>1900</v>
      </c>
      <c r="M289" s="150" t="s">
        <v>1042</v>
      </c>
      <c r="N289" s="154">
        <f>MouserListTable[[#This Row],['# Initial]]*MouserListTable[[#This Row],[Price (USD)]]</f>
        <v>0</v>
      </c>
      <c r="O289" s="151" t="s">
        <v>1116</v>
      </c>
      <c r="P289" s="150">
        <f t="shared" si="5"/>
        <v>276</v>
      </c>
      <c r="Q289" s="150" t="s">
        <v>5</v>
      </c>
      <c r="R28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474-DEV-13035</v>
      </c>
      <c r="S289" s="157" t="str">
        <f>HYPERLINK("https://www.mouser.com/ProductDetail/" &amp;MouserListTable[[#This Row],[Mouser SKU]])</f>
        <v>https://www.mouser.com/ProductDetail/474-DEV-13035</v>
      </c>
      <c r="T289" s="152">
        <v>0</v>
      </c>
      <c r="U289" s="152">
        <v>1</v>
      </c>
      <c r="V289" s="152">
        <v>0</v>
      </c>
      <c r="W289" s="152">
        <f>MouserListTable[[#This Row],['#/Unit]]*FilterSpecs!$C$3+MouserListTable[[#This Row],[Extra]]</f>
        <v>1</v>
      </c>
      <c r="X289" s="152">
        <f>IF(MouserListTable[[#This Row],[Tag]]=FilterSpecs!$F$7,MouserListTable[[#This Row],['#/Unit]]*MouserListTable[[#This Row],[Price (USD)]],0)</f>
        <v>0</v>
      </c>
      <c r="Y289" s="152">
        <f>MouserListTable[[#This Row],[Tot '#]]*MouserListTable[[#This Row],[Price (USD)]]</f>
        <v>14.95</v>
      </c>
    </row>
    <row r="290" spans="1:25" x14ac:dyDescent="0.25">
      <c r="A290" s="150" t="s">
        <v>1038</v>
      </c>
      <c r="B290" s="150" t="s">
        <v>1035</v>
      </c>
      <c r="C290" s="150" t="s">
        <v>5</v>
      </c>
      <c r="D290" s="151" t="str">
        <f>IF(MouserListTable[[#This Row],[Vendor]]=FilterSpecs!$A$8,MouserListTable[[#This Row],[Mouser SKU]], MouserListTable[[#This Row],[Supplier SKU]])</f>
        <v>474-DEV-13770</v>
      </c>
      <c r="E290" s="152">
        <f>MouserListTable[[#This Row],[Tot '#]]-MouserListTable[[#This Row],['# Initial]]</f>
        <v>1</v>
      </c>
      <c r="F290" s="152">
        <f>IF(AND(MouserListTable[[#This Row],[Tag]]&lt;&gt;FilterSpecs!$F$12, MouserListTable[[#This Row],[Tag]]&lt;&gt;FilterSpecs!$F$9), MouserListTable[[#This Row],['#/Unit]]*FilterSpecs!$B$3+MouserListTable[[#This Row],[Extra Initial]],0)</f>
        <v>0</v>
      </c>
      <c r="G290" s="150" t="s">
        <v>1137</v>
      </c>
      <c r="H290" s="150" t="s">
        <v>1138</v>
      </c>
      <c r="I290" s="150" t="s">
        <v>1139</v>
      </c>
      <c r="J290" s="150">
        <v>1</v>
      </c>
      <c r="K290" s="154">
        <v>9.9499999999999993</v>
      </c>
      <c r="L290" s="150" t="s">
        <v>1900</v>
      </c>
      <c r="M290" s="150" t="s">
        <v>1042</v>
      </c>
      <c r="N290" s="154">
        <f>MouserListTable[[#This Row],['# Initial]]*MouserListTable[[#This Row],[Price (USD)]]</f>
        <v>0</v>
      </c>
      <c r="O290" s="151" t="s">
        <v>1136</v>
      </c>
      <c r="P290" s="150">
        <f t="shared" si="5"/>
        <v>277</v>
      </c>
      <c r="Q290" s="150" t="s">
        <v>5</v>
      </c>
      <c r="R29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474-DEV-13770</v>
      </c>
      <c r="S290" s="157" t="str">
        <f>HYPERLINK("https://www.mouser.com/ProductDetail/" &amp;MouserListTable[[#This Row],[Mouser SKU]])</f>
        <v>https://www.mouser.com/ProductDetail/474-DEV-13770</v>
      </c>
      <c r="T290" s="152">
        <v>0</v>
      </c>
      <c r="U290" s="152">
        <v>1</v>
      </c>
      <c r="V290" s="152">
        <v>0</v>
      </c>
      <c r="W290" s="152">
        <f>MouserListTable[[#This Row],['#/Unit]]*FilterSpecs!$C$3+MouserListTable[[#This Row],[Extra]]</f>
        <v>1</v>
      </c>
      <c r="X290" s="152">
        <f>IF(MouserListTable[[#This Row],[Tag]]=FilterSpecs!$F$7,MouserListTable[[#This Row],['#/Unit]]*MouserListTable[[#This Row],[Price (USD)]],0)</f>
        <v>0</v>
      </c>
      <c r="Y290" s="152">
        <f>MouserListTable[[#This Row],[Tot '#]]*MouserListTable[[#This Row],[Price (USD)]]</f>
        <v>9.9499999999999993</v>
      </c>
    </row>
    <row r="291" spans="1:25" x14ac:dyDescent="0.25">
      <c r="A291" s="150" t="s">
        <v>1038</v>
      </c>
      <c r="B291" s="150" t="s">
        <v>1035</v>
      </c>
      <c r="C291" s="150" t="s">
        <v>5</v>
      </c>
      <c r="D291" s="151" t="str">
        <f>IF(MouserListTable[[#This Row],[Vendor]]=FilterSpecs!$A$8,MouserListTable[[#This Row],[Mouser SKU]], MouserListTable[[#This Row],[Supplier SKU]])</f>
        <v>474-COM-13187</v>
      </c>
      <c r="E291" s="152">
        <f>MouserListTable[[#This Row],[Tot '#]]-MouserListTable[[#This Row],['# Initial]]</f>
        <v>4</v>
      </c>
      <c r="F291" s="152">
        <f>IF(AND(MouserListTable[[#This Row],[Tag]]&lt;&gt;FilterSpecs!$F$12, MouserListTable[[#This Row],[Tag]]&lt;&gt;FilterSpecs!$F$9), MouserListTable[[#This Row],['#/Unit]]*FilterSpecs!$B$3+MouserListTable[[#This Row],[Extra Initial]],0)</f>
        <v>0</v>
      </c>
      <c r="G291" s="150" t="s">
        <v>793</v>
      </c>
      <c r="H291" s="150" t="s">
        <v>794</v>
      </c>
      <c r="I291" s="150" t="s">
        <v>795</v>
      </c>
      <c r="J291" s="150">
        <v>1</v>
      </c>
      <c r="K291" s="154">
        <v>2.95</v>
      </c>
      <c r="L291" s="150" t="s">
        <v>1900</v>
      </c>
      <c r="M291" s="150" t="s">
        <v>1042</v>
      </c>
      <c r="N291" s="154">
        <f>MouserListTable[[#This Row],['# Initial]]*MouserListTable[[#This Row],[Price (USD)]]</f>
        <v>0</v>
      </c>
      <c r="O291" s="151" t="s">
        <v>792</v>
      </c>
      <c r="P291" s="150">
        <f t="shared" si="5"/>
        <v>278</v>
      </c>
      <c r="Q291" s="150" t="s">
        <v>5</v>
      </c>
      <c r="R29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474-COM-13187</v>
      </c>
      <c r="S291" s="157" t="str">
        <f>HYPERLINK("https://www.mouser.com/ProductDetail/" &amp;MouserListTable[[#This Row],[Mouser SKU]])</f>
        <v>https://www.mouser.com/ProductDetail/474-COM-13187</v>
      </c>
      <c r="T291" s="152">
        <v>0</v>
      </c>
      <c r="U291" s="152">
        <v>4</v>
      </c>
      <c r="V291" s="152">
        <v>0</v>
      </c>
      <c r="W291" s="152">
        <f>MouserListTable[[#This Row],['#/Unit]]*FilterSpecs!$C$3+MouserListTable[[#This Row],[Extra]]</f>
        <v>4</v>
      </c>
      <c r="X291" s="152">
        <f>IF(MouserListTable[[#This Row],[Tag]]=FilterSpecs!$F$7,MouserListTable[[#This Row],['#/Unit]]*MouserListTable[[#This Row],[Price (USD)]],0)</f>
        <v>0</v>
      </c>
      <c r="Y291" s="152">
        <f>MouserListTable[[#This Row],[Tot '#]]*MouserListTable[[#This Row],[Price (USD)]]</f>
        <v>11.8</v>
      </c>
    </row>
    <row r="292" spans="1:25" ht="17.25" x14ac:dyDescent="0.25">
      <c r="A292" s="150" t="s">
        <v>1038</v>
      </c>
      <c r="B292" s="150" t="s">
        <v>2530</v>
      </c>
      <c r="C292" s="150" t="s">
        <v>5</v>
      </c>
      <c r="D292" s="151" t="str">
        <f>IF(MouserListTable[[#This Row],[Vendor]]=FilterSpecs!$A$8,MouserListTable[[#This Row],[Mouser SKU]], MouserListTable[[#This Row],[Supplier SKU]])</f>
        <v>474-DEV-14438</v>
      </c>
      <c r="E292" s="152">
        <f>MouserListTable[[#This Row],[Tot '#]]-MouserListTable[[#This Row],['# Initial]]</f>
        <v>1</v>
      </c>
      <c r="F292" s="152">
        <f>IF(AND(MouserListTable[[#This Row],[Tag]]&lt;&gt;FilterSpecs!$F$12, MouserListTable[[#This Row],[Tag]]&lt;&gt;FilterSpecs!$F$9), MouserListTable[[#This Row],['#/Unit]]*FilterSpecs!$B$3+MouserListTable[[#This Row],[Extra Initial]],0)</f>
        <v>0</v>
      </c>
      <c r="G292" s="150" t="s">
        <v>1161</v>
      </c>
      <c r="H292" s="150" t="s">
        <v>1162</v>
      </c>
      <c r="I292" s="150" t="s">
        <v>1163</v>
      </c>
      <c r="J292" s="150"/>
      <c r="K292" s="154">
        <v>20</v>
      </c>
      <c r="L292" s="150" t="s">
        <v>1900</v>
      </c>
      <c r="M292" s="116" t="s">
        <v>1040</v>
      </c>
      <c r="N292" s="154">
        <f>MouserListTable[[#This Row],['# Initial]]*MouserListTable[[#This Row],[Price (USD)]]</f>
        <v>0</v>
      </c>
      <c r="O292" s="151" t="s">
        <v>1160</v>
      </c>
      <c r="P292" s="150">
        <f t="shared" si="5"/>
        <v>279</v>
      </c>
      <c r="Q292" s="150" t="s">
        <v>5</v>
      </c>
      <c r="R29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474-DEV-14438</v>
      </c>
      <c r="S292" s="157" t="str">
        <f>HYPERLINK("https://www.mouser.com/ProductDetail/" &amp;MouserListTable[[#This Row],[Mouser SKU]])</f>
        <v>https://www.mouser.com/ProductDetail/474-DEV-14438</v>
      </c>
      <c r="T292" s="152">
        <v>0</v>
      </c>
      <c r="U292" s="152">
        <v>1</v>
      </c>
      <c r="V292" s="152">
        <v>0</v>
      </c>
      <c r="W292" s="152">
        <f>MouserListTable[[#This Row],['#/Unit]]*FilterSpecs!$C$3+MouserListTable[[#This Row],[Extra]]</f>
        <v>1</v>
      </c>
      <c r="X292" s="152">
        <f>IF(MouserListTable[[#This Row],[Tag]]=FilterSpecs!$F$7,MouserListTable[[#This Row],['#/Unit]]*MouserListTable[[#This Row],[Price (USD)]],0)</f>
        <v>0</v>
      </c>
      <c r="Y292" s="152">
        <f>MouserListTable[[#This Row],[Tot '#]]*MouserListTable[[#This Row],[Price (USD)]]</f>
        <v>20</v>
      </c>
    </row>
    <row r="293" spans="1:25" ht="17.25" x14ac:dyDescent="0.25">
      <c r="A293" s="150" t="s">
        <v>1038</v>
      </c>
      <c r="B293" s="150" t="s">
        <v>2530</v>
      </c>
      <c r="C293" s="150" t="s">
        <v>5</v>
      </c>
      <c r="D293" s="151" t="str">
        <f>IF(MouserListTable[[#This Row],[Vendor]]=FilterSpecs!$A$8,MouserListTable[[#This Row],[Mouser SKU]], MouserListTable[[#This Row],[Supplier SKU]])</f>
        <v>474-DEV-14431</v>
      </c>
      <c r="E293" s="152">
        <f>MouserListTable[[#This Row],[Tot '#]]-MouserListTable[[#This Row],['# Initial]]</f>
        <v>1</v>
      </c>
      <c r="F293" s="152">
        <f>IF(AND(MouserListTable[[#This Row],[Tag]]&lt;&gt;FilterSpecs!$F$12, MouserListTable[[#This Row],[Tag]]&lt;&gt;FilterSpecs!$F$9), MouserListTable[[#This Row],['#/Unit]]*FilterSpecs!$B$3+MouserListTable[[#This Row],[Extra Initial]],0)</f>
        <v>0</v>
      </c>
      <c r="G293" s="150" t="s">
        <v>1141</v>
      </c>
      <c r="H293" s="150" t="s">
        <v>1142</v>
      </c>
      <c r="I293" s="150" t="s">
        <v>1143</v>
      </c>
      <c r="J293" s="150"/>
      <c r="K293" s="154">
        <v>9</v>
      </c>
      <c r="L293" s="150" t="s">
        <v>1900</v>
      </c>
      <c r="M293" s="116" t="s">
        <v>1040</v>
      </c>
      <c r="N293" s="154">
        <f>MouserListTable[[#This Row],['# Initial]]*MouserListTable[[#This Row],[Price (USD)]]</f>
        <v>0</v>
      </c>
      <c r="O293" s="151" t="s">
        <v>1140</v>
      </c>
      <c r="P293" s="150">
        <f t="shared" si="5"/>
        <v>280</v>
      </c>
      <c r="Q293" s="150" t="s">
        <v>5</v>
      </c>
      <c r="R29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474-DEV-14431</v>
      </c>
      <c r="S293" s="157" t="str">
        <f>HYPERLINK("https://www.mouser.com/ProductDetail/" &amp;MouserListTable[[#This Row],[Mouser SKU]])</f>
        <v>https://www.mouser.com/ProductDetail/474-DEV-14431</v>
      </c>
      <c r="T293" s="152">
        <v>0</v>
      </c>
      <c r="U293" s="152">
        <v>1</v>
      </c>
      <c r="V293" s="152">
        <v>0</v>
      </c>
      <c r="W293" s="152">
        <f>MouserListTable[[#This Row],['#/Unit]]*FilterSpecs!$C$3+MouserListTable[[#This Row],[Extra]]</f>
        <v>1</v>
      </c>
      <c r="X293" s="152">
        <f>IF(MouserListTable[[#This Row],[Tag]]=FilterSpecs!$F$7,MouserListTable[[#This Row],['#/Unit]]*MouserListTable[[#This Row],[Price (USD)]],0)</f>
        <v>0</v>
      </c>
      <c r="Y293" s="152">
        <f>MouserListTable[[#This Row],[Tot '#]]*MouserListTable[[#This Row],[Price (USD)]]</f>
        <v>9</v>
      </c>
    </row>
    <row r="294" spans="1:25" ht="17.25" x14ac:dyDescent="0.25">
      <c r="A294" s="150" t="s">
        <v>1038</v>
      </c>
      <c r="B294" s="150" t="s">
        <v>2530</v>
      </c>
      <c r="C294" s="150" t="s">
        <v>5</v>
      </c>
      <c r="D294" s="151" t="str">
        <f>IF(MouserListTable[[#This Row],[Vendor]]=FilterSpecs!$A$8,MouserListTable[[#This Row],[Mouser SKU]], MouserListTable[[#This Row],[Supplier SKU]])</f>
        <v>474-DEV-14443</v>
      </c>
      <c r="E294" s="152">
        <f>MouserListTable[[#This Row],[Tot '#]]-MouserListTable[[#This Row],['# Initial]]</f>
        <v>1</v>
      </c>
      <c r="F294" s="152">
        <f>IF(AND(MouserListTable[[#This Row],[Tag]]&lt;&gt;FilterSpecs!$F$12, MouserListTable[[#This Row],[Tag]]&lt;&gt;FilterSpecs!$F$9), MouserListTable[[#This Row],['#/Unit]]*FilterSpecs!$B$3+MouserListTable[[#This Row],[Extra Initial]],0)</f>
        <v>0</v>
      </c>
      <c r="G294" s="150" t="s">
        <v>1145</v>
      </c>
      <c r="H294" s="150" t="s">
        <v>1146</v>
      </c>
      <c r="I294" s="150" t="s">
        <v>1147</v>
      </c>
      <c r="J294" s="150"/>
      <c r="K294" s="154">
        <v>5</v>
      </c>
      <c r="L294" s="150" t="s">
        <v>1900</v>
      </c>
      <c r="M294" s="116" t="s">
        <v>1040</v>
      </c>
      <c r="N294" s="154">
        <f>MouserListTable[[#This Row],['# Initial]]*MouserListTable[[#This Row],[Price (USD)]]</f>
        <v>0</v>
      </c>
      <c r="O294" s="151" t="s">
        <v>1144</v>
      </c>
      <c r="P294" s="150">
        <f t="shared" si="5"/>
        <v>281</v>
      </c>
      <c r="Q294" s="150" t="s">
        <v>5</v>
      </c>
      <c r="R29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474-DEV-14443</v>
      </c>
      <c r="S294" s="157" t="str">
        <f>HYPERLINK("https://www.mouser.com/ProductDetail/" &amp;MouserListTable[[#This Row],[Mouser SKU]])</f>
        <v>https://www.mouser.com/ProductDetail/474-DEV-14443</v>
      </c>
      <c r="T294" s="152">
        <v>0</v>
      </c>
      <c r="U294" s="152">
        <v>1</v>
      </c>
      <c r="V294" s="152">
        <v>0</v>
      </c>
      <c r="W294" s="152">
        <f>MouserListTable[[#This Row],['#/Unit]]*FilterSpecs!$C$3+MouserListTable[[#This Row],[Extra]]</f>
        <v>1</v>
      </c>
      <c r="X294" s="152">
        <f>IF(MouserListTable[[#This Row],[Tag]]=FilterSpecs!$F$7,MouserListTable[[#This Row],['#/Unit]]*MouserListTable[[#This Row],[Price (USD)]],0)</f>
        <v>0</v>
      </c>
      <c r="Y294" s="152">
        <f>MouserListTable[[#This Row],[Tot '#]]*MouserListTable[[#This Row],[Price (USD)]]</f>
        <v>5</v>
      </c>
    </row>
    <row r="295" spans="1:25" ht="17.25" x14ac:dyDescent="0.25">
      <c r="A295" s="150" t="s">
        <v>1038</v>
      </c>
      <c r="B295" s="150" t="s">
        <v>2530</v>
      </c>
      <c r="C295" s="150" t="s">
        <v>5</v>
      </c>
      <c r="D295" s="151" t="str">
        <f>IF(MouserListTable[[#This Row],[Vendor]]=FilterSpecs!$A$8,MouserListTable[[#This Row],[Mouser SKU]], MouserListTable[[#This Row],[Supplier SKU]])</f>
        <v>474-DEV-14442</v>
      </c>
      <c r="E295" s="152">
        <f>MouserListTable[[#This Row],[Tot '#]]-MouserListTable[[#This Row],['# Initial]]</f>
        <v>1</v>
      </c>
      <c r="F295" s="152">
        <f>IF(AND(MouserListTable[[#This Row],[Tag]]&lt;&gt;FilterSpecs!$F$12, MouserListTable[[#This Row],[Tag]]&lt;&gt;FilterSpecs!$F$9), MouserListTable[[#This Row],['#/Unit]]*FilterSpecs!$B$3+MouserListTable[[#This Row],[Extra Initial]],0)</f>
        <v>0</v>
      </c>
      <c r="G295" s="150" t="s">
        <v>1153</v>
      </c>
      <c r="H295" s="150" t="s">
        <v>1154</v>
      </c>
      <c r="I295" s="150" t="s">
        <v>1155</v>
      </c>
      <c r="J295" s="150"/>
      <c r="K295" s="154">
        <v>15</v>
      </c>
      <c r="L295" s="150" t="s">
        <v>1900</v>
      </c>
      <c r="M295" s="116" t="s">
        <v>1040</v>
      </c>
      <c r="N295" s="154">
        <f>MouserListTable[[#This Row],['# Initial]]*MouserListTable[[#This Row],[Price (USD)]]</f>
        <v>0</v>
      </c>
      <c r="O295" s="151" t="s">
        <v>1152</v>
      </c>
      <c r="P295" s="150">
        <f t="shared" si="5"/>
        <v>282</v>
      </c>
      <c r="Q295" s="150" t="s">
        <v>5</v>
      </c>
      <c r="R29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474-DEV-14442</v>
      </c>
      <c r="S295" s="157" t="str">
        <f>HYPERLINK("https://www.mouser.com/ProductDetail/" &amp;MouserListTable[[#This Row],[Mouser SKU]])</f>
        <v>https://www.mouser.com/ProductDetail/474-DEV-14442</v>
      </c>
      <c r="T295" s="152">
        <v>0</v>
      </c>
      <c r="U295" s="152">
        <v>1</v>
      </c>
      <c r="V295" s="152">
        <v>0</v>
      </c>
      <c r="W295" s="152">
        <f>MouserListTable[[#This Row],['#/Unit]]*FilterSpecs!$C$3+MouserListTable[[#This Row],[Extra]]</f>
        <v>1</v>
      </c>
      <c r="X295" s="152">
        <f>IF(MouserListTable[[#This Row],[Tag]]=FilterSpecs!$F$7,MouserListTable[[#This Row],['#/Unit]]*MouserListTable[[#This Row],[Price (USD)]],0)</f>
        <v>0</v>
      </c>
      <c r="Y295" s="152">
        <f>MouserListTable[[#This Row],[Tot '#]]*MouserListTable[[#This Row],[Price (USD)]]</f>
        <v>15</v>
      </c>
    </row>
    <row r="296" spans="1:25" ht="17.25" x14ac:dyDescent="0.25">
      <c r="A296" s="150" t="s">
        <v>1038</v>
      </c>
      <c r="B296" s="150" t="s">
        <v>2530</v>
      </c>
      <c r="C296" s="150" t="s">
        <v>5</v>
      </c>
      <c r="D296" s="151" t="str">
        <f>IF(MouserListTable[[#This Row],[Vendor]]=FilterSpecs!$A$8,MouserListTable[[#This Row],[Mouser SKU]], MouserListTable[[#This Row],[Supplier SKU]])</f>
        <v>474-DEV-14441</v>
      </c>
      <c r="E296" s="152">
        <f>MouserListTable[[#This Row],[Tot '#]]-MouserListTable[[#This Row],['# Initial]]</f>
        <v>1</v>
      </c>
      <c r="F296" s="152">
        <f>IF(AND(MouserListTable[[#This Row],[Tag]]&lt;&gt;FilterSpecs!$F$12, MouserListTable[[#This Row],[Tag]]&lt;&gt;FilterSpecs!$F$9), MouserListTable[[#This Row],['#/Unit]]*FilterSpecs!$B$3+MouserListTable[[#This Row],[Extra Initial]],0)</f>
        <v>0</v>
      </c>
      <c r="G296" s="150" t="s">
        <v>1157</v>
      </c>
      <c r="H296" s="150" t="s">
        <v>1158</v>
      </c>
      <c r="I296" s="150" t="s">
        <v>1159</v>
      </c>
      <c r="J296" s="150"/>
      <c r="K296" s="154">
        <v>15</v>
      </c>
      <c r="L296" s="150" t="s">
        <v>1900</v>
      </c>
      <c r="M296" s="116" t="s">
        <v>1040</v>
      </c>
      <c r="N296" s="154">
        <f>MouserListTable[[#This Row],['# Initial]]*MouserListTable[[#This Row],[Price (USD)]]</f>
        <v>0</v>
      </c>
      <c r="O296" s="151" t="s">
        <v>1156</v>
      </c>
      <c r="P296" s="150">
        <f t="shared" si="5"/>
        <v>283</v>
      </c>
      <c r="Q296" s="150" t="s">
        <v>5</v>
      </c>
      <c r="R29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474-DEV-14441</v>
      </c>
      <c r="S296" s="157" t="str">
        <f>HYPERLINK("https://www.mouser.com/ProductDetail/" &amp;MouserListTable[[#This Row],[Mouser SKU]])</f>
        <v>https://www.mouser.com/ProductDetail/474-DEV-14441</v>
      </c>
      <c r="T296" s="152">
        <v>0</v>
      </c>
      <c r="U296" s="152">
        <v>1</v>
      </c>
      <c r="V296" s="152">
        <v>0</v>
      </c>
      <c r="W296" s="152">
        <f>MouserListTable[[#This Row],['#/Unit]]*FilterSpecs!$C$3+MouserListTable[[#This Row],[Extra]]</f>
        <v>1</v>
      </c>
      <c r="X296" s="152">
        <f>IF(MouserListTable[[#This Row],[Tag]]=FilterSpecs!$F$7,MouserListTable[[#This Row],['#/Unit]]*MouserListTable[[#This Row],[Price (USD)]],0)</f>
        <v>0</v>
      </c>
      <c r="Y296" s="152">
        <f>MouserListTable[[#This Row],[Tot '#]]*MouserListTable[[#This Row],[Price (USD)]]</f>
        <v>15</v>
      </c>
    </row>
    <row r="297" spans="1:25" x14ac:dyDescent="0.25">
      <c r="A297" s="150" t="s">
        <v>1038</v>
      </c>
      <c r="B297" s="150" t="s">
        <v>1168</v>
      </c>
      <c r="C297" s="150" t="s">
        <v>5</v>
      </c>
      <c r="D297" s="151" t="str">
        <f>IF(MouserListTable[[#This Row],[Vendor]]=FilterSpecs!$A$8,MouserListTable[[#This Row],[Mouser SKU]], MouserListTable[[#This Row],[Supplier SKU]])</f>
        <v>474-DEV-14437</v>
      </c>
      <c r="E297" s="152">
        <f>MouserListTable[[#This Row],[Tot '#]]-MouserListTable[[#This Row],['# Initial]]</f>
        <v>1</v>
      </c>
      <c r="F297" s="152">
        <f>IF(AND(MouserListTable[[#This Row],[Tag]]&lt;&gt;FilterSpecs!$F$12, MouserListTable[[#This Row],[Tag]]&lt;&gt;FilterSpecs!$F$9), MouserListTable[[#This Row],['#/Unit]]*FilterSpecs!$B$3+MouserListTable[[#This Row],[Extra Initial]],0)</f>
        <v>0</v>
      </c>
      <c r="G297" s="150" t="s">
        <v>2412</v>
      </c>
      <c r="H297" s="150" t="s">
        <v>2413</v>
      </c>
      <c r="I297" s="150" t="s">
        <v>2414</v>
      </c>
      <c r="J297" s="150"/>
      <c r="K297" s="154">
        <v>15</v>
      </c>
      <c r="L297" s="150" t="s">
        <v>1900</v>
      </c>
      <c r="M297" s="150" t="s">
        <v>1040</v>
      </c>
      <c r="N297" s="154">
        <f>MouserListTable[[#This Row],['# Initial]]*MouserListTable[[#This Row],[Price (USD)]]</f>
        <v>0</v>
      </c>
      <c r="O297" s="151" t="s">
        <v>2411</v>
      </c>
      <c r="P297" s="150">
        <f t="shared" si="5"/>
        <v>284</v>
      </c>
      <c r="Q297" s="150" t="s">
        <v>5</v>
      </c>
      <c r="R29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474-DEV-14437</v>
      </c>
      <c r="S297" s="157" t="str">
        <f>HYPERLINK("https://www.mouser.com/ProductDetail/" &amp;MouserListTable[[#This Row],[Mouser SKU]])</f>
        <v>https://www.mouser.com/ProductDetail/474-DEV-14437</v>
      </c>
      <c r="T297" s="152">
        <v>0</v>
      </c>
      <c r="U297" s="152">
        <v>1</v>
      </c>
      <c r="V297" s="152">
        <v>0</v>
      </c>
      <c r="W297" s="152">
        <f>MouserListTable[[#This Row],['#/Unit]]*FilterSpecs!$C$3+MouserListTable[[#This Row],[Extra]]</f>
        <v>1</v>
      </c>
      <c r="X297" s="152">
        <f>IF(MouserListTable[[#This Row],[Tag]]=FilterSpecs!$F$7,MouserListTable[[#This Row],['#/Unit]]*MouserListTable[[#This Row],[Price (USD)]],0)</f>
        <v>0</v>
      </c>
      <c r="Y297" s="152">
        <f>MouserListTable[[#This Row],[Tot '#]]*MouserListTable[[#This Row],[Price (USD)]]</f>
        <v>15</v>
      </c>
    </row>
    <row r="298" spans="1:25" x14ac:dyDescent="0.25">
      <c r="A298" s="150" t="s">
        <v>1038</v>
      </c>
      <c r="B298" s="150" t="s">
        <v>1168</v>
      </c>
      <c r="C298" s="150" t="s">
        <v>5</v>
      </c>
      <c r="D298" s="151" t="str">
        <f>IF(MouserListTable[[#This Row],[Vendor]]=FilterSpecs!$A$8,MouserListTable[[#This Row],[Mouser SKU]], MouserListTable[[#This Row],[Supplier SKU]])</f>
        <v>474-DEV-14436</v>
      </c>
      <c r="E298" s="152">
        <f>MouserListTable[[#This Row],[Tot '#]]-MouserListTable[[#This Row],['# Initial]]</f>
        <v>1</v>
      </c>
      <c r="F298" s="152">
        <f>IF(AND(MouserListTable[[#This Row],[Tag]]&lt;&gt;FilterSpecs!$F$12, MouserListTable[[#This Row],[Tag]]&lt;&gt;FilterSpecs!$F$9), MouserListTable[[#This Row],['#/Unit]]*FilterSpecs!$B$3+MouserListTable[[#This Row],[Extra Initial]],0)</f>
        <v>0</v>
      </c>
      <c r="G298" s="150" t="s">
        <v>2416</v>
      </c>
      <c r="H298" s="150" t="s">
        <v>2417</v>
      </c>
      <c r="I298" s="150" t="s">
        <v>2418</v>
      </c>
      <c r="J298" s="150"/>
      <c r="K298" s="154">
        <v>10</v>
      </c>
      <c r="L298" s="150" t="s">
        <v>1900</v>
      </c>
      <c r="M298" s="150" t="s">
        <v>1040</v>
      </c>
      <c r="N298" s="154">
        <f>MouserListTable[[#This Row],['# Initial]]*MouserListTable[[#This Row],[Price (USD)]]</f>
        <v>0</v>
      </c>
      <c r="O298" s="151" t="s">
        <v>2415</v>
      </c>
      <c r="P298" s="150">
        <f t="shared" si="5"/>
        <v>285</v>
      </c>
      <c r="Q298" s="150" t="s">
        <v>5</v>
      </c>
      <c r="R29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474-DEV-14436</v>
      </c>
      <c r="S298" s="157" t="str">
        <f>HYPERLINK("https://www.mouser.com/ProductDetail/" &amp;MouserListTable[[#This Row],[Mouser SKU]])</f>
        <v>https://www.mouser.com/ProductDetail/474-DEV-14436</v>
      </c>
      <c r="T298" s="152">
        <v>0</v>
      </c>
      <c r="U298" s="152">
        <v>1</v>
      </c>
      <c r="V298" s="152">
        <v>0</v>
      </c>
      <c r="W298" s="152">
        <f>MouserListTable[[#This Row],['#/Unit]]*FilterSpecs!$C$3+MouserListTable[[#This Row],[Extra]]</f>
        <v>1</v>
      </c>
      <c r="X298" s="152">
        <f>IF(MouserListTable[[#This Row],[Tag]]=FilterSpecs!$F$7,MouserListTable[[#This Row],['#/Unit]]*MouserListTable[[#This Row],[Price (USD)]],0)</f>
        <v>0</v>
      </c>
      <c r="Y298" s="152">
        <f>MouserListTable[[#This Row],[Tot '#]]*MouserListTable[[#This Row],[Price (USD)]]</f>
        <v>10</v>
      </c>
    </row>
    <row r="299" spans="1:25" ht="17.25" x14ac:dyDescent="0.25">
      <c r="A299" s="150" t="s">
        <v>1039</v>
      </c>
      <c r="B299" s="150" t="s">
        <v>2531</v>
      </c>
      <c r="C299" s="150" t="s">
        <v>5</v>
      </c>
      <c r="D299" s="151" t="str">
        <f>IF(MouserListTable[[#This Row],[Vendor]]=FilterSpecs!$A$8,MouserListTable[[#This Row],[Mouser SKU]], MouserListTable[[#This Row],[Supplier SKU]])</f>
        <v>474-DEV-14439</v>
      </c>
      <c r="E299" s="152">
        <f>MouserListTable[[#This Row],[Tot '#]]-MouserListTable[[#This Row],['# Initial]]</f>
        <v>1</v>
      </c>
      <c r="F299" s="152">
        <f>IF(AND(MouserListTable[[#This Row],[Tag]]&lt;&gt;FilterSpecs!$F$12, MouserListTable[[#This Row],[Tag]]&lt;&gt;FilterSpecs!$F$9), MouserListTable[[#This Row],['#/Unit]]*FilterSpecs!$B$3+MouserListTable[[#This Row],[Extra Initial]],0)</f>
        <v>0</v>
      </c>
      <c r="G299" s="150" t="s">
        <v>1065</v>
      </c>
      <c r="H299" s="150" t="s">
        <v>1066</v>
      </c>
      <c r="I299" s="150" t="s">
        <v>1067</v>
      </c>
      <c r="J299" s="150"/>
      <c r="K299" s="154">
        <v>15</v>
      </c>
      <c r="L299" s="150" t="s">
        <v>1900</v>
      </c>
      <c r="M299" s="116" t="s">
        <v>1040</v>
      </c>
      <c r="N299" s="154">
        <f>MouserListTable[[#This Row],['# Initial]]*MouserListTable[[#This Row],[Price (USD)]]</f>
        <v>0</v>
      </c>
      <c r="O299" s="151" t="s">
        <v>1064</v>
      </c>
      <c r="P299" s="150">
        <f t="shared" si="5"/>
        <v>286</v>
      </c>
      <c r="Q299" s="150" t="s">
        <v>5</v>
      </c>
      <c r="R29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474-DEV-14439</v>
      </c>
      <c r="S299" s="157" t="str">
        <f>HYPERLINK("https://www.mouser.com/ProductDetail/" &amp;MouserListTable[[#This Row],[Mouser SKU]])</f>
        <v>https://www.mouser.com/ProductDetail/474-DEV-14439</v>
      </c>
      <c r="T299" s="152">
        <v>0</v>
      </c>
      <c r="U299" s="152">
        <v>1</v>
      </c>
      <c r="V299" s="152">
        <v>0</v>
      </c>
      <c r="W299" s="152">
        <f>MouserListTable[[#This Row],['#/Unit]]*FilterSpecs!$C$3+MouserListTable[[#This Row],[Extra]]</f>
        <v>1</v>
      </c>
      <c r="X299" s="152">
        <f>IF(MouserListTable[[#This Row],[Tag]]=FilterSpecs!$F$7,MouserListTable[[#This Row],['#/Unit]]*MouserListTable[[#This Row],[Price (USD)]],0)</f>
        <v>0</v>
      </c>
      <c r="Y299" s="152">
        <f>MouserListTable[[#This Row],[Tot '#]]*MouserListTable[[#This Row],[Price (USD)]]</f>
        <v>15</v>
      </c>
    </row>
    <row r="300" spans="1:25" ht="17.25" x14ac:dyDescent="0.25">
      <c r="A300" s="150" t="s">
        <v>1039</v>
      </c>
      <c r="B300" s="150" t="s">
        <v>2531</v>
      </c>
      <c r="C300" s="150" t="s">
        <v>5</v>
      </c>
      <c r="D300" s="151" t="str">
        <f>IF(MouserListTable[[#This Row],[Vendor]]=FilterSpecs!$A$8,MouserListTable[[#This Row],[Mouser SKU]], MouserListTable[[#This Row],[Supplier SKU]])</f>
        <v>474-DEV-14431</v>
      </c>
      <c r="E300" s="152">
        <f>MouserListTable[[#This Row],[Tot '#]]-MouserListTable[[#This Row],['# Initial]]</f>
        <v>1</v>
      </c>
      <c r="F300" s="152">
        <f>IF(AND(MouserListTable[[#This Row],[Tag]]&lt;&gt;FilterSpecs!$F$12, MouserListTable[[#This Row],[Tag]]&lt;&gt;FilterSpecs!$F$9), MouserListTable[[#This Row],['#/Unit]]*FilterSpecs!$B$3+MouserListTable[[#This Row],[Extra Initial]],0)</f>
        <v>0</v>
      </c>
      <c r="G300" s="150" t="s">
        <v>1141</v>
      </c>
      <c r="H300" s="150" t="s">
        <v>1142</v>
      </c>
      <c r="I300" s="150" t="s">
        <v>1143</v>
      </c>
      <c r="J300" s="150"/>
      <c r="K300" s="154">
        <v>9</v>
      </c>
      <c r="L300" s="150" t="s">
        <v>1900</v>
      </c>
      <c r="M300" s="116" t="s">
        <v>1040</v>
      </c>
      <c r="N300" s="154">
        <f>MouserListTable[[#This Row],['# Initial]]*MouserListTable[[#This Row],[Price (USD)]]</f>
        <v>0</v>
      </c>
      <c r="O300" s="151" t="s">
        <v>1140</v>
      </c>
      <c r="P300" s="150">
        <f t="shared" si="5"/>
        <v>287</v>
      </c>
      <c r="Q300" s="150" t="s">
        <v>5</v>
      </c>
      <c r="R30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474-DEV-14431</v>
      </c>
      <c r="S300" s="157" t="str">
        <f>HYPERLINK("https://www.mouser.com/ProductDetail/" &amp;MouserListTable[[#This Row],[Mouser SKU]])</f>
        <v>https://www.mouser.com/ProductDetail/474-DEV-14431</v>
      </c>
      <c r="T300" s="152">
        <v>0</v>
      </c>
      <c r="U300" s="152">
        <v>1</v>
      </c>
      <c r="V300" s="152">
        <v>0</v>
      </c>
      <c r="W300" s="152">
        <f>MouserListTable[[#This Row],['#/Unit]]*FilterSpecs!$C$3+MouserListTable[[#This Row],[Extra]]</f>
        <v>1</v>
      </c>
      <c r="X300" s="152">
        <f>IF(MouserListTable[[#This Row],[Tag]]=FilterSpecs!$F$7,MouserListTable[[#This Row],['#/Unit]]*MouserListTable[[#This Row],[Price (USD)]],0)</f>
        <v>0</v>
      </c>
      <c r="Y300" s="152">
        <f>MouserListTable[[#This Row],[Tot '#]]*MouserListTable[[#This Row],[Price (USD)]]</f>
        <v>9</v>
      </c>
    </row>
    <row r="301" spans="1:25" ht="17.25" x14ac:dyDescent="0.25">
      <c r="A301" s="150" t="s">
        <v>1039</v>
      </c>
      <c r="B301" s="150" t="s">
        <v>2531</v>
      </c>
      <c r="C301" s="150" t="s">
        <v>5</v>
      </c>
      <c r="D301" s="151" t="str">
        <f>IF(MouserListTable[[#This Row],[Vendor]]=FilterSpecs!$A$8,MouserListTable[[#This Row],[Mouser SKU]], MouserListTable[[#This Row],[Supplier SKU]])</f>
        <v>474-DEV-14446</v>
      </c>
      <c r="E301" s="152">
        <f>MouserListTable[[#This Row],[Tot '#]]-MouserListTable[[#This Row],['# Initial]]</f>
        <v>1</v>
      </c>
      <c r="F301" s="152">
        <f>IF(AND(MouserListTable[[#This Row],[Tag]]&lt;&gt;FilterSpecs!$F$12, MouserListTable[[#This Row],[Tag]]&lt;&gt;FilterSpecs!$F$9), MouserListTable[[#This Row],['#/Unit]]*FilterSpecs!$B$3+MouserListTable[[#This Row],[Extra Initial]],0)</f>
        <v>0</v>
      </c>
      <c r="G301" s="150" t="s">
        <v>1149</v>
      </c>
      <c r="H301" s="150" t="s">
        <v>1150</v>
      </c>
      <c r="I301" s="150" t="s">
        <v>1151</v>
      </c>
      <c r="J301" s="150"/>
      <c r="K301" s="154">
        <v>30</v>
      </c>
      <c r="L301" s="150" t="s">
        <v>1900</v>
      </c>
      <c r="M301" s="116" t="s">
        <v>1040</v>
      </c>
      <c r="N301" s="154">
        <f>MouserListTable[[#This Row],['# Initial]]*MouserListTable[[#This Row],[Price (USD)]]</f>
        <v>0</v>
      </c>
      <c r="O301" s="151" t="s">
        <v>1148</v>
      </c>
      <c r="P301" s="150">
        <f t="shared" si="5"/>
        <v>288</v>
      </c>
      <c r="Q301" s="150" t="s">
        <v>5</v>
      </c>
      <c r="R30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474-DEV-14446</v>
      </c>
      <c r="S301" s="157" t="str">
        <f>HYPERLINK("https://www.mouser.com/ProductDetail/" &amp;MouserListTable[[#This Row],[Mouser SKU]])</f>
        <v>https://www.mouser.com/ProductDetail/474-DEV-14446</v>
      </c>
      <c r="T301" s="152">
        <v>0</v>
      </c>
      <c r="U301" s="152">
        <v>1</v>
      </c>
      <c r="V301" s="152">
        <v>0</v>
      </c>
      <c r="W301" s="152">
        <f>MouserListTable[[#This Row],['#/Unit]]*FilterSpecs!$C$3+MouserListTable[[#This Row],[Extra]]</f>
        <v>1</v>
      </c>
      <c r="X301" s="152">
        <f>IF(MouserListTable[[#This Row],[Tag]]=FilterSpecs!$F$7,MouserListTable[[#This Row],['#/Unit]]*MouserListTable[[#This Row],[Price (USD)]],0)</f>
        <v>0</v>
      </c>
      <c r="Y301" s="152">
        <f>MouserListTable[[#This Row],[Tot '#]]*MouserListTable[[#This Row],[Price (USD)]]</f>
        <v>30</v>
      </c>
    </row>
    <row r="302" spans="1:25" ht="17.25" x14ac:dyDescent="0.25">
      <c r="A302" s="150" t="s">
        <v>1039</v>
      </c>
      <c r="B302" s="150" t="s">
        <v>2531</v>
      </c>
      <c r="C302" s="150" t="s">
        <v>5</v>
      </c>
      <c r="D302" s="151" t="str">
        <f>IF(MouserListTable[[#This Row],[Vendor]]=FilterSpecs!$A$8,MouserListTable[[#This Row],[Mouser SKU]], MouserListTable[[#This Row],[Supplier SKU]])</f>
        <v>474-DEV-14443</v>
      </c>
      <c r="E302" s="152">
        <f>MouserListTable[[#This Row],[Tot '#]]-MouserListTable[[#This Row],['# Initial]]</f>
        <v>1</v>
      </c>
      <c r="F302" s="152">
        <f>IF(AND(MouserListTable[[#This Row],[Tag]]&lt;&gt;FilterSpecs!$F$12, MouserListTable[[#This Row],[Tag]]&lt;&gt;FilterSpecs!$F$9), MouserListTable[[#This Row],['#/Unit]]*FilterSpecs!$B$3+MouserListTable[[#This Row],[Extra Initial]],0)</f>
        <v>0</v>
      </c>
      <c r="G302" s="150" t="s">
        <v>1145</v>
      </c>
      <c r="H302" s="150" t="s">
        <v>1146</v>
      </c>
      <c r="I302" s="150" t="s">
        <v>1147</v>
      </c>
      <c r="J302" s="150"/>
      <c r="K302" s="154">
        <v>5</v>
      </c>
      <c r="L302" s="150" t="s">
        <v>1900</v>
      </c>
      <c r="M302" s="116" t="s">
        <v>1040</v>
      </c>
      <c r="N302" s="154">
        <f>MouserListTable[[#This Row],['# Initial]]*MouserListTable[[#This Row],[Price (USD)]]</f>
        <v>0</v>
      </c>
      <c r="O302" s="151" t="s">
        <v>1144</v>
      </c>
      <c r="P302" s="150">
        <f t="shared" si="5"/>
        <v>289</v>
      </c>
      <c r="Q302" s="150" t="s">
        <v>5</v>
      </c>
      <c r="R30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474-DEV-14443</v>
      </c>
      <c r="S302" s="157" t="str">
        <f>HYPERLINK("https://www.mouser.com/ProductDetail/" &amp;MouserListTable[[#This Row],[Mouser SKU]])</f>
        <v>https://www.mouser.com/ProductDetail/474-DEV-14443</v>
      </c>
      <c r="T302" s="152">
        <v>0</v>
      </c>
      <c r="U302" s="152">
        <v>1</v>
      </c>
      <c r="V302" s="152">
        <v>0</v>
      </c>
      <c r="W302" s="152">
        <f>MouserListTable[[#This Row],['#/Unit]]*FilterSpecs!$C$3+MouserListTable[[#This Row],[Extra]]</f>
        <v>1</v>
      </c>
      <c r="X302" s="152">
        <f>IF(MouserListTable[[#This Row],[Tag]]=FilterSpecs!$F$7,MouserListTable[[#This Row],['#/Unit]]*MouserListTable[[#This Row],[Price (USD)]],0)</f>
        <v>0</v>
      </c>
      <c r="Y302" s="152">
        <f>MouserListTable[[#This Row],[Tot '#]]*MouserListTable[[#This Row],[Price (USD)]]</f>
        <v>5</v>
      </c>
    </row>
    <row r="303" spans="1:25" ht="17.25" x14ac:dyDescent="0.25">
      <c r="A303" s="150" t="s">
        <v>1039</v>
      </c>
      <c r="B303" s="150" t="s">
        <v>2531</v>
      </c>
      <c r="C303" s="150" t="s">
        <v>5</v>
      </c>
      <c r="D303" s="151" t="str">
        <f>IF(MouserListTable[[#This Row],[Vendor]]=FilterSpecs!$A$8,MouserListTable[[#This Row],[Mouser SKU]], MouserListTable[[#This Row],[Supplier SKU]])</f>
        <v>474-DEV-14442</v>
      </c>
      <c r="E303" s="152">
        <f>MouserListTable[[#This Row],[Tot '#]]-MouserListTable[[#This Row],['# Initial]]</f>
        <v>1</v>
      </c>
      <c r="F303" s="152">
        <f>IF(AND(MouserListTable[[#This Row],[Tag]]&lt;&gt;FilterSpecs!$F$12, MouserListTable[[#This Row],[Tag]]&lt;&gt;FilterSpecs!$F$9), MouserListTable[[#This Row],['#/Unit]]*FilterSpecs!$B$3+MouserListTable[[#This Row],[Extra Initial]],0)</f>
        <v>0</v>
      </c>
      <c r="G303" s="150" t="s">
        <v>1153</v>
      </c>
      <c r="H303" s="150" t="s">
        <v>1154</v>
      </c>
      <c r="I303" s="150" t="s">
        <v>1155</v>
      </c>
      <c r="J303" s="150"/>
      <c r="K303" s="154">
        <v>15</v>
      </c>
      <c r="L303" s="150" t="s">
        <v>1900</v>
      </c>
      <c r="M303" s="116" t="s">
        <v>1040</v>
      </c>
      <c r="N303" s="154">
        <f>MouserListTable[[#This Row],['# Initial]]*MouserListTable[[#This Row],[Price (USD)]]</f>
        <v>0</v>
      </c>
      <c r="O303" s="151" t="s">
        <v>1152</v>
      </c>
      <c r="P303" s="150">
        <f t="shared" si="5"/>
        <v>290</v>
      </c>
      <c r="Q303" s="150" t="s">
        <v>5</v>
      </c>
      <c r="R30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474-DEV-14442</v>
      </c>
      <c r="S303" s="157" t="str">
        <f>HYPERLINK("https://www.mouser.com/ProductDetail/" &amp;MouserListTable[[#This Row],[Mouser SKU]])</f>
        <v>https://www.mouser.com/ProductDetail/474-DEV-14442</v>
      </c>
      <c r="T303" s="152">
        <v>0</v>
      </c>
      <c r="U303" s="152">
        <v>1</v>
      </c>
      <c r="V303" s="152">
        <v>0</v>
      </c>
      <c r="W303" s="152">
        <f>MouserListTable[[#This Row],['#/Unit]]*FilterSpecs!$C$3+MouserListTable[[#This Row],[Extra]]</f>
        <v>1</v>
      </c>
      <c r="X303" s="152">
        <f>IF(MouserListTable[[#This Row],[Tag]]=FilterSpecs!$F$7,MouserListTable[[#This Row],['#/Unit]]*MouserListTable[[#This Row],[Price (USD)]],0)</f>
        <v>0</v>
      </c>
      <c r="Y303" s="152">
        <f>MouserListTable[[#This Row],[Tot '#]]*MouserListTable[[#This Row],[Price (USD)]]</f>
        <v>15</v>
      </c>
    </row>
    <row r="304" spans="1:25" x14ac:dyDescent="0.25">
      <c r="A304" s="150" t="s">
        <v>1039</v>
      </c>
      <c r="B304" s="150" t="s">
        <v>1056</v>
      </c>
      <c r="C304" s="150" t="s">
        <v>5</v>
      </c>
      <c r="D304" s="151" t="str">
        <f>IF(MouserListTable[[#This Row],[Vendor]]=FilterSpecs!$A$8,MouserListTable[[#This Row],[Mouser SKU]], MouserListTable[[#This Row],[Supplier SKU]])</f>
        <v>474-WRL-14280</v>
      </c>
      <c r="E304" s="152">
        <f>MouserListTable[[#This Row],[Tot '#]]-MouserListTable[[#This Row],['# Initial]]</f>
        <v>1</v>
      </c>
      <c r="F304" s="152">
        <f>IF(AND(MouserListTable[[#This Row],[Tag]]&lt;&gt;FilterSpecs!$F$12, MouserListTable[[#This Row],[Tag]]&lt;&gt;FilterSpecs!$F$9), MouserListTable[[#This Row],['#/Unit]]*FilterSpecs!$B$3+MouserListTable[[#This Row],[Extra Initial]],0)</f>
        <v>0</v>
      </c>
      <c r="G304" s="150" t="s">
        <v>345</v>
      </c>
      <c r="H304" s="150" t="s">
        <v>346</v>
      </c>
      <c r="I304" s="150" t="s">
        <v>347</v>
      </c>
      <c r="J304" s="150"/>
      <c r="K304" s="154">
        <v>24.95</v>
      </c>
      <c r="L304" s="150" t="s">
        <v>1900</v>
      </c>
      <c r="M304" s="150" t="s">
        <v>1041</v>
      </c>
      <c r="N304" s="154">
        <f>MouserListTable[[#This Row],['# Initial]]*MouserListTable[[#This Row],[Price (USD)]]</f>
        <v>0</v>
      </c>
      <c r="O304" s="151" t="s">
        <v>344</v>
      </c>
      <c r="P304" s="150">
        <f t="shared" si="5"/>
        <v>291</v>
      </c>
      <c r="Q304" s="150" t="s">
        <v>5</v>
      </c>
      <c r="R30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474-WRL-14280</v>
      </c>
      <c r="S304" s="157" t="str">
        <f>HYPERLINK("https://www.mouser.com/ProductDetail/" &amp;MouserListTable[[#This Row],[Mouser SKU]])</f>
        <v>https://www.mouser.com/ProductDetail/474-WRL-14280</v>
      </c>
      <c r="T304" s="152">
        <v>0</v>
      </c>
      <c r="U304" s="152">
        <v>1</v>
      </c>
      <c r="V304" s="152">
        <v>0</v>
      </c>
      <c r="W304" s="152">
        <f>MouserListTable[[#This Row],['#/Unit]]*FilterSpecs!$C$3+MouserListTable[[#This Row],[Extra]]</f>
        <v>1</v>
      </c>
      <c r="X304" s="152">
        <f>IF(MouserListTable[[#This Row],[Tag]]=FilterSpecs!$F$7,MouserListTable[[#This Row],['#/Unit]]*MouserListTable[[#This Row],[Price (USD)]],0)</f>
        <v>0</v>
      </c>
      <c r="Y304" s="152">
        <f>MouserListTable[[#This Row],[Tot '#]]*MouserListTable[[#This Row],[Price (USD)]]</f>
        <v>24.95</v>
      </c>
    </row>
    <row r="305" spans="1:25" x14ac:dyDescent="0.25">
      <c r="A305" s="150" t="s">
        <v>1039</v>
      </c>
      <c r="B305" s="150" t="s">
        <v>1604</v>
      </c>
      <c r="C305" s="150" t="s">
        <v>5</v>
      </c>
      <c r="D305" s="151" t="str">
        <f>IF(MouserListTable[[#This Row],[Vendor]]=FilterSpecs!$A$8,MouserListTable[[#This Row],[Mouser SKU]], MouserListTable[[#This Row],[Supplier SKU]])</f>
        <v>474-DEV-13613</v>
      </c>
      <c r="E305" s="152">
        <f>MouserListTable[[#This Row],[Tot '#]]-MouserListTable[[#This Row],['# Initial]]</f>
        <v>1</v>
      </c>
      <c r="F305" s="152">
        <f>IF(AND(MouserListTable[[#This Row],[Tag]]&lt;&gt;FilterSpecs!$F$12, MouserListTable[[#This Row],[Tag]]&lt;&gt;FilterSpecs!$F$9), MouserListTable[[#This Row],['#/Unit]]*FilterSpecs!$B$3+MouserListTable[[#This Row],[Extra Initial]],0)</f>
        <v>0</v>
      </c>
      <c r="G305" s="150" t="s">
        <v>349</v>
      </c>
      <c r="H305" s="150" t="s">
        <v>350</v>
      </c>
      <c r="I305" s="150" t="s">
        <v>351</v>
      </c>
      <c r="J305" s="150">
        <v>1</v>
      </c>
      <c r="K305" s="154">
        <v>39.950000000000003</v>
      </c>
      <c r="L305" s="150" t="s">
        <v>1900</v>
      </c>
      <c r="M305" s="150" t="s">
        <v>1036</v>
      </c>
      <c r="N305" s="154">
        <f>MouserListTable[[#This Row],['# Initial]]*MouserListTable[[#This Row],[Price (USD)]]</f>
        <v>0</v>
      </c>
      <c r="O305" s="151" t="s">
        <v>348</v>
      </c>
      <c r="P305" s="150">
        <f t="shared" si="5"/>
        <v>292</v>
      </c>
      <c r="Q305" s="150" t="s">
        <v>5</v>
      </c>
      <c r="R30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474-DEV-13613</v>
      </c>
      <c r="S305" s="157" t="str">
        <f>HYPERLINK("https://www.mouser.com/ProductDetail/" &amp;MouserListTable[[#This Row],[Mouser SKU]])</f>
        <v>https://www.mouser.com/ProductDetail/474-DEV-13613</v>
      </c>
      <c r="T305" s="152">
        <v>0</v>
      </c>
      <c r="U305" s="152">
        <v>1</v>
      </c>
      <c r="V305" s="152">
        <v>0</v>
      </c>
      <c r="W305" s="152">
        <f>MouserListTable[[#This Row],['#/Unit]]*FilterSpecs!$C$3+MouserListTable[[#This Row],[Extra]]</f>
        <v>1</v>
      </c>
      <c r="X305" s="152">
        <f>IF(MouserListTable[[#This Row],[Tag]]=FilterSpecs!$F$7,MouserListTable[[#This Row],['#/Unit]]*MouserListTable[[#This Row],[Price (USD)]],0)</f>
        <v>0</v>
      </c>
      <c r="Y305" s="152">
        <f>MouserListTable[[#This Row],[Tot '#]]*MouserListTable[[#This Row],[Price (USD)]]</f>
        <v>39.950000000000003</v>
      </c>
    </row>
    <row r="306" spans="1:25" x14ac:dyDescent="0.25">
      <c r="A306" s="150" t="s">
        <v>1039</v>
      </c>
      <c r="B306" s="150" t="s">
        <v>1055</v>
      </c>
      <c r="C306" s="150" t="s">
        <v>5</v>
      </c>
      <c r="D306" s="151" t="str">
        <f>IF(MouserListTable[[#This Row],[Vendor]]=FilterSpecs!$A$8,MouserListTable[[#This Row],[Mouser SKU]], MouserListTable[[#This Row],[Supplier SKU]])</f>
        <v>474-DEV-12923</v>
      </c>
      <c r="E306" s="152">
        <f>MouserListTable[[#This Row],[Tot '#]]-MouserListTable[[#This Row],['# Initial]]</f>
        <v>1</v>
      </c>
      <c r="F306" s="152">
        <f>IF(AND(MouserListTable[[#This Row],[Tag]]&lt;&gt;FilterSpecs!$F$12, MouserListTable[[#This Row],[Tag]]&lt;&gt;FilterSpecs!$F$9), MouserListTable[[#This Row],['#/Unit]]*FilterSpecs!$B$3+MouserListTable[[#This Row],[Extra Initial]],0)</f>
        <v>0</v>
      </c>
      <c r="G306" s="150" t="s">
        <v>318</v>
      </c>
      <c r="H306" s="150" t="s">
        <v>319</v>
      </c>
      <c r="I306" s="150" t="s">
        <v>320</v>
      </c>
      <c r="J306" s="150">
        <v>1</v>
      </c>
      <c r="K306" s="154">
        <v>39.950000000000003</v>
      </c>
      <c r="L306" s="150" t="s">
        <v>1900</v>
      </c>
      <c r="M306" s="150" t="s">
        <v>1044</v>
      </c>
      <c r="N306" s="154">
        <f>MouserListTable[[#This Row],['# Initial]]*MouserListTable[[#This Row],[Price (USD)]]</f>
        <v>0</v>
      </c>
      <c r="O306" s="151" t="s">
        <v>317</v>
      </c>
      <c r="P306" s="150">
        <f t="shared" si="5"/>
        <v>293</v>
      </c>
      <c r="Q306" s="150" t="s">
        <v>5</v>
      </c>
      <c r="R30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474-DEV-12923</v>
      </c>
      <c r="S306" s="157" t="str">
        <f>HYPERLINK("https://www.mouser.com/ProductDetail/" &amp;MouserListTable[[#This Row],[Mouser SKU]])</f>
        <v>https://www.mouser.com/ProductDetail/474-DEV-12923</v>
      </c>
      <c r="T306" s="152">
        <v>0</v>
      </c>
      <c r="U306" s="152">
        <v>1</v>
      </c>
      <c r="V306" s="152">
        <v>0</v>
      </c>
      <c r="W306" s="152">
        <f>MouserListTable[[#This Row],['#/Unit]]*FilterSpecs!$C$3+MouserListTable[[#This Row],[Extra]]</f>
        <v>1</v>
      </c>
      <c r="X306" s="152">
        <f>IF(MouserListTable[[#This Row],[Tag]]=FilterSpecs!$F$7,MouserListTable[[#This Row],['#/Unit]]*MouserListTable[[#This Row],[Price (USD)]],0)</f>
        <v>0</v>
      </c>
      <c r="Y306" s="152">
        <f>MouserListTable[[#This Row],[Tot '#]]*MouserListTable[[#This Row],[Price (USD)]]</f>
        <v>39.950000000000003</v>
      </c>
    </row>
    <row r="307" spans="1:25" x14ac:dyDescent="0.25">
      <c r="A307" s="150" t="s">
        <v>1039</v>
      </c>
      <c r="B307" s="150" t="s">
        <v>1055</v>
      </c>
      <c r="C307" s="150" t="s">
        <v>5</v>
      </c>
      <c r="D307" s="151" t="str">
        <f>IF(MouserListTable[[#This Row],[Vendor]]=FilterSpecs!$A$8,MouserListTable[[#This Row],[Mouser SKU]], MouserListTable[[#This Row],[Supplier SKU]])</f>
        <v>474-DEV-12924</v>
      </c>
      <c r="E307" s="152">
        <f>MouserListTable[[#This Row],[Tot '#]]-MouserListTable[[#This Row],['# Initial]]</f>
        <v>1</v>
      </c>
      <c r="F307" s="152">
        <f>IF(AND(MouserListTable[[#This Row],[Tag]]&lt;&gt;FilterSpecs!$F$12, MouserListTable[[#This Row],[Tag]]&lt;&gt;FilterSpecs!$F$9), MouserListTable[[#This Row],['#/Unit]]*FilterSpecs!$B$3+MouserListTable[[#This Row],[Extra Initial]],0)</f>
        <v>0</v>
      </c>
      <c r="G307" s="150" t="s">
        <v>322</v>
      </c>
      <c r="H307" s="150" t="s">
        <v>323</v>
      </c>
      <c r="I307" s="150" t="s">
        <v>324</v>
      </c>
      <c r="J307" s="150">
        <v>1</v>
      </c>
      <c r="K307" s="154">
        <v>14.95</v>
      </c>
      <c r="L307" s="150" t="s">
        <v>1900</v>
      </c>
      <c r="M307" s="150" t="s">
        <v>1044</v>
      </c>
      <c r="N307" s="154">
        <f>MouserListTable[[#This Row],['# Initial]]*MouserListTable[[#This Row],[Price (USD)]]</f>
        <v>0</v>
      </c>
      <c r="O307" s="151" t="s">
        <v>321</v>
      </c>
      <c r="P307" s="150">
        <f t="shared" si="5"/>
        <v>294</v>
      </c>
      <c r="Q307" s="150" t="s">
        <v>5</v>
      </c>
      <c r="R30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474-DEV-12924</v>
      </c>
      <c r="S307" s="157" t="str">
        <f>HYPERLINK("https://www.mouser.com/ProductDetail/" &amp;MouserListTable[[#This Row],[Mouser SKU]])</f>
        <v>https://www.mouser.com/ProductDetail/474-DEV-12924</v>
      </c>
      <c r="T307" s="152">
        <v>0</v>
      </c>
      <c r="U307" s="152">
        <v>1</v>
      </c>
      <c r="V307" s="152">
        <v>0</v>
      </c>
      <c r="W307" s="152">
        <f>MouserListTable[[#This Row],['#/Unit]]*FilterSpecs!$C$3+MouserListTable[[#This Row],[Extra]]</f>
        <v>1</v>
      </c>
      <c r="X307" s="152">
        <f>IF(MouserListTable[[#This Row],[Tag]]=FilterSpecs!$F$7,MouserListTable[[#This Row],['#/Unit]]*MouserListTable[[#This Row],[Price (USD)]],0)</f>
        <v>0</v>
      </c>
      <c r="Y307" s="152">
        <f>MouserListTable[[#This Row],[Tot '#]]*MouserListTable[[#This Row],[Price (USD)]]</f>
        <v>14.95</v>
      </c>
    </row>
    <row r="308" spans="1:25" x14ac:dyDescent="0.25">
      <c r="A308" s="150" t="s">
        <v>889</v>
      </c>
      <c r="B308" s="150" t="s">
        <v>986</v>
      </c>
      <c r="C308" s="150" t="s">
        <v>5</v>
      </c>
      <c r="D308" s="151" t="str">
        <f>IF(MouserListTable[[#This Row],[Vendor]]=FilterSpecs!$A$8,MouserListTable[[#This Row],[Mouser SKU]], MouserListTable[[#This Row],[Supplier SKU]])</f>
        <v>474-PRT-12614</v>
      </c>
      <c r="E308" s="152">
        <f>MouserListTable[[#This Row],[Tot '#]]-MouserListTable[[#This Row],['# Initial]]</f>
        <v>1</v>
      </c>
      <c r="F308" s="152">
        <f>IF(AND(MouserListTable[[#This Row],[Tag]]&lt;&gt;FilterSpecs!$F$12, MouserListTable[[#This Row],[Tag]]&lt;&gt;FilterSpecs!$F$9), MouserListTable[[#This Row],['#/Unit]]*FilterSpecs!$B$3+MouserListTable[[#This Row],[Extra Initial]],0)</f>
        <v>0</v>
      </c>
      <c r="G308" s="150" t="s">
        <v>781</v>
      </c>
      <c r="H308" s="150" t="s">
        <v>782</v>
      </c>
      <c r="I308" s="150" t="s">
        <v>783</v>
      </c>
      <c r="J308" s="150"/>
      <c r="K308" s="154">
        <v>19.95</v>
      </c>
      <c r="L308" s="150" t="s">
        <v>1896</v>
      </c>
      <c r="M308" s="151"/>
      <c r="N308" s="154">
        <f>MouserListTable[[#This Row],['# Initial]]*MouserListTable[[#This Row],[Price (USD)]]</f>
        <v>0</v>
      </c>
      <c r="O308" s="151" t="s">
        <v>780</v>
      </c>
      <c r="P308" s="150">
        <f t="shared" si="5"/>
        <v>295</v>
      </c>
      <c r="Q308" s="150" t="s">
        <v>5</v>
      </c>
      <c r="R30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474-PRT-12614</v>
      </c>
      <c r="S308" s="157" t="str">
        <f>HYPERLINK("https://www.mouser.com/ProductDetail/" &amp;MouserListTable[[#This Row],[Mouser SKU]])</f>
        <v>https://www.mouser.com/ProductDetail/474-PRT-12614</v>
      </c>
      <c r="T308" s="152">
        <v>0</v>
      </c>
      <c r="U308" s="152">
        <v>1</v>
      </c>
      <c r="V308" s="152">
        <v>0</v>
      </c>
      <c r="W308" s="152">
        <f>MouserListTable[[#This Row],['#/Unit]]*FilterSpecs!$C$3+MouserListTable[[#This Row],[Extra]]</f>
        <v>1</v>
      </c>
      <c r="X308" s="152">
        <f>IF(MouserListTable[[#This Row],[Tag]]=FilterSpecs!$F$7,MouserListTable[[#This Row],['#/Unit]]*MouserListTable[[#This Row],[Price (USD)]],0)</f>
        <v>0</v>
      </c>
      <c r="Y308" s="152">
        <f>MouserListTable[[#This Row],[Tot '#]]*MouserListTable[[#This Row],[Price (USD)]]</f>
        <v>19.95</v>
      </c>
    </row>
    <row r="309" spans="1:25" x14ac:dyDescent="0.25">
      <c r="A309" s="97" t="s">
        <v>889</v>
      </c>
      <c r="B309" s="97" t="s">
        <v>986</v>
      </c>
      <c r="C309" s="150" t="s">
        <v>5</v>
      </c>
      <c r="D309" s="151" t="str">
        <f>IF(MouserListTable[[#This Row],[Vendor]]=FilterSpecs!$A$8,MouserListTable[[#This Row],[Mouser SKU]], MouserListTable[[#This Row],[Supplier SKU]])</f>
        <v>474-PRT-12044</v>
      </c>
      <c r="E309" s="152">
        <f>MouserListTable[[#This Row],[Tot '#]]-MouserListTable[[#This Row],['# Initial]]</f>
        <v>0</v>
      </c>
      <c r="F309" s="152">
        <f>IF(AND(MouserListTable[[#This Row],[Tag]]&lt;&gt;FilterSpecs!$F$12, MouserListTable[[#This Row],[Tag]]&lt;&gt;FilterSpecs!$F$9), MouserListTable[[#This Row],['#/Unit]]*FilterSpecs!$B$3+MouserListTable[[#This Row],[Extra Initial]],0)</f>
        <v>0</v>
      </c>
      <c r="G309" s="150" t="s">
        <v>1089</v>
      </c>
      <c r="H309" s="150" t="s">
        <v>1090</v>
      </c>
      <c r="I309" s="150" t="s">
        <v>1091</v>
      </c>
      <c r="J309" s="150">
        <v>1</v>
      </c>
      <c r="K309" s="154">
        <v>3.95</v>
      </c>
      <c r="L309" s="150" t="s">
        <v>1896</v>
      </c>
      <c r="M309" s="150" t="s">
        <v>1296</v>
      </c>
      <c r="N309" s="154">
        <f>MouserListTable[[#This Row],['# Initial]]*MouserListTable[[#This Row],[Price (USD)]]</f>
        <v>0</v>
      </c>
      <c r="O309" s="151" t="s">
        <v>1088</v>
      </c>
      <c r="P309" s="150">
        <f t="shared" si="5"/>
        <v>296</v>
      </c>
      <c r="Q309" s="150" t="s">
        <v>5</v>
      </c>
      <c r="R30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474-PRT-12044</v>
      </c>
      <c r="S309" s="157" t="str">
        <f>HYPERLINK("https://www.mouser.com/ProductDetail/" &amp;MouserListTable[[#This Row],[Mouser SKU]])</f>
        <v>https://www.mouser.com/ProductDetail/474-PRT-12044</v>
      </c>
      <c r="T309" s="152">
        <v>0</v>
      </c>
      <c r="U309" s="152">
        <v>0</v>
      </c>
      <c r="V309" s="152">
        <v>0</v>
      </c>
      <c r="W309" s="152">
        <f>MouserListTable[[#This Row],['#/Unit]]*FilterSpecs!$C$3+MouserListTable[[#This Row],[Extra]]</f>
        <v>0</v>
      </c>
      <c r="X309" s="152">
        <f>IF(MouserListTable[[#This Row],[Tag]]=FilterSpecs!$F$7,MouserListTable[[#This Row],['#/Unit]]*MouserListTable[[#This Row],[Price (USD)]],0)</f>
        <v>0</v>
      </c>
      <c r="Y309" s="152">
        <f>MouserListTable[[#This Row],[Tot '#]]*MouserListTable[[#This Row],[Price (USD)]]</f>
        <v>0</v>
      </c>
    </row>
    <row r="310" spans="1:25" x14ac:dyDescent="0.25">
      <c r="A310" s="150" t="s">
        <v>889</v>
      </c>
      <c r="B310" s="150" t="s">
        <v>986</v>
      </c>
      <c r="C310" s="150" t="s">
        <v>5</v>
      </c>
      <c r="D310" s="151" t="str">
        <f>IF(MouserListTable[[#This Row],[Vendor]]=FilterSpecs!$A$8,MouserListTable[[#This Row],[Mouser SKU]], MouserListTable[[#This Row],[Supplier SKU]])</f>
        <v>474-PRT-12047</v>
      </c>
      <c r="E310" s="152">
        <f>MouserListTable[[#This Row],[Tot '#]]-MouserListTable[[#This Row],['# Initial]]</f>
        <v>0</v>
      </c>
      <c r="F310" s="152">
        <f>IF(AND(MouserListTable[[#This Row],[Tag]]&lt;&gt;FilterSpecs!$F$12, MouserListTable[[#This Row],[Tag]]&lt;&gt;FilterSpecs!$F$9), MouserListTable[[#This Row],['#/Unit]]*FilterSpecs!$B$3+MouserListTable[[#This Row],[Extra Initial]],0)</f>
        <v>20</v>
      </c>
      <c r="G310" s="150" t="s">
        <v>1298</v>
      </c>
      <c r="H310" s="150" t="s">
        <v>1299</v>
      </c>
      <c r="I310" s="150" t="s">
        <v>1300</v>
      </c>
      <c r="J310" s="150">
        <v>1</v>
      </c>
      <c r="K310" s="154">
        <v>3.95</v>
      </c>
      <c r="L310" s="150" t="s">
        <v>1897</v>
      </c>
      <c r="M310" s="150" t="s">
        <v>1296</v>
      </c>
      <c r="N310" s="154">
        <f>MouserListTable[[#This Row],['# Initial]]*MouserListTable[[#This Row],[Price (USD)]]</f>
        <v>79</v>
      </c>
      <c r="O310" s="151" t="s">
        <v>1297</v>
      </c>
      <c r="P310" s="150">
        <f t="shared" si="5"/>
        <v>297</v>
      </c>
      <c r="Q310" s="150" t="s">
        <v>5</v>
      </c>
      <c r="R31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474-PRT-12047</v>
      </c>
      <c r="S310" s="157" t="str">
        <f>HYPERLINK("https://www.mouser.com/ProductDetail/" &amp;MouserListTable[[#This Row],[Mouser SKU]])</f>
        <v>https://www.mouser.com/ProductDetail/474-PRT-12047</v>
      </c>
      <c r="T310" s="152">
        <v>4</v>
      </c>
      <c r="U310" s="152">
        <v>0</v>
      </c>
      <c r="V310" s="152">
        <v>0</v>
      </c>
      <c r="W310" s="152">
        <f>MouserListTable[[#This Row],['#/Unit]]*FilterSpecs!$C$3+MouserListTable[[#This Row],[Extra]]</f>
        <v>20</v>
      </c>
      <c r="X310" s="152">
        <f>IF(MouserListTable[[#This Row],[Tag]]=FilterSpecs!$F$7,MouserListTable[[#This Row],['#/Unit]]*MouserListTable[[#This Row],[Price (USD)]],0)</f>
        <v>15.8</v>
      </c>
      <c r="Y310" s="152">
        <f>MouserListTable[[#This Row],[Tot '#]]*MouserListTable[[#This Row],[Price (USD)]]</f>
        <v>79</v>
      </c>
    </row>
    <row r="311" spans="1:25" x14ac:dyDescent="0.25">
      <c r="A311" s="150" t="s">
        <v>889</v>
      </c>
      <c r="B311" s="150" t="s">
        <v>986</v>
      </c>
      <c r="C311" s="150" t="s">
        <v>1884</v>
      </c>
      <c r="D311" s="151" t="str">
        <f>IF(MouserListTable[[#This Row],[Vendor]]=FilterSpecs!$A$8,MouserListTable[[#This Row],[Mouser SKU]], MouserListTable[[#This Row],[Supplier SKU]])</f>
        <v>485-65</v>
      </c>
      <c r="E311" s="152">
        <f>MouserListTable[[#This Row],[Tot '#]]-MouserListTable[[#This Row],['# Initial]]</f>
        <v>0</v>
      </c>
      <c r="F311" s="152">
        <f>IF(AND(MouserListTable[[#This Row],[Tag]]&lt;&gt;FilterSpecs!$F$12, MouserListTable[[#This Row],[Tag]]&lt;&gt;FilterSpecs!$F$9), MouserListTable[[#This Row],['#/Unit]]*FilterSpecs!$B$3+MouserListTable[[#This Row],[Extra Initial]],0)</f>
        <v>0</v>
      </c>
      <c r="G311" s="150"/>
      <c r="H311" s="150"/>
      <c r="I311" s="150" t="s">
        <v>2090</v>
      </c>
      <c r="J311" s="153"/>
      <c r="K311" s="118">
        <v>4</v>
      </c>
      <c r="L311" s="97" t="s">
        <v>1896</v>
      </c>
      <c r="M311" s="153"/>
      <c r="N311" s="154">
        <f>MouserListTable[[#This Row],['# Initial]]*MouserListTable[[#This Row],[Price (USD)]]</f>
        <v>0</v>
      </c>
      <c r="O311" s="151" t="s">
        <v>2089</v>
      </c>
      <c r="P311" s="150">
        <f t="shared" si="5"/>
        <v>298</v>
      </c>
      <c r="Q311" s="150" t="s">
        <v>1884</v>
      </c>
      <c r="R31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485-65</v>
      </c>
      <c r="S311" s="157" t="str">
        <f>HYPERLINK("https://www.mouser.com/ProductDetail/" &amp;MouserListTable[[#This Row],[Mouser SKU]])</f>
        <v>https://www.mouser.com/ProductDetail/485-65</v>
      </c>
      <c r="T311" s="152">
        <v>0</v>
      </c>
      <c r="U311" s="152">
        <v>0</v>
      </c>
      <c r="V311" s="152">
        <v>0</v>
      </c>
      <c r="W311" s="152">
        <f>MouserListTable[[#This Row],['#/Unit]]*FilterSpecs!$C$3+MouserListTable[[#This Row],[Extra]]</f>
        <v>0</v>
      </c>
      <c r="X311" s="152">
        <f>IF(MouserListTable[[#This Row],[Tag]]=FilterSpecs!$F$7,MouserListTable[[#This Row],['#/Unit]]*MouserListTable[[#This Row],[Price (USD)]],0)</f>
        <v>0</v>
      </c>
      <c r="Y311" s="152">
        <f>MouserListTable[[#This Row],[Tot '#]]*MouserListTable[[#This Row],[Price (USD)]]</f>
        <v>0</v>
      </c>
    </row>
    <row r="312" spans="1:25" x14ac:dyDescent="0.25">
      <c r="A312" s="150" t="s">
        <v>889</v>
      </c>
      <c r="B312" s="150" t="s">
        <v>986</v>
      </c>
      <c r="C312" s="150" t="s">
        <v>5</v>
      </c>
      <c r="D312" s="151" t="str">
        <f>IF(MouserListTable[[#This Row],[Vendor]]=FilterSpecs!$A$8,MouserListTable[[#This Row],[Mouser SKU]], MouserListTable[[#This Row],[Supplier SKU]])</f>
        <v>474-PRT-12699</v>
      </c>
      <c r="E312" s="152">
        <f>MouserListTable[[#This Row],[Tot '#]]-MouserListTable[[#This Row],['# Initial]]</f>
        <v>0</v>
      </c>
      <c r="F312" s="152">
        <f>IF(AND(MouserListTable[[#This Row],[Tag]]&lt;&gt;FilterSpecs!$F$12, MouserListTable[[#This Row],[Tag]]&lt;&gt;FilterSpecs!$F$9), MouserListTable[[#This Row],['#/Unit]]*FilterSpecs!$B$3+MouserListTable[[#This Row],[Extra Initial]],0)</f>
        <v>10</v>
      </c>
      <c r="G312" s="150" t="s">
        <v>926</v>
      </c>
      <c r="H312" s="150" t="s">
        <v>927</v>
      </c>
      <c r="I312" s="150" t="s">
        <v>928</v>
      </c>
      <c r="J312" s="150">
        <v>1</v>
      </c>
      <c r="K312" s="154">
        <v>8.9499999999999993</v>
      </c>
      <c r="L312" s="150" t="s">
        <v>1897</v>
      </c>
      <c r="M312" s="151"/>
      <c r="N312" s="154">
        <f>MouserListTable[[#This Row],['# Initial]]*MouserListTable[[#This Row],[Price (USD)]]</f>
        <v>89.5</v>
      </c>
      <c r="O312" s="151" t="s">
        <v>925</v>
      </c>
      <c r="P312" s="150">
        <f t="shared" si="5"/>
        <v>299</v>
      </c>
      <c r="Q312" s="150" t="s">
        <v>5</v>
      </c>
      <c r="R31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474-PRT-12699</v>
      </c>
      <c r="S312" s="157" t="str">
        <f>HYPERLINK("https://www.mouser.com/ProductDetail/" &amp;MouserListTable[[#This Row],[Mouser SKU]])</f>
        <v>https://www.mouser.com/ProductDetail/474-PRT-12699</v>
      </c>
      <c r="T312" s="152">
        <v>2</v>
      </c>
      <c r="U312" s="152">
        <v>0</v>
      </c>
      <c r="V312" s="152">
        <v>0</v>
      </c>
      <c r="W312" s="152">
        <f>MouserListTable[[#This Row],['#/Unit]]*FilterSpecs!$C$3+MouserListTable[[#This Row],[Extra]]</f>
        <v>10</v>
      </c>
      <c r="X312" s="152">
        <f>IF(MouserListTable[[#This Row],[Tag]]=FilterSpecs!$F$7,MouserListTable[[#This Row],['#/Unit]]*MouserListTable[[#This Row],[Price (USD)]],0)</f>
        <v>17.899999999999999</v>
      </c>
      <c r="Y312" s="152">
        <f>MouserListTable[[#This Row],[Tot '#]]*MouserListTable[[#This Row],[Price (USD)]]</f>
        <v>89.5</v>
      </c>
    </row>
    <row r="313" spans="1:25" x14ac:dyDescent="0.25">
      <c r="A313" s="150" t="s">
        <v>889</v>
      </c>
      <c r="B313" s="150" t="s">
        <v>986</v>
      </c>
      <c r="C313" s="150" t="s">
        <v>5</v>
      </c>
      <c r="D313" s="151" t="str">
        <f>IF(MouserListTable[[#This Row],[Vendor]]=FilterSpecs!$A$8,MouserListTable[[#This Row],[Mouser SKU]], MouserListTable[[#This Row],[Supplier SKU]])</f>
        <v>474-PRT-12070</v>
      </c>
      <c r="E313" s="152">
        <f>MouserListTable[[#This Row],[Tot '#]]-MouserListTable[[#This Row],['# Initial]]</f>
        <v>1</v>
      </c>
      <c r="F313" s="152">
        <f>IF(AND(MouserListTable[[#This Row],[Tag]]&lt;&gt;FilterSpecs!$F$12, MouserListTable[[#This Row],[Tag]]&lt;&gt;FilterSpecs!$F$9), MouserListTable[[#This Row],['#/Unit]]*FilterSpecs!$B$3+MouserListTable[[#This Row],[Extra Initial]],0)</f>
        <v>0</v>
      </c>
      <c r="G313" s="150" t="s">
        <v>1826</v>
      </c>
      <c r="H313" s="150" t="s">
        <v>1827</v>
      </c>
      <c r="I313" s="150" t="s">
        <v>1828</v>
      </c>
      <c r="J313" s="150">
        <v>1</v>
      </c>
      <c r="K313" s="154">
        <v>4.95</v>
      </c>
      <c r="L313" s="150" t="s">
        <v>1896</v>
      </c>
      <c r="M313" s="151"/>
      <c r="N313" s="154">
        <f>MouserListTable[[#This Row],['# Initial]]*MouserListTable[[#This Row],[Price (USD)]]</f>
        <v>0</v>
      </c>
      <c r="O313" s="151" t="s">
        <v>1825</v>
      </c>
      <c r="P313" s="150">
        <f t="shared" si="5"/>
        <v>300</v>
      </c>
      <c r="Q313" s="150" t="s">
        <v>5</v>
      </c>
      <c r="R31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474-PRT-12070</v>
      </c>
      <c r="S313" s="157" t="str">
        <f>HYPERLINK("https://www.mouser.com/ProductDetail/" &amp;MouserListTable[[#This Row],[Mouser SKU]])</f>
        <v>https://www.mouser.com/ProductDetail/474-PRT-12070</v>
      </c>
      <c r="T313" s="152">
        <v>0</v>
      </c>
      <c r="U313" s="152">
        <v>1</v>
      </c>
      <c r="V313" s="152">
        <v>0</v>
      </c>
      <c r="W313" s="152">
        <f>MouserListTable[[#This Row],['#/Unit]]*FilterSpecs!$C$3+MouserListTable[[#This Row],[Extra]]</f>
        <v>1</v>
      </c>
      <c r="X313" s="152">
        <f>IF(MouserListTable[[#This Row],[Tag]]=FilterSpecs!$F$7,MouserListTable[[#This Row],['#/Unit]]*MouserListTable[[#This Row],[Price (USD)]],0)</f>
        <v>0</v>
      </c>
      <c r="Y313" s="152">
        <f>MouserListTable[[#This Row],[Tot '#]]*MouserListTable[[#This Row],[Price (USD)]]</f>
        <v>4.95</v>
      </c>
    </row>
    <row r="314" spans="1:25" x14ac:dyDescent="0.25">
      <c r="A314" s="97" t="s">
        <v>889</v>
      </c>
      <c r="B314" s="97" t="s">
        <v>986</v>
      </c>
      <c r="C314" s="150" t="s">
        <v>5</v>
      </c>
      <c r="D314" s="151" t="str">
        <f>IF(MouserListTable[[#This Row],[Vendor]]=FilterSpecs!$A$8,MouserListTable[[#This Row],[Mouser SKU]], MouserListTable[[#This Row],[Supplier SKU]])</f>
        <v>474-PRT-12702</v>
      </c>
      <c r="E314" s="152">
        <f>MouserListTable[[#This Row],[Tot '#]]-MouserListTable[[#This Row],['# Initial]]</f>
        <v>0</v>
      </c>
      <c r="F314" s="152">
        <f>IF(AND(MouserListTable[[#This Row],[Tag]]&lt;&gt;FilterSpecs!$F$12, MouserListTable[[#This Row],[Tag]]&lt;&gt;FilterSpecs!$F$9), MouserListTable[[#This Row],['#/Unit]]*FilterSpecs!$B$3+MouserListTable[[#This Row],[Extra Initial]],0)</f>
        <v>0</v>
      </c>
      <c r="G314" s="150" t="s">
        <v>1834</v>
      </c>
      <c r="H314" s="150" t="s">
        <v>1835</v>
      </c>
      <c r="I314" s="150" t="s">
        <v>1836</v>
      </c>
      <c r="J314" s="150"/>
      <c r="K314" s="154">
        <v>2.95</v>
      </c>
      <c r="L314" s="150" t="s">
        <v>1896</v>
      </c>
      <c r="M314" s="153"/>
      <c r="N314" s="154">
        <f>MouserListTable[[#This Row],['# Initial]]*MouserListTable[[#This Row],[Price (USD)]]</f>
        <v>0</v>
      </c>
      <c r="O314" s="151" t="s">
        <v>1833</v>
      </c>
      <c r="P314" s="150">
        <f t="shared" si="5"/>
        <v>301</v>
      </c>
      <c r="Q314" s="150" t="s">
        <v>5</v>
      </c>
      <c r="R31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474-PRT-12702</v>
      </c>
      <c r="S314" s="157" t="str">
        <f>HYPERLINK("https://www.mouser.com/ProductDetail/" &amp;MouserListTable[[#This Row],[Mouser SKU]])</f>
        <v>https://www.mouser.com/ProductDetail/474-PRT-12702</v>
      </c>
      <c r="T314" s="152">
        <v>0</v>
      </c>
      <c r="U314" s="152">
        <v>0</v>
      </c>
      <c r="V314" s="152">
        <v>0</v>
      </c>
      <c r="W314" s="152">
        <f>MouserListTable[[#This Row],['#/Unit]]*FilterSpecs!$C$3+MouserListTable[[#This Row],[Extra]]</f>
        <v>0</v>
      </c>
      <c r="X314" s="152">
        <f>IF(MouserListTable[[#This Row],[Tag]]=FilterSpecs!$F$7,MouserListTable[[#This Row],['#/Unit]]*MouserListTable[[#This Row],[Price (USD)]],0)</f>
        <v>0</v>
      </c>
      <c r="Y314" s="152">
        <f>MouserListTable[[#This Row],[Tot '#]]*MouserListTable[[#This Row],[Price (USD)]]</f>
        <v>0</v>
      </c>
    </row>
    <row r="315" spans="1:25" x14ac:dyDescent="0.25">
      <c r="A315" s="150" t="s">
        <v>889</v>
      </c>
      <c r="B315" s="150" t="s">
        <v>986</v>
      </c>
      <c r="C315" s="150" t="s">
        <v>5</v>
      </c>
      <c r="D315" s="151" t="str">
        <f>IF(MouserListTable[[#This Row],[Vendor]]=FilterSpecs!$A$8,MouserListTable[[#This Row],[Mouser SKU]], MouserListTable[[#This Row],[Supplier SKU]])</f>
        <v>474-DEV-07914</v>
      </c>
      <c r="E315" s="152">
        <f>MouserListTable[[#This Row],[Tot '#]]-MouserListTable[[#This Row],['# Initial]]</f>
        <v>1</v>
      </c>
      <c r="F315" s="152">
        <f>IF(AND(MouserListTable[[#This Row],[Tag]]&lt;&gt;FilterSpecs!$F$12, MouserListTable[[#This Row],[Tag]]&lt;&gt;FilterSpecs!$F$9), MouserListTable[[#This Row],['#/Unit]]*FilterSpecs!$B$3+MouserListTable[[#This Row],[Extra Initial]],0)</f>
        <v>5</v>
      </c>
      <c r="G315" s="150" t="s">
        <v>1758</v>
      </c>
      <c r="H315" s="150" t="s">
        <v>1759</v>
      </c>
      <c r="I315" s="150" t="s">
        <v>1760</v>
      </c>
      <c r="J315" s="150">
        <v>1</v>
      </c>
      <c r="K315" s="154">
        <v>9.9499999999999993</v>
      </c>
      <c r="L315" s="150" t="s">
        <v>1897</v>
      </c>
      <c r="M315" s="151"/>
      <c r="N315" s="154">
        <f>MouserListTable[[#This Row],['# Initial]]*MouserListTable[[#This Row],[Price (USD)]]</f>
        <v>49.75</v>
      </c>
      <c r="O315" s="151" t="s">
        <v>1757</v>
      </c>
      <c r="P315" s="150">
        <f t="shared" si="5"/>
        <v>302</v>
      </c>
      <c r="Q315" s="150" t="s">
        <v>5</v>
      </c>
      <c r="R31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474-DEV-07914</v>
      </c>
      <c r="S315" s="157" t="str">
        <f>HYPERLINK("https://www.mouser.com/ProductDetail/" &amp;MouserListTable[[#This Row],[Mouser SKU]])</f>
        <v>https://www.mouser.com/ProductDetail/474-DEV-07914</v>
      </c>
      <c r="T315" s="152">
        <v>1</v>
      </c>
      <c r="U315" s="152">
        <v>1</v>
      </c>
      <c r="V315" s="152">
        <v>0</v>
      </c>
      <c r="W315" s="152">
        <f>MouserListTable[[#This Row],['#/Unit]]*FilterSpecs!$C$3+MouserListTable[[#This Row],[Extra]]</f>
        <v>6</v>
      </c>
      <c r="X315" s="152">
        <f>IF(MouserListTable[[#This Row],[Tag]]=FilterSpecs!$F$7,MouserListTable[[#This Row],['#/Unit]]*MouserListTable[[#This Row],[Price (USD)]],0)</f>
        <v>9.9499999999999993</v>
      </c>
      <c r="Y315" s="152">
        <f>MouserListTable[[#This Row],[Tot '#]]*MouserListTable[[#This Row],[Price (USD)]]</f>
        <v>59.699999999999996</v>
      </c>
    </row>
    <row r="316" spans="1:25" x14ac:dyDescent="0.25">
      <c r="A316" s="150" t="s">
        <v>889</v>
      </c>
      <c r="B316" s="150" t="s">
        <v>986</v>
      </c>
      <c r="C316" s="150" t="s">
        <v>1884</v>
      </c>
      <c r="D316" s="151" t="str">
        <f>IF(MouserListTable[[#This Row],[Vendor]]=FilterSpecs!$A$8,MouserListTable[[#This Row],[Mouser SKU]], MouserListTable[[#This Row],[Supplier SKU]])</f>
        <v>485-2077</v>
      </c>
      <c r="E316" s="152">
        <f>MouserListTable[[#This Row],[Tot '#]]-MouserListTable[[#This Row],['# Initial]]</f>
        <v>0</v>
      </c>
      <c r="F316" s="152">
        <f>IF(AND(MouserListTable[[#This Row],[Tag]]&lt;&gt;FilterSpecs!$F$12, MouserListTable[[#This Row],[Tag]]&lt;&gt;FilterSpecs!$F$9), MouserListTable[[#This Row],['#/Unit]]*FilterSpecs!$B$3+MouserListTable[[#This Row],[Extra Initial]],0)</f>
        <v>0</v>
      </c>
      <c r="G316" s="150"/>
      <c r="H316" s="150"/>
      <c r="I316" s="150" t="s">
        <v>2076</v>
      </c>
      <c r="J316" s="153"/>
      <c r="K316" s="118">
        <v>9.9499999999999993</v>
      </c>
      <c r="L316" s="97" t="s">
        <v>1896</v>
      </c>
      <c r="M316" s="153"/>
      <c r="N316" s="154">
        <f>MouserListTable[[#This Row],['# Initial]]*MouserListTable[[#This Row],[Price (USD)]]</f>
        <v>0</v>
      </c>
      <c r="O316" s="151" t="s">
        <v>2075</v>
      </c>
      <c r="P316" s="150">
        <f t="shared" si="5"/>
        <v>303</v>
      </c>
      <c r="Q316" s="150" t="s">
        <v>1884</v>
      </c>
      <c r="R31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485-2077</v>
      </c>
      <c r="S316" s="157" t="str">
        <f>HYPERLINK("https://www.mouser.com/ProductDetail/" &amp;MouserListTable[[#This Row],[Mouser SKU]])</f>
        <v>https://www.mouser.com/ProductDetail/485-2077</v>
      </c>
      <c r="T316" s="152">
        <v>0</v>
      </c>
      <c r="U316" s="152">
        <v>0</v>
      </c>
      <c r="V316" s="152">
        <v>0</v>
      </c>
      <c r="W316" s="152">
        <f>MouserListTable[[#This Row],['#/Unit]]*FilterSpecs!$C$3+MouserListTable[[#This Row],[Extra]]</f>
        <v>0</v>
      </c>
      <c r="X316" s="152">
        <f>IF(MouserListTable[[#This Row],[Tag]]=FilterSpecs!$F$7,MouserListTable[[#This Row],['#/Unit]]*MouserListTable[[#This Row],[Price (USD)]],0)</f>
        <v>0</v>
      </c>
      <c r="Y316" s="152">
        <f>MouserListTable[[#This Row],[Tot '#]]*MouserListTable[[#This Row],[Price (USD)]]</f>
        <v>0</v>
      </c>
    </row>
    <row r="317" spans="1:25" x14ac:dyDescent="0.25">
      <c r="A317" s="150" t="s">
        <v>889</v>
      </c>
      <c r="B317" s="150" t="s">
        <v>986</v>
      </c>
      <c r="C317" s="150" t="s">
        <v>1884</v>
      </c>
      <c r="D317" s="151" t="str">
        <f>IF(MouserListTable[[#This Row],[Vendor]]=FilterSpecs!$A$8,MouserListTable[[#This Row],[Mouser SKU]], MouserListTable[[#This Row],[Supplier SKU]])</f>
        <v>485-196</v>
      </c>
      <c r="E317" s="152">
        <f>MouserListTable[[#This Row],[Tot '#]]-MouserListTable[[#This Row],['# Initial]]</f>
        <v>0</v>
      </c>
      <c r="F317" s="152">
        <f>IF(AND(MouserListTable[[#This Row],[Tag]]&lt;&gt;FilterSpecs!$F$12, MouserListTable[[#This Row],[Tag]]&lt;&gt;FilterSpecs!$F$9), MouserListTable[[#This Row],['#/Unit]]*FilterSpecs!$B$3+MouserListTable[[#This Row],[Extra Initial]],0)</f>
        <v>0</v>
      </c>
      <c r="G317" s="150"/>
      <c r="H317" s="150"/>
      <c r="I317" s="150" t="s">
        <v>2088</v>
      </c>
      <c r="J317" s="153"/>
      <c r="K317" s="118">
        <v>14.95</v>
      </c>
      <c r="L317" s="97" t="s">
        <v>1896</v>
      </c>
      <c r="M317" s="153"/>
      <c r="N317" s="154">
        <f>MouserListTable[[#This Row],['# Initial]]*MouserListTable[[#This Row],[Price (USD)]]</f>
        <v>0</v>
      </c>
      <c r="O317" s="151" t="s">
        <v>2087</v>
      </c>
      <c r="P317" s="150">
        <f t="shared" si="5"/>
        <v>304</v>
      </c>
      <c r="Q317" s="150" t="s">
        <v>1884</v>
      </c>
      <c r="R31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485-196</v>
      </c>
      <c r="S317" s="157" t="str">
        <f>HYPERLINK("https://www.mouser.com/ProductDetail/" &amp;MouserListTable[[#This Row],[Mouser SKU]])</f>
        <v>https://www.mouser.com/ProductDetail/485-196</v>
      </c>
      <c r="T317" s="152">
        <v>0</v>
      </c>
      <c r="U317" s="152">
        <v>0</v>
      </c>
      <c r="V317" s="152">
        <v>0</v>
      </c>
      <c r="W317" s="152">
        <f>MouserListTable[[#This Row],['#/Unit]]*FilterSpecs!$C$3+MouserListTable[[#This Row],[Extra]]</f>
        <v>0</v>
      </c>
      <c r="X317" s="152">
        <f>IF(MouserListTable[[#This Row],[Tag]]=FilterSpecs!$F$7,MouserListTable[[#This Row],['#/Unit]]*MouserListTable[[#This Row],[Price (USD)]],0)</f>
        <v>0</v>
      </c>
      <c r="Y317" s="152">
        <f>MouserListTable[[#This Row],[Tot '#]]*MouserListTable[[#This Row],[Price (USD)]]</f>
        <v>0</v>
      </c>
    </row>
    <row r="318" spans="1:25" x14ac:dyDescent="0.25">
      <c r="A318" s="150" t="s">
        <v>889</v>
      </c>
      <c r="B318" s="150" t="s">
        <v>986</v>
      </c>
      <c r="C318" s="150" t="s">
        <v>1884</v>
      </c>
      <c r="D318" s="151" t="str">
        <f>IF(MouserListTable[[#This Row],[Vendor]]=FilterSpecs!$A$8,MouserListTable[[#This Row],[Mouser SKU]], MouserListTable[[#This Row],[Supplier SKU]])</f>
        <v>485-192</v>
      </c>
      <c r="E318" s="152">
        <f>MouserListTable[[#This Row],[Tot '#]]-MouserListTable[[#This Row],['# Initial]]</f>
        <v>0</v>
      </c>
      <c r="F318" s="152">
        <f>IF(AND(MouserListTable[[#This Row],[Tag]]&lt;&gt;FilterSpecs!$F$12, MouserListTable[[#This Row],[Tag]]&lt;&gt;FilterSpecs!$F$9), MouserListTable[[#This Row],['#/Unit]]*FilterSpecs!$B$3+MouserListTable[[#This Row],[Extra Initial]],0)</f>
        <v>0</v>
      </c>
      <c r="G318" s="150"/>
      <c r="H318" s="150"/>
      <c r="I318" s="150" t="s">
        <v>2080</v>
      </c>
      <c r="J318" s="153"/>
      <c r="K318" s="118">
        <v>14.95</v>
      </c>
      <c r="L318" s="97" t="s">
        <v>1896</v>
      </c>
      <c r="M318" s="153"/>
      <c r="N318" s="154">
        <f>MouserListTable[[#This Row],['# Initial]]*MouserListTable[[#This Row],[Price (USD)]]</f>
        <v>0</v>
      </c>
      <c r="O318" s="151" t="s">
        <v>2079</v>
      </c>
      <c r="P318" s="150">
        <f t="shared" si="5"/>
        <v>305</v>
      </c>
      <c r="Q318" s="150" t="s">
        <v>1884</v>
      </c>
      <c r="R31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485-192</v>
      </c>
      <c r="S318" s="157" t="str">
        <f>HYPERLINK("https://www.mouser.com/ProductDetail/" &amp;MouserListTable[[#This Row],[Mouser SKU]])</f>
        <v>https://www.mouser.com/ProductDetail/485-192</v>
      </c>
      <c r="T318" s="152">
        <v>0</v>
      </c>
      <c r="U318" s="152">
        <v>0</v>
      </c>
      <c r="V318" s="152">
        <v>0</v>
      </c>
      <c r="W318" s="152">
        <f>MouserListTable[[#This Row],['#/Unit]]*FilterSpecs!$C$3+MouserListTable[[#This Row],[Extra]]</f>
        <v>0</v>
      </c>
      <c r="X318" s="152">
        <f>IF(MouserListTable[[#This Row],[Tag]]=FilterSpecs!$F$7,MouserListTable[[#This Row],['#/Unit]]*MouserListTable[[#This Row],[Price (USD)]],0)</f>
        <v>0</v>
      </c>
      <c r="Y318" s="152">
        <f>MouserListTable[[#This Row],[Tot '#]]*MouserListTable[[#This Row],[Price (USD)]]</f>
        <v>0</v>
      </c>
    </row>
    <row r="319" spans="1:25" x14ac:dyDescent="0.25">
      <c r="A319" s="150" t="s">
        <v>889</v>
      </c>
      <c r="B319" s="150" t="s">
        <v>986</v>
      </c>
      <c r="C319" s="150" t="s">
        <v>1884</v>
      </c>
      <c r="D319" s="151" t="str">
        <f>IF(MouserListTable[[#This Row],[Vendor]]=FilterSpecs!$A$8,MouserListTable[[#This Row],[Mouser SKU]], MouserListTable[[#This Row],[Supplier SKU]])</f>
        <v>485-443</v>
      </c>
      <c r="E319" s="152">
        <f>MouserListTable[[#This Row],[Tot '#]]-MouserListTable[[#This Row],['# Initial]]</f>
        <v>0</v>
      </c>
      <c r="F319" s="152">
        <f>IF(AND(MouserListTable[[#This Row],[Tag]]&lt;&gt;FilterSpecs!$F$12, MouserListTable[[#This Row],[Tag]]&lt;&gt;FilterSpecs!$F$9), MouserListTable[[#This Row],['#/Unit]]*FilterSpecs!$B$3+MouserListTable[[#This Row],[Extra Initial]],0)</f>
        <v>0</v>
      </c>
      <c r="G319" s="150"/>
      <c r="H319" s="150"/>
      <c r="I319" s="150" t="s">
        <v>2078</v>
      </c>
      <c r="J319" s="153"/>
      <c r="K319" s="118">
        <v>19.95</v>
      </c>
      <c r="L319" s="97" t="s">
        <v>1896</v>
      </c>
      <c r="M319" s="153"/>
      <c r="N319" s="154">
        <f>MouserListTable[[#This Row],['# Initial]]*MouserListTable[[#This Row],[Price (USD)]]</f>
        <v>0</v>
      </c>
      <c r="O319" s="151" t="s">
        <v>2077</v>
      </c>
      <c r="P319" s="150">
        <f t="shared" si="5"/>
        <v>306</v>
      </c>
      <c r="Q319" s="150" t="s">
        <v>1884</v>
      </c>
      <c r="R31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485-443</v>
      </c>
      <c r="S319" s="157" t="str">
        <f>HYPERLINK("https://www.mouser.com/ProductDetail/" &amp;MouserListTable[[#This Row],[Mouser SKU]])</f>
        <v>https://www.mouser.com/ProductDetail/485-443</v>
      </c>
      <c r="T319" s="152">
        <v>0</v>
      </c>
      <c r="U319" s="152">
        <v>0</v>
      </c>
      <c r="V319" s="152">
        <v>0</v>
      </c>
      <c r="W319" s="152">
        <f>MouserListTable[[#This Row],['#/Unit]]*FilterSpecs!$C$3+MouserListTable[[#This Row],[Extra]]</f>
        <v>0</v>
      </c>
      <c r="X319" s="152">
        <f>IF(MouserListTable[[#This Row],[Tag]]=FilterSpecs!$F$7,MouserListTable[[#This Row],['#/Unit]]*MouserListTable[[#This Row],[Price (USD)]],0)</f>
        <v>0</v>
      </c>
      <c r="Y319" s="152">
        <f>MouserListTable[[#This Row],[Tot '#]]*MouserListTable[[#This Row],[Price (USD)]]</f>
        <v>0</v>
      </c>
    </row>
    <row r="320" spans="1:25" x14ac:dyDescent="0.25">
      <c r="A320" s="150" t="s">
        <v>889</v>
      </c>
      <c r="B320" s="150" t="s">
        <v>986</v>
      </c>
      <c r="C320" s="150" t="s">
        <v>1884</v>
      </c>
      <c r="D320" s="151" t="str">
        <f>IF(MouserListTable[[#This Row],[Vendor]]=FilterSpecs!$A$8,MouserListTable[[#This Row],[Mouser SKU]], MouserListTable[[#This Row],[Supplier SKU]])</f>
        <v>485-2017</v>
      </c>
      <c r="E320" s="152">
        <f>MouserListTable[[#This Row],[Tot '#]]-MouserListTable[[#This Row],['# Initial]]</f>
        <v>0</v>
      </c>
      <c r="F320" s="152">
        <f>IF(AND(MouserListTable[[#This Row],[Tag]]&lt;&gt;FilterSpecs!$F$12, MouserListTable[[#This Row],[Tag]]&lt;&gt;FilterSpecs!$F$9), MouserListTable[[#This Row],['#/Unit]]*FilterSpecs!$B$3+MouserListTable[[#This Row],[Extra Initial]],0)</f>
        <v>0</v>
      </c>
      <c r="G320" s="150"/>
      <c r="H320" s="150"/>
      <c r="I320" s="150" t="s">
        <v>2082</v>
      </c>
      <c r="J320" s="153"/>
      <c r="K320" s="118">
        <v>0.75</v>
      </c>
      <c r="L320" s="97" t="s">
        <v>1896</v>
      </c>
      <c r="M320" s="153"/>
      <c r="N320" s="154">
        <f>MouserListTable[[#This Row],['# Initial]]*MouserListTable[[#This Row],[Price (USD)]]</f>
        <v>0</v>
      </c>
      <c r="O320" s="151" t="s">
        <v>2081</v>
      </c>
      <c r="P320" s="150">
        <f t="shared" si="5"/>
        <v>307</v>
      </c>
      <c r="Q320" s="150" t="s">
        <v>1884</v>
      </c>
      <c r="R32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485-2017</v>
      </c>
      <c r="S320" s="157" t="str">
        <f>HYPERLINK("https://www.mouser.com/ProductDetail/" &amp;MouserListTable[[#This Row],[Mouser SKU]])</f>
        <v>https://www.mouser.com/ProductDetail/485-2017</v>
      </c>
      <c r="T320" s="152">
        <v>0</v>
      </c>
      <c r="U320" s="152">
        <v>0</v>
      </c>
      <c r="V320" s="152">
        <v>0</v>
      </c>
      <c r="W320" s="152">
        <f>MouserListTable[[#This Row],['#/Unit]]*FilterSpecs!$C$3+MouserListTable[[#This Row],[Extra]]</f>
        <v>0</v>
      </c>
      <c r="X320" s="152">
        <f>IF(MouserListTable[[#This Row],[Tag]]=FilterSpecs!$F$7,MouserListTable[[#This Row],['#/Unit]]*MouserListTable[[#This Row],[Price (USD)]],0)</f>
        <v>0</v>
      </c>
      <c r="Y320" s="152">
        <f>MouserListTable[[#This Row],[Tot '#]]*MouserListTable[[#This Row],[Price (USD)]]</f>
        <v>0</v>
      </c>
    </row>
    <row r="321" spans="1:25" x14ac:dyDescent="0.25">
      <c r="A321" s="150" t="s">
        <v>889</v>
      </c>
      <c r="B321" s="150" t="s">
        <v>986</v>
      </c>
      <c r="C321" s="150" t="s">
        <v>1884</v>
      </c>
      <c r="D321" s="151" t="str">
        <f>IF(MouserListTable[[#This Row],[Vendor]]=FilterSpecs!$A$8,MouserListTable[[#This Row],[Mouser SKU]], MouserListTable[[#This Row],[Supplier SKU]])</f>
        <v>485-2018</v>
      </c>
      <c r="E321" s="152">
        <f>MouserListTable[[#This Row],[Tot '#]]-MouserListTable[[#This Row],['# Initial]]</f>
        <v>0</v>
      </c>
      <c r="F321" s="152">
        <f>IF(AND(MouserListTable[[#This Row],[Tag]]&lt;&gt;FilterSpecs!$F$12, MouserListTable[[#This Row],[Tag]]&lt;&gt;FilterSpecs!$F$9), MouserListTable[[#This Row],['#/Unit]]*FilterSpecs!$B$3+MouserListTable[[#This Row],[Extra Initial]],0)</f>
        <v>0</v>
      </c>
      <c r="G321" s="150"/>
      <c r="H321" s="150"/>
      <c r="I321" s="150" t="s">
        <v>2084</v>
      </c>
      <c r="J321" s="153"/>
      <c r="K321" s="118">
        <v>0.95</v>
      </c>
      <c r="L321" s="97" t="s">
        <v>1896</v>
      </c>
      <c r="M321" s="153"/>
      <c r="N321" s="154">
        <f>MouserListTable[[#This Row],['# Initial]]*MouserListTable[[#This Row],[Price (USD)]]</f>
        <v>0</v>
      </c>
      <c r="O321" s="151" t="s">
        <v>2083</v>
      </c>
      <c r="P321" s="150">
        <f t="shared" si="5"/>
        <v>308</v>
      </c>
      <c r="Q321" s="150" t="s">
        <v>1884</v>
      </c>
      <c r="R32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485-2018</v>
      </c>
      <c r="S321" s="157" t="str">
        <f>HYPERLINK("https://www.mouser.com/ProductDetail/" &amp;MouserListTable[[#This Row],[Mouser SKU]])</f>
        <v>https://www.mouser.com/ProductDetail/485-2018</v>
      </c>
      <c r="T321" s="152">
        <v>0</v>
      </c>
      <c r="U321" s="152">
        <v>0</v>
      </c>
      <c r="V321" s="152">
        <v>0</v>
      </c>
      <c r="W321" s="152">
        <f>MouserListTable[[#This Row],['#/Unit]]*FilterSpecs!$C$3+MouserListTable[[#This Row],[Extra]]</f>
        <v>0</v>
      </c>
      <c r="X321" s="152">
        <f>IF(MouserListTable[[#This Row],[Tag]]=FilterSpecs!$F$7,MouserListTable[[#This Row],['#/Unit]]*MouserListTable[[#This Row],[Price (USD)]],0)</f>
        <v>0</v>
      </c>
      <c r="Y321" s="152">
        <f>MouserListTable[[#This Row],[Tot '#]]*MouserListTable[[#This Row],[Price (USD)]]</f>
        <v>0</v>
      </c>
    </row>
    <row r="322" spans="1:25" x14ac:dyDescent="0.25">
      <c r="A322" s="150" t="s">
        <v>889</v>
      </c>
      <c r="B322" s="150" t="s">
        <v>986</v>
      </c>
      <c r="C322" s="150" t="s">
        <v>1884</v>
      </c>
      <c r="D322" s="151" t="str">
        <f>IF(MouserListTable[[#This Row],[Vendor]]=FilterSpecs!$A$8,MouserListTable[[#This Row],[Mouser SKU]], MouserListTable[[#This Row],[Supplier SKU]])</f>
        <v>485-2463</v>
      </c>
      <c r="E322" s="152">
        <f>MouserListTable[[#This Row],[Tot '#]]-MouserListTable[[#This Row],['# Initial]]</f>
        <v>0</v>
      </c>
      <c r="F322" s="152">
        <f>IF(AND(MouserListTable[[#This Row],[Tag]]&lt;&gt;FilterSpecs!$F$12, MouserListTable[[#This Row],[Tag]]&lt;&gt;FilterSpecs!$F$9), MouserListTable[[#This Row],['#/Unit]]*FilterSpecs!$B$3+MouserListTable[[#This Row],[Extra Initial]],0)</f>
        <v>0</v>
      </c>
      <c r="G322" s="150"/>
      <c r="H322" s="150"/>
      <c r="I322" s="150" t="s">
        <v>2086</v>
      </c>
      <c r="J322" s="153"/>
      <c r="K322" s="118">
        <v>0.95</v>
      </c>
      <c r="L322" s="97" t="s">
        <v>1896</v>
      </c>
      <c r="M322" s="153"/>
      <c r="N322" s="154">
        <f>MouserListTable[[#This Row],['# Initial]]*MouserListTable[[#This Row],[Price (USD)]]</f>
        <v>0</v>
      </c>
      <c r="O322" s="151" t="s">
        <v>2085</v>
      </c>
      <c r="P322" s="150">
        <f t="shared" si="5"/>
        <v>309</v>
      </c>
      <c r="Q322" s="150" t="s">
        <v>1884</v>
      </c>
      <c r="R32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485-2463</v>
      </c>
      <c r="S322" s="157" t="str">
        <f>HYPERLINK("https://www.mouser.com/ProductDetail/" &amp;MouserListTable[[#This Row],[Mouser SKU]])</f>
        <v>https://www.mouser.com/ProductDetail/485-2463</v>
      </c>
      <c r="T322" s="152">
        <v>0</v>
      </c>
      <c r="U322" s="152">
        <v>0</v>
      </c>
      <c r="V322" s="152">
        <v>0</v>
      </c>
      <c r="W322" s="152">
        <f>MouserListTable[[#This Row],['#/Unit]]*FilterSpecs!$C$3+MouserListTable[[#This Row],[Extra]]</f>
        <v>0</v>
      </c>
      <c r="X322" s="152">
        <f>IF(MouserListTable[[#This Row],[Tag]]=FilterSpecs!$F$7,MouserListTable[[#This Row],['#/Unit]]*MouserListTable[[#This Row],[Price (USD)]],0)</f>
        <v>0</v>
      </c>
      <c r="Y322" s="152">
        <f>MouserListTable[[#This Row],[Tot '#]]*MouserListTable[[#This Row],[Price (USD)]]</f>
        <v>0</v>
      </c>
    </row>
    <row r="323" spans="1:25" x14ac:dyDescent="0.25">
      <c r="A323" s="150" t="s">
        <v>889</v>
      </c>
      <c r="B323" s="150" t="s">
        <v>986</v>
      </c>
      <c r="C323" s="150" t="s">
        <v>5</v>
      </c>
      <c r="D323" s="151" t="str">
        <f>IF(MouserListTable[[#This Row],[Vendor]]=FilterSpecs!$A$8,MouserListTable[[#This Row],[Mouser SKU]], MouserListTable[[#This Row],[Supplier SKU]])</f>
        <v>474-PRT-13268</v>
      </c>
      <c r="E323" s="152">
        <f>MouserListTable[[#This Row],[Tot '#]]-MouserListTable[[#This Row],['# Initial]]</f>
        <v>0</v>
      </c>
      <c r="F323" s="152">
        <f>IF(AND(MouserListTable[[#This Row],[Tag]]&lt;&gt;FilterSpecs!$F$12, MouserListTable[[#This Row],[Tag]]&lt;&gt;FilterSpecs!$F$9), MouserListTable[[#This Row],['#/Unit]]*FilterSpecs!$B$3+MouserListTable[[#This Row],[Extra Initial]],0)</f>
        <v>2</v>
      </c>
      <c r="G323" s="150" t="s">
        <v>938</v>
      </c>
      <c r="H323" s="150" t="s">
        <v>939</v>
      </c>
      <c r="I323" s="150" t="s">
        <v>940</v>
      </c>
      <c r="J323" s="150">
        <v>1</v>
      </c>
      <c r="K323" s="154">
        <v>7.95</v>
      </c>
      <c r="L323" s="150" t="s">
        <v>1896</v>
      </c>
      <c r="M323" s="151"/>
      <c r="N323" s="154">
        <f>MouserListTable[[#This Row],['# Initial]]*MouserListTable[[#This Row],[Price (USD)]]</f>
        <v>15.9</v>
      </c>
      <c r="O323" s="151" t="s">
        <v>937</v>
      </c>
      <c r="P323" s="150">
        <f t="shared" si="5"/>
        <v>310</v>
      </c>
      <c r="Q323" s="150" t="s">
        <v>5</v>
      </c>
      <c r="R32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474-PRT-13268</v>
      </c>
      <c r="S323" s="157" t="str">
        <f>HYPERLINK("https://www.mouser.com/ProductDetail/" &amp;MouserListTable[[#This Row],[Mouser SKU]])</f>
        <v>https://www.mouser.com/ProductDetail/474-PRT-13268</v>
      </c>
      <c r="T323" s="152">
        <v>0</v>
      </c>
      <c r="U323" s="152">
        <v>2</v>
      </c>
      <c r="V323" s="152">
        <v>2</v>
      </c>
      <c r="W323" s="152">
        <f>MouserListTable[[#This Row],['#/Unit]]*FilterSpecs!$C$3+MouserListTable[[#This Row],[Extra]]</f>
        <v>2</v>
      </c>
      <c r="X323" s="152">
        <f>IF(MouserListTable[[#This Row],[Tag]]=FilterSpecs!$F$7,MouserListTable[[#This Row],['#/Unit]]*MouserListTable[[#This Row],[Price (USD)]],0)</f>
        <v>0</v>
      </c>
      <c r="Y323" s="152">
        <f>MouserListTable[[#This Row],[Tot '#]]*MouserListTable[[#This Row],[Price (USD)]]</f>
        <v>15.9</v>
      </c>
    </row>
    <row r="324" spans="1:25" x14ac:dyDescent="0.25">
      <c r="A324" s="150" t="s">
        <v>889</v>
      </c>
      <c r="B324" s="150" t="s">
        <v>986</v>
      </c>
      <c r="C324" s="150" t="s">
        <v>5</v>
      </c>
      <c r="D324" s="151" t="str">
        <f>IF(MouserListTable[[#This Row],[Vendor]]=FilterSpecs!$A$8,MouserListTable[[#This Row],[Mouser SKU]], MouserListTable[[#This Row],[Supplier SKU]])</f>
        <v>474-DEV-13317</v>
      </c>
      <c r="E324" s="152">
        <f>MouserListTable[[#This Row],[Tot '#]]-MouserListTable[[#This Row],['# Initial]]</f>
        <v>0</v>
      </c>
      <c r="F324" s="152">
        <f>IF(AND(MouserListTable[[#This Row],[Tag]]&lt;&gt;FilterSpecs!$F$12, MouserListTable[[#This Row],[Tag]]&lt;&gt;FilterSpecs!$F$9), MouserListTable[[#This Row],['#/Unit]]*FilterSpecs!$B$3+MouserListTable[[#This Row],[Extra Initial]],0)</f>
        <v>10</v>
      </c>
      <c r="G324" s="150" t="s">
        <v>934</v>
      </c>
      <c r="H324" s="150" t="s">
        <v>935</v>
      </c>
      <c r="I324" s="150" t="s">
        <v>936</v>
      </c>
      <c r="J324" s="150">
        <v>1</v>
      </c>
      <c r="K324" s="154">
        <v>7.95</v>
      </c>
      <c r="L324" s="150" t="s">
        <v>1897</v>
      </c>
      <c r="M324" s="151"/>
      <c r="N324" s="154">
        <f>MouserListTable[[#This Row],['# Initial]]*MouserListTable[[#This Row],[Price (USD)]]</f>
        <v>79.5</v>
      </c>
      <c r="O324" s="151" t="s">
        <v>933</v>
      </c>
      <c r="P324" s="150">
        <f t="shared" si="5"/>
        <v>311</v>
      </c>
      <c r="Q324" s="150" t="s">
        <v>5</v>
      </c>
      <c r="R32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474-DEV-13317</v>
      </c>
      <c r="S324" s="157" t="str">
        <f>HYPERLINK("https://www.mouser.com/ProductDetail/" &amp;MouserListTable[[#This Row],[Mouser SKU]])</f>
        <v>https://www.mouser.com/ProductDetail/474-DEV-13317</v>
      </c>
      <c r="T324" s="152">
        <v>2</v>
      </c>
      <c r="U324" s="152">
        <v>0</v>
      </c>
      <c r="V324" s="152">
        <v>0</v>
      </c>
      <c r="W324" s="152">
        <f>MouserListTable[[#This Row],['#/Unit]]*FilterSpecs!$C$3+MouserListTable[[#This Row],[Extra]]</f>
        <v>10</v>
      </c>
      <c r="X324" s="152">
        <f>IF(MouserListTable[[#This Row],[Tag]]=FilterSpecs!$F$7,MouserListTable[[#This Row],['#/Unit]]*MouserListTable[[#This Row],[Price (USD)]],0)</f>
        <v>15.9</v>
      </c>
      <c r="Y324" s="152">
        <f>MouserListTable[[#This Row],[Tot '#]]*MouserListTable[[#This Row],[Price (USD)]]</f>
        <v>79.5</v>
      </c>
    </row>
    <row r="325" spans="1:25" x14ac:dyDescent="0.25">
      <c r="A325" s="150" t="s">
        <v>889</v>
      </c>
      <c r="B325" s="150" t="s">
        <v>1288</v>
      </c>
      <c r="C325" s="150" t="s">
        <v>5</v>
      </c>
      <c r="D325" s="151" t="str">
        <f>IF(MouserListTable[[#This Row],[Vendor]]=FilterSpecs!$A$8,MouserListTable[[#This Row],[Mouser SKU]], MouserListTable[[#This Row],[Supplier SKU]])</f>
        <v>474-PRT-11366</v>
      </c>
      <c r="E325" s="152">
        <f>MouserListTable[[#This Row],[Tot '#]]-MouserListTable[[#This Row],['# Initial]]</f>
        <v>5</v>
      </c>
      <c r="F325" s="152">
        <f>IF(AND(MouserListTable[[#This Row],[Tag]]&lt;&gt;FilterSpecs!$F$12, MouserListTable[[#This Row],[Tag]]&lt;&gt;FilterSpecs!$F$9), MouserListTable[[#This Row],['#/Unit]]*FilterSpecs!$B$3+MouserListTable[[#This Row],[Extra Initial]],0)</f>
        <v>0</v>
      </c>
      <c r="G325" s="150" t="s">
        <v>633</v>
      </c>
      <c r="H325" s="150" t="s">
        <v>634</v>
      </c>
      <c r="I325" s="150" t="s">
        <v>635</v>
      </c>
      <c r="J325" s="150"/>
      <c r="K325" s="154">
        <v>8.9499999999999993</v>
      </c>
      <c r="L325" s="150" t="s">
        <v>2461</v>
      </c>
      <c r="M325" s="151"/>
      <c r="N325" s="154">
        <f>MouserListTable[[#This Row],['# Initial]]*MouserListTable[[#This Row],[Price (USD)]]</f>
        <v>0</v>
      </c>
      <c r="O325" s="151" t="s">
        <v>632</v>
      </c>
      <c r="P325" s="150">
        <f t="shared" si="5"/>
        <v>312</v>
      </c>
      <c r="Q325" s="150" t="s">
        <v>5</v>
      </c>
      <c r="R32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474-PRT-11366</v>
      </c>
      <c r="S325" s="157" t="str">
        <f>HYPERLINK("https://www.mouser.com/ProductDetail/" &amp;MouserListTable[[#This Row],[Mouser SKU]])</f>
        <v>https://www.mouser.com/ProductDetail/474-PRT-11366</v>
      </c>
      <c r="T325" s="152">
        <v>1</v>
      </c>
      <c r="U325" s="152">
        <v>0</v>
      </c>
      <c r="V325" s="152">
        <v>0</v>
      </c>
      <c r="W325" s="152">
        <f>MouserListTable[[#This Row],['#/Unit]]*FilterSpecs!$C$3+MouserListTable[[#This Row],[Extra]]</f>
        <v>5</v>
      </c>
      <c r="X325" s="152">
        <f>IF(MouserListTable[[#This Row],[Tag]]=FilterSpecs!$F$7,MouserListTable[[#This Row],['#/Unit]]*MouserListTable[[#This Row],[Price (USD)]],0)</f>
        <v>0</v>
      </c>
      <c r="Y325" s="152">
        <f>MouserListTable[[#This Row],[Tot '#]]*MouserListTable[[#This Row],[Price (USD)]]</f>
        <v>44.75</v>
      </c>
    </row>
    <row r="326" spans="1:25" x14ac:dyDescent="0.25">
      <c r="A326" s="150" t="s">
        <v>889</v>
      </c>
      <c r="B326" s="150" t="s">
        <v>1288</v>
      </c>
      <c r="C326" s="150" t="s">
        <v>5</v>
      </c>
      <c r="D326" s="151" t="str">
        <f>IF(MouserListTable[[#This Row],[Vendor]]=FilterSpecs!$A$8,MouserListTable[[#This Row],[Mouser SKU]], MouserListTable[[#This Row],[Supplier SKU]])</f>
        <v>474-PRT-10088</v>
      </c>
      <c r="E326" s="152">
        <f>MouserListTable[[#This Row],[Tot '#]]-MouserListTable[[#This Row],['# Initial]]</f>
        <v>1</v>
      </c>
      <c r="F326" s="152">
        <f>IF(AND(MouserListTable[[#This Row],[Tag]]&lt;&gt;FilterSpecs!$F$12, MouserListTable[[#This Row],[Tag]]&lt;&gt;FilterSpecs!$F$9), MouserListTable[[#This Row],['#/Unit]]*FilterSpecs!$B$3+MouserListTable[[#This Row],[Extra Initial]],0)</f>
        <v>0</v>
      </c>
      <c r="G326" s="150" t="s">
        <v>653</v>
      </c>
      <c r="H326" s="150" t="s">
        <v>654</v>
      </c>
      <c r="I326" s="150" t="s">
        <v>655</v>
      </c>
      <c r="J326" s="150"/>
      <c r="K326" s="154">
        <v>11.95</v>
      </c>
      <c r="L326" s="150" t="s">
        <v>1897</v>
      </c>
      <c r="M326" s="151"/>
      <c r="N326" s="154">
        <f>MouserListTable[[#This Row],['# Initial]]*MouserListTable[[#This Row],[Price (USD)]]</f>
        <v>0</v>
      </c>
      <c r="O326" s="151" t="s">
        <v>652</v>
      </c>
      <c r="P326" s="150">
        <f t="shared" si="5"/>
        <v>313</v>
      </c>
      <c r="Q326" s="150" t="s">
        <v>5</v>
      </c>
      <c r="R32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474-PRT-10088</v>
      </c>
      <c r="S326" s="157" t="str">
        <f>HYPERLINK("https://www.mouser.com/ProductDetail/" &amp;MouserListTable[[#This Row],[Mouser SKU]])</f>
        <v>https://www.mouser.com/ProductDetail/474-PRT-10088</v>
      </c>
      <c r="T326" s="152">
        <v>0</v>
      </c>
      <c r="U326" s="152">
        <v>1</v>
      </c>
      <c r="V326" s="152">
        <v>0</v>
      </c>
      <c r="W326" s="152">
        <f>MouserListTable[[#This Row],['#/Unit]]*FilterSpecs!$C$3+MouserListTable[[#This Row],[Extra]]</f>
        <v>1</v>
      </c>
      <c r="X326" s="152">
        <f>IF(MouserListTable[[#This Row],[Tag]]=FilterSpecs!$F$7,MouserListTable[[#This Row],['#/Unit]]*MouserListTable[[#This Row],[Price (USD)]],0)</f>
        <v>0</v>
      </c>
      <c r="Y326" s="152">
        <f>MouserListTable[[#This Row],[Tot '#]]*MouserListTable[[#This Row],[Price (USD)]]</f>
        <v>11.95</v>
      </c>
    </row>
    <row r="327" spans="1:25" x14ac:dyDescent="0.25">
      <c r="A327" s="150" t="s">
        <v>889</v>
      </c>
      <c r="B327" s="150" t="s">
        <v>1288</v>
      </c>
      <c r="C327" s="150" t="s">
        <v>5</v>
      </c>
      <c r="D327" s="151" t="str">
        <f>IF(MouserListTable[[#This Row],[Vendor]]=FilterSpecs!$A$8,MouserListTable[[#This Row],[Mouser SKU]], MouserListTable[[#This Row],[Supplier SKU]])</f>
        <v>474-DEV-11632</v>
      </c>
      <c r="E327" s="152">
        <f>MouserListTable[[#This Row],[Tot '#]]-MouserListTable[[#This Row],['# Initial]]</f>
        <v>1</v>
      </c>
      <c r="F327" s="152">
        <f>IF(AND(MouserListTable[[#This Row],[Tag]]&lt;&gt;FilterSpecs!$F$12, MouserListTable[[#This Row],[Tag]]&lt;&gt;FilterSpecs!$F$9), MouserListTable[[#This Row],['#/Unit]]*FilterSpecs!$B$3+MouserListTable[[#This Row],[Extra Initial]],0)</f>
        <v>0</v>
      </c>
      <c r="G327" s="150" t="s">
        <v>1093</v>
      </c>
      <c r="H327" s="150" t="s">
        <v>1094</v>
      </c>
      <c r="I327" s="150" t="s">
        <v>1095</v>
      </c>
      <c r="J327" s="150">
        <v>1</v>
      </c>
      <c r="K327" s="154">
        <v>0.1</v>
      </c>
      <c r="L327" s="150" t="s">
        <v>1896</v>
      </c>
      <c r="M327" s="151"/>
      <c r="N327" s="154">
        <f>MouserListTable[[#This Row],['# Initial]]*MouserListTable[[#This Row],[Price (USD)]]</f>
        <v>0</v>
      </c>
      <c r="O327" s="151" t="s">
        <v>1092</v>
      </c>
      <c r="P327" s="150">
        <f t="shared" si="5"/>
        <v>314</v>
      </c>
      <c r="Q327" s="150" t="s">
        <v>5</v>
      </c>
      <c r="R32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474-DEV-11632</v>
      </c>
      <c r="S327" s="157" t="str">
        <f>HYPERLINK("https://www.mouser.com/ProductDetail/" &amp;MouserListTable[[#This Row],[Mouser SKU]])</f>
        <v>https://www.mouser.com/ProductDetail/474-DEV-11632</v>
      </c>
      <c r="T327" s="152">
        <v>0</v>
      </c>
      <c r="U327" s="152">
        <v>1</v>
      </c>
      <c r="V327" s="152">
        <v>0</v>
      </c>
      <c r="W327" s="152">
        <f>MouserListTable[[#This Row],['#/Unit]]*FilterSpecs!$C$3+MouserListTable[[#This Row],[Extra]]</f>
        <v>1</v>
      </c>
      <c r="X327" s="152">
        <f>IF(MouserListTable[[#This Row],[Tag]]=FilterSpecs!$F$7,MouserListTable[[#This Row],['#/Unit]]*MouserListTable[[#This Row],[Price (USD)]],0)</f>
        <v>0</v>
      </c>
      <c r="Y327" s="152">
        <f>MouserListTable[[#This Row],[Tot '#]]*MouserListTable[[#This Row],[Price (USD)]]</f>
        <v>0.1</v>
      </c>
    </row>
    <row r="328" spans="1:25" x14ac:dyDescent="0.25">
      <c r="A328" s="150" t="s">
        <v>889</v>
      </c>
      <c r="B328" s="151" t="s">
        <v>1288</v>
      </c>
      <c r="C328" s="150" t="s">
        <v>1884</v>
      </c>
      <c r="D328" s="151" t="str">
        <f>IF(MouserListTable[[#This Row],[Vendor]]=FilterSpecs!$A$8,MouserListTable[[#This Row],[Mouser SKU]], MouserListTable[[#This Row],[Supplier SKU]])</f>
        <v>485-2229</v>
      </c>
      <c r="E328" s="152">
        <f>MouserListTable[[#This Row],[Tot '#]]-MouserListTable[[#This Row],['# Initial]]</f>
        <v>0</v>
      </c>
      <c r="F328" s="152">
        <f>IF(AND(MouserListTable[[#This Row],[Tag]]&lt;&gt;FilterSpecs!$F$12, MouserListTable[[#This Row],[Tag]]&lt;&gt;FilterSpecs!$F$9), MouserListTable[[#This Row],['#/Unit]]*FilterSpecs!$B$3+MouserListTable[[#This Row],[Extra Initial]],0)</f>
        <v>0</v>
      </c>
      <c r="G328" s="150"/>
      <c r="H328" s="150"/>
      <c r="I328" s="150" t="s">
        <v>2067</v>
      </c>
      <c r="J328" s="153"/>
      <c r="K328" s="118">
        <v>7.5</v>
      </c>
      <c r="L328" s="153" t="s">
        <v>1896</v>
      </c>
      <c r="M328" s="153"/>
      <c r="N328" s="154">
        <f>MouserListTable[[#This Row],['# Initial]]*MouserListTable[[#This Row],[Price (USD)]]</f>
        <v>0</v>
      </c>
      <c r="O328" s="151" t="s">
        <v>2068</v>
      </c>
      <c r="P328" s="150">
        <f t="shared" si="5"/>
        <v>315</v>
      </c>
      <c r="Q328" s="150" t="s">
        <v>1884</v>
      </c>
      <c r="R32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485-2229</v>
      </c>
      <c r="S328" s="157" t="str">
        <f>HYPERLINK("https://www.mouser.com/ProductDetail/" &amp;MouserListTable[[#This Row],[Mouser SKU]])</f>
        <v>https://www.mouser.com/ProductDetail/485-2229</v>
      </c>
      <c r="T328" s="152">
        <v>0</v>
      </c>
      <c r="U328" s="152">
        <v>0</v>
      </c>
      <c r="V328" s="152">
        <v>0</v>
      </c>
      <c r="W328" s="152">
        <f>MouserListTable[[#This Row],['#/Unit]]*FilterSpecs!$C$3+MouserListTable[[#This Row],[Extra]]</f>
        <v>0</v>
      </c>
      <c r="X328" s="152">
        <f>IF(MouserListTable[[#This Row],[Tag]]=FilterSpecs!$F$7,MouserListTable[[#This Row],['#/Unit]]*MouserListTable[[#This Row],[Price (USD)]],0)</f>
        <v>0</v>
      </c>
      <c r="Y328" s="152">
        <f>MouserListTable[[#This Row],[Tot '#]]*MouserListTable[[#This Row],[Price (USD)]]</f>
        <v>0</v>
      </c>
    </row>
    <row r="329" spans="1:25" x14ac:dyDescent="0.25">
      <c r="A329" s="150" t="s">
        <v>889</v>
      </c>
      <c r="B329" s="151" t="s">
        <v>1288</v>
      </c>
      <c r="C329" s="150" t="s">
        <v>1884</v>
      </c>
      <c r="D329" s="151" t="str">
        <f>IF(MouserListTable[[#This Row],[Vendor]]=FilterSpecs!$A$8,MouserListTable[[#This Row],[Mouser SKU]], MouserListTable[[#This Row],[Supplier SKU]])</f>
        <v>485-2230</v>
      </c>
      <c r="E329" s="152">
        <f>MouserListTable[[#This Row],[Tot '#]]-MouserListTable[[#This Row],['# Initial]]</f>
        <v>0</v>
      </c>
      <c r="F329" s="152">
        <f>IF(AND(MouserListTable[[#This Row],[Tag]]&lt;&gt;FilterSpecs!$F$12, MouserListTable[[#This Row],[Tag]]&lt;&gt;FilterSpecs!$F$9), MouserListTable[[#This Row],['#/Unit]]*FilterSpecs!$B$3+MouserListTable[[#This Row],[Extra Initial]],0)</f>
        <v>0</v>
      </c>
      <c r="G329" s="150"/>
      <c r="H329" s="150"/>
      <c r="I329" s="150" t="s">
        <v>2065</v>
      </c>
      <c r="J329" s="153"/>
      <c r="K329" s="118">
        <v>5.95</v>
      </c>
      <c r="L329" s="153" t="s">
        <v>1896</v>
      </c>
      <c r="M329" s="153"/>
      <c r="N329" s="154">
        <f>MouserListTable[[#This Row],['# Initial]]*MouserListTable[[#This Row],[Price (USD)]]</f>
        <v>0</v>
      </c>
      <c r="O329" s="151" t="s">
        <v>2066</v>
      </c>
      <c r="P329" s="150">
        <f t="shared" si="5"/>
        <v>316</v>
      </c>
      <c r="Q329" s="150" t="s">
        <v>1884</v>
      </c>
      <c r="R32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485-2230</v>
      </c>
      <c r="S329" s="157" t="str">
        <f>HYPERLINK("https://www.mouser.com/ProductDetail/" &amp;MouserListTable[[#This Row],[Mouser SKU]])</f>
        <v>https://www.mouser.com/ProductDetail/485-2230</v>
      </c>
      <c r="T329" s="152">
        <v>0</v>
      </c>
      <c r="U329" s="152">
        <v>0</v>
      </c>
      <c r="V329" s="152">
        <v>0</v>
      </c>
      <c r="W329" s="152">
        <f>MouserListTable[[#This Row],['#/Unit]]*FilterSpecs!$C$3+MouserListTable[[#This Row],[Extra]]</f>
        <v>0</v>
      </c>
      <c r="X329" s="152">
        <f>IF(MouserListTable[[#This Row],[Tag]]=FilterSpecs!$F$7,MouserListTable[[#This Row],['#/Unit]]*MouserListTable[[#This Row],[Price (USD)]],0)</f>
        <v>0</v>
      </c>
      <c r="Y329" s="152">
        <f>MouserListTable[[#This Row],[Tot '#]]*MouserListTable[[#This Row],[Price (USD)]]</f>
        <v>0</v>
      </c>
    </row>
    <row r="330" spans="1:25" x14ac:dyDescent="0.25">
      <c r="A330" s="150" t="s">
        <v>889</v>
      </c>
      <c r="B330" s="150" t="s">
        <v>883</v>
      </c>
      <c r="C330" s="150" t="s">
        <v>5</v>
      </c>
      <c r="D330" s="151" t="str">
        <f>IF(MouserListTable[[#This Row],[Vendor]]=FilterSpecs!$A$8,MouserListTable[[#This Row],[Mouser SKU]], MouserListTable[[#This Row],[Supplier SKU]])</f>
        <v>474-COM-10594</v>
      </c>
      <c r="E330" s="152">
        <f>MouserListTable[[#This Row],[Tot '#]]-MouserListTable[[#This Row],['# Initial]]</f>
        <v>0</v>
      </c>
      <c r="F330" s="152">
        <f>IF(AND(MouserListTable[[#This Row],[Tag]]&lt;&gt;FilterSpecs!$F$12, MouserListTable[[#This Row],[Tag]]&lt;&gt;FilterSpecs!$F$9), MouserListTable[[#This Row],['#/Unit]]*FilterSpecs!$B$3+MouserListTable[[#This Row],[Extra Initial]],0)</f>
        <v>5</v>
      </c>
      <c r="G330" s="150" t="s">
        <v>641</v>
      </c>
      <c r="H330" s="150" t="s">
        <v>642</v>
      </c>
      <c r="I330" s="150" t="s">
        <v>643</v>
      </c>
      <c r="J330" s="150">
        <v>1</v>
      </c>
      <c r="K330" s="154">
        <v>0.95</v>
      </c>
      <c r="L330" s="150" t="s">
        <v>1897</v>
      </c>
      <c r="M330" s="151"/>
      <c r="N330" s="154">
        <f>MouserListTable[[#This Row],['# Initial]]*MouserListTable[[#This Row],[Price (USD)]]</f>
        <v>4.75</v>
      </c>
      <c r="O330" s="151" t="s">
        <v>640</v>
      </c>
      <c r="P330" s="150">
        <f t="shared" si="5"/>
        <v>317</v>
      </c>
      <c r="Q330" s="150" t="s">
        <v>5</v>
      </c>
      <c r="R33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474-COM-10594</v>
      </c>
      <c r="S330" s="157" t="str">
        <f>HYPERLINK("https://www.mouser.com/ProductDetail/" &amp;MouserListTable[[#This Row],[Mouser SKU]])</f>
        <v>https://www.mouser.com/ProductDetail/474-COM-10594</v>
      </c>
      <c r="T330" s="152">
        <v>1</v>
      </c>
      <c r="U330" s="152">
        <v>0</v>
      </c>
      <c r="V330" s="152">
        <v>0</v>
      </c>
      <c r="W330" s="152">
        <f>MouserListTable[[#This Row],['#/Unit]]*FilterSpecs!$C$3+MouserListTable[[#This Row],[Extra]]</f>
        <v>5</v>
      </c>
      <c r="X330" s="152">
        <f>IF(MouserListTable[[#This Row],[Tag]]=FilterSpecs!$F$7,MouserListTable[[#This Row],['#/Unit]]*MouserListTable[[#This Row],[Price (USD)]],0)</f>
        <v>0.95</v>
      </c>
      <c r="Y330" s="152">
        <f>MouserListTable[[#This Row],[Tot '#]]*MouserListTable[[#This Row],[Price (USD)]]</f>
        <v>4.75</v>
      </c>
    </row>
    <row r="331" spans="1:25" x14ac:dyDescent="0.25">
      <c r="A331" s="150" t="s">
        <v>889</v>
      </c>
      <c r="B331" s="150" t="s">
        <v>883</v>
      </c>
      <c r="C331" s="150" t="s">
        <v>5</v>
      </c>
      <c r="D331" s="151" t="str">
        <f>IF(MouserListTable[[#This Row],[Vendor]]=FilterSpecs!$A$8,MouserListTable[[#This Row],[Mouser SKU]], MouserListTable[[#This Row],[Supplier SKU]])</f>
        <v>474-PRT-10230</v>
      </c>
      <c r="E331" s="152">
        <f>MouserListTable[[#This Row],[Tot '#]]-MouserListTable[[#This Row],['# Initial]]</f>
        <v>0</v>
      </c>
      <c r="F331" s="152">
        <f>IF(AND(MouserListTable[[#This Row],[Tag]]&lt;&gt;FilterSpecs!$F$12, MouserListTable[[#This Row],[Tag]]&lt;&gt;FilterSpecs!$F$9), MouserListTable[[#This Row],['#/Unit]]*FilterSpecs!$B$3+MouserListTable[[#This Row],[Extra Initial]],0)</f>
        <v>5</v>
      </c>
      <c r="G331" s="150" t="s">
        <v>649</v>
      </c>
      <c r="H331" s="150" t="s">
        <v>650</v>
      </c>
      <c r="I331" s="150" t="s">
        <v>651</v>
      </c>
      <c r="J331" s="150">
        <v>1</v>
      </c>
      <c r="K331" s="154">
        <v>0.95</v>
      </c>
      <c r="L331" s="150" t="s">
        <v>1897</v>
      </c>
      <c r="M331" s="151"/>
      <c r="N331" s="154">
        <f>MouserListTable[[#This Row],['# Initial]]*MouserListTable[[#This Row],[Price (USD)]]</f>
        <v>4.75</v>
      </c>
      <c r="O331" s="151" t="s">
        <v>648</v>
      </c>
      <c r="P331" s="150">
        <f t="shared" si="5"/>
        <v>318</v>
      </c>
      <c r="Q331" s="150" t="s">
        <v>5</v>
      </c>
      <c r="R33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474-PRT-10230</v>
      </c>
      <c r="S331" s="157" t="str">
        <f>HYPERLINK("https://www.mouser.com/ProductDetail/" &amp;MouserListTable[[#This Row],[Mouser SKU]])</f>
        <v>https://www.mouser.com/ProductDetail/474-PRT-10230</v>
      </c>
      <c r="T331" s="152">
        <v>1</v>
      </c>
      <c r="U331" s="152">
        <v>0</v>
      </c>
      <c r="V331" s="152">
        <v>0</v>
      </c>
      <c r="W331" s="152">
        <f>MouserListTable[[#This Row],['#/Unit]]*FilterSpecs!$C$3+MouserListTable[[#This Row],[Extra]]</f>
        <v>5</v>
      </c>
      <c r="X331" s="152">
        <f>IF(MouserListTable[[#This Row],[Tag]]=FilterSpecs!$F$7,MouserListTable[[#This Row],['#/Unit]]*MouserListTable[[#This Row],[Price (USD)]],0)</f>
        <v>0.95</v>
      </c>
      <c r="Y331" s="152">
        <f>MouserListTable[[#This Row],[Tot '#]]*MouserListTable[[#This Row],[Price (USD)]]</f>
        <v>4.75</v>
      </c>
    </row>
    <row r="332" spans="1:25" x14ac:dyDescent="0.25">
      <c r="A332" s="150" t="s">
        <v>889</v>
      </c>
      <c r="B332" s="150" t="s">
        <v>883</v>
      </c>
      <c r="C332" s="150" t="s">
        <v>1884</v>
      </c>
      <c r="D332" s="151" t="str">
        <f>IF(MouserListTable[[#This Row],[Vendor]]=FilterSpecs!$A$8,MouserListTable[[#This Row],[Mouser SKU]], MouserListTable[[#This Row],[Supplier SKU]])</f>
        <v>485-550</v>
      </c>
      <c r="E332" s="152">
        <f>MouserListTable[[#This Row],[Tot '#]]-MouserListTable[[#This Row],['# Initial]]</f>
        <v>0</v>
      </c>
      <c r="F332" s="152">
        <f>IF(AND(MouserListTable[[#This Row],[Tag]]&lt;&gt;FilterSpecs!$F$12, MouserListTable[[#This Row],[Tag]]&lt;&gt;FilterSpecs!$F$9), MouserListTable[[#This Row],['#/Unit]]*FilterSpecs!$B$3+MouserListTable[[#This Row],[Extra Initial]],0)</f>
        <v>0</v>
      </c>
      <c r="G332" s="150"/>
      <c r="H332" s="150"/>
      <c r="I332" s="150" t="s">
        <v>2092</v>
      </c>
      <c r="J332" s="153"/>
      <c r="K332" s="118">
        <v>0.95</v>
      </c>
      <c r="L332" s="97" t="s">
        <v>1896</v>
      </c>
      <c r="M332" s="153"/>
      <c r="N332" s="154">
        <f>MouserListTable[[#This Row],['# Initial]]*MouserListTable[[#This Row],[Price (USD)]]</f>
        <v>0</v>
      </c>
      <c r="O332" s="151" t="s">
        <v>2091</v>
      </c>
      <c r="P332" s="150">
        <f t="shared" si="5"/>
        <v>319</v>
      </c>
      <c r="Q332" s="150" t="s">
        <v>1884</v>
      </c>
      <c r="R33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485-550</v>
      </c>
      <c r="S332" s="157" t="str">
        <f>HYPERLINK("https://www.mouser.com/ProductDetail/" &amp;MouserListTable[[#This Row],[Mouser SKU]])</f>
        <v>https://www.mouser.com/ProductDetail/485-550</v>
      </c>
      <c r="T332" s="152">
        <v>0</v>
      </c>
      <c r="U332" s="152">
        <v>0</v>
      </c>
      <c r="V332" s="152">
        <v>0</v>
      </c>
      <c r="W332" s="152">
        <f>MouserListTable[[#This Row],['#/Unit]]*FilterSpecs!$C$3+MouserListTable[[#This Row],[Extra]]</f>
        <v>0</v>
      </c>
      <c r="X332" s="152">
        <f>IF(MouserListTable[[#This Row],[Tag]]=FilterSpecs!$F$7,MouserListTable[[#This Row],['#/Unit]]*MouserListTable[[#This Row],[Price (USD)]],0)</f>
        <v>0</v>
      </c>
      <c r="Y332" s="152">
        <f>MouserListTable[[#This Row],[Tot '#]]*MouserListTable[[#This Row],[Price (USD)]]</f>
        <v>0</v>
      </c>
    </row>
    <row r="333" spans="1:25" x14ac:dyDescent="0.25">
      <c r="A333" s="150" t="s">
        <v>889</v>
      </c>
      <c r="B333" s="150" t="s">
        <v>883</v>
      </c>
      <c r="C333" s="150" t="s">
        <v>5</v>
      </c>
      <c r="D333" s="151" t="str">
        <f>IF(MouserListTable[[#This Row],[Vendor]]=FilterSpecs!$A$8,MouserListTable[[#This Row],[Mouser SKU]], MouserListTable[[#This Row],[Supplier SKU]])</f>
        <v>474-PRT-09353</v>
      </c>
      <c r="E333" s="152">
        <f>MouserListTable[[#This Row],[Tot '#]]-MouserListTable[[#This Row],['# Initial]]</f>
        <v>2</v>
      </c>
      <c r="F333" s="152">
        <f>IF(AND(MouserListTable[[#This Row],[Tag]]&lt;&gt;FilterSpecs!$F$12, MouserListTable[[#This Row],[Tag]]&lt;&gt;FilterSpecs!$F$9), MouserListTable[[#This Row],['#/Unit]]*FilterSpecs!$B$3+MouserListTable[[#This Row],[Extra Initial]],0)</f>
        <v>0</v>
      </c>
      <c r="G333" s="150" t="s">
        <v>1237</v>
      </c>
      <c r="H333" s="150" t="s">
        <v>1238</v>
      </c>
      <c r="I333" s="150" t="s">
        <v>1239</v>
      </c>
      <c r="J333" s="150">
        <v>1</v>
      </c>
      <c r="K333" s="154">
        <v>7.95</v>
      </c>
      <c r="L333" s="150" t="s">
        <v>1896</v>
      </c>
      <c r="M333" s="151"/>
      <c r="N333" s="154">
        <f>MouserListTable[[#This Row],['# Initial]]*MouserListTable[[#This Row],[Price (USD)]]</f>
        <v>0</v>
      </c>
      <c r="O333" s="151" t="s">
        <v>1236</v>
      </c>
      <c r="P333" s="150">
        <f t="shared" si="5"/>
        <v>320</v>
      </c>
      <c r="Q333" s="150" t="s">
        <v>5</v>
      </c>
      <c r="R33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474-PRT-09353</v>
      </c>
      <c r="S333" s="157" t="str">
        <f>HYPERLINK("https://www.mouser.com/ProductDetail/" &amp;MouserListTable[[#This Row],[Mouser SKU]])</f>
        <v>https://www.mouser.com/ProductDetail/474-PRT-09353</v>
      </c>
      <c r="T333" s="152">
        <v>0</v>
      </c>
      <c r="U333" s="152">
        <v>2</v>
      </c>
      <c r="V333" s="152">
        <v>0</v>
      </c>
      <c r="W333" s="152">
        <f>MouserListTable[[#This Row],['#/Unit]]*FilterSpecs!$C$3+MouserListTable[[#This Row],[Extra]]</f>
        <v>2</v>
      </c>
      <c r="X333" s="152">
        <f>IF(MouserListTable[[#This Row],[Tag]]=FilterSpecs!$F$7,MouserListTable[[#This Row],['#/Unit]]*MouserListTable[[#This Row],[Price (USD)]],0)</f>
        <v>0</v>
      </c>
      <c r="Y333" s="152">
        <f>MouserListTable[[#This Row],[Tot '#]]*MouserListTable[[#This Row],[Price (USD)]]</f>
        <v>15.9</v>
      </c>
    </row>
    <row r="334" spans="1:25" x14ac:dyDescent="0.25">
      <c r="A334" s="98" t="s">
        <v>889</v>
      </c>
      <c r="B334" s="98" t="s">
        <v>883</v>
      </c>
      <c r="C334" s="150" t="s">
        <v>1884</v>
      </c>
      <c r="D334" s="151" t="str">
        <f>IF(MouserListTable[[#This Row],[Vendor]]=FilterSpecs!$A$8,MouserListTable[[#This Row],[Mouser SKU]], MouserListTable[[#This Row],[Supplier SKU]])</f>
        <v>485-344</v>
      </c>
      <c r="E334" s="152">
        <f>MouserListTable[[#This Row],[Tot '#]]-MouserListTable[[#This Row],['# Initial]]</f>
        <v>0</v>
      </c>
      <c r="F334" s="152">
        <f>IF(AND(MouserListTable[[#This Row],[Tag]]&lt;&gt;FilterSpecs!$F$12, MouserListTable[[#This Row],[Tag]]&lt;&gt;FilterSpecs!$F$9), MouserListTable[[#This Row],['#/Unit]]*FilterSpecs!$B$3+MouserListTable[[#This Row],[Extra Initial]],0)</f>
        <v>0</v>
      </c>
      <c r="G334" s="150"/>
      <c r="H334" s="150"/>
      <c r="I334" s="150" t="s">
        <v>2452</v>
      </c>
      <c r="J334" s="113">
        <v>115</v>
      </c>
      <c r="K334" s="119">
        <v>4.95</v>
      </c>
      <c r="L334" s="97" t="s">
        <v>1896</v>
      </c>
      <c r="M334" s="153"/>
      <c r="N334" s="154">
        <f>MouserListTable[[#This Row],['# Initial]]*MouserListTable[[#This Row],[Price (USD)]]</f>
        <v>0</v>
      </c>
      <c r="O334" s="113" t="s">
        <v>2453</v>
      </c>
      <c r="P334" s="150">
        <f t="shared" ref="P334:P397" si="6">IF($P333="List #",1,$P333+1)</f>
        <v>321</v>
      </c>
      <c r="Q334" s="150" t="s">
        <v>1884</v>
      </c>
      <c r="R33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485-344</v>
      </c>
      <c r="S334" s="157" t="str">
        <f>HYPERLINK("https://www.mouser.com/ProductDetail/" &amp;MouserListTable[[#This Row],[Mouser SKU]])</f>
        <v>https://www.mouser.com/ProductDetail/485-344</v>
      </c>
      <c r="T334" s="152">
        <v>0</v>
      </c>
      <c r="U334" s="152">
        <v>0</v>
      </c>
      <c r="V334" s="152">
        <v>0</v>
      </c>
      <c r="W334" s="152">
        <f>MouserListTable[[#This Row],['#/Unit]]*FilterSpecs!$C$3+MouserListTable[[#This Row],[Extra]]</f>
        <v>0</v>
      </c>
      <c r="X334" s="152">
        <f>IF(MouserListTable[[#This Row],[Tag]]=FilterSpecs!$F$7,MouserListTable[[#This Row],['#/Unit]]*MouserListTable[[#This Row],[Price (USD)]],0)</f>
        <v>0</v>
      </c>
      <c r="Y334" s="152">
        <f>MouserListTable[[#This Row],[Tot '#]]*MouserListTable[[#This Row],[Price (USD)]]</f>
        <v>0</v>
      </c>
    </row>
    <row r="335" spans="1:25" x14ac:dyDescent="0.25">
      <c r="A335" s="150" t="s">
        <v>889</v>
      </c>
      <c r="B335" s="150" t="s">
        <v>2003</v>
      </c>
      <c r="C335" s="150" t="s">
        <v>5</v>
      </c>
      <c r="D335" s="151" t="str">
        <f>IF(MouserListTable[[#This Row],[Vendor]]=FilterSpecs!$A$8,MouserListTable[[#This Row],[Mouser SKU]], MouserListTable[[#This Row],[Supplier SKU]])</f>
        <v>474-TOL-10951</v>
      </c>
      <c r="E335" s="152">
        <f>MouserListTable[[#This Row],[Tot '#]]-MouserListTable[[#This Row],['# Initial]]</f>
        <v>1</v>
      </c>
      <c r="F335" s="152">
        <f>IF(AND(MouserListTable[[#This Row],[Tag]]&lt;&gt;FilterSpecs!$F$12, MouserListTable[[#This Row],[Tag]]&lt;&gt;FilterSpecs!$F$9), MouserListTable[[#This Row],['#/Unit]]*FilterSpecs!$B$3+MouserListTable[[#This Row],[Extra Initial]],0)</f>
        <v>0</v>
      </c>
      <c r="G335" s="150" t="s">
        <v>1245</v>
      </c>
      <c r="H335" s="150" t="s">
        <v>1246</v>
      </c>
      <c r="I335" s="150" t="s">
        <v>1247</v>
      </c>
      <c r="J335" s="150"/>
      <c r="K335" s="154">
        <v>34.950000000000003</v>
      </c>
      <c r="L335" s="150" t="s">
        <v>2461</v>
      </c>
      <c r="M335" s="151"/>
      <c r="N335" s="154">
        <f>MouserListTable[[#This Row],['# Initial]]*MouserListTable[[#This Row],[Price (USD)]]</f>
        <v>0</v>
      </c>
      <c r="O335" s="151" t="s">
        <v>1244</v>
      </c>
      <c r="P335" s="150">
        <f t="shared" si="6"/>
        <v>322</v>
      </c>
      <c r="Q335" s="150" t="s">
        <v>5</v>
      </c>
      <c r="R33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474-TOL-10951</v>
      </c>
      <c r="S335" s="157" t="str">
        <f>HYPERLINK("https://www.mouser.com/ProductDetail/" &amp;MouserListTable[[#This Row],[Mouser SKU]])</f>
        <v>https://www.mouser.com/ProductDetail/474-TOL-10951</v>
      </c>
      <c r="T335" s="152">
        <v>0</v>
      </c>
      <c r="U335" s="152">
        <v>1</v>
      </c>
      <c r="V335" s="152">
        <v>0</v>
      </c>
      <c r="W335" s="152">
        <f>MouserListTable[[#This Row],['#/Unit]]*FilterSpecs!$C$3+MouserListTable[[#This Row],[Extra]]</f>
        <v>1</v>
      </c>
      <c r="X335" s="152">
        <f>IF(MouserListTable[[#This Row],[Tag]]=FilterSpecs!$F$7,MouserListTable[[#This Row],['#/Unit]]*MouserListTable[[#This Row],[Price (USD)]],0)</f>
        <v>0</v>
      </c>
      <c r="Y335" s="152">
        <f>MouserListTable[[#This Row],[Tot '#]]*MouserListTable[[#This Row],[Price (USD)]]</f>
        <v>34.950000000000003</v>
      </c>
    </row>
    <row r="336" spans="1:25" x14ac:dyDescent="0.25">
      <c r="A336" s="97" t="s">
        <v>889</v>
      </c>
      <c r="B336" s="97" t="s">
        <v>2003</v>
      </c>
      <c r="C336" s="150" t="s">
        <v>5</v>
      </c>
      <c r="D336" s="151" t="str">
        <f>IF(MouserListTable[[#This Row],[Vendor]]=FilterSpecs!$A$8,MouserListTable[[#This Row],[Mouser SKU]], MouserListTable[[#This Row],[Supplier SKU]])</f>
        <v>474-TOL-10950</v>
      </c>
      <c r="E336" s="152">
        <f>MouserListTable[[#This Row],[Tot '#]]-MouserListTable[[#This Row],['# Initial]]</f>
        <v>0</v>
      </c>
      <c r="F336" s="152">
        <f>IF(AND(MouserListTable[[#This Row],[Tag]]&lt;&gt;FilterSpecs!$F$12, MouserListTable[[#This Row],[Tag]]&lt;&gt;FilterSpecs!$F$9), MouserListTable[[#This Row],['#/Unit]]*FilterSpecs!$B$3+MouserListTable[[#This Row],[Extra Initial]],0)</f>
        <v>2</v>
      </c>
      <c r="G336" s="150" t="s">
        <v>1249</v>
      </c>
      <c r="H336" s="150" t="s">
        <v>1250</v>
      </c>
      <c r="I336" s="150" t="s">
        <v>1251</v>
      </c>
      <c r="J336" s="150">
        <v>1</v>
      </c>
      <c r="K336" s="154">
        <v>9.9499999999999993</v>
      </c>
      <c r="L336" s="150" t="s">
        <v>1896</v>
      </c>
      <c r="M336" s="153"/>
      <c r="N336" s="154">
        <f>MouserListTable[[#This Row],['# Initial]]*MouserListTable[[#This Row],[Price (USD)]]</f>
        <v>19.899999999999999</v>
      </c>
      <c r="O336" s="151" t="s">
        <v>1248</v>
      </c>
      <c r="P336" s="150">
        <f t="shared" si="6"/>
        <v>323</v>
      </c>
      <c r="Q336" s="150" t="s">
        <v>5</v>
      </c>
      <c r="R33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474-TOL-10950</v>
      </c>
      <c r="S336" s="157" t="str">
        <f>HYPERLINK("https://www.mouser.com/ProductDetail/" &amp;MouserListTable[[#This Row],[Mouser SKU]])</f>
        <v>https://www.mouser.com/ProductDetail/474-TOL-10950</v>
      </c>
      <c r="T336" s="152">
        <v>0</v>
      </c>
      <c r="U336" s="152">
        <v>2</v>
      </c>
      <c r="V336" s="152">
        <v>2</v>
      </c>
      <c r="W336" s="152">
        <f>MouserListTable[[#This Row],['#/Unit]]*FilterSpecs!$C$3+MouserListTable[[#This Row],[Extra]]</f>
        <v>2</v>
      </c>
      <c r="X336" s="152">
        <f>IF(MouserListTable[[#This Row],[Tag]]=FilterSpecs!$F$7,MouserListTable[[#This Row],['#/Unit]]*MouserListTable[[#This Row],[Price (USD)]],0)</f>
        <v>0</v>
      </c>
      <c r="Y336" s="152">
        <f>MouserListTable[[#This Row],[Tot '#]]*MouserListTable[[#This Row],[Price (USD)]]</f>
        <v>19.899999999999999</v>
      </c>
    </row>
    <row r="337" spans="1:25" x14ac:dyDescent="0.25">
      <c r="A337" s="150" t="s">
        <v>889</v>
      </c>
      <c r="B337" s="150" t="s">
        <v>2003</v>
      </c>
      <c r="C337" s="150" t="s">
        <v>1884</v>
      </c>
      <c r="D337" s="151" t="str">
        <f>IF(MouserListTable[[#This Row],[Vendor]]=FilterSpecs!$A$8,MouserListTable[[#This Row],[Mouser SKU]], MouserListTable[[#This Row],[Supplier SKU]])</f>
        <v>485-2504</v>
      </c>
      <c r="E337" s="152">
        <f>MouserListTable[[#This Row],[Tot '#]]-MouserListTable[[#This Row],['# Initial]]</f>
        <v>0</v>
      </c>
      <c r="F337" s="152">
        <f>IF(AND(MouserListTable[[#This Row],[Tag]]&lt;&gt;FilterSpecs!$F$12, MouserListTable[[#This Row],[Tag]]&lt;&gt;FilterSpecs!$F$9), MouserListTable[[#This Row],['#/Unit]]*FilterSpecs!$B$3+MouserListTable[[#This Row],[Extra Initial]],0)</f>
        <v>3</v>
      </c>
      <c r="G337" s="150"/>
      <c r="H337" s="150"/>
      <c r="I337" s="150" t="s">
        <v>2096</v>
      </c>
      <c r="J337" s="153"/>
      <c r="K337" s="154">
        <v>4.95</v>
      </c>
      <c r="L337" s="150" t="s">
        <v>1896</v>
      </c>
      <c r="M337" s="151"/>
      <c r="N337" s="154">
        <f>MouserListTable[[#This Row],['# Initial]]*MouserListTable[[#This Row],[Price (USD)]]</f>
        <v>14.850000000000001</v>
      </c>
      <c r="O337" s="151" t="s">
        <v>2095</v>
      </c>
      <c r="P337" s="150">
        <f t="shared" si="6"/>
        <v>324</v>
      </c>
      <c r="Q337" s="150" t="s">
        <v>1884</v>
      </c>
      <c r="R33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485-2504</v>
      </c>
      <c r="S337" s="157" t="str">
        <f>HYPERLINK("https://www.mouser.com/ProductDetail/" &amp;MouserListTable[[#This Row],[Mouser SKU]])</f>
        <v>https://www.mouser.com/ProductDetail/485-2504</v>
      </c>
      <c r="T337" s="152">
        <v>0</v>
      </c>
      <c r="U337" s="152">
        <v>3</v>
      </c>
      <c r="V337" s="152">
        <v>3</v>
      </c>
      <c r="W337" s="152">
        <f>MouserListTable[[#This Row],['#/Unit]]*FilterSpecs!$C$3+MouserListTable[[#This Row],[Extra]]</f>
        <v>3</v>
      </c>
      <c r="X337" s="152">
        <f>IF(MouserListTable[[#This Row],[Tag]]=FilterSpecs!$F$7,MouserListTable[[#This Row],['#/Unit]]*MouserListTable[[#This Row],[Price (USD)]],0)</f>
        <v>0</v>
      </c>
      <c r="Y337" s="152">
        <f>MouserListTable[[#This Row],[Tot '#]]*MouserListTable[[#This Row],[Price (USD)]]</f>
        <v>14.850000000000001</v>
      </c>
    </row>
    <row r="338" spans="1:25" x14ac:dyDescent="0.25">
      <c r="A338" s="150" t="s">
        <v>889</v>
      </c>
      <c r="B338" s="150" t="s">
        <v>2003</v>
      </c>
      <c r="C338" s="150" t="s">
        <v>1884</v>
      </c>
      <c r="D338" s="151" t="str">
        <f>IF(MouserListTable[[#This Row],[Vendor]]=FilterSpecs!$A$8,MouserListTable[[#This Row],[Mouser SKU]], MouserListTable[[#This Row],[Supplier SKU]])</f>
        <v>485-437</v>
      </c>
      <c r="E338" s="152">
        <f>MouserListTable[[#This Row],[Tot '#]]-MouserListTable[[#This Row],['# Initial]]</f>
        <v>0</v>
      </c>
      <c r="F338" s="152">
        <f>IF(AND(MouserListTable[[#This Row],[Tag]]&lt;&gt;FilterSpecs!$F$12, MouserListTable[[#This Row],[Tag]]&lt;&gt;FilterSpecs!$F$9), MouserListTable[[#This Row],['#/Unit]]*FilterSpecs!$B$3+MouserListTable[[#This Row],[Extra Initial]],0)</f>
        <v>1</v>
      </c>
      <c r="G338" s="150"/>
      <c r="H338" s="150"/>
      <c r="I338" s="150" t="s">
        <v>2098</v>
      </c>
      <c r="J338" s="153"/>
      <c r="K338" s="154">
        <v>20.2</v>
      </c>
      <c r="L338" s="150" t="s">
        <v>1896</v>
      </c>
      <c r="M338" s="151"/>
      <c r="N338" s="154">
        <f>MouserListTable[[#This Row],['# Initial]]*MouserListTable[[#This Row],[Price (USD)]]</f>
        <v>20.2</v>
      </c>
      <c r="O338" s="151" t="s">
        <v>2097</v>
      </c>
      <c r="P338" s="150">
        <f t="shared" si="6"/>
        <v>325</v>
      </c>
      <c r="Q338" s="150" t="s">
        <v>1884</v>
      </c>
      <c r="R33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485-437</v>
      </c>
      <c r="S338" s="157" t="str">
        <f>HYPERLINK("https://www.mouser.com/ProductDetail/" &amp;MouserListTable[[#This Row],[Mouser SKU]])</f>
        <v>https://www.mouser.com/ProductDetail/485-437</v>
      </c>
      <c r="T338" s="152">
        <v>0</v>
      </c>
      <c r="U338" s="152">
        <v>1</v>
      </c>
      <c r="V338" s="152">
        <v>1</v>
      </c>
      <c r="W338" s="152">
        <f>MouserListTable[[#This Row],['#/Unit]]*FilterSpecs!$C$3+MouserListTable[[#This Row],[Extra]]</f>
        <v>1</v>
      </c>
      <c r="X338" s="152">
        <f>IF(MouserListTable[[#This Row],[Tag]]=FilterSpecs!$F$7,MouserListTable[[#This Row],['#/Unit]]*MouserListTable[[#This Row],[Price (USD)]],0)</f>
        <v>0</v>
      </c>
      <c r="Y338" s="152">
        <f>MouserListTable[[#This Row],[Tot '#]]*MouserListTable[[#This Row],[Price (USD)]]</f>
        <v>20.2</v>
      </c>
    </row>
    <row r="339" spans="1:25" x14ac:dyDescent="0.25">
      <c r="A339" s="150" t="s">
        <v>889</v>
      </c>
      <c r="B339" s="150" t="s">
        <v>1289</v>
      </c>
      <c r="C339" s="150" t="s">
        <v>5</v>
      </c>
      <c r="D339" s="151" t="str">
        <f>IF(MouserListTable[[#This Row],[Vendor]]=FilterSpecs!$A$8,MouserListTable[[#This Row],[Mouser SKU]], MouserListTable[[#This Row],[Supplier SKU]])</f>
        <v>474-PRT-11510</v>
      </c>
      <c r="E339" s="152">
        <f>MouserListTable[[#This Row],[Tot '#]]-MouserListTable[[#This Row],['# Initial]]</f>
        <v>0</v>
      </c>
      <c r="F339" s="152">
        <f>IF(AND(MouserListTable[[#This Row],[Tag]]&lt;&gt;FilterSpecs!$F$12, MouserListTable[[#This Row],[Tag]]&lt;&gt;FilterSpecs!$F$9), MouserListTable[[#This Row],['#/Unit]]*FilterSpecs!$B$3+MouserListTable[[#This Row],[Extra Initial]],0)</f>
        <v>5</v>
      </c>
      <c r="G339" s="150" t="s">
        <v>1077</v>
      </c>
      <c r="H339" s="150" t="s">
        <v>1078</v>
      </c>
      <c r="I339" s="150" t="s">
        <v>1079</v>
      </c>
      <c r="J339" s="150">
        <v>1</v>
      </c>
      <c r="K339" s="154">
        <v>1.95</v>
      </c>
      <c r="L339" s="150" t="s">
        <v>1897</v>
      </c>
      <c r="M339" s="150" t="s">
        <v>1198</v>
      </c>
      <c r="N339" s="154">
        <f>MouserListTable[[#This Row],['# Initial]]*MouserListTable[[#This Row],[Price (USD)]]</f>
        <v>9.75</v>
      </c>
      <c r="O339" s="151" t="s">
        <v>1076</v>
      </c>
      <c r="P339" s="150">
        <f t="shared" si="6"/>
        <v>326</v>
      </c>
      <c r="Q339" s="150" t="s">
        <v>5</v>
      </c>
      <c r="R33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474-PRT-11510</v>
      </c>
      <c r="S339" s="157" t="str">
        <f>HYPERLINK("https://www.mouser.com/ProductDetail/" &amp;MouserListTable[[#This Row],[Mouser SKU]])</f>
        <v>https://www.mouser.com/ProductDetail/474-PRT-11510</v>
      </c>
      <c r="T339" s="152">
        <v>1</v>
      </c>
      <c r="U339" s="152">
        <v>0</v>
      </c>
      <c r="V339" s="152">
        <v>0</v>
      </c>
      <c r="W339" s="152">
        <f>MouserListTable[[#This Row],['#/Unit]]*FilterSpecs!$C$3+MouserListTable[[#This Row],[Extra]]</f>
        <v>5</v>
      </c>
      <c r="X339" s="152">
        <f>IF(MouserListTable[[#This Row],[Tag]]=FilterSpecs!$F$7,MouserListTable[[#This Row],['#/Unit]]*MouserListTable[[#This Row],[Price (USD)]],0)</f>
        <v>1.95</v>
      </c>
      <c r="Y339" s="152">
        <f>MouserListTable[[#This Row],[Tot '#]]*MouserListTable[[#This Row],[Price (USD)]]</f>
        <v>9.75</v>
      </c>
    </row>
    <row r="340" spans="1:25" x14ac:dyDescent="0.25">
      <c r="A340" s="150" t="s">
        <v>889</v>
      </c>
      <c r="B340" s="150" t="s">
        <v>1289</v>
      </c>
      <c r="C340" s="150" t="s">
        <v>5</v>
      </c>
      <c r="D340" s="151" t="str">
        <f>IF(MouserListTable[[#This Row],[Vendor]]=FilterSpecs!$A$8,MouserListTable[[#This Row],[Mouser SKU]], MouserListTable[[#This Row],[Supplier SKU]])</f>
        <v>474-PRT-14340</v>
      </c>
      <c r="E340" s="152">
        <f>MouserListTable[[#This Row],[Tot '#]]-MouserListTable[[#This Row],['# Initial]]</f>
        <v>0</v>
      </c>
      <c r="F340" s="152">
        <f>IF(AND(MouserListTable[[#This Row],[Tag]]&lt;&gt;FilterSpecs!$F$12, MouserListTable[[#This Row],[Tag]]&lt;&gt;FilterSpecs!$F$9), MouserListTable[[#This Row],['#/Unit]]*FilterSpecs!$B$3+MouserListTable[[#This Row],[Extra Initial]],0)</f>
        <v>5</v>
      </c>
      <c r="G340" s="150" t="s">
        <v>1257</v>
      </c>
      <c r="H340" s="150" t="s">
        <v>1258</v>
      </c>
      <c r="I340" s="150" t="s">
        <v>1259</v>
      </c>
      <c r="J340" s="150"/>
      <c r="K340" s="154">
        <v>1.57</v>
      </c>
      <c r="L340" s="150" t="s">
        <v>1897</v>
      </c>
      <c r="M340" s="151"/>
      <c r="N340" s="154">
        <f>MouserListTable[[#This Row],['# Initial]]*MouserListTable[[#This Row],[Price (USD)]]</f>
        <v>7.8500000000000005</v>
      </c>
      <c r="O340" s="151" t="s">
        <v>1256</v>
      </c>
      <c r="P340" s="150">
        <f t="shared" si="6"/>
        <v>327</v>
      </c>
      <c r="Q340" s="150" t="s">
        <v>5</v>
      </c>
      <c r="R34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474-PRT-14340</v>
      </c>
      <c r="S340" s="157" t="str">
        <f>HYPERLINK("https://www.mouser.com/ProductDetail/" &amp;MouserListTable[[#This Row],[Mouser SKU]])</f>
        <v>https://www.mouser.com/ProductDetail/474-PRT-14340</v>
      </c>
      <c r="T340" s="152">
        <v>1</v>
      </c>
      <c r="U340" s="152">
        <v>0</v>
      </c>
      <c r="V340" s="152">
        <v>0</v>
      </c>
      <c r="W340" s="152">
        <f>MouserListTable[[#This Row],['#/Unit]]*FilterSpecs!$C$3+MouserListTable[[#This Row],[Extra]]</f>
        <v>5</v>
      </c>
      <c r="X340" s="152">
        <f>IF(MouserListTable[[#This Row],[Tag]]=FilterSpecs!$F$7,MouserListTable[[#This Row],['#/Unit]]*MouserListTable[[#This Row],[Price (USD)]],0)</f>
        <v>1.57</v>
      </c>
      <c r="Y340" s="152">
        <f>MouserListTable[[#This Row],[Tot '#]]*MouserListTable[[#This Row],[Price (USD)]]</f>
        <v>7.8500000000000005</v>
      </c>
    </row>
    <row r="341" spans="1:25" x14ac:dyDescent="0.25">
      <c r="A341" s="150" t="s">
        <v>889</v>
      </c>
      <c r="B341" s="150" t="s">
        <v>1289</v>
      </c>
      <c r="C341" s="150" t="s">
        <v>5</v>
      </c>
      <c r="D341" s="151" t="str">
        <f>IF(MouserListTable[[#This Row],[Vendor]]=FilterSpecs!$A$8,MouserListTable[[#This Row],[Mouser SKU]], MouserListTable[[#This Row],[Supplier SKU]])</f>
        <v>474-PRT-00121</v>
      </c>
      <c r="E341" s="152">
        <f>MouserListTable[[#This Row],[Tot '#]]-MouserListTable[[#This Row],['# Initial]]</f>
        <v>0</v>
      </c>
      <c r="F341" s="152">
        <f>IF(AND(MouserListTable[[#This Row],[Tag]]&lt;&gt;FilterSpecs!$F$12, MouserListTable[[#This Row],[Tag]]&lt;&gt;FilterSpecs!$F$9), MouserListTable[[#This Row],['#/Unit]]*FilterSpecs!$B$3+MouserListTable[[#This Row],[Extra Initial]],0)</f>
        <v>5</v>
      </c>
      <c r="G341" s="150" t="s">
        <v>1073</v>
      </c>
      <c r="H341" s="150" t="s">
        <v>1074</v>
      </c>
      <c r="I341" s="150" t="s">
        <v>1075</v>
      </c>
      <c r="J341" s="150">
        <v>1</v>
      </c>
      <c r="K341" s="154">
        <v>0.95</v>
      </c>
      <c r="L341" s="150" t="s">
        <v>1897</v>
      </c>
      <c r="M341" s="150" t="s">
        <v>1198</v>
      </c>
      <c r="N341" s="154">
        <f>MouserListTable[[#This Row],['# Initial]]*MouserListTable[[#This Row],[Price (USD)]]</f>
        <v>4.75</v>
      </c>
      <c r="O341" s="151" t="s">
        <v>1072</v>
      </c>
      <c r="P341" s="150">
        <f t="shared" si="6"/>
        <v>328</v>
      </c>
      <c r="Q341" s="150" t="s">
        <v>5</v>
      </c>
      <c r="R34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474-PRT-00121</v>
      </c>
      <c r="S341" s="157" t="str">
        <f>HYPERLINK("https://www.mouser.com/ProductDetail/" &amp;MouserListTable[[#This Row],[Mouser SKU]])</f>
        <v>https://www.mouser.com/ProductDetail/474-PRT-00121</v>
      </c>
      <c r="T341" s="152">
        <v>1</v>
      </c>
      <c r="U341" s="152">
        <v>0</v>
      </c>
      <c r="V341" s="152">
        <v>0</v>
      </c>
      <c r="W341" s="152">
        <f>MouserListTable[[#This Row],['#/Unit]]*FilterSpecs!$C$3+MouserListTable[[#This Row],[Extra]]</f>
        <v>5</v>
      </c>
      <c r="X341" s="152">
        <f>IF(MouserListTable[[#This Row],[Tag]]=FilterSpecs!$F$7,MouserListTable[[#This Row],['#/Unit]]*MouserListTable[[#This Row],[Price (USD)]],0)</f>
        <v>0.95</v>
      </c>
      <c r="Y341" s="152">
        <f>MouserListTable[[#This Row],[Tot '#]]*MouserListTable[[#This Row],[Price (USD)]]</f>
        <v>4.75</v>
      </c>
    </row>
    <row r="342" spans="1:25" x14ac:dyDescent="0.25">
      <c r="A342" s="150" t="s">
        <v>889</v>
      </c>
      <c r="B342" s="150" t="s">
        <v>1289</v>
      </c>
      <c r="C342" s="150" t="s">
        <v>1884</v>
      </c>
      <c r="D342" s="151" t="str">
        <f>IF(MouserListTable[[#This Row],[Vendor]]=FilterSpecs!$A$8,MouserListTable[[#This Row],[Mouser SKU]], MouserListTable[[#This Row],[Supplier SKU]])</f>
        <v>485-977</v>
      </c>
      <c r="E342" s="152">
        <f>MouserListTable[[#This Row],[Tot '#]]-MouserListTable[[#This Row],['# Initial]]</f>
        <v>0</v>
      </c>
      <c r="F342" s="152">
        <f>IF(AND(MouserListTable[[#This Row],[Tag]]&lt;&gt;FilterSpecs!$F$12, MouserListTable[[#This Row],[Tag]]&lt;&gt;FilterSpecs!$F$9), MouserListTable[[#This Row],['#/Unit]]*FilterSpecs!$B$3+MouserListTable[[#This Row],[Extra Initial]],0)</f>
        <v>10</v>
      </c>
      <c r="G342" s="150"/>
      <c r="H342" s="150"/>
      <c r="I342" s="150" t="s">
        <v>2094</v>
      </c>
      <c r="J342" s="153"/>
      <c r="K342" s="154">
        <v>0.75</v>
      </c>
      <c r="L342" s="150" t="s">
        <v>1897</v>
      </c>
      <c r="M342" s="151"/>
      <c r="N342" s="154">
        <f>MouserListTable[[#This Row],['# Initial]]*MouserListTable[[#This Row],[Price (USD)]]</f>
        <v>7.5</v>
      </c>
      <c r="O342" s="151" t="s">
        <v>2093</v>
      </c>
      <c r="P342" s="150">
        <f t="shared" si="6"/>
        <v>329</v>
      </c>
      <c r="Q342" s="150" t="s">
        <v>1884</v>
      </c>
      <c r="R34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485-977</v>
      </c>
      <c r="S342" s="157" t="str">
        <f>HYPERLINK("https://www.mouser.com/ProductDetail/" &amp;MouserListTable[[#This Row],[Mouser SKU]])</f>
        <v>https://www.mouser.com/ProductDetail/485-977</v>
      </c>
      <c r="T342" s="152">
        <v>2</v>
      </c>
      <c r="U342" s="152">
        <v>0</v>
      </c>
      <c r="V342" s="152">
        <v>0</v>
      </c>
      <c r="W342" s="152">
        <f>MouserListTable[[#This Row],['#/Unit]]*FilterSpecs!$C$3+MouserListTable[[#This Row],[Extra]]</f>
        <v>10</v>
      </c>
      <c r="X342" s="152">
        <f>IF(MouserListTable[[#This Row],[Tag]]=FilterSpecs!$F$7,MouserListTable[[#This Row],['#/Unit]]*MouserListTable[[#This Row],[Price (USD)]],0)</f>
        <v>1.5</v>
      </c>
      <c r="Y342" s="152">
        <f>MouserListTable[[#This Row],[Tot '#]]*MouserListTable[[#This Row],[Price (USD)]]</f>
        <v>7.5</v>
      </c>
    </row>
    <row r="343" spans="1:25" x14ac:dyDescent="0.25">
      <c r="A343" s="150" t="s">
        <v>889</v>
      </c>
      <c r="B343" s="150" t="s">
        <v>1289</v>
      </c>
      <c r="C343" s="150" t="s">
        <v>5</v>
      </c>
      <c r="D343" s="151" t="str">
        <f>IF(MouserListTable[[#This Row],[Vendor]]=FilterSpecs!$A$8,MouserListTable[[#This Row],[Mouser SKU]], MouserListTable[[#This Row],[Supplier SKU]])</f>
        <v>PRT-09599</v>
      </c>
      <c r="E343" s="152">
        <f>MouserListTable[[#This Row],[Tot '#]]-MouserListTable[[#This Row],['# Initial]]</f>
        <v>2</v>
      </c>
      <c r="F343" s="152">
        <f>IF(AND(MouserListTable[[#This Row],[Tag]]&lt;&gt;FilterSpecs!$F$12, MouserListTable[[#This Row],[Tag]]&lt;&gt;FilterSpecs!$F$9), MouserListTable[[#This Row],['#/Unit]]*FilterSpecs!$B$3+MouserListTable[[#This Row],[Extra Initial]],0)</f>
        <v>0</v>
      </c>
      <c r="G343" s="150" t="s">
        <v>1253</v>
      </c>
      <c r="H343" s="150" t="s">
        <v>1254</v>
      </c>
      <c r="I343" s="150" t="s">
        <v>1255</v>
      </c>
      <c r="J343" s="150">
        <v>1</v>
      </c>
      <c r="K343" s="154">
        <v>1.95</v>
      </c>
      <c r="L343" s="150" t="s">
        <v>2461</v>
      </c>
      <c r="M343" s="151"/>
      <c r="N343" s="154">
        <f>MouserListTable[[#This Row],['# Initial]]*MouserListTable[[#This Row],[Price (USD)]]</f>
        <v>0</v>
      </c>
      <c r="O343" s="151" t="s">
        <v>1252</v>
      </c>
      <c r="P343" s="150">
        <f t="shared" si="6"/>
        <v>330</v>
      </c>
      <c r="Q343" s="150" t="s">
        <v>5</v>
      </c>
      <c r="R34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474-PRT-09599</v>
      </c>
      <c r="S343" s="157" t="str">
        <f>HYPERLINK("https://www.mouser.com/ProductDetail/" &amp;MouserListTable[[#This Row],[Mouser SKU]])</f>
        <v>https://www.mouser.com/ProductDetail/474-PRT-09599</v>
      </c>
      <c r="T343" s="152">
        <v>0</v>
      </c>
      <c r="U343" s="152">
        <v>2</v>
      </c>
      <c r="V343" s="152">
        <v>0</v>
      </c>
      <c r="W343" s="152">
        <f>MouserListTable[[#This Row],['#/Unit]]*FilterSpecs!$C$3+MouserListTable[[#This Row],[Extra]]</f>
        <v>2</v>
      </c>
      <c r="X343" s="152">
        <f>IF(MouserListTable[[#This Row],[Tag]]=FilterSpecs!$F$7,MouserListTable[[#This Row],['#/Unit]]*MouserListTable[[#This Row],[Price (USD)]],0)</f>
        <v>0</v>
      </c>
      <c r="Y343" s="152">
        <f>MouserListTable[[#This Row],[Tot '#]]*MouserListTable[[#This Row],[Price (USD)]]</f>
        <v>3.9</v>
      </c>
    </row>
    <row r="344" spans="1:25" x14ac:dyDescent="0.25">
      <c r="A344" s="150" t="s">
        <v>889</v>
      </c>
      <c r="B344" s="150" t="s">
        <v>1289</v>
      </c>
      <c r="C344" s="150" t="s">
        <v>5</v>
      </c>
      <c r="D344" s="151" t="str">
        <f>IF(MouserListTable[[#This Row],[Vendor]]=FilterSpecs!$A$8,MouserListTable[[#This Row],[Mouser SKU]], MouserListTable[[#This Row],[Supplier SKU]])</f>
        <v>474-PRT-09599</v>
      </c>
      <c r="E344" s="152">
        <f>MouserListTable[[#This Row],[Tot '#]]-MouserListTable[[#This Row],['# Initial]]</f>
        <v>0</v>
      </c>
      <c r="F344" s="152">
        <f>IF(AND(MouserListTable[[#This Row],[Tag]]&lt;&gt;FilterSpecs!$F$12, MouserListTable[[#This Row],[Tag]]&lt;&gt;FilterSpecs!$F$9), MouserListTable[[#This Row],['#/Unit]]*FilterSpecs!$B$3+MouserListTable[[#This Row],[Extra Initial]],0)</f>
        <v>2</v>
      </c>
      <c r="G344" s="150" t="s">
        <v>1253</v>
      </c>
      <c r="H344" s="150" t="s">
        <v>1254</v>
      </c>
      <c r="I344" s="150" t="s">
        <v>1255</v>
      </c>
      <c r="J344" s="150">
        <v>1</v>
      </c>
      <c r="K344" s="154">
        <v>1.95</v>
      </c>
      <c r="L344" s="150" t="s">
        <v>1896</v>
      </c>
      <c r="M344" s="151"/>
      <c r="N344" s="154">
        <f>MouserListTable[[#This Row],['# Initial]]*MouserListTable[[#This Row],[Price (USD)]]</f>
        <v>3.9</v>
      </c>
      <c r="O344" s="151" t="s">
        <v>1252</v>
      </c>
      <c r="P344" s="150">
        <f t="shared" si="6"/>
        <v>331</v>
      </c>
      <c r="Q344" s="150" t="s">
        <v>5</v>
      </c>
      <c r="R34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474-PRT-09599</v>
      </c>
      <c r="S344" s="157" t="str">
        <f>HYPERLINK("https://www.mouser.com/ProductDetail/" &amp;MouserListTable[[#This Row],[Mouser SKU]])</f>
        <v>https://www.mouser.com/ProductDetail/474-PRT-09599</v>
      </c>
      <c r="T344" s="152">
        <v>0</v>
      </c>
      <c r="U344" s="152">
        <v>2</v>
      </c>
      <c r="V344" s="152">
        <v>2</v>
      </c>
      <c r="W344" s="152">
        <f>MouserListTable[[#This Row],['#/Unit]]*FilterSpecs!$C$3+MouserListTable[[#This Row],[Extra]]</f>
        <v>2</v>
      </c>
      <c r="X344" s="152">
        <f>IF(MouserListTable[[#This Row],[Tag]]=FilterSpecs!$F$7,MouserListTable[[#This Row],['#/Unit]]*MouserListTable[[#This Row],[Price (USD)]],0)</f>
        <v>0</v>
      </c>
      <c r="Y344" s="152">
        <f>MouserListTable[[#This Row],[Tot '#]]*MouserListTable[[#This Row],[Price (USD)]]</f>
        <v>3.9</v>
      </c>
    </row>
    <row r="345" spans="1:25" x14ac:dyDescent="0.25">
      <c r="A345" s="150" t="s">
        <v>889</v>
      </c>
      <c r="B345" s="150" t="s">
        <v>1289</v>
      </c>
      <c r="C345" s="150" t="s">
        <v>5</v>
      </c>
      <c r="D345" s="151" t="str">
        <f>IF(MouserListTable[[#This Row],[Vendor]]=FilterSpecs!$A$8,MouserListTable[[#This Row],[Mouser SKU]], MouserListTable[[#This Row],[Supplier SKU]])</f>
        <v>474-PRT-09771</v>
      </c>
      <c r="E345" s="152">
        <f>MouserListTable[[#This Row],[Tot '#]]-MouserListTable[[#This Row],['# Initial]]</f>
        <v>0</v>
      </c>
      <c r="F345" s="152">
        <f>IF(AND(MouserListTable[[#This Row],[Tag]]&lt;&gt;FilterSpecs!$F$12, MouserListTable[[#This Row],[Tag]]&lt;&gt;FilterSpecs!$F$9), MouserListTable[[#This Row],['#/Unit]]*FilterSpecs!$B$3+MouserListTable[[#This Row],[Extra Initial]],0)</f>
        <v>3</v>
      </c>
      <c r="G345" s="150" t="s">
        <v>1069</v>
      </c>
      <c r="H345" s="150" t="s">
        <v>1070</v>
      </c>
      <c r="I345" s="150" t="s">
        <v>1071</v>
      </c>
      <c r="J345" s="150"/>
      <c r="K345" s="154">
        <v>3.95</v>
      </c>
      <c r="L345" s="150" t="s">
        <v>1896</v>
      </c>
      <c r="M345" s="151"/>
      <c r="N345" s="154">
        <f>MouserListTable[[#This Row],['# Initial]]*MouserListTable[[#This Row],[Price (USD)]]</f>
        <v>11.850000000000001</v>
      </c>
      <c r="O345" s="151" t="s">
        <v>1068</v>
      </c>
      <c r="P345" s="150">
        <f t="shared" si="6"/>
        <v>332</v>
      </c>
      <c r="Q345" s="150" t="s">
        <v>5</v>
      </c>
      <c r="R34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474-PRT-09771</v>
      </c>
      <c r="S345" s="157" t="str">
        <f>HYPERLINK("https://www.mouser.com/ProductDetail/" &amp;MouserListTable[[#This Row],[Mouser SKU]])</f>
        <v>https://www.mouser.com/ProductDetail/474-PRT-09771</v>
      </c>
      <c r="T345" s="152">
        <v>0</v>
      </c>
      <c r="U345" s="152">
        <v>3</v>
      </c>
      <c r="V345" s="152">
        <v>3</v>
      </c>
      <c r="W345" s="152">
        <f>MouserListTable[[#This Row],['#/Unit]]*FilterSpecs!$C$3+MouserListTable[[#This Row],[Extra]]</f>
        <v>3</v>
      </c>
      <c r="X345" s="152">
        <f>IF(MouserListTable[[#This Row],[Tag]]=FilterSpecs!$F$7,MouserListTable[[#This Row],['#/Unit]]*MouserListTable[[#This Row],[Price (USD)]],0)</f>
        <v>0</v>
      </c>
      <c r="Y345" s="152">
        <f>MouserListTable[[#This Row],[Tot '#]]*MouserListTable[[#This Row],[Price (USD)]]</f>
        <v>11.850000000000001</v>
      </c>
    </row>
    <row r="346" spans="1:25" x14ac:dyDescent="0.25">
      <c r="A346" s="150" t="s">
        <v>889</v>
      </c>
      <c r="B346" s="150" t="s">
        <v>987</v>
      </c>
      <c r="C346" s="150" t="s">
        <v>5</v>
      </c>
      <c r="D346" s="151" t="str">
        <f>IF(MouserListTable[[#This Row],[Vendor]]=FilterSpecs!$A$8,MouserListTable[[#This Row],[Mouser SKU]], MouserListTable[[#This Row],[Supplier SKU]])</f>
        <v>474-PRT-11796</v>
      </c>
      <c r="E346" s="152">
        <f>MouserListTable[[#This Row],[Tot '#]]-MouserListTable[[#This Row],['# Initial]]</f>
        <v>0</v>
      </c>
      <c r="F346" s="152">
        <f>IF(AND(MouserListTable[[#This Row],[Tag]]&lt;&gt;FilterSpecs!$F$12, MouserListTable[[#This Row],[Tag]]&lt;&gt;FilterSpecs!$F$9), MouserListTable[[#This Row],['#/Unit]]*FilterSpecs!$B$3+MouserListTable[[#This Row],[Extra Initial]],0)</f>
        <v>5</v>
      </c>
      <c r="G346" s="150" t="s">
        <v>637</v>
      </c>
      <c r="H346" s="150" t="s">
        <v>638</v>
      </c>
      <c r="I346" s="150" t="s">
        <v>639</v>
      </c>
      <c r="J346" s="150"/>
      <c r="K346" s="154">
        <v>3.95</v>
      </c>
      <c r="L346" s="150" t="s">
        <v>1897</v>
      </c>
      <c r="M346" s="151"/>
      <c r="N346" s="154">
        <f>MouserListTable[[#This Row],['# Initial]]*MouserListTable[[#This Row],[Price (USD)]]</f>
        <v>19.75</v>
      </c>
      <c r="O346" s="151" t="s">
        <v>636</v>
      </c>
      <c r="P346" s="150">
        <f t="shared" si="6"/>
        <v>333</v>
      </c>
      <c r="Q346" s="150" t="s">
        <v>5</v>
      </c>
      <c r="R34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474-PRT-11796</v>
      </c>
      <c r="S346" s="157" t="str">
        <f>HYPERLINK("https://www.mouser.com/ProductDetail/" &amp;MouserListTable[[#This Row],[Mouser SKU]])</f>
        <v>https://www.mouser.com/ProductDetail/474-PRT-11796</v>
      </c>
      <c r="T346" s="152">
        <v>1</v>
      </c>
      <c r="U346" s="152">
        <v>0</v>
      </c>
      <c r="V346" s="152">
        <v>0</v>
      </c>
      <c r="W346" s="152">
        <f>MouserListTable[[#This Row],['#/Unit]]*FilterSpecs!$C$3+MouserListTable[[#This Row],[Extra]]</f>
        <v>5</v>
      </c>
      <c r="X346" s="152">
        <f>IF(MouserListTable[[#This Row],[Tag]]=FilterSpecs!$F$7,MouserListTable[[#This Row],['#/Unit]]*MouserListTable[[#This Row],[Price (USD)]],0)</f>
        <v>3.95</v>
      </c>
      <c r="Y346" s="152">
        <f>MouserListTable[[#This Row],[Tot '#]]*MouserListTable[[#This Row],[Price (USD)]]</f>
        <v>19.75</v>
      </c>
    </row>
    <row r="347" spans="1:25" x14ac:dyDescent="0.25">
      <c r="A347" s="150" t="s">
        <v>889</v>
      </c>
      <c r="B347" s="150" t="s">
        <v>987</v>
      </c>
      <c r="C347" s="150" t="s">
        <v>5</v>
      </c>
      <c r="D347" s="151" t="str">
        <f>IF(MouserListTable[[#This Row],[Vendor]]=FilterSpecs!$A$8,MouserListTable[[#This Row],[Mouser SKU]], MouserListTable[[#This Row],[Supplier SKU]])</f>
        <v>474-PRT-10927</v>
      </c>
      <c r="E347" s="152">
        <f>MouserListTable[[#This Row],[Tot '#]]-MouserListTable[[#This Row],['# Initial]]</f>
        <v>0</v>
      </c>
      <c r="F347" s="152">
        <f>IF(AND(MouserListTable[[#This Row],[Tag]]&lt;&gt;FilterSpecs!$F$12, MouserListTable[[#This Row],[Tag]]&lt;&gt;FilterSpecs!$F$9), MouserListTable[[#This Row],['#/Unit]]*FilterSpecs!$B$3+MouserListTable[[#This Row],[Extra Initial]],0)</f>
        <v>5</v>
      </c>
      <c r="G347" s="150" t="s">
        <v>645</v>
      </c>
      <c r="H347" s="150" t="s">
        <v>646</v>
      </c>
      <c r="I347" s="150" t="s">
        <v>647</v>
      </c>
      <c r="J347" s="150">
        <v>1</v>
      </c>
      <c r="K347" s="154">
        <v>2.95</v>
      </c>
      <c r="L347" s="150" t="s">
        <v>1897</v>
      </c>
      <c r="M347" s="151"/>
      <c r="N347" s="154">
        <f>MouserListTable[[#This Row],['# Initial]]*MouserListTable[[#This Row],[Price (USD)]]</f>
        <v>14.75</v>
      </c>
      <c r="O347" s="151" t="s">
        <v>644</v>
      </c>
      <c r="P347" s="150">
        <f t="shared" si="6"/>
        <v>334</v>
      </c>
      <c r="Q347" s="150" t="s">
        <v>5</v>
      </c>
      <c r="R34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474-PRT-10927</v>
      </c>
      <c r="S347" s="157" t="str">
        <f>HYPERLINK("https://www.mouser.com/ProductDetail/" &amp;MouserListTable[[#This Row],[Mouser SKU]])</f>
        <v>https://www.mouser.com/ProductDetail/474-PRT-10927</v>
      </c>
      <c r="T347" s="152">
        <v>1</v>
      </c>
      <c r="U347" s="152">
        <v>0</v>
      </c>
      <c r="V347" s="152">
        <v>0</v>
      </c>
      <c r="W347" s="152">
        <f>MouserListTable[[#This Row],['#/Unit]]*FilterSpecs!$C$3+MouserListTable[[#This Row],[Extra]]</f>
        <v>5</v>
      </c>
      <c r="X347" s="152">
        <f>IF(MouserListTable[[#This Row],[Tag]]=FilterSpecs!$F$7,MouserListTable[[#This Row],['#/Unit]]*MouserListTable[[#This Row],[Price (USD)]],0)</f>
        <v>2.95</v>
      </c>
      <c r="Y347" s="152">
        <f>MouserListTable[[#This Row],[Tot '#]]*MouserListTable[[#This Row],[Price (USD)]]</f>
        <v>14.75</v>
      </c>
    </row>
    <row r="348" spans="1:25" x14ac:dyDescent="0.25">
      <c r="A348" s="150" t="s">
        <v>889</v>
      </c>
      <c r="B348" s="150" t="s">
        <v>987</v>
      </c>
      <c r="C348" s="150" t="s">
        <v>5</v>
      </c>
      <c r="D348" s="151" t="str">
        <f>IF(MouserListTable[[#This Row],[Vendor]]=FilterSpecs!$A$8,MouserListTable[[#This Row],[Mouser SKU]], MouserListTable[[#This Row],[Supplier SKU]])</f>
        <v>474-PRT-10453</v>
      </c>
      <c r="E348" s="152">
        <f>MouserListTable[[#This Row],[Tot '#]]-MouserListTable[[#This Row],['# Initial]]</f>
        <v>0</v>
      </c>
      <c r="F348" s="152">
        <f>IF(AND(MouserListTable[[#This Row],[Tag]]&lt;&gt;FilterSpecs!$F$12, MouserListTable[[#This Row],[Tag]]&lt;&gt;FilterSpecs!$F$9), MouserListTable[[#This Row],['#/Unit]]*FilterSpecs!$B$3+MouserListTable[[#This Row],[Extra Initial]],0)</f>
        <v>5</v>
      </c>
      <c r="G348" s="150" t="s">
        <v>701</v>
      </c>
      <c r="H348" s="150" t="s">
        <v>702</v>
      </c>
      <c r="I348" s="150" t="s">
        <v>703</v>
      </c>
      <c r="J348" s="150">
        <v>1</v>
      </c>
      <c r="K348" s="154">
        <v>1.5</v>
      </c>
      <c r="L348" s="150" t="s">
        <v>1897</v>
      </c>
      <c r="M348" s="151"/>
      <c r="N348" s="154">
        <f>MouserListTable[[#This Row],['# Initial]]*MouserListTable[[#This Row],[Price (USD)]]</f>
        <v>7.5</v>
      </c>
      <c r="O348" s="151" t="s">
        <v>700</v>
      </c>
      <c r="P348" s="150">
        <f t="shared" si="6"/>
        <v>335</v>
      </c>
      <c r="Q348" s="150" t="s">
        <v>5</v>
      </c>
      <c r="R34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474-PRT-10453</v>
      </c>
      <c r="S348" s="157" t="str">
        <f>HYPERLINK("https://www.mouser.com/ProductDetail/" &amp;MouserListTable[[#This Row],[Mouser SKU]])</f>
        <v>https://www.mouser.com/ProductDetail/474-PRT-10453</v>
      </c>
      <c r="T348" s="152">
        <v>1</v>
      </c>
      <c r="U348" s="152">
        <v>0</v>
      </c>
      <c r="V348" s="152">
        <v>0</v>
      </c>
      <c r="W348" s="152">
        <f>MouserListTable[[#This Row],['#/Unit]]*FilterSpecs!$C$3+MouserListTable[[#This Row],[Extra]]</f>
        <v>5</v>
      </c>
      <c r="X348" s="152">
        <f>IF(MouserListTable[[#This Row],[Tag]]=FilterSpecs!$F$7,MouserListTable[[#This Row],['#/Unit]]*MouserListTable[[#This Row],[Price (USD)]],0)</f>
        <v>1.5</v>
      </c>
      <c r="Y348" s="152">
        <f>MouserListTable[[#This Row],[Tot '#]]*MouserListTable[[#This Row],[Price (USD)]]</f>
        <v>7.5</v>
      </c>
    </row>
    <row r="349" spans="1:25" x14ac:dyDescent="0.25">
      <c r="A349" s="150" t="s">
        <v>889</v>
      </c>
      <c r="B349" s="150" t="s">
        <v>987</v>
      </c>
      <c r="C349" s="150" t="s">
        <v>5</v>
      </c>
      <c r="D349" s="151" t="str">
        <f>IF(MouserListTable[[#This Row],[Vendor]]=FilterSpecs!$A$8,MouserListTable[[#This Row],[Mouser SKU]], MouserListTable[[#This Row],[Supplier SKU]])</f>
        <v>474-PRT-10738</v>
      </c>
      <c r="E349" s="152">
        <f>MouserListTable[[#This Row],[Tot '#]]-MouserListTable[[#This Row],['# Initial]]</f>
        <v>0</v>
      </c>
      <c r="F349" s="152">
        <f>IF(AND(MouserListTable[[#This Row],[Tag]]&lt;&gt;FilterSpecs!$F$12, MouserListTable[[#This Row],[Tag]]&lt;&gt;FilterSpecs!$F$9), MouserListTable[[#This Row],['#/Unit]]*FilterSpecs!$B$3+MouserListTable[[#This Row],[Extra Initial]],0)</f>
        <v>5</v>
      </c>
      <c r="G349" s="150" t="s">
        <v>902</v>
      </c>
      <c r="H349" s="150" t="s">
        <v>903</v>
      </c>
      <c r="I349" s="150" t="s">
        <v>904</v>
      </c>
      <c r="J349" s="150">
        <v>1</v>
      </c>
      <c r="K349" s="154">
        <v>3.95</v>
      </c>
      <c r="L349" s="150" t="s">
        <v>1897</v>
      </c>
      <c r="M349" s="151"/>
      <c r="N349" s="154">
        <f>MouserListTable[[#This Row],['# Initial]]*MouserListTable[[#This Row],[Price (USD)]]</f>
        <v>19.75</v>
      </c>
      <c r="O349" s="151" t="s">
        <v>901</v>
      </c>
      <c r="P349" s="150">
        <f t="shared" si="6"/>
        <v>336</v>
      </c>
      <c r="Q349" s="150" t="s">
        <v>5</v>
      </c>
      <c r="R34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474-PRT-10738</v>
      </c>
      <c r="S349" s="157" t="str">
        <f>HYPERLINK("https://www.mouser.com/ProductDetail/" &amp;MouserListTable[[#This Row],[Mouser SKU]])</f>
        <v>https://www.mouser.com/ProductDetail/474-PRT-10738</v>
      </c>
      <c r="T349" s="152">
        <v>1</v>
      </c>
      <c r="U349" s="152">
        <v>0</v>
      </c>
      <c r="V349" s="152">
        <v>0</v>
      </c>
      <c r="W349" s="152">
        <f>MouserListTable[[#This Row],['#/Unit]]*FilterSpecs!$C$3+MouserListTable[[#This Row],[Extra]]</f>
        <v>5</v>
      </c>
      <c r="X349" s="152">
        <f>IF(MouserListTable[[#This Row],[Tag]]=FilterSpecs!$F$7,MouserListTable[[#This Row],['#/Unit]]*MouserListTable[[#This Row],[Price (USD)]],0)</f>
        <v>3.95</v>
      </c>
      <c r="Y349" s="152">
        <f>MouserListTable[[#This Row],[Tot '#]]*MouserListTable[[#This Row],[Price (USD)]]</f>
        <v>19.75</v>
      </c>
    </row>
    <row r="350" spans="1:25" x14ac:dyDescent="0.25">
      <c r="A350" s="150" t="s">
        <v>889</v>
      </c>
      <c r="B350" s="150" t="s">
        <v>987</v>
      </c>
      <c r="C350" s="150" t="s">
        <v>5</v>
      </c>
      <c r="D350" s="151" t="str">
        <f>IF(MouserListTable[[#This Row],[Vendor]]=FilterSpecs!$A$8,MouserListTable[[#This Row],[Mouser SKU]], MouserListTable[[#This Row],[Supplier SKU]])</f>
        <v>474-PRT-10450</v>
      </c>
      <c r="E350" s="152">
        <f>MouserListTable[[#This Row],[Tot '#]]-MouserListTable[[#This Row],['# Initial]]</f>
        <v>0</v>
      </c>
      <c r="F350" s="152">
        <f>IF(AND(MouserListTable[[#This Row],[Tag]]&lt;&gt;FilterSpecs!$F$12, MouserListTable[[#This Row],[Tag]]&lt;&gt;FilterSpecs!$F$9), MouserListTable[[#This Row],['#/Unit]]*FilterSpecs!$B$3+MouserListTable[[#This Row],[Extra Initial]],0)</f>
        <v>5</v>
      </c>
      <c r="G350" s="150" t="s">
        <v>906</v>
      </c>
      <c r="H350" s="150" t="s">
        <v>907</v>
      </c>
      <c r="I350" s="150" t="s">
        <v>908</v>
      </c>
      <c r="J350" s="150">
        <v>1</v>
      </c>
      <c r="K350" s="154">
        <v>1.5</v>
      </c>
      <c r="L350" s="150" t="s">
        <v>1897</v>
      </c>
      <c r="M350" s="151"/>
      <c r="N350" s="154">
        <f>MouserListTable[[#This Row],['# Initial]]*MouserListTable[[#This Row],[Price (USD)]]</f>
        <v>7.5</v>
      </c>
      <c r="O350" s="151" t="s">
        <v>905</v>
      </c>
      <c r="P350" s="150">
        <f t="shared" si="6"/>
        <v>337</v>
      </c>
      <c r="Q350" s="150" t="s">
        <v>5</v>
      </c>
      <c r="R35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474-PRT-10450</v>
      </c>
      <c r="S350" s="157" t="str">
        <f>HYPERLINK("https://www.mouser.com/ProductDetail/" &amp;MouserListTable[[#This Row],[Mouser SKU]])</f>
        <v>https://www.mouser.com/ProductDetail/474-PRT-10450</v>
      </c>
      <c r="T350" s="152">
        <v>1</v>
      </c>
      <c r="U350" s="152">
        <v>0</v>
      </c>
      <c r="V350" s="152">
        <v>0</v>
      </c>
      <c r="W350" s="152">
        <f>MouserListTable[[#This Row],['#/Unit]]*FilterSpecs!$C$3+MouserListTable[[#This Row],[Extra]]</f>
        <v>5</v>
      </c>
      <c r="X350" s="152">
        <f>IF(MouserListTable[[#This Row],[Tag]]=FilterSpecs!$F$7,MouserListTable[[#This Row],['#/Unit]]*MouserListTable[[#This Row],[Price (USD)]],0)</f>
        <v>1.5</v>
      </c>
      <c r="Y350" s="152">
        <f>MouserListTable[[#This Row],[Tot '#]]*MouserListTable[[#This Row],[Price (USD)]]</f>
        <v>7.5</v>
      </c>
    </row>
    <row r="351" spans="1:25" x14ac:dyDescent="0.25">
      <c r="A351" s="150" t="s">
        <v>889</v>
      </c>
      <c r="B351" s="150" t="s">
        <v>987</v>
      </c>
      <c r="C351" s="150" t="s">
        <v>5</v>
      </c>
      <c r="D351" s="151" t="str">
        <f>IF(MouserListTable[[#This Row],[Vendor]]=FilterSpecs!$A$8,MouserListTable[[#This Row],[Mouser SKU]], MouserListTable[[#This Row],[Supplier SKU]])</f>
        <v>474-PRT-10463</v>
      </c>
      <c r="E351" s="152">
        <f>MouserListTable[[#This Row],[Tot '#]]-MouserListTable[[#This Row],['# Initial]]</f>
        <v>0</v>
      </c>
      <c r="F351" s="152">
        <f>IF(AND(MouserListTable[[#This Row],[Tag]]&lt;&gt;FilterSpecs!$F$12, MouserListTable[[#This Row],[Tag]]&lt;&gt;FilterSpecs!$F$9), MouserListTable[[#This Row],['#/Unit]]*FilterSpecs!$B$3+MouserListTable[[#This Row],[Extra Initial]],0)</f>
        <v>20</v>
      </c>
      <c r="G351" s="150" t="s">
        <v>930</v>
      </c>
      <c r="H351" s="150" t="s">
        <v>931</v>
      </c>
      <c r="I351" s="150" t="s">
        <v>932</v>
      </c>
      <c r="J351" s="150">
        <v>1</v>
      </c>
      <c r="K351" s="154">
        <v>3.95</v>
      </c>
      <c r="L351" s="150" t="s">
        <v>1897</v>
      </c>
      <c r="M351" s="151"/>
      <c r="N351" s="154">
        <f>MouserListTable[[#This Row],['# Initial]]*MouserListTable[[#This Row],[Price (USD)]]</f>
        <v>79</v>
      </c>
      <c r="O351" s="151" t="s">
        <v>929</v>
      </c>
      <c r="P351" s="150">
        <f t="shared" si="6"/>
        <v>338</v>
      </c>
      <c r="Q351" s="150" t="s">
        <v>5</v>
      </c>
      <c r="R35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474-PRT-10463</v>
      </c>
      <c r="S351" s="157" t="str">
        <f>HYPERLINK("https://www.mouser.com/ProductDetail/" &amp;MouserListTable[[#This Row],[Mouser SKU]])</f>
        <v>https://www.mouser.com/ProductDetail/474-PRT-10463</v>
      </c>
      <c r="T351" s="152">
        <v>4</v>
      </c>
      <c r="U351" s="152">
        <v>0</v>
      </c>
      <c r="V351" s="152">
        <v>0</v>
      </c>
      <c r="W351" s="152">
        <f>MouserListTable[[#This Row],['#/Unit]]*FilterSpecs!$C$3+MouserListTable[[#This Row],[Extra]]</f>
        <v>20</v>
      </c>
      <c r="X351" s="152">
        <f>IF(MouserListTable[[#This Row],[Tag]]=FilterSpecs!$F$7,MouserListTable[[#This Row],['#/Unit]]*MouserListTable[[#This Row],[Price (USD)]],0)</f>
        <v>15.8</v>
      </c>
      <c r="Y351" s="152">
        <f>MouserListTable[[#This Row],[Tot '#]]*MouserListTable[[#This Row],[Price (USD)]]</f>
        <v>79</v>
      </c>
    </row>
    <row r="352" spans="1:25" x14ac:dyDescent="0.25">
      <c r="A352" s="150" t="s">
        <v>889</v>
      </c>
      <c r="B352" s="150" t="s">
        <v>1290</v>
      </c>
      <c r="C352" s="150" t="s">
        <v>5</v>
      </c>
      <c r="D352" s="151" t="str">
        <f>IF(MouserListTable[[#This Row],[Vendor]]=FilterSpecs!$A$8,MouserListTable[[#This Row],[Mouser SKU]], MouserListTable[[#This Row],[Supplier SKU]])</f>
        <v>474-PRT-10561</v>
      </c>
      <c r="E352" s="152">
        <f>MouserListTable[[#This Row],[Tot '#]]-MouserListTable[[#This Row],['# Initial]]</f>
        <v>0</v>
      </c>
      <c r="F352" s="152">
        <f>IF(AND(MouserListTable[[#This Row],[Tag]]&lt;&gt;FilterSpecs!$F$12, MouserListTable[[#This Row],[Tag]]&lt;&gt;FilterSpecs!$F$9), MouserListTable[[#This Row],['#/Unit]]*FilterSpecs!$B$3+MouserListTable[[#This Row],[Extra Initial]],0)</f>
        <v>1</v>
      </c>
      <c r="G352" s="150" t="s">
        <v>1229</v>
      </c>
      <c r="H352" s="150" t="s">
        <v>1230</v>
      </c>
      <c r="I352" s="150" t="s">
        <v>1231</v>
      </c>
      <c r="J352" s="150">
        <v>1</v>
      </c>
      <c r="K352" s="154">
        <v>2.95</v>
      </c>
      <c r="L352" s="150" t="s">
        <v>1896</v>
      </c>
      <c r="M352" s="151"/>
      <c r="N352" s="154">
        <f>MouserListTable[[#This Row],['# Initial]]*MouserListTable[[#This Row],[Price (USD)]]</f>
        <v>2.95</v>
      </c>
      <c r="O352" s="151" t="s">
        <v>1228</v>
      </c>
      <c r="P352" s="150">
        <f t="shared" si="6"/>
        <v>339</v>
      </c>
      <c r="Q352" s="150" t="s">
        <v>5</v>
      </c>
      <c r="R35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474-PRT-10561</v>
      </c>
      <c r="S352" s="157" t="str">
        <f>HYPERLINK("https://www.mouser.com/ProductDetail/" &amp;MouserListTable[[#This Row],[Mouser SKU]])</f>
        <v>https://www.mouser.com/ProductDetail/474-PRT-10561</v>
      </c>
      <c r="T352" s="152">
        <v>0</v>
      </c>
      <c r="U352" s="152">
        <v>1</v>
      </c>
      <c r="V352" s="152">
        <v>1</v>
      </c>
      <c r="W352" s="152">
        <f>MouserListTable[[#This Row],['#/Unit]]*FilterSpecs!$C$3+MouserListTable[[#This Row],[Extra]]</f>
        <v>1</v>
      </c>
      <c r="X352" s="152">
        <f>IF(MouserListTable[[#This Row],[Tag]]=FilterSpecs!$F$7,MouserListTable[[#This Row],['#/Unit]]*MouserListTable[[#This Row],[Price (USD)]],0)</f>
        <v>0</v>
      </c>
      <c r="Y352" s="152">
        <f>MouserListTable[[#This Row],[Tot '#]]*MouserListTable[[#This Row],[Price (USD)]]</f>
        <v>2.95</v>
      </c>
    </row>
    <row r="353" spans="1:25" x14ac:dyDescent="0.25">
      <c r="A353" s="150" t="s">
        <v>889</v>
      </c>
      <c r="B353" s="150" t="s">
        <v>1290</v>
      </c>
      <c r="C353" s="150" t="s">
        <v>5</v>
      </c>
      <c r="D353" s="151" t="str">
        <f>IF(MouserListTable[[#This Row],[Vendor]]=FilterSpecs!$A$8,MouserListTable[[#This Row],[Mouser SKU]], MouserListTable[[#This Row],[Supplier SKU]])</f>
        <v>474-PRT-13827</v>
      </c>
      <c r="E353" s="152">
        <f>MouserListTable[[#This Row],[Tot '#]]-MouserListTable[[#This Row],['# Initial]]</f>
        <v>0</v>
      </c>
      <c r="F353" s="152">
        <f>IF(AND(MouserListTable[[#This Row],[Tag]]&lt;&gt;FilterSpecs!$F$12, MouserListTable[[#This Row],[Tag]]&lt;&gt;FilterSpecs!$F$9), MouserListTable[[#This Row],['#/Unit]]*FilterSpecs!$B$3+MouserListTable[[#This Row],[Extra Initial]],0)</f>
        <v>1</v>
      </c>
      <c r="G353" s="150" t="s">
        <v>1233</v>
      </c>
      <c r="H353" s="150" t="s">
        <v>1234</v>
      </c>
      <c r="I353" s="150" t="s">
        <v>1235</v>
      </c>
      <c r="J353" s="150">
        <v>1</v>
      </c>
      <c r="K353" s="154">
        <v>3.95</v>
      </c>
      <c r="L353" s="150" t="s">
        <v>1896</v>
      </c>
      <c r="M353" s="151"/>
      <c r="N353" s="154">
        <f>MouserListTable[[#This Row],['# Initial]]*MouserListTable[[#This Row],[Price (USD)]]</f>
        <v>3.95</v>
      </c>
      <c r="O353" s="151" t="s">
        <v>1232</v>
      </c>
      <c r="P353" s="150">
        <f t="shared" si="6"/>
        <v>340</v>
      </c>
      <c r="Q353" s="150" t="s">
        <v>5</v>
      </c>
      <c r="R35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474-PRT-13827</v>
      </c>
      <c r="S353" s="157" t="str">
        <f>HYPERLINK("https://www.mouser.com/ProductDetail/" &amp;MouserListTable[[#This Row],[Mouser SKU]])</f>
        <v>https://www.mouser.com/ProductDetail/474-PRT-13827</v>
      </c>
      <c r="T353" s="152">
        <v>0</v>
      </c>
      <c r="U353" s="152">
        <v>1</v>
      </c>
      <c r="V353" s="152">
        <v>1</v>
      </c>
      <c r="W353" s="152">
        <f>MouserListTable[[#This Row],['#/Unit]]*FilterSpecs!$C$3+MouserListTable[[#This Row],[Extra]]</f>
        <v>1</v>
      </c>
      <c r="X353" s="152">
        <f>IF(MouserListTable[[#This Row],[Tag]]=FilterSpecs!$F$7,MouserListTable[[#This Row],['#/Unit]]*MouserListTable[[#This Row],[Price (USD)]],0)</f>
        <v>0</v>
      </c>
      <c r="Y353" s="152">
        <f>MouserListTable[[#This Row],[Tot '#]]*MouserListTable[[#This Row],[Price (USD)]]</f>
        <v>3.95</v>
      </c>
    </row>
    <row r="354" spans="1:25" x14ac:dyDescent="0.25">
      <c r="A354" s="150" t="s">
        <v>889</v>
      </c>
      <c r="B354" s="150" t="s">
        <v>1290</v>
      </c>
      <c r="C354" s="150" t="s">
        <v>5</v>
      </c>
      <c r="D354" s="151" t="str">
        <f>IF(MouserListTable[[#This Row],[Vendor]]=FilterSpecs!$A$8,MouserListTable[[#This Row],[Mouser SKU]], MouserListTable[[#This Row],[Supplier SKU]])</f>
        <v>474-PRT-13828</v>
      </c>
      <c r="E354" s="152">
        <f>MouserListTable[[#This Row],[Tot '#]]-MouserListTable[[#This Row],['# Initial]]</f>
        <v>0</v>
      </c>
      <c r="F354" s="152">
        <f>IF(AND(MouserListTable[[#This Row],[Tag]]&lt;&gt;FilterSpecs!$F$12, MouserListTable[[#This Row],[Tag]]&lt;&gt;FilterSpecs!$F$9), MouserListTable[[#This Row],['#/Unit]]*FilterSpecs!$B$3+MouserListTable[[#This Row],[Extra Initial]],0)</f>
        <v>0</v>
      </c>
      <c r="G354" s="150" t="s">
        <v>1221</v>
      </c>
      <c r="H354" s="150" t="s">
        <v>1222</v>
      </c>
      <c r="I354" s="150" t="s">
        <v>1223</v>
      </c>
      <c r="J354" s="150">
        <v>1</v>
      </c>
      <c r="K354" s="154">
        <v>15.95</v>
      </c>
      <c r="L354" s="150" t="s">
        <v>1896</v>
      </c>
      <c r="M354" s="151"/>
      <c r="N354" s="154">
        <f>MouserListTable[[#This Row],['# Initial]]*MouserListTable[[#This Row],[Price (USD)]]</f>
        <v>0</v>
      </c>
      <c r="O354" s="151" t="s">
        <v>1220</v>
      </c>
      <c r="P354" s="150">
        <f t="shared" si="6"/>
        <v>341</v>
      </c>
      <c r="Q354" s="150" t="s">
        <v>5</v>
      </c>
      <c r="R35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474-PRT-13828</v>
      </c>
      <c r="S354" s="157" t="str">
        <f>HYPERLINK("https://www.mouser.com/ProductDetail/" &amp;MouserListTable[[#This Row],[Mouser SKU]])</f>
        <v>https://www.mouser.com/ProductDetail/474-PRT-13828</v>
      </c>
      <c r="T354" s="152">
        <v>0</v>
      </c>
      <c r="U354" s="152">
        <v>0</v>
      </c>
      <c r="V354" s="152">
        <v>0</v>
      </c>
      <c r="W354" s="152">
        <f>MouserListTable[[#This Row],['#/Unit]]*FilterSpecs!$C$3+MouserListTable[[#This Row],[Extra]]</f>
        <v>0</v>
      </c>
      <c r="X354" s="152">
        <f>IF(MouserListTable[[#This Row],[Tag]]=FilterSpecs!$F$7,MouserListTable[[#This Row],['#/Unit]]*MouserListTable[[#This Row],[Price (USD)]],0)</f>
        <v>0</v>
      </c>
      <c r="Y354" s="152">
        <f>MouserListTable[[#This Row],[Tot '#]]*MouserListTable[[#This Row],[Price (USD)]]</f>
        <v>0</v>
      </c>
    </row>
    <row r="355" spans="1:25" x14ac:dyDescent="0.25">
      <c r="A355" s="150" t="s">
        <v>889</v>
      </c>
      <c r="B355" s="150" t="s">
        <v>1290</v>
      </c>
      <c r="C355" s="150" t="s">
        <v>5</v>
      </c>
      <c r="D355" s="151" t="str">
        <f>IF(MouserListTable[[#This Row],[Vendor]]=FilterSpecs!$A$8,MouserListTable[[#This Row],[Mouser SKU]], MouserListTable[[#This Row],[Supplier SKU]])</f>
        <v>474-PRT-11081</v>
      </c>
      <c r="E355" s="152">
        <f>MouserListTable[[#This Row],[Tot '#]]-MouserListTable[[#This Row],['# Initial]]</f>
        <v>0</v>
      </c>
      <c r="F355" s="152">
        <f>IF(AND(MouserListTable[[#This Row],[Tag]]&lt;&gt;FilterSpecs!$F$12, MouserListTable[[#This Row],[Tag]]&lt;&gt;FilterSpecs!$F$9), MouserListTable[[#This Row],['#/Unit]]*FilterSpecs!$B$3+MouserListTable[[#This Row],[Extra Initial]],0)</f>
        <v>0</v>
      </c>
      <c r="G355" s="150" t="s">
        <v>1225</v>
      </c>
      <c r="H355" s="150" t="s">
        <v>1226</v>
      </c>
      <c r="I355" s="150" t="s">
        <v>1227</v>
      </c>
      <c r="J355" s="150"/>
      <c r="K355" s="154">
        <v>14.95</v>
      </c>
      <c r="L355" s="150" t="s">
        <v>1896</v>
      </c>
      <c r="M355" s="151"/>
      <c r="N355" s="154">
        <f>MouserListTable[[#This Row],['# Initial]]*MouserListTable[[#This Row],[Price (USD)]]</f>
        <v>0</v>
      </c>
      <c r="O355" s="151" t="s">
        <v>1224</v>
      </c>
      <c r="P355" s="150">
        <f t="shared" si="6"/>
        <v>342</v>
      </c>
      <c r="Q355" s="150" t="s">
        <v>5</v>
      </c>
      <c r="R35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474-PRT-11081</v>
      </c>
      <c r="S355" s="157" t="str">
        <f>HYPERLINK("https://www.mouser.com/ProductDetail/" &amp;MouserListTable[[#This Row],[Mouser SKU]])</f>
        <v>https://www.mouser.com/ProductDetail/474-PRT-11081</v>
      </c>
      <c r="T355" s="152">
        <v>0</v>
      </c>
      <c r="U355" s="152">
        <v>0</v>
      </c>
      <c r="V355" s="152">
        <v>0</v>
      </c>
      <c r="W355" s="152">
        <f>MouserListTable[[#This Row],['#/Unit]]*FilterSpecs!$C$3+MouserListTable[[#This Row],[Extra]]</f>
        <v>0</v>
      </c>
      <c r="X355" s="152">
        <f>IF(MouserListTable[[#This Row],[Tag]]=FilterSpecs!$F$7,MouserListTable[[#This Row],['#/Unit]]*MouserListTable[[#This Row],[Price (USD)]],0)</f>
        <v>0</v>
      </c>
      <c r="Y355" s="152">
        <f>MouserListTable[[#This Row],[Tot '#]]*MouserListTable[[#This Row],[Price (USD)]]</f>
        <v>0</v>
      </c>
    </row>
    <row r="356" spans="1:25" x14ac:dyDescent="0.25">
      <c r="A356" s="150" t="s">
        <v>889</v>
      </c>
      <c r="B356" s="150" t="s">
        <v>1290</v>
      </c>
      <c r="C356" s="150" t="s">
        <v>5</v>
      </c>
      <c r="D356" s="151" t="str">
        <f>IF(MouserListTable[[#This Row],[Vendor]]=FilterSpecs!$A$8,MouserListTable[[#This Row],[Mouser SKU]], MouserListTable[[#This Row],[Supplier SKU]])</f>
        <v>474-COM-10994</v>
      </c>
      <c r="E356" s="152">
        <f>MouserListTable[[#This Row],[Tot '#]]-MouserListTable[[#This Row],['# Initial]]</f>
        <v>0</v>
      </c>
      <c r="F356" s="152">
        <f>IF(AND(MouserListTable[[#This Row],[Tag]]&lt;&gt;FilterSpecs!$F$12, MouserListTable[[#This Row],[Tag]]&lt;&gt;FilterSpecs!$F$9), MouserListTable[[#This Row],['#/Unit]]*FilterSpecs!$B$3+MouserListTable[[#This Row],[Extra Initial]],0)</f>
        <v>0</v>
      </c>
      <c r="G356" s="150" t="s">
        <v>1201</v>
      </c>
      <c r="H356" s="150" t="s">
        <v>1202</v>
      </c>
      <c r="I356" s="150" t="s">
        <v>1203</v>
      </c>
      <c r="J356" s="150"/>
      <c r="K356" s="154">
        <v>24.95</v>
      </c>
      <c r="L356" s="150" t="s">
        <v>1896</v>
      </c>
      <c r="M356" s="151"/>
      <c r="N356" s="154">
        <f>MouserListTable[[#This Row],['# Initial]]*MouserListTable[[#This Row],[Price (USD)]]</f>
        <v>0</v>
      </c>
      <c r="O356" s="151" t="s">
        <v>1200</v>
      </c>
      <c r="P356" s="150">
        <f t="shared" si="6"/>
        <v>343</v>
      </c>
      <c r="Q356" s="150" t="s">
        <v>5</v>
      </c>
      <c r="R35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474-COM-10994</v>
      </c>
      <c r="S356" s="157" t="str">
        <f>HYPERLINK("https://www.mouser.com/ProductDetail/" &amp;MouserListTable[[#This Row],[Mouser SKU]])</f>
        <v>https://www.mouser.com/ProductDetail/474-COM-10994</v>
      </c>
      <c r="T356" s="152">
        <v>0</v>
      </c>
      <c r="U356" s="152">
        <v>0</v>
      </c>
      <c r="V356" s="152">
        <v>0</v>
      </c>
      <c r="W356" s="152">
        <f>MouserListTable[[#This Row],['#/Unit]]*FilterSpecs!$C$3+MouserListTable[[#This Row],[Extra]]</f>
        <v>0</v>
      </c>
      <c r="X356" s="152">
        <f>IF(MouserListTable[[#This Row],[Tag]]=FilterSpecs!$F$7,MouserListTable[[#This Row],['#/Unit]]*MouserListTable[[#This Row],[Price (USD)]],0)</f>
        <v>0</v>
      </c>
      <c r="Y356" s="152">
        <f>MouserListTable[[#This Row],[Tot '#]]*MouserListTable[[#This Row],[Price (USD)]]</f>
        <v>0</v>
      </c>
    </row>
    <row r="357" spans="1:25" x14ac:dyDescent="0.25">
      <c r="A357" s="150" t="s">
        <v>889</v>
      </c>
      <c r="B357" s="150" t="s">
        <v>1290</v>
      </c>
      <c r="C357" s="150" t="s">
        <v>5</v>
      </c>
      <c r="D357" s="151" t="str">
        <f>IF(MouserListTable[[#This Row],[Vendor]]=FilterSpecs!$A$8,MouserListTable[[#This Row],[Mouser SKU]], MouserListTable[[#This Row],[Supplier SKU]])</f>
        <v>474-COM-11521</v>
      </c>
      <c r="E357" s="152">
        <f>MouserListTable[[#This Row],[Tot '#]]-MouserListTable[[#This Row],['# Initial]]</f>
        <v>0</v>
      </c>
      <c r="F357" s="152">
        <f>IF(AND(MouserListTable[[#This Row],[Tag]]&lt;&gt;FilterSpecs!$F$12, MouserListTable[[#This Row],[Tag]]&lt;&gt;FilterSpecs!$F$9), MouserListTable[[#This Row],['#/Unit]]*FilterSpecs!$B$3+MouserListTable[[#This Row],[Extra Initial]],0)</f>
        <v>0</v>
      </c>
      <c r="G357" s="150" t="s">
        <v>1241</v>
      </c>
      <c r="H357" s="150" t="s">
        <v>1242</v>
      </c>
      <c r="I357" s="150" t="s">
        <v>1243</v>
      </c>
      <c r="J357" s="150"/>
      <c r="K357" s="154">
        <v>9.9499999999999993</v>
      </c>
      <c r="L357" s="150" t="s">
        <v>1896</v>
      </c>
      <c r="M357" s="151"/>
      <c r="N357" s="154">
        <f>MouserListTable[[#This Row],['# Initial]]*MouserListTable[[#This Row],[Price (USD)]]</f>
        <v>0</v>
      </c>
      <c r="O357" s="151" t="s">
        <v>1240</v>
      </c>
      <c r="P357" s="150">
        <f t="shared" si="6"/>
        <v>344</v>
      </c>
      <c r="Q357" s="150" t="s">
        <v>5</v>
      </c>
      <c r="R35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474-COM-11521</v>
      </c>
      <c r="S357" s="157" t="str">
        <f>HYPERLINK("https://www.mouser.com/ProductDetail/" &amp;MouserListTable[[#This Row],[Mouser SKU]])</f>
        <v>https://www.mouser.com/ProductDetail/474-COM-11521</v>
      </c>
      <c r="T357" s="152">
        <v>0</v>
      </c>
      <c r="U357" s="152">
        <v>0</v>
      </c>
      <c r="V357" s="152">
        <v>0</v>
      </c>
      <c r="W357" s="152">
        <f>MouserListTable[[#This Row],['#/Unit]]*FilterSpecs!$C$3+MouserListTable[[#This Row],[Extra]]</f>
        <v>0</v>
      </c>
      <c r="X357" s="152">
        <f>IF(MouserListTable[[#This Row],[Tag]]=FilterSpecs!$F$7,MouserListTable[[#This Row],['#/Unit]]*MouserListTable[[#This Row],[Price (USD)]],0)</f>
        <v>0</v>
      </c>
      <c r="Y357" s="152">
        <f>MouserListTable[[#This Row],[Tot '#]]*MouserListTable[[#This Row],[Price (USD)]]</f>
        <v>0</v>
      </c>
    </row>
    <row r="358" spans="1:25" x14ac:dyDescent="0.25">
      <c r="A358" s="150" t="s">
        <v>889</v>
      </c>
      <c r="B358" s="150" t="s">
        <v>1290</v>
      </c>
      <c r="C358" s="150" t="s">
        <v>5</v>
      </c>
      <c r="D358" s="151" t="str">
        <f>IF(MouserListTable[[#This Row],[Vendor]]=FilterSpecs!$A$8,MouserListTable[[#This Row],[Mouser SKU]], MouserListTable[[#This Row],[Supplier SKU]])</f>
        <v>474-COM-13254</v>
      </c>
      <c r="E358" s="152">
        <f>MouserListTable[[#This Row],[Tot '#]]-MouserListTable[[#This Row],['# Initial]]</f>
        <v>0</v>
      </c>
      <c r="F358" s="152">
        <f>IF(AND(MouserListTable[[#This Row],[Tag]]&lt;&gt;FilterSpecs!$F$12, MouserListTable[[#This Row],[Tag]]&lt;&gt;FilterSpecs!$F$9), MouserListTable[[#This Row],['#/Unit]]*FilterSpecs!$B$3+MouserListTable[[#This Row],[Extra Initial]],0)</f>
        <v>0</v>
      </c>
      <c r="G358" s="150" t="s">
        <v>1217</v>
      </c>
      <c r="H358" s="150" t="s">
        <v>1218</v>
      </c>
      <c r="I358" s="150" t="s">
        <v>1219</v>
      </c>
      <c r="J358" s="150">
        <v>1</v>
      </c>
      <c r="K358" s="154">
        <v>19.95</v>
      </c>
      <c r="L358" s="150" t="s">
        <v>1896</v>
      </c>
      <c r="M358" s="151"/>
      <c r="N358" s="154">
        <f>MouserListTable[[#This Row],['# Initial]]*MouserListTable[[#This Row],[Price (USD)]]</f>
        <v>0</v>
      </c>
      <c r="O358" s="151" t="s">
        <v>1216</v>
      </c>
      <c r="P358" s="150">
        <f t="shared" si="6"/>
        <v>345</v>
      </c>
      <c r="Q358" s="150" t="s">
        <v>5</v>
      </c>
      <c r="R35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474-COM-13254</v>
      </c>
      <c r="S358" s="157" t="str">
        <f>HYPERLINK("https://www.mouser.com/ProductDetail/" &amp;MouserListTable[[#This Row],[Mouser SKU]])</f>
        <v>https://www.mouser.com/ProductDetail/474-COM-13254</v>
      </c>
      <c r="T358" s="152">
        <v>0</v>
      </c>
      <c r="U358" s="152">
        <v>0</v>
      </c>
      <c r="V358" s="152">
        <v>0</v>
      </c>
      <c r="W358" s="152">
        <f>MouserListTable[[#This Row],['#/Unit]]*FilterSpecs!$C$3+MouserListTable[[#This Row],[Extra]]</f>
        <v>0</v>
      </c>
      <c r="X358" s="152">
        <f>IF(MouserListTable[[#This Row],[Tag]]=FilterSpecs!$F$7,MouserListTable[[#This Row],['#/Unit]]*MouserListTable[[#This Row],[Price (USD)]],0)</f>
        <v>0</v>
      </c>
      <c r="Y358" s="152">
        <f>MouserListTable[[#This Row],[Tot '#]]*MouserListTable[[#This Row],[Price (USD)]]</f>
        <v>0</v>
      </c>
    </row>
    <row r="359" spans="1:25" x14ac:dyDescent="0.25">
      <c r="A359" s="150" t="s">
        <v>890</v>
      </c>
      <c r="B359" s="150" t="s">
        <v>884</v>
      </c>
      <c r="C359" s="150" t="s">
        <v>5</v>
      </c>
      <c r="D359" s="151" t="str">
        <f>IF(MouserListTable[[#This Row],[Vendor]]=FilterSpecs!$A$8,MouserListTable[[#This Row],[Mouser SKU]], MouserListTable[[#This Row],[Supplier SKU]])</f>
        <v>474-BOB-10467</v>
      </c>
      <c r="E359" s="152">
        <f>MouserListTable[[#This Row],[Tot '#]]-MouserListTable[[#This Row],['# Initial]]</f>
        <v>0</v>
      </c>
      <c r="F359" s="152">
        <f>IF(AND(MouserListTable[[#This Row],[Tag]]&lt;&gt;FilterSpecs!$F$12, MouserListTable[[#This Row],[Tag]]&lt;&gt;FilterSpecs!$F$9), MouserListTable[[#This Row],['#/Unit]]*FilterSpecs!$B$3+MouserListTable[[#This Row],[Extra Initial]],0)</f>
        <v>5</v>
      </c>
      <c r="G359" s="150" t="s">
        <v>1283</v>
      </c>
      <c r="H359" s="150" t="s">
        <v>1284</v>
      </c>
      <c r="I359" s="150" t="s">
        <v>1285</v>
      </c>
      <c r="J359" s="150">
        <v>1</v>
      </c>
      <c r="K359" s="154">
        <v>1.5</v>
      </c>
      <c r="L359" s="151" t="s">
        <v>1897</v>
      </c>
      <c r="M359" s="150"/>
      <c r="N359" s="154">
        <f>MouserListTable[[#This Row],['# Initial]]*MouserListTable[[#This Row],[Price (USD)]]</f>
        <v>7.5</v>
      </c>
      <c r="O359" s="151" t="s">
        <v>1282</v>
      </c>
      <c r="P359" s="150">
        <f t="shared" si="6"/>
        <v>346</v>
      </c>
      <c r="Q359" s="150" t="s">
        <v>5</v>
      </c>
      <c r="R35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474-BOB-10467</v>
      </c>
      <c r="S359" s="157" t="str">
        <f>HYPERLINK("https://www.mouser.com/ProductDetail/" &amp;MouserListTable[[#This Row],[Mouser SKU]])</f>
        <v>https://www.mouser.com/ProductDetail/474-BOB-10467</v>
      </c>
      <c r="T359" s="152">
        <v>1</v>
      </c>
      <c r="U359" s="152">
        <v>0</v>
      </c>
      <c r="V359" s="152">
        <v>0</v>
      </c>
      <c r="W359" s="152">
        <f>MouserListTable[[#This Row],['#/Unit]]*FilterSpecs!$C$3+MouserListTable[[#This Row],[Extra]]</f>
        <v>5</v>
      </c>
      <c r="X359" s="152">
        <f>IF(MouserListTable[[#This Row],[Tag]]=FilterSpecs!$F$7,MouserListTable[[#This Row],['#/Unit]]*MouserListTable[[#This Row],[Price (USD)]],0)</f>
        <v>1.5</v>
      </c>
      <c r="Y359" s="152">
        <f>MouserListTable[[#This Row],[Tot '#]]*MouserListTable[[#This Row],[Price (USD)]]</f>
        <v>7.5</v>
      </c>
    </row>
    <row r="360" spans="1:25" x14ac:dyDescent="0.25">
      <c r="A360" s="150" t="s">
        <v>890</v>
      </c>
      <c r="B360" s="150" t="s">
        <v>884</v>
      </c>
      <c r="C360" s="150" t="s">
        <v>5</v>
      </c>
      <c r="D360" s="151" t="str">
        <f>IF(MouserListTable[[#This Row],[Vendor]]=FilterSpecs!$A$8,MouserListTable[[#This Row],[Mouser SKU]], MouserListTable[[#This Row],[Supplier SKU]])</f>
        <v>474-COM-10443</v>
      </c>
      <c r="E360" s="152">
        <f>MouserListTable[[#This Row],[Tot '#]]-MouserListTable[[#This Row],['# Initial]]</f>
        <v>0</v>
      </c>
      <c r="F360" s="152">
        <f>IF(AND(MouserListTable[[#This Row],[Tag]]&lt;&gt;FilterSpecs!$F$12, MouserListTable[[#This Row],[Tag]]&lt;&gt;FilterSpecs!$F$9), MouserListTable[[#This Row],['#/Unit]]*FilterSpecs!$B$3+MouserListTable[[#This Row],[Extra Initial]],0)</f>
        <v>5</v>
      </c>
      <c r="G360" s="150" t="s">
        <v>597</v>
      </c>
      <c r="H360" s="150" t="s">
        <v>598</v>
      </c>
      <c r="I360" s="150" t="s">
        <v>599</v>
      </c>
      <c r="J360" s="150"/>
      <c r="K360" s="154">
        <v>1.95</v>
      </c>
      <c r="L360" s="150" t="s">
        <v>1897</v>
      </c>
      <c r="M360" s="150"/>
      <c r="N360" s="154">
        <f>MouserListTable[[#This Row],['# Initial]]*MouserListTable[[#This Row],[Price (USD)]]</f>
        <v>9.75</v>
      </c>
      <c r="O360" s="151" t="s">
        <v>596</v>
      </c>
      <c r="P360" s="150">
        <f t="shared" si="6"/>
        <v>347</v>
      </c>
      <c r="Q360" s="150" t="s">
        <v>5</v>
      </c>
      <c r="R36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474-COM-10443</v>
      </c>
      <c r="S360" s="157" t="str">
        <f>HYPERLINK("https://www.mouser.com/ProductDetail/" &amp;MouserListTable[[#This Row],[Mouser SKU]])</f>
        <v>https://www.mouser.com/ProductDetail/474-COM-10443</v>
      </c>
      <c r="T360" s="152">
        <v>1</v>
      </c>
      <c r="U360" s="152">
        <v>0</v>
      </c>
      <c r="V360" s="152">
        <v>0</v>
      </c>
      <c r="W360" s="152">
        <f>MouserListTable[[#This Row],['#/Unit]]*FilterSpecs!$C$3+MouserListTable[[#This Row],[Extra]]</f>
        <v>5</v>
      </c>
      <c r="X360" s="152">
        <f>IF(MouserListTable[[#This Row],[Tag]]=FilterSpecs!$F$7,MouserListTable[[#This Row],['#/Unit]]*MouserListTable[[#This Row],[Price (USD)]],0)</f>
        <v>1.95</v>
      </c>
      <c r="Y360" s="152">
        <f>MouserListTable[[#This Row],[Tot '#]]*MouserListTable[[#This Row],[Price (USD)]]</f>
        <v>9.75</v>
      </c>
    </row>
    <row r="361" spans="1:25" x14ac:dyDescent="0.25">
      <c r="A361" s="150" t="s">
        <v>890</v>
      </c>
      <c r="B361" s="150" t="s">
        <v>884</v>
      </c>
      <c r="C361" s="150" t="s">
        <v>5</v>
      </c>
      <c r="D361" s="151" t="str">
        <f>IF(MouserListTable[[#This Row],[Vendor]]=FilterSpecs!$A$8,MouserListTable[[#This Row],[Mouser SKU]], MouserListTable[[#This Row],[Supplier SKU]])</f>
        <v>474-COM-10440</v>
      </c>
      <c r="E361" s="152">
        <f>MouserListTable[[#This Row],[Tot '#]]-MouserListTable[[#This Row],['# Initial]]</f>
        <v>0</v>
      </c>
      <c r="F361" s="152">
        <f>IF(AND(MouserListTable[[#This Row],[Tag]]&lt;&gt;FilterSpecs!$F$12, MouserListTable[[#This Row],[Tag]]&lt;&gt;FilterSpecs!$F$9), MouserListTable[[#This Row],['#/Unit]]*FilterSpecs!$B$3+MouserListTable[[#This Row],[Extra Initial]],0)</f>
        <v>5</v>
      </c>
      <c r="G361" s="150" t="s">
        <v>601</v>
      </c>
      <c r="H361" s="150" t="s">
        <v>602</v>
      </c>
      <c r="I361" s="150" t="s">
        <v>603</v>
      </c>
      <c r="J361" s="150"/>
      <c r="K361" s="154">
        <v>1.95</v>
      </c>
      <c r="L361" s="150" t="s">
        <v>1897</v>
      </c>
      <c r="M361" s="150"/>
      <c r="N361" s="154">
        <f>MouserListTable[[#This Row],['# Initial]]*MouserListTable[[#This Row],[Price (USD)]]</f>
        <v>9.75</v>
      </c>
      <c r="O361" s="151" t="s">
        <v>600</v>
      </c>
      <c r="P361" s="150">
        <f t="shared" si="6"/>
        <v>348</v>
      </c>
      <c r="Q361" s="150" t="s">
        <v>5</v>
      </c>
      <c r="R36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474-COM-10440</v>
      </c>
      <c r="S361" s="157" t="str">
        <f>HYPERLINK("https://www.mouser.com/ProductDetail/" &amp;MouserListTable[[#This Row],[Mouser SKU]])</f>
        <v>https://www.mouser.com/ProductDetail/474-COM-10440</v>
      </c>
      <c r="T361" s="152">
        <v>1</v>
      </c>
      <c r="U361" s="152">
        <v>0</v>
      </c>
      <c r="V361" s="152">
        <v>0</v>
      </c>
      <c r="W361" s="152">
        <f>MouserListTable[[#This Row],['#/Unit]]*FilterSpecs!$C$3+MouserListTable[[#This Row],[Extra]]</f>
        <v>5</v>
      </c>
      <c r="X361" s="152">
        <f>IF(MouserListTable[[#This Row],[Tag]]=FilterSpecs!$F$7,MouserListTable[[#This Row],['#/Unit]]*MouserListTable[[#This Row],[Price (USD)]],0)</f>
        <v>1.95</v>
      </c>
      <c r="Y361" s="152">
        <f>MouserListTable[[#This Row],[Tot '#]]*MouserListTable[[#This Row],[Price (USD)]]</f>
        <v>9.75</v>
      </c>
    </row>
    <row r="362" spans="1:25" x14ac:dyDescent="0.25">
      <c r="A362" s="150" t="s">
        <v>890</v>
      </c>
      <c r="B362" s="150" t="s">
        <v>884</v>
      </c>
      <c r="C362" s="150" t="s">
        <v>5</v>
      </c>
      <c r="D362" s="151" t="str">
        <f>IF(MouserListTable[[#This Row],[Vendor]]=FilterSpecs!$A$8,MouserListTable[[#This Row],[Mouser SKU]], MouserListTable[[#This Row],[Supplier SKU]])</f>
        <v>474-COM-10442</v>
      </c>
      <c r="E362" s="152">
        <f>MouserListTable[[#This Row],[Tot '#]]-MouserListTable[[#This Row],['# Initial]]</f>
        <v>0</v>
      </c>
      <c r="F362" s="152">
        <f>IF(AND(MouserListTable[[#This Row],[Tag]]&lt;&gt;FilterSpecs!$F$12, MouserListTable[[#This Row],[Tag]]&lt;&gt;FilterSpecs!$F$9), MouserListTable[[#This Row],['#/Unit]]*FilterSpecs!$B$3+MouserListTable[[#This Row],[Extra Initial]],0)</f>
        <v>5</v>
      </c>
      <c r="G362" s="150" t="s">
        <v>1286</v>
      </c>
      <c r="H362" s="150" t="s">
        <v>1287</v>
      </c>
      <c r="I362" s="150" t="s">
        <v>1281</v>
      </c>
      <c r="J362" s="150"/>
      <c r="K362" s="154">
        <v>1.95</v>
      </c>
      <c r="L362" s="150" t="s">
        <v>1897</v>
      </c>
      <c r="M362" s="150"/>
      <c r="N362" s="154">
        <f>MouserListTable[[#This Row],['# Initial]]*MouserListTable[[#This Row],[Price (USD)]]</f>
        <v>9.75</v>
      </c>
      <c r="O362" s="151" t="s">
        <v>1280</v>
      </c>
      <c r="P362" s="150">
        <f t="shared" si="6"/>
        <v>349</v>
      </c>
      <c r="Q362" s="150" t="s">
        <v>5</v>
      </c>
      <c r="R36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474-COM-10442</v>
      </c>
      <c r="S362" s="157" t="str">
        <f>HYPERLINK("https://www.mouser.com/ProductDetail/" &amp;MouserListTable[[#This Row],[Mouser SKU]])</f>
        <v>https://www.mouser.com/ProductDetail/474-COM-10442</v>
      </c>
      <c r="T362" s="152">
        <v>1</v>
      </c>
      <c r="U362" s="152">
        <v>0</v>
      </c>
      <c r="V362" s="152">
        <v>0</v>
      </c>
      <c r="W362" s="152">
        <f>MouserListTable[[#This Row],['#/Unit]]*FilterSpecs!$C$3+MouserListTable[[#This Row],[Extra]]</f>
        <v>5</v>
      </c>
      <c r="X362" s="152">
        <f>IF(MouserListTable[[#This Row],[Tag]]=FilterSpecs!$F$7,MouserListTable[[#This Row],['#/Unit]]*MouserListTable[[#This Row],[Price (USD)]],0)</f>
        <v>1.95</v>
      </c>
      <c r="Y362" s="152">
        <f>MouserListTable[[#This Row],[Tot '#]]*MouserListTable[[#This Row],[Price (USD)]]</f>
        <v>9.75</v>
      </c>
    </row>
    <row r="363" spans="1:25" x14ac:dyDescent="0.25">
      <c r="A363" s="97" t="s">
        <v>890</v>
      </c>
      <c r="B363" s="97" t="s">
        <v>884</v>
      </c>
      <c r="C363" s="150" t="s">
        <v>5</v>
      </c>
      <c r="D363" s="151" t="str">
        <f>IF(MouserListTable[[#This Row],[Vendor]]=FilterSpecs!$A$8,MouserListTable[[#This Row],[Mouser SKU]], MouserListTable[[#This Row],[Supplier SKU]])</f>
        <v>474-COM-10441</v>
      </c>
      <c r="E363" s="152">
        <f>MouserListTable[[#This Row],[Tot '#]]-MouserListTable[[#This Row],['# Initial]]</f>
        <v>0</v>
      </c>
      <c r="F363" s="152">
        <f>IF(AND(MouserListTable[[#This Row],[Tag]]&lt;&gt;FilterSpecs!$F$12, MouserListTable[[#This Row],[Tag]]&lt;&gt;FilterSpecs!$F$9), MouserListTable[[#This Row],['#/Unit]]*FilterSpecs!$B$3+MouserListTable[[#This Row],[Extra Initial]],0)</f>
        <v>0</v>
      </c>
      <c r="G363" s="150" t="s">
        <v>1696</v>
      </c>
      <c r="H363" s="150" t="s">
        <v>1697</v>
      </c>
      <c r="I363" s="150" t="s">
        <v>1698</v>
      </c>
      <c r="J363" s="150"/>
      <c r="K363" s="154">
        <v>1.95</v>
      </c>
      <c r="L363" s="150" t="s">
        <v>1896</v>
      </c>
      <c r="M363" s="150"/>
      <c r="N363" s="154">
        <f>MouserListTable[[#This Row],['# Initial]]*MouserListTable[[#This Row],[Price (USD)]]</f>
        <v>0</v>
      </c>
      <c r="O363" s="151" t="s">
        <v>1695</v>
      </c>
      <c r="P363" s="150">
        <f t="shared" si="6"/>
        <v>350</v>
      </c>
      <c r="Q363" s="150" t="s">
        <v>5</v>
      </c>
      <c r="R36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474-COM-10441</v>
      </c>
      <c r="S363" s="157" t="str">
        <f>HYPERLINK("https://www.mouser.com/ProductDetail/" &amp;MouserListTable[[#This Row],[Mouser SKU]])</f>
        <v>https://www.mouser.com/ProductDetail/474-COM-10441</v>
      </c>
      <c r="T363" s="152">
        <v>0</v>
      </c>
      <c r="U363" s="152">
        <v>0</v>
      </c>
      <c r="V363" s="152">
        <v>0</v>
      </c>
      <c r="W363" s="152">
        <f>MouserListTable[[#This Row],['#/Unit]]*FilterSpecs!$C$3+MouserListTable[[#This Row],[Extra]]</f>
        <v>0</v>
      </c>
      <c r="X363" s="152">
        <f>IF(MouserListTable[[#This Row],[Tag]]=FilterSpecs!$F$7,MouserListTable[[#This Row],['#/Unit]]*MouserListTable[[#This Row],[Price (USD)]],0)</f>
        <v>0</v>
      </c>
      <c r="Y363" s="152">
        <f>MouserListTable[[#This Row],[Tot '#]]*MouserListTable[[#This Row],[Price (USD)]]</f>
        <v>0</v>
      </c>
    </row>
    <row r="364" spans="1:25" x14ac:dyDescent="0.25">
      <c r="A364" s="150" t="s">
        <v>890</v>
      </c>
      <c r="B364" s="150" t="s">
        <v>884</v>
      </c>
      <c r="C364" s="150" t="s">
        <v>5</v>
      </c>
      <c r="D364" s="151" t="str">
        <f>IF(MouserListTable[[#This Row],[Vendor]]=FilterSpecs!$A$8,MouserListTable[[#This Row],[Mouser SKU]], MouserListTable[[#This Row],[Supplier SKU]])</f>
        <v>474-COM-10439</v>
      </c>
      <c r="E364" s="152">
        <f>MouserListTable[[#This Row],[Tot '#]]-MouserListTable[[#This Row],['# Initial]]</f>
        <v>1</v>
      </c>
      <c r="F364" s="152">
        <f>IF(AND(MouserListTable[[#This Row],[Tag]]&lt;&gt;FilterSpecs!$F$12, MouserListTable[[#This Row],[Tag]]&lt;&gt;FilterSpecs!$F$9), MouserListTable[[#This Row],['#/Unit]]*FilterSpecs!$B$3+MouserListTable[[#This Row],[Extra Initial]],0)</f>
        <v>0</v>
      </c>
      <c r="G364" s="150" t="s">
        <v>1700</v>
      </c>
      <c r="H364" s="150" t="s">
        <v>1701</v>
      </c>
      <c r="I364" s="150" t="s">
        <v>1702</v>
      </c>
      <c r="J364" s="150"/>
      <c r="K364" s="154">
        <v>1.95</v>
      </c>
      <c r="L364" s="150" t="s">
        <v>1896</v>
      </c>
      <c r="M364" s="150"/>
      <c r="N364" s="154">
        <f>MouserListTable[[#This Row],['# Initial]]*MouserListTable[[#This Row],[Price (USD)]]</f>
        <v>0</v>
      </c>
      <c r="O364" s="151" t="s">
        <v>1699</v>
      </c>
      <c r="P364" s="150">
        <f t="shared" si="6"/>
        <v>351</v>
      </c>
      <c r="Q364" s="150" t="s">
        <v>5</v>
      </c>
      <c r="R36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474-COM-10439</v>
      </c>
      <c r="S364" s="157" t="str">
        <f>HYPERLINK("https://www.mouser.com/ProductDetail/" &amp;MouserListTable[[#This Row],[Mouser SKU]])</f>
        <v>https://www.mouser.com/ProductDetail/474-COM-10439</v>
      </c>
      <c r="T364" s="152">
        <v>0</v>
      </c>
      <c r="U364" s="152">
        <v>1</v>
      </c>
      <c r="V364" s="152">
        <v>0</v>
      </c>
      <c r="W364" s="152">
        <f>MouserListTable[[#This Row],['#/Unit]]*FilterSpecs!$C$3+MouserListTable[[#This Row],[Extra]]</f>
        <v>1</v>
      </c>
      <c r="X364" s="152">
        <f>IF(MouserListTable[[#This Row],[Tag]]=FilterSpecs!$F$7,MouserListTable[[#This Row],['#/Unit]]*MouserListTable[[#This Row],[Price (USD)]],0)</f>
        <v>0</v>
      </c>
      <c r="Y364" s="152">
        <f>MouserListTable[[#This Row],[Tot '#]]*MouserListTable[[#This Row],[Price (USD)]]</f>
        <v>1.95</v>
      </c>
    </row>
    <row r="365" spans="1:25" x14ac:dyDescent="0.25">
      <c r="A365" s="150" t="s">
        <v>890</v>
      </c>
      <c r="B365" s="150" t="s">
        <v>884</v>
      </c>
      <c r="C365" s="150" t="s">
        <v>1884</v>
      </c>
      <c r="D365" s="151" t="str">
        <f>IF(MouserListTable[[#This Row],[Vendor]]=FilterSpecs!$A$8,MouserListTable[[#This Row],[Mouser SKU]], MouserListTable[[#This Row],[Supplier SKU]])</f>
        <v>485-1119</v>
      </c>
      <c r="E365" s="152">
        <f>MouserListTable[[#This Row],[Tot '#]]-MouserListTable[[#This Row],['# Initial]]</f>
        <v>0</v>
      </c>
      <c r="F365" s="152">
        <f>IF(AND(MouserListTable[[#This Row],[Tag]]&lt;&gt;FilterSpecs!$F$12, MouserListTable[[#This Row],[Tag]]&lt;&gt;FilterSpecs!$F$9), MouserListTable[[#This Row],['#/Unit]]*FilterSpecs!$B$3+MouserListTable[[#This Row],[Extra Initial]],0)</f>
        <v>0</v>
      </c>
      <c r="G365" s="150"/>
      <c r="H365" s="150"/>
      <c r="I365" s="150" t="s">
        <v>2112</v>
      </c>
      <c r="J365" s="153"/>
      <c r="K365" s="118">
        <v>2.5</v>
      </c>
      <c r="L365" s="97" t="s">
        <v>1896</v>
      </c>
      <c r="M365" s="153"/>
      <c r="N365" s="154">
        <f>MouserListTable[[#This Row],['# Initial]]*MouserListTable[[#This Row],[Price (USD)]]</f>
        <v>0</v>
      </c>
      <c r="O365" s="151" t="s">
        <v>2111</v>
      </c>
      <c r="P365" s="150">
        <f t="shared" si="6"/>
        <v>352</v>
      </c>
      <c r="Q365" s="150" t="s">
        <v>1884</v>
      </c>
      <c r="R36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485-1119</v>
      </c>
      <c r="S365" s="157" t="str">
        <f>HYPERLINK("https://www.mouser.com/ProductDetail/" &amp;MouserListTable[[#This Row],[Mouser SKU]])</f>
        <v>https://www.mouser.com/ProductDetail/485-1119</v>
      </c>
      <c r="T365" s="152">
        <v>0</v>
      </c>
      <c r="U365" s="152">
        <v>0</v>
      </c>
      <c r="V365" s="152">
        <v>0</v>
      </c>
      <c r="W365" s="152">
        <f>MouserListTable[[#This Row],['#/Unit]]*FilterSpecs!$C$3+MouserListTable[[#This Row],[Extra]]</f>
        <v>0</v>
      </c>
      <c r="X365" s="152">
        <f>IF(MouserListTable[[#This Row],[Tag]]=FilterSpecs!$F$7,MouserListTable[[#This Row],['#/Unit]]*MouserListTable[[#This Row],[Price (USD)]],0)</f>
        <v>0</v>
      </c>
      <c r="Y365" s="152">
        <f>MouserListTable[[#This Row],[Tot '#]]*MouserListTable[[#This Row],[Price (USD)]]</f>
        <v>0</v>
      </c>
    </row>
    <row r="366" spans="1:25" x14ac:dyDescent="0.25">
      <c r="A366" s="150" t="s">
        <v>890</v>
      </c>
      <c r="B366" s="150" t="s">
        <v>884</v>
      </c>
      <c r="C366" s="150" t="s">
        <v>5</v>
      </c>
      <c r="D366" s="151" t="str">
        <f>IF(MouserListTable[[#This Row],[Vendor]]=FilterSpecs!$A$8,MouserListTable[[#This Row],[Mouser SKU]], MouserListTable[[#This Row],[Supplier SKU]])</f>
        <v>474-COM-00097</v>
      </c>
      <c r="E366" s="152">
        <f>MouserListTable[[#This Row],[Tot '#]]-MouserListTable[[#This Row],['# Initial]]</f>
        <v>0</v>
      </c>
      <c r="F366" s="152">
        <f>IF(AND(MouserListTable[[#This Row],[Tag]]&lt;&gt;FilterSpecs!$F$12, MouserListTable[[#This Row],[Tag]]&lt;&gt;FilterSpecs!$F$9), MouserListTable[[#This Row],['#/Unit]]*FilterSpecs!$B$3+MouserListTable[[#This Row],[Extra Initial]],0)</f>
        <v>5</v>
      </c>
      <c r="G366" s="150" t="s">
        <v>609</v>
      </c>
      <c r="H366" s="150" t="s">
        <v>610</v>
      </c>
      <c r="I366" s="150" t="s">
        <v>611</v>
      </c>
      <c r="J366" s="150">
        <v>1</v>
      </c>
      <c r="K366" s="154">
        <v>0.35</v>
      </c>
      <c r="L366" s="150" t="s">
        <v>1897</v>
      </c>
      <c r="M366" s="150"/>
      <c r="N366" s="154">
        <f>MouserListTable[[#This Row],['# Initial]]*MouserListTable[[#This Row],[Price (USD)]]</f>
        <v>1.75</v>
      </c>
      <c r="O366" s="151" t="s">
        <v>608</v>
      </c>
      <c r="P366" s="150">
        <f t="shared" si="6"/>
        <v>353</v>
      </c>
      <c r="Q366" s="150" t="s">
        <v>5</v>
      </c>
      <c r="R36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474-COM-00097</v>
      </c>
      <c r="S366" s="157" t="str">
        <f>HYPERLINK("https://www.mouser.com/ProductDetail/" &amp;MouserListTable[[#This Row],[Mouser SKU]])</f>
        <v>https://www.mouser.com/ProductDetail/474-COM-00097</v>
      </c>
      <c r="T366" s="152">
        <v>1</v>
      </c>
      <c r="U366" s="152">
        <v>0</v>
      </c>
      <c r="V366" s="152">
        <v>0</v>
      </c>
      <c r="W366" s="152">
        <f>MouserListTable[[#This Row],['#/Unit]]*FilterSpecs!$C$3+MouserListTable[[#This Row],[Extra]]</f>
        <v>5</v>
      </c>
      <c r="X366" s="152">
        <f>IF(MouserListTable[[#This Row],[Tag]]=FilterSpecs!$F$7,MouserListTable[[#This Row],['#/Unit]]*MouserListTable[[#This Row],[Price (USD)]],0)</f>
        <v>0.35</v>
      </c>
      <c r="Y366" s="152">
        <f>MouserListTable[[#This Row],[Tot '#]]*MouserListTable[[#This Row],[Price (USD)]]</f>
        <v>1.75</v>
      </c>
    </row>
    <row r="367" spans="1:25" x14ac:dyDescent="0.25">
      <c r="A367" s="150" t="s">
        <v>890</v>
      </c>
      <c r="B367" s="150" t="s">
        <v>884</v>
      </c>
      <c r="C367" s="150" t="s">
        <v>5</v>
      </c>
      <c r="D367" s="151" t="str">
        <f>IF(MouserListTable[[#This Row],[Vendor]]=FilterSpecs!$A$8,MouserListTable[[#This Row],[Mouser SKU]], MouserListTable[[#This Row],[Supplier SKU]])</f>
        <v>474-COM-08605</v>
      </c>
      <c r="E367" s="152">
        <f>MouserListTable[[#This Row],[Tot '#]]-MouserListTable[[#This Row],['# Initial]]</f>
        <v>0</v>
      </c>
      <c r="F367" s="152">
        <f>IF(AND(MouserListTable[[#This Row],[Tag]]&lt;&gt;FilterSpecs!$F$12, MouserListTable[[#This Row],[Tag]]&lt;&gt;FilterSpecs!$F$9), MouserListTable[[#This Row],['#/Unit]]*FilterSpecs!$B$3+MouserListTable[[#This Row],[Extra Initial]],0)</f>
        <v>5</v>
      </c>
      <c r="G367" s="150" t="s">
        <v>621</v>
      </c>
      <c r="H367" s="150" t="s">
        <v>622</v>
      </c>
      <c r="I367" s="150" t="s">
        <v>623</v>
      </c>
      <c r="J367" s="150">
        <v>1</v>
      </c>
      <c r="K367" s="154">
        <v>0.5</v>
      </c>
      <c r="L367" s="150" t="s">
        <v>1897</v>
      </c>
      <c r="M367" s="150"/>
      <c r="N367" s="154">
        <f>MouserListTable[[#This Row],['# Initial]]*MouserListTable[[#This Row],[Price (USD)]]</f>
        <v>2.5</v>
      </c>
      <c r="O367" s="151" t="s">
        <v>620</v>
      </c>
      <c r="P367" s="150">
        <f t="shared" si="6"/>
        <v>354</v>
      </c>
      <c r="Q367" s="150" t="s">
        <v>5</v>
      </c>
      <c r="R36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474-COM-08605</v>
      </c>
      <c r="S367" s="157" t="str">
        <f>HYPERLINK("https://www.mouser.com/ProductDetail/" &amp;MouserListTable[[#This Row],[Mouser SKU]])</f>
        <v>https://www.mouser.com/ProductDetail/474-COM-08605</v>
      </c>
      <c r="T367" s="152">
        <v>1</v>
      </c>
      <c r="U367" s="152">
        <v>0</v>
      </c>
      <c r="V367" s="152">
        <v>0</v>
      </c>
      <c r="W367" s="152">
        <f>MouserListTable[[#This Row],['#/Unit]]*FilterSpecs!$C$3+MouserListTable[[#This Row],[Extra]]</f>
        <v>5</v>
      </c>
      <c r="X367" s="152">
        <f>IF(MouserListTable[[#This Row],[Tag]]=FilterSpecs!$F$7,MouserListTable[[#This Row],['#/Unit]]*MouserListTable[[#This Row],[Price (USD)]],0)</f>
        <v>0.5</v>
      </c>
      <c r="Y367" s="152">
        <f>MouserListTable[[#This Row],[Tot '#]]*MouserListTable[[#This Row],[Price (USD)]]</f>
        <v>2.5</v>
      </c>
    </row>
    <row r="368" spans="1:25" x14ac:dyDescent="0.25">
      <c r="A368" s="150" t="s">
        <v>890</v>
      </c>
      <c r="B368" s="150" t="s">
        <v>884</v>
      </c>
      <c r="C368" s="150" t="s">
        <v>5</v>
      </c>
      <c r="D368" s="151" t="str">
        <f>IF(MouserListTable[[#This Row],[Vendor]]=FilterSpecs!$A$8,MouserListTable[[#This Row],[Mouser SKU]], MouserListTable[[#This Row],[Supplier SKU]])</f>
        <v>474-COM-09190</v>
      </c>
      <c r="E368" s="152">
        <f>MouserListTable[[#This Row],[Tot '#]]-MouserListTable[[#This Row],['# Initial]]</f>
        <v>0</v>
      </c>
      <c r="F368" s="152">
        <f>IF(AND(MouserListTable[[#This Row],[Tag]]&lt;&gt;FilterSpecs!$F$12, MouserListTable[[#This Row],[Tag]]&lt;&gt;FilterSpecs!$F$9), MouserListTable[[#This Row],['#/Unit]]*FilterSpecs!$B$3+MouserListTable[[#This Row],[Extra Initial]],0)</f>
        <v>5</v>
      </c>
      <c r="G368" s="150" t="s">
        <v>617</v>
      </c>
      <c r="H368" s="150" t="s">
        <v>618</v>
      </c>
      <c r="I368" s="150" t="s">
        <v>619</v>
      </c>
      <c r="J368" s="150">
        <v>1</v>
      </c>
      <c r="K368" s="154">
        <v>0.5</v>
      </c>
      <c r="L368" s="150" t="s">
        <v>1897</v>
      </c>
      <c r="M368" s="150"/>
      <c r="N368" s="154">
        <f>MouserListTable[[#This Row],['# Initial]]*MouserListTable[[#This Row],[Price (USD)]]</f>
        <v>2.5</v>
      </c>
      <c r="O368" s="151" t="s">
        <v>616</v>
      </c>
      <c r="P368" s="150">
        <f t="shared" si="6"/>
        <v>355</v>
      </c>
      <c r="Q368" s="150" t="s">
        <v>5</v>
      </c>
      <c r="R36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474-COM-09190</v>
      </c>
      <c r="S368" s="157" t="str">
        <f>HYPERLINK("https://www.mouser.com/ProductDetail/" &amp;MouserListTable[[#This Row],[Mouser SKU]])</f>
        <v>https://www.mouser.com/ProductDetail/474-COM-09190</v>
      </c>
      <c r="T368" s="152">
        <v>1</v>
      </c>
      <c r="U368" s="152">
        <v>0</v>
      </c>
      <c r="V368" s="152">
        <v>0</v>
      </c>
      <c r="W368" s="152">
        <f>MouserListTable[[#This Row],['#/Unit]]*FilterSpecs!$C$3+MouserListTable[[#This Row],[Extra]]</f>
        <v>5</v>
      </c>
      <c r="X368" s="152">
        <f>IF(MouserListTable[[#This Row],[Tag]]=FilterSpecs!$F$7,MouserListTable[[#This Row],['#/Unit]]*MouserListTable[[#This Row],[Price (USD)]],0)</f>
        <v>0.5</v>
      </c>
      <c r="Y368" s="152">
        <f>MouserListTable[[#This Row],[Tot '#]]*MouserListTable[[#This Row],[Price (USD)]]</f>
        <v>2.5</v>
      </c>
    </row>
    <row r="369" spans="1:25" x14ac:dyDescent="0.25">
      <c r="A369" s="150" t="s">
        <v>890</v>
      </c>
      <c r="B369" s="150" t="s">
        <v>884</v>
      </c>
      <c r="C369" s="150" t="s">
        <v>1884</v>
      </c>
      <c r="D369" s="151" t="str">
        <f>IF(MouserListTable[[#This Row],[Vendor]]=FilterSpecs!$A$8,MouserListTable[[#This Row],[Mouser SKU]], MouserListTable[[#This Row],[Supplier SKU]])</f>
        <v>485-3105</v>
      </c>
      <c r="E369" s="152">
        <f>MouserListTable[[#This Row],[Tot '#]]-MouserListTable[[#This Row],['# Initial]]</f>
        <v>0</v>
      </c>
      <c r="F369" s="152">
        <f>IF(AND(MouserListTable[[#This Row],[Tag]]&lt;&gt;FilterSpecs!$F$12, MouserListTable[[#This Row],[Tag]]&lt;&gt;FilterSpecs!$F$9), MouserListTable[[#This Row],['#/Unit]]*FilterSpecs!$B$3+MouserListTable[[#This Row],[Extra Initial]],0)</f>
        <v>0</v>
      </c>
      <c r="G369" s="150"/>
      <c r="H369" s="150"/>
      <c r="I369" s="150" t="s">
        <v>2100</v>
      </c>
      <c r="J369" s="153"/>
      <c r="K369" s="118">
        <v>1.95</v>
      </c>
      <c r="L369" s="97" t="s">
        <v>1896</v>
      </c>
      <c r="M369" s="153"/>
      <c r="N369" s="154">
        <f>MouserListTable[[#This Row],['# Initial]]*MouserListTable[[#This Row],[Price (USD)]]</f>
        <v>0</v>
      </c>
      <c r="O369" s="151" t="s">
        <v>2099</v>
      </c>
      <c r="P369" s="150">
        <f t="shared" si="6"/>
        <v>356</v>
      </c>
      <c r="Q369" s="150" t="s">
        <v>1884</v>
      </c>
      <c r="R36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485-3105</v>
      </c>
      <c r="S369" s="157" t="str">
        <f>HYPERLINK("https://www.mouser.com/ProductDetail/" &amp;MouserListTable[[#This Row],[Mouser SKU]])</f>
        <v>https://www.mouser.com/ProductDetail/485-3105</v>
      </c>
      <c r="T369" s="152">
        <v>0</v>
      </c>
      <c r="U369" s="152">
        <v>0</v>
      </c>
      <c r="V369" s="152">
        <v>0</v>
      </c>
      <c r="W369" s="152">
        <f>MouserListTable[[#This Row],['#/Unit]]*FilterSpecs!$C$3+MouserListTable[[#This Row],[Extra]]</f>
        <v>0</v>
      </c>
      <c r="X369" s="152">
        <f>IF(MouserListTable[[#This Row],[Tag]]=FilterSpecs!$F$7,MouserListTable[[#This Row],['#/Unit]]*MouserListTable[[#This Row],[Price (USD)]],0)</f>
        <v>0</v>
      </c>
      <c r="Y369" s="152">
        <f>MouserListTable[[#This Row],[Tot '#]]*MouserListTable[[#This Row],[Price (USD)]]</f>
        <v>0</v>
      </c>
    </row>
    <row r="370" spans="1:25" x14ac:dyDescent="0.25">
      <c r="A370" s="150" t="s">
        <v>890</v>
      </c>
      <c r="B370" s="150" t="s">
        <v>884</v>
      </c>
      <c r="C370" s="150" t="s">
        <v>1884</v>
      </c>
      <c r="D370" s="151" t="str">
        <f>IF(MouserListTable[[#This Row],[Vendor]]=FilterSpecs!$A$8,MouserListTable[[#This Row],[Mouser SKU]], MouserListTable[[#This Row],[Supplier SKU]])</f>
        <v>485-3104</v>
      </c>
      <c r="E370" s="152">
        <f>MouserListTable[[#This Row],[Tot '#]]-MouserListTable[[#This Row],['# Initial]]</f>
        <v>0</v>
      </c>
      <c r="F370" s="152">
        <f>IF(AND(MouserListTable[[#This Row],[Tag]]&lt;&gt;FilterSpecs!$F$12, MouserListTable[[#This Row],[Tag]]&lt;&gt;FilterSpecs!$F$9), MouserListTable[[#This Row],['#/Unit]]*FilterSpecs!$B$3+MouserListTable[[#This Row],[Extra Initial]],0)</f>
        <v>0</v>
      </c>
      <c r="G370" s="150"/>
      <c r="H370" s="150"/>
      <c r="I370" s="150" t="s">
        <v>2102</v>
      </c>
      <c r="J370" s="153"/>
      <c r="K370" s="118">
        <v>1.95</v>
      </c>
      <c r="L370" s="97" t="s">
        <v>1896</v>
      </c>
      <c r="M370" s="153"/>
      <c r="N370" s="154">
        <f>MouserListTable[[#This Row],['# Initial]]*MouserListTable[[#This Row],[Price (USD)]]</f>
        <v>0</v>
      </c>
      <c r="O370" s="151" t="s">
        <v>2101</v>
      </c>
      <c r="P370" s="150">
        <f t="shared" si="6"/>
        <v>357</v>
      </c>
      <c r="Q370" s="150" t="s">
        <v>1884</v>
      </c>
      <c r="R37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485-3104</v>
      </c>
      <c r="S370" s="157" t="str">
        <f>HYPERLINK("https://www.mouser.com/ProductDetail/" &amp;MouserListTable[[#This Row],[Mouser SKU]])</f>
        <v>https://www.mouser.com/ProductDetail/485-3104</v>
      </c>
      <c r="T370" s="152">
        <v>0</v>
      </c>
      <c r="U370" s="152">
        <v>0</v>
      </c>
      <c r="V370" s="152">
        <v>0</v>
      </c>
      <c r="W370" s="152">
        <f>MouserListTable[[#This Row],['#/Unit]]*FilterSpecs!$C$3+MouserListTable[[#This Row],[Extra]]</f>
        <v>0</v>
      </c>
      <c r="X370" s="152">
        <f>IF(MouserListTable[[#This Row],[Tag]]=FilterSpecs!$F$7,MouserListTable[[#This Row],['#/Unit]]*MouserListTable[[#This Row],[Price (USD)]],0)</f>
        <v>0</v>
      </c>
      <c r="Y370" s="152">
        <f>MouserListTable[[#This Row],[Tot '#]]*MouserListTable[[#This Row],[Price (USD)]]</f>
        <v>0</v>
      </c>
    </row>
    <row r="371" spans="1:25" x14ac:dyDescent="0.25">
      <c r="A371" s="150" t="s">
        <v>890</v>
      </c>
      <c r="B371" s="150" t="s">
        <v>884</v>
      </c>
      <c r="C371" s="150" t="s">
        <v>5</v>
      </c>
      <c r="D371" s="151" t="str">
        <f>IF(MouserListTable[[#This Row],[Vendor]]=FilterSpecs!$A$8,MouserListTable[[#This Row],[Mouser SKU]], MouserListTable[[#This Row],[Supplier SKU]])</f>
        <v>474-COM-10791</v>
      </c>
      <c r="E371" s="152">
        <f>MouserListTable[[#This Row],[Tot '#]]-MouserListTable[[#This Row],['# Initial]]</f>
        <v>0</v>
      </c>
      <c r="F371" s="152">
        <f>IF(AND(MouserListTable[[#This Row],[Tag]]&lt;&gt;FilterSpecs!$F$12, MouserListTable[[#This Row],[Tag]]&lt;&gt;FilterSpecs!$F$9), MouserListTable[[#This Row],['#/Unit]]*FilterSpecs!$B$3+MouserListTable[[#This Row],[Extra Initial]],0)</f>
        <v>5</v>
      </c>
      <c r="G371" s="150" t="s">
        <v>613</v>
      </c>
      <c r="H371" s="150" t="s">
        <v>614</v>
      </c>
      <c r="I371" s="150" t="s">
        <v>615</v>
      </c>
      <c r="J371" s="150">
        <v>1</v>
      </c>
      <c r="K371" s="154">
        <v>0.5</v>
      </c>
      <c r="L371" s="150" t="s">
        <v>1897</v>
      </c>
      <c r="M371" s="150"/>
      <c r="N371" s="154">
        <f>MouserListTable[[#This Row],['# Initial]]*MouserListTable[[#This Row],[Price (USD)]]</f>
        <v>2.5</v>
      </c>
      <c r="O371" s="151" t="s">
        <v>612</v>
      </c>
      <c r="P371" s="150">
        <f t="shared" si="6"/>
        <v>358</v>
      </c>
      <c r="Q371" s="150" t="s">
        <v>5</v>
      </c>
      <c r="R37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474-COM-10791</v>
      </c>
      <c r="S371" s="157" t="str">
        <f>HYPERLINK("https://www.mouser.com/ProductDetail/" &amp;MouserListTable[[#This Row],[Mouser SKU]])</f>
        <v>https://www.mouser.com/ProductDetail/474-COM-10791</v>
      </c>
      <c r="T371" s="152">
        <v>1</v>
      </c>
      <c r="U371" s="152">
        <v>0</v>
      </c>
      <c r="V371" s="152">
        <v>0</v>
      </c>
      <c r="W371" s="152">
        <f>MouserListTable[[#This Row],['#/Unit]]*FilterSpecs!$C$3+MouserListTable[[#This Row],[Extra]]</f>
        <v>5</v>
      </c>
      <c r="X371" s="152">
        <f>IF(MouserListTable[[#This Row],[Tag]]=FilterSpecs!$F$7,MouserListTable[[#This Row],['#/Unit]]*MouserListTable[[#This Row],[Price (USD)]],0)</f>
        <v>0.5</v>
      </c>
      <c r="Y371" s="152">
        <f>MouserListTable[[#This Row],[Tot '#]]*MouserListTable[[#This Row],[Price (USD)]]</f>
        <v>2.5</v>
      </c>
    </row>
    <row r="372" spans="1:25" x14ac:dyDescent="0.25">
      <c r="A372" s="150" t="s">
        <v>890</v>
      </c>
      <c r="B372" s="150" t="s">
        <v>884</v>
      </c>
      <c r="C372" s="150" t="s">
        <v>5</v>
      </c>
      <c r="D372" s="151" t="str">
        <f>IF(MouserListTable[[#This Row],[Vendor]]=FilterSpecs!$A$8,MouserListTable[[#This Row],[Mouser SKU]], MouserListTable[[#This Row],[Supplier SKU]])</f>
        <v>474-COM-08837</v>
      </c>
      <c r="E372" s="152">
        <f>MouserListTable[[#This Row],[Tot '#]]-MouserListTable[[#This Row],['# Initial]]</f>
        <v>2</v>
      </c>
      <c r="F372" s="152">
        <f>IF(AND(MouserListTable[[#This Row],[Tag]]&lt;&gt;FilterSpecs!$F$12, MouserListTable[[#This Row],[Tag]]&lt;&gt;FilterSpecs!$F$9), MouserListTable[[#This Row],['#/Unit]]*FilterSpecs!$B$3+MouserListTable[[#This Row],[Extra Initial]],0)</f>
        <v>5</v>
      </c>
      <c r="G372" s="150" t="s">
        <v>525</v>
      </c>
      <c r="H372" s="150" t="s">
        <v>526</v>
      </c>
      <c r="I372" s="150" t="s">
        <v>527</v>
      </c>
      <c r="J372" s="150">
        <v>1</v>
      </c>
      <c r="K372" s="154">
        <v>0.95</v>
      </c>
      <c r="L372" s="151" t="s">
        <v>1897</v>
      </c>
      <c r="M372" s="150"/>
      <c r="N372" s="154">
        <f>MouserListTable[[#This Row],['# Initial]]*MouserListTable[[#This Row],[Price (USD)]]</f>
        <v>4.75</v>
      </c>
      <c r="O372" s="151" t="s">
        <v>524</v>
      </c>
      <c r="P372" s="150">
        <f t="shared" si="6"/>
        <v>359</v>
      </c>
      <c r="Q372" s="150" t="s">
        <v>5</v>
      </c>
      <c r="R37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474-COM-08837</v>
      </c>
      <c r="S372" s="157" t="str">
        <f>HYPERLINK("https://www.mouser.com/ProductDetail/" &amp;MouserListTable[[#This Row],[Mouser SKU]])</f>
        <v>https://www.mouser.com/ProductDetail/474-COM-08837</v>
      </c>
      <c r="T372" s="152">
        <v>1</v>
      </c>
      <c r="U372" s="152">
        <v>2</v>
      </c>
      <c r="V372" s="152">
        <v>0</v>
      </c>
      <c r="W372" s="152">
        <f>MouserListTable[[#This Row],['#/Unit]]*FilterSpecs!$C$3+MouserListTable[[#This Row],[Extra]]</f>
        <v>7</v>
      </c>
      <c r="X372" s="152">
        <f>IF(MouserListTable[[#This Row],[Tag]]=FilterSpecs!$F$7,MouserListTable[[#This Row],['#/Unit]]*MouserListTable[[#This Row],[Price (USD)]],0)</f>
        <v>0.95</v>
      </c>
      <c r="Y372" s="152">
        <f>MouserListTable[[#This Row],[Tot '#]]*MouserListTable[[#This Row],[Price (USD)]]</f>
        <v>6.6499999999999995</v>
      </c>
    </row>
    <row r="373" spans="1:25" x14ac:dyDescent="0.25">
      <c r="A373" s="150" t="s">
        <v>890</v>
      </c>
      <c r="B373" s="150" t="s">
        <v>884</v>
      </c>
      <c r="C373" s="150" t="s">
        <v>5</v>
      </c>
      <c r="D373" s="151" t="str">
        <f>IF(MouserListTable[[#This Row],[Vendor]]=FilterSpecs!$A$8,MouserListTable[[#This Row],[Mouser SKU]], MouserListTable[[#This Row],[Supplier SKU]])</f>
        <v>474-COM-00102</v>
      </c>
      <c r="E373" s="152">
        <f>MouserListTable[[#This Row],[Tot '#]]-MouserListTable[[#This Row],['# Initial]]</f>
        <v>0</v>
      </c>
      <c r="F373" s="152">
        <f>IF(AND(MouserListTable[[#This Row],[Tag]]&lt;&gt;FilterSpecs!$F$12, MouserListTable[[#This Row],[Tag]]&lt;&gt;FilterSpecs!$F$9), MouserListTable[[#This Row],['#/Unit]]*FilterSpecs!$B$3+MouserListTable[[#This Row],[Extra Initial]],0)</f>
        <v>5</v>
      </c>
      <c r="G373" s="150" t="s">
        <v>625</v>
      </c>
      <c r="H373" s="150" t="s">
        <v>626</v>
      </c>
      <c r="I373" s="150" t="s">
        <v>2549</v>
      </c>
      <c r="J373" s="150">
        <v>1</v>
      </c>
      <c r="K373" s="154">
        <v>1.5</v>
      </c>
      <c r="L373" s="150" t="s">
        <v>1897</v>
      </c>
      <c r="M373" s="150"/>
      <c r="N373" s="154">
        <f>MouserListTable[[#This Row],['# Initial]]*MouserListTable[[#This Row],[Price (USD)]]</f>
        <v>7.5</v>
      </c>
      <c r="O373" s="151" t="s">
        <v>624</v>
      </c>
      <c r="P373" s="150">
        <f t="shared" si="6"/>
        <v>360</v>
      </c>
      <c r="Q373" s="150" t="s">
        <v>5</v>
      </c>
      <c r="R37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474-COM-00102</v>
      </c>
      <c r="S373" s="157" t="str">
        <f>HYPERLINK("https://www.mouser.com/ProductDetail/" &amp;MouserListTable[[#This Row],[Mouser SKU]])</f>
        <v>https://www.mouser.com/ProductDetail/474-COM-00102</v>
      </c>
      <c r="T373" s="152">
        <v>1</v>
      </c>
      <c r="U373" s="152">
        <v>0</v>
      </c>
      <c r="V373" s="152">
        <v>0</v>
      </c>
      <c r="W373" s="152">
        <f>MouserListTable[[#This Row],['#/Unit]]*FilterSpecs!$C$3+MouserListTable[[#This Row],[Extra]]</f>
        <v>5</v>
      </c>
      <c r="X373" s="152">
        <f>IF(MouserListTable[[#This Row],[Tag]]=FilterSpecs!$F$7,MouserListTable[[#This Row],['#/Unit]]*MouserListTable[[#This Row],[Price (USD)]],0)</f>
        <v>1.5</v>
      </c>
      <c r="Y373" s="152">
        <f>MouserListTable[[#This Row],[Tot '#]]*MouserListTable[[#This Row],[Price (USD)]]</f>
        <v>7.5</v>
      </c>
    </row>
    <row r="374" spans="1:25" x14ac:dyDescent="0.25">
      <c r="A374" s="150" t="s">
        <v>890</v>
      </c>
      <c r="B374" s="150" t="s">
        <v>884</v>
      </c>
      <c r="C374" s="150" t="s">
        <v>5</v>
      </c>
      <c r="D374" s="151" t="str">
        <f>IF(MouserListTable[[#This Row],[Vendor]]=FilterSpecs!$A$8,MouserListTable[[#This Row],[Mouser SKU]], MouserListTable[[#This Row],[Supplier SKU]])</f>
        <v>474-COM-09609</v>
      </c>
      <c r="E374" s="152">
        <f>MouserListTable[[#This Row],[Tot '#]]-MouserListTable[[#This Row],['# Initial]]</f>
        <v>0</v>
      </c>
      <c r="F374" s="152">
        <f>IF(AND(MouserListTable[[#This Row],[Tag]]&lt;&gt;FilterSpecs!$F$12, MouserListTable[[#This Row],[Tag]]&lt;&gt;FilterSpecs!$F$9), MouserListTable[[#This Row],['#/Unit]]*FilterSpecs!$B$3+MouserListTable[[#This Row],[Extra Initial]],0)</f>
        <v>0</v>
      </c>
      <c r="G374" s="150" t="s">
        <v>1322</v>
      </c>
      <c r="H374" s="150" t="s">
        <v>1323</v>
      </c>
      <c r="I374" s="150" t="s">
        <v>1324</v>
      </c>
      <c r="J374" s="150">
        <v>1</v>
      </c>
      <c r="K374" s="154">
        <v>0.75</v>
      </c>
      <c r="L374" s="150" t="s">
        <v>2461</v>
      </c>
      <c r="M374" s="150"/>
      <c r="N374" s="154">
        <f>MouserListTable[[#This Row],['# Initial]]*MouserListTable[[#This Row],[Price (USD)]]</f>
        <v>0</v>
      </c>
      <c r="O374" s="151" t="s">
        <v>1321</v>
      </c>
      <c r="P374" s="150">
        <f t="shared" si="6"/>
        <v>361</v>
      </c>
      <c r="Q374" s="150" t="s">
        <v>5</v>
      </c>
      <c r="R37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474-COM-09609</v>
      </c>
      <c r="S374" s="157" t="str">
        <f>HYPERLINK("https://www.mouser.com/ProductDetail/" &amp;MouserListTable[[#This Row],[Mouser SKU]])</f>
        <v>https://www.mouser.com/ProductDetail/474-COM-09609</v>
      </c>
      <c r="T374" s="152">
        <v>0</v>
      </c>
      <c r="U374" s="152">
        <v>0</v>
      </c>
      <c r="V374" s="152">
        <v>0</v>
      </c>
      <c r="W374" s="152">
        <f>MouserListTable[[#This Row],['#/Unit]]*FilterSpecs!$C$3+MouserListTable[[#This Row],[Extra]]</f>
        <v>0</v>
      </c>
      <c r="X374" s="152">
        <f>IF(MouserListTable[[#This Row],[Tag]]=FilterSpecs!$F$7,MouserListTable[[#This Row],['#/Unit]]*MouserListTable[[#This Row],[Price (USD)]],0)</f>
        <v>0</v>
      </c>
      <c r="Y374" s="152">
        <f>MouserListTable[[#This Row],[Tot '#]]*MouserListTable[[#This Row],[Price (USD)]]</f>
        <v>0</v>
      </c>
    </row>
    <row r="375" spans="1:25" x14ac:dyDescent="0.25">
      <c r="A375" s="150" t="s">
        <v>890</v>
      </c>
      <c r="B375" s="150" t="s">
        <v>884</v>
      </c>
      <c r="C375" s="150" t="s">
        <v>5</v>
      </c>
      <c r="D375" s="151" t="str">
        <f>IF(MouserListTable[[#This Row],[Vendor]]=FilterSpecs!$A$8,MouserListTable[[#This Row],[Mouser SKU]], MouserListTable[[#This Row],[Supplier SKU]])</f>
        <v>474-COM-13834</v>
      </c>
      <c r="E375" s="152">
        <f>MouserListTable[[#This Row],[Tot '#]]-MouserListTable[[#This Row],['# Initial]]</f>
        <v>1</v>
      </c>
      <c r="F375" s="152">
        <f>IF(AND(MouserListTable[[#This Row],[Tag]]&lt;&gt;FilterSpecs!$F$12, MouserListTable[[#This Row],[Tag]]&lt;&gt;FilterSpecs!$F$9), MouserListTable[[#This Row],['#/Unit]]*FilterSpecs!$B$3+MouserListTable[[#This Row],[Extra Initial]],0)</f>
        <v>0</v>
      </c>
      <c r="G375" s="150" t="s">
        <v>1664</v>
      </c>
      <c r="H375" s="150" t="s">
        <v>1665</v>
      </c>
      <c r="I375" s="150" t="s">
        <v>1666</v>
      </c>
      <c r="J375" s="150">
        <v>1</v>
      </c>
      <c r="K375" s="154">
        <v>0.95</v>
      </c>
      <c r="L375" s="150" t="s">
        <v>1896</v>
      </c>
      <c r="M375" s="150"/>
      <c r="N375" s="154">
        <f>MouserListTable[[#This Row],['# Initial]]*MouserListTable[[#This Row],[Price (USD)]]</f>
        <v>0</v>
      </c>
      <c r="O375" s="151" t="s">
        <v>1663</v>
      </c>
      <c r="P375" s="150">
        <f t="shared" si="6"/>
        <v>362</v>
      </c>
      <c r="Q375" s="150" t="s">
        <v>5</v>
      </c>
      <c r="R37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474-COM-13834</v>
      </c>
      <c r="S375" s="157" t="str">
        <f>HYPERLINK("https://www.mouser.com/ProductDetail/" &amp;MouserListTable[[#This Row],[Mouser SKU]])</f>
        <v>https://www.mouser.com/ProductDetail/474-COM-13834</v>
      </c>
      <c r="T375" s="152">
        <v>0</v>
      </c>
      <c r="U375" s="152">
        <v>1</v>
      </c>
      <c r="V375" s="152">
        <v>0</v>
      </c>
      <c r="W375" s="152">
        <f>MouserListTable[[#This Row],['#/Unit]]*FilterSpecs!$C$3+MouserListTable[[#This Row],[Extra]]</f>
        <v>1</v>
      </c>
      <c r="X375" s="152">
        <f>IF(MouserListTable[[#This Row],[Tag]]=FilterSpecs!$F$7,MouserListTable[[#This Row],['#/Unit]]*MouserListTable[[#This Row],[Price (USD)]],0)</f>
        <v>0</v>
      </c>
      <c r="Y375" s="152">
        <f>MouserListTable[[#This Row],[Tot '#]]*MouserListTable[[#This Row],[Price (USD)]]</f>
        <v>0.95</v>
      </c>
    </row>
    <row r="376" spans="1:25" x14ac:dyDescent="0.25">
      <c r="A376" s="150" t="s">
        <v>890</v>
      </c>
      <c r="B376" s="150" t="s">
        <v>884</v>
      </c>
      <c r="C376" s="150" t="s">
        <v>5</v>
      </c>
      <c r="D376" s="151" t="str">
        <f>IF(MouserListTable[[#This Row],[Vendor]]=FilterSpecs!$A$8,MouserListTable[[#This Row],[Mouser SKU]], MouserListTable[[#This Row],[Supplier SKU]])</f>
        <v>474-COM-10063</v>
      </c>
      <c r="E376" s="152">
        <f>MouserListTable[[#This Row],[Tot '#]]-MouserListTable[[#This Row],['# Initial]]</f>
        <v>1</v>
      </c>
      <c r="F376" s="152">
        <f>IF(AND(MouserListTable[[#This Row],[Tag]]&lt;&gt;FilterSpecs!$F$12, MouserListTable[[#This Row],[Tag]]&lt;&gt;FilterSpecs!$F$9), MouserListTable[[#This Row],['#/Unit]]*FilterSpecs!$B$3+MouserListTable[[#This Row],[Extra Initial]],0)</f>
        <v>0</v>
      </c>
      <c r="G376" s="150" t="s">
        <v>1680</v>
      </c>
      <c r="H376" s="150" t="s">
        <v>1681</v>
      </c>
      <c r="I376" s="150" t="s">
        <v>1682</v>
      </c>
      <c r="J376" s="150">
        <v>1</v>
      </c>
      <c r="K376" s="154">
        <v>1.95</v>
      </c>
      <c r="L376" s="150" t="s">
        <v>1896</v>
      </c>
      <c r="M376" s="150"/>
      <c r="N376" s="154">
        <f>MouserListTable[[#This Row],['# Initial]]*MouserListTable[[#This Row],[Price (USD)]]</f>
        <v>0</v>
      </c>
      <c r="O376" s="151" t="s">
        <v>1679</v>
      </c>
      <c r="P376" s="150">
        <f t="shared" si="6"/>
        <v>363</v>
      </c>
      <c r="Q376" s="150" t="s">
        <v>5</v>
      </c>
      <c r="R37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474-COM-10063</v>
      </c>
      <c r="S376" s="157" t="str">
        <f>HYPERLINK("https://www.mouser.com/ProductDetail/" &amp;MouserListTable[[#This Row],[Mouser SKU]])</f>
        <v>https://www.mouser.com/ProductDetail/474-COM-10063</v>
      </c>
      <c r="T376" s="152">
        <v>0</v>
      </c>
      <c r="U376" s="152">
        <v>1</v>
      </c>
      <c r="V376" s="152">
        <v>0</v>
      </c>
      <c r="W376" s="152">
        <f>MouserListTable[[#This Row],['#/Unit]]*FilterSpecs!$C$3+MouserListTable[[#This Row],[Extra]]</f>
        <v>1</v>
      </c>
      <c r="X376" s="152">
        <f>IF(MouserListTable[[#This Row],[Tag]]=FilterSpecs!$F$7,MouserListTable[[#This Row],['#/Unit]]*MouserListTable[[#This Row],[Price (USD)]],0)</f>
        <v>0</v>
      </c>
      <c r="Y376" s="152">
        <f>MouserListTable[[#This Row],[Tot '#]]*MouserListTable[[#This Row],[Price (USD)]]</f>
        <v>1.95</v>
      </c>
    </row>
    <row r="377" spans="1:25" x14ac:dyDescent="0.25">
      <c r="A377" s="150" t="s">
        <v>890</v>
      </c>
      <c r="B377" s="150" t="s">
        <v>884</v>
      </c>
      <c r="C377" s="150" t="s">
        <v>5</v>
      </c>
      <c r="D377" s="151" t="str">
        <f>IF(MouserListTable[[#This Row],[Vendor]]=FilterSpecs!$A$8,MouserListTable[[#This Row],[Mouser SKU]], MouserListTable[[#This Row],[Supplier SKU]])</f>
        <v>474-COM-09426</v>
      </c>
      <c r="E377" s="152">
        <f>MouserListTable[[#This Row],[Tot '#]]-MouserListTable[[#This Row],['# Initial]]</f>
        <v>1</v>
      </c>
      <c r="F377" s="152">
        <f>IF(AND(MouserListTable[[#This Row],[Tag]]&lt;&gt;FilterSpecs!$F$12, MouserListTable[[#This Row],[Tag]]&lt;&gt;FilterSpecs!$F$9), MouserListTable[[#This Row],['#/Unit]]*FilterSpecs!$B$3+MouserListTable[[#This Row],[Extra Initial]],0)</f>
        <v>0</v>
      </c>
      <c r="G377" s="150" t="s">
        <v>1676</v>
      </c>
      <c r="H377" s="150" t="s">
        <v>1677</v>
      </c>
      <c r="I377" s="150" t="s">
        <v>1678</v>
      </c>
      <c r="J377" s="150">
        <v>1</v>
      </c>
      <c r="K377" s="154">
        <v>3.5</v>
      </c>
      <c r="L377" s="150" t="s">
        <v>2461</v>
      </c>
      <c r="M377" s="150"/>
      <c r="N377" s="154">
        <f>MouserListTable[[#This Row],['# Initial]]*MouserListTable[[#This Row],[Price (USD)]]</f>
        <v>0</v>
      </c>
      <c r="O377" s="151" t="s">
        <v>1675</v>
      </c>
      <c r="P377" s="150">
        <f t="shared" si="6"/>
        <v>364</v>
      </c>
      <c r="Q377" s="150" t="s">
        <v>5</v>
      </c>
      <c r="R37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474-COM-09426</v>
      </c>
      <c r="S377" s="157" t="str">
        <f>HYPERLINK("https://www.mouser.com/ProductDetail/" &amp;MouserListTable[[#This Row],[Mouser SKU]])</f>
        <v>https://www.mouser.com/ProductDetail/474-COM-09426</v>
      </c>
      <c r="T377" s="152">
        <v>0</v>
      </c>
      <c r="U377" s="152">
        <v>1</v>
      </c>
      <c r="V377" s="152">
        <v>0</v>
      </c>
      <c r="W377" s="152">
        <f>MouserListTable[[#This Row],['#/Unit]]*FilterSpecs!$C$3+MouserListTable[[#This Row],[Extra]]</f>
        <v>1</v>
      </c>
      <c r="X377" s="152">
        <f>IF(MouserListTable[[#This Row],[Tag]]=FilterSpecs!$F$7,MouserListTable[[#This Row],['#/Unit]]*MouserListTable[[#This Row],[Price (USD)]],0)</f>
        <v>0</v>
      </c>
      <c r="Y377" s="152">
        <f>MouserListTable[[#This Row],[Tot '#]]*MouserListTable[[#This Row],[Price (USD)]]</f>
        <v>3.5</v>
      </c>
    </row>
    <row r="378" spans="1:25" x14ac:dyDescent="0.25">
      <c r="A378" s="150" t="s">
        <v>890</v>
      </c>
      <c r="B378" s="150" t="s">
        <v>884</v>
      </c>
      <c r="C378" s="150" t="s">
        <v>5</v>
      </c>
      <c r="D378" s="151" t="str">
        <f>IF(MouserListTable[[#This Row],[Vendor]]=FilterSpecs!$A$8,MouserListTable[[#This Row],[Mouser SKU]], MouserListTable[[#This Row],[Supplier SKU]])</f>
        <v>474-COM-10002</v>
      </c>
      <c r="E378" s="152">
        <f>MouserListTable[[#This Row],[Tot '#]]-MouserListTable[[#This Row],['# Initial]]</f>
        <v>3</v>
      </c>
      <c r="F378" s="152">
        <f>IF(AND(MouserListTable[[#This Row],[Tag]]&lt;&gt;FilterSpecs!$F$12, MouserListTable[[#This Row],[Tag]]&lt;&gt;FilterSpecs!$F$9), MouserListTable[[#This Row],['#/Unit]]*FilterSpecs!$B$3+MouserListTable[[#This Row],[Extra Initial]],0)</f>
        <v>0</v>
      </c>
      <c r="G378" s="150" t="s">
        <v>725</v>
      </c>
      <c r="H378" s="150" t="s">
        <v>726</v>
      </c>
      <c r="I378" s="150" t="s">
        <v>727</v>
      </c>
      <c r="J378" s="150"/>
      <c r="K378" s="154">
        <v>1.5</v>
      </c>
      <c r="L378" s="150" t="s">
        <v>1896</v>
      </c>
      <c r="M378" s="151"/>
      <c r="N378" s="154">
        <f>MouserListTable[[#This Row],['# Initial]]*MouserListTable[[#This Row],[Price (USD)]]</f>
        <v>0</v>
      </c>
      <c r="O378" s="151" t="s">
        <v>724</v>
      </c>
      <c r="P378" s="150">
        <f t="shared" si="6"/>
        <v>365</v>
      </c>
      <c r="Q378" s="150" t="s">
        <v>5</v>
      </c>
      <c r="R37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474-COM-10002</v>
      </c>
      <c r="S378" s="157" t="str">
        <f>HYPERLINK("https://www.mouser.com/ProductDetail/" &amp;MouserListTable[[#This Row],[Mouser SKU]])</f>
        <v>https://www.mouser.com/ProductDetail/474-COM-10002</v>
      </c>
      <c r="T378" s="152">
        <v>0</v>
      </c>
      <c r="U378" s="152">
        <v>3</v>
      </c>
      <c r="V378" s="152">
        <v>0</v>
      </c>
      <c r="W378" s="152">
        <f>MouserListTable[[#This Row],['#/Unit]]*FilterSpecs!$C$3+MouserListTable[[#This Row],[Extra]]</f>
        <v>3</v>
      </c>
      <c r="X378" s="152">
        <f>IF(MouserListTable[[#This Row],[Tag]]=FilterSpecs!$F$7,MouserListTable[[#This Row],['#/Unit]]*MouserListTable[[#This Row],[Price (USD)]],0)</f>
        <v>0</v>
      </c>
      <c r="Y378" s="152">
        <f>MouserListTable[[#This Row],[Tot '#]]*MouserListTable[[#This Row],[Price (USD)]]</f>
        <v>4.5</v>
      </c>
    </row>
    <row r="379" spans="1:25" x14ac:dyDescent="0.25">
      <c r="A379" s="150" t="s">
        <v>890</v>
      </c>
      <c r="B379" s="150" t="s">
        <v>884</v>
      </c>
      <c r="C379" s="150" t="s">
        <v>5</v>
      </c>
      <c r="D379" s="151" t="str">
        <f>IF(MouserListTable[[#This Row],[Vendor]]=FilterSpecs!$A$8,MouserListTable[[#This Row],[Mouser SKU]], MouserListTable[[#This Row],[Supplier SKU]])</f>
        <v>474-COM-10001</v>
      </c>
      <c r="E379" s="152">
        <f>MouserListTable[[#This Row],[Tot '#]]-MouserListTable[[#This Row],['# Initial]]</f>
        <v>0</v>
      </c>
      <c r="F379" s="152">
        <f>IF(AND(MouserListTable[[#This Row],[Tag]]&lt;&gt;FilterSpecs!$F$12, MouserListTable[[#This Row],[Tag]]&lt;&gt;FilterSpecs!$F$9), MouserListTable[[#This Row],['#/Unit]]*FilterSpecs!$B$3+MouserListTable[[#This Row],[Extra Initial]],0)</f>
        <v>0</v>
      </c>
      <c r="G379" s="150" t="s">
        <v>725</v>
      </c>
      <c r="H379" s="150" t="s">
        <v>726</v>
      </c>
      <c r="I379" s="150" t="s">
        <v>1653</v>
      </c>
      <c r="J379" s="150"/>
      <c r="K379" s="154">
        <v>1.5</v>
      </c>
      <c r="L379" s="150" t="s">
        <v>2461</v>
      </c>
      <c r="M379" s="153"/>
      <c r="N379" s="154">
        <f>MouserListTable[[#This Row],['# Initial]]*MouserListTable[[#This Row],[Price (USD)]]</f>
        <v>0</v>
      </c>
      <c r="O379" s="151" t="s">
        <v>1654</v>
      </c>
      <c r="P379" s="150">
        <f t="shared" si="6"/>
        <v>366</v>
      </c>
      <c r="Q379" s="150" t="s">
        <v>5</v>
      </c>
      <c r="R37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474-COM-10001</v>
      </c>
      <c r="S379" s="157" t="str">
        <f>HYPERLINK("https://www.mouser.com/ProductDetail/" &amp;MouserListTable[[#This Row],[Mouser SKU]])</f>
        <v>https://www.mouser.com/ProductDetail/474-COM-10001</v>
      </c>
      <c r="T379" s="152">
        <v>0</v>
      </c>
      <c r="U379" s="152">
        <v>0</v>
      </c>
      <c r="V379" s="152">
        <v>0</v>
      </c>
      <c r="W379" s="152">
        <f>MouserListTable[[#This Row],['#/Unit]]*FilterSpecs!$C$3+MouserListTable[[#This Row],[Extra]]</f>
        <v>0</v>
      </c>
      <c r="X379" s="152">
        <f>IF(MouserListTable[[#This Row],[Tag]]=FilterSpecs!$F$7,MouserListTable[[#This Row],['#/Unit]]*MouserListTable[[#This Row],[Price (USD)]],0)</f>
        <v>0</v>
      </c>
      <c r="Y379" s="152">
        <f>MouserListTable[[#This Row],[Tot '#]]*MouserListTable[[#This Row],[Price (USD)]]</f>
        <v>0</v>
      </c>
    </row>
    <row r="380" spans="1:25" x14ac:dyDescent="0.25">
      <c r="A380" s="150" t="s">
        <v>890</v>
      </c>
      <c r="B380" s="150" t="s">
        <v>884</v>
      </c>
      <c r="C380" s="150" t="s">
        <v>1884</v>
      </c>
      <c r="D380" s="151" t="str">
        <f>IF(MouserListTable[[#This Row],[Vendor]]=FilterSpecs!$A$8,MouserListTable[[#This Row],[Mouser SKU]], MouserListTable[[#This Row],[Supplier SKU]])</f>
        <v>485-2047</v>
      </c>
      <c r="E380" s="152">
        <f>MouserListTable[[#This Row],[Tot '#]]-MouserListTable[[#This Row],['# Initial]]</f>
        <v>0</v>
      </c>
      <c r="F380" s="152">
        <f>IF(AND(MouserListTable[[#This Row],[Tag]]&lt;&gt;FilterSpecs!$F$12, MouserListTable[[#This Row],[Tag]]&lt;&gt;FilterSpecs!$F$9), MouserListTable[[#This Row],['#/Unit]]*FilterSpecs!$B$3+MouserListTable[[#This Row],[Extra Initial]],0)</f>
        <v>10</v>
      </c>
      <c r="G380" s="150"/>
      <c r="H380" s="150"/>
      <c r="I380" s="150" t="s">
        <v>2104</v>
      </c>
      <c r="J380" s="153"/>
      <c r="K380" s="118">
        <v>0.5</v>
      </c>
      <c r="L380" s="97" t="s">
        <v>1897</v>
      </c>
      <c r="M380" s="153"/>
      <c r="N380" s="154">
        <f>MouserListTable[[#This Row],['# Initial]]*MouserListTable[[#This Row],[Price (USD)]]</f>
        <v>5</v>
      </c>
      <c r="O380" s="151" t="s">
        <v>2103</v>
      </c>
      <c r="P380" s="150">
        <f t="shared" si="6"/>
        <v>367</v>
      </c>
      <c r="Q380" s="150" t="s">
        <v>1884</v>
      </c>
      <c r="R38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485-2047</v>
      </c>
      <c r="S380" s="157" t="str">
        <f>HYPERLINK("https://www.mouser.com/ProductDetail/" &amp;MouserListTable[[#This Row],[Mouser SKU]])</f>
        <v>https://www.mouser.com/ProductDetail/485-2047</v>
      </c>
      <c r="T380" s="152">
        <f>SUM(T581:T588)</f>
        <v>2</v>
      </c>
      <c r="U380" s="152">
        <f t="shared" ref="U380:V380" si="7">SUM(U580:U587)</f>
        <v>0</v>
      </c>
      <c r="V380" s="152">
        <f t="shared" si="7"/>
        <v>0</v>
      </c>
      <c r="W380" s="152">
        <f>MouserListTable[[#This Row],['#/Unit]]*FilterSpecs!$C$3+MouserListTable[[#This Row],[Extra]]</f>
        <v>10</v>
      </c>
      <c r="X380" s="152">
        <f>IF(MouserListTable[[#This Row],[Tag]]=FilterSpecs!$F$7,MouserListTable[[#This Row],['#/Unit]]*MouserListTable[[#This Row],[Price (USD)]],0)</f>
        <v>1</v>
      </c>
      <c r="Y380" s="152">
        <f>MouserListTable[[#This Row],[Tot '#]]*MouserListTable[[#This Row],[Price (USD)]]</f>
        <v>5</v>
      </c>
    </row>
    <row r="381" spans="1:25" x14ac:dyDescent="0.25">
      <c r="A381" s="150" t="s">
        <v>890</v>
      </c>
      <c r="B381" s="150" t="s">
        <v>884</v>
      </c>
      <c r="C381" s="150" t="s">
        <v>1884</v>
      </c>
      <c r="D381" s="151" t="str">
        <f>IF(MouserListTable[[#This Row],[Vendor]]=FilterSpecs!$A$8,MouserListTable[[#This Row],[Mouser SKU]], MouserListTable[[#This Row],[Supplier SKU]])</f>
        <v>485-2055</v>
      </c>
      <c r="E381" s="152">
        <f>MouserListTable[[#This Row],[Tot '#]]-MouserListTable[[#This Row],['# Initial]]</f>
        <v>0</v>
      </c>
      <c r="F381" s="152">
        <f>IF(AND(MouserListTable[[#This Row],[Tag]]&lt;&gt;FilterSpecs!$F$12, MouserListTable[[#This Row],[Tag]]&lt;&gt;FilterSpecs!$F$9), MouserListTable[[#This Row],['#/Unit]]*FilterSpecs!$B$3+MouserListTable[[#This Row],[Extra Initial]],0)</f>
        <v>0</v>
      </c>
      <c r="G381" s="150"/>
      <c r="H381" s="150"/>
      <c r="I381" s="150" t="s">
        <v>2106</v>
      </c>
      <c r="J381" s="153"/>
      <c r="K381" s="118">
        <v>0.95</v>
      </c>
      <c r="L381" s="97" t="s">
        <v>1896</v>
      </c>
      <c r="M381" s="153"/>
      <c r="N381" s="154">
        <f>MouserListTable[[#This Row],['# Initial]]*MouserListTable[[#This Row],[Price (USD)]]</f>
        <v>0</v>
      </c>
      <c r="O381" s="151" t="s">
        <v>2105</v>
      </c>
      <c r="P381" s="150">
        <f t="shared" si="6"/>
        <v>368</v>
      </c>
      <c r="Q381" s="150" t="s">
        <v>1884</v>
      </c>
      <c r="R38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485-2055</v>
      </c>
      <c r="S381" s="157" t="str">
        <f>HYPERLINK("https://www.mouser.com/ProductDetail/" &amp;MouserListTable[[#This Row],[Mouser SKU]])</f>
        <v>https://www.mouser.com/ProductDetail/485-2055</v>
      </c>
      <c r="T381" s="152">
        <v>0</v>
      </c>
      <c r="U381" s="152">
        <v>0</v>
      </c>
      <c r="V381" s="152">
        <v>0</v>
      </c>
      <c r="W381" s="152">
        <f>MouserListTable[[#This Row],['#/Unit]]*FilterSpecs!$C$3+MouserListTable[[#This Row],[Extra]]</f>
        <v>0</v>
      </c>
      <c r="X381" s="152">
        <f>IF(MouserListTable[[#This Row],[Tag]]=FilterSpecs!$F$7,MouserListTable[[#This Row],['#/Unit]]*MouserListTable[[#This Row],[Price (USD)]],0)</f>
        <v>0</v>
      </c>
      <c r="Y381" s="152">
        <f>MouserListTable[[#This Row],[Tot '#]]*MouserListTable[[#This Row],[Price (USD)]]</f>
        <v>0</v>
      </c>
    </row>
    <row r="382" spans="1:25" x14ac:dyDescent="0.25">
      <c r="A382" s="150" t="s">
        <v>890</v>
      </c>
      <c r="B382" s="150" t="s">
        <v>884</v>
      </c>
      <c r="C382" s="150" t="s">
        <v>1884</v>
      </c>
      <c r="D382" s="151" t="str">
        <f>IF(MouserListTable[[#This Row],[Vendor]]=FilterSpecs!$A$8,MouserListTable[[#This Row],[Mouser SKU]], MouserListTable[[#This Row],[Supplier SKU]])</f>
        <v>485-2058</v>
      </c>
      <c r="E382" s="152">
        <f>MouserListTable[[#This Row],[Tot '#]]-MouserListTable[[#This Row],['# Initial]]</f>
        <v>0</v>
      </c>
      <c r="F382" s="152">
        <f>IF(AND(MouserListTable[[#This Row],[Tag]]&lt;&gt;FilterSpecs!$F$12, MouserListTable[[#This Row],[Tag]]&lt;&gt;FilterSpecs!$F$9), MouserListTable[[#This Row],['#/Unit]]*FilterSpecs!$B$3+MouserListTable[[#This Row],[Extra Initial]],0)</f>
        <v>0</v>
      </c>
      <c r="G382" s="150"/>
      <c r="H382" s="150"/>
      <c r="I382" s="150" t="s">
        <v>2108</v>
      </c>
      <c r="J382" s="153"/>
      <c r="K382" s="118">
        <v>0.95</v>
      </c>
      <c r="L382" s="97" t="s">
        <v>1896</v>
      </c>
      <c r="M382" s="153"/>
      <c r="N382" s="154">
        <f>MouserListTable[[#This Row],['# Initial]]*MouserListTable[[#This Row],[Price (USD)]]</f>
        <v>0</v>
      </c>
      <c r="O382" s="151" t="s">
        <v>2107</v>
      </c>
      <c r="P382" s="150">
        <f t="shared" si="6"/>
        <v>369</v>
      </c>
      <c r="Q382" s="150" t="s">
        <v>1884</v>
      </c>
      <c r="R38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485-2058</v>
      </c>
      <c r="S382" s="157" t="str">
        <f>HYPERLINK("https://www.mouser.com/ProductDetail/" &amp;MouserListTable[[#This Row],[Mouser SKU]])</f>
        <v>https://www.mouser.com/ProductDetail/485-2058</v>
      </c>
      <c r="T382" s="152">
        <v>0</v>
      </c>
      <c r="U382" s="152">
        <v>0</v>
      </c>
      <c r="V382" s="152">
        <v>0</v>
      </c>
      <c r="W382" s="152">
        <f>MouserListTable[[#This Row],['#/Unit]]*FilterSpecs!$C$3+MouserListTable[[#This Row],[Extra]]</f>
        <v>0</v>
      </c>
      <c r="X382" s="152">
        <f>IF(MouserListTable[[#This Row],[Tag]]=FilterSpecs!$F$7,MouserListTable[[#This Row],['#/Unit]]*MouserListTable[[#This Row],[Price (USD)]],0)</f>
        <v>0</v>
      </c>
      <c r="Y382" s="152">
        <f>MouserListTable[[#This Row],[Tot '#]]*MouserListTable[[#This Row],[Price (USD)]]</f>
        <v>0</v>
      </c>
    </row>
    <row r="383" spans="1:25" x14ac:dyDescent="0.25">
      <c r="A383" s="150" t="s">
        <v>890</v>
      </c>
      <c r="B383" s="150" t="s">
        <v>884</v>
      </c>
      <c r="C383" s="150" t="s">
        <v>1884</v>
      </c>
      <c r="D383" s="151" t="str">
        <f>IF(MouserListTable[[#This Row],[Vendor]]=FilterSpecs!$A$8,MouserListTable[[#This Row],[Mouser SKU]], MouserListTable[[#This Row],[Supplier SKU]])</f>
        <v>485-2056</v>
      </c>
      <c r="E383" s="152">
        <f>MouserListTable[[#This Row],[Tot '#]]-MouserListTable[[#This Row],['# Initial]]</f>
        <v>0</v>
      </c>
      <c r="F383" s="152">
        <f>IF(AND(MouserListTable[[#This Row],[Tag]]&lt;&gt;FilterSpecs!$F$12, MouserListTable[[#This Row],[Tag]]&lt;&gt;FilterSpecs!$F$9), MouserListTable[[#This Row],['#/Unit]]*FilterSpecs!$B$3+MouserListTable[[#This Row],[Extra Initial]],0)</f>
        <v>0</v>
      </c>
      <c r="G383" s="150"/>
      <c r="H383" s="150"/>
      <c r="I383" s="150" t="s">
        <v>2110</v>
      </c>
      <c r="J383" s="153"/>
      <c r="K383" s="118">
        <v>3.95</v>
      </c>
      <c r="L383" s="97" t="s">
        <v>1896</v>
      </c>
      <c r="M383" s="153"/>
      <c r="N383" s="154">
        <f>MouserListTable[[#This Row],['# Initial]]*MouserListTable[[#This Row],[Price (USD)]]</f>
        <v>0</v>
      </c>
      <c r="O383" s="151" t="s">
        <v>2109</v>
      </c>
      <c r="P383" s="150">
        <f t="shared" si="6"/>
        <v>370</v>
      </c>
      <c r="Q383" s="150" t="s">
        <v>1884</v>
      </c>
      <c r="R38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485-2056</v>
      </c>
      <c r="S383" s="157" t="str">
        <f>HYPERLINK("https://www.mouser.com/ProductDetail/" &amp;MouserListTable[[#This Row],[Mouser SKU]])</f>
        <v>https://www.mouser.com/ProductDetail/485-2056</v>
      </c>
      <c r="T383" s="152">
        <v>0</v>
      </c>
      <c r="U383" s="152">
        <v>0</v>
      </c>
      <c r="V383" s="152">
        <v>0</v>
      </c>
      <c r="W383" s="152">
        <f>MouserListTable[[#This Row],['#/Unit]]*FilterSpecs!$C$3+MouserListTable[[#This Row],[Extra]]</f>
        <v>0</v>
      </c>
      <c r="X383" s="152">
        <f>IF(MouserListTable[[#This Row],[Tag]]=FilterSpecs!$F$7,MouserListTable[[#This Row],['#/Unit]]*MouserListTable[[#This Row],[Price (USD)]],0)</f>
        <v>0</v>
      </c>
      <c r="Y383" s="152">
        <f>MouserListTable[[#This Row],[Tot '#]]*MouserListTable[[#This Row],[Price (USD)]]</f>
        <v>0</v>
      </c>
    </row>
    <row r="384" spans="1:25" x14ac:dyDescent="0.25">
      <c r="A384" s="151" t="s">
        <v>890</v>
      </c>
      <c r="B384" s="151" t="s">
        <v>2004</v>
      </c>
      <c r="C384" s="150" t="s">
        <v>1884</v>
      </c>
      <c r="D384" s="151" t="str">
        <f>IF(MouserListTable[[#This Row],[Vendor]]=FilterSpecs!$A$8,MouserListTable[[#This Row],[Mouser SKU]], MouserListTable[[#This Row],[Supplier SKU]])</f>
        <v>485-2103</v>
      </c>
      <c r="E384" s="152">
        <f>MouserListTable[[#This Row],[Tot '#]]-MouserListTable[[#This Row],['# Initial]]</f>
        <v>0</v>
      </c>
      <c r="F384" s="152">
        <f>IF(AND(MouserListTable[[#This Row],[Tag]]&lt;&gt;FilterSpecs!$F$12, MouserListTable[[#This Row],[Tag]]&lt;&gt;FilterSpecs!$F$9), MouserListTable[[#This Row],['#/Unit]]*FilterSpecs!$B$3+MouserListTable[[#This Row],[Extra Initial]],0)</f>
        <v>0</v>
      </c>
      <c r="G384" s="150"/>
      <c r="H384" s="150"/>
      <c r="I384" s="150" t="s">
        <v>2114</v>
      </c>
      <c r="J384" s="153"/>
      <c r="K384" s="118">
        <v>1.95</v>
      </c>
      <c r="L384" s="153" t="s">
        <v>1896</v>
      </c>
      <c r="M384" s="153"/>
      <c r="N384" s="154">
        <f>MouserListTable[[#This Row],['# Initial]]*MouserListTable[[#This Row],[Price (USD)]]</f>
        <v>0</v>
      </c>
      <c r="O384" s="151" t="s">
        <v>2113</v>
      </c>
      <c r="P384" s="150">
        <f t="shared" si="6"/>
        <v>371</v>
      </c>
      <c r="Q384" s="150" t="s">
        <v>1884</v>
      </c>
      <c r="R38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485-2103</v>
      </c>
      <c r="S384" s="157" t="str">
        <f>HYPERLINK("https://www.mouser.com/ProductDetail/" &amp;MouserListTable[[#This Row],[Mouser SKU]])</f>
        <v>https://www.mouser.com/ProductDetail/485-2103</v>
      </c>
      <c r="T384" s="152">
        <v>0</v>
      </c>
      <c r="U384" s="152">
        <v>0</v>
      </c>
      <c r="V384" s="152">
        <v>0</v>
      </c>
      <c r="W384" s="152">
        <f>MouserListTable[[#This Row],['#/Unit]]*FilterSpecs!$C$3+MouserListTable[[#This Row],[Extra]]</f>
        <v>0</v>
      </c>
      <c r="X384" s="152">
        <f>IF(MouserListTable[[#This Row],[Tag]]=FilterSpecs!$F$7,MouserListTable[[#This Row],['#/Unit]]*MouserListTable[[#This Row],[Price (USD)]],0)</f>
        <v>0</v>
      </c>
      <c r="Y384" s="152">
        <f>MouserListTable[[#This Row],[Tot '#]]*MouserListTable[[#This Row],[Price (USD)]]</f>
        <v>0</v>
      </c>
    </row>
    <row r="385" spans="1:25" x14ac:dyDescent="0.25">
      <c r="A385" s="151" t="s">
        <v>890</v>
      </c>
      <c r="B385" s="151" t="s">
        <v>2004</v>
      </c>
      <c r="C385" s="150" t="s">
        <v>1884</v>
      </c>
      <c r="D385" s="151" t="str">
        <f>IF(MouserListTable[[#This Row],[Vendor]]=FilterSpecs!$A$8,MouserListTable[[#This Row],[Mouser SKU]], MouserListTable[[#This Row],[Supplier SKU]])</f>
        <v>485-2270</v>
      </c>
      <c r="E385" s="152">
        <f>MouserListTable[[#This Row],[Tot '#]]-MouserListTable[[#This Row],['# Initial]]</f>
        <v>0</v>
      </c>
      <c r="F385" s="152">
        <f>IF(AND(MouserListTable[[#This Row],[Tag]]&lt;&gt;FilterSpecs!$F$12, MouserListTable[[#This Row],[Tag]]&lt;&gt;FilterSpecs!$F$9), MouserListTable[[#This Row],['#/Unit]]*FilterSpecs!$B$3+MouserListTable[[#This Row],[Extra Initial]],0)</f>
        <v>0</v>
      </c>
      <c r="G385" s="150"/>
      <c r="H385" s="150"/>
      <c r="I385" s="150" t="s">
        <v>2116</v>
      </c>
      <c r="J385" s="153"/>
      <c r="K385" s="118">
        <v>2.25</v>
      </c>
      <c r="L385" s="153" t="s">
        <v>1896</v>
      </c>
      <c r="M385" s="153"/>
      <c r="N385" s="154">
        <f>MouserListTable[[#This Row],['# Initial]]*MouserListTable[[#This Row],[Price (USD)]]</f>
        <v>0</v>
      </c>
      <c r="O385" s="151" t="s">
        <v>2115</v>
      </c>
      <c r="P385" s="150">
        <f t="shared" si="6"/>
        <v>372</v>
      </c>
      <c r="Q385" s="150" t="s">
        <v>1884</v>
      </c>
      <c r="R38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485-2270</v>
      </c>
      <c r="S385" s="157" t="str">
        <f>HYPERLINK("https://www.mouser.com/ProductDetail/" &amp;MouserListTable[[#This Row],[Mouser SKU]])</f>
        <v>https://www.mouser.com/ProductDetail/485-2270</v>
      </c>
      <c r="T385" s="152">
        <v>0</v>
      </c>
      <c r="U385" s="152">
        <v>0</v>
      </c>
      <c r="V385" s="152">
        <v>0</v>
      </c>
      <c r="W385" s="152">
        <f>MouserListTable[[#This Row],['#/Unit]]*FilterSpecs!$C$3+MouserListTable[[#This Row],[Extra]]</f>
        <v>0</v>
      </c>
      <c r="X385" s="152">
        <f>IF(MouserListTable[[#This Row],[Tag]]=FilterSpecs!$F$7,MouserListTable[[#This Row],['#/Unit]]*MouserListTable[[#This Row],[Price (USD)]],0)</f>
        <v>0</v>
      </c>
      <c r="Y385" s="152">
        <f>MouserListTable[[#This Row],[Tot '#]]*MouserListTable[[#This Row],[Price (USD)]]</f>
        <v>0</v>
      </c>
    </row>
    <row r="386" spans="1:25" x14ac:dyDescent="0.25">
      <c r="A386" s="151" t="s">
        <v>890</v>
      </c>
      <c r="B386" s="151" t="s">
        <v>2004</v>
      </c>
      <c r="C386" s="150" t="s">
        <v>1884</v>
      </c>
      <c r="D386" s="151" t="str">
        <f>IF(MouserListTable[[#This Row],[Vendor]]=FilterSpecs!$A$8,MouserListTable[[#This Row],[Mouser SKU]], MouserListTable[[#This Row],[Supplier SKU]])</f>
        <v>485-2102</v>
      </c>
      <c r="E386" s="152">
        <f>MouserListTable[[#This Row],[Tot '#]]-MouserListTable[[#This Row],['# Initial]]</f>
        <v>0</v>
      </c>
      <c r="F386" s="152">
        <f>IF(AND(MouserListTable[[#This Row],[Tag]]&lt;&gt;FilterSpecs!$F$12, MouserListTable[[#This Row],[Tag]]&lt;&gt;FilterSpecs!$F$9), MouserListTable[[#This Row],['#/Unit]]*FilterSpecs!$B$3+MouserListTable[[#This Row],[Extra Initial]],0)</f>
        <v>10</v>
      </c>
      <c r="G386" s="150"/>
      <c r="H386" s="150"/>
      <c r="I386" s="150" t="s">
        <v>2118</v>
      </c>
      <c r="J386" s="153"/>
      <c r="K386" s="154">
        <v>0.95</v>
      </c>
      <c r="L386" s="151" t="s">
        <v>1897</v>
      </c>
      <c r="M386" s="151"/>
      <c r="N386" s="154">
        <f>MouserListTable[[#This Row],['# Initial]]*MouserListTable[[#This Row],[Price (USD)]]</f>
        <v>9.5</v>
      </c>
      <c r="O386" s="151" t="s">
        <v>2117</v>
      </c>
      <c r="P386" s="150">
        <f t="shared" si="6"/>
        <v>373</v>
      </c>
      <c r="Q386" s="150" t="s">
        <v>1884</v>
      </c>
      <c r="R38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485-2102</v>
      </c>
      <c r="S386" s="157" t="str">
        <f>HYPERLINK("https://www.mouser.com/ProductDetail/" &amp;MouserListTable[[#This Row],[Mouser SKU]])</f>
        <v>https://www.mouser.com/ProductDetail/485-2102</v>
      </c>
      <c r="T386" s="152">
        <v>2</v>
      </c>
      <c r="U386" s="152">
        <v>0</v>
      </c>
      <c r="V386" s="152">
        <v>0</v>
      </c>
      <c r="W386" s="152">
        <f>MouserListTable[[#This Row],['#/Unit]]*FilterSpecs!$C$3+MouserListTable[[#This Row],[Extra]]</f>
        <v>10</v>
      </c>
      <c r="X386" s="152">
        <f>IF(MouserListTable[[#This Row],[Tag]]=FilterSpecs!$F$7,MouserListTable[[#This Row],['#/Unit]]*MouserListTable[[#This Row],[Price (USD)]],0)</f>
        <v>1.9</v>
      </c>
      <c r="Y386" s="152">
        <f>MouserListTable[[#This Row],[Tot '#]]*MouserListTable[[#This Row],[Price (USD)]]</f>
        <v>9.5</v>
      </c>
    </row>
    <row r="387" spans="1:25" x14ac:dyDescent="0.25">
      <c r="A387" s="151" t="s">
        <v>890</v>
      </c>
      <c r="B387" s="151" t="s">
        <v>1870</v>
      </c>
      <c r="C387" s="150" t="s">
        <v>5</v>
      </c>
      <c r="D387" s="151" t="str">
        <f>IF(MouserListTable[[#This Row],[Vendor]]=FilterSpecs!$A$8,MouserListTable[[#This Row],[Mouser SKU]], MouserListTable[[#This Row],[Supplier SKU]])</f>
        <v>474-PRT-09749</v>
      </c>
      <c r="E387" s="152">
        <f>MouserListTable[[#This Row],[Tot '#]]-MouserListTable[[#This Row],['# Initial]]</f>
        <v>0</v>
      </c>
      <c r="F387" s="152">
        <f>IF(AND(MouserListTable[[#This Row],[Tag]]&lt;&gt;FilterSpecs!$F$12, MouserListTable[[#This Row],[Tag]]&lt;&gt;FilterSpecs!$F$9), MouserListTable[[#This Row],['#/Unit]]*FilterSpecs!$B$3+MouserListTable[[#This Row],[Extra Initial]],0)</f>
        <v>10</v>
      </c>
      <c r="G387" s="150" t="s">
        <v>439</v>
      </c>
      <c r="H387" s="150" t="s">
        <v>440</v>
      </c>
      <c r="I387" s="150" t="s">
        <v>441</v>
      </c>
      <c r="J387" s="150">
        <v>1</v>
      </c>
      <c r="K387" s="154">
        <v>0.95</v>
      </c>
      <c r="L387" s="151" t="s">
        <v>1897</v>
      </c>
      <c r="M387" s="150"/>
      <c r="N387" s="154">
        <f>MouserListTable[[#This Row],['# Initial]]*MouserListTable[[#This Row],[Price (USD)]]</f>
        <v>9.5</v>
      </c>
      <c r="O387" s="151" t="s">
        <v>438</v>
      </c>
      <c r="P387" s="150">
        <f t="shared" si="6"/>
        <v>374</v>
      </c>
      <c r="Q387" s="150" t="s">
        <v>5</v>
      </c>
      <c r="R38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474-PRT-09749</v>
      </c>
      <c r="S387" s="157" t="str">
        <f>HYPERLINK("https://www.mouser.com/ProductDetail/" &amp;MouserListTable[[#This Row],[Mouser SKU]])</f>
        <v>https://www.mouser.com/ProductDetail/474-PRT-09749</v>
      </c>
      <c r="T387" s="152">
        <v>2</v>
      </c>
      <c r="U387" s="152">
        <v>0</v>
      </c>
      <c r="V387" s="152">
        <v>0</v>
      </c>
      <c r="W387" s="152">
        <f>MouserListTable[[#This Row],['#/Unit]]*FilterSpecs!$C$3+MouserListTable[[#This Row],[Extra]]</f>
        <v>10</v>
      </c>
      <c r="X387" s="152">
        <f>IF(MouserListTable[[#This Row],[Tag]]=FilterSpecs!$F$7,MouserListTable[[#This Row],['#/Unit]]*MouserListTable[[#This Row],[Price (USD)]],0)</f>
        <v>1.9</v>
      </c>
      <c r="Y387" s="152">
        <f>MouserListTable[[#This Row],[Tot '#]]*MouserListTable[[#This Row],[Price (USD)]]</f>
        <v>9.5</v>
      </c>
    </row>
    <row r="388" spans="1:25" x14ac:dyDescent="0.25">
      <c r="A388" s="151" t="s">
        <v>890</v>
      </c>
      <c r="B388" s="151" t="s">
        <v>1870</v>
      </c>
      <c r="C388" s="150" t="s">
        <v>5</v>
      </c>
      <c r="D388" s="151" t="str">
        <f>IF(MouserListTable[[#This Row],[Vendor]]=FilterSpecs!$A$8,MouserListTable[[#This Row],[Mouser SKU]], MouserListTable[[#This Row],[Supplier SKU]])</f>
        <v>474-PRT-09750</v>
      </c>
      <c r="E388" s="152">
        <f>MouserListTable[[#This Row],[Tot '#]]-MouserListTable[[#This Row],['# Initial]]</f>
        <v>0</v>
      </c>
      <c r="F388" s="152">
        <f>IF(AND(MouserListTable[[#This Row],[Tag]]&lt;&gt;FilterSpecs!$F$12, MouserListTable[[#This Row],[Tag]]&lt;&gt;FilterSpecs!$F$9), MouserListTable[[#This Row],['#/Unit]]*FilterSpecs!$B$3+MouserListTable[[#This Row],[Extra Initial]],0)</f>
        <v>5</v>
      </c>
      <c r="G388" s="150" t="s">
        <v>1842</v>
      </c>
      <c r="H388" s="150" t="s">
        <v>1843</v>
      </c>
      <c r="I388" s="150" t="s">
        <v>1844</v>
      </c>
      <c r="J388" s="150">
        <v>1</v>
      </c>
      <c r="K388" s="154">
        <v>0.95</v>
      </c>
      <c r="L388" s="151" t="s">
        <v>1897</v>
      </c>
      <c r="M388" s="150"/>
      <c r="N388" s="154">
        <f>MouserListTable[[#This Row],['# Initial]]*MouserListTable[[#This Row],[Price (USD)]]</f>
        <v>4.75</v>
      </c>
      <c r="O388" s="151" t="s">
        <v>1841</v>
      </c>
      <c r="P388" s="150">
        <f t="shared" si="6"/>
        <v>375</v>
      </c>
      <c r="Q388" s="150" t="s">
        <v>5</v>
      </c>
      <c r="R38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474-PRT-09750</v>
      </c>
      <c r="S388" s="157" t="str">
        <f>HYPERLINK("https://www.mouser.com/ProductDetail/" &amp;MouserListTable[[#This Row],[Mouser SKU]])</f>
        <v>https://www.mouser.com/ProductDetail/474-PRT-09750</v>
      </c>
      <c r="T388" s="152">
        <v>1</v>
      </c>
      <c r="U388" s="152">
        <v>0</v>
      </c>
      <c r="V388" s="152">
        <v>0</v>
      </c>
      <c r="W388" s="152">
        <f>MouserListTable[[#This Row],['#/Unit]]*FilterSpecs!$C$3+MouserListTable[[#This Row],[Extra]]</f>
        <v>5</v>
      </c>
      <c r="X388" s="152">
        <f>IF(MouserListTable[[#This Row],[Tag]]=FilterSpecs!$F$7,MouserListTable[[#This Row],['#/Unit]]*MouserListTable[[#This Row],[Price (USD)]],0)</f>
        <v>0.95</v>
      </c>
      <c r="Y388" s="152">
        <f>MouserListTable[[#This Row],[Tot '#]]*MouserListTable[[#This Row],[Price (USD)]]</f>
        <v>4.75</v>
      </c>
    </row>
    <row r="389" spans="1:25" x14ac:dyDescent="0.25">
      <c r="A389" s="153" t="s">
        <v>890</v>
      </c>
      <c r="B389" s="153" t="s">
        <v>1870</v>
      </c>
      <c r="C389" s="150" t="s">
        <v>5</v>
      </c>
      <c r="D389" s="151" t="str">
        <f>IF(MouserListTable[[#This Row],[Vendor]]=FilterSpecs!$A$8,MouserListTable[[#This Row],[Mouser SKU]], MouserListTable[[#This Row],[Supplier SKU]])</f>
        <v>474-PRT-10501</v>
      </c>
      <c r="E389" s="152">
        <f>MouserListTable[[#This Row],[Tot '#]]-MouserListTable[[#This Row],['# Initial]]</f>
        <v>0</v>
      </c>
      <c r="F389" s="152">
        <f>IF(AND(MouserListTable[[#This Row],[Tag]]&lt;&gt;FilterSpecs!$F$12, MouserListTable[[#This Row],[Tag]]&lt;&gt;FilterSpecs!$F$9), MouserListTable[[#This Row],['#/Unit]]*FilterSpecs!$B$3+MouserListTable[[#This Row],[Extra Initial]],0)</f>
        <v>0</v>
      </c>
      <c r="G389" s="150" t="s">
        <v>1349</v>
      </c>
      <c r="H389" s="150" t="s">
        <v>1350</v>
      </c>
      <c r="I389" s="150" t="s">
        <v>1351</v>
      </c>
      <c r="J389" s="150"/>
      <c r="K389" s="154">
        <v>0.5</v>
      </c>
      <c r="L389" s="151" t="s">
        <v>1896</v>
      </c>
      <c r="M389" s="150"/>
      <c r="N389" s="154">
        <f>MouserListTable[[#This Row],['# Initial]]*MouserListTable[[#This Row],[Price (USD)]]</f>
        <v>0</v>
      </c>
      <c r="O389" s="151" t="s">
        <v>1348</v>
      </c>
      <c r="P389" s="150">
        <f t="shared" si="6"/>
        <v>376</v>
      </c>
      <c r="Q389" s="150" t="s">
        <v>5</v>
      </c>
      <c r="R38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474-PRT-10501</v>
      </c>
      <c r="S389" s="157" t="str">
        <f>HYPERLINK("https://www.mouser.com/ProductDetail/" &amp;MouserListTable[[#This Row],[Mouser SKU]])</f>
        <v>https://www.mouser.com/ProductDetail/474-PRT-10501</v>
      </c>
      <c r="T389" s="152">
        <v>0</v>
      </c>
      <c r="U389" s="152">
        <v>0</v>
      </c>
      <c r="V389" s="152">
        <v>0</v>
      </c>
      <c r="W389" s="152">
        <f>MouserListTable[[#This Row],['#/Unit]]*FilterSpecs!$C$3+MouserListTable[[#This Row],[Extra]]</f>
        <v>0</v>
      </c>
      <c r="X389" s="152">
        <f>IF(MouserListTable[[#This Row],[Tag]]=FilterSpecs!$F$7,MouserListTable[[#This Row],['#/Unit]]*MouserListTable[[#This Row],[Price (USD)]],0)</f>
        <v>0</v>
      </c>
      <c r="Y389" s="152">
        <f>MouserListTable[[#This Row],[Tot '#]]*MouserListTable[[#This Row],[Price (USD)]]</f>
        <v>0</v>
      </c>
    </row>
    <row r="390" spans="1:25" x14ac:dyDescent="0.25">
      <c r="A390" s="153" t="s">
        <v>890</v>
      </c>
      <c r="B390" s="153" t="s">
        <v>1870</v>
      </c>
      <c r="C390" s="150" t="s">
        <v>5</v>
      </c>
      <c r="D390" s="151" t="str">
        <f>IF(MouserListTable[[#This Row],[Vendor]]=FilterSpecs!$A$8,MouserListTable[[#This Row],[Mouser SKU]], MouserListTable[[#This Row],[Supplier SKU]])</f>
        <v>474-PRT-08612</v>
      </c>
      <c r="E390" s="152">
        <f>MouserListTable[[#This Row],[Tot '#]]-MouserListTable[[#This Row],['# Initial]]</f>
        <v>0</v>
      </c>
      <c r="F390" s="152">
        <f>IF(AND(MouserListTable[[#This Row],[Tag]]&lt;&gt;FilterSpecs!$F$12, MouserListTable[[#This Row],[Tag]]&lt;&gt;FilterSpecs!$F$9), MouserListTable[[#This Row],['#/Unit]]*FilterSpecs!$B$3+MouserListTable[[#This Row],[Extra Initial]],0)</f>
        <v>0</v>
      </c>
      <c r="G390" s="150" t="s">
        <v>1746</v>
      </c>
      <c r="H390" s="150" t="s">
        <v>1747</v>
      </c>
      <c r="I390" s="150" t="s">
        <v>1748</v>
      </c>
      <c r="J390" s="150">
        <v>1</v>
      </c>
      <c r="K390" s="154">
        <v>0.95</v>
      </c>
      <c r="L390" s="151" t="s">
        <v>1896</v>
      </c>
      <c r="M390" s="150"/>
      <c r="N390" s="154">
        <f>MouserListTable[[#This Row],['# Initial]]*MouserListTable[[#This Row],[Price (USD)]]</f>
        <v>0</v>
      </c>
      <c r="O390" s="151" t="s">
        <v>1745</v>
      </c>
      <c r="P390" s="150">
        <f t="shared" si="6"/>
        <v>377</v>
      </c>
      <c r="Q390" s="150" t="s">
        <v>5</v>
      </c>
      <c r="R39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474-PRT-08612</v>
      </c>
      <c r="S390" s="157" t="str">
        <f>HYPERLINK("https://www.mouser.com/ProductDetail/" &amp;MouserListTable[[#This Row],[Mouser SKU]])</f>
        <v>https://www.mouser.com/ProductDetail/474-PRT-08612</v>
      </c>
      <c r="T390" s="152">
        <v>0</v>
      </c>
      <c r="U390" s="152">
        <v>0</v>
      </c>
      <c r="V390" s="152">
        <v>0</v>
      </c>
      <c r="W390" s="152">
        <f>MouserListTable[[#This Row],['#/Unit]]*FilterSpecs!$C$3+MouserListTable[[#This Row],[Extra]]</f>
        <v>0</v>
      </c>
      <c r="X390" s="152">
        <f>IF(MouserListTable[[#This Row],[Tag]]=FilterSpecs!$F$7,MouserListTable[[#This Row],['#/Unit]]*MouserListTable[[#This Row],[Price (USD)]],0)</f>
        <v>0</v>
      </c>
      <c r="Y390" s="152">
        <f>MouserListTable[[#This Row],[Tot '#]]*MouserListTable[[#This Row],[Price (USD)]]</f>
        <v>0</v>
      </c>
    </row>
    <row r="391" spans="1:25" x14ac:dyDescent="0.25">
      <c r="A391" s="153" t="s">
        <v>890</v>
      </c>
      <c r="B391" s="153" t="s">
        <v>1870</v>
      </c>
      <c r="C391" s="150" t="s">
        <v>5</v>
      </c>
      <c r="D391" s="151" t="str">
        <f>IF(MouserListTable[[#This Row],[Vendor]]=FilterSpecs!$A$8,MouserListTable[[#This Row],[Mouser SKU]], MouserListTable[[#This Row],[Supplier SKU]])</f>
        <v>474-PRT-08613</v>
      </c>
      <c r="E391" s="152">
        <f>MouserListTable[[#This Row],[Tot '#]]-MouserListTable[[#This Row],['# Initial]]</f>
        <v>0</v>
      </c>
      <c r="F391" s="152">
        <f>IF(AND(MouserListTable[[#This Row],[Tag]]&lt;&gt;FilterSpecs!$F$12, MouserListTable[[#This Row],[Tag]]&lt;&gt;FilterSpecs!$F$9), MouserListTable[[#This Row],['#/Unit]]*FilterSpecs!$B$3+MouserListTable[[#This Row],[Extra Initial]],0)</f>
        <v>0</v>
      </c>
      <c r="G391" s="150" t="s">
        <v>1750</v>
      </c>
      <c r="H391" s="150" t="s">
        <v>1751</v>
      </c>
      <c r="I391" s="150" t="s">
        <v>1752</v>
      </c>
      <c r="J391" s="150">
        <v>1</v>
      </c>
      <c r="K391" s="154">
        <v>0.95</v>
      </c>
      <c r="L391" s="151" t="s">
        <v>1896</v>
      </c>
      <c r="M391" s="150"/>
      <c r="N391" s="154">
        <f>MouserListTable[[#This Row],['# Initial]]*MouserListTable[[#This Row],[Price (USD)]]</f>
        <v>0</v>
      </c>
      <c r="O391" s="151" t="s">
        <v>1749</v>
      </c>
      <c r="P391" s="150">
        <f t="shared" si="6"/>
        <v>378</v>
      </c>
      <c r="Q391" s="150" t="s">
        <v>5</v>
      </c>
      <c r="R39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474-PRT-08613</v>
      </c>
      <c r="S391" s="157" t="str">
        <f>HYPERLINK("https://www.mouser.com/ProductDetail/" &amp;MouserListTable[[#This Row],[Mouser SKU]])</f>
        <v>https://www.mouser.com/ProductDetail/474-PRT-08613</v>
      </c>
      <c r="T391" s="152">
        <v>0</v>
      </c>
      <c r="U391" s="152">
        <v>0</v>
      </c>
      <c r="V391" s="152">
        <v>0</v>
      </c>
      <c r="W391" s="152">
        <f>MouserListTable[[#This Row],['#/Unit]]*FilterSpecs!$C$3+MouserListTable[[#This Row],[Extra]]</f>
        <v>0</v>
      </c>
      <c r="X391" s="152">
        <f>IF(MouserListTable[[#This Row],[Tag]]=FilterSpecs!$F$7,MouserListTable[[#This Row],['#/Unit]]*MouserListTable[[#This Row],[Price (USD)]],0)</f>
        <v>0</v>
      </c>
      <c r="Y391" s="152">
        <f>MouserListTable[[#This Row],[Tot '#]]*MouserListTable[[#This Row],[Price (USD)]]</f>
        <v>0</v>
      </c>
    </row>
    <row r="392" spans="1:25" x14ac:dyDescent="0.25">
      <c r="A392" s="151" t="s">
        <v>890</v>
      </c>
      <c r="B392" s="151" t="s">
        <v>1870</v>
      </c>
      <c r="C392" s="150" t="s">
        <v>1884</v>
      </c>
      <c r="D392" s="151" t="str">
        <f>IF(MouserListTable[[#This Row],[Vendor]]=FilterSpecs!$A$8,MouserListTable[[#This Row],[Mouser SKU]], MouserListTable[[#This Row],[Supplier SKU]])</f>
        <v>485-1862</v>
      </c>
      <c r="E392" s="152">
        <f>MouserListTable[[#This Row],[Tot '#]]-MouserListTable[[#This Row],['# Initial]]</f>
        <v>0</v>
      </c>
      <c r="F392" s="152">
        <f>IF(AND(MouserListTable[[#This Row],[Tag]]&lt;&gt;FilterSpecs!$F$12, MouserListTable[[#This Row],[Tag]]&lt;&gt;FilterSpecs!$F$9), MouserListTable[[#This Row],['#/Unit]]*FilterSpecs!$B$3+MouserListTable[[#This Row],[Extra Initial]],0)</f>
        <v>0</v>
      </c>
      <c r="G392" s="150"/>
      <c r="H392" s="150"/>
      <c r="I392" s="150" t="s">
        <v>2120</v>
      </c>
      <c r="J392" s="153"/>
      <c r="K392" s="118">
        <v>1.5</v>
      </c>
      <c r="L392" s="153" t="s">
        <v>1896</v>
      </c>
      <c r="M392" s="153"/>
      <c r="N392" s="154">
        <f>MouserListTable[[#This Row],['# Initial]]*MouserListTable[[#This Row],[Price (USD)]]</f>
        <v>0</v>
      </c>
      <c r="O392" s="151" t="s">
        <v>2119</v>
      </c>
      <c r="P392" s="150">
        <f t="shared" si="6"/>
        <v>379</v>
      </c>
      <c r="Q392" s="150" t="s">
        <v>1884</v>
      </c>
      <c r="R39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485-1862</v>
      </c>
      <c r="S392" s="157" t="str">
        <f>HYPERLINK("https://www.mouser.com/ProductDetail/" &amp;MouserListTable[[#This Row],[Mouser SKU]])</f>
        <v>https://www.mouser.com/ProductDetail/485-1862</v>
      </c>
      <c r="T392" s="152">
        <v>0</v>
      </c>
      <c r="U392" s="152">
        <v>0</v>
      </c>
      <c r="V392" s="152">
        <v>0</v>
      </c>
      <c r="W392" s="152">
        <f>MouserListTable[[#This Row],['#/Unit]]*FilterSpecs!$C$3+MouserListTable[[#This Row],[Extra]]</f>
        <v>0</v>
      </c>
      <c r="X392" s="152">
        <f>IF(MouserListTable[[#This Row],[Tag]]=FilterSpecs!$F$7,MouserListTable[[#This Row],['#/Unit]]*MouserListTable[[#This Row],[Price (USD)]],0)</f>
        <v>0</v>
      </c>
      <c r="Y392" s="152">
        <f>MouserListTable[[#This Row],[Tot '#]]*MouserListTable[[#This Row],[Price (USD)]]</f>
        <v>0</v>
      </c>
    </row>
    <row r="393" spans="1:25" x14ac:dyDescent="0.25">
      <c r="A393" s="151" t="s">
        <v>890</v>
      </c>
      <c r="B393" s="151" t="s">
        <v>1870</v>
      </c>
      <c r="C393" s="150" t="s">
        <v>1884</v>
      </c>
      <c r="D393" s="151" t="str">
        <f>IF(MouserListTable[[#This Row],[Vendor]]=FilterSpecs!$A$8,MouserListTable[[#This Row],[Mouser SKU]], MouserListTable[[#This Row],[Supplier SKU]])</f>
        <v>485-1769</v>
      </c>
      <c r="E393" s="152">
        <f>MouserListTable[[#This Row],[Tot '#]]-MouserListTable[[#This Row],['# Initial]]</f>
        <v>0</v>
      </c>
      <c r="F393" s="152">
        <f>IF(AND(MouserListTable[[#This Row],[Tag]]&lt;&gt;FilterSpecs!$F$12, MouserListTable[[#This Row],[Tag]]&lt;&gt;FilterSpecs!$F$9), MouserListTable[[#This Row],['#/Unit]]*FilterSpecs!$B$3+MouserListTable[[#This Row],[Extra Initial]],0)</f>
        <v>0</v>
      </c>
      <c r="G393" s="150"/>
      <c r="H393" s="150"/>
      <c r="I393" s="150" t="s">
        <v>2122</v>
      </c>
      <c r="J393" s="153"/>
      <c r="K393" s="118">
        <v>0.75</v>
      </c>
      <c r="L393" s="153" t="s">
        <v>1896</v>
      </c>
      <c r="M393" s="153"/>
      <c r="N393" s="154">
        <f>MouserListTable[[#This Row],['# Initial]]*MouserListTable[[#This Row],[Price (USD)]]</f>
        <v>0</v>
      </c>
      <c r="O393" s="151" t="s">
        <v>2121</v>
      </c>
      <c r="P393" s="150">
        <f t="shared" si="6"/>
        <v>380</v>
      </c>
      <c r="Q393" s="150" t="s">
        <v>1884</v>
      </c>
      <c r="R39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485-1769</v>
      </c>
      <c r="S393" s="157" t="str">
        <f>HYPERLINK("https://www.mouser.com/ProductDetail/" &amp;MouserListTable[[#This Row],[Mouser SKU]])</f>
        <v>https://www.mouser.com/ProductDetail/485-1769</v>
      </c>
      <c r="T393" s="152">
        <v>0</v>
      </c>
      <c r="U393" s="152">
        <v>0</v>
      </c>
      <c r="V393" s="152">
        <v>0</v>
      </c>
      <c r="W393" s="152">
        <f>MouserListTable[[#This Row],['#/Unit]]*FilterSpecs!$C$3+MouserListTable[[#This Row],[Extra]]</f>
        <v>0</v>
      </c>
      <c r="X393" s="152">
        <f>IF(MouserListTable[[#This Row],[Tag]]=FilterSpecs!$F$7,MouserListTable[[#This Row],['#/Unit]]*MouserListTable[[#This Row],[Price (USD)]],0)</f>
        <v>0</v>
      </c>
      <c r="Y393" s="152">
        <f>MouserListTable[[#This Row],[Tot '#]]*MouserListTable[[#This Row],[Price (USD)]]</f>
        <v>0</v>
      </c>
    </row>
    <row r="394" spans="1:25" x14ac:dyDescent="0.25">
      <c r="A394" s="151" t="s">
        <v>890</v>
      </c>
      <c r="B394" s="151" t="s">
        <v>1870</v>
      </c>
      <c r="C394" s="150" t="s">
        <v>1884</v>
      </c>
      <c r="D394" s="151" t="str">
        <f>IF(MouserListTable[[#This Row],[Vendor]]=FilterSpecs!$A$8,MouserListTable[[#This Row],[Mouser SKU]], MouserListTable[[#This Row],[Supplier SKU]])</f>
        <v>485-1863</v>
      </c>
      <c r="E394" s="152">
        <f>MouserListTable[[#This Row],[Tot '#]]-MouserListTable[[#This Row],['# Initial]]</f>
        <v>0</v>
      </c>
      <c r="F394" s="152">
        <f>IF(AND(MouserListTable[[#This Row],[Tag]]&lt;&gt;FilterSpecs!$F$12, MouserListTable[[#This Row],[Tag]]&lt;&gt;FilterSpecs!$F$9), MouserListTable[[#This Row],['#/Unit]]*FilterSpecs!$B$3+MouserListTable[[#This Row],[Extra Initial]],0)</f>
        <v>0</v>
      </c>
      <c r="G394" s="150"/>
      <c r="H394" s="150"/>
      <c r="I394" s="150" t="s">
        <v>2124</v>
      </c>
      <c r="J394" s="153"/>
      <c r="K394" s="118">
        <v>2.5</v>
      </c>
      <c r="L394" s="153" t="s">
        <v>1896</v>
      </c>
      <c r="M394" s="153"/>
      <c r="N394" s="154">
        <f>MouserListTable[[#This Row],['# Initial]]*MouserListTable[[#This Row],[Price (USD)]]</f>
        <v>0</v>
      </c>
      <c r="O394" s="151" t="s">
        <v>2123</v>
      </c>
      <c r="P394" s="150">
        <f t="shared" si="6"/>
        <v>381</v>
      </c>
      <c r="Q394" s="150" t="s">
        <v>1884</v>
      </c>
      <c r="R39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485-1863</v>
      </c>
      <c r="S394" s="157" t="str">
        <f>HYPERLINK("https://www.mouser.com/ProductDetail/" &amp;MouserListTable[[#This Row],[Mouser SKU]])</f>
        <v>https://www.mouser.com/ProductDetail/485-1863</v>
      </c>
      <c r="T394" s="152">
        <v>0</v>
      </c>
      <c r="U394" s="152">
        <v>0</v>
      </c>
      <c r="V394" s="152">
        <v>0</v>
      </c>
      <c r="W394" s="152">
        <f>MouserListTable[[#This Row],['#/Unit]]*FilterSpecs!$C$3+MouserListTable[[#This Row],[Extra]]</f>
        <v>0</v>
      </c>
      <c r="X394" s="152">
        <f>IF(MouserListTable[[#This Row],[Tag]]=FilterSpecs!$F$7,MouserListTable[[#This Row],['#/Unit]]*MouserListTable[[#This Row],[Price (USD)]],0)</f>
        <v>0</v>
      </c>
      <c r="Y394" s="152">
        <f>MouserListTable[[#This Row],[Tot '#]]*MouserListTable[[#This Row],[Price (USD)]]</f>
        <v>0</v>
      </c>
    </row>
    <row r="395" spans="1:25" x14ac:dyDescent="0.25">
      <c r="A395" s="153" t="s">
        <v>890</v>
      </c>
      <c r="B395" s="153" t="s">
        <v>1872</v>
      </c>
      <c r="C395" s="150" t="s">
        <v>5</v>
      </c>
      <c r="D395" s="151" t="str">
        <f>IF(MouserListTable[[#This Row],[Vendor]]=FilterSpecs!$A$8,MouserListTable[[#This Row],[Mouser SKU]], MouserListTable[[#This Row],[Supplier SKU]])</f>
        <v>474-PRT-08233</v>
      </c>
      <c r="E395" s="152">
        <f>MouserListTable[[#This Row],[Tot '#]]-MouserListTable[[#This Row],['# Initial]]</f>
        <v>0</v>
      </c>
      <c r="F395" s="152">
        <f>IF(AND(MouserListTable[[#This Row],[Tag]]&lt;&gt;FilterSpecs!$F$12, MouserListTable[[#This Row],[Tag]]&lt;&gt;FilterSpecs!$F$9), MouserListTable[[#This Row],['#/Unit]]*FilterSpecs!$B$3+MouserListTable[[#This Row],[Extra Initial]],0)</f>
        <v>0</v>
      </c>
      <c r="G395" s="150" t="s">
        <v>1353</v>
      </c>
      <c r="H395" s="150" t="s">
        <v>1354</v>
      </c>
      <c r="I395" s="150" t="s">
        <v>1355</v>
      </c>
      <c r="J395" s="150">
        <v>1</v>
      </c>
      <c r="K395" s="154">
        <v>0.45</v>
      </c>
      <c r="L395" s="151" t="s">
        <v>1896</v>
      </c>
      <c r="M395" s="150"/>
      <c r="N395" s="154">
        <f>MouserListTable[[#This Row],['# Initial]]*MouserListTable[[#This Row],[Price (USD)]]</f>
        <v>0</v>
      </c>
      <c r="O395" s="151" t="s">
        <v>1352</v>
      </c>
      <c r="P395" s="150">
        <f t="shared" si="6"/>
        <v>382</v>
      </c>
      <c r="Q395" s="150" t="s">
        <v>5</v>
      </c>
      <c r="R39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474-PRT-08233</v>
      </c>
      <c r="S395" s="157" t="str">
        <f>HYPERLINK("https://www.mouser.com/ProductDetail/" &amp;MouserListTable[[#This Row],[Mouser SKU]])</f>
        <v>https://www.mouser.com/ProductDetail/474-PRT-08233</v>
      </c>
      <c r="T395" s="152">
        <v>0</v>
      </c>
      <c r="U395" s="152">
        <v>0</v>
      </c>
      <c r="V395" s="152">
        <v>0</v>
      </c>
      <c r="W395" s="152">
        <f>MouserListTable[[#This Row],['#/Unit]]*FilterSpecs!$C$3+MouserListTable[[#This Row],[Extra]]</f>
        <v>0</v>
      </c>
      <c r="X395" s="152">
        <f>IF(MouserListTable[[#This Row],[Tag]]=FilterSpecs!$F$7,MouserListTable[[#This Row],['#/Unit]]*MouserListTable[[#This Row],[Price (USD)]],0)</f>
        <v>0</v>
      </c>
      <c r="Y395" s="152">
        <f>MouserListTable[[#This Row],[Tot '#]]*MouserListTable[[#This Row],[Price (USD)]]</f>
        <v>0</v>
      </c>
    </row>
    <row r="396" spans="1:25" x14ac:dyDescent="0.25">
      <c r="A396" s="153" t="s">
        <v>890</v>
      </c>
      <c r="B396" s="153" t="s">
        <v>1872</v>
      </c>
      <c r="C396" s="150" t="s">
        <v>5</v>
      </c>
      <c r="D396" s="151" t="str">
        <f>IF(MouserListTable[[#This Row],[Vendor]]=FilterSpecs!$A$8,MouserListTable[[#This Row],[Mouser SKU]], MouserListTable[[#This Row],[Supplier SKU]])</f>
        <v>474-PRT-08095</v>
      </c>
      <c r="E396" s="152">
        <f>MouserListTable[[#This Row],[Tot '#]]-MouserListTable[[#This Row],['# Initial]]</f>
        <v>0</v>
      </c>
      <c r="F396" s="152">
        <f>IF(AND(MouserListTable[[#This Row],[Tag]]&lt;&gt;FilterSpecs!$F$12, MouserListTable[[#This Row],[Tag]]&lt;&gt;FilterSpecs!$F$9), MouserListTable[[#This Row],['#/Unit]]*FilterSpecs!$B$3+MouserListTable[[#This Row],[Extra Initial]],0)</f>
        <v>0</v>
      </c>
      <c r="G396" s="150" t="s">
        <v>1361</v>
      </c>
      <c r="H396" s="150" t="s">
        <v>1362</v>
      </c>
      <c r="I396" s="150" t="s">
        <v>1363</v>
      </c>
      <c r="J396" s="150">
        <v>1</v>
      </c>
      <c r="K396" s="154">
        <v>0.45</v>
      </c>
      <c r="L396" s="151" t="s">
        <v>1896</v>
      </c>
      <c r="M396" s="150"/>
      <c r="N396" s="154">
        <f>MouserListTable[[#This Row],['# Initial]]*MouserListTable[[#This Row],[Price (USD)]]</f>
        <v>0</v>
      </c>
      <c r="O396" s="151" t="s">
        <v>1360</v>
      </c>
      <c r="P396" s="150">
        <f t="shared" si="6"/>
        <v>383</v>
      </c>
      <c r="Q396" s="150" t="s">
        <v>5</v>
      </c>
      <c r="R39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474-PRT-08095</v>
      </c>
      <c r="S396" s="157" t="str">
        <f>HYPERLINK("https://www.mouser.com/ProductDetail/" &amp;MouserListTable[[#This Row],[Mouser SKU]])</f>
        <v>https://www.mouser.com/ProductDetail/474-PRT-08095</v>
      </c>
      <c r="T396" s="152">
        <v>0</v>
      </c>
      <c r="U396" s="152">
        <v>0</v>
      </c>
      <c r="V396" s="152">
        <v>0</v>
      </c>
      <c r="W396" s="152">
        <f>MouserListTable[[#This Row],['#/Unit]]*FilterSpecs!$C$3+MouserListTable[[#This Row],[Extra]]</f>
        <v>0</v>
      </c>
      <c r="X396" s="152">
        <f>IF(MouserListTable[[#This Row],[Tag]]=FilterSpecs!$F$7,MouserListTable[[#This Row],['#/Unit]]*MouserListTable[[#This Row],[Price (USD)]],0)</f>
        <v>0</v>
      </c>
      <c r="Y396" s="152">
        <f>MouserListTable[[#This Row],[Tot '#]]*MouserListTable[[#This Row],[Price (USD)]]</f>
        <v>0</v>
      </c>
    </row>
    <row r="397" spans="1:25" x14ac:dyDescent="0.25">
      <c r="A397" s="151" t="s">
        <v>890</v>
      </c>
      <c r="B397" s="151" t="s">
        <v>1872</v>
      </c>
      <c r="C397" s="150" t="s">
        <v>5</v>
      </c>
      <c r="D397" s="151" t="str">
        <f>IF(MouserListTable[[#This Row],[Vendor]]=FilterSpecs!$A$8,MouserListTable[[#This Row],[Mouser SKU]], MouserListTable[[#This Row],[Supplier SKU]])</f>
        <v>474-PRT-08232</v>
      </c>
      <c r="E397" s="152">
        <f>MouserListTable[[#This Row],[Tot '#]]-MouserListTable[[#This Row],['# Initial]]</f>
        <v>0</v>
      </c>
      <c r="F397" s="152">
        <f>IF(AND(MouserListTable[[#This Row],[Tag]]&lt;&gt;FilterSpecs!$F$12, MouserListTable[[#This Row],[Tag]]&lt;&gt;FilterSpecs!$F$9), MouserListTable[[#This Row],['#/Unit]]*FilterSpecs!$B$3+MouserListTable[[#This Row],[Extra Initial]],0)</f>
        <v>16</v>
      </c>
      <c r="G397" s="150" t="s">
        <v>1369</v>
      </c>
      <c r="H397" s="150" t="s">
        <v>1370</v>
      </c>
      <c r="I397" s="150" t="s">
        <v>1371</v>
      </c>
      <c r="J397" s="150">
        <v>1</v>
      </c>
      <c r="K397" s="154">
        <v>0.45</v>
      </c>
      <c r="L397" s="151" t="s">
        <v>1897</v>
      </c>
      <c r="M397" s="150"/>
      <c r="N397" s="154">
        <f>MouserListTable[[#This Row],['# Initial]]*MouserListTable[[#This Row],[Price (USD)]]</f>
        <v>7.2</v>
      </c>
      <c r="O397" s="151" t="s">
        <v>1368</v>
      </c>
      <c r="P397" s="150">
        <f t="shared" si="6"/>
        <v>384</v>
      </c>
      <c r="Q397" s="150" t="s">
        <v>5</v>
      </c>
      <c r="R39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474-PRT-08232</v>
      </c>
      <c r="S397" s="157" t="str">
        <f>HYPERLINK("https://www.mouser.com/ProductDetail/" &amp;MouserListTable[[#This Row],[Mouser SKU]])</f>
        <v>https://www.mouser.com/ProductDetail/474-PRT-08232</v>
      </c>
      <c r="T397" s="152">
        <v>3</v>
      </c>
      <c r="U397" s="152">
        <v>1</v>
      </c>
      <c r="V397" s="152">
        <v>1</v>
      </c>
      <c r="W397" s="152">
        <f>MouserListTable[[#This Row],['#/Unit]]*FilterSpecs!$C$3+MouserListTable[[#This Row],[Extra]]</f>
        <v>16</v>
      </c>
      <c r="X397" s="152">
        <f>IF(MouserListTable[[#This Row],[Tag]]=FilterSpecs!$F$7,MouserListTable[[#This Row],['#/Unit]]*MouserListTable[[#This Row],[Price (USD)]],0)</f>
        <v>1.35</v>
      </c>
      <c r="Y397" s="152">
        <f>MouserListTable[[#This Row],[Tot '#]]*MouserListTable[[#This Row],[Price (USD)]]</f>
        <v>7.2</v>
      </c>
    </row>
    <row r="398" spans="1:25" x14ac:dyDescent="0.25">
      <c r="A398" s="151" t="s">
        <v>890</v>
      </c>
      <c r="B398" s="151" t="s">
        <v>1872</v>
      </c>
      <c r="C398" s="150" t="s">
        <v>5</v>
      </c>
      <c r="D398" s="151" t="str">
        <f>IF(MouserListTable[[#This Row],[Vendor]]=FilterSpecs!$A$8,MouserListTable[[#This Row],[Mouser SKU]], MouserListTable[[#This Row],[Supplier SKU]])</f>
        <v>474-PRT-08096</v>
      </c>
      <c r="E398" s="152">
        <f>MouserListTable[[#This Row],[Tot '#]]-MouserListTable[[#This Row],['# Initial]]</f>
        <v>0</v>
      </c>
      <c r="F398" s="152">
        <f>IF(AND(MouserListTable[[#This Row],[Tag]]&lt;&gt;FilterSpecs!$F$12, MouserListTable[[#This Row],[Tag]]&lt;&gt;FilterSpecs!$F$9), MouserListTable[[#This Row],['#/Unit]]*FilterSpecs!$B$3+MouserListTable[[#This Row],[Extra Initial]],0)</f>
        <v>16</v>
      </c>
      <c r="G398" s="150" t="s">
        <v>1373</v>
      </c>
      <c r="H398" s="150" t="s">
        <v>1374</v>
      </c>
      <c r="I398" s="150" t="s">
        <v>1375</v>
      </c>
      <c r="J398" s="150">
        <v>1</v>
      </c>
      <c r="K398" s="154">
        <v>0.45</v>
      </c>
      <c r="L398" s="151" t="s">
        <v>1897</v>
      </c>
      <c r="M398" s="150"/>
      <c r="N398" s="154">
        <f>MouserListTable[[#This Row],['# Initial]]*MouserListTable[[#This Row],[Price (USD)]]</f>
        <v>7.2</v>
      </c>
      <c r="O398" s="151" t="s">
        <v>1372</v>
      </c>
      <c r="P398" s="150">
        <f t="shared" ref="P398:P461" si="8">IF($P397="List #",1,$P397+1)</f>
        <v>385</v>
      </c>
      <c r="Q398" s="150" t="s">
        <v>5</v>
      </c>
      <c r="R39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474-PRT-08096</v>
      </c>
      <c r="S398" s="157" t="str">
        <f>HYPERLINK("https://www.mouser.com/ProductDetail/" &amp;MouserListTable[[#This Row],[Mouser SKU]])</f>
        <v>https://www.mouser.com/ProductDetail/474-PRT-08096</v>
      </c>
      <c r="T398" s="152">
        <v>3</v>
      </c>
      <c r="U398" s="152">
        <v>1</v>
      </c>
      <c r="V398" s="152">
        <v>1</v>
      </c>
      <c r="W398" s="152">
        <f>MouserListTable[[#This Row],['#/Unit]]*FilterSpecs!$C$3+MouserListTable[[#This Row],[Extra]]</f>
        <v>16</v>
      </c>
      <c r="X398" s="152">
        <f>IF(MouserListTable[[#This Row],[Tag]]=FilterSpecs!$F$7,MouserListTable[[#This Row],['#/Unit]]*MouserListTable[[#This Row],[Price (USD)]],0)</f>
        <v>1.35</v>
      </c>
      <c r="Y398" s="152">
        <f>MouserListTable[[#This Row],[Tot '#]]*MouserListTable[[#This Row],[Price (USD)]]</f>
        <v>7.2</v>
      </c>
    </row>
    <row r="399" spans="1:25" x14ac:dyDescent="0.25">
      <c r="A399" s="151" t="s">
        <v>890</v>
      </c>
      <c r="B399" s="151" t="s">
        <v>1872</v>
      </c>
      <c r="C399" s="150" t="s">
        <v>5</v>
      </c>
      <c r="D399" s="151" t="str">
        <f>IF(MouserListTable[[#This Row],[Vendor]]=FilterSpecs!$A$8,MouserListTable[[#This Row],[Mouser SKU]], MouserListTable[[#This Row],[Supplier SKU]])</f>
        <v>474-PRT-08231</v>
      </c>
      <c r="E399" s="152">
        <f>MouserListTable[[#This Row],[Tot '#]]-MouserListTable[[#This Row],['# Initial]]</f>
        <v>0</v>
      </c>
      <c r="F399" s="152">
        <f>IF(AND(MouserListTable[[#This Row],[Tag]]&lt;&gt;FilterSpecs!$F$12, MouserListTable[[#This Row],[Tag]]&lt;&gt;FilterSpecs!$F$9), MouserListTable[[#This Row],['#/Unit]]*FilterSpecs!$B$3+MouserListTable[[#This Row],[Extra Initial]],0)</f>
        <v>16</v>
      </c>
      <c r="G399" s="150" t="s">
        <v>1357</v>
      </c>
      <c r="H399" s="150" t="s">
        <v>1358</v>
      </c>
      <c r="I399" s="150" t="s">
        <v>1359</v>
      </c>
      <c r="J399" s="150">
        <v>1</v>
      </c>
      <c r="K399" s="154">
        <v>0.45</v>
      </c>
      <c r="L399" s="151" t="s">
        <v>1897</v>
      </c>
      <c r="M399" s="150"/>
      <c r="N399" s="154">
        <f>MouserListTable[[#This Row],['# Initial]]*MouserListTable[[#This Row],[Price (USD)]]</f>
        <v>7.2</v>
      </c>
      <c r="O399" s="151" t="s">
        <v>1356</v>
      </c>
      <c r="P399" s="150">
        <f t="shared" si="8"/>
        <v>386</v>
      </c>
      <c r="Q399" s="150" t="s">
        <v>5</v>
      </c>
      <c r="R39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474-PRT-08231</v>
      </c>
      <c r="S399" s="157" t="str">
        <f>HYPERLINK("https://www.mouser.com/ProductDetail/" &amp;MouserListTable[[#This Row],[Mouser SKU]])</f>
        <v>https://www.mouser.com/ProductDetail/474-PRT-08231</v>
      </c>
      <c r="T399" s="152">
        <v>3</v>
      </c>
      <c r="U399" s="152">
        <v>1</v>
      </c>
      <c r="V399" s="152">
        <v>1</v>
      </c>
      <c r="W399" s="152">
        <f>MouserListTable[[#This Row],['#/Unit]]*FilterSpecs!$C$3+MouserListTable[[#This Row],[Extra]]</f>
        <v>16</v>
      </c>
      <c r="X399" s="152">
        <f>IF(MouserListTable[[#This Row],[Tag]]=FilterSpecs!$F$7,MouserListTable[[#This Row],['#/Unit]]*MouserListTable[[#This Row],[Price (USD)]],0)</f>
        <v>1.35</v>
      </c>
      <c r="Y399" s="152">
        <f>MouserListTable[[#This Row],[Tot '#]]*MouserListTable[[#This Row],[Price (USD)]]</f>
        <v>7.2</v>
      </c>
    </row>
    <row r="400" spans="1:25" x14ac:dyDescent="0.25">
      <c r="A400" s="151" t="s">
        <v>890</v>
      </c>
      <c r="B400" s="151" t="s">
        <v>1872</v>
      </c>
      <c r="C400" s="150" t="s">
        <v>5</v>
      </c>
      <c r="D400" s="151" t="str">
        <f>IF(MouserListTable[[#This Row],[Vendor]]=FilterSpecs!$A$8,MouserListTable[[#This Row],[Mouser SKU]], MouserListTable[[#This Row],[Supplier SKU]])</f>
        <v>474-PRT-08097</v>
      </c>
      <c r="E400" s="152">
        <f>MouserListTable[[#This Row],[Tot '#]]-MouserListTable[[#This Row],['# Initial]]</f>
        <v>0</v>
      </c>
      <c r="F400" s="152">
        <f>IF(AND(MouserListTable[[#This Row],[Tag]]&lt;&gt;FilterSpecs!$F$12, MouserListTable[[#This Row],[Tag]]&lt;&gt;FilterSpecs!$F$9), MouserListTable[[#This Row],['#/Unit]]*FilterSpecs!$B$3+MouserListTable[[#This Row],[Extra Initial]],0)</f>
        <v>16</v>
      </c>
      <c r="G400" s="150" t="s">
        <v>1345</v>
      </c>
      <c r="H400" s="150" t="s">
        <v>1346</v>
      </c>
      <c r="I400" s="150" t="s">
        <v>1347</v>
      </c>
      <c r="J400" s="150">
        <v>1</v>
      </c>
      <c r="K400" s="154">
        <v>0.45</v>
      </c>
      <c r="L400" s="151" t="s">
        <v>1897</v>
      </c>
      <c r="M400" s="150"/>
      <c r="N400" s="154">
        <f>MouserListTable[[#This Row],['# Initial]]*MouserListTable[[#This Row],[Price (USD)]]</f>
        <v>7.2</v>
      </c>
      <c r="O400" s="151" t="s">
        <v>1344</v>
      </c>
      <c r="P400" s="150">
        <f t="shared" si="8"/>
        <v>387</v>
      </c>
      <c r="Q400" s="150" t="s">
        <v>5</v>
      </c>
      <c r="R40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474-PRT-08097</v>
      </c>
      <c r="S400" s="157" t="str">
        <f>HYPERLINK("https://www.mouser.com/ProductDetail/" &amp;MouserListTable[[#This Row],[Mouser SKU]])</f>
        <v>https://www.mouser.com/ProductDetail/474-PRT-08097</v>
      </c>
      <c r="T400" s="152">
        <v>3</v>
      </c>
      <c r="U400" s="152">
        <v>1</v>
      </c>
      <c r="V400" s="152">
        <v>1</v>
      </c>
      <c r="W400" s="152">
        <f>MouserListTable[[#This Row],['#/Unit]]*FilterSpecs!$C$3+MouserListTable[[#This Row],[Extra]]</f>
        <v>16</v>
      </c>
      <c r="X400" s="152">
        <f>IF(MouserListTable[[#This Row],[Tag]]=FilterSpecs!$F$7,MouserListTable[[#This Row],['#/Unit]]*MouserListTable[[#This Row],[Price (USD)]],0)</f>
        <v>1.35</v>
      </c>
      <c r="Y400" s="152">
        <f>MouserListTable[[#This Row],[Tot '#]]*MouserListTable[[#This Row],[Price (USD)]]</f>
        <v>7.2</v>
      </c>
    </row>
    <row r="401" spans="1:25" x14ac:dyDescent="0.25">
      <c r="A401" s="151" t="s">
        <v>890</v>
      </c>
      <c r="B401" s="151" t="s">
        <v>1872</v>
      </c>
      <c r="C401" s="150" t="s">
        <v>5</v>
      </c>
      <c r="D401" s="151" t="str">
        <f>IF(MouserListTable[[#This Row],[Vendor]]=FilterSpecs!$A$8,MouserListTable[[#This Row],[Mouser SKU]], MouserListTable[[#This Row],[Supplier SKU]])</f>
        <v>474-PRT-08100</v>
      </c>
      <c r="E401" s="152">
        <f>MouserListTable[[#This Row],[Tot '#]]-MouserListTable[[#This Row],['# Initial]]</f>
        <v>0</v>
      </c>
      <c r="F401" s="152">
        <f>IF(AND(MouserListTable[[#This Row],[Tag]]&lt;&gt;FilterSpecs!$F$12, MouserListTable[[#This Row],[Tag]]&lt;&gt;FilterSpecs!$F$9), MouserListTable[[#This Row],['#/Unit]]*FilterSpecs!$B$3+MouserListTable[[#This Row],[Extra Initial]],0)</f>
        <v>16</v>
      </c>
      <c r="G401" s="150" t="s">
        <v>2401</v>
      </c>
      <c r="H401" s="150" t="s">
        <v>2402</v>
      </c>
      <c r="I401" s="150" t="s">
        <v>2403</v>
      </c>
      <c r="J401" s="150">
        <v>1</v>
      </c>
      <c r="K401" s="154">
        <v>1.95</v>
      </c>
      <c r="L401" s="151" t="s">
        <v>1897</v>
      </c>
      <c r="M401" s="151"/>
      <c r="N401" s="154">
        <f>MouserListTable[[#This Row],['# Initial]]*MouserListTable[[#This Row],[Price (USD)]]</f>
        <v>31.2</v>
      </c>
      <c r="O401" s="151" t="s">
        <v>2400</v>
      </c>
      <c r="P401" s="150">
        <f t="shared" si="8"/>
        <v>388</v>
      </c>
      <c r="Q401" s="150" t="s">
        <v>5</v>
      </c>
      <c r="R40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474-PRT-08100</v>
      </c>
      <c r="S401" s="157" t="str">
        <f>HYPERLINK("https://www.mouser.com/ProductDetail/" &amp;MouserListTable[[#This Row],[Mouser SKU]])</f>
        <v>https://www.mouser.com/ProductDetail/474-PRT-08100</v>
      </c>
      <c r="T401" s="152">
        <v>3</v>
      </c>
      <c r="U401" s="152">
        <v>1</v>
      </c>
      <c r="V401" s="152">
        <v>1</v>
      </c>
      <c r="W401" s="152">
        <f>MouserListTable[[#This Row],['#/Unit]]*FilterSpecs!$C$3+MouserListTable[[#This Row],[Extra]]</f>
        <v>16</v>
      </c>
      <c r="X401" s="152">
        <f>IF(MouserListTable[[#This Row],[Tag]]=FilterSpecs!$F$7,MouserListTable[[#This Row],['#/Unit]]*MouserListTable[[#This Row],[Price (USD)]],0)</f>
        <v>5.85</v>
      </c>
      <c r="Y401" s="152">
        <f>MouserListTable[[#This Row],[Tot '#]]*MouserListTable[[#This Row],[Price (USD)]]</f>
        <v>31.2</v>
      </c>
    </row>
    <row r="402" spans="1:25" x14ac:dyDescent="0.25">
      <c r="A402" s="151" t="s">
        <v>890</v>
      </c>
      <c r="B402" s="151" t="s">
        <v>1871</v>
      </c>
      <c r="C402" s="150" t="s">
        <v>5</v>
      </c>
      <c r="D402" s="151" t="str">
        <f>IF(MouserListTable[[#This Row],[Vendor]]=FilterSpecs!$A$8,MouserListTable[[#This Row],[Mouser SKU]], MouserListTable[[#This Row],[Supplier SKU]])</f>
        <v>474-PRT-10651</v>
      </c>
      <c r="E402" s="152">
        <f>MouserListTable[[#This Row],[Tot '#]]-MouserListTable[[#This Row],['# Initial]]</f>
        <v>0</v>
      </c>
      <c r="F402" s="152">
        <f>IF(AND(MouserListTable[[#This Row],[Tag]]&lt;&gt;FilterSpecs!$F$12, MouserListTable[[#This Row],[Tag]]&lt;&gt;FilterSpecs!$F$9), MouserListTable[[#This Row],['#/Unit]]*FilterSpecs!$B$3+MouserListTable[[#This Row],[Extra Initial]],0)</f>
        <v>10</v>
      </c>
      <c r="G402" s="150" t="s">
        <v>1574</v>
      </c>
      <c r="H402" s="150" t="s">
        <v>1575</v>
      </c>
      <c r="I402" s="150" t="s">
        <v>1576</v>
      </c>
      <c r="J402" s="150">
        <v>1</v>
      </c>
      <c r="K402" s="154">
        <v>0.35</v>
      </c>
      <c r="L402" s="151" t="s">
        <v>1897</v>
      </c>
      <c r="M402" s="150"/>
      <c r="N402" s="154">
        <f>MouserListTable[[#This Row],['# Initial]]*MouserListTable[[#This Row],[Price (USD)]]</f>
        <v>3.5</v>
      </c>
      <c r="O402" s="151" t="s">
        <v>1573</v>
      </c>
      <c r="P402" s="150">
        <f t="shared" si="8"/>
        <v>389</v>
      </c>
      <c r="Q402" s="150" t="s">
        <v>5</v>
      </c>
      <c r="R40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474-PRT-10651</v>
      </c>
      <c r="S402" s="157" t="str">
        <f>HYPERLINK("https://www.mouser.com/ProductDetail/" &amp;MouserListTable[[#This Row],[Mouser SKU]])</f>
        <v>https://www.mouser.com/ProductDetail/474-PRT-10651</v>
      </c>
      <c r="T402" s="152">
        <v>2</v>
      </c>
      <c r="U402" s="152">
        <v>0</v>
      </c>
      <c r="V402" s="152">
        <v>0</v>
      </c>
      <c r="W402" s="152">
        <f>MouserListTable[[#This Row],['#/Unit]]*FilterSpecs!$C$3+MouserListTable[[#This Row],[Extra]]</f>
        <v>10</v>
      </c>
      <c r="X402" s="152">
        <f>IF(MouserListTable[[#This Row],[Tag]]=FilterSpecs!$F$7,MouserListTable[[#This Row],['#/Unit]]*MouserListTable[[#This Row],[Price (USD)]],0)</f>
        <v>0.7</v>
      </c>
      <c r="Y402" s="152">
        <f>MouserListTable[[#This Row],[Tot '#]]*MouserListTable[[#This Row],[Price (USD)]]</f>
        <v>3.5</v>
      </c>
    </row>
    <row r="403" spans="1:25" x14ac:dyDescent="0.25">
      <c r="A403" s="151" t="s">
        <v>890</v>
      </c>
      <c r="B403" s="151" t="s">
        <v>1871</v>
      </c>
      <c r="C403" s="150" t="s">
        <v>5</v>
      </c>
      <c r="D403" s="151" t="str">
        <f>IF(MouserListTable[[#This Row],[Vendor]]=FilterSpecs!$A$8,MouserListTable[[#This Row],[Mouser SKU]], MouserListTable[[#This Row],[Supplier SKU]])</f>
        <v>474-PRT-10650</v>
      </c>
      <c r="E403" s="152">
        <f>MouserListTable[[#This Row],[Tot '#]]-MouserListTable[[#This Row],['# Initial]]</f>
        <v>0</v>
      </c>
      <c r="F403" s="152">
        <f>IF(AND(MouserListTable[[#This Row],[Tag]]&lt;&gt;FilterSpecs!$F$12, MouserListTable[[#This Row],[Tag]]&lt;&gt;FilterSpecs!$F$9), MouserListTable[[#This Row],['#/Unit]]*FilterSpecs!$B$3+MouserListTable[[#This Row],[Extra Initial]],0)</f>
        <v>10</v>
      </c>
      <c r="G403" s="150" t="s">
        <v>1570</v>
      </c>
      <c r="H403" s="150" t="s">
        <v>1571</v>
      </c>
      <c r="I403" s="150" t="s">
        <v>1572</v>
      </c>
      <c r="J403" s="150">
        <v>1</v>
      </c>
      <c r="K403" s="154">
        <v>0.5</v>
      </c>
      <c r="L403" s="151" t="s">
        <v>1897</v>
      </c>
      <c r="M403" s="150"/>
      <c r="N403" s="154">
        <f>MouserListTable[[#This Row],['# Initial]]*MouserListTable[[#This Row],[Price (USD)]]</f>
        <v>5</v>
      </c>
      <c r="O403" s="151" t="s">
        <v>1569</v>
      </c>
      <c r="P403" s="150">
        <f t="shared" si="8"/>
        <v>390</v>
      </c>
      <c r="Q403" s="150" t="s">
        <v>5</v>
      </c>
      <c r="R40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474-PRT-10650</v>
      </c>
      <c r="S403" s="157" t="str">
        <f>HYPERLINK("https://www.mouser.com/ProductDetail/" &amp;MouserListTable[[#This Row],[Mouser SKU]])</f>
        <v>https://www.mouser.com/ProductDetail/474-PRT-10650</v>
      </c>
      <c r="T403" s="152">
        <v>2</v>
      </c>
      <c r="U403" s="152">
        <v>0</v>
      </c>
      <c r="V403" s="152">
        <v>0</v>
      </c>
      <c r="W403" s="152">
        <f>MouserListTable[[#This Row],['#/Unit]]*FilterSpecs!$C$3+MouserListTable[[#This Row],[Extra]]</f>
        <v>10</v>
      </c>
      <c r="X403" s="152">
        <f>IF(MouserListTable[[#This Row],[Tag]]=FilterSpecs!$F$7,MouserListTable[[#This Row],['#/Unit]]*MouserListTable[[#This Row],[Price (USD)]],0)</f>
        <v>1</v>
      </c>
      <c r="Y403" s="152">
        <f>MouserListTable[[#This Row],[Tot '#]]*MouserListTable[[#This Row],[Price (USD)]]</f>
        <v>5</v>
      </c>
    </row>
    <row r="404" spans="1:25" x14ac:dyDescent="0.25">
      <c r="A404" s="153" t="s">
        <v>890</v>
      </c>
      <c r="B404" s="153" t="s">
        <v>1874</v>
      </c>
      <c r="C404" s="150" t="s">
        <v>5</v>
      </c>
      <c r="D404" s="151" t="str">
        <f>IF(MouserListTable[[#This Row],[Vendor]]=FilterSpecs!$A$8,MouserListTable[[#This Row],[Mouser SKU]], MouserListTable[[#This Row],[Supplier SKU]])</f>
        <v>474-PRT-10571</v>
      </c>
      <c r="E404" s="152">
        <f>MouserListTable[[#This Row],[Tot '#]]-MouserListTable[[#This Row],['# Initial]]</f>
        <v>0</v>
      </c>
      <c r="F404" s="152">
        <f>IF(AND(MouserListTable[[#This Row],[Tag]]&lt;&gt;FilterSpecs!$F$12, MouserListTable[[#This Row],[Tag]]&lt;&gt;FilterSpecs!$F$9), MouserListTable[[#This Row],['#/Unit]]*FilterSpecs!$B$3+MouserListTable[[#This Row],[Extra Initial]],0)</f>
        <v>0</v>
      </c>
      <c r="G404" s="150" t="s">
        <v>451</v>
      </c>
      <c r="H404" s="150" t="s">
        <v>452</v>
      </c>
      <c r="I404" s="150" t="s">
        <v>453</v>
      </c>
      <c r="J404" s="150">
        <v>1</v>
      </c>
      <c r="K404" s="154">
        <v>0.75</v>
      </c>
      <c r="L404" s="151" t="s">
        <v>1896</v>
      </c>
      <c r="M404" s="150"/>
      <c r="N404" s="154">
        <f>MouserListTable[[#This Row],['# Initial]]*MouserListTable[[#This Row],[Price (USD)]]</f>
        <v>0</v>
      </c>
      <c r="O404" s="151" t="s">
        <v>450</v>
      </c>
      <c r="P404" s="150">
        <f t="shared" si="8"/>
        <v>391</v>
      </c>
      <c r="Q404" s="150" t="s">
        <v>5</v>
      </c>
      <c r="R40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474-PRT-10571</v>
      </c>
      <c r="S404" s="157" t="str">
        <f>HYPERLINK("https://www.mouser.com/ProductDetail/" &amp;MouserListTable[[#This Row],[Mouser SKU]])</f>
        <v>https://www.mouser.com/ProductDetail/474-PRT-10571</v>
      </c>
      <c r="T404" s="152">
        <v>0</v>
      </c>
      <c r="U404" s="152">
        <v>0</v>
      </c>
      <c r="V404" s="152">
        <v>0</v>
      </c>
      <c r="W404" s="152">
        <f>MouserListTable[[#This Row],['#/Unit]]*FilterSpecs!$C$3+MouserListTable[[#This Row],[Extra]]</f>
        <v>0</v>
      </c>
      <c r="X404" s="152">
        <f>IF(MouserListTable[[#This Row],[Tag]]=FilterSpecs!$F$7,MouserListTable[[#This Row],['#/Unit]]*MouserListTable[[#This Row],[Price (USD)]],0)</f>
        <v>0</v>
      </c>
      <c r="Y404" s="152">
        <f>MouserListTable[[#This Row],[Tot '#]]*MouserListTable[[#This Row],[Price (USD)]]</f>
        <v>0</v>
      </c>
    </row>
    <row r="405" spans="1:25" x14ac:dyDescent="0.25">
      <c r="A405" s="151" t="s">
        <v>890</v>
      </c>
      <c r="B405" s="151" t="s">
        <v>1874</v>
      </c>
      <c r="C405" s="150" t="s">
        <v>5</v>
      </c>
      <c r="D405" s="151" t="str">
        <f>IF(MouserListTable[[#This Row],[Vendor]]=FilterSpecs!$A$8,MouserListTable[[#This Row],[Mouser SKU]], MouserListTable[[#This Row],[Supplier SKU]])</f>
        <v>474-PRT-08432</v>
      </c>
      <c r="E405" s="152">
        <f>MouserListTable[[#This Row],[Tot '#]]-MouserListTable[[#This Row],['# Initial]]</f>
        <v>0</v>
      </c>
      <c r="F405" s="152">
        <f>IF(AND(MouserListTable[[#This Row],[Tag]]&lt;&gt;FilterSpecs!$F$12, MouserListTable[[#This Row],[Tag]]&lt;&gt;FilterSpecs!$F$9), MouserListTable[[#This Row],['#/Unit]]*FilterSpecs!$B$3+MouserListTable[[#This Row],[Extra Initial]],0)</f>
        <v>10</v>
      </c>
      <c r="G405" s="150" t="s">
        <v>894</v>
      </c>
      <c r="H405" s="150" t="s">
        <v>895</v>
      </c>
      <c r="I405" s="150" t="s">
        <v>896</v>
      </c>
      <c r="J405" s="150">
        <v>1</v>
      </c>
      <c r="K405" s="154">
        <v>0.95</v>
      </c>
      <c r="L405" s="151" t="s">
        <v>1897</v>
      </c>
      <c r="M405" s="150"/>
      <c r="N405" s="154">
        <f>MouserListTable[[#This Row],['# Initial]]*MouserListTable[[#This Row],[Price (USD)]]</f>
        <v>9.5</v>
      </c>
      <c r="O405" s="151" t="s">
        <v>893</v>
      </c>
      <c r="P405" s="150">
        <f t="shared" si="8"/>
        <v>392</v>
      </c>
      <c r="Q405" s="150" t="s">
        <v>5</v>
      </c>
      <c r="R40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474-PRT-08432</v>
      </c>
      <c r="S405" s="157" t="str">
        <f>HYPERLINK("https://www.mouser.com/ProductDetail/" &amp;MouserListTable[[#This Row],[Mouser SKU]])</f>
        <v>https://www.mouser.com/ProductDetail/474-PRT-08432</v>
      </c>
      <c r="T405" s="152">
        <v>2</v>
      </c>
      <c r="U405" s="152">
        <v>0</v>
      </c>
      <c r="V405" s="152">
        <v>0</v>
      </c>
      <c r="W405" s="152">
        <f>MouserListTable[[#This Row],['#/Unit]]*FilterSpecs!$C$3+MouserListTable[[#This Row],[Extra]]</f>
        <v>10</v>
      </c>
      <c r="X405" s="152">
        <f>IF(MouserListTable[[#This Row],[Tag]]=FilterSpecs!$F$7,MouserListTable[[#This Row],['#/Unit]]*MouserListTable[[#This Row],[Price (USD)]],0)</f>
        <v>1.9</v>
      </c>
      <c r="Y405" s="152">
        <f>MouserListTable[[#This Row],[Tot '#]]*MouserListTable[[#This Row],[Price (USD)]]</f>
        <v>9.5</v>
      </c>
    </row>
    <row r="406" spans="1:25" x14ac:dyDescent="0.25">
      <c r="A406" s="151" t="s">
        <v>890</v>
      </c>
      <c r="B406" s="151" t="s">
        <v>1874</v>
      </c>
      <c r="C406" s="150" t="s">
        <v>5</v>
      </c>
      <c r="D406" s="151" t="str">
        <f>IF(MouserListTable[[#This Row],[Vendor]]=FilterSpecs!$A$8,MouserListTable[[#This Row],[Mouser SKU]], MouserListTable[[#This Row],[Supplier SKU]])</f>
        <v>474-PRT-08433</v>
      </c>
      <c r="E406" s="152">
        <f>MouserListTable[[#This Row],[Tot '#]]-MouserListTable[[#This Row],['# Initial]]</f>
        <v>0</v>
      </c>
      <c r="F406" s="152">
        <f>IF(AND(MouserListTable[[#This Row],[Tag]]&lt;&gt;FilterSpecs!$F$12, MouserListTable[[#This Row],[Tag]]&lt;&gt;FilterSpecs!$F$9), MouserListTable[[#This Row],['#/Unit]]*FilterSpecs!$B$3+MouserListTable[[#This Row],[Extra Initial]],0)</f>
        <v>10</v>
      </c>
      <c r="G406" s="150" t="s">
        <v>1401</v>
      </c>
      <c r="H406" s="150" t="s">
        <v>1402</v>
      </c>
      <c r="I406" s="150" t="s">
        <v>1403</v>
      </c>
      <c r="J406" s="150">
        <v>1</v>
      </c>
      <c r="K406" s="154">
        <v>0.95</v>
      </c>
      <c r="L406" s="151" t="s">
        <v>1897</v>
      </c>
      <c r="M406" s="150"/>
      <c r="N406" s="154">
        <f>MouserListTable[[#This Row],['# Initial]]*MouserListTable[[#This Row],[Price (USD)]]</f>
        <v>9.5</v>
      </c>
      <c r="O406" s="151" t="s">
        <v>1400</v>
      </c>
      <c r="P406" s="150">
        <f t="shared" si="8"/>
        <v>393</v>
      </c>
      <c r="Q406" s="150" t="s">
        <v>5</v>
      </c>
      <c r="R40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474-PRT-08433</v>
      </c>
      <c r="S406" s="157" t="str">
        <f>HYPERLINK("https://www.mouser.com/ProductDetail/" &amp;MouserListTable[[#This Row],[Mouser SKU]])</f>
        <v>https://www.mouser.com/ProductDetail/474-PRT-08433</v>
      </c>
      <c r="T406" s="152">
        <v>2</v>
      </c>
      <c r="U406" s="152">
        <v>0</v>
      </c>
      <c r="V406" s="152">
        <v>0</v>
      </c>
      <c r="W406" s="152">
        <f>MouserListTable[[#This Row],['#/Unit]]*FilterSpecs!$C$3+MouserListTable[[#This Row],[Extra]]</f>
        <v>10</v>
      </c>
      <c r="X406" s="152">
        <f>IF(MouserListTable[[#This Row],[Tag]]=FilterSpecs!$F$7,MouserListTable[[#This Row],['#/Unit]]*MouserListTable[[#This Row],[Price (USD)]],0)</f>
        <v>1.9</v>
      </c>
      <c r="Y406" s="152">
        <f>MouserListTable[[#This Row],[Tot '#]]*MouserListTable[[#This Row],[Price (USD)]]</f>
        <v>9.5</v>
      </c>
    </row>
    <row r="407" spans="1:25" x14ac:dyDescent="0.25">
      <c r="A407" s="153" t="s">
        <v>890</v>
      </c>
      <c r="B407" s="153" t="s">
        <v>1874</v>
      </c>
      <c r="C407" s="150" t="s">
        <v>5</v>
      </c>
      <c r="D407" s="151" t="str">
        <f>IF(MouserListTable[[#This Row],[Vendor]]=FilterSpecs!$A$8,MouserListTable[[#This Row],[Mouser SKU]], MouserListTable[[#This Row],[Supplier SKU]])</f>
        <v>474-PRT-08073</v>
      </c>
      <c r="E407" s="152">
        <f>MouserListTable[[#This Row],[Tot '#]]-MouserListTable[[#This Row],['# Initial]]</f>
        <v>0</v>
      </c>
      <c r="F407" s="152">
        <f>IF(AND(MouserListTable[[#This Row],[Tag]]&lt;&gt;FilterSpecs!$F$12, MouserListTable[[#This Row],[Tag]]&lt;&gt;FilterSpecs!$F$9), MouserListTable[[#This Row],['#/Unit]]*FilterSpecs!$B$3+MouserListTable[[#This Row],[Extra Initial]],0)</f>
        <v>0</v>
      </c>
      <c r="G407" s="150" t="s">
        <v>1365</v>
      </c>
      <c r="H407" s="150" t="s">
        <v>1366</v>
      </c>
      <c r="I407" s="150" t="s">
        <v>1367</v>
      </c>
      <c r="J407" s="150">
        <v>1</v>
      </c>
      <c r="K407" s="154">
        <v>1.5</v>
      </c>
      <c r="L407" s="151" t="s">
        <v>1896</v>
      </c>
      <c r="M407" s="150"/>
      <c r="N407" s="154">
        <f>MouserListTable[[#This Row],['# Initial]]*MouserListTable[[#This Row],[Price (USD)]]</f>
        <v>0</v>
      </c>
      <c r="O407" s="151" t="s">
        <v>1364</v>
      </c>
      <c r="P407" s="150">
        <f t="shared" si="8"/>
        <v>394</v>
      </c>
      <c r="Q407" s="150" t="s">
        <v>5</v>
      </c>
      <c r="R40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474-PRT-08073</v>
      </c>
      <c r="S407" s="157" t="str">
        <f>HYPERLINK("https://www.mouser.com/ProductDetail/" &amp;MouserListTable[[#This Row],[Mouser SKU]])</f>
        <v>https://www.mouser.com/ProductDetail/474-PRT-08073</v>
      </c>
      <c r="T407" s="152">
        <v>0</v>
      </c>
      <c r="U407" s="152">
        <v>0</v>
      </c>
      <c r="V407" s="152">
        <v>0</v>
      </c>
      <c r="W407" s="152">
        <f>MouserListTable[[#This Row],['#/Unit]]*FilterSpecs!$C$3+MouserListTable[[#This Row],[Extra]]</f>
        <v>0</v>
      </c>
      <c r="X407" s="152">
        <f>IF(MouserListTable[[#This Row],[Tag]]=FilterSpecs!$F$7,MouserListTable[[#This Row],['#/Unit]]*MouserListTable[[#This Row],[Price (USD)]],0)</f>
        <v>0</v>
      </c>
      <c r="Y407" s="152">
        <f>MouserListTable[[#This Row],[Tot '#]]*MouserListTable[[#This Row],[Price (USD)]]</f>
        <v>0</v>
      </c>
    </row>
    <row r="408" spans="1:25" x14ac:dyDescent="0.25">
      <c r="A408" s="153" t="s">
        <v>890</v>
      </c>
      <c r="B408" s="153" t="s">
        <v>1874</v>
      </c>
      <c r="C408" s="150" t="s">
        <v>5</v>
      </c>
      <c r="D408" s="151" t="str">
        <f>IF(MouserListTable[[#This Row],[Vendor]]=FilterSpecs!$A$8,MouserListTable[[#This Row],[Mouser SKU]], MouserListTable[[#This Row],[Supplier SKU]])</f>
        <v>474-PRT-08074</v>
      </c>
      <c r="E408" s="152">
        <f>MouserListTable[[#This Row],[Tot '#]]-MouserListTable[[#This Row],['# Initial]]</f>
        <v>0</v>
      </c>
      <c r="F408" s="152">
        <f>IF(AND(MouserListTable[[#This Row],[Tag]]&lt;&gt;FilterSpecs!$F$12, MouserListTable[[#This Row],[Tag]]&lt;&gt;FilterSpecs!$F$9), MouserListTable[[#This Row],['#/Unit]]*FilterSpecs!$B$3+MouserListTable[[#This Row],[Extra Initial]],0)</f>
        <v>0</v>
      </c>
      <c r="G408" s="150" t="s">
        <v>1405</v>
      </c>
      <c r="H408" s="150" t="s">
        <v>1406</v>
      </c>
      <c r="I408" s="150" t="s">
        <v>1407</v>
      </c>
      <c r="J408" s="150">
        <v>1</v>
      </c>
      <c r="K408" s="154">
        <v>1.5</v>
      </c>
      <c r="L408" s="151" t="s">
        <v>1896</v>
      </c>
      <c r="M408" s="150"/>
      <c r="N408" s="154">
        <f>MouserListTable[[#This Row],['# Initial]]*MouserListTable[[#This Row],[Price (USD)]]</f>
        <v>0</v>
      </c>
      <c r="O408" s="151" t="s">
        <v>1404</v>
      </c>
      <c r="P408" s="150">
        <f t="shared" si="8"/>
        <v>395</v>
      </c>
      <c r="Q408" s="150" t="s">
        <v>5</v>
      </c>
      <c r="R40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474-PRT-08074</v>
      </c>
      <c r="S408" s="157" t="str">
        <f>HYPERLINK("https://www.mouser.com/ProductDetail/" &amp;MouserListTable[[#This Row],[Mouser SKU]])</f>
        <v>https://www.mouser.com/ProductDetail/474-PRT-08074</v>
      </c>
      <c r="T408" s="152">
        <v>0</v>
      </c>
      <c r="U408" s="152">
        <v>0</v>
      </c>
      <c r="V408" s="152">
        <v>0</v>
      </c>
      <c r="W408" s="152">
        <f>MouserListTable[[#This Row],['#/Unit]]*FilterSpecs!$C$3+MouserListTable[[#This Row],[Extra]]</f>
        <v>0</v>
      </c>
      <c r="X408" s="152">
        <f>IF(MouserListTable[[#This Row],[Tag]]=FilterSpecs!$F$7,MouserListTable[[#This Row],['#/Unit]]*MouserListTable[[#This Row],[Price (USD)]],0)</f>
        <v>0</v>
      </c>
      <c r="Y408" s="152">
        <f>MouserListTable[[#This Row],[Tot '#]]*MouserListTable[[#This Row],[Price (USD)]]</f>
        <v>0</v>
      </c>
    </row>
    <row r="409" spans="1:25" x14ac:dyDescent="0.25">
      <c r="A409" s="153" t="s">
        <v>890</v>
      </c>
      <c r="B409" s="153" t="s">
        <v>1874</v>
      </c>
      <c r="C409" s="150" t="s">
        <v>5</v>
      </c>
      <c r="D409" s="151" t="str">
        <f>IF(MouserListTable[[#This Row],[Vendor]]=FilterSpecs!$A$8,MouserListTable[[#This Row],[Mouser SKU]], MouserListTable[[#This Row],[Supplier SKU]])</f>
        <v>474-PRT-08075</v>
      </c>
      <c r="E409" s="152">
        <f>MouserListTable[[#This Row],[Tot '#]]-MouserListTable[[#This Row],['# Initial]]</f>
        <v>0</v>
      </c>
      <c r="F409" s="152">
        <f>IF(AND(MouserListTable[[#This Row],[Tag]]&lt;&gt;FilterSpecs!$F$12, MouserListTable[[#This Row],[Tag]]&lt;&gt;FilterSpecs!$F$9), MouserListTable[[#This Row],['#/Unit]]*FilterSpecs!$B$3+MouserListTable[[#This Row],[Extra Initial]],0)</f>
        <v>0</v>
      </c>
      <c r="G409" s="150" t="s">
        <v>447</v>
      </c>
      <c r="H409" s="150" t="s">
        <v>448</v>
      </c>
      <c r="I409" s="150" t="s">
        <v>449</v>
      </c>
      <c r="J409" s="150">
        <v>1</v>
      </c>
      <c r="K409" s="154">
        <v>1.5</v>
      </c>
      <c r="L409" s="151" t="s">
        <v>1896</v>
      </c>
      <c r="M409" s="150"/>
      <c r="N409" s="154">
        <f>MouserListTable[[#This Row],['# Initial]]*MouserListTable[[#This Row],[Price (USD)]]</f>
        <v>0</v>
      </c>
      <c r="O409" s="151" t="s">
        <v>446</v>
      </c>
      <c r="P409" s="150">
        <f t="shared" si="8"/>
        <v>396</v>
      </c>
      <c r="Q409" s="150" t="s">
        <v>5</v>
      </c>
      <c r="R40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474-PRT-08075</v>
      </c>
      <c r="S409" s="157" t="str">
        <f>HYPERLINK("https://www.mouser.com/ProductDetail/" &amp;MouserListTable[[#This Row],[Mouser SKU]])</f>
        <v>https://www.mouser.com/ProductDetail/474-PRT-08075</v>
      </c>
      <c r="T409" s="152">
        <v>0</v>
      </c>
      <c r="U409" s="152">
        <v>0</v>
      </c>
      <c r="V409" s="152">
        <v>0</v>
      </c>
      <c r="W409" s="152">
        <f>MouserListTable[[#This Row],['#/Unit]]*FilterSpecs!$C$3+MouserListTable[[#This Row],[Extra]]</f>
        <v>0</v>
      </c>
      <c r="X409" s="152">
        <f>IF(MouserListTable[[#This Row],[Tag]]=FilterSpecs!$F$7,MouserListTable[[#This Row],['#/Unit]]*MouserListTable[[#This Row],[Price (USD)]],0)</f>
        <v>0</v>
      </c>
      <c r="Y409" s="152">
        <f>MouserListTable[[#This Row],[Tot '#]]*MouserListTable[[#This Row],[Price (USD)]]</f>
        <v>0</v>
      </c>
    </row>
    <row r="410" spans="1:25" x14ac:dyDescent="0.25">
      <c r="A410" s="151" t="s">
        <v>890</v>
      </c>
      <c r="B410" s="151" t="s">
        <v>1874</v>
      </c>
      <c r="C410" s="150" t="s">
        <v>5</v>
      </c>
      <c r="D410" s="151" t="str">
        <f>IF(MouserListTable[[#This Row],[Vendor]]=FilterSpecs!$A$8,MouserListTable[[#This Row],[Mouser SKU]], MouserListTable[[#This Row],[Supplier SKU]])</f>
        <v>474-PRT-08077</v>
      </c>
      <c r="E410" s="152">
        <f>MouserListTable[[#This Row],[Tot '#]]-MouserListTable[[#This Row],['# Initial]]</f>
        <v>0</v>
      </c>
      <c r="F410" s="152">
        <f>IF(AND(MouserListTable[[#This Row],[Tag]]&lt;&gt;FilterSpecs!$F$12, MouserListTable[[#This Row],[Tag]]&lt;&gt;FilterSpecs!$F$9), MouserListTable[[#This Row],['#/Unit]]*FilterSpecs!$B$3+MouserListTable[[#This Row],[Extra Initial]],0)</f>
        <v>2</v>
      </c>
      <c r="G410" s="150" t="s">
        <v>443</v>
      </c>
      <c r="H410" s="150" t="s">
        <v>444</v>
      </c>
      <c r="I410" s="150" t="s">
        <v>445</v>
      </c>
      <c r="J410" s="150">
        <v>1</v>
      </c>
      <c r="K410" s="154">
        <v>1.5</v>
      </c>
      <c r="L410" s="151" t="s">
        <v>1896</v>
      </c>
      <c r="M410" s="150"/>
      <c r="N410" s="154">
        <f>MouserListTable[[#This Row],['# Initial]]*MouserListTable[[#This Row],[Price (USD)]]</f>
        <v>3</v>
      </c>
      <c r="O410" s="151" t="s">
        <v>442</v>
      </c>
      <c r="P410" s="150">
        <f t="shared" si="8"/>
        <v>397</v>
      </c>
      <c r="Q410" s="150" t="s">
        <v>5</v>
      </c>
      <c r="R41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474-PRT-08077</v>
      </c>
      <c r="S410" s="157" t="str">
        <f>HYPERLINK("https://www.mouser.com/ProductDetail/" &amp;MouserListTable[[#This Row],[Mouser SKU]])</f>
        <v>https://www.mouser.com/ProductDetail/474-PRT-08077</v>
      </c>
      <c r="T410" s="152">
        <v>0</v>
      </c>
      <c r="U410" s="152">
        <v>2</v>
      </c>
      <c r="V410" s="152">
        <v>2</v>
      </c>
      <c r="W410" s="152">
        <f>MouserListTable[[#This Row],['#/Unit]]*FilterSpecs!$C$3+MouserListTable[[#This Row],[Extra]]</f>
        <v>2</v>
      </c>
      <c r="X410" s="152">
        <f>IF(MouserListTable[[#This Row],[Tag]]=FilterSpecs!$F$7,MouserListTable[[#This Row],['#/Unit]]*MouserListTable[[#This Row],[Price (USD)]],0)</f>
        <v>0</v>
      </c>
      <c r="Y410" s="152">
        <f>MouserListTable[[#This Row],[Tot '#]]*MouserListTable[[#This Row],[Price (USD)]]</f>
        <v>3</v>
      </c>
    </row>
    <row r="411" spans="1:25" x14ac:dyDescent="0.25">
      <c r="A411" s="153" t="s">
        <v>890</v>
      </c>
      <c r="B411" s="153" t="s">
        <v>1873</v>
      </c>
      <c r="C411" s="150" t="s">
        <v>5</v>
      </c>
      <c r="D411" s="151" t="str">
        <f>IF(MouserListTable[[#This Row],[Vendor]]=FilterSpecs!$A$8,MouserListTable[[#This Row],[Mouser SKU]], MouserListTable[[#This Row],[Supplier SKU]])</f>
        <v>474-PRT-00139</v>
      </c>
      <c r="E411" s="152">
        <f>MouserListTable[[#This Row],[Tot '#]]-MouserListTable[[#This Row],['# Initial]]</f>
        <v>0</v>
      </c>
      <c r="F411" s="152">
        <f>IF(AND(MouserListTable[[#This Row],[Tag]]&lt;&gt;FilterSpecs!$F$12, MouserListTable[[#This Row],[Tag]]&lt;&gt;FilterSpecs!$F$9), MouserListTable[[#This Row],['#/Unit]]*FilterSpecs!$B$3+MouserListTable[[#This Row],[Extra Initial]],0)</f>
        <v>0</v>
      </c>
      <c r="G411" s="150" t="s">
        <v>1656</v>
      </c>
      <c r="H411" s="150" t="s">
        <v>1657</v>
      </c>
      <c r="I411" s="150" t="s">
        <v>1658</v>
      </c>
      <c r="J411" s="150">
        <v>1</v>
      </c>
      <c r="K411" s="154">
        <v>1.25</v>
      </c>
      <c r="L411" s="151" t="s">
        <v>1896</v>
      </c>
      <c r="M411" s="150"/>
      <c r="N411" s="154">
        <f>MouserListTable[[#This Row],['# Initial]]*MouserListTable[[#This Row],[Price (USD)]]</f>
        <v>0</v>
      </c>
      <c r="O411" s="151" t="s">
        <v>1655</v>
      </c>
      <c r="P411" s="150">
        <f t="shared" si="8"/>
        <v>398</v>
      </c>
      <c r="Q411" s="150" t="s">
        <v>5</v>
      </c>
      <c r="R41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474-PRT-00139</v>
      </c>
      <c r="S411" s="157" t="str">
        <f>HYPERLINK("https://www.mouser.com/ProductDetail/" &amp;MouserListTable[[#This Row],[Mouser SKU]])</f>
        <v>https://www.mouser.com/ProductDetail/474-PRT-00139</v>
      </c>
      <c r="T411" s="152">
        <v>0</v>
      </c>
      <c r="U411" s="152">
        <v>0</v>
      </c>
      <c r="V411" s="152">
        <v>0</v>
      </c>
      <c r="W411" s="152">
        <f>MouserListTable[[#This Row],['#/Unit]]*FilterSpecs!$C$3+MouserListTable[[#This Row],[Extra]]</f>
        <v>0</v>
      </c>
      <c r="X411" s="152">
        <f>IF(MouserListTable[[#This Row],[Tag]]=FilterSpecs!$F$7,MouserListTable[[#This Row],['#/Unit]]*MouserListTable[[#This Row],[Price (USD)]],0)</f>
        <v>0</v>
      </c>
      <c r="Y411" s="152">
        <f>MouserListTable[[#This Row],[Tot '#]]*MouserListTable[[#This Row],[Price (USD)]]</f>
        <v>0</v>
      </c>
    </row>
    <row r="412" spans="1:25" x14ac:dyDescent="0.25">
      <c r="A412" s="153" t="s">
        <v>890</v>
      </c>
      <c r="B412" s="153" t="s">
        <v>1873</v>
      </c>
      <c r="C412" s="150" t="s">
        <v>5</v>
      </c>
      <c r="D412" s="151" t="str">
        <f>IF(MouserListTable[[#This Row],[Vendor]]=FilterSpecs!$A$8,MouserListTable[[#This Row],[Mouser SKU]], MouserListTable[[#This Row],[Supplier SKU]])</f>
        <v>474-BOB-12035</v>
      </c>
      <c r="E412" s="152">
        <f>MouserListTable[[#This Row],[Tot '#]]-MouserListTable[[#This Row],['# Initial]]</f>
        <v>0</v>
      </c>
      <c r="F412" s="152">
        <f>IF(AND(MouserListTable[[#This Row],[Tag]]&lt;&gt;FilterSpecs!$F$12, MouserListTable[[#This Row],[Tag]]&lt;&gt;FilterSpecs!$F$9), MouserListTable[[#This Row],['#/Unit]]*FilterSpecs!$B$3+MouserListTable[[#This Row],[Extra Initial]],0)</f>
        <v>0</v>
      </c>
      <c r="G412" s="150" t="s">
        <v>1708</v>
      </c>
      <c r="H412" s="150" t="s">
        <v>1709</v>
      </c>
      <c r="I412" s="150" t="s">
        <v>1710</v>
      </c>
      <c r="J412" s="150">
        <v>1</v>
      </c>
      <c r="K412" s="154">
        <v>1.95</v>
      </c>
      <c r="L412" s="151" t="s">
        <v>1896</v>
      </c>
      <c r="M412" s="150"/>
      <c r="N412" s="154">
        <f>MouserListTable[[#This Row],['# Initial]]*MouserListTable[[#This Row],[Price (USD)]]</f>
        <v>0</v>
      </c>
      <c r="O412" s="151" t="s">
        <v>1707</v>
      </c>
      <c r="P412" s="150">
        <f t="shared" si="8"/>
        <v>399</v>
      </c>
      <c r="Q412" s="150" t="s">
        <v>5</v>
      </c>
      <c r="R41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474-BOB-12035</v>
      </c>
      <c r="S412" s="157" t="str">
        <f>HYPERLINK("https://www.mouser.com/ProductDetail/" &amp;MouserListTable[[#This Row],[Mouser SKU]])</f>
        <v>https://www.mouser.com/ProductDetail/474-BOB-12035</v>
      </c>
      <c r="T412" s="152">
        <v>0</v>
      </c>
      <c r="U412" s="152">
        <v>0</v>
      </c>
      <c r="V412" s="152">
        <v>0</v>
      </c>
      <c r="W412" s="152">
        <f>MouserListTable[[#This Row],['#/Unit]]*FilterSpecs!$C$3+MouserListTable[[#This Row],[Extra]]</f>
        <v>0</v>
      </c>
      <c r="X412" s="152">
        <f>IF(MouserListTable[[#This Row],[Tag]]=FilterSpecs!$F$7,MouserListTable[[#This Row],['#/Unit]]*MouserListTable[[#This Row],[Price (USD)]],0)</f>
        <v>0</v>
      </c>
      <c r="Y412" s="152">
        <f>MouserListTable[[#This Row],[Tot '#]]*MouserListTable[[#This Row],[Price (USD)]]</f>
        <v>0</v>
      </c>
    </row>
    <row r="413" spans="1:25" x14ac:dyDescent="0.25">
      <c r="A413" s="153" t="s">
        <v>890</v>
      </c>
      <c r="B413" s="153" t="s">
        <v>1873</v>
      </c>
      <c r="C413" s="150" t="s">
        <v>5</v>
      </c>
      <c r="D413" s="151" t="str">
        <f>IF(MouserListTable[[#This Row],[Vendor]]=FilterSpecs!$A$8,MouserListTable[[#This Row],[Mouser SKU]], MouserListTable[[#This Row],[Supplier SKU]])</f>
        <v>474-BOB-10031</v>
      </c>
      <c r="E413" s="152">
        <f>MouserListTable[[#This Row],[Tot '#]]-MouserListTable[[#This Row],['# Initial]]</f>
        <v>0</v>
      </c>
      <c r="F413" s="152">
        <f>IF(AND(MouserListTable[[#This Row],[Tag]]&lt;&gt;FilterSpecs!$F$12, MouserListTable[[#This Row],[Tag]]&lt;&gt;FilterSpecs!$F$9), MouserListTable[[#This Row],['#/Unit]]*FilterSpecs!$B$3+MouserListTable[[#This Row],[Extra Initial]],0)</f>
        <v>0</v>
      </c>
      <c r="G413" s="150" t="s">
        <v>1712</v>
      </c>
      <c r="H413" s="150" t="s">
        <v>1713</v>
      </c>
      <c r="I413" s="150" t="s">
        <v>1714</v>
      </c>
      <c r="J413" s="150">
        <v>1</v>
      </c>
      <c r="K413" s="154">
        <v>3.95</v>
      </c>
      <c r="L413" s="151" t="s">
        <v>1896</v>
      </c>
      <c r="M413" s="150"/>
      <c r="N413" s="154">
        <f>MouserListTable[[#This Row],['# Initial]]*MouserListTable[[#This Row],[Price (USD)]]</f>
        <v>0</v>
      </c>
      <c r="O413" s="151" t="s">
        <v>1711</v>
      </c>
      <c r="P413" s="150">
        <f t="shared" si="8"/>
        <v>400</v>
      </c>
      <c r="Q413" s="150" t="s">
        <v>5</v>
      </c>
      <c r="R41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474-BOB-10031</v>
      </c>
      <c r="S413" s="157" t="str">
        <f>HYPERLINK("https://www.mouser.com/ProductDetail/" &amp;MouserListTable[[#This Row],[Mouser SKU]])</f>
        <v>https://www.mouser.com/ProductDetail/474-BOB-10031</v>
      </c>
      <c r="T413" s="152">
        <v>0</v>
      </c>
      <c r="U413" s="152">
        <v>0</v>
      </c>
      <c r="V413" s="152">
        <v>0</v>
      </c>
      <c r="W413" s="152">
        <f>MouserListTable[[#This Row],['#/Unit]]*FilterSpecs!$C$3+MouserListTable[[#This Row],[Extra]]</f>
        <v>0</v>
      </c>
      <c r="X413" s="152">
        <f>IF(MouserListTable[[#This Row],[Tag]]=FilterSpecs!$F$7,MouserListTable[[#This Row],['#/Unit]]*MouserListTable[[#This Row],[Price (USD)]],0)</f>
        <v>0</v>
      </c>
      <c r="Y413" s="152">
        <f>MouserListTable[[#This Row],[Tot '#]]*MouserListTable[[#This Row],[Price (USD)]]</f>
        <v>0</v>
      </c>
    </row>
    <row r="414" spans="1:25" x14ac:dyDescent="0.25">
      <c r="A414" s="153" t="s">
        <v>890</v>
      </c>
      <c r="B414" s="153" t="s">
        <v>1873</v>
      </c>
      <c r="C414" s="150" t="s">
        <v>5</v>
      </c>
      <c r="D414" s="151" t="str">
        <f>IF(MouserListTable[[#This Row],[Vendor]]=FilterSpecs!$A$8,MouserListTable[[#This Row],[Mouser SKU]], MouserListTable[[#This Row],[Supplier SKU]])</f>
        <v>474-BOB-09966</v>
      </c>
      <c r="E414" s="152">
        <f>MouserListTable[[#This Row],[Tot '#]]-MouserListTable[[#This Row],['# Initial]]</f>
        <v>0</v>
      </c>
      <c r="F414" s="152">
        <f>IF(AND(MouserListTable[[#This Row],[Tag]]&lt;&gt;FilterSpecs!$F$12, MouserListTable[[#This Row],[Tag]]&lt;&gt;FilterSpecs!$F$9), MouserListTable[[#This Row],['#/Unit]]*FilterSpecs!$B$3+MouserListTable[[#This Row],[Extra Initial]],0)</f>
        <v>0</v>
      </c>
      <c r="G414" s="150" t="s">
        <v>1704</v>
      </c>
      <c r="H414" s="150" t="s">
        <v>1705</v>
      </c>
      <c r="I414" s="150" t="s">
        <v>1706</v>
      </c>
      <c r="J414" s="150">
        <v>1</v>
      </c>
      <c r="K414" s="154">
        <v>1.95</v>
      </c>
      <c r="L414" s="151" t="s">
        <v>1896</v>
      </c>
      <c r="M414" s="150"/>
      <c r="N414" s="154">
        <f>MouserListTable[[#This Row],['# Initial]]*MouserListTable[[#This Row],[Price (USD)]]</f>
        <v>0</v>
      </c>
      <c r="O414" s="151" t="s">
        <v>1703</v>
      </c>
      <c r="P414" s="150">
        <f t="shared" si="8"/>
        <v>401</v>
      </c>
      <c r="Q414" s="150" t="s">
        <v>5</v>
      </c>
      <c r="R41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474-BOB-09966</v>
      </c>
      <c r="S414" s="157" t="str">
        <f>HYPERLINK("https://www.mouser.com/ProductDetail/" &amp;MouserListTable[[#This Row],[Mouser SKU]])</f>
        <v>https://www.mouser.com/ProductDetail/474-BOB-09966</v>
      </c>
      <c r="T414" s="152">
        <v>0</v>
      </c>
      <c r="U414" s="152">
        <v>0</v>
      </c>
      <c r="V414" s="152">
        <v>0</v>
      </c>
      <c r="W414" s="152">
        <f>MouserListTable[[#This Row],['#/Unit]]*FilterSpecs!$C$3+MouserListTable[[#This Row],[Extra]]</f>
        <v>0</v>
      </c>
      <c r="X414" s="152">
        <f>IF(MouserListTable[[#This Row],[Tag]]=FilterSpecs!$F$7,MouserListTable[[#This Row],['#/Unit]]*MouserListTable[[#This Row],[Price (USD)]],0)</f>
        <v>0</v>
      </c>
      <c r="Y414" s="152">
        <f>MouserListTable[[#This Row],[Tot '#]]*MouserListTable[[#This Row],[Price (USD)]]</f>
        <v>0</v>
      </c>
    </row>
    <row r="415" spans="1:25" x14ac:dyDescent="0.25">
      <c r="A415" s="153" t="s">
        <v>890</v>
      </c>
      <c r="B415" s="153" t="s">
        <v>1875</v>
      </c>
      <c r="C415" s="150" t="s">
        <v>5</v>
      </c>
      <c r="D415" s="151" t="str">
        <f>IF(MouserListTable[[#This Row],[Vendor]]=FilterSpecs!$A$8,MouserListTable[[#This Row],[Mouser SKU]], MouserListTable[[#This Row],[Supplier SKU]])</f>
        <v>474-PRT-09740</v>
      </c>
      <c r="E415" s="152">
        <f>MouserListTable[[#This Row],[Tot '#]]-MouserListTable[[#This Row],['# Initial]]</f>
        <v>0</v>
      </c>
      <c r="F415" s="152">
        <f>IF(AND(MouserListTable[[#This Row],[Tag]]&lt;&gt;FilterSpecs!$F$12, MouserListTable[[#This Row],[Tag]]&lt;&gt;FilterSpecs!$F$9), MouserListTable[[#This Row],['#/Unit]]*FilterSpecs!$B$3+MouserListTable[[#This Row],[Extra Initial]],0)</f>
        <v>0</v>
      </c>
      <c r="G415" s="150" t="s">
        <v>1566</v>
      </c>
      <c r="H415" s="150" t="s">
        <v>1567</v>
      </c>
      <c r="I415" s="150" t="s">
        <v>1568</v>
      </c>
      <c r="J415" s="150">
        <v>1</v>
      </c>
      <c r="K415" s="154">
        <v>0.35</v>
      </c>
      <c r="L415" s="151" t="s">
        <v>1896</v>
      </c>
      <c r="M415" s="150"/>
      <c r="N415" s="154">
        <f>MouserListTable[[#This Row],['# Initial]]*MouserListTable[[#This Row],[Price (USD)]]</f>
        <v>0</v>
      </c>
      <c r="O415" s="151" t="s">
        <v>1565</v>
      </c>
      <c r="P415" s="150">
        <f t="shared" si="8"/>
        <v>402</v>
      </c>
      <c r="Q415" s="150" t="s">
        <v>5</v>
      </c>
      <c r="R41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474-PRT-09740</v>
      </c>
      <c r="S415" s="157" t="str">
        <f>HYPERLINK("https://www.mouser.com/ProductDetail/" &amp;MouserListTable[[#This Row],[Mouser SKU]])</f>
        <v>https://www.mouser.com/ProductDetail/474-PRT-09740</v>
      </c>
      <c r="T415" s="152">
        <v>0</v>
      </c>
      <c r="U415" s="152">
        <v>0</v>
      </c>
      <c r="V415" s="152">
        <v>0</v>
      </c>
      <c r="W415" s="152">
        <f>MouserListTable[[#This Row],['#/Unit]]*FilterSpecs!$C$3+MouserListTable[[#This Row],[Extra]]</f>
        <v>0</v>
      </c>
      <c r="X415" s="152">
        <f>IF(MouserListTable[[#This Row],[Tag]]=FilterSpecs!$F$7,MouserListTable[[#This Row],['#/Unit]]*MouserListTable[[#This Row],[Price (USD)]],0)</f>
        <v>0</v>
      </c>
      <c r="Y415" s="152">
        <f>MouserListTable[[#This Row],[Tot '#]]*MouserListTable[[#This Row],[Price (USD)]]</f>
        <v>0</v>
      </c>
    </row>
    <row r="416" spans="1:25" x14ac:dyDescent="0.25">
      <c r="A416" s="153" t="s">
        <v>890</v>
      </c>
      <c r="B416" s="153" t="s">
        <v>1875</v>
      </c>
      <c r="C416" s="150" t="s">
        <v>5</v>
      </c>
      <c r="D416" s="151" t="str">
        <f>IF(MouserListTable[[#This Row],[Vendor]]=FilterSpecs!$A$8,MouserListTable[[#This Row],[Mouser SKU]], MouserListTable[[#This Row],[Supplier SKU]])</f>
        <v>474-PRT-09739</v>
      </c>
      <c r="E416" s="152">
        <f>MouserListTable[[#This Row],[Tot '#]]-MouserListTable[[#This Row],['# Initial]]</f>
        <v>0</v>
      </c>
      <c r="F416" s="152">
        <f>IF(AND(MouserListTable[[#This Row],[Tag]]&lt;&gt;FilterSpecs!$F$12, MouserListTable[[#This Row],[Tag]]&lt;&gt;FilterSpecs!$F$9), MouserListTable[[#This Row],['#/Unit]]*FilterSpecs!$B$3+MouserListTable[[#This Row],[Extra Initial]],0)</f>
        <v>0</v>
      </c>
      <c r="G416" s="150" t="s">
        <v>1538</v>
      </c>
      <c r="H416" s="150" t="s">
        <v>1539</v>
      </c>
      <c r="I416" s="150" t="s">
        <v>1540</v>
      </c>
      <c r="J416" s="150">
        <v>1</v>
      </c>
      <c r="K416" s="154">
        <v>0.35</v>
      </c>
      <c r="L416" s="151" t="s">
        <v>1896</v>
      </c>
      <c r="M416" s="150"/>
      <c r="N416" s="154">
        <f>MouserListTable[[#This Row],['# Initial]]*MouserListTable[[#This Row],[Price (USD)]]</f>
        <v>0</v>
      </c>
      <c r="O416" s="151" t="s">
        <v>1537</v>
      </c>
      <c r="P416" s="150">
        <f t="shared" si="8"/>
        <v>403</v>
      </c>
      <c r="Q416" s="150" t="s">
        <v>5</v>
      </c>
      <c r="R41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474-PRT-09739</v>
      </c>
      <c r="S416" s="157" t="str">
        <f>HYPERLINK("https://www.mouser.com/ProductDetail/" &amp;MouserListTable[[#This Row],[Mouser SKU]])</f>
        <v>https://www.mouser.com/ProductDetail/474-PRT-09739</v>
      </c>
      <c r="T416" s="152">
        <v>0</v>
      </c>
      <c r="U416" s="152">
        <v>0</v>
      </c>
      <c r="V416" s="152">
        <v>0</v>
      </c>
      <c r="W416" s="152">
        <f>MouserListTable[[#This Row],['#/Unit]]*FilterSpecs!$C$3+MouserListTable[[#This Row],[Extra]]</f>
        <v>0</v>
      </c>
      <c r="X416" s="152">
        <f>IF(MouserListTable[[#This Row],[Tag]]=FilterSpecs!$F$7,MouserListTable[[#This Row],['#/Unit]]*MouserListTable[[#This Row],[Price (USD)]],0)</f>
        <v>0</v>
      </c>
      <c r="Y416" s="152">
        <f>MouserListTable[[#This Row],[Tot '#]]*MouserListTable[[#This Row],[Price (USD)]]</f>
        <v>0</v>
      </c>
    </row>
    <row r="417" spans="1:25" x14ac:dyDescent="0.25">
      <c r="A417" s="153" t="s">
        <v>890</v>
      </c>
      <c r="B417" s="153" t="s">
        <v>1875</v>
      </c>
      <c r="C417" s="150" t="s">
        <v>5</v>
      </c>
      <c r="D417" s="151" t="str">
        <f>IF(MouserListTable[[#This Row],[Vendor]]=FilterSpecs!$A$8,MouserListTable[[#This Row],[Mouser SKU]], MouserListTable[[#This Row],[Supplier SKU]])</f>
        <v>474-COM-14194</v>
      </c>
      <c r="E417" s="152">
        <f>MouserListTable[[#This Row],[Tot '#]]-MouserListTable[[#This Row],['# Initial]]</f>
        <v>4</v>
      </c>
      <c r="F417" s="152">
        <f>IF(AND(MouserListTable[[#This Row],[Tag]]&lt;&gt;FilterSpecs!$F$12, MouserListTable[[#This Row],[Tag]]&lt;&gt;FilterSpecs!$F$9), MouserListTable[[#This Row],['#/Unit]]*FilterSpecs!$B$3+MouserListTable[[#This Row],[Extra Initial]],0)</f>
        <v>5</v>
      </c>
      <c r="G417" s="150" t="s">
        <v>697</v>
      </c>
      <c r="H417" s="150" t="s">
        <v>698</v>
      </c>
      <c r="I417" s="150" t="s">
        <v>699</v>
      </c>
      <c r="J417" s="150">
        <v>1</v>
      </c>
      <c r="K417" s="154">
        <v>1.95</v>
      </c>
      <c r="L417" s="151" t="s">
        <v>1897</v>
      </c>
      <c r="M417" s="150"/>
      <c r="N417" s="154">
        <f>MouserListTable[[#This Row],['# Initial]]*MouserListTable[[#This Row],[Price (USD)]]</f>
        <v>9.75</v>
      </c>
      <c r="O417" s="151" t="s">
        <v>696</v>
      </c>
      <c r="P417" s="150">
        <f t="shared" si="8"/>
        <v>404</v>
      </c>
      <c r="Q417" s="150" t="s">
        <v>5</v>
      </c>
      <c r="R41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474-COM-14194</v>
      </c>
      <c r="S417" s="157" t="str">
        <f>HYPERLINK("https://www.mouser.com/ProductDetail/" &amp;MouserListTable[[#This Row],[Mouser SKU]])</f>
        <v>https://www.mouser.com/ProductDetail/474-COM-14194</v>
      </c>
      <c r="T417" s="152">
        <f>SUM(T146:T157)</f>
        <v>1</v>
      </c>
      <c r="U417" s="152">
        <f>SUM(U146:U157)</f>
        <v>4</v>
      </c>
      <c r="V417" s="152">
        <f>SUM(V146:V157)</f>
        <v>0</v>
      </c>
      <c r="W417" s="152">
        <f>MouserListTable[[#This Row],['#/Unit]]*FilterSpecs!$C$3+MouserListTable[[#This Row],[Extra]]</f>
        <v>9</v>
      </c>
      <c r="X417" s="152">
        <f>IF(MouserListTable[[#This Row],[Tag]]=FilterSpecs!$F$7,MouserListTable[[#This Row],['#/Unit]]*MouserListTable[[#This Row],[Price (USD)]],0)</f>
        <v>1.95</v>
      </c>
      <c r="Y417" s="152">
        <f>MouserListTable[[#This Row],[Tot '#]]*MouserListTable[[#This Row],[Price (USD)]]</f>
        <v>17.55</v>
      </c>
    </row>
    <row r="418" spans="1:25" x14ac:dyDescent="0.25">
      <c r="A418" s="151" t="s">
        <v>890</v>
      </c>
      <c r="B418" s="151" t="s">
        <v>1875</v>
      </c>
      <c r="C418" s="150" t="s">
        <v>5</v>
      </c>
      <c r="D418" s="151" t="str">
        <f>IF(MouserListTable[[#This Row],[Vendor]]=FilterSpecs!$A$8,MouserListTable[[#This Row],[Mouser SKU]], MouserListTable[[#This Row],[Supplier SKU]])</f>
        <v>474-COM-14195</v>
      </c>
      <c r="E418" s="152">
        <f>MouserListTable[[#This Row],[Tot '#]]-MouserListTable[[#This Row],['# Initial]]</f>
        <v>4</v>
      </c>
      <c r="F418" s="152">
        <f>IF(AND(MouserListTable[[#This Row],[Tag]]&lt;&gt;FilterSpecs!$F$12, MouserListTable[[#This Row],[Tag]]&lt;&gt;FilterSpecs!$F$9), MouserListTable[[#This Row],['#/Unit]]*FilterSpecs!$B$3+MouserListTable[[#This Row],[Extra Initial]],0)</f>
        <v>5</v>
      </c>
      <c r="G418" s="150" t="s">
        <v>693</v>
      </c>
      <c r="H418" s="150" t="s">
        <v>694</v>
      </c>
      <c r="I418" s="150" t="s">
        <v>695</v>
      </c>
      <c r="J418" s="150">
        <v>1</v>
      </c>
      <c r="K418" s="154">
        <v>1.95</v>
      </c>
      <c r="L418" s="151" t="s">
        <v>1897</v>
      </c>
      <c r="M418" s="150"/>
      <c r="N418" s="154">
        <f>MouserListTable[[#This Row],['# Initial]]*MouserListTable[[#This Row],[Price (USD)]]</f>
        <v>9.75</v>
      </c>
      <c r="O418" s="151" t="s">
        <v>692</v>
      </c>
      <c r="P418" s="150">
        <f t="shared" si="8"/>
        <v>405</v>
      </c>
      <c r="Q418" s="150" t="s">
        <v>5</v>
      </c>
      <c r="R41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474-COM-14195</v>
      </c>
      <c r="S418" s="157" t="str">
        <f>HYPERLINK("https://www.mouser.com/ProductDetail/" &amp;MouserListTable[[#This Row],[Mouser SKU]])</f>
        <v>https://www.mouser.com/ProductDetail/474-COM-14195</v>
      </c>
      <c r="T418" s="152">
        <f>SUM(T146:T157)</f>
        <v>1</v>
      </c>
      <c r="U418" s="152">
        <f>SUM(U146:U157)</f>
        <v>4</v>
      </c>
      <c r="V418" s="152">
        <f>SUM(V146:V157)</f>
        <v>0</v>
      </c>
      <c r="W418" s="152">
        <f>MouserListTable[[#This Row],['#/Unit]]*FilterSpecs!$C$3+MouserListTable[[#This Row],[Extra]]</f>
        <v>9</v>
      </c>
      <c r="X418" s="152">
        <f>IF(MouserListTable[[#This Row],[Tag]]=FilterSpecs!$F$7,MouserListTable[[#This Row],['#/Unit]]*MouserListTable[[#This Row],[Price (USD)]],0)</f>
        <v>1.95</v>
      </c>
      <c r="Y418" s="152">
        <f>MouserListTable[[#This Row],[Tot '#]]*MouserListTable[[#This Row],[Price (USD)]]</f>
        <v>17.55</v>
      </c>
    </row>
    <row r="419" spans="1:25" x14ac:dyDescent="0.25">
      <c r="A419" s="153" t="s">
        <v>890</v>
      </c>
      <c r="B419" s="153" t="s">
        <v>1875</v>
      </c>
      <c r="C419" s="150" t="s">
        <v>5</v>
      </c>
      <c r="D419" s="151" t="str">
        <f>IF(MouserListTable[[#This Row],[Vendor]]=FilterSpecs!$A$8,MouserListTable[[#This Row],[Mouser SKU]], MouserListTable[[#This Row],[Supplier SKU]])</f>
        <v>474-PRT-09044</v>
      </c>
      <c r="E419" s="152">
        <f>MouserListTable[[#This Row],[Tot '#]]-MouserListTable[[#This Row],['# Initial]]</f>
        <v>0</v>
      </c>
      <c r="F419" s="152">
        <f>IF(AND(MouserListTable[[#This Row],[Tag]]&lt;&gt;FilterSpecs!$F$12, MouserListTable[[#This Row],[Tag]]&lt;&gt;FilterSpecs!$F$9), MouserListTable[[#This Row],['#/Unit]]*FilterSpecs!$B$3+MouserListTable[[#This Row],[Extra Initial]],0)</f>
        <v>0</v>
      </c>
      <c r="G419" s="150" t="s">
        <v>745</v>
      </c>
      <c r="H419" s="150" t="s">
        <v>746</v>
      </c>
      <c r="I419" s="150" t="s">
        <v>747</v>
      </c>
      <c r="J419" s="150">
        <v>1</v>
      </c>
      <c r="K419" s="154">
        <v>0.35</v>
      </c>
      <c r="L419" s="151" t="s">
        <v>1896</v>
      </c>
      <c r="M419" s="150"/>
      <c r="N419" s="154">
        <f>MouserListTable[[#This Row],['# Initial]]*MouserListTable[[#This Row],[Price (USD)]]</f>
        <v>0</v>
      </c>
      <c r="O419" s="151" t="s">
        <v>744</v>
      </c>
      <c r="P419" s="150">
        <f t="shared" si="8"/>
        <v>406</v>
      </c>
      <c r="Q419" s="150" t="s">
        <v>5</v>
      </c>
      <c r="R41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474-PRT-09044</v>
      </c>
      <c r="S419" s="157" t="str">
        <f>HYPERLINK("https://www.mouser.com/ProductDetail/" &amp;MouserListTable[[#This Row],[Mouser SKU]])</f>
        <v>https://www.mouser.com/ProductDetail/474-PRT-09044</v>
      </c>
      <c r="T419" s="152">
        <v>0</v>
      </c>
      <c r="U419" s="152">
        <v>0</v>
      </c>
      <c r="V419" s="152">
        <v>0</v>
      </c>
      <c r="W419" s="152">
        <f>MouserListTable[[#This Row],['#/Unit]]*FilterSpecs!$C$3+MouserListTable[[#This Row],[Extra]]</f>
        <v>0</v>
      </c>
      <c r="X419" s="152">
        <f>IF(MouserListTable[[#This Row],[Tag]]=FilterSpecs!$F$7,MouserListTable[[#This Row],['#/Unit]]*MouserListTable[[#This Row],[Price (USD)]],0)</f>
        <v>0</v>
      </c>
      <c r="Y419" s="152">
        <f>MouserListTable[[#This Row],[Tot '#]]*MouserListTable[[#This Row],[Price (USD)]]</f>
        <v>0</v>
      </c>
    </row>
    <row r="420" spans="1:25" x14ac:dyDescent="0.25">
      <c r="A420" s="151" t="s">
        <v>890</v>
      </c>
      <c r="B420" s="151" t="s">
        <v>1875</v>
      </c>
      <c r="C420" s="150" t="s">
        <v>1884</v>
      </c>
      <c r="D420" s="151" t="str">
        <f>IF(MouserListTable[[#This Row],[Vendor]]=FilterSpecs!$A$8,MouserListTable[[#This Row],[Mouser SKU]], MouserListTable[[#This Row],[Supplier SKU]])</f>
        <v>485-3525</v>
      </c>
      <c r="E420" s="152">
        <f>MouserListTable[[#This Row],[Tot '#]]-MouserListTable[[#This Row],['# Initial]]</f>
        <v>0</v>
      </c>
      <c r="F420" s="152">
        <f>IF(AND(MouserListTable[[#This Row],[Tag]]&lt;&gt;FilterSpecs!$F$12, MouserListTable[[#This Row],[Tag]]&lt;&gt;FilterSpecs!$F$9), MouserListTable[[#This Row],['#/Unit]]*FilterSpecs!$B$3+MouserListTable[[#This Row],[Extra Initial]],0)</f>
        <v>1</v>
      </c>
      <c r="G420" s="150"/>
      <c r="H420" s="150"/>
      <c r="I420" s="150" t="s">
        <v>2125</v>
      </c>
      <c r="J420" s="153"/>
      <c r="K420" s="154">
        <v>0.95</v>
      </c>
      <c r="L420" s="151" t="s">
        <v>1896</v>
      </c>
      <c r="M420" s="151"/>
      <c r="N420" s="154">
        <f>MouserListTable[[#This Row],['# Initial]]*MouserListTable[[#This Row],[Price (USD)]]</f>
        <v>0.95</v>
      </c>
      <c r="O420" s="151">
        <v>3525</v>
      </c>
      <c r="P420" s="150">
        <f t="shared" si="8"/>
        <v>407</v>
      </c>
      <c r="Q420" s="150" t="s">
        <v>1884</v>
      </c>
      <c r="R42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485-3525</v>
      </c>
      <c r="S420" s="157" t="str">
        <f>HYPERLINK("https://www.mouser.com/ProductDetail/" &amp;MouserListTable[[#This Row],[Mouser SKU]])</f>
        <v>https://www.mouser.com/ProductDetail/485-3525</v>
      </c>
      <c r="T420" s="152">
        <v>0</v>
      </c>
      <c r="U420" s="152">
        <v>1</v>
      </c>
      <c r="V420" s="152">
        <v>1</v>
      </c>
      <c r="W420" s="152">
        <f>MouserListTable[[#This Row],['#/Unit]]*FilterSpecs!$C$3+MouserListTable[[#This Row],[Extra]]</f>
        <v>1</v>
      </c>
      <c r="X420" s="152">
        <f>IF(MouserListTable[[#This Row],[Tag]]=FilterSpecs!$F$7,MouserListTable[[#This Row],['#/Unit]]*MouserListTable[[#This Row],[Price (USD)]],0)</f>
        <v>0</v>
      </c>
      <c r="Y420" s="152">
        <f>MouserListTable[[#This Row],[Tot '#]]*MouserListTable[[#This Row],[Price (USD)]]</f>
        <v>0.95</v>
      </c>
    </row>
    <row r="421" spans="1:25" x14ac:dyDescent="0.25">
      <c r="A421" s="97" t="s">
        <v>890</v>
      </c>
      <c r="B421" s="153" t="s">
        <v>1603</v>
      </c>
      <c r="C421" s="150" t="s">
        <v>5</v>
      </c>
      <c r="D421" s="151" t="str">
        <f>IF(MouserListTable[[#This Row],[Vendor]]=FilterSpecs!$A$8,MouserListTable[[#This Row],[Mouser SKU]], MouserListTable[[#This Row],[Supplier SKU]])</f>
        <v>474-KIT-13973</v>
      </c>
      <c r="E421" s="152">
        <f>MouserListTable[[#This Row],[Tot '#]]-MouserListTable[[#This Row],['# Initial]]</f>
        <v>0</v>
      </c>
      <c r="F421" s="152">
        <f>IF(AND(MouserListTable[[#This Row],[Tag]]&lt;&gt;FilterSpecs!$F$12, MouserListTable[[#This Row],[Tag]]&lt;&gt;FilterSpecs!$F$9), MouserListTable[[#This Row],['#/Unit]]*FilterSpecs!$B$3+MouserListTable[[#This Row],[Extra Initial]],0)</f>
        <v>0</v>
      </c>
      <c r="G421" s="150" t="s">
        <v>361</v>
      </c>
      <c r="H421" s="150" t="s">
        <v>362</v>
      </c>
      <c r="I421" s="150" t="s">
        <v>363</v>
      </c>
      <c r="J421" s="150">
        <v>1</v>
      </c>
      <c r="K421" s="154">
        <v>14.95</v>
      </c>
      <c r="L421" s="151" t="s">
        <v>2461</v>
      </c>
      <c r="M421" s="150"/>
      <c r="N421" s="154">
        <f>MouserListTable[[#This Row],['# Initial]]*MouserListTable[[#This Row],[Price (USD)]]</f>
        <v>0</v>
      </c>
      <c r="O421" s="151" t="s">
        <v>360</v>
      </c>
      <c r="P421" s="150">
        <f t="shared" si="8"/>
        <v>408</v>
      </c>
      <c r="Q421" s="150" t="s">
        <v>5</v>
      </c>
      <c r="R42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474-KIT-13973</v>
      </c>
      <c r="S421" s="157" t="str">
        <f>HYPERLINK("https://www.mouser.com/ProductDetail/" &amp;MouserListTable[[#This Row],[Mouser SKU]])</f>
        <v>https://www.mouser.com/ProductDetail/474-KIT-13973</v>
      </c>
      <c r="T421" s="152">
        <v>0</v>
      </c>
      <c r="U421" s="152">
        <v>0</v>
      </c>
      <c r="V421" s="152">
        <v>0</v>
      </c>
      <c r="W421" s="152">
        <f>MouserListTable[[#This Row],['#/Unit]]*FilterSpecs!$C$3+MouserListTable[[#This Row],[Extra]]</f>
        <v>0</v>
      </c>
      <c r="X421" s="152">
        <f>IF(MouserListTable[[#This Row],[Tag]]=FilterSpecs!$F$7,MouserListTable[[#This Row],['#/Unit]]*MouserListTable[[#This Row],[Price (USD)]],0)</f>
        <v>0</v>
      </c>
      <c r="Y421" s="152">
        <f>MouserListTable[[#This Row],[Tot '#]]*MouserListTable[[#This Row],[Price (USD)]]</f>
        <v>0</v>
      </c>
    </row>
    <row r="422" spans="1:25" x14ac:dyDescent="0.25">
      <c r="A422" s="150" t="s">
        <v>890</v>
      </c>
      <c r="B422" s="151" t="s">
        <v>1603</v>
      </c>
      <c r="C422" s="150" t="s">
        <v>1884</v>
      </c>
      <c r="D422" s="151" t="str">
        <f>IF(MouserListTable[[#This Row],[Vendor]]=FilterSpecs!$A$8,MouserListTable[[#This Row],[Mouser SKU]], MouserListTable[[#This Row],[Supplier SKU]])</f>
        <v>485-2975</v>
      </c>
      <c r="E422" s="152">
        <f>MouserListTable[[#This Row],[Tot '#]]-MouserListTable[[#This Row],['# Initial]]</f>
        <v>0</v>
      </c>
      <c r="F422" s="152">
        <f>IF(AND(MouserListTable[[#This Row],[Tag]]&lt;&gt;FilterSpecs!$F$12, MouserListTable[[#This Row],[Tag]]&lt;&gt;FilterSpecs!$F$9), MouserListTable[[#This Row],['#/Unit]]*FilterSpecs!$B$3+MouserListTable[[#This Row],[Extra Initial]],0)</f>
        <v>1</v>
      </c>
      <c r="G422" s="150"/>
      <c r="H422" s="150"/>
      <c r="I422" s="150" t="s">
        <v>2129</v>
      </c>
      <c r="J422" s="153"/>
      <c r="K422" s="154">
        <v>19.95</v>
      </c>
      <c r="L422" s="151" t="s">
        <v>1896</v>
      </c>
      <c r="M422" s="151"/>
      <c r="N422" s="154">
        <f>MouserListTable[[#This Row],['# Initial]]*MouserListTable[[#This Row],[Price (USD)]]</f>
        <v>19.95</v>
      </c>
      <c r="O422" s="151" t="s">
        <v>2128</v>
      </c>
      <c r="P422" s="150">
        <f t="shared" si="8"/>
        <v>409</v>
      </c>
      <c r="Q422" s="150" t="s">
        <v>1884</v>
      </c>
      <c r="R42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485-2975</v>
      </c>
      <c r="S422" s="157" t="str">
        <f>HYPERLINK("https://www.mouser.com/ProductDetail/" &amp;MouserListTable[[#This Row],[Mouser SKU]])</f>
        <v>https://www.mouser.com/ProductDetail/485-2975</v>
      </c>
      <c r="T422" s="152">
        <v>0</v>
      </c>
      <c r="U422" s="152">
        <v>1</v>
      </c>
      <c r="V422" s="152">
        <v>1</v>
      </c>
      <c r="W422" s="152">
        <f>MouserListTable[[#This Row],['#/Unit]]*FilterSpecs!$C$3+MouserListTable[[#This Row],[Extra]]</f>
        <v>1</v>
      </c>
      <c r="X422" s="152">
        <f>IF(MouserListTable[[#This Row],[Tag]]=FilterSpecs!$F$7,MouserListTable[[#This Row],['#/Unit]]*MouserListTable[[#This Row],[Price (USD)]],0)</f>
        <v>0</v>
      </c>
      <c r="Y422" s="152">
        <f>MouserListTable[[#This Row],[Tot '#]]*MouserListTable[[#This Row],[Price (USD)]]</f>
        <v>19.95</v>
      </c>
    </row>
    <row r="423" spans="1:25" x14ac:dyDescent="0.25">
      <c r="A423" s="97" t="s">
        <v>890</v>
      </c>
      <c r="B423" s="153" t="s">
        <v>1603</v>
      </c>
      <c r="C423" s="150" t="s">
        <v>5</v>
      </c>
      <c r="D423" s="151" t="str">
        <f>IF(MouserListTable[[#This Row],[Vendor]]=FilterSpecs!$A$8,MouserListTable[[#This Row],[Mouser SKU]], MouserListTable[[#This Row],[Supplier SKU]])</f>
        <v>474-COM-00522</v>
      </c>
      <c r="E423" s="152">
        <f>MouserListTable[[#This Row],[Tot '#]]-MouserListTable[[#This Row],['# Initial]]</f>
        <v>0</v>
      </c>
      <c r="F423" s="152">
        <f>IF(AND(MouserListTable[[#This Row],[Tag]]&lt;&gt;FilterSpecs!$F$12, MouserListTable[[#This Row],[Tag]]&lt;&gt;FilterSpecs!$F$9), MouserListTable[[#This Row],['#/Unit]]*FilterSpecs!$B$3+MouserListTable[[#This Row],[Extra Initial]],0)</f>
        <v>0</v>
      </c>
      <c r="G423" s="150" t="s">
        <v>1554</v>
      </c>
      <c r="H423" s="150" t="s">
        <v>1555</v>
      </c>
      <c r="I423" s="150" t="s">
        <v>1556</v>
      </c>
      <c r="J423" s="150">
        <v>1</v>
      </c>
      <c r="K423" s="154">
        <v>0.5</v>
      </c>
      <c r="L423" s="151" t="s">
        <v>1896</v>
      </c>
      <c r="M423" s="150"/>
      <c r="N423" s="154">
        <f>MouserListTable[[#This Row],['# Initial]]*MouserListTable[[#This Row],[Price (USD)]]</f>
        <v>0</v>
      </c>
      <c r="O423" s="151" t="s">
        <v>1553</v>
      </c>
      <c r="P423" s="150">
        <f t="shared" si="8"/>
        <v>410</v>
      </c>
      <c r="Q423" s="150" t="s">
        <v>5</v>
      </c>
      <c r="R42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474-COM-00522</v>
      </c>
      <c r="S423" s="157" t="str">
        <f>HYPERLINK("https://www.mouser.com/ProductDetail/" &amp;MouserListTable[[#This Row],[Mouser SKU]])</f>
        <v>https://www.mouser.com/ProductDetail/474-COM-00522</v>
      </c>
      <c r="T423" s="152">
        <v>0</v>
      </c>
      <c r="U423" s="152">
        <v>0</v>
      </c>
      <c r="V423" s="152">
        <v>0</v>
      </c>
      <c r="W423" s="152">
        <f>MouserListTable[[#This Row],['#/Unit]]*FilterSpecs!$C$3+MouserListTable[[#This Row],[Extra]]</f>
        <v>0</v>
      </c>
      <c r="X423" s="152">
        <f>IF(MouserListTable[[#This Row],[Tag]]=FilterSpecs!$F$7,MouserListTable[[#This Row],['#/Unit]]*MouserListTable[[#This Row],[Price (USD)]],0)</f>
        <v>0</v>
      </c>
      <c r="Y423" s="152">
        <f>MouserListTable[[#This Row],[Tot '#]]*MouserListTable[[#This Row],[Price (USD)]]</f>
        <v>0</v>
      </c>
    </row>
    <row r="424" spans="1:25" x14ac:dyDescent="0.25">
      <c r="A424" s="97" t="s">
        <v>890</v>
      </c>
      <c r="B424" s="153" t="s">
        <v>1603</v>
      </c>
      <c r="C424" s="150" t="s">
        <v>5</v>
      </c>
      <c r="D424" s="151" t="str">
        <f>IF(MouserListTable[[#This Row],[Vendor]]=FilterSpecs!$A$8,MouserListTable[[#This Row],[Mouser SKU]], MouserListTable[[#This Row],[Supplier SKU]])</f>
        <v>474-COM-00521</v>
      </c>
      <c r="E424" s="152">
        <f>MouserListTable[[#This Row],[Tot '#]]-MouserListTable[[#This Row],['# Initial]]</f>
        <v>0</v>
      </c>
      <c r="F424" s="152">
        <f>IF(AND(MouserListTable[[#This Row],[Tag]]&lt;&gt;FilterSpecs!$F$12, MouserListTable[[#This Row],[Tag]]&lt;&gt;FilterSpecs!$F$9), MouserListTable[[#This Row],['#/Unit]]*FilterSpecs!$B$3+MouserListTable[[#This Row],[Extra Initial]],0)</f>
        <v>0</v>
      </c>
      <c r="G424" s="150" t="s">
        <v>1558</v>
      </c>
      <c r="H424" s="150" t="s">
        <v>1559</v>
      </c>
      <c r="I424" s="150" t="s">
        <v>1560</v>
      </c>
      <c r="J424" s="150">
        <v>1</v>
      </c>
      <c r="K424" s="154">
        <v>0.5</v>
      </c>
      <c r="L424" s="151" t="s">
        <v>1896</v>
      </c>
      <c r="M424" s="150"/>
      <c r="N424" s="154">
        <f>MouserListTable[[#This Row],['# Initial]]*MouserListTable[[#This Row],[Price (USD)]]</f>
        <v>0</v>
      </c>
      <c r="O424" s="151" t="s">
        <v>1557</v>
      </c>
      <c r="P424" s="150">
        <f t="shared" si="8"/>
        <v>411</v>
      </c>
      <c r="Q424" s="150" t="s">
        <v>5</v>
      </c>
      <c r="R42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474-COM-00521</v>
      </c>
      <c r="S424" s="157" t="str">
        <f>HYPERLINK("https://www.mouser.com/ProductDetail/" &amp;MouserListTable[[#This Row],[Mouser SKU]])</f>
        <v>https://www.mouser.com/ProductDetail/474-COM-00521</v>
      </c>
      <c r="T424" s="152">
        <v>0</v>
      </c>
      <c r="U424" s="152">
        <v>0</v>
      </c>
      <c r="V424" s="152">
        <v>0</v>
      </c>
      <c r="W424" s="152">
        <f>MouserListTable[[#This Row],['#/Unit]]*FilterSpecs!$C$3+MouserListTable[[#This Row],[Extra]]</f>
        <v>0</v>
      </c>
      <c r="X424" s="152">
        <f>IF(MouserListTable[[#This Row],[Tag]]=FilterSpecs!$F$7,MouserListTable[[#This Row],['#/Unit]]*MouserListTable[[#This Row],[Price (USD)]],0)</f>
        <v>0</v>
      </c>
      <c r="Y424" s="152">
        <f>MouserListTable[[#This Row],[Tot '#]]*MouserListTable[[#This Row],[Price (USD)]]</f>
        <v>0</v>
      </c>
    </row>
    <row r="425" spans="1:25" x14ac:dyDescent="0.25">
      <c r="A425" s="97" t="s">
        <v>890</v>
      </c>
      <c r="B425" s="153" t="s">
        <v>1603</v>
      </c>
      <c r="C425" s="150" t="s">
        <v>5</v>
      </c>
      <c r="D425" s="151" t="str">
        <f>IF(MouserListTable[[#This Row],[Vendor]]=FilterSpecs!$A$8,MouserListTable[[#This Row],[Mouser SKU]], MouserListTable[[#This Row],[Supplier SKU]])</f>
        <v>474-COM-08928</v>
      </c>
      <c r="E425" s="152">
        <f>MouserListTable[[#This Row],[Tot '#]]-MouserListTable[[#This Row],['# Initial]]</f>
        <v>0</v>
      </c>
      <c r="F425" s="152">
        <f>IF(AND(MouserListTable[[#This Row],[Tag]]&lt;&gt;FilterSpecs!$F$12, MouserListTable[[#This Row],[Tag]]&lt;&gt;FilterSpecs!$F$9), MouserListTable[[#This Row],['#/Unit]]*FilterSpecs!$B$3+MouserListTable[[#This Row],[Extra Initial]],0)</f>
        <v>0</v>
      </c>
      <c r="G425" s="150" t="s">
        <v>1542</v>
      </c>
      <c r="H425" s="150" t="s">
        <v>1543</v>
      </c>
      <c r="I425" s="150" t="s">
        <v>1544</v>
      </c>
      <c r="J425" s="150">
        <v>1</v>
      </c>
      <c r="K425" s="154">
        <v>0.5</v>
      </c>
      <c r="L425" s="151" t="s">
        <v>2461</v>
      </c>
      <c r="M425" s="150"/>
      <c r="N425" s="154">
        <f>MouserListTable[[#This Row],['# Initial]]*MouserListTable[[#This Row],[Price (USD)]]</f>
        <v>0</v>
      </c>
      <c r="O425" s="151" t="s">
        <v>1541</v>
      </c>
      <c r="P425" s="150">
        <f t="shared" si="8"/>
        <v>412</v>
      </c>
      <c r="Q425" s="150" t="s">
        <v>5</v>
      </c>
      <c r="R42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474-COM-08928</v>
      </c>
      <c r="S425" s="157" t="str">
        <f>HYPERLINK("https://www.mouser.com/ProductDetail/" &amp;MouserListTable[[#This Row],[Mouser SKU]])</f>
        <v>https://www.mouser.com/ProductDetail/474-COM-08928</v>
      </c>
      <c r="T425" s="152">
        <v>0</v>
      </c>
      <c r="U425" s="152">
        <v>0</v>
      </c>
      <c r="V425" s="152">
        <v>0</v>
      </c>
      <c r="W425" s="152">
        <f>MouserListTable[[#This Row],['#/Unit]]*FilterSpecs!$C$3+MouserListTable[[#This Row],[Extra]]</f>
        <v>0</v>
      </c>
      <c r="X425" s="152">
        <f>IF(MouserListTable[[#This Row],[Tag]]=FilterSpecs!$F$7,MouserListTable[[#This Row],['#/Unit]]*MouserListTable[[#This Row],[Price (USD)]],0)</f>
        <v>0</v>
      </c>
      <c r="Y425" s="152">
        <f>MouserListTable[[#This Row],[Tot '#]]*MouserListTable[[#This Row],[Price (USD)]]</f>
        <v>0</v>
      </c>
    </row>
    <row r="426" spans="1:25" x14ac:dyDescent="0.25">
      <c r="A426" s="97" t="s">
        <v>890</v>
      </c>
      <c r="B426" s="153" t="s">
        <v>1603</v>
      </c>
      <c r="C426" s="150" t="s">
        <v>5</v>
      </c>
      <c r="D426" s="151" t="str">
        <f>IF(MouserListTable[[#This Row],[Vendor]]=FilterSpecs!$A$8,MouserListTable[[#This Row],[Mouser SKU]], MouserListTable[[#This Row],[Supplier SKU]])</f>
        <v>474-COM-10213</v>
      </c>
      <c r="E426" s="152">
        <f>MouserListTable[[#This Row],[Tot '#]]-MouserListTable[[#This Row],['# Initial]]</f>
        <v>0</v>
      </c>
      <c r="F426" s="152">
        <f>IF(AND(MouserListTable[[#This Row],[Tag]]&lt;&gt;FilterSpecs!$F$12, MouserListTable[[#This Row],[Tag]]&lt;&gt;FilterSpecs!$F$9), MouserListTable[[#This Row],['#/Unit]]*FilterSpecs!$B$3+MouserListTable[[#This Row],[Extra Initial]],0)</f>
        <v>0</v>
      </c>
      <c r="G426" s="150" t="s">
        <v>1546</v>
      </c>
      <c r="H426" s="150" t="s">
        <v>1547</v>
      </c>
      <c r="I426" s="150" t="s">
        <v>1548</v>
      </c>
      <c r="J426" s="150">
        <v>1</v>
      </c>
      <c r="K426" s="154">
        <v>0.95</v>
      </c>
      <c r="L426" s="151" t="s">
        <v>1896</v>
      </c>
      <c r="M426" s="150"/>
      <c r="N426" s="154">
        <f>MouserListTable[[#This Row],['# Initial]]*MouserListTable[[#This Row],[Price (USD)]]</f>
        <v>0</v>
      </c>
      <c r="O426" s="151" t="s">
        <v>1545</v>
      </c>
      <c r="P426" s="150">
        <f t="shared" si="8"/>
        <v>413</v>
      </c>
      <c r="Q426" s="150" t="s">
        <v>5</v>
      </c>
      <c r="R42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474-COM-10213</v>
      </c>
      <c r="S426" s="157" t="str">
        <f>HYPERLINK("https://www.mouser.com/ProductDetail/" &amp;MouserListTable[[#This Row],[Mouser SKU]])</f>
        <v>https://www.mouser.com/ProductDetail/474-COM-10213</v>
      </c>
      <c r="T426" s="152">
        <v>0</v>
      </c>
      <c r="U426" s="152">
        <v>0</v>
      </c>
      <c r="V426" s="152">
        <v>0</v>
      </c>
      <c r="W426" s="152">
        <f>MouserListTable[[#This Row],['#/Unit]]*FilterSpecs!$C$3+MouserListTable[[#This Row],[Extra]]</f>
        <v>0</v>
      </c>
      <c r="X426" s="152">
        <f>IF(MouserListTable[[#This Row],[Tag]]=FilterSpecs!$F$7,MouserListTable[[#This Row],['#/Unit]]*MouserListTable[[#This Row],[Price (USD)]],0)</f>
        <v>0</v>
      </c>
      <c r="Y426" s="152">
        <f>MouserListTable[[#This Row],[Tot '#]]*MouserListTable[[#This Row],[Price (USD)]]</f>
        <v>0</v>
      </c>
    </row>
    <row r="427" spans="1:25" x14ac:dyDescent="0.25">
      <c r="A427" s="97" t="s">
        <v>890</v>
      </c>
      <c r="B427" s="153" t="s">
        <v>1603</v>
      </c>
      <c r="C427" s="150" t="s">
        <v>5</v>
      </c>
      <c r="D427" s="151" t="str">
        <f>IF(MouserListTable[[#This Row],[Vendor]]=FilterSpecs!$A$8,MouserListTable[[#This Row],[Mouser SKU]], MouserListTable[[#This Row],[Supplier SKU]])</f>
        <v>474-COM-10349</v>
      </c>
      <c r="E427" s="152">
        <f>MouserListTable[[#This Row],[Tot '#]]-MouserListTable[[#This Row],['# Initial]]</f>
        <v>0</v>
      </c>
      <c r="F427" s="152">
        <f>IF(AND(MouserListTable[[#This Row],[Tag]]&lt;&gt;FilterSpecs!$F$12, MouserListTable[[#This Row],[Tag]]&lt;&gt;FilterSpecs!$F$9), MouserListTable[[#This Row],['#/Unit]]*FilterSpecs!$B$3+MouserListTable[[#This Row],[Extra Initial]],0)</f>
        <v>0</v>
      </c>
      <c r="G427" s="150" t="s">
        <v>1550</v>
      </c>
      <c r="H427" s="150" t="s">
        <v>1551</v>
      </c>
      <c r="I427" s="150" t="s">
        <v>1552</v>
      </c>
      <c r="J427" s="150">
        <v>1</v>
      </c>
      <c r="K427" s="154">
        <v>0.95</v>
      </c>
      <c r="L427" s="151" t="s">
        <v>1899</v>
      </c>
      <c r="M427" s="150"/>
      <c r="N427" s="154">
        <f>MouserListTable[[#This Row],['# Initial]]*MouserListTable[[#This Row],[Price (USD)]]</f>
        <v>0</v>
      </c>
      <c r="O427" s="151" t="s">
        <v>1549</v>
      </c>
      <c r="P427" s="150">
        <f t="shared" si="8"/>
        <v>414</v>
      </c>
      <c r="Q427" s="150" t="s">
        <v>5</v>
      </c>
      <c r="R42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474-COM-10349</v>
      </c>
      <c r="S427" s="157" t="str">
        <f>HYPERLINK("https://www.mouser.com/ProductDetail/" &amp;MouserListTable[[#This Row],[Mouser SKU]])</f>
        <v>https://www.mouser.com/ProductDetail/474-COM-10349</v>
      </c>
      <c r="T427" s="152">
        <v>0</v>
      </c>
      <c r="U427" s="152">
        <v>0</v>
      </c>
      <c r="V427" s="152">
        <v>0</v>
      </c>
      <c r="W427" s="152">
        <f>MouserListTable[[#This Row],['#/Unit]]*FilterSpecs!$C$3+MouserListTable[[#This Row],[Extra]]</f>
        <v>0</v>
      </c>
      <c r="X427" s="152">
        <f>IF(MouserListTable[[#This Row],[Tag]]=FilterSpecs!$F$7,MouserListTable[[#This Row],['#/Unit]]*MouserListTable[[#This Row],[Price (USD)]],0)</f>
        <v>0</v>
      </c>
      <c r="Y427" s="152">
        <f>MouserListTable[[#This Row],[Tot '#]]*MouserListTable[[#This Row],[Price (USD)]]</f>
        <v>0</v>
      </c>
    </row>
    <row r="428" spans="1:25" x14ac:dyDescent="0.25">
      <c r="A428" s="97" t="s">
        <v>890</v>
      </c>
      <c r="B428" s="153" t="s">
        <v>1603</v>
      </c>
      <c r="C428" s="150" t="s">
        <v>5</v>
      </c>
      <c r="D428" s="151" t="str">
        <f>IF(MouserListTable[[#This Row],[Vendor]]=FilterSpecs!$A$8,MouserListTable[[#This Row],[Mouser SKU]], MouserListTable[[#This Row],[Supplier SKU]])</f>
        <v>474-COM-12901</v>
      </c>
      <c r="E428" s="152">
        <f>MouserListTable[[#This Row],[Tot '#]]-MouserListTable[[#This Row],['# Initial]]</f>
        <v>0</v>
      </c>
      <c r="F428" s="152">
        <f>IF(AND(MouserListTable[[#This Row],[Tag]]&lt;&gt;FilterSpecs!$F$12, MouserListTable[[#This Row],[Tag]]&lt;&gt;FilterSpecs!$F$9), MouserListTable[[#This Row],['#/Unit]]*FilterSpecs!$B$3+MouserListTable[[#This Row],[Extra Initial]],0)</f>
        <v>0</v>
      </c>
      <c r="G428" s="150" t="s">
        <v>1562</v>
      </c>
      <c r="H428" s="150" t="s">
        <v>1563</v>
      </c>
      <c r="I428" s="150" t="s">
        <v>1564</v>
      </c>
      <c r="J428" s="150"/>
      <c r="K428" s="154">
        <v>1.95</v>
      </c>
      <c r="L428" s="151" t="s">
        <v>1899</v>
      </c>
      <c r="M428" s="150"/>
      <c r="N428" s="154">
        <f>MouserListTable[[#This Row],['# Initial]]*MouserListTable[[#This Row],[Price (USD)]]</f>
        <v>0</v>
      </c>
      <c r="O428" s="151" t="s">
        <v>1561</v>
      </c>
      <c r="P428" s="150">
        <f t="shared" si="8"/>
        <v>415</v>
      </c>
      <c r="Q428" s="150" t="s">
        <v>5</v>
      </c>
      <c r="R42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474-COM-12901</v>
      </c>
      <c r="S428" s="157" t="str">
        <f>HYPERLINK("https://www.mouser.com/ProductDetail/" &amp;MouserListTable[[#This Row],[Mouser SKU]])</f>
        <v>https://www.mouser.com/ProductDetail/474-COM-12901</v>
      </c>
      <c r="T428" s="152">
        <v>0</v>
      </c>
      <c r="U428" s="152">
        <v>0</v>
      </c>
      <c r="V428" s="152">
        <v>0</v>
      </c>
      <c r="W428" s="152">
        <f>MouserListTable[[#This Row],['#/Unit]]*FilterSpecs!$C$3+MouserListTable[[#This Row],[Extra]]</f>
        <v>0</v>
      </c>
      <c r="X428" s="152">
        <f>IF(MouserListTable[[#This Row],[Tag]]=FilterSpecs!$F$7,MouserListTable[[#This Row],['#/Unit]]*MouserListTable[[#This Row],[Price (USD)]],0)</f>
        <v>0</v>
      </c>
      <c r="Y428" s="152">
        <f>MouserListTable[[#This Row],[Tot '#]]*MouserListTable[[#This Row],[Price (USD)]]</f>
        <v>0</v>
      </c>
    </row>
    <row r="429" spans="1:25" x14ac:dyDescent="0.25">
      <c r="A429" s="150" t="s">
        <v>890</v>
      </c>
      <c r="B429" s="151" t="s">
        <v>1603</v>
      </c>
      <c r="C429" s="150" t="s">
        <v>5</v>
      </c>
      <c r="D429" s="151" t="str">
        <f>IF(MouserListTable[[#This Row],[Vendor]]=FilterSpecs!$A$8,MouserListTable[[#This Row],[Mouser SKU]], MouserListTable[[#This Row],[Supplier SKU]])</f>
        <v>474-COM-11078</v>
      </c>
      <c r="E429" s="152">
        <f>MouserListTable[[#This Row],[Tot '#]]-MouserListTable[[#This Row],['# Initial]]</f>
        <v>0</v>
      </c>
      <c r="F429" s="152">
        <f>IF(AND(MouserListTable[[#This Row],[Tag]]&lt;&gt;FilterSpecs!$F$12, MouserListTable[[#This Row],[Tag]]&lt;&gt;FilterSpecs!$F$9), MouserListTable[[#This Row],['#/Unit]]*FilterSpecs!$B$3+MouserListTable[[#This Row],[Extra Initial]],0)</f>
        <v>5</v>
      </c>
      <c r="G429" s="150" t="s">
        <v>385</v>
      </c>
      <c r="H429" s="150" t="s">
        <v>386</v>
      </c>
      <c r="I429" s="150" t="s">
        <v>387</v>
      </c>
      <c r="J429" s="150">
        <v>1</v>
      </c>
      <c r="K429" s="154">
        <v>0.5</v>
      </c>
      <c r="L429" s="151" t="s">
        <v>1897</v>
      </c>
      <c r="M429" s="150"/>
      <c r="N429" s="154">
        <f>MouserListTable[[#This Row],['# Initial]]*MouserListTable[[#This Row],[Price (USD)]]</f>
        <v>2.5</v>
      </c>
      <c r="O429" s="151" t="s">
        <v>384</v>
      </c>
      <c r="P429" s="150">
        <f t="shared" si="8"/>
        <v>416</v>
      </c>
      <c r="Q429" s="150" t="s">
        <v>5</v>
      </c>
      <c r="R42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474-COM-11078</v>
      </c>
      <c r="S429" s="157" t="str">
        <f>HYPERLINK("https://www.mouser.com/ProductDetail/" &amp;MouserListTable[[#This Row],[Mouser SKU]])</f>
        <v>https://www.mouser.com/ProductDetail/474-COM-11078</v>
      </c>
      <c r="T429" s="152">
        <v>1</v>
      </c>
      <c r="U429" s="152">
        <v>0</v>
      </c>
      <c r="V429" s="152">
        <v>0</v>
      </c>
      <c r="W429" s="152">
        <f>MouserListTable[[#This Row],['#/Unit]]*FilterSpecs!$C$3+MouserListTable[[#This Row],[Extra]]</f>
        <v>5</v>
      </c>
      <c r="X429" s="152">
        <f>IF(MouserListTable[[#This Row],[Tag]]=FilterSpecs!$F$7,MouserListTable[[#This Row],['#/Unit]]*MouserListTable[[#This Row],[Price (USD)]],0)</f>
        <v>0.5</v>
      </c>
      <c r="Y429" s="152">
        <f>MouserListTable[[#This Row],[Tot '#]]*MouserListTable[[#This Row],[Price (USD)]]</f>
        <v>2.5</v>
      </c>
    </row>
    <row r="430" spans="1:25" x14ac:dyDescent="0.25">
      <c r="A430" s="150" t="s">
        <v>890</v>
      </c>
      <c r="B430" s="151" t="s">
        <v>1603</v>
      </c>
      <c r="C430" s="150" t="s">
        <v>5</v>
      </c>
      <c r="D430" s="151" t="str">
        <f>IF(MouserListTable[[#This Row],[Vendor]]=FilterSpecs!$A$8,MouserListTable[[#This Row],[Mouser SKU]], MouserListTable[[#This Row],[Supplier SKU]])</f>
        <v>474-COM-00526</v>
      </c>
      <c r="E430" s="152">
        <f>MouserListTable[[#This Row],[Tot '#]]-MouserListTable[[#This Row],['# Initial]]</f>
        <v>0</v>
      </c>
      <c r="F430" s="152">
        <f>IF(AND(MouserListTable[[#This Row],[Tag]]&lt;&gt;FilterSpecs!$F$12, MouserListTable[[#This Row],[Tag]]&lt;&gt;FilterSpecs!$F$9), MouserListTable[[#This Row],['#/Unit]]*FilterSpecs!$B$3+MouserListTable[[#This Row],[Extra Initial]],0)</f>
        <v>5</v>
      </c>
      <c r="G430" s="150" t="s">
        <v>373</v>
      </c>
      <c r="H430" s="150" t="s">
        <v>374</v>
      </c>
      <c r="I430" s="150" t="s">
        <v>375</v>
      </c>
      <c r="J430" s="150">
        <v>1</v>
      </c>
      <c r="K430" s="154">
        <v>1.95</v>
      </c>
      <c r="L430" s="151" t="s">
        <v>1897</v>
      </c>
      <c r="M430" s="150"/>
      <c r="N430" s="154">
        <f>MouserListTable[[#This Row],['# Initial]]*MouserListTable[[#This Row],[Price (USD)]]</f>
        <v>9.75</v>
      </c>
      <c r="O430" s="151" t="s">
        <v>372</v>
      </c>
      <c r="P430" s="150">
        <f t="shared" si="8"/>
        <v>417</v>
      </c>
      <c r="Q430" s="150" t="s">
        <v>5</v>
      </c>
      <c r="R43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474-COM-00526</v>
      </c>
      <c r="S430" s="157" t="str">
        <f>HYPERLINK("https://www.mouser.com/ProductDetail/" &amp;MouserListTable[[#This Row],[Mouser SKU]])</f>
        <v>https://www.mouser.com/ProductDetail/474-COM-00526</v>
      </c>
      <c r="T430" s="152">
        <v>1</v>
      </c>
      <c r="U430" s="152">
        <v>0</v>
      </c>
      <c r="V430" s="152">
        <v>0</v>
      </c>
      <c r="W430" s="152">
        <f>MouserListTable[[#This Row],['#/Unit]]*FilterSpecs!$C$3+MouserListTable[[#This Row],[Extra]]</f>
        <v>5</v>
      </c>
      <c r="X430" s="152">
        <f>IF(MouserListTable[[#This Row],[Tag]]=FilterSpecs!$F$7,MouserListTable[[#This Row],['#/Unit]]*MouserListTable[[#This Row],[Price (USD)]],0)</f>
        <v>1.95</v>
      </c>
      <c r="Y430" s="152">
        <f>MouserListTable[[#This Row],[Tot '#]]*MouserListTable[[#This Row],[Price (USD)]]</f>
        <v>9.75</v>
      </c>
    </row>
    <row r="431" spans="1:25" x14ac:dyDescent="0.25">
      <c r="A431" s="150" t="s">
        <v>890</v>
      </c>
      <c r="B431" s="151" t="s">
        <v>1603</v>
      </c>
      <c r="C431" s="150" t="s">
        <v>5</v>
      </c>
      <c r="D431" s="151" t="str">
        <f>IF(MouserListTable[[#This Row],[Vendor]]=FilterSpecs!$A$8,MouserListTable[[#This Row],[Mouser SKU]], MouserListTable[[#This Row],[Supplier SKU]])</f>
        <v>474-COM-00107</v>
      </c>
      <c r="E431" s="152">
        <f>MouserListTable[[#This Row],[Tot '#]]-MouserListTable[[#This Row],['# Initial]]</f>
        <v>0</v>
      </c>
      <c r="F431" s="152">
        <f>IF(AND(MouserListTable[[#This Row],[Tag]]&lt;&gt;FilterSpecs!$F$12, MouserListTable[[#This Row],[Tag]]&lt;&gt;FilterSpecs!$F$9), MouserListTable[[#This Row],['#/Unit]]*FilterSpecs!$B$3+MouserListTable[[#This Row],[Extra Initial]],0)</f>
        <v>5</v>
      </c>
      <c r="G431" s="150" t="s">
        <v>389</v>
      </c>
      <c r="H431" s="150" t="s">
        <v>390</v>
      </c>
      <c r="I431" s="150" t="s">
        <v>391</v>
      </c>
      <c r="J431" s="150">
        <v>1</v>
      </c>
      <c r="K431" s="154">
        <v>0.95</v>
      </c>
      <c r="L431" s="151" t="s">
        <v>1897</v>
      </c>
      <c r="M431" s="150"/>
      <c r="N431" s="154">
        <f>MouserListTable[[#This Row],['# Initial]]*MouserListTable[[#This Row],[Price (USD)]]</f>
        <v>4.75</v>
      </c>
      <c r="O431" s="151" t="s">
        <v>388</v>
      </c>
      <c r="P431" s="150">
        <f t="shared" si="8"/>
        <v>418</v>
      </c>
      <c r="Q431" s="150" t="s">
        <v>5</v>
      </c>
      <c r="R43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474-COM-00107</v>
      </c>
      <c r="S431" s="157" t="str">
        <f>HYPERLINK("https://www.mouser.com/ProductDetail/" &amp;MouserListTable[[#This Row],[Mouser SKU]])</f>
        <v>https://www.mouser.com/ProductDetail/474-COM-00107</v>
      </c>
      <c r="T431" s="152">
        <v>1</v>
      </c>
      <c r="U431" s="152">
        <v>0</v>
      </c>
      <c r="V431" s="152">
        <v>0</v>
      </c>
      <c r="W431" s="152">
        <f>MouserListTable[[#This Row],['#/Unit]]*FilterSpecs!$C$3+MouserListTable[[#This Row],[Extra]]</f>
        <v>5</v>
      </c>
      <c r="X431" s="152">
        <f>IF(MouserListTable[[#This Row],[Tag]]=FilterSpecs!$F$7,MouserListTable[[#This Row],['#/Unit]]*MouserListTable[[#This Row],[Price (USD)]],0)</f>
        <v>0.95</v>
      </c>
      <c r="Y431" s="152">
        <f>MouserListTable[[#This Row],[Tot '#]]*MouserListTable[[#This Row],[Price (USD)]]</f>
        <v>4.75</v>
      </c>
    </row>
    <row r="432" spans="1:25" x14ac:dyDescent="0.25">
      <c r="A432" s="150" t="s">
        <v>890</v>
      </c>
      <c r="B432" s="151" t="s">
        <v>1603</v>
      </c>
      <c r="C432" s="150" t="s">
        <v>5</v>
      </c>
      <c r="D432" s="151" t="str">
        <f>IF(MouserListTable[[#This Row],[Vendor]]=FilterSpecs!$A$8,MouserListTable[[#This Row],[Mouser SKU]], MouserListTable[[#This Row],[Supplier SKU]])</f>
        <v>474-COM-12766</v>
      </c>
      <c r="E432" s="152">
        <f>MouserListTable[[#This Row],[Tot '#]]-MouserListTable[[#This Row],['# Initial]]</f>
        <v>2</v>
      </c>
      <c r="F432" s="152">
        <f>IF(AND(MouserListTable[[#This Row],[Tag]]&lt;&gt;FilterSpecs!$F$12, MouserListTable[[#This Row],[Tag]]&lt;&gt;FilterSpecs!$F$9), MouserListTable[[#This Row],['#/Unit]]*FilterSpecs!$B$3+MouserListTable[[#This Row],[Extra Initial]],0)</f>
        <v>0</v>
      </c>
      <c r="G432" s="150" t="s">
        <v>1261</v>
      </c>
      <c r="H432" s="150" t="s">
        <v>1262</v>
      </c>
      <c r="I432" s="150" t="s">
        <v>1263</v>
      </c>
      <c r="J432" s="150">
        <v>1</v>
      </c>
      <c r="K432" s="154">
        <v>1.5</v>
      </c>
      <c r="L432" s="151" t="s">
        <v>1896</v>
      </c>
      <c r="M432" s="150"/>
      <c r="N432" s="154">
        <f>MouserListTable[[#This Row],['# Initial]]*MouserListTable[[#This Row],[Price (USD)]]</f>
        <v>0</v>
      </c>
      <c r="O432" s="151" t="s">
        <v>1260</v>
      </c>
      <c r="P432" s="150">
        <f t="shared" si="8"/>
        <v>419</v>
      </c>
      <c r="Q432" s="150" t="s">
        <v>5</v>
      </c>
      <c r="R43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474-COM-12766</v>
      </c>
      <c r="S432" s="157" t="str">
        <f>HYPERLINK("https://www.mouser.com/ProductDetail/" &amp;MouserListTable[[#This Row],[Mouser SKU]])</f>
        <v>https://www.mouser.com/ProductDetail/474-COM-12766</v>
      </c>
      <c r="T432" s="152">
        <v>0</v>
      </c>
      <c r="U432" s="152">
        <v>2</v>
      </c>
      <c r="V432" s="152">
        <v>0</v>
      </c>
      <c r="W432" s="152">
        <f>MouserListTable[[#This Row],['#/Unit]]*FilterSpecs!$C$3+MouserListTable[[#This Row],[Extra]]</f>
        <v>2</v>
      </c>
      <c r="X432" s="152">
        <f>IF(MouserListTable[[#This Row],[Tag]]=FilterSpecs!$F$7,MouserListTable[[#This Row],['#/Unit]]*MouserListTable[[#This Row],[Price (USD)]],0)</f>
        <v>0</v>
      </c>
      <c r="Y432" s="152">
        <f>MouserListTable[[#This Row],[Tot '#]]*MouserListTable[[#This Row],[Price (USD)]]</f>
        <v>3</v>
      </c>
    </row>
    <row r="433" spans="1:25" x14ac:dyDescent="0.25">
      <c r="A433" s="150" t="s">
        <v>890</v>
      </c>
      <c r="B433" s="151" t="s">
        <v>1603</v>
      </c>
      <c r="C433" s="150" t="s">
        <v>5</v>
      </c>
      <c r="D433" s="151" t="str">
        <f>IF(MouserListTable[[#This Row],[Vendor]]=FilterSpecs!$A$8,MouserListTable[[#This Row],[Mouser SKU]], MouserListTable[[#This Row],[Supplier SKU]])</f>
        <v>474-COM-00527</v>
      </c>
      <c r="E433" s="152">
        <f>MouserListTable[[#This Row],[Tot '#]]-MouserListTable[[#This Row],['# Initial]]</f>
        <v>1</v>
      </c>
      <c r="F433" s="152">
        <f>IF(AND(MouserListTable[[#This Row],[Tag]]&lt;&gt;FilterSpecs!$F$12, MouserListTable[[#This Row],[Tag]]&lt;&gt;FilterSpecs!$F$9), MouserListTable[[#This Row],['#/Unit]]*FilterSpecs!$B$3+MouserListTable[[#This Row],[Extra Initial]],0)</f>
        <v>0</v>
      </c>
      <c r="G433" s="150" t="s">
        <v>377</v>
      </c>
      <c r="H433" s="150" t="s">
        <v>378</v>
      </c>
      <c r="I433" s="150" t="s">
        <v>379</v>
      </c>
      <c r="J433" s="150">
        <v>1</v>
      </c>
      <c r="K433" s="154">
        <v>1.95</v>
      </c>
      <c r="L433" s="151" t="s">
        <v>2461</v>
      </c>
      <c r="M433" s="150"/>
      <c r="N433" s="154">
        <f>MouserListTable[[#This Row],['# Initial]]*MouserListTable[[#This Row],[Price (USD)]]</f>
        <v>0</v>
      </c>
      <c r="O433" s="151" t="s">
        <v>376</v>
      </c>
      <c r="P433" s="150">
        <f t="shared" si="8"/>
        <v>420</v>
      </c>
      <c r="Q433" s="150" t="s">
        <v>5</v>
      </c>
      <c r="R43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474-COM-00527</v>
      </c>
      <c r="S433" s="157" t="str">
        <f>HYPERLINK("https://www.mouser.com/ProductDetail/" &amp;MouserListTable[[#This Row],[Mouser SKU]])</f>
        <v>https://www.mouser.com/ProductDetail/474-COM-00527</v>
      </c>
      <c r="T433" s="152">
        <v>0</v>
      </c>
      <c r="U433" s="152">
        <v>1</v>
      </c>
      <c r="V433" s="152">
        <v>0</v>
      </c>
      <c r="W433" s="152">
        <f>MouserListTable[[#This Row],['#/Unit]]*FilterSpecs!$C$3+MouserListTable[[#This Row],[Extra]]</f>
        <v>1</v>
      </c>
      <c r="X433" s="152">
        <f>IF(MouserListTable[[#This Row],[Tag]]=FilterSpecs!$F$7,MouserListTable[[#This Row],['#/Unit]]*MouserListTable[[#This Row],[Price (USD)]],0)</f>
        <v>0</v>
      </c>
      <c r="Y433" s="152">
        <f>MouserListTable[[#This Row],[Tot '#]]*MouserListTable[[#This Row],[Price (USD)]]</f>
        <v>1.95</v>
      </c>
    </row>
    <row r="434" spans="1:25" x14ac:dyDescent="0.25">
      <c r="A434" s="150" t="s">
        <v>890</v>
      </c>
      <c r="B434" s="151" t="s">
        <v>1603</v>
      </c>
      <c r="C434" s="150" t="s">
        <v>5</v>
      </c>
      <c r="D434" s="151" t="str">
        <f>IF(MouserListTable[[#This Row],[Vendor]]=FilterSpecs!$A$8,MouserListTable[[#This Row],[Mouser SKU]], MouserListTable[[#This Row],[Supplier SKU]])</f>
        <v>474-PRT-07937</v>
      </c>
      <c r="E434" s="152">
        <f>MouserListTable[[#This Row],[Tot '#]]-MouserListTable[[#This Row],['# Initial]]</f>
        <v>1</v>
      </c>
      <c r="F434" s="152">
        <f>IF(AND(MouserListTable[[#This Row],[Tag]]&lt;&gt;FilterSpecs!$F$12, MouserListTable[[#This Row],[Tag]]&lt;&gt;FilterSpecs!$F$9), MouserListTable[[#This Row],['#/Unit]]*FilterSpecs!$B$3+MouserListTable[[#This Row],[Extra Initial]],0)</f>
        <v>25</v>
      </c>
      <c r="G434" s="150" t="s">
        <v>1830</v>
      </c>
      <c r="H434" s="150" t="s">
        <v>1831</v>
      </c>
      <c r="I434" s="150" t="s">
        <v>1832</v>
      </c>
      <c r="J434" s="150">
        <v>1</v>
      </c>
      <c r="K434" s="154">
        <v>0.5</v>
      </c>
      <c r="L434" s="151" t="s">
        <v>1897</v>
      </c>
      <c r="M434" s="150"/>
      <c r="N434" s="154">
        <f>MouserListTable[[#This Row],['# Initial]]*MouserListTable[[#This Row],[Price (USD)]]</f>
        <v>12.5</v>
      </c>
      <c r="O434" s="151" t="s">
        <v>1829</v>
      </c>
      <c r="P434" s="150">
        <f t="shared" si="8"/>
        <v>421</v>
      </c>
      <c r="Q434" s="150" t="s">
        <v>5</v>
      </c>
      <c r="R43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474-PRT-07937</v>
      </c>
      <c r="S434" s="157" t="str">
        <f>HYPERLINK("https://www.mouser.com/ProductDetail/" &amp;MouserListTable[[#This Row],[Mouser SKU]])</f>
        <v>https://www.mouser.com/ProductDetail/474-PRT-07937</v>
      </c>
      <c r="T434" s="152">
        <f>SUM(T436:T442)</f>
        <v>5</v>
      </c>
      <c r="U434" s="152">
        <v>1</v>
      </c>
      <c r="V434" s="152">
        <v>0</v>
      </c>
      <c r="W434" s="152">
        <f>MouserListTable[[#This Row],['#/Unit]]*FilterSpecs!$C$3+MouserListTable[[#This Row],[Extra]]</f>
        <v>26</v>
      </c>
      <c r="X434" s="152">
        <f>IF(MouserListTable[[#This Row],[Tag]]=FilterSpecs!$F$7,MouserListTable[[#This Row],['#/Unit]]*MouserListTable[[#This Row],[Price (USD)]],0)</f>
        <v>2.5</v>
      </c>
      <c r="Y434" s="152">
        <f>MouserListTable[[#This Row],[Tot '#]]*MouserListTable[[#This Row],[Price (USD)]]</f>
        <v>13</v>
      </c>
    </row>
    <row r="435" spans="1:25" x14ac:dyDescent="0.25">
      <c r="A435" s="98" t="s">
        <v>890</v>
      </c>
      <c r="B435" s="98" t="s">
        <v>1603</v>
      </c>
      <c r="C435" s="150" t="s">
        <v>1884</v>
      </c>
      <c r="D435" s="151" t="str">
        <f>IF(MouserListTable[[#This Row],[Vendor]]=FilterSpecs!$A$8,MouserListTable[[#This Row],[Mouser SKU]], MouserListTable[[#This Row],[Supplier SKU]])</f>
        <v>485-2202</v>
      </c>
      <c r="E435" s="152">
        <f>MouserListTable[[#This Row],[Tot '#]]-MouserListTable[[#This Row],['# Initial]]</f>
        <v>0</v>
      </c>
      <c r="F435" s="152">
        <f>IF(AND(MouserListTable[[#This Row],[Tag]]&lt;&gt;FilterSpecs!$F$12, MouserListTable[[#This Row],[Tag]]&lt;&gt;FilterSpecs!$F$9), MouserListTable[[#This Row],['#/Unit]]*FilterSpecs!$B$3+MouserListTable[[#This Row],[Extra Initial]],0)</f>
        <v>0</v>
      </c>
      <c r="G435" s="150"/>
      <c r="H435" s="150"/>
      <c r="I435" s="150" t="s">
        <v>2450</v>
      </c>
      <c r="J435" s="113">
        <v>114</v>
      </c>
      <c r="K435" s="119">
        <v>0.75</v>
      </c>
      <c r="L435" s="97" t="s">
        <v>1896</v>
      </c>
      <c r="M435" s="153"/>
      <c r="N435" s="154">
        <f>MouserListTable[[#This Row],['# Initial]]*MouserListTable[[#This Row],[Price (USD)]]</f>
        <v>0</v>
      </c>
      <c r="O435" s="113" t="s">
        <v>2451</v>
      </c>
      <c r="P435" s="150">
        <f t="shared" si="8"/>
        <v>422</v>
      </c>
      <c r="Q435" s="150" t="s">
        <v>1884</v>
      </c>
      <c r="R43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485-2202</v>
      </c>
      <c r="S435" s="157" t="str">
        <f>HYPERLINK("https://www.mouser.com/ProductDetail/" &amp;MouserListTable[[#This Row],[Mouser SKU]])</f>
        <v>https://www.mouser.com/ProductDetail/485-2202</v>
      </c>
      <c r="T435" s="152">
        <v>0</v>
      </c>
      <c r="U435" s="152">
        <v>0</v>
      </c>
      <c r="V435" s="152">
        <v>0</v>
      </c>
      <c r="W435" s="152">
        <f>MouserListTable[[#This Row],['#/Unit]]*FilterSpecs!$C$3+MouserListTable[[#This Row],[Extra]]</f>
        <v>0</v>
      </c>
      <c r="X435" s="152">
        <f>IF(MouserListTable[[#This Row],[Tag]]=FilterSpecs!$F$7,MouserListTable[[#This Row],['#/Unit]]*MouserListTable[[#This Row],[Price (USD)]],0)</f>
        <v>0</v>
      </c>
      <c r="Y435" s="152">
        <f>MouserListTable[[#This Row],[Tot '#]]*MouserListTable[[#This Row],[Price (USD)]]</f>
        <v>0</v>
      </c>
    </row>
    <row r="436" spans="1:25" x14ac:dyDescent="0.25">
      <c r="A436" s="150" t="s">
        <v>890</v>
      </c>
      <c r="B436" s="151" t="s">
        <v>1603</v>
      </c>
      <c r="C436" s="150" t="s">
        <v>5</v>
      </c>
      <c r="D436" s="151" t="str">
        <f>IF(MouserListTable[[#This Row],[Vendor]]=FilterSpecs!$A$8,MouserListTable[[#This Row],[Mouser SKU]], MouserListTable[[#This Row],[Supplier SKU]])</f>
        <v>474-COM-09456</v>
      </c>
      <c r="E436" s="152">
        <f>MouserListTable[[#This Row],[Tot '#]]-MouserListTable[[#This Row],['# Initial]]</f>
        <v>0</v>
      </c>
      <c r="F436" s="152">
        <f>IF(AND(MouserListTable[[#This Row],[Tag]]&lt;&gt;FilterSpecs!$F$12, MouserListTable[[#This Row],[Tag]]&lt;&gt;FilterSpecs!$F$9), MouserListTable[[#This Row],['#/Unit]]*FilterSpecs!$B$3+MouserListTable[[#This Row],[Extra Initial]],0)</f>
        <v>10</v>
      </c>
      <c r="G436" s="150" t="s">
        <v>657</v>
      </c>
      <c r="H436" s="150" t="s">
        <v>658</v>
      </c>
      <c r="I436" s="150" t="s">
        <v>659</v>
      </c>
      <c r="J436" s="150">
        <v>1</v>
      </c>
      <c r="K436" s="154">
        <v>0.95</v>
      </c>
      <c r="L436" s="151" t="s">
        <v>1897</v>
      </c>
      <c r="M436" s="150"/>
      <c r="N436" s="154">
        <f>MouserListTable[[#This Row],['# Initial]]*MouserListTable[[#This Row],[Price (USD)]]</f>
        <v>9.5</v>
      </c>
      <c r="O436" s="151" t="s">
        <v>656</v>
      </c>
      <c r="P436" s="150">
        <f t="shared" si="8"/>
        <v>423</v>
      </c>
      <c r="Q436" s="150" t="s">
        <v>5</v>
      </c>
      <c r="R43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474-COM-09456</v>
      </c>
      <c r="S436" s="157" t="str">
        <f>HYPERLINK("https://www.mouser.com/ProductDetail/" &amp;MouserListTable[[#This Row],[Mouser SKU]])</f>
        <v>https://www.mouser.com/ProductDetail/474-COM-09456</v>
      </c>
      <c r="T436" s="152">
        <v>2</v>
      </c>
      <c r="U436" s="152">
        <v>0</v>
      </c>
      <c r="V436" s="152">
        <v>0</v>
      </c>
      <c r="W436" s="152">
        <f>MouserListTable[[#This Row],['#/Unit]]*FilterSpecs!$C$3+MouserListTable[[#This Row],[Extra]]</f>
        <v>10</v>
      </c>
      <c r="X436" s="152">
        <f>IF(MouserListTable[[#This Row],[Tag]]=FilterSpecs!$F$7,MouserListTable[[#This Row],['#/Unit]]*MouserListTable[[#This Row],[Price (USD)]],0)</f>
        <v>1.9</v>
      </c>
      <c r="Y436" s="152">
        <f>MouserListTable[[#This Row],[Tot '#]]*MouserListTable[[#This Row],[Price (USD)]]</f>
        <v>9.5</v>
      </c>
    </row>
    <row r="437" spans="1:25" x14ac:dyDescent="0.25">
      <c r="A437" s="150" t="s">
        <v>890</v>
      </c>
      <c r="B437" s="151" t="s">
        <v>1603</v>
      </c>
      <c r="C437" s="150" t="s">
        <v>5</v>
      </c>
      <c r="D437" s="151" t="str">
        <f>IF(MouserListTable[[#This Row],[Vendor]]=FilterSpecs!$A$8,MouserListTable[[#This Row],[Mouser SKU]], MouserListTable[[#This Row],[Supplier SKU]])</f>
        <v>474-COM-10613</v>
      </c>
      <c r="E437" s="152">
        <f>MouserListTable[[#This Row],[Tot '#]]-MouserListTable[[#This Row],['# Initial]]</f>
        <v>0</v>
      </c>
      <c r="F437" s="152">
        <f>IF(AND(MouserListTable[[#This Row],[Tag]]&lt;&gt;FilterSpecs!$F$12, MouserListTable[[#This Row],[Tag]]&lt;&gt;FilterSpecs!$F$9), MouserListTable[[#This Row],['#/Unit]]*FilterSpecs!$B$3+MouserListTable[[#This Row],[Extra Initial]],0)</f>
        <v>5</v>
      </c>
      <c r="G437" s="150" t="s">
        <v>954</v>
      </c>
      <c r="H437" s="150" t="s">
        <v>955</v>
      </c>
      <c r="I437" s="150" t="s">
        <v>956</v>
      </c>
      <c r="J437" s="150">
        <v>1</v>
      </c>
      <c r="K437" s="154">
        <v>1.5</v>
      </c>
      <c r="L437" s="151" t="s">
        <v>1897</v>
      </c>
      <c r="M437" s="150"/>
      <c r="N437" s="154">
        <f>MouserListTable[[#This Row],['# Initial]]*MouserListTable[[#This Row],[Price (USD)]]</f>
        <v>7.5</v>
      </c>
      <c r="O437" s="151" t="s">
        <v>953</v>
      </c>
      <c r="P437" s="150">
        <f t="shared" si="8"/>
        <v>424</v>
      </c>
      <c r="Q437" s="150" t="s">
        <v>5</v>
      </c>
      <c r="R43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474-COM-10613</v>
      </c>
      <c r="S437" s="157" t="str">
        <f>HYPERLINK("https://www.mouser.com/ProductDetail/" &amp;MouserListTable[[#This Row],[Mouser SKU]])</f>
        <v>https://www.mouser.com/ProductDetail/474-COM-10613</v>
      </c>
      <c r="T437" s="152">
        <v>1</v>
      </c>
      <c r="U437" s="152">
        <v>0</v>
      </c>
      <c r="V437" s="152">
        <v>0</v>
      </c>
      <c r="W437" s="152">
        <f>MouserListTable[[#This Row],['#/Unit]]*FilterSpecs!$C$3+MouserListTable[[#This Row],[Extra]]</f>
        <v>5</v>
      </c>
      <c r="X437" s="152">
        <f>IF(MouserListTable[[#This Row],[Tag]]=FilterSpecs!$F$7,MouserListTable[[#This Row],['#/Unit]]*MouserListTable[[#This Row],[Price (USD)]],0)</f>
        <v>1.5</v>
      </c>
      <c r="Y437" s="152">
        <f>MouserListTable[[#This Row],[Tot '#]]*MouserListTable[[#This Row],[Price (USD)]]</f>
        <v>7.5</v>
      </c>
    </row>
    <row r="438" spans="1:25" x14ac:dyDescent="0.25">
      <c r="A438" s="150" t="s">
        <v>890</v>
      </c>
      <c r="B438" s="151" t="s">
        <v>1603</v>
      </c>
      <c r="C438" s="150" t="s">
        <v>5</v>
      </c>
      <c r="D438" s="151" t="str">
        <f>IF(MouserListTable[[#This Row],[Vendor]]=FilterSpecs!$A$8,MouserListTable[[#This Row],[Mouser SKU]], MouserListTable[[#This Row],[Supplier SKU]])</f>
        <v>474-COM-09273</v>
      </c>
      <c r="E438" s="152">
        <f>MouserListTable[[#This Row],[Tot '#]]-MouserListTable[[#This Row],['# Initial]]</f>
        <v>0</v>
      </c>
      <c r="F438" s="152">
        <f>IF(AND(MouserListTable[[#This Row],[Tag]]&lt;&gt;FilterSpecs!$F$12, MouserListTable[[#This Row],[Tag]]&lt;&gt;FilterSpecs!$F$9), MouserListTable[[#This Row],['#/Unit]]*FilterSpecs!$B$3+MouserListTable[[#This Row],[Extra Initial]],0)</f>
        <v>5</v>
      </c>
      <c r="G438" s="150" t="s">
        <v>397</v>
      </c>
      <c r="H438" s="150" t="s">
        <v>398</v>
      </c>
      <c r="I438" s="150" t="s">
        <v>399</v>
      </c>
      <c r="J438" s="150">
        <v>1</v>
      </c>
      <c r="K438" s="154">
        <v>0.95</v>
      </c>
      <c r="L438" s="151" t="s">
        <v>1897</v>
      </c>
      <c r="M438" s="150"/>
      <c r="N438" s="154">
        <f>MouserListTable[[#This Row],['# Initial]]*MouserListTable[[#This Row],[Price (USD)]]</f>
        <v>4.75</v>
      </c>
      <c r="O438" s="151" t="s">
        <v>396</v>
      </c>
      <c r="P438" s="150">
        <f t="shared" si="8"/>
        <v>425</v>
      </c>
      <c r="Q438" s="150" t="s">
        <v>5</v>
      </c>
      <c r="R43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474-COM-09273</v>
      </c>
      <c r="S438" s="157" t="str">
        <f>HYPERLINK("https://www.mouser.com/ProductDetail/" &amp;MouserListTable[[#This Row],[Mouser SKU]])</f>
        <v>https://www.mouser.com/ProductDetail/474-COM-09273</v>
      </c>
      <c r="T438" s="152">
        <v>1</v>
      </c>
      <c r="U438" s="152">
        <v>0</v>
      </c>
      <c r="V438" s="152">
        <v>0</v>
      </c>
      <c r="W438" s="152">
        <f>MouserListTable[[#This Row],['#/Unit]]*FilterSpecs!$C$3+MouserListTable[[#This Row],[Extra]]</f>
        <v>5</v>
      </c>
      <c r="X438" s="152">
        <f>IF(MouserListTable[[#This Row],[Tag]]=FilterSpecs!$F$7,MouserListTable[[#This Row],['#/Unit]]*MouserListTable[[#This Row],[Price (USD)]],0)</f>
        <v>0.95</v>
      </c>
      <c r="Y438" s="152">
        <f>MouserListTable[[#This Row],[Tot '#]]*MouserListTable[[#This Row],[Price (USD)]]</f>
        <v>4.75</v>
      </c>
    </row>
    <row r="439" spans="1:25" x14ac:dyDescent="0.25">
      <c r="A439" s="150" t="s">
        <v>890</v>
      </c>
      <c r="B439" s="151" t="s">
        <v>1603</v>
      </c>
      <c r="C439" s="150" t="s">
        <v>5</v>
      </c>
      <c r="D439" s="151" t="str">
        <f>IF(MouserListTable[[#This Row],[Vendor]]=FilterSpecs!$A$8,MouserListTable[[#This Row],[Mouser SKU]], MouserListTable[[#This Row],[Supplier SKU]])</f>
        <v>474-COM-08636</v>
      </c>
      <c r="E439" s="152">
        <f>MouserListTable[[#This Row],[Tot '#]]-MouserListTable[[#This Row],['# Initial]]</f>
        <v>0</v>
      </c>
      <c r="F439" s="152">
        <f>IF(AND(MouserListTable[[#This Row],[Tag]]&lt;&gt;FilterSpecs!$F$12, MouserListTable[[#This Row],[Tag]]&lt;&gt;FilterSpecs!$F$9), MouserListTable[[#This Row],['#/Unit]]*FilterSpecs!$B$3+MouserListTable[[#This Row],[Extra Initial]],0)</f>
        <v>5</v>
      </c>
      <c r="G439" s="150" t="s">
        <v>393</v>
      </c>
      <c r="H439" s="150" t="s">
        <v>394</v>
      </c>
      <c r="I439" s="150" t="s">
        <v>395</v>
      </c>
      <c r="J439" s="150">
        <v>1</v>
      </c>
      <c r="K439" s="154">
        <v>2.38</v>
      </c>
      <c r="L439" s="151" t="s">
        <v>1897</v>
      </c>
      <c r="M439" s="150"/>
      <c r="N439" s="154">
        <f>MouserListTable[[#This Row],['# Initial]]*MouserListTable[[#This Row],[Price (USD)]]</f>
        <v>11.899999999999999</v>
      </c>
      <c r="O439" s="151" t="s">
        <v>392</v>
      </c>
      <c r="P439" s="150">
        <f t="shared" si="8"/>
        <v>426</v>
      </c>
      <c r="Q439" s="150" t="s">
        <v>5</v>
      </c>
      <c r="R43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474-COM-08636</v>
      </c>
      <c r="S439" s="157" t="str">
        <f>HYPERLINK("https://www.mouser.com/ProductDetail/" &amp;MouserListTable[[#This Row],[Mouser SKU]])</f>
        <v>https://www.mouser.com/ProductDetail/474-COM-08636</v>
      </c>
      <c r="T439" s="152">
        <v>1</v>
      </c>
      <c r="U439" s="152">
        <v>0</v>
      </c>
      <c r="V439" s="152">
        <v>0</v>
      </c>
      <c r="W439" s="152">
        <f>MouserListTable[[#This Row],['#/Unit]]*FilterSpecs!$C$3+MouserListTable[[#This Row],[Extra]]</f>
        <v>5</v>
      </c>
      <c r="X439" s="152">
        <f>IF(MouserListTable[[#This Row],[Tag]]=FilterSpecs!$F$7,MouserListTable[[#This Row],['#/Unit]]*MouserListTable[[#This Row],[Price (USD)]],0)</f>
        <v>2.38</v>
      </c>
      <c r="Y439" s="152">
        <f>MouserListTable[[#This Row],[Tot '#]]*MouserListTable[[#This Row],[Price (USD)]]</f>
        <v>11.899999999999999</v>
      </c>
    </row>
    <row r="440" spans="1:25" x14ac:dyDescent="0.25">
      <c r="A440" s="150" t="s">
        <v>890</v>
      </c>
      <c r="B440" s="151" t="s">
        <v>1603</v>
      </c>
      <c r="C440" s="150" t="s">
        <v>5</v>
      </c>
      <c r="D440" s="151" t="str">
        <f>IF(MouserListTable[[#This Row],[Vendor]]=FilterSpecs!$A$8,MouserListTable[[#This Row],[Mouser SKU]], MouserListTable[[#This Row],[Supplier SKU]])</f>
        <v>474-COM-00317</v>
      </c>
      <c r="E440" s="152">
        <f>MouserListTable[[#This Row],[Tot '#]]-MouserListTable[[#This Row],['# Initial]]</f>
        <v>1</v>
      </c>
      <c r="F440" s="152">
        <f>IF(AND(MouserListTable[[#This Row],[Tag]]&lt;&gt;FilterSpecs!$F$12, MouserListTable[[#This Row],[Tag]]&lt;&gt;FilterSpecs!$F$9), MouserListTable[[#This Row],['#/Unit]]*FilterSpecs!$B$3+MouserListTable[[#This Row],[Extra Initial]],0)</f>
        <v>0</v>
      </c>
      <c r="G440" s="150" t="s">
        <v>1085</v>
      </c>
      <c r="H440" s="150" t="s">
        <v>1086</v>
      </c>
      <c r="I440" s="150" t="s">
        <v>1087</v>
      </c>
      <c r="J440" s="150">
        <v>1</v>
      </c>
      <c r="K440" s="154">
        <v>1.95</v>
      </c>
      <c r="L440" s="151" t="s">
        <v>1896</v>
      </c>
      <c r="M440" s="150"/>
      <c r="N440" s="154">
        <f>MouserListTable[[#This Row],['# Initial]]*MouserListTable[[#This Row],[Price (USD)]]</f>
        <v>0</v>
      </c>
      <c r="O440" s="151" t="s">
        <v>1084</v>
      </c>
      <c r="P440" s="150">
        <f t="shared" si="8"/>
        <v>427</v>
      </c>
      <c r="Q440" s="150" t="s">
        <v>5</v>
      </c>
      <c r="R44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474-COM-00317</v>
      </c>
      <c r="S440" s="157" t="str">
        <f>HYPERLINK("https://www.mouser.com/ProductDetail/" &amp;MouserListTable[[#This Row],[Mouser SKU]])</f>
        <v>https://www.mouser.com/ProductDetail/474-COM-00317</v>
      </c>
      <c r="T440" s="152">
        <v>0</v>
      </c>
      <c r="U440" s="152">
        <v>1</v>
      </c>
      <c r="V440" s="152">
        <v>0</v>
      </c>
      <c r="W440" s="152">
        <f>MouserListTable[[#This Row],['#/Unit]]*FilterSpecs!$C$3+MouserListTable[[#This Row],[Extra]]</f>
        <v>1</v>
      </c>
      <c r="X440" s="152">
        <f>IF(MouserListTable[[#This Row],[Tag]]=FilterSpecs!$F$7,MouserListTable[[#This Row],['#/Unit]]*MouserListTable[[#This Row],[Price (USD)]],0)</f>
        <v>0</v>
      </c>
      <c r="Y440" s="152">
        <f>MouserListTable[[#This Row],[Tot '#]]*MouserListTable[[#This Row],[Price (USD)]]</f>
        <v>1.95</v>
      </c>
    </row>
    <row r="441" spans="1:25" x14ac:dyDescent="0.25">
      <c r="A441" s="150" t="s">
        <v>890</v>
      </c>
      <c r="B441" s="151" t="s">
        <v>1603</v>
      </c>
      <c r="C441" s="150" t="s">
        <v>1884</v>
      </c>
      <c r="D441" s="151" t="str">
        <f>IF(MouserListTable[[#This Row],[Vendor]]=FilterSpecs!$A$8,MouserListTable[[#This Row],[Mouser SKU]], MouserListTable[[#This Row],[Supplier SKU]])</f>
        <v>485-1787</v>
      </c>
      <c r="E441" s="152">
        <f>MouserListTable[[#This Row],[Tot '#]]-MouserListTable[[#This Row],['# Initial]]</f>
        <v>0</v>
      </c>
      <c r="F441" s="152">
        <f>IF(AND(MouserListTable[[#This Row],[Tag]]&lt;&gt;FilterSpecs!$F$12, MouserListTable[[#This Row],[Tag]]&lt;&gt;FilterSpecs!$F$9), MouserListTable[[#This Row],['#/Unit]]*FilterSpecs!$B$3+MouserListTable[[#This Row],[Extra Initial]],0)</f>
        <v>0</v>
      </c>
      <c r="G441" s="150"/>
      <c r="H441" s="150"/>
      <c r="I441" s="150" t="s">
        <v>2127</v>
      </c>
      <c r="J441" s="153"/>
      <c r="K441" s="118">
        <v>1.5</v>
      </c>
      <c r="L441" s="153" t="s">
        <v>1896</v>
      </c>
      <c r="M441" s="153"/>
      <c r="N441" s="154">
        <f>MouserListTable[[#This Row],['# Initial]]*MouserListTable[[#This Row],[Price (USD)]]</f>
        <v>0</v>
      </c>
      <c r="O441" s="151" t="s">
        <v>2126</v>
      </c>
      <c r="P441" s="150">
        <f t="shared" si="8"/>
        <v>428</v>
      </c>
      <c r="Q441" s="150" t="s">
        <v>1884</v>
      </c>
      <c r="R44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485-1787</v>
      </c>
      <c r="S441" s="157" t="str">
        <f>HYPERLINK("https://www.mouser.com/ProductDetail/" &amp;MouserListTable[[#This Row],[Mouser SKU]])</f>
        <v>https://www.mouser.com/ProductDetail/485-1787</v>
      </c>
      <c r="T441" s="152">
        <v>0</v>
      </c>
      <c r="U441" s="152">
        <v>0</v>
      </c>
      <c r="V441" s="152">
        <v>0</v>
      </c>
      <c r="W441" s="152">
        <f>MouserListTable[[#This Row],['#/Unit]]*FilterSpecs!$C$3+MouserListTable[[#This Row],[Extra]]</f>
        <v>0</v>
      </c>
      <c r="X441" s="152">
        <f>IF(MouserListTable[[#This Row],[Tag]]=FilterSpecs!$F$7,MouserListTable[[#This Row],['#/Unit]]*MouserListTable[[#This Row],[Price (USD)]],0)</f>
        <v>0</v>
      </c>
      <c r="Y441" s="152">
        <f>MouserListTable[[#This Row],[Tot '#]]*MouserListTable[[#This Row],[Price (USD)]]</f>
        <v>0</v>
      </c>
    </row>
    <row r="442" spans="1:25" x14ac:dyDescent="0.25">
      <c r="A442" s="97" t="s">
        <v>890</v>
      </c>
      <c r="B442" s="153" t="s">
        <v>1603</v>
      </c>
      <c r="C442" s="150" t="s">
        <v>5</v>
      </c>
      <c r="D442" s="151" t="str">
        <f>IF(MouserListTable[[#This Row],[Vendor]]=FilterSpecs!$A$8,MouserListTable[[#This Row],[Mouser SKU]], MouserListTable[[#This Row],[Supplier SKU]])</f>
        <v>474-COM-00525</v>
      </c>
      <c r="E442" s="152">
        <f>MouserListTable[[#This Row],[Tot '#]]-MouserListTable[[#This Row],['# Initial]]</f>
        <v>0</v>
      </c>
      <c r="F442" s="152">
        <f>IF(AND(MouserListTable[[#This Row],[Tag]]&lt;&gt;FilterSpecs!$F$12, MouserListTable[[#This Row],[Tag]]&lt;&gt;FilterSpecs!$F$9), MouserListTable[[#This Row],['#/Unit]]*FilterSpecs!$B$3+MouserListTable[[#This Row],[Extra Initial]],0)</f>
        <v>0</v>
      </c>
      <c r="G442" s="150" t="s">
        <v>673</v>
      </c>
      <c r="H442" s="150" t="s">
        <v>674</v>
      </c>
      <c r="I442" s="150" t="s">
        <v>675</v>
      </c>
      <c r="J442" s="150">
        <v>1</v>
      </c>
      <c r="K442" s="154">
        <v>1.95</v>
      </c>
      <c r="L442" s="151" t="s">
        <v>1896</v>
      </c>
      <c r="M442" s="150"/>
      <c r="N442" s="154">
        <f>MouserListTable[[#This Row],['# Initial]]*MouserListTable[[#This Row],[Price (USD)]]</f>
        <v>0</v>
      </c>
      <c r="O442" s="151" t="s">
        <v>672</v>
      </c>
      <c r="P442" s="150">
        <f t="shared" si="8"/>
        <v>429</v>
      </c>
      <c r="Q442" s="150" t="s">
        <v>5</v>
      </c>
      <c r="R44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474-COM-00525</v>
      </c>
      <c r="S442" s="157" t="str">
        <f>HYPERLINK("https://www.mouser.com/ProductDetail/" &amp;MouserListTable[[#This Row],[Mouser SKU]])</f>
        <v>https://www.mouser.com/ProductDetail/474-COM-00525</v>
      </c>
      <c r="T442" s="152">
        <v>0</v>
      </c>
      <c r="U442" s="152">
        <v>0</v>
      </c>
      <c r="V442" s="152">
        <v>0</v>
      </c>
      <c r="W442" s="152">
        <f>MouserListTable[[#This Row],['#/Unit]]*FilterSpecs!$C$3+MouserListTable[[#This Row],[Extra]]</f>
        <v>0</v>
      </c>
      <c r="X442" s="152">
        <f>IF(MouserListTable[[#This Row],[Tag]]=FilterSpecs!$F$7,MouserListTable[[#This Row],['#/Unit]]*MouserListTable[[#This Row],[Price (USD)]],0)</f>
        <v>0</v>
      </c>
      <c r="Y442" s="152">
        <f>MouserListTable[[#This Row],[Tot '#]]*MouserListTable[[#This Row],[Price (USD)]]</f>
        <v>0</v>
      </c>
    </row>
    <row r="443" spans="1:25" x14ac:dyDescent="0.25">
      <c r="A443" s="97" t="s">
        <v>890</v>
      </c>
      <c r="B443" s="153" t="s">
        <v>1603</v>
      </c>
      <c r="C443" s="150" t="s">
        <v>5</v>
      </c>
      <c r="D443" s="151" t="str">
        <f>IF(MouserListTable[[#This Row],[Vendor]]=FilterSpecs!$A$8,MouserListTable[[#This Row],[Mouser SKU]], MouserListTable[[#This Row],[Supplier SKU]])</f>
        <v>474-COM-13699</v>
      </c>
      <c r="E443" s="152">
        <f>MouserListTable[[#This Row],[Tot '#]]-MouserListTable[[#This Row],['# Initial]]</f>
        <v>0</v>
      </c>
      <c r="F443" s="152">
        <f>IF(AND(MouserListTable[[#This Row],[Tag]]&lt;&gt;FilterSpecs!$F$12, MouserListTable[[#This Row],[Tag]]&lt;&gt;FilterSpecs!$F$9), MouserListTable[[#This Row],['#/Unit]]*FilterSpecs!$B$3+MouserListTable[[#This Row],[Extra Initial]],0)</f>
        <v>0</v>
      </c>
      <c r="G443" s="150" t="s">
        <v>401</v>
      </c>
      <c r="H443" s="150" t="s">
        <v>402</v>
      </c>
      <c r="I443" s="150" t="s">
        <v>403</v>
      </c>
      <c r="J443" s="150">
        <v>1</v>
      </c>
      <c r="K443" s="154">
        <v>0.95</v>
      </c>
      <c r="L443" s="151" t="s">
        <v>1896</v>
      </c>
      <c r="M443" s="150"/>
      <c r="N443" s="154">
        <f>MouserListTable[[#This Row],['# Initial]]*MouserListTable[[#This Row],[Price (USD)]]</f>
        <v>0</v>
      </c>
      <c r="O443" s="151" t="s">
        <v>400</v>
      </c>
      <c r="P443" s="150">
        <f t="shared" si="8"/>
        <v>430</v>
      </c>
      <c r="Q443" s="150" t="s">
        <v>5</v>
      </c>
      <c r="R44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474-COM-13699</v>
      </c>
      <c r="S443" s="157" t="str">
        <f>HYPERLINK("https://www.mouser.com/ProductDetail/" &amp;MouserListTable[[#This Row],[Mouser SKU]])</f>
        <v>https://www.mouser.com/ProductDetail/474-COM-13699</v>
      </c>
      <c r="T443" s="152">
        <v>0</v>
      </c>
      <c r="U443" s="152">
        <v>0</v>
      </c>
      <c r="V443" s="152">
        <v>0</v>
      </c>
      <c r="W443" s="152">
        <f>MouserListTable[[#This Row],['#/Unit]]*FilterSpecs!$C$3+MouserListTable[[#This Row],[Extra]]</f>
        <v>0</v>
      </c>
      <c r="X443" s="152">
        <f>IF(MouserListTable[[#This Row],[Tag]]=FilterSpecs!$F$7,MouserListTable[[#This Row],['#/Unit]]*MouserListTable[[#This Row],[Price (USD)]],0)</f>
        <v>0</v>
      </c>
      <c r="Y443" s="152">
        <f>MouserListTable[[#This Row],[Tot '#]]*MouserListTable[[#This Row],[Price (USD)]]</f>
        <v>0</v>
      </c>
    </row>
    <row r="444" spans="1:25" x14ac:dyDescent="0.25">
      <c r="A444" s="97" t="s">
        <v>890</v>
      </c>
      <c r="B444" s="153" t="s">
        <v>1603</v>
      </c>
      <c r="C444" s="150" t="s">
        <v>5</v>
      </c>
      <c r="D444" s="151" t="str">
        <f>IF(MouserListTable[[#This Row],[Vendor]]=FilterSpecs!$A$8,MouserListTable[[#This Row],[Mouser SKU]], MouserListTable[[#This Row],[Supplier SKU]])</f>
        <v>474-BOB-11733</v>
      </c>
      <c r="E444" s="152">
        <f>MouserListTable[[#This Row],[Tot '#]]-MouserListTable[[#This Row],['# Initial]]</f>
        <v>0</v>
      </c>
      <c r="F444" s="152">
        <f>IF(AND(MouserListTable[[#This Row],[Tag]]&lt;&gt;FilterSpecs!$F$12, MouserListTable[[#This Row],[Tag]]&lt;&gt;FilterSpecs!$F$9), MouserListTable[[#This Row],['#/Unit]]*FilterSpecs!$B$3+MouserListTable[[#This Row],[Extra Initial]],0)</f>
        <v>0</v>
      </c>
      <c r="G444" s="150" t="s">
        <v>405</v>
      </c>
      <c r="H444" s="150" t="s">
        <v>406</v>
      </c>
      <c r="I444" s="150" t="s">
        <v>214</v>
      </c>
      <c r="J444" s="150">
        <v>1</v>
      </c>
      <c r="K444" s="154">
        <v>3.95</v>
      </c>
      <c r="L444" s="151" t="s">
        <v>2464</v>
      </c>
      <c r="M444" s="150"/>
      <c r="N444" s="154">
        <f>MouserListTable[[#This Row],['# Initial]]*MouserListTable[[#This Row],[Price (USD)]]</f>
        <v>0</v>
      </c>
      <c r="O444" s="151" t="s">
        <v>404</v>
      </c>
      <c r="P444" s="150">
        <f t="shared" si="8"/>
        <v>431</v>
      </c>
      <c r="Q444" s="150" t="s">
        <v>5</v>
      </c>
      <c r="R44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474-BOB-11733</v>
      </c>
      <c r="S444" s="157" t="str">
        <f>HYPERLINK("https://www.mouser.com/ProductDetail/" &amp;MouserListTable[[#This Row],[Mouser SKU]])</f>
        <v>https://www.mouser.com/ProductDetail/474-BOB-11733</v>
      </c>
      <c r="T444" s="152">
        <v>0</v>
      </c>
      <c r="U444" s="152">
        <v>0</v>
      </c>
      <c r="V444" s="152">
        <v>0</v>
      </c>
      <c r="W444" s="152">
        <f>MouserListTable[[#This Row],['#/Unit]]*FilterSpecs!$C$3+MouserListTable[[#This Row],[Extra]]</f>
        <v>0</v>
      </c>
      <c r="X444" s="152">
        <f>IF(MouserListTable[[#This Row],[Tag]]=FilterSpecs!$F$7,MouserListTable[[#This Row],['#/Unit]]*MouserListTable[[#This Row],[Price (USD)]],0)</f>
        <v>0</v>
      </c>
      <c r="Y444" s="152">
        <f>MouserListTable[[#This Row],[Tot '#]]*MouserListTable[[#This Row],[Price (USD)]]</f>
        <v>0</v>
      </c>
    </row>
    <row r="445" spans="1:25" x14ac:dyDescent="0.25">
      <c r="A445" s="150" t="s">
        <v>890</v>
      </c>
      <c r="B445" s="151" t="s">
        <v>1603</v>
      </c>
      <c r="C445" s="150" t="s">
        <v>5</v>
      </c>
      <c r="D445" s="151" t="str">
        <f>IF(MouserListTable[[#This Row],[Vendor]]=FilterSpecs!$A$8,MouserListTable[[#This Row],[Mouser SKU]], MouserListTable[[#This Row],[Supplier SKU]])</f>
        <v>474-COM-08034</v>
      </c>
      <c r="E445" s="152">
        <f>MouserListTable[[#This Row],[Tot '#]]-MouserListTable[[#This Row],['# Initial]]</f>
        <v>0</v>
      </c>
      <c r="F445" s="152">
        <f>IF(AND(MouserListTable[[#This Row],[Tag]]&lt;&gt;FilterSpecs!$F$12, MouserListTable[[#This Row],[Tag]]&lt;&gt;FilterSpecs!$F$9), MouserListTable[[#This Row],['#/Unit]]*FilterSpecs!$B$3+MouserListTable[[#This Row],[Extra Initial]],0)</f>
        <v>5</v>
      </c>
      <c r="G445" s="150" t="s">
        <v>427</v>
      </c>
      <c r="H445" s="150" t="s">
        <v>428</v>
      </c>
      <c r="I445" s="150" t="s">
        <v>429</v>
      </c>
      <c r="J445" s="150">
        <v>1</v>
      </c>
      <c r="K445" s="154">
        <v>1.5</v>
      </c>
      <c r="L445" s="151" t="s">
        <v>1897</v>
      </c>
      <c r="M445" s="150"/>
      <c r="N445" s="154">
        <f>MouserListTable[[#This Row],['# Initial]]*MouserListTable[[#This Row],[Price (USD)]]</f>
        <v>7.5</v>
      </c>
      <c r="O445" s="151" t="s">
        <v>426</v>
      </c>
      <c r="P445" s="150">
        <f t="shared" si="8"/>
        <v>432</v>
      </c>
      <c r="Q445" s="150" t="s">
        <v>5</v>
      </c>
      <c r="R44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474-COM-08034</v>
      </c>
      <c r="S445" s="157" t="str">
        <f>HYPERLINK("https://www.mouser.com/ProductDetail/" &amp;MouserListTable[[#This Row],[Mouser SKU]])</f>
        <v>https://www.mouser.com/ProductDetail/474-COM-08034</v>
      </c>
      <c r="T445" s="152">
        <v>1</v>
      </c>
      <c r="U445" s="152">
        <v>0</v>
      </c>
      <c r="V445" s="152">
        <v>0</v>
      </c>
      <c r="W445" s="152">
        <f>MouserListTable[[#This Row],['#/Unit]]*FilterSpecs!$C$3+MouserListTable[[#This Row],[Extra]]</f>
        <v>5</v>
      </c>
      <c r="X445" s="152">
        <f>IF(MouserListTable[[#This Row],[Tag]]=FilterSpecs!$F$7,MouserListTable[[#This Row],['#/Unit]]*MouserListTable[[#This Row],[Price (USD)]],0)</f>
        <v>1.5</v>
      </c>
      <c r="Y445" s="152">
        <f>MouserListTable[[#This Row],[Tot '#]]*MouserListTable[[#This Row],[Price (USD)]]</f>
        <v>7.5</v>
      </c>
    </row>
    <row r="446" spans="1:25" x14ac:dyDescent="0.25">
      <c r="A446" s="150" t="s">
        <v>890</v>
      </c>
      <c r="B446" s="151" t="s">
        <v>1603</v>
      </c>
      <c r="C446" s="150" t="s">
        <v>5</v>
      </c>
      <c r="D446" s="151" t="str">
        <f>IF(MouserListTable[[#This Row],[Vendor]]=FilterSpecs!$A$8,MouserListTable[[#This Row],[Mouser SKU]], MouserListTable[[#This Row],[Supplier SKU]])</f>
        <v>474-COM-10827</v>
      </c>
      <c r="E446" s="152">
        <f>MouserListTable[[#This Row],[Tot '#]]-MouserListTable[[#This Row],['# Initial]]</f>
        <v>0</v>
      </c>
      <c r="F446" s="152">
        <f>IF(AND(MouserListTable[[#This Row],[Tag]]&lt;&gt;FilterSpecs!$F$12, MouserListTable[[#This Row],[Tag]]&lt;&gt;FilterSpecs!$F$9), MouserListTable[[#This Row],['#/Unit]]*FilterSpecs!$B$3+MouserListTable[[#This Row],[Extra Initial]],0)</f>
        <v>0</v>
      </c>
      <c r="G446" s="150" t="s">
        <v>1265</v>
      </c>
      <c r="H446" s="150" t="s">
        <v>1266</v>
      </c>
      <c r="I446" s="150" t="s">
        <v>1267</v>
      </c>
      <c r="J446" s="150">
        <v>1</v>
      </c>
      <c r="K446" s="154">
        <v>0.25</v>
      </c>
      <c r="L446" s="151" t="s">
        <v>1896</v>
      </c>
      <c r="M446" s="150"/>
      <c r="N446" s="154">
        <f>MouserListTable[[#This Row],['# Initial]]*MouserListTable[[#This Row],[Price (USD)]]</f>
        <v>0</v>
      </c>
      <c r="O446" s="151" t="s">
        <v>1264</v>
      </c>
      <c r="P446" s="150">
        <f t="shared" si="8"/>
        <v>433</v>
      </c>
      <c r="Q446" s="150" t="s">
        <v>5</v>
      </c>
      <c r="R44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474-COM-10827</v>
      </c>
      <c r="S446" s="157" t="str">
        <f>HYPERLINK("https://www.mouser.com/ProductDetail/" &amp;MouserListTable[[#This Row],[Mouser SKU]])</f>
        <v>https://www.mouser.com/ProductDetail/474-COM-10827</v>
      </c>
      <c r="T446" s="152">
        <v>0</v>
      </c>
      <c r="U446" s="152">
        <v>0</v>
      </c>
      <c r="V446" s="152">
        <v>0</v>
      </c>
      <c r="W446" s="152">
        <f>MouserListTable[[#This Row],['#/Unit]]*FilterSpecs!$C$3+MouserListTable[[#This Row],[Extra]]</f>
        <v>0</v>
      </c>
      <c r="X446" s="152">
        <f>IF(MouserListTable[[#This Row],[Tag]]=FilterSpecs!$F$7,MouserListTable[[#This Row],['#/Unit]]*MouserListTable[[#This Row],[Price (USD)]],0)</f>
        <v>0</v>
      </c>
      <c r="Y446" s="152">
        <f>MouserListTable[[#This Row],[Tot '#]]*MouserListTable[[#This Row],[Price (USD)]]</f>
        <v>0</v>
      </c>
    </row>
    <row r="447" spans="1:25" x14ac:dyDescent="0.25">
      <c r="A447" s="150" t="s">
        <v>890</v>
      </c>
      <c r="B447" s="151" t="s">
        <v>1603</v>
      </c>
      <c r="C447" s="150" t="s">
        <v>5</v>
      </c>
      <c r="D447" s="151" t="str">
        <f>IF(MouserListTable[[#This Row],[Vendor]]=FilterSpecs!$A$8,MouserListTable[[#This Row],[Mouser SKU]], MouserListTable[[#This Row],[Supplier SKU]])</f>
        <v>474-COM-00595</v>
      </c>
      <c r="E447" s="152">
        <f>MouserListTable[[#This Row],[Tot '#]]-MouserListTable[[#This Row],['# Initial]]</f>
        <v>0</v>
      </c>
      <c r="F447" s="152">
        <f>IF(AND(MouserListTable[[#This Row],[Tag]]&lt;&gt;FilterSpecs!$F$12, MouserListTable[[#This Row],[Tag]]&lt;&gt;FilterSpecs!$F$9), MouserListTable[[#This Row],['#/Unit]]*FilterSpecs!$B$3+MouserListTable[[#This Row],[Extra Initial]],0)</f>
        <v>0</v>
      </c>
      <c r="G447" s="150" t="s">
        <v>1277</v>
      </c>
      <c r="H447" s="150" t="s">
        <v>1278</v>
      </c>
      <c r="I447" s="150" t="s">
        <v>1279</v>
      </c>
      <c r="J447" s="150">
        <v>1</v>
      </c>
      <c r="K447" s="154">
        <v>1.5</v>
      </c>
      <c r="L447" s="151" t="s">
        <v>1896</v>
      </c>
      <c r="M447" s="150"/>
      <c r="N447" s="154">
        <f>MouserListTable[[#This Row],['# Initial]]*MouserListTable[[#This Row],[Price (USD)]]</f>
        <v>0</v>
      </c>
      <c r="O447" s="151" t="s">
        <v>1276</v>
      </c>
      <c r="P447" s="150">
        <f t="shared" si="8"/>
        <v>434</v>
      </c>
      <c r="Q447" s="150" t="s">
        <v>5</v>
      </c>
      <c r="R44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474-COM-00595</v>
      </c>
      <c r="S447" s="157" t="str">
        <f>HYPERLINK("https://www.mouser.com/ProductDetail/" &amp;MouserListTable[[#This Row],[Mouser SKU]])</f>
        <v>https://www.mouser.com/ProductDetail/474-COM-00595</v>
      </c>
      <c r="T447" s="152">
        <v>0</v>
      </c>
      <c r="U447" s="152">
        <v>0</v>
      </c>
      <c r="V447" s="152">
        <v>0</v>
      </c>
      <c r="W447" s="152">
        <f>MouserListTable[[#This Row],['#/Unit]]*FilterSpecs!$C$3+MouserListTable[[#This Row],[Extra]]</f>
        <v>0</v>
      </c>
      <c r="X447" s="152">
        <f>IF(MouserListTable[[#This Row],[Tag]]=FilterSpecs!$F$7,MouserListTable[[#This Row],['#/Unit]]*MouserListTable[[#This Row],[Price (USD)]],0)</f>
        <v>0</v>
      </c>
      <c r="Y447" s="152">
        <f>MouserListTable[[#This Row],[Tot '#]]*MouserListTable[[#This Row],[Price (USD)]]</f>
        <v>0</v>
      </c>
    </row>
    <row r="448" spans="1:25" x14ac:dyDescent="0.25">
      <c r="A448" s="150" t="s">
        <v>890</v>
      </c>
      <c r="B448" s="151" t="s">
        <v>1603</v>
      </c>
      <c r="C448" s="150" t="s">
        <v>5</v>
      </c>
      <c r="D448" s="151" t="str">
        <f>IF(MouserListTable[[#This Row],[Vendor]]=FilterSpecs!$A$8,MouserListTable[[#This Row],[Mouser SKU]], MouserListTable[[#This Row],[Supplier SKU]])</f>
        <v>474-COM-10828</v>
      </c>
      <c r="E448" s="152">
        <f>MouserListTable[[#This Row],[Tot '#]]-MouserListTable[[#This Row],['# Initial]]</f>
        <v>0</v>
      </c>
      <c r="F448" s="152">
        <f>IF(AND(MouserListTable[[#This Row],[Tag]]&lt;&gt;FilterSpecs!$F$12, MouserListTable[[#This Row],[Tag]]&lt;&gt;FilterSpecs!$F$9), MouserListTable[[#This Row],['#/Unit]]*FilterSpecs!$B$3+MouserListTable[[#This Row],[Extra Initial]],0)</f>
        <v>0</v>
      </c>
      <c r="G448" s="150" t="s">
        <v>1273</v>
      </c>
      <c r="H448" s="150" t="s">
        <v>1274</v>
      </c>
      <c r="I448" s="150" t="s">
        <v>1275</v>
      </c>
      <c r="J448" s="150">
        <v>1</v>
      </c>
      <c r="K448" s="154">
        <v>0.1</v>
      </c>
      <c r="L448" s="151" t="s">
        <v>1896</v>
      </c>
      <c r="M448" s="150"/>
      <c r="N448" s="154">
        <f>MouserListTable[[#This Row],['# Initial]]*MouserListTable[[#This Row],[Price (USD)]]</f>
        <v>0</v>
      </c>
      <c r="O448" s="151" t="s">
        <v>1272</v>
      </c>
      <c r="P448" s="150">
        <f t="shared" si="8"/>
        <v>435</v>
      </c>
      <c r="Q448" s="150" t="s">
        <v>5</v>
      </c>
      <c r="R44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474-COM-10828</v>
      </c>
      <c r="S448" s="157" t="str">
        <f>HYPERLINK("https://www.mouser.com/ProductDetail/" &amp;MouserListTable[[#This Row],[Mouser SKU]])</f>
        <v>https://www.mouser.com/ProductDetail/474-COM-10828</v>
      </c>
      <c r="T448" s="152">
        <v>0</v>
      </c>
      <c r="U448" s="152">
        <v>0</v>
      </c>
      <c r="V448" s="152">
        <v>0</v>
      </c>
      <c r="W448" s="152">
        <f>MouserListTable[[#This Row],['#/Unit]]*FilterSpecs!$C$3+MouserListTable[[#This Row],[Extra]]</f>
        <v>0</v>
      </c>
      <c r="X448" s="152">
        <f>IF(MouserListTable[[#This Row],[Tag]]=FilterSpecs!$F$7,MouserListTable[[#This Row],['#/Unit]]*MouserListTable[[#This Row],[Price (USD)]],0)</f>
        <v>0</v>
      </c>
      <c r="Y448" s="152">
        <f>MouserListTable[[#This Row],[Tot '#]]*MouserListTable[[#This Row],[Price (USD)]]</f>
        <v>0</v>
      </c>
    </row>
    <row r="449" spans="1:25" x14ac:dyDescent="0.25">
      <c r="A449" s="150" t="s">
        <v>890</v>
      </c>
      <c r="B449" s="151" t="s">
        <v>1603</v>
      </c>
      <c r="C449" s="150" t="s">
        <v>5</v>
      </c>
      <c r="D449" s="151" t="str">
        <f>IF(MouserListTable[[#This Row],[Vendor]]=FilterSpecs!$A$8,MouserListTable[[#This Row],[Mouser SKU]], MouserListTable[[#This Row],[Supplier SKU]])</f>
        <v>474-COM-00312</v>
      </c>
      <c r="E449" s="152">
        <f>MouserListTable[[#This Row],[Tot '#]]-MouserListTable[[#This Row],['# Initial]]</f>
        <v>0</v>
      </c>
      <c r="F449" s="152">
        <f>IF(AND(MouserListTable[[#This Row],[Tag]]&lt;&gt;FilterSpecs!$F$12, MouserListTable[[#This Row],[Tag]]&lt;&gt;FilterSpecs!$F$9), MouserListTable[[#This Row],['#/Unit]]*FilterSpecs!$B$3+MouserListTable[[#This Row],[Extra Initial]],0)</f>
        <v>0</v>
      </c>
      <c r="G449" s="150" t="s">
        <v>1437</v>
      </c>
      <c r="H449" s="150" t="s">
        <v>1438</v>
      </c>
      <c r="I449" s="150" t="s">
        <v>1439</v>
      </c>
      <c r="J449" s="150">
        <v>1</v>
      </c>
      <c r="K449" s="154">
        <v>1.95</v>
      </c>
      <c r="L449" s="151" t="s">
        <v>1896</v>
      </c>
      <c r="M449" s="150"/>
      <c r="N449" s="154">
        <f>MouserListTable[[#This Row],['# Initial]]*MouserListTable[[#This Row],[Price (USD)]]</f>
        <v>0</v>
      </c>
      <c r="O449" s="151" t="s">
        <v>1436</v>
      </c>
      <c r="P449" s="150">
        <f t="shared" si="8"/>
        <v>436</v>
      </c>
      <c r="Q449" s="150" t="s">
        <v>5</v>
      </c>
      <c r="R44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474-COM-00312</v>
      </c>
      <c r="S449" s="157" t="str">
        <f>HYPERLINK("https://www.mouser.com/ProductDetail/" &amp;MouserListTable[[#This Row],[Mouser SKU]])</f>
        <v>https://www.mouser.com/ProductDetail/474-COM-00312</v>
      </c>
      <c r="T449" s="152">
        <v>0</v>
      </c>
      <c r="U449" s="152">
        <v>0</v>
      </c>
      <c r="V449" s="152">
        <v>0</v>
      </c>
      <c r="W449" s="152">
        <f>MouserListTable[[#This Row],['#/Unit]]*FilterSpecs!$C$3+MouserListTable[[#This Row],[Extra]]</f>
        <v>0</v>
      </c>
      <c r="X449" s="152">
        <f>IF(MouserListTable[[#This Row],[Tag]]=FilterSpecs!$F$7,MouserListTable[[#This Row],['#/Unit]]*MouserListTable[[#This Row],[Price (USD)]],0)</f>
        <v>0</v>
      </c>
      <c r="Y449" s="152">
        <f>MouserListTable[[#This Row],[Tot '#]]*MouserListTable[[#This Row],[Price (USD)]]</f>
        <v>0</v>
      </c>
    </row>
    <row r="450" spans="1:25" x14ac:dyDescent="0.25">
      <c r="A450" s="150" t="s">
        <v>890</v>
      </c>
      <c r="B450" s="151" t="s">
        <v>1603</v>
      </c>
      <c r="C450" s="150" t="s">
        <v>5</v>
      </c>
      <c r="D450" s="151" t="str">
        <f>IF(MouserListTable[[#This Row],[Vendor]]=FilterSpecs!$A$8,MouserListTable[[#This Row],[Mouser SKU]], MouserListTable[[#This Row],[Supplier SKU]])</f>
        <v>474-COM-13885</v>
      </c>
      <c r="E450" s="152">
        <f>MouserListTable[[#This Row],[Tot '#]]-MouserListTable[[#This Row],['# Initial]]</f>
        <v>0</v>
      </c>
      <c r="F450" s="152">
        <f>IF(AND(MouserListTable[[#This Row],[Tag]]&lt;&gt;FilterSpecs!$F$12, MouserListTable[[#This Row],[Tag]]&lt;&gt;FilterSpecs!$F$9), MouserListTable[[#This Row],['#/Unit]]*FilterSpecs!$B$3+MouserListTable[[#This Row],[Extra Initial]],0)</f>
        <v>0</v>
      </c>
      <c r="G450" s="150" t="s">
        <v>1441</v>
      </c>
      <c r="H450" s="150" t="s">
        <v>1442</v>
      </c>
      <c r="I450" s="150" t="s">
        <v>1443</v>
      </c>
      <c r="J450" s="150">
        <v>1</v>
      </c>
      <c r="K450" s="154">
        <v>1.95</v>
      </c>
      <c r="L450" s="151" t="s">
        <v>1896</v>
      </c>
      <c r="M450" s="150"/>
      <c r="N450" s="154">
        <f>MouserListTable[[#This Row],['# Initial]]*MouserListTable[[#This Row],[Price (USD)]]</f>
        <v>0</v>
      </c>
      <c r="O450" s="151" t="s">
        <v>1440</v>
      </c>
      <c r="P450" s="150">
        <f t="shared" si="8"/>
        <v>437</v>
      </c>
      <c r="Q450" s="150" t="s">
        <v>5</v>
      </c>
      <c r="R45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474-COM-13885</v>
      </c>
      <c r="S450" s="157" t="str">
        <f>HYPERLINK("https://www.mouser.com/ProductDetail/" &amp;MouserListTable[[#This Row],[Mouser SKU]])</f>
        <v>https://www.mouser.com/ProductDetail/474-COM-13885</v>
      </c>
      <c r="T450" s="152">
        <v>0</v>
      </c>
      <c r="U450" s="152">
        <v>0</v>
      </c>
      <c r="V450" s="152">
        <v>0</v>
      </c>
      <c r="W450" s="152">
        <f>MouserListTable[[#This Row],['#/Unit]]*FilterSpecs!$C$3+MouserListTable[[#This Row],[Extra]]</f>
        <v>0</v>
      </c>
      <c r="X450" s="152">
        <f>IF(MouserListTable[[#This Row],[Tag]]=FilterSpecs!$F$7,MouserListTable[[#This Row],['#/Unit]]*MouserListTable[[#This Row],[Price (USD)]],0)</f>
        <v>0</v>
      </c>
      <c r="Y450" s="152">
        <f>MouserListTable[[#This Row],[Tot '#]]*MouserListTable[[#This Row],[Price (USD)]]</f>
        <v>0</v>
      </c>
    </row>
    <row r="451" spans="1:25" x14ac:dyDescent="0.25">
      <c r="A451" s="150" t="s">
        <v>890</v>
      </c>
      <c r="B451" s="151" t="s">
        <v>1603</v>
      </c>
      <c r="C451" s="150" t="s">
        <v>5</v>
      </c>
      <c r="D451" s="151" t="str">
        <f>IF(MouserListTable[[#This Row],[Vendor]]=FilterSpecs!$A$8,MouserListTable[[#This Row],[Mouser SKU]], MouserListTable[[#This Row],[Supplier SKU]])</f>
        <v>474-COM-11107</v>
      </c>
      <c r="E451" s="152">
        <f>MouserListTable[[#This Row],[Tot '#]]-MouserListTable[[#This Row],['# Initial]]</f>
        <v>0</v>
      </c>
      <c r="F451" s="152">
        <f>IF(AND(MouserListTable[[#This Row],[Tag]]&lt;&gt;FilterSpecs!$F$12, MouserListTable[[#This Row],[Tag]]&lt;&gt;FilterSpecs!$F$9), MouserListTable[[#This Row],['#/Unit]]*FilterSpecs!$B$3+MouserListTable[[#This Row],[Extra Initial]],0)</f>
        <v>0</v>
      </c>
      <c r="G451" s="150" t="s">
        <v>1469</v>
      </c>
      <c r="H451" s="150" t="s">
        <v>1470</v>
      </c>
      <c r="I451" s="150" t="s">
        <v>1471</v>
      </c>
      <c r="J451" s="150">
        <v>1</v>
      </c>
      <c r="K451" s="154">
        <v>1.95</v>
      </c>
      <c r="L451" s="151" t="s">
        <v>1896</v>
      </c>
      <c r="M451" s="150"/>
      <c r="N451" s="154">
        <f>MouserListTable[[#This Row],['# Initial]]*MouserListTable[[#This Row],[Price (USD)]]</f>
        <v>0</v>
      </c>
      <c r="O451" s="151" t="s">
        <v>1468</v>
      </c>
      <c r="P451" s="150">
        <f t="shared" si="8"/>
        <v>438</v>
      </c>
      <c r="Q451" s="150" t="s">
        <v>5</v>
      </c>
      <c r="R45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474-COM-11107</v>
      </c>
      <c r="S451" s="157" t="str">
        <f>HYPERLINK("https://www.mouser.com/ProductDetail/" &amp;MouserListTable[[#This Row],[Mouser SKU]])</f>
        <v>https://www.mouser.com/ProductDetail/474-COM-11107</v>
      </c>
      <c r="T451" s="152">
        <v>0</v>
      </c>
      <c r="U451" s="152">
        <v>0</v>
      </c>
      <c r="V451" s="152">
        <v>0</v>
      </c>
      <c r="W451" s="152">
        <f>MouserListTable[[#This Row],['#/Unit]]*FilterSpecs!$C$3+MouserListTable[[#This Row],[Extra]]</f>
        <v>0</v>
      </c>
      <c r="X451" s="152">
        <f>IF(MouserListTable[[#This Row],[Tag]]=FilterSpecs!$F$7,MouserListTable[[#This Row],['#/Unit]]*MouserListTable[[#This Row],[Price (USD)]],0)</f>
        <v>0</v>
      </c>
      <c r="Y451" s="152">
        <f>MouserListTable[[#This Row],[Tot '#]]*MouserListTable[[#This Row],[Price (USD)]]</f>
        <v>0</v>
      </c>
    </row>
    <row r="452" spans="1:25" x14ac:dyDescent="0.25">
      <c r="A452" s="97" t="s">
        <v>890</v>
      </c>
      <c r="B452" s="97" t="s">
        <v>1879</v>
      </c>
      <c r="C452" s="150" t="s">
        <v>5</v>
      </c>
      <c r="D452" s="151" t="str">
        <f>IF(MouserListTable[[#This Row],[Vendor]]=FilterSpecs!$A$8,MouserListTable[[#This Row],[Mouser SKU]], MouserListTable[[#This Row],[Supplier SKU]])</f>
        <v>474-PRT-13875</v>
      </c>
      <c r="E452" s="152">
        <f>MouserListTable[[#This Row],[Tot '#]]-MouserListTable[[#This Row],['# Initial]]</f>
        <v>0</v>
      </c>
      <c r="F452" s="152">
        <f>IF(AND(MouserListTable[[#This Row],[Tag]]&lt;&gt;FilterSpecs!$F$12, MouserListTable[[#This Row],[Tag]]&lt;&gt;FilterSpecs!$F$9), MouserListTable[[#This Row],['#/Unit]]*FilterSpecs!$B$3+MouserListTable[[#This Row],[Extra Initial]],0)</f>
        <v>0</v>
      </c>
      <c r="G452" s="150" t="s">
        <v>769</v>
      </c>
      <c r="H452" s="150" t="s">
        <v>770</v>
      </c>
      <c r="I452" s="150" t="s">
        <v>771</v>
      </c>
      <c r="J452" s="150">
        <v>1</v>
      </c>
      <c r="K452" s="154">
        <v>0.5</v>
      </c>
      <c r="L452" s="150" t="s">
        <v>1896</v>
      </c>
      <c r="M452" s="150"/>
      <c r="N452" s="154">
        <f>MouserListTable[[#This Row],['# Initial]]*MouserListTable[[#This Row],[Price (USD)]]</f>
        <v>0</v>
      </c>
      <c r="O452" s="151" t="s">
        <v>768</v>
      </c>
      <c r="P452" s="150">
        <f t="shared" si="8"/>
        <v>439</v>
      </c>
      <c r="Q452" s="150" t="s">
        <v>5</v>
      </c>
      <c r="R45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474-PRT-13875</v>
      </c>
      <c r="S452" s="157" t="str">
        <f>HYPERLINK("https://www.mouser.com/ProductDetail/" &amp;MouserListTable[[#This Row],[Mouser SKU]])</f>
        <v>https://www.mouser.com/ProductDetail/474-PRT-13875</v>
      </c>
      <c r="T452" s="152">
        <v>0</v>
      </c>
      <c r="U452" s="152">
        <v>0</v>
      </c>
      <c r="V452" s="152">
        <v>0</v>
      </c>
      <c r="W452" s="152">
        <f>MouserListTable[[#This Row],['#/Unit]]*FilterSpecs!$C$3+MouserListTable[[#This Row],[Extra]]</f>
        <v>0</v>
      </c>
      <c r="X452" s="152">
        <f>IF(MouserListTable[[#This Row],[Tag]]=FilterSpecs!$F$7,MouserListTable[[#This Row],['#/Unit]]*MouserListTable[[#This Row],[Price (USD)]],0)</f>
        <v>0</v>
      </c>
      <c r="Y452" s="152">
        <f>MouserListTable[[#This Row],[Tot '#]]*MouserListTable[[#This Row],[Price (USD)]]</f>
        <v>0</v>
      </c>
    </row>
    <row r="453" spans="1:25" x14ac:dyDescent="0.25">
      <c r="A453" s="150" t="s">
        <v>890</v>
      </c>
      <c r="B453" s="150" t="s">
        <v>1879</v>
      </c>
      <c r="C453" s="150" t="s">
        <v>5</v>
      </c>
      <c r="D453" s="151" t="str">
        <f>IF(MouserListTable[[#This Row],[Vendor]]=FilterSpecs!$A$8,MouserListTable[[#This Row],[Mouser SKU]], MouserListTable[[#This Row],[Supplier SKU]])</f>
        <v>474-PRT-12790</v>
      </c>
      <c r="E453" s="152">
        <f>MouserListTable[[#This Row],[Tot '#]]-MouserListTable[[#This Row],['# Initial]]</f>
        <v>1</v>
      </c>
      <c r="F453" s="152">
        <f>IF(AND(MouserListTable[[#This Row],[Tag]]&lt;&gt;FilterSpecs!$F$12, MouserListTable[[#This Row],[Tag]]&lt;&gt;FilterSpecs!$F$9), MouserListTable[[#This Row],['#/Unit]]*FilterSpecs!$B$3+MouserListTable[[#This Row],[Extra Initial]],0)</f>
        <v>0</v>
      </c>
      <c r="G453" s="150" t="s">
        <v>1762</v>
      </c>
      <c r="H453" s="150" t="s">
        <v>1763</v>
      </c>
      <c r="I453" s="150" t="s">
        <v>1764</v>
      </c>
      <c r="J453" s="150">
        <v>1</v>
      </c>
      <c r="K453" s="154">
        <v>2.95</v>
      </c>
      <c r="L453" s="150" t="s">
        <v>1896</v>
      </c>
      <c r="M453" s="150"/>
      <c r="N453" s="154">
        <f>MouserListTable[[#This Row],['# Initial]]*MouserListTable[[#This Row],[Price (USD)]]</f>
        <v>0</v>
      </c>
      <c r="O453" s="151" t="s">
        <v>1761</v>
      </c>
      <c r="P453" s="150">
        <f t="shared" si="8"/>
        <v>440</v>
      </c>
      <c r="Q453" s="150" t="s">
        <v>5</v>
      </c>
      <c r="R45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474-PRT-12790</v>
      </c>
      <c r="S453" s="157" t="str">
        <f>HYPERLINK("https://www.mouser.com/ProductDetail/" &amp;MouserListTable[[#This Row],[Mouser SKU]])</f>
        <v>https://www.mouser.com/ProductDetail/474-PRT-12790</v>
      </c>
      <c r="T453" s="152">
        <v>0</v>
      </c>
      <c r="U453" s="152">
        <v>1</v>
      </c>
      <c r="V453" s="152">
        <v>0</v>
      </c>
      <c r="W453" s="152">
        <f>MouserListTable[[#This Row],['#/Unit]]*FilterSpecs!$C$3+MouserListTable[[#This Row],[Extra]]</f>
        <v>1</v>
      </c>
      <c r="X453" s="152">
        <f>IF(MouserListTable[[#This Row],[Tag]]=FilterSpecs!$F$7,MouserListTable[[#This Row],['#/Unit]]*MouserListTable[[#This Row],[Price (USD)]],0)</f>
        <v>0</v>
      </c>
      <c r="Y453" s="152">
        <f>MouserListTable[[#This Row],[Tot '#]]*MouserListTable[[#This Row],[Price (USD)]]</f>
        <v>2.95</v>
      </c>
    </row>
    <row r="454" spans="1:25" x14ac:dyDescent="0.25">
      <c r="A454" s="97" t="s">
        <v>890</v>
      </c>
      <c r="B454" s="97" t="s">
        <v>1879</v>
      </c>
      <c r="C454" s="150" t="s">
        <v>5</v>
      </c>
      <c r="D454" s="151" t="str">
        <f>IF(MouserListTable[[#This Row],[Vendor]]=FilterSpecs!$A$8,MouserListTable[[#This Row],[Mouser SKU]], MouserListTable[[#This Row],[Supplier SKU]])</f>
        <v>474-PRT-10007</v>
      </c>
      <c r="E454" s="152">
        <f>MouserListTable[[#This Row],[Tot '#]]-MouserListTable[[#This Row],['# Initial]]</f>
        <v>0</v>
      </c>
      <c r="F454" s="152">
        <f>IF(AND(MouserListTable[[#This Row],[Tag]]&lt;&gt;FilterSpecs!$F$12, MouserListTable[[#This Row],[Tag]]&lt;&gt;FilterSpecs!$F$9), MouserListTable[[#This Row],['#/Unit]]*FilterSpecs!$B$3+MouserListTable[[#This Row],[Extra Initial]],0)</f>
        <v>0</v>
      </c>
      <c r="G454" s="150" t="s">
        <v>517</v>
      </c>
      <c r="H454" s="150" t="s">
        <v>518</v>
      </c>
      <c r="I454" s="150" t="s">
        <v>519</v>
      </c>
      <c r="J454" s="150">
        <v>1</v>
      </c>
      <c r="K454" s="154">
        <v>1.5</v>
      </c>
      <c r="L454" s="150" t="s">
        <v>1896</v>
      </c>
      <c r="M454" s="150"/>
      <c r="N454" s="154">
        <f>MouserListTable[[#This Row],['# Initial]]*MouserListTable[[#This Row],[Price (USD)]]</f>
        <v>0</v>
      </c>
      <c r="O454" s="151" t="s">
        <v>516</v>
      </c>
      <c r="P454" s="150">
        <f t="shared" si="8"/>
        <v>441</v>
      </c>
      <c r="Q454" s="150" t="s">
        <v>5</v>
      </c>
      <c r="R45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474-PRT-10007</v>
      </c>
      <c r="S454" s="157" t="str">
        <f>HYPERLINK("https://www.mouser.com/ProductDetail/" &amp;MouserListTable[[#This Row],[Mouser SKU]])</f>
        <v>https://www.mouser.com/ProductDetail/474-PRT-10007</v>
      </c>
      <c r="T454" s="152">
        <v>0</v>
      </c>
      <c r="U454" s="152">
        <v>0</v>
      </c>
      <c r="V454" s="152">
        <v>0</v>
      </c>
      <c r="W454" s="152">
        <f>MouserListTable[[#This Row],['#/Unit]]*FilterSpecs!$C$3+MouserListTable[[#This Row],[Extra]]</f>
        <v>0</v>
      </c>
      <c r="X454" s="152">
        <f>IF(MouserListTable[[#This Row],[Tag]]=FilterSpecs!$F$7,MouserListTable[[#This Row],['#/Unit]]*MouserListTable[[#This Row],[Price (USD)]],0)</f>
        <v>0</v>
      </c>
      <c r="Y454" s="152">
        <f>MouserListTable[[#This Row],[Tot '#]]*MouserListTable[[#This Row],[Price (USD)]]</f>
        <v>0</v>
      </c>
    </row>
    <row r="455" spans="1:25" x14ac:dyDescent="0.25">
      <c r="A455" s="97" t="s">
        <v>890</v>
      </c>
      <c r="B455" s="97" t="s">
        <v>1879</v>
      </c>
      <c r="C455" s="150" t="s">
        <v>5</v>
      </c>
      <c r="D455" s="151" t="str">
        <f>IF(MouserListTable[[#This Row],[Vendor]]=FilterSpecs!$A$8,MouserListTable[[#This Row],[Mouser SKU]], MouserListTable[[#This Row],[Supplier SKU]])</f>
        <v>474-PRT-11376</v>
      </c>
      <c r="E455" s="152">
        <f>MouserListTable[[#This Row],[Tot '#]]-MouserListTable[[#This Row],['# Initial]]</f>
        <v>0</v>
      </c>
      <c r="F455" s="152">
        <f>IF(AND(MouserListTable[[#This Row],[Tag]]&lt;&gt;FilterSpecs!$F$12, MouserListTable[[#This Row],[Tag]]&lt;&gt;FilterSpecs!$F$9), MouserListTable[[#This Row],['#/Unit]]*FilterSpecs!$B$3+MouserListTable[[#This Row],[Extra Initial]],0)</f>
        <v>0</v>
      </c>
      <c r="G455" s="150" t="s">
        <v>521</v>
      </c>
      <c r="H455" s="150" t="s">
        <v>522</v>
      </c>
      <c r="I455" s="150" t="s">
        <v>523</v>
      </c>
      <c r="J455" s="150">
        <v>1</v>
      </c>
      <c r="K455" s="154">
        <v>0.5</v>
      </c>
      <c r="L455" s="150" t="s">
        <v>1896</v>
      </c>
      <c r="M455" s="150"/>
      <c r="N455" s="154">
        <f>MouserListTable[[#This Row],['# Initial]]*MouserListTable[[#This Row],[Price (USD)]]</f>
        <v>0</v>
      </c>
      <c r="O455" s="151" t="s">
        <v>520</v>
      </c>
      <c r="P455" s="150">
        <f t="shared" si="8"/>
        <v>442</v>
      </c>
      <c r="Q455" s="150" t="s">
        <v>5</v>
      </c>
      <c r="R45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474-PRT-11376</v>
      </c>
      <c r="S455" s="157" t="str">
        <f>HYPERLINK("https://www.mouser.com/ProductDetail/" &amp;MouserListTable[[#This Row],[Mouser SKU]])</f>
        <v>https://www.mouser.com/ProductDetail/474-PRT-11376</v>
      </c>
      <c r="T455" s="152">
        <v>0</v>
      </c>
      <c r="U455" s="152">
        <v>0</v>
      </c>
      <c r="V455" s="152">
        <v>0</v>
      </c>
      <c r="W455" s="152">
        <f>MouserListTable[[#This Row],['#/Unit]]*FilterSpecs!$C$3+MouserListTable[[#This Row],[Extra]]</f>
        <v>0</v>
      </c>
      <c r="X455" s="152">
        <f>IF(MouserListTable[[#This Row],[Tag]]=FilterSpecs!$F$7,MouserListTable[[#This Row],['#/Unit]]*MouserListTable[[#This Row],[Price (USD)]],0)</f>
        <v>0</v>
      </c>
      <c r="Y455" s="152">
        <f>MouserListTable[[#This Row],[Tot '#]]*MouserListTable[[#This Row],[Price (USD)]]</f>
        <v>0</v>
      </c>
    </row>
    <row r="456" spans="1:25" x14ac:dyDescent="0.25">
      <c r="A456" s="97" t="s">
        <v>890</v>
      </c>
      <c r="B456" s="97" t="s">
        <v>1879</v>
      </c>
      <c r="C456" s="150" t="s">
        <v>5</v>
      </c>
      <c r="D456" s="151" t="str">
        <f>IF(MouserListTable[[#This Row],[Vendor]]=FilterSpecs!$A$8,MouserListTable[[#This Row],[Mouser SKU]], MouserListTable[[#This Row],[Supplier SKU]])</f>
        <v>474-PRT-14311</v>
      </c>
      <c r="E456" s="152">
        <f>MouserListTable[[#This Row],[Tot '#]]-MouserListTable[[#This Row],['# Initial]]</f>
        <v>0</v>
      </c>
      <c r="F456" s="152">
        <f>IF(AND(MouserListTable[[#This Row],[Tag]]&lt;&gt;FilterSpecs!$F$12, MouserListTable[[#This Row],[Tag]]&lt;&gt;FilterSpecs!$F$9), MouserListTable[[#This Row],['#/Unit]]*FilterSpecs!$B$3+MouserListTable[[#This Row],[Extra Initial]],0)</f>
        <v>0</v>
      </c>
      <c r="G456" s="150" t="s">
        <v>573</v>
      </c>
      <c r="H456" s="150" t="s">
        <v>574</v>
      </c>
      <c r="I456" s="150" t="s">
        <v>575</v>
      </c>
      <c r="J456" s="150">
        <v>1</v>
      </c>
      <c r="K456" s="154">
        <v>1.5</v>
      </c>
      <c r="L456" s="150" t="s">
        <v>1896</v>
      </c>
      <c r="M456" s="150"/>
      <c r="N456" s="154">
        <f>MouserListTable[[#This Row],['# Initial]]*MouserListTable[[#This Row],[Price (USD)]]</f>
        <v>0</v>
      </c>
      <c r="O456" s="151" t="s">
        <v>572</v>
      </c>
      <c r="P456" s="150">
        <f t="shared" si="8"/>
        <v>443</v>
      </c>
      <c r="Q456" s="150" t="s">
        <v>5</v>
      </c>
      <c r="R45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474-PRT-14311</v>
      </c>
      <c r="S456" s="157" t="str">
        <f>HYPERLINK("https://www.mouser.com/ProductDetail/" &amp;MouserListTable[[#This Row],[Mouser SKU]])</f>
        <v>https://www.mouser.com/ProductDetail/474-PRT-14311</v>
      </c>
      <c r="T456" s="152">
        <v>0</v>
      </c>
      <c r="U456" s="152">
        <v>0</v>
      </c>
      <c r="V456" s="152">
        <v>0</v>
      </c>
      <c r="W456" s="152">
        <f>MouserListTable[[#This Row],['#/Unit]]*FilterSpecs!$C$3+MouserListTable[[#This Row],[Extra]]</f>
        <v>0</v>
      </c>
      <c r="X456" s="152">
        <f>IF(MouserListTable[[#This Row],[Tag]]=FilterSpecs!$F$7,MouserListTable[[#This Row],['#/Unit]]*MouserListTable[[#This Row],[Price (USD)]],0)</f>
        <v>0</v>
      </c>
      <c r="Y456" s="152">
        <f>MouserListTable[[#This Row],[Tot '#]]*MouserListTable[[#This Row],[Price (USD)]]</f>
        <v>0</v>
      </c>
    </row>
    <row r="457" spans="1:25" x14ac:dyDescent="0.25">
      <c r="A457" s="97" t="s">
        <v>890</v>
      </c>
      <c r="B457" s="97" t="s">
        <v>1879</v>
      </c>
      <c r="C457" s="150" t="s">
        <v>5</v>
      </c>
      <c r="D457" s="151" t="str">
        <f>IF(MouserListTable[[#This Row],[Vendor]]=FilterSpecs!$A$8,MouserListTable[[#This Row],[Mouser SKU]], MouserListTable[[#This Row],[Supplier SKU]])</f>
        <v>474-PRT-14322</v>
      </c>
      <c r="E457" s="152">
        <f>MouserListTable[[#This Row],[Tot '#]]-MouserListTable[[#This Row],['# Initial]]</f>
        <v>0</v>
      </c>
      <c r="F457" s="152">
        <f>IF(AND(MouserListTable[[#This Row],[Tag]]&lt;&gt;FilterSpecs!$F$12, MouserListTable[[#This Row],[Tag]]&lt;&gt;FilterSpecs!$F$9), MouserListTable[[#This Row],['#/Unit]]*FilterSpecs!$B$3+MouserListTable[[#This Row],[Extra Initial]],0)</f>
        <v>0</v>
      </c>
      <c r="G457" s="150" t="s">
        <v>475</v>
      </c>
      <c r="H457" s="150" t="s">
        <v>476</v>
      </c>
      <c r="I457" s="150" t="s">
        <v>477</v>
      </c>
      <c r="J457" s="150"/>
      <c r="K457" s="154">
        <v>0.5</v>
      </c>
      <c r="L457" s="150" t="s">
        <v>1896</v>
      </c>
      <c r="M457" s="150"/>
      <c r="N457" s="154">
        <f>MouserListTable[[#This Row],['# Initial]]*MouserListTable[[#This Row],[Price (USD)]]</f>
        <v>0</v>
      </c>
      <c r="O457" s="151" t="s">
        <v>474</v>
      </c>
      <c r="P457" s="150">
        <f t="shared" si="8"/>
        <v>444</v>
      </c>
      <c r="Q457" s="150" t="s">
        <v>5</v>
      </c>
      <c r="R45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474-PRT-14322</v>
      </c>
      <c r="S457" s="157" t="str">
        <f>HYPERLINK("https://www.mouser.com/ProductDetail/" &amp;MouserListTable[[#This Row],[Mouser SKU]])</f>
        <v>https://www.mouser.com/ProductDetail/474-PRT-14322</v>
      </c>
      <c r="T457" s="152">
        <v>0</v>
      </c>
      <c r="U457" s="152">
        <v>0</v>
      </c>
      <c r="V457" s="152">
        <v>0</v>
      </c>
      <c r="W457" s="152">
        <f>MouserListTable[[#This Row],['#/Unit]]*FilterSpecs!$C$3+MouserListTable[[#This Row],[Extra]]</f>
        <v>0</v>
      </c>
      <c r="X457" s="152">
        <f>IF(MouserListTable[[#This Row],[Tag]]=FilterSpecs!$F$7,MouserListTable[[#This Row],['#/Unit]]*MouserListTable[[#This Row],[Price (USD)]],0)</f>
        <v>0</v>
      </c>
      <c r="Y457" s="152">
        <f>MouserListTable[[#This Row],[Tot '#]]*MouserListTable[[#This Row],[Price (USD)]]</f>
        <v>0</v>
      </c>
    </row>
    <row r="458" spans="1:25" x14ac:dyDescent="0.25">
      <c r="A458" s="97" t="s">
        <v>890</v>
      </c>
      <c r="B458" s="97" t="s">
        <v>1879</v>
      </c>
      <c r="C458" s="150" t="s">
        <v>5</v>
      </c>
      <c r="D458" s="151" t="str">
        <f>IF(MouserListTable[[#This Row],[Vendor]]=FilterSpecs!$A$8,MouserListTable[[#This Row],[Mouser SKU]], MouserListTable[[#This Row],[Supplier SKU]])</f>
        <v>474-PRT-13925</v>
      </c>
      <c r="E458" s="152">
        <f>MouserListTable[[#This Row],[Tot '#]]-MouserListTable[[#This Row],['# Initial]]</f>
        <v>0</v>
      </c>
      <c r="F458" s="152">
        <f>IF(AND(MouserListTable[[#This Row],[Tag]]&lt;&gt;FilterSpecs!$F$12, MouserListTable[[#This Row],[Tag]]&lt;&gt;FilterSpecs!$F$9), MouserListTable[[#This Row],['#/Unit]]*FilterSpecs!$B$3+MouserListTable[[#This Row],[Extra Initial]],0)</f>
        <v>0</v>
      </c>
      <c r="G458" s="150" t="s">
        <v>471</v>
      </c>
      <c r="H458" s="150" t="s">
        <v>472</v>
      </c>
      <c r="I458" s="150" t="s">
        <v>473</v>
      </c>
      <c r="J458" s="150">
        <v>1</v>
      </c>
      <c r="K458" s="154">
        <v>1.5</v>
      </c>
      <c r="L458" s="150" t="s">
        <v>1896</v>
      </c>
      <c r="M458" s="150"/>
      <c r="N458" s="154">
        <f>MouserListTable[[#This Row],['# Initial]]*MouserListTable[[#This Row],[Price (USD)]]</f>
        <v>0</v>
      </c>
      <c r="O458" s="151" t="s">
        <v>470</v>
      </c>
      <c r="P458" s="150">
        <f t="shared" si="8"/>
        <v>445</v>
      </c>
      <c r="Q458" s="150" t="s">
        <v>5</v>
      </c>
      <c r="R45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474-PRT-13925</v>
      </c>
      <c r="S458" s="157" t="str">
        <f>HYPERLINK("https://www.mouser.com/ProductDetail/" &amp;MouserListTable[[#This Row],[Mouser SKU]])</f>
        <v>https://www.mouser.com/ProductDetail/474-PRT-13925</v>
      </c>
      <c r="T458" s="152">
        <v>0</v>
      </c>
      <c r="U458" s="152">
        <v>0</v>
      </c>
      <c r="V458" s="152">
        <v>0</v>
      </c>
      <c r="W458" s="152">
        <f>MouserListTable[[#This Row],['#/Unit]]*FilterSpecs!$C$3+MouserListTable[[#This Row],[Extra]]</f>
        <v>0</v>
      </c>
      <c r="X458" s="152">
        <f>IF(MouserListTable[[#This Row],[Tag]]=FilterSpecs!$F$7,MouserListTable[[#This Row],['#/Unit]]*MouserListTable[[#This Row],[Price (USD)]],0)</f>
        <v>0</v>
      </c>
      <c r="Y458" s="152">
        <f>MouserListTable[[#This Row],[Tot '#]]*MouserListTable[[#This Row],[Price (USD)]]</f>
        <v>0</v>
      </c>
    </row>
    <row r="459" spans="1:25" x14ac:dyDescent="0.25">
      <c r="A459" s="150" t="s">
        <v>890</v>
      </c>
      <c r="B459" s="150" t="s">
        <v>1879</v>
      </c>
      <c r="C459" s="150" t="s">
        <v>1884</v>
      </c>
      <c r="D459" s="151" t="str">
        <f>IF(MouserListTable[[#This Row],[Vendor]]=FilterSpecs!$A$8,MouserListTable[[#This Row],[Mouser SKU]], MouserListTable[[#This Row],[Supplier SKU]])</f>
        <v>485-85</v>
      </c>
      <c r="E459" s="152">
        <f>MouserListTable[[#This Row],[Tot '#]]-MouserListTable[[#This Row],['# Initial]]</f>
        <v>0</v>
      </c>
      <c r="F459" s="152">
        <f>IF(AND(MouserListTable[[#This Row],[Tag]]&lt;&gt;FilterSpecs!$F$12, MouserListTable[[#This Row],[Tag]]&lt;&gt;FilterSpecs!$F$9), MouserListTable[[#This Row],['#/Unit]]*FilterSpecs!$B$3+MouserListTable[[#This Row],[Extra Initial]],0)</f>
        <v>10</v>
      </c>
      <c r="G459" s="150"/>
      <c r="H459" s="150"/>
      <c r="I459" s="150" t="s">
        <v>2169</v>
      </c>
      <c r="J459" s="153"/>
      <c r="K459" s="154">
        <v>1.95</v>
      </c>
      <c r="L459" s="150" t="s">
        <v>1897</v>
      </c>
      <c r="M459" s="151"/>
      <c r="N459" s="154">
        <f>MouserListTable[[#This Row],['# Initial]]*MouserListTable[[#This Row],[Price (USD)]]</f>
        <v>19.5</v>
      </c>
      <c r="O459" s="151" t="s">
        <v>2168</v>
      </c>
      <c r="P459" s="150">
        <f t="shared" si="8"/>
        <v>446</v>
      </c>
      <c r="Q459" s="150" t="s">
        <v>1884</v>
      </c>
      <c r="R45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485-85</v>
      </c>
      <c r="S459" s="157" t="str">
        <f>HYPERLINK("https://www.mouser.com/ProductDetail/" &amp;MouserListTable[[#This Row],[Mouser SKU]])</f>
        <v>https://www.mouser.com/ProductDetail/485-85</v>
      </c>
      <c r="T459" s="152">
        <v>2</v>
      </c>
      <c r="U459" s="152">
        <v>0</v>
      </c>
      <c r="V459" s="152">
        <v>0</v>
      </c>
      <c r="W459" s="152">
        <f>MouserListTable[[#This Row],['#/Unit]]*FilterSpecs!$C$3+MouserListTable[[#This Row],[Extra]]</f>
        <v>10</v>
      </c>
      <c r="X459" s="152">
        <f>IF(MouserListTable[[#This Row],[Tag]]=FilterSpecs!$F$7,MouserListTable[[#This Row],['#/Unit]]*MouserListTable[[#This Row],[Price (USD)]],0)</f>
        <v>3.9</v>
      </c>
      <c r="Y459" s="152">
        <f>MouserListTable[[#This Row],[Tot '#]]*MouserListTable[[#This Row],[Price (USD)]]</f>
        <v>19.5</v>
      </c>
    </row>
    <row r="460" spans="1:25" x14ac:dyDescent="0.25">
      <c r="A460" s="150" t="s">
        <v>890</v>
      </c>
      <c r="B460" s="150" t="s">
        <v>1879</v>
      </c>
      <c r="C460" s="150" t="s">
        <v>1884</v>
      </c>
      <c r="D460" s="151" t="str">
        <f>IF(MouserListTable[[#This Row],[Vendor]]=FilterSpecs!$A$8,MouserListTable[[#This Row],[Mouser SKU]], MouserListTable[[#This Row],[Supplier SKU]])</f>
        <v>485-3366</v>
      </c>
      <c r="E460" s="152">
        <f>MouserListTable[[#This Row],[Tot '#]]-MouserListTable[[#This Row],['# Initial]]</f>
        <v>0</v>
      </c>
      <c r="F460" s="152">
        <f>IF(AND(MouserListTable[[#This Row],[Tag]]&lt;&gt;FilterSpecs!$F$12, MouserListTable[[#This Row],[Tag]]&lt;&gt;FilterSpecs!$F$9), MouserListTable[[#This Row],['#/Unit]]*FilterSpecs!$B$3+MouserListTable[[#This Row],[Extra Initial]],0)</f>
        <v>1</v>
      </c>
      <c r="G460" s="150"/>
      <c r="H460" s="150"/>
      <c r="I460" s="150" t="s">
        <v>2151</v>
      </c>
      <c r="J460" s="153"/>
      <c r="K460" s="154">
        <v>2.95</v>
      </c>
      <c r="L460" s="150" t="s">
        <v>1896</v>
      </c>
      <c r="M460" s="151"/>
      <c r="N460" s="154">
        <f>MouserListTable[[#This Row],['# Initial]]*MouserListTable[[#This Row],[Price (USD)]]</f>
        <v>2.95</v>
      </c>
      <c r="O460" s="151" t="s">
        <v>2150</v>
      </c>
      <c r="P460" s="150">
        <f t="shared" si="8"/>
        <v>447</v>
      </c>
      <c r="Q460" s="150" t="s">
        <v>1884</v>
      </c>
      <c r="R46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485-3366</v>
      </c>
      <c r="S460" s="157" t="str">
        <f>HYPERLINK("https://www.mouser.com/ProductDetail/" &amp;MouserListTable[[#This Row],[Mouser SKU]])</f>
        <v>https://www.mouser.com/ProductDetail/485-3366</v>
      </c>
      <c r="T460" s="152">
        <v>0</v>
      </c>
      <c r="U460" s="152">
        <v>1</v>
      </c>
      <c r="V460" s="152">
        <v>1</v>
      </c>
      <c r="W460" s="152">
        <f>MouserListTable[[#This Row],['#/Unit]]*FilterSpecs!$C$3+MouserListTable[[#This Row],[Extra]]</f>
        <v>1</v>
      </c>
      <c r="X460" s="152">
        <f>IF(MouserListTable[[#This Row],[Tag]]=FilterSpecs!$F$7,MouserListTable[[#This Row],['#/Unit]]*MouserListTable[[#This Row],[Price (USD)]],0)</f>
        <v>0</v>
      </c>
      <c r="Y460" s="152">
        <f>MouserListTable[[#This Row],[Tot '#]]*MouserListTable[[#This Row],[Price (USD)]]</f>
        <v>2.95</v>
      </c>
    </row>
    <row r="461" spans="1:25" x14ac:dyDescent="0.25">
      <c r="A461" s="97" t="s">
        <v>890</v>
      </c>
      <c r="B461" s="97" t="s">
        <v>1877</v>
      </c>
      <c r="C461" s="150" t="s">
        <v>5</v>
      </c>
      <c r="D461" s="151" t="str">
        <f>IF(MouserListTable[[#This Row],[Vendor]]=FilterSpecs!$A$8,MouserListTable[[#This Row],[Mouser SKU]], MouserListTable[[#This Row],[Supplier SKU]])</f>
        <v>474-PRT-12807</v>
      </c>
      <c r="E461" s="152">
        <f>MouserListTable[[#This Row],[Tot '#]]-MouserListTable[[#This Row],['# Initial]]</f>
        <v>0</v>
      </c>
      <c r="F461" s="152">
        <f>IF(AND(MouserListTable[[#This Row],[Tag]]&lt;&gt;FilterSpecs!$F$12, MouserListTable[[#This Row],[Tag]]&lt;&gt;FilterSpecs!$F$9), MouserListTable[[#This Row],['#/Unit]]*FilterSpecs!$B$3+MouserListTable[[#This Row],[Extra Initial]],0)</f>
        <v>0</v>
      </c>
      <c r="G461" s="150" t="s">
        <v>765</v>
      </c>
      <c r="H461" s="150" t="s">
        <v>766</v>
      </c>
      <c r="I461" s="150" t="s">
        <v>767</v>
      </c>
      <c r="J461" s="150">
        <v>1</v>
      </c>
      <c r="K461" s="154">
        <v>0.5</v>
      </c>
      <c r="L461" s="150" t="s">
        <v>1896</v>
      </c>
      <c r="M461" s="150"/>
      <c r="N461" s="154">
        <f>MouserListTable[[#This Row],['# Initial]]*MouserListTable[[#This Row],[Price (USD)]]</f>
        <v>0</v>
      </c>
      <c r="O461" s="151" t="s">
        <v>764</v>
      </c>
      <c r="P461" s="150">
        <f t="shared" si="8"/>
        <v>448</v>
      </c>
      <c r="Q461" s="150" t="s">
        <v>5</v>
      </c>
      <c r="R46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474-PRT-12807</v>
      </c>
      <c r="S461" s="157" t="str">
        <f>HYPERLINK("https://www.mouser.com/ProductDetail/" &amp;MouserListTable[[#This Row],[Mouser SKU]])</f>
        <v>https://www.mouser.com/ProductDetail/474-PRT-12807</v>
      </c>
      <c r="T461" s="152">
        <v>0</v>
      </c>
      <c r="U461" s="152">
        <v>0</v>
      </c>
      <c r="V461" s="152">
        <v>0</v>
      </c>
      <c r="W461" s="152">
        <f>MouserListTable[[#This Row],['#/Unit]]*FilterSpecs!$C$3+MouserListTable[[#This Row],[Extra]]</f>
        <v>0</v>
      </c>
      <c r="X461" s="152">
        <f>IF(MouserListTable[[#This Row],[Tag]]=FilterSpecs!$F$7,MouserListTable[[#This Row],['#/Unit]]*MouserListTable[[#This Row],[Price (USD)]],0)</f>
        <v>0</v>
      </c>
      <c r="Y461" s="152">
        <f>MouserListTable[[#This Row],[Tot '#]]*MouserListTable[[#This Row],[Price (USD)]]</f>
        <v>0</v>
      </c>
    </row>
    <row r="462" spans="1:25" x14ac:dyDescent="0.25">
      <c r="A462" s="97" t="s">
        <v>890</v>
      </c>
      <c r="B462" s="97" t="s">
        <v>1877</v>
      </c>
      <c r="C462" s="150" t="s">
        <v>5</v>
      </c>
      <c r="D462" s="151" t="str">
        <f>IF(MouserListTable[[#This Row],[Vendor]]=FilterSpecs!$A$8,MouserListTable[[#This Row],[Mouser SKU]], MouserListTable[[#This Row],[Supplier SKU]])</f>
        <v>474-PRT-13156</v>
      </c>
      <c r="E462" s="152">
        <f>MouserListTable[[#This Row],[Tot '#]]-MouserListTable[[#This Row],['# Initial]]</f>
        <v>0</v>
      </c>
      <c r="F462" s="152">
        <f>IF(AND(MouserListTable[[#This Row],[Tag]]&lt;&gt;FilterSpecs!$F$12, MouserListTable[[#This Row],[Tag]]&lt;&gt;FilterSpecs!$F$9), MouserListTable[[#This Row],['#/Unit]]*FilterSpecs!$B$3+MouserListTable[[#This Row],[Extra Initial]],0)</f>
        <v>0</v>
      </c>
      <c r="G462" s="150" t="s">
        <v>509</v>
      </c>
      <c r="H462" s="150" t="s">
        <v>510</v>
      </c>
      <c r="I462" s="150" t="s">
        <v>511</v>
      </c>
      <c r="J462" s="150">
        <v>1</v>
      </c>
      <c r="K462" s="154">
        <v>0.95</v>
      </c>
      <c r="L462" s="150" t="s">
        <v>1896</v>
      </c>
      <c r="M462" s="150"/>
      <c r="N462" s="154">
        <f>MouserListTable[[#This Row],['# Initial]]*MouserListTable[[#This Row],[Price (USD)]]</f>
        <v>0</v>
      </c>
      <c r="O462" s="151" t="s">
        <v>508</v>
      </c>
      <c r="P462" s="150">
        <f t="shared" ref="P462:P525" si="9">IF($P461="List #",1,$P461+1)</f>
        <v>449</v>
      </c>
      <c r="Q462" s="150" t="s">
        <v>5</v>
      </c>
      <c r="R46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474-PRT-13156</v>
      </c>
      <c r="S462" s="157" t="str">
        <f>HYPERLINK("https://www.mouser.com/ProductDetail/" &amp;MouserListTable[[#This Row],[Mouser SKU]])</f>
        <v>https://www.mouser.com/ProductDetail/474-PRT-13156</v>
      </c>
      <c r="T462" s="152">
        <v>0</v>
      </c>
      <c r="U462" s="152">
        <v>0</v>
      </c>
      <c r="V462" s="152">
        <v>0</v>
      </c>
      <c r="W462" s="152">
        <f>MouserListTable[[#This Row],['#/Unit]]*FilterSpecs!$C$3+MouserListTable[[#This Row],[Extra]]</f>
        <v>0</v>
      </c>
      <c r="X462" s="152">
        <f>IF(MouserListTable[[#This Row],[Tag]]=FilterSpecs!$F$7,MouserListTable[[#This Row],['#/Unit]]*MouserListTable[[#This Row],[Price (USD)]],0)</f>
        <v>0</v>
      </c>
      <c r="Y462" s="152">
        <f>MouserListTable[[#This Row],[Tot '#]]*MouserListTable[[#This Row],[Price (USD)]]</f>
        <v>0</v>
      </c>
    </row>
    <row r="463" spans="1:25" x14ac:dyDescent="0.25">
      <c r="A463" s="150" t="s">
        <v>890</v>
      </c>
      <c r="B463" s="150" t="s">
        <v>1877</v>
      </c>
      <c r="C463" s="150" t="s">
        <v>5</v>
      </c>
      <c r="D463" s="151" t="str">
        <f>IF(MouserListTable[[#This Row],[Vendor]]=FilterSpecs!$A$8,MouserListTable[[#This Row],[Mouser SKU]], MouserListTable[[#This Row],[Supplier SKU]])</f>
        <v>474-PRT-12791</v>
      </c>
      <c r="E463" s="152">
        <f>MouserListTable[[#This Row],[Tot '#]]-MouserListTable[[#This Row],['# Initial]]</f>
        <v>1</v>
      </c>
      <c r="F463" s="152">
        <f>IF(AND(MouserListTable[[#This Row],[Tag]]&lt;&gt;FilterSpecs!$F$12, MouserListTable[[#This Row],[Tag]]&lt;&gt;FilterSpecs!$F$9), MouserListTable[[#This Row],['#/Unit]]*FilterSpecs!$B$3+MouserListTable[[#This Row],[Extra Initial]],0)</f>
        <v>0</v>
      </c>
      <c r="G463" s="150" t="s">
        <v>1778</v>
      </c>
      <c r="H463" s="150" t="s">
        <v>1779</v>
      </c>
      <c r="I463" s="150" t="s">
        <v>1780</v>
      </c>
      <c r="J463" s="150">
        <v>1</v>
      </c>
      <c r="K463" s="154">
        <v>0.95</v>
      </c>
      <c r="L463" s="150" t="s">
        <v>1896</v>
      </c>
      <c r="M463" s="150"/>
      <c r="N463" s="154">
        <f>MouserListTable[[#This Row],['# Initial]]*MouserListTable[[#This Row],[Price (USD)]]</f>
        <v>0</v>
      </c>
      <c r="O463" s="151" t="s">
        <v>1777</v>
      </c>
      <c r="P463" s="150">
        <f t="shared" si="9"/>
        <v>450</v>
      </c>
      <c r="Q463" s="150" t="s">
        <v>5</v>
      </c>
      <c r="R46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474-PRT-12791</v>
      </c>
      <c r="S463" s="157" t="str">
        <f>HYPERLINK("https://www.mouser.com/ProductDetail/" &amp;MouserListTable[[#This Row],[Mouser SKU]])</f>
        <v>https://www.mouser.com/ProductDetail/474-PRT-12791</v>
      </c>
      <c r="T463" s="152">
        <v>0</v>
      </c>
      <c r="U463" s="152">
        <v>1</v>
      </c>
      <c r="V463" s="152">
        <v>0</v>
      </c>
      <c r="W463" s="152">
        <f>MouserListTable[[#This Row],['#/Unit]]*FilterSpecs!$C$3+MouserListTable[[#This Row],[Extra]]</f>
        <v>1</v>
      </c>
      <c r="X463" s="152">
        <f>IF(MouserListTable[[#This Row],[Tag]]=FilterSpecs!$F$7,MouserListTable[[#This Row],['#/Unit]]*MouserListTable[[#This Row],[Price (USD)]],0)</f>
        <v>0</v>
      </c>
      <c r="Y463" s="152">
        <f>MouserListTable[[#This Row],[Tot '#]]*MouserListTable[[#This Row],[Price (USD)]]</f>
        <v>0.95</v>
      </c>
    </row>
    <row r="464" spans="1:25" x14ac:dyDescent="0.25">
      <c r="A464" s="97" t="s">
        <v>890</v>
      </c>
      <c r="B464" s="97" t="s">
        <v>1877</v>
      </c>
      <c r="C464" s="150" t="s">
        <v>5</v>
      </c>
      <c r="D464" s="151" t="str">
        <f>IF(MouserListTable[[#This Row],[Vendor]]=FilterSpecs!$A$8,MouserListTable[[#This Row],[Mouser SKU]], MouserListTable[[#This Row],[Supplier SKU]])</f>
        <v>474-PRT-00116</v>
      </c>
      <c r="E464" s="152">
        <f>MouserListTable[[#This Row],[Tot '#]]-MouserListTable[[#This Row],['# Initial]]</f>
        <v>0</v>
      </c>
      <c r="F464" s="152">
        <f>IF(AND(MouserListTable[[#This Row],[Tag]]&lt;&gt;FilterSpecs!$F$12, MouserListTable[[#This Row],[Tag]]&lt;&gt;FilterSpecs!$F$9), MouserListTable[[#This Row],['#/Unit]]*FilterSpecs!$B$3+MouserListTable[[#This Row],[Extra Initial]],0)</f>
        <v>0</v>
      </c>
      <c r="G464" s="150" t="s">
        <v>749</v>
      </c>
      <c r="H464" s="150" t="s">
        <v>750</v>
      </c>
      <c r="I464" s="150" t="s">
        <v>751</v>
      </c>
      <c r="J464" s="150">
        <v>1</v>
      </c>
      <c r="K464" s="154">
        <v>1.5</v>
      </c>
      <c r="L464" s="150" t="s">
        <v>1896</v>
      </c>
      <c r="M464" s="150"/>
      <c r="N464" s="154">
        <f>MouserListTable[[#This Row],['# Initial]]*MouserListTable[[#This Row],[Price (USD)]]</f>
        <v>0</v>
      </c>
      <c r="O464" s="151" t="s">
        <v>748</v>
      </c>
      <c r="P464" s="150">
        <f t="shared" si="9"/>
        <v>451</v>
      </c>
      <c r="Q464" s="150" t="s">
        <v>5</v>
      </c>
      <c r="R46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474-PRT-00116</v>
      </c>
      <c r="S464" s="157" t="str">
        <f>HYPERLINK("https://www.mouser.com/ProductDetail/" &amp;MouserListTable[[#This Row],[Mouser SKU]])</f>
        <v>https://www.mouser.com/ProductDetail/474-PRT-00116</v>
      </c>
      <c r="T464" s="152">
        <v>0</v>
      </c>
      <c r="U464" s="152">
        <v>0</v>
      </c>
      <c r="V464" s="152">
        <v>0</v>
      </c>
      <c r="W464" s="152">
        <f>MouserListTable[[#This Row],['#/Unit]]*FilterSpecs!$C$3+MouserListTable[[#This Row],[Extra]]</f>
        <v>0</v>
      </c>
      <c r="X464" s="152">
        <f>IF(MouserListTable[[#This Row],[Tag]]=FilterSpecs!$F$7,MouserListTable[[#This Row],['#/Unit]]*MouserListTable[[#This Row],[Price (USD)]],0)</f>
        <v>0</v>
      </c>
      <c r="Y464" s="152">
        <f>MouserListTable[[#This Row],[Tot '#]]*MouserListTable[[#This Row],[Price (USD)]]</f>
        <v>0</v>
      </c>
    </row>
    <row r="465" spans="1:25" x14ac:dyDescent="0.25">
      <c r="A465" s="150" t="s">
        <v>890</v>
      </c>
      <c r="B465" s="150" t="s">
        <v>1877</v>
      </c>
      <c r="C465" s="150" t="s">
        <v>1884</v>
      </c>
      <c r="D465" s="151" t="str">
        <f>IF(MouserListTable[[#This Row],[Vendor]]=FilterSpecs!$A$8,MouserListTable[[#This Row],[Mouser SKU]], MouserListTable[[#This Row],[Supplier SKU]])</f>
        <v>485-392</v>
      </c>
      <c r="E465" s="152">
        <f>MouserListTable[[#This Row],[Tot '#]]-MouserListTable[[#This Row],['# Initial]]</f>
        <v>0</v>
      </c>
      <c r="F465" s="152">
        <f>IF(AND(MouserListTable[[#This Row],[Tag]]&lt;&gt;FilterSpecs!$F$12, MouserListTable[[#This Row],[Tag]]&lt;&gt;FilterSpecs!$F$9), MouserListTable[[#This Row],['#/Unit]]*FilterSpecs!$B$3+MouserListTable[[#This Row],[Extra Initial]],0)</f>
        <v>1</v>
      </c>
      <c r="G465" s="150"/>
      <c r="H465" s="150"/>
      <c r="I465" s="150" t="s">
        <v>2165</v>
      </c>
      <c r="J465" s="153"/>
      <c r="K465" s="154">
        <v>4.95</v>
      </c>
      <c r="L465" s="150" t="s">
        <v>1896</v>
      </c>
      <c r="M465" s="151"/>
      <c r="N465" s="154">
        <f>MouserListTable[[#This Row],['# Initial]]*MouserListTable[[#This Row],[Price (USD)]]</f>
        <v>4.95</v>
      </c>
      <c r="O465" s="151" t="s">
        <v>2164</v>
      </c>
      <c r="P465" s="150">
        <f t="shared" si="9"/>
        <v>452</v>
      </c>
      <c r="Q465" s="150" t="s">
        <v>1884</v>
      </c>
      <c r="R46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485-392</v>
      </c>
      <c r="S465" s="157" t="str">
        <f>HYPERLINK("https://www.mouser.com/ProductDetail/" &amp;MouserListTable[[#This Row],[Mouser SKU]])</f>
        <v>https://www.mouser.com/ProductDetail/485-392</v>
      </c>
      <c r="T465" s="152">
        <v>0</v>
      </c>
      <c r="U465" s="152">
        <v>1</v>
      </c>
      <c r="V465" s="152">
        <v>1</v>
      </c>
      <c r="W465" s="152">
        <f>MouserListTable[[#This Row],['#/Unit]]*FilterSpecs!$C$3+MouserListTable[[#This Row],[Extra]]</f>
        <v>1</v>
      </c>
      <c r="X465" s="152">
        <f>IF(MouserListTable[[#This Row],[Tag]]=FilterSpecs!$F$7,MouserListTable[[#This Row],['#/Unit]]*MouserListTable[[#This Row],[Price (USD)]],0)</f>
        <v>0</v>
      </c>
      <c r="Y465" s="152">
        <f>MouserListTable[[#This Row],[Tot '#]]*MouserListTable[[#This Row],[Price (USD)]]</f>
        <v>4.95</v>
      </c>
    </row>
    <row r="466" spans="1:25" x14ac:dyDescent="0.25">
      <c r="A466" s="150" t="s">
        <v>890</v>
      </c>
      <c r="B466" s="150" t="s">
        <v>1877</v>
      </c>
      <c r="C466" s="150" t="s">
        <v>1884</v>
      </c>
      <c r="D466" s="151" t="str">
        <f>IF(MouserListTable[[#This Row],[Vendor]]=FilterSpecs!$A$8,MouserListTable[[#This Row],[Mouser SKU]], MouserListTable[[#This Row],[Supplier SKU]])</f>
        <v>485-3009</v>
      </c>
      <c r="E466" s="152">
        <f>MouserListTable[[#This Row],[Tot '#]]-MouserListTable[[#This Row],['# Initial]]</f>
        <v>0</v>
      </c>
      <c r="F466" s="152">
        <f>IF(AND(MouserListTable[[#This Row],[Tag]]&lt;&gt;FilterSpecs!$F$12, MouserListTable[[#This Row],[Tag]]&lt;&gt;FilterSpecs!$F$9), MouserListTable[[#This Row],['#/Unit]]*FilterSpecs!$B$3+MouserListTable[[#This Row],[Extra Initial]],0)</f>
        <v>1</v>
      </c>
      <c r="G466" s="150"/>
      <c r="H466" s="150"/>
      <c r="I466" s="150" t="s">
        <v>2157</v>
      </c>
      <c r="J466" s="153"/>
      <c r="K466" s="154">
        <v>4.95</v>
      </c>
      <c r="L466" s="150" t="s">
        <v>1896</v>
      </c>
      <c r="M466" s="151"/>
      <c r="N466" s="154">
        <f>MouserListTable[[#This Row],['# Initial]]*MouserListTable[[#This Row],[Price (USD)]]</f>
        <v>4.95</v>
      </c>
      <c r="O466" s="151" t="s">
        <v>2156</v>
      </c>
      <c r="P466" s="150">
        <f t="shared" si="9"/>
        <v>453</v>
      </c>
      <c r="Q466" s="150" t="s">
        <v>1884</v>
      </c>
      <c r="R46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485-3009</v>
      </c>
      <c r="S466" s="157" t="str">
        <f>HYPERLINK("https://www.mouser.com/ProductDetail/" &amp;MouserListTable[[#This Row],[Mouser SKU]])</f>
        <v>https://www.mouser.com/ProductDetail/485-3009</v>
      </c>
      <c r="T466" s="152">
        <v>0</v>
      </c>
      <c r="U466" s="152">
        <v>1</v>
      </c>
      <c r="V466" s="152">
        <v>1</v>
      </c>
      <c r="W466" s="152">
        <f>MouserListTable[[#This Row],['#/Unit]]*FilterSpecs!$C$3+MouserListTable[[#This Row],[Extra]]</f>
        <v>1</v>
      </c>
      <c r="X466" s="152">
        <f>IF(MouserListTable[[#This Row],[Tag]]=FilterSpecs!$F$7,MouserListTable[[#This Row],['#/Unit]]*MouserListTable[[#This Row],[Price (USD)]],0)</f>
        <v>0</v>
      </c>
      <c r="Y466" s="152">
        <f>MouserListTable[[#This Row],[Tot '#]]*MouserListTable[[#This Row],[Price (USD)]]</f>
        <v>4.95</v>
      </c>
    </row>
    <row r="467" spans="1:25" x14ac:dyDescent="0.25">
      <c r="A467" s="150" t="s">
        <v>890</v>
      </c>
      <c r="B467" s="150" t="s">
        <v>1877</v>
      </c>
      <c r="C467" s="150" t="s">
        <v>5</v>
      </c>
      <c r="D467" s="151" t="str">
        <f>IF(MouserListTable[[#This Row],[Vendor]]=FilterSpecs!$A$8,MouserListTable[[#This Row],[Mouser SKU]], MouserListTable[[#This Row],[Supplier SKU]])</f>
        <v>474-PRT-10158</v>
      </c>
      <c r="E467" s="152">
        <f>MouserListTable[[#This Row],[Tot '#]]-MouserListTable[[#This Row],['# Initial]]</f>
        <v>0</v>
      </c>
      <c r="F467" s="152">
        <f>IF(AND(MouserListTable[[#This Row],[Tag]]&lt;&gt;FilterSpecs!$F$12, MouserListTable[[#This Row],[Tag]]&lt;&gt;FilterSpecs!$F$9), MouserListTable[[#This Row],['#/Unit]]*FilterSpecs!$B$3+MouserListTable[[#This Row],[Extra Initial]],0)</f>
        <v>5</v>
      </c>
      <c r="G467" s="150" t="s">
        <v>483</v>
      </c>
      <c r="H467" s="150" t="s">
        <v>484</v>
      </c>
      <c r="I467" s="150" t="s">
        <v>485</v>
      </c>
      <c r="J467" s="150">
        <v>1</v>
      </c>
      <c r="K467" s="154">
        <v>2.95</v>
      </c>
      <c r="L467" s="150" t="s">
        <v>1897</v>
      </c>
      <c r="M467" s="150"/>
      <c r="N467" s="154">
        <f>MouserListTable[[#This Row],['# Initial]]*MouserListTable[[#This Row],[Price (USD)]]</f>
        <v>14.75</v>
      </c>
      <c r="O467" s="151" t="s">
        <v>482</v>
      </c>
      <c r="P467" s="150">
        <f t="shared" si="9"/>
        <v>454</v>
      </c>
      <c r="Q467" s="150" t="s">
        <v>5</v>
      </c>
      <c r="R46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474-PRT-10158</v>
      </c>
      <c r="S467" s="157" t="str">
        <f>HYPERLINK("https://www.mouser.com/ProductDetail/" &amp;MouserListTable[[#This Row],[Mouser SKU]])</f>
        <v>https://www.mouser.com/ProductDetail/474-PRT-10158</v>
      </c>
      <c r="T467" s="152">
        <v>1</v>
      </c>
      <c r="U467" s="152">
        <v>0</v>
      </c>
      <c r="V467" s="152">
        <v>0</v>
      </c>
      <c r="W467" s="152">
        <f>MouserListTable[[#This Row],['#/Unit]]*FilterSpecs!$C$3+MouserListTable[[#This Row],[Extra]]</f>
        <v>5</v>
      </c>
      <c r="X467" s="152">
        <f>IF(MouserListTable[[#This Row],[Tag]]=FilterSpecs!$F$7,MouserListTable[[#This Row],['#/Unit]]*MouserListTable[[#This Row],[Price (USD)]],0)</f>
        <v>2.95</v>
      </c>
      <c r="Y467" s="152">
        <f>MouserListTable[[#This Row],[Tot '#]]*MouserListTable[[#This Row],[Price (USD)]]</f>
        <v>14.75</v>
      </c>
    </row>
    <row r="468" spans="1:25" x14ac:dyDescent="0.25">
      <c r="A468" s="150" t="s">
        <v>890</v>
      </c>
      <c r="B468" s="150" t="s">
        <v>1877</v>
      </c>
      <c r="C468" s="150" t="s">
        <v>5</v>
      </c>
      <c r="D468" s="151" t="str">
        <f>IF(MouserListTable[[#This Row],[Vendor]]=FilterSpecs!$A$8,MouserListTable[[#This Row],[Mouser SKU]], MouserListTable[[#This Row],[Supplier SKU]])</f>
        <v>474-PRT-12693</v>
      </c>
      <c r="E468" s="152">
        <f>MouserListTable[[#This Row],[Tot '#]]-MouserListTable[[#This Row],['# Initial]]</f>
        <v>0</v>
      </c>
      <c r="F468" s="152">
        <f>IF(AND(MouserListTable[[#This Row],[Tag]]&lt;&gt;FilterSpecs!$F$12, MouserListTable[[#This Row],[Tag]]&lt;&gt;FilterSpecs!$F$9), MouserListTable[[#This Row],['#/Unit]]*FilterSpecs!$B$3+MouserListTable[[#This Row],[Extra Initial]],0)</f>
        <v>5</v>
      </c>
      <c r="G468" s="150" t="s">
        <v>467</v>
      </c>
      <c r="H468" s="150" t="s">
        <v>468</v>
      </c>
      <c r="I468" s="150" t="s">
        <v>469</v>
      </c>
      <c r="J468" s="150">
        <v>1</v>
      </c>
      <c r="K468" s="154">
        <v>0.75</v>
      </c>
      <c r="L468" s="150" t="s">
        <v>1897</v>
      </c>
      <c r="M468" s="150"/>
      <c r="N468" s="154">
        <f>MouserListTable[[#This Row],['# Initial]]*MouserListTable[[#This Row],[Price (USD)]]</f>
        <v>3.75</v>
      </c>
      <c r="O468" s="151" t="s">
        <v>466</v>
      </c>
      <c r="P468" s="150">
        <f t="shared" si="9"/>
        <v>455</v>
      </c>
      <c r="Q468" s="150" t="s">
        <v>5</v>
      </c>
      <c r="R46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474-PRT-12693</v>
      </c>
      <c r="S468" s="157" t="str">
        <f>HYPERLINK("https://www.mouser.com/ProductDetail/" &amp;MouserListTable[[#This Row],[Mouser SKU]])</f>
        <v>https://www.mouser.com/ProductDetail/474-PRT-12693</v>
      </c>
      <c r="T468" s="152">
        <v>1</v>
      </c>
      <c r="U468" s="152">
        <v>0</v>
      </c>
      <c r="V468" s="152">
        <v>0</v>
      </c>
      <c r="W468" s="152">
        <f>MouserListTable[[#This Row],['#/Unit]]*FilterSpecs!$C$3+MouserListTable[[#This Row],[Extra]]</f>
        <v>5</v>
      </c>
      <c r="X468" s="152">
        <f>IF(MouserListTable[[#This Row],[Tag]]=FilterSpecs!$F$7,MouserListTable[[#This Row],['#/Unit]]*MouserListTable[[#This Row],[Price (USD)]],0)</f>
        <v>0.75</v>
      </c>
      <c r="Y468" s="152">
        <f>MouserListTable[[#This Row],[Tot '#]]*MouserListTable[[#This Row],[Price (USD)]]</f>
        <v>3.75</v>
      </c>
    </row>
    <row r="469" spans="1:25" x14ac:dyDescent="0.25">
      <c r="A469" s="98" t="s">
        <v>890</v>
      </c>
      <c r="B469" s="98" t="s">
        <v>1877</v>
      </c>
      <c r="C469" s="150" t="s">
        <v>1884</v>
      </c>
      <c r="D469" s="151" t="str">
        <f>IF(MouserListTable[[#This Row],[Vendor]]=FilterSpecs!$A$8,MouserListTable[[#This Row],[Mouser SKU]], MouserListTable[[#This Row],[Supplier SKU]])</f>
        <v>485-400</v>
      </c>
      <c r="E469" s="152">
        <f>MouserListTable[[#This Row],[Tot '#]]-MouserListTable[[#This Row],['# Initial]]</f>
        <v>0</v>
      </c>
      <c r="F469" s="152">
        <f>IF(AND(MouserListTable[[#This Row],[Tag]]&lt;&gt;FilterSpecs!$F$12, MouserListTable[[#This Row],[Tag]]&lt;&gt;FilterSpecs!$F$9), MouserListTable[[#This Row],['#/Unit]]*FilterSpecs!$B$3+MouserListTable[[#This Row],[Extra Initial]],0)</f>
        <v>1</v>
      </c>
      <c r="G469" s="150"/>
      <c r="H469" s="150"/>
      <c r="I469" s="150" t="s">
        <v>2456</v>
      </c>
      <c r="J469" s="113">
        <v>117</v>
      </c>
      <c r="K469" s="119">
        <v>3</v>
      </c>
      <c r="L469" s="97" t="s">
        <v>1896</v>
      </c>
      <c r="M469" s="153"/>
      <c r="N469" s="154">
        <f>MouserListTable[[#This Row],['# Initial]]*MouserListTable[[#This Row],[Price (USD)]]</f>
        <v>3</v>
      </c>
      <c r="O469" s="113" t="s">
        <v>2457</v>
      </c>
      <c r="P469" s="150">
        <f t="shared" si="9"/>
        <v>456</v>
      </c>
      <c r="Q469" s="150" t="s">
        <v>1884</v>
      </c>
      <c r="R46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485-400</v>
      </c>
      <c r="S469" s="157" t="str">
        <f>HYPERLINK("https://www.mouser.com/ProductDetail/" &amp;MouserListTable[[#This Row],[Mouser SKU]])</f>
        <v>https://www.mouser.com/ProductDetail/485-400</v>
      </c>
      <c r="T469" s="152">
        <v>0</v>
      </c>
      <c r="U469" s="152">
        <v>1</v>
      </c>
      <c r="V469" s="152">
        <v>1</v>
      </c>
      <c r="W469" s="152">
        <f>MouserListTable[[#This Row],['#/Unit]]*FilterSpecs!$C$3+MouserListTable[[#This Row],[Extra]]</f>
        <v>1</v>
      </c>
      <c r="X469" s="152">
        <f>IF(MouserListTable[[#This Row],[Tag]]=FilterSpecs!$F$7,MouserListTable[[#This Row],['#/Unit]]*MouserListTable[[#This Row],[Price (USD)]],0)</f>
        <v>0</v>
      </c>
      <c r="Y469" s="152">
        <f>MouserListTable[[#This Row],[Tot '#]]*MouserListTable[[#This Row],[Price (USD)]]</f>
        <v>3</v>
      </c>
    </row>
    <row r="470" spans="1:25" x14ac:dyDescent="0.25">
      <c r="A470" s="97" t="s">
        <v>890</v>
      </c>
      <c r="B470" s="97" t="s">
        <v>1877</v>
      </c>
      <c r="C470" s="150" t="s">
        <v>5</v>
      </c>
      <c r="D470" s="151" t="str">
        <f>IF(MouserListTable[[#This Row],[Vendor]]=FilterSpecs!$A$8,MouserListTable[[#This Row],[Mouser SKU]], MouserListTable[[#This Row],[Supplier SKU]])</f>
        <v>474-PRT-00553</v>
      </c>
      <c r="E470" s="152">
        <f>MouserListTable[[#This Row],[Tot '#]]-MouserListTable[[#This Row],['# Initial]]</f>
        <v>0</v>
      </c>
      <c r="F470" s="152">
        <f>IF(AND(MouserListTable[[#This Row],[Tag]]&lt;&gt;FilterSpecs!$F$12, MouserListTable[[#This Row],[Tag]]&lt;&gt;FilterSpecs!$F$9), MouserListTable[[#This Row],['#/Unit]]*FilterSpecs!$B$3+MouserListTable[[#This Row],[Extra Initial]],0)</f>
        <v>0</v>
      </c>
      <c r="G470" s="150" t="s">
        <v>753</v>
      </c>
      <c r="H470" s="150" t="s">
        <v>754</v>
      </c>
      <c r="I470" s="150" t="s">
        <v>755</v>
      </c>
      <c r="J470" s="150">
        <v>1</v>
      </c>
      <c r="K470" s="154">
        <v>1.95</v>
      </c>
      <c r="L470" s="150" t="s">
        <v>1896</v>
      </c>
      <c r="M470" s="150"/>
      <c r="N470" s="154">
        <f>MouserListTable[[#This Row],['# Initial]]*MouserListTable[[#This Row],[Price (USD)]]</f>
        <v>0</v>
      </c>
      <c r="O470" s="151" t="s">
        <v>752</v>
      </c>
      <c r="P470" s="150">
        <f t="shared" si="9"/>
        <v>457</v>
      </c>
      <c r="Q470" s="150" t="s">
        <v>5</v>
      </c>
      <c r="R47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474-PRT-00553</v>
      </c>
      <c r="S470" s="157" t="str">
        <f>HYPERLINK("https://www.mouser.com/ProductDetail/" &amp;MouserListTable[[#This Row],[Mouser SKU]])</f>
        <v>https://www.mouser.com/ProductDetail/474-PRT-00553</v>
      </c>
      <c r="T470" s="152">
        <v>0</v>
      </c>
      <c r="U470" s="152">
        <v>0</v>
      </c>
      <c r="V470" s="152">
        <v>0</v>
      </c>
      <c r="W470" s="152">
        <f>MouserListTable[[#This Row],['#/Unit]]*FilterSpecs!$C$3+MouserListTable[[#This Row],[Extra]]</f>
        <v>0</v>
      </c>
      <c r="X470" s="152">
        <f>IF(MouserListTable[[#This Row],[Tag]]=FilterSpecs!$F$7,MouserListTable[[#This Row],['#/Unit]]*MouserListTable[[#This Row],[Price (USD)]],0)</f>
        <v>0</v>
      </c>
      <c r="Y470" s="152">
        <f>MouserListTable[[#This Row],[Tot '#]]*MouserListTable[[#This Row],[Price (USD)]]</f>
        <v>0</v>
      </c>
    </row>
    <row r="471" spans="1:25" x14ac:dyDescent="0.25">
      <c r="A471" s="150" t="s">
        <v>890</v>
      </c>
      <c r="B471" s="150" t="s">
        <v>1877</v>
      </c>
      <c r="C471" s="150" t="s">
        <v>1884</v>
      </c>
      <c r="D471" s="151" t="str">
        <f>IF(MouserListTable[[#This Row],[Vendor]]=FilterSpecs!$A$8,MouserListTable[[#This Row],[Mouser SKU]], MouserListTable[[#This Row],[Supplier SKU]])</f>
        <v>485-1540</v>
      </c>
      <c r="E471" s="152">
        <f>MouserListTable[[#This Row],[Tot '#]]-MouserListTable[[#This Row],['# Initial]]</f>
        <v>1</v>
      </c>
      <c r="F471" s="152">
        <f>IF(AND(MouserListTable[[#This Row],[Tag]]&lt;&gt;FilterSpecs!$F$12, MouserListTable[[#This Row],[Tag]]&lt;&gt;FilterSpecs!$F$9), MouserListTable[[#This Row],['#/Unit]]*FilterSpecs!$B$3+MouserListTable[[#This Row],[Extra Initial]],0)</f>
        <v>0</v>
      </c>
      <c r="G471" s="150"/>
      <c r="H471" s="150"/>
      <c r="I471" s="150" t="s">
        <v>2167</v>
      </c>
      <c r="J471" s="153"/>
      <c r="K471" s="118">
        <v>5.95</v>
      </c>
      <c r="L471" s="97" t="s">
        <v>2461</v>
      </c>
      <c r="M471" s="153"/>
      <c r="N471" s="154">
        <f>MouserListTable[[#This Row],['# Initial]]*MouserListTable[[#This Row],[Price (USD)]]</f>
        <v>0</v>
      </c>
      <c r="O471" s="151" t="s">
        <v>2166</v>
      </c>
      <c r="P471" s="150">
        <f t="shared" si="9"/>
        <v>458</v>
      </c>
      <c r="Q471" s="150" t="s">
        <v>1884</v>
      </c>
      <c r="R47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485-1540</v>
      </c>
      <c r="S471" s="157" t="str">
        <f>HYPERLINK("https://www.mouser.com/ProductDetail/" &amp;MouserListTable[[#This Row],[Mouser SKU]])</f>
        <v>https://www.mouser.com/ProductDetail/485-1540</v>
      </c>
      <c r="T471" s="152">
        <v>0</v>
      </c>
      <c r="U471" s="152">
        <v>1</v>
      </c>
      <c r="V471" s="152">
        <v>1</v>
      </c>
      <c r="W471" s="152">
        <f>MouserListTable[[#This Row],['#/Unit]]*FilterSpecs!$C$3+MouserListTable[[#This Row],[Extra]]</f>
        <v>1</v>
      </c>
      <c r="X471" s="152">
        <f>IF(MouserListTable[[#This Row],[Tag]]=FilterSpecs!$F$7,MouserListTable[[#This Row],['#/Unit]]*MouserListTable[[#This Row],[Price (USD)]],0)</f>
        <v>0</v>
      </c>
      <c r="Y471" s="152">
        <f>MouserListTable[[#This Row],[Tot '#]]*MouserListTable[[#This Row],[Price (USD)]]</f>
        <v>5.95</v>
      </c>
    </row>
    <row r="472" spans="1:25" x14ac:dyDescent="0.25">
      <c r="A472" s="150" t="s">
        <v>890</v>
      </c>
      <c r="B472" s="150" t="s">
        <v>1877</v>
      </c>
      <c r="C472" s="150" t="s">
        <v>1884</v>
      </c>
      <c r="D472" s="151" t="str">
        <f>IF(MouserListTable[[#This Row],[Vendor]]=FilterSpecs!$A$8,MouserListTable[[#This Row],[Mouser SKU]], MouserListTable[[#This Row],[Supplier SKU]])</f>
        <v>485-2822</v>
      </c>
      <c r="E472" s="152">
        <f>MouserListTable[[#This Row],[Tot '#]]-MouserListTable[[#This Row],['# Initial]]</f>
        <v>0</v>
      </c>
      <c r="F472" s="152">
        <f>IF(AND(MouserListTable[[#This Row],[Tag]]&lt;&gt;FilterSpecs!$F$12, MouserListTable[[#This Row],[Tag]]&lt;&gt;FilterSpecs!$F$9), MouserListTable[[#This Row],['#/Unit]]*FilterSpecs!$B$3+MouserListTable[[#This Row],[Extra Initial]],0)</f>
        <v>0</v>
      </c>
      <c r="G472" s="150"/>
      <c r="H472" s="150"/>
      <c r="I472" s="150" t="s">
        <v>2159</v>
      </c>
      <c r="J472" s="153"/>
      <c r="K472" s="118">
        <v>0.95</v>
      </c>
      <c r="L472" s="97" t="s">
        <v>1896</v>
      </c>
      <c r="M472" s="153"/>
      <c r="N472" s="154">
        <f>MouserListTable[[#This Row],['# Initial]]*MouserListTable[[#This Row],[Price (USD)]]</f>
        <v>0</v>
      </c>
      <c r="O472" s="151" t="s">
        <v>2158</v>
      </c>
      <c r="P472" s="150">
        <f t="shared" si="9"/>
        <v>459</v>
      </c>
      <c r="Q472" s="150" t="s">
        <v>1884</v>
      </c>
      <c r="R47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485-2822</v>
      </c>
      <c r="S472" s="157" t="str">
        <f>HYPERLINK("https://www.mouser.com/ProductDetail/" &amp;MouserListTable[[#This Row],[Mouser SKU]])</f>
        <v>https://www.mouser.com/ProductDetail/485-2822</v>
      </c>
      <c r="T472" s="152">
        <v>0</v>
      </c>
      <c r="U472" s="152">
        <v>0</v>
      </c>
      <c r="V472" s="152">
        <v>0</v>
      </c>
      <c r="W472" s="152">
        <f>MouserListTable[[#This Row],['#/Unit]]*FilterSpecs!$C$3+MouserListTable[[#This Row],[Extra]]</f>
        <v>0</v>
      </c>
      <c r="X472" s="152">
        <f>IF(MouserListTable[[#This Row],[Tag]]=FilterSpecs!$F$7,MouserListTable[[#This Row],['#/Unit]]*MouserListTable[[#This Row],[Price (USD)]],0)</f>
        <v>0</v>
      </c>
      <c r="Y472" s="152">
        <f>MouserListTable[[#This Row],[Tot '#]]*MouserListTable[[#This Row],[Price (USD)]]</f>
        <v>0</v>
      </c>
    </row>
    <row r="473" spans="1:25" x14ac:dyDescent="0.25">
      <c r="A473" s="150" t="s">
        <v>890</v>
      </c>
      <c r="B473" s="150" t="s">
        <v>1877</v>
      </c>
      <c r="C473" s="150" t="s">
        <v>1884</v>
      </c>
      <c r="D473" s="151" t="str">
        <f>IF(MouserListTable[[#This Row],[Vendor]]=FilterSpecs!$A$8,MouserListTable[[#This Row],[Mouser SKU]], MouserListTable[[#This Row],[Supplier SKU]])</f>
        <v>485-1539</v>
      </c>
      <c r="E473" s="152">
        <f>MouserListTable[[#This Row],[Tot '#]]-MouserListTable[[#This Row],['# Initial]]</f>
        <v>0</v>
      </c>
      <c r="F473" s="152">
        <f>IF(AND(MouserListTable[[#This Row],[Tag]]&lt;&gt;FilterSpecs!$F$12, MouserListTable[[#This Row],[Tag]]&lt;&gt;FilterSpecs!$F$9), MouserListTable[[#This Row],['#/Unit]]*FilterSpecs!$B$3+MouserListTable[[#This Row],[Extra Initial]],0)</f>
        <v>1</v>
      </c>
      <c r="G473" s="150"/>
      <c r="H473" s="150"/>
      <c r="I473" s="150" t="s">
        <v>2161</v>
      </c>
      <c r="J473" s="153"/>
      <c r="K473" s="154">
        <v>7.5</v>
      </c>
      <c r="L473" s="150" t="s">
        <v>1896</v>
      </c>
      <c r="M473" s="151"/>
      <c r="N473" s="154">
        <f>MouserListTable[[#This Row],['# Initial]]*MouserListTable[[#This Row],[Price (USD)]]</f>
        <v>7.5</v>
      </c>
      <c r="O473" s="151" t="s">
        <v>2160</v>
      </c>
      <c r="P473" s="150">
        <f t="shared" si="9"/>
        <v>460</v>
      </c>
      <c r="Q473" s="150" t="s">
        <v>1884</v>
      </c>
      <c r="R47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485-1539</v>
      </c>
      <c r="S473" s="157" t="str">
        <f>HYPERLINK("https://www.mouser.com/ProductDetail/" &amp;MouserListTable[[#This Row],[Mouser SKU]])</f>
        <v>https://www.mouser.com/ProductDetail/485-1539</v>
      </c>
      <c r="T473" s="152">
        <v>0</v>
      </c>
      <c r="U473" s="152">
        <v>1</v>
      </c>
      <c r="V473" s="152">
        <v>1</v>
      </c>
      <c r="W473" s="152">
        <f>MouserListTable[[#This Row],['#/Unit]]*FilterSpecs!$C$3+MouserListTable[[#This Row],[Extra]]</f>
        <v>1</v>
      </c>
      <c r="X473" s="152">
        <f>IF(MouserListTable[[#This Row],[Tag]]=FilterSpecs!$F$7,MouserListTable[[#This Row],['#/Unit]]*MouserListTable[[#This Row],[Price (USD)]],0)</f>
        <v>0</v>
      </c>
      <c r="Y473" s="152">
        <f>MouserListTable[[#This Row],[Tot '#]]*MouserListTable[[#This Row],[Price (USD)]]</f>
        <v>7.5</v>
      </c>
    </row>
    <row r="474" spans="1:25" x14ac:dyDescent="0.25">
      <c r="A474" s="150" t="s">
        <v>890</v>
      </c>
      <c r="B474" s="150" t="s">
        <v>1877</v>
      </c>
      <c r="C474" s="150" t="s">
        <v>1884</v>
      </c>
      <c r="D474" s="151" t="str">
        <f>IF(MouserListTable[[#This Row],[Vendor]]=FilterSpecs!$A$8,MouserListTable[[#This Row],[Mouser SKU]], MouserListTable[[#This Row],[Supplier SKU]])</f>
        <v>485-1541</v>
      </c>
      <c r="E474" s="152">
        <f>MouserListTable[[#This Row],[Tot '#]]-MouserListTable[[#This Row],['# Initial]]</f>
        <v>0</v>
      </c>
      <c r="F474" s="152">
        <f>IF(AND(MouserListTable[[#This Row],[Tag]]&lt;&gt;FilterSpecs!$F$12, MouserListTable[[#This Row],[Tag]]&lt;&gt;FilterSpecs!$F$9), MouserListTable[[#This Row],['#/Unit]]*FilterSpecs!$B$3+MouserListTable[[#This Row],[Extra Initial]],0)</f>
        <v>1</v>
      </c>
      <c r="G474" s="150"/>
      <c r="H474" s="150"/>
      <c r="I474" s="150" t="s">
        <v>2163</v>
      </c>
      <c r="J474" s="153"/>
      <c r="K474" s="154">
        <v>5.95</v>
      </c>
      <c r="L474" s="150" t="s">
        <v>1896</v>
      </c>
      <c r="M474" s="151"/>
      <c r="N474" s="154">
        <f>MouserListTable[[#This Row],['# Initial]]*MouserListTable[[#This Row],[Price (USD)]]</f>
        <v>5.95</v>
      </c>
      <c r="O474" s="151" t="s">
        <v>2162</v>
      </c>
      <c r="P474" s="150">
        <f t="shared" si="9"/>
        <v>461</v>
      </c>
      <c r="Q474" s="150" t="s">
        <v>1884</v>
      </c>
      <c r="R47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485-1541</v>
      </c>
      <c r="S474" s="157" t="str">
        <f>HYPERLINK("https://www.mouser.com/ProductDetail/" &amp;MouserListTable[[#This Row],[Mouser SKU]])</f>
        <v>https://www.mouser.com/ProductDetail/485-1541</v>
      </c>
      <c r="T474" s="152">
        <v>0</v>
      </c>
      <c r="U474" s="152">
        <v>1</v>
      </c>
      <c r="V474" s="152">
        <v>1</v>
      </c>
      <c r="W474" s="152">
        <f>MouserListTable[[#This Row],['#/Unit]]*FilterSpecs!$C$3+MouserListTable[[#This Row],[Extra]]</f>
        <v>1</v>
      </c>
      <c r="X474" s="152">
        <f>IF(MouserListTable[[#This Row],[Tag]]=FilterSpecs!$F$7,MouserListTable[[#This Row],['#/Unit]]*MouserListTable[[#This Row],[Price (USD)]],0)</f>
        <v>0</v>
      </c>
      <c r="Y474" s="152">
        <f>MouserListTable[[#This Row],[Tot '#]]*MouserListTable[[#This Row],[Price (USD)]]</f>
        <v>5.95</v>
      </c>
    </row>
    <row r="475" spans="1:25" x14ac:dyDescent="0.25">
      <c r="A475" s="97" t="s">
        <v>890</v>
      </c>
      <c r="B475" s="97" t="s">
        <v>1877</v>
      </c>
      <c r="C475" s="150" t="s">
        <v>5</v>
      </c>
      <c r="D475" s="151" t="str">
        <f>IF(MouserListTable[[#This Row],[Vendor]]=FilterSpecs!$A$8,MouserListTable[[#This Row],[Mouser SKU]], MouserListTable[[#This Row],[Supplier SKU]])</f>
        <v>474-COM-12792</v>
      </c>
      <c r="E475" s="152">
        <f>MouserListTable[[#This Row],[Tot '#]]-MouserListTable[[#This Row],['# Initial]]</f>
        <v>0</v>
      </c>
      <c r="F475" s="152">
        <f>IF(AND(MouserListTable[[#This Row],[Tag]]&lt;&gt;FilterSpecs!$F$12, MouserListTable[[#This Row],[Tag]]&lt;&gt;FilterSpecs!$F$9), MouserListTable[[#This Row],['#/Unit]]*FilterSpecs!$B$3+MouserListTable[[#This Row],[Extra Initial]],0)</f>
        <v>0</v>
      </c>
      <c r="G475" s="150" t="s">
        <v>757</v>
      </c>
      <c r="H475" s="150" t="s">
        <v>758</v>
      </c>
      <c r="I475" s="150" t="s">
        <v>759</v>
      </c>
      <c r="J475" s="150">
        <v>1</v>
      </c>
      <c r="K475" s="154">
        <v>1.95</v>
      </c>
      <c r="L475" s="150" t="s">
        <v>1896</v>
      </c>
      <c r="M475" s="150"/>
      <c r="N475" s="154">
        <f>MouserListTable[[#This Row],['# Initial]]*MouserListTable[[#This Row],[Price (USD)]]</f>
        <v>0</v>
      </c>
      <c r="O475" s="151" t="s">
        <v>756</v>
      </c>
      <c r="P475" s="150">
        <f t="shared" si="9"/>
        <v>462</v>
      </c>
      <c r="Q475" s="150" t="s">
        <v>5</v>
      </c>
      <c r="R47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474-COM-12792</v>
      </c>
      <c r="S475" s="157" t="str">
        <f>HYPERLINK("https://www.mouser.com/ProductDetail/" &amp;MouserListTable[[#This Row],[Mouser SKU]])</f>
        <v>https://www.mouser.com/ProductDetail/474-COM-12792</v>
      </c>
      <c r="T475" s="152">
        <v>0</v>
      </c>
      <c r="U475" s="152">
        <v>0</v>
      </c>
      <c r="V475" s="152">
        <v>0</v>
      </c>
      <c r="W475" s="152">
        <f>MouserListTable[[#This Row],['#/Unit]]*FilterSpecs!$C$3+MouserListTable[[#This Row],[Extra]]</f>
        <v>0</v>
      </c>
      <c r="X475" s="152">
        <f>IF(MouserListTable[[#This Row],[Tag]]=FilterSpecs!$F$7,MouserListTable[[#This Row],['#/Unit]]*MouserListTable[[#This Row],[Price (USD)]],0)</f>
        <v>0</v>
      </c>
      <c r="Y475" s="152">
        <f>MouserListTable[[#This Row],[Tot '#]]*MouserListTable[[#This Row],[Price (USD)]]</f>
        <v>0</v>
      </c>
    </row>
    <row r="476" spans="1:25" x14ac:dyDescent="0.25">
      <c r="A476" s="97" t="s">
        <v>890</v>
      </c>
      <c r="B476" s="97" t="s">
        <v>1877</v>
      </c>
      <c r="C476" s="150" t="s">
        <v>5</v>
      </c>
      <c r="D476" s="151" t="str">
        <f>IF(MouserListTable[[#This Row],[Vendor]]=FilterSpecs!$A$8,MouserListTable[[#This Row],[Mouser SKU]], MouserListTable[[#This Row],[Supplier SKU]])</f>
        <v>474-COM-10095</v>
      </c>
      <c r="E476" s="152">
        <f>MouserListTable[[#This Row],[Tot '#]]-MouserListTable[[#This Row],['# Initial]]</f>
        <v>0</v>
      </c>
      <c r="F476" s="152">
        <f>IF(AND(MouserListTable[[#This Row],[Tag]]&lt;&gt;FilterSpecs!$F$12, MouserListTable[[#This Row],[Tag]]&lt;&gt;FilterSpecs!$F$9), MouserListTable[[#This Row],['#/Unit]]*FilterSpecs!$B$3+MouserListTable[[#This Row],[Extra Initial]],0)</f>
        <v>0</v>
      </c>
      <c r="G476" s="150" t="s">
        <v>1292</v>
      </c>
      <c r="H476" s="150" t="s">
        <v>1293</v>
      </c>
      <c r="I476" s="150" t="s">
        <v>1294</v>
      </c>
      <c r="J476" s="150">
        <v>1</v>
      </c>
      <c r="K476" s="154">
        <v>4.95</v>
      </c>
      <c r="L476" s="150" t="s">
        <v>1896</v>
      </c>
      <c r="M476" s="150"/>
      <c r="N476" s="154">
        <f>MouserListTable[[#This Row],['# Initial]]*MouserListTable[[#This Row],[Price (USD)]]</f>
        <v>0</v>
      </c>
      <c r="O476" s="151" t="s">
        <v>1291</v>
      </c>
      <c r="P476" s="150">
        <f t="shared" si="9"/>
        <v>463</v>
      </c>
      <c r="Q476" s="150" t="s">
        <v>5</v>
      </c>
      <c r="R47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474-COM-10095</v>
      </c>
      <c r="S476" s="157" t="str">
        <f>HYPERLINK("https://www.mouser.com/ProductDetail/" &amp;MouserListTable[[#This Row],[Mouser SKU]])</f>
        <v>https://www.mouser.com/ProductDetail/474-COM-10095</v>
      </c>
      <c r="T476" s="152">
        <v>0</v>
      </c>
      <c r="U476" s="152">
        <v>0</v>
      </c>
      <c r="V476" s="152">
        <v>0</v>
      </c>
      <c r="W476" s="152">
        <f>MouserListTable[[#This Row],['#/Unit]]*FilterSpecs!$C$3+MouserListTable[[#This Row],[Extra]]</f>
        <v>0</v>
      </c>
      <c r="X476" s="152">
        <f>IF(MouserListTable[[#This Row],[Tag]]=FilterSpecs!$F$7,MouserListTable[[#This Row],['#/Unit]]*MouserListTable[[#This Row],[Price (USD)]],0)</f>
        <v>0</v>
      </c>
      <c r="Y476" s="152">
        <f>MouserListTable[[#This Row],[Tot '#]]*MouserListTable[[#This Row],[Price (USD)]]</f>
        <v>0</v>
      </c>
    </row>
    <row r="477" spans="1:25" x14ac:dyDescent="0.25">
      <c r="A477" s="97" t="s">
        <v>890</v>
      </c>
      <c r="B477" s="97" t="s">
        <v>1877</v>
      </c>
      <c r="C477" s="150" t="s">
        <v>5</v>
      </c>
      <c r="D477" s="151" t="str">
        <f>IF(MouserListTable[[#This Row],[Vendor]]=FilterSpecs!$A$8,MouserListTable[[#This Row],[Mouser SKU]], MouserListTable[[#This Row],[Supplier SKU]])</f>
        <v>474-PRT-10112</v>
      </c>
      <c r="E477" s="152">
        <f>MouserListTable[[#This Row],[Tot '#]]-MouserListTable[[#This Row],['# Initial]]</f>
        <v>0</v>
      </c>
      <c r="F477" s="152">
        <f>IF(AND(MouserListTable[[#This Row],[Tag]]&lt;&gt;FilterSpecs!$F$12, MouserListTable[[#This Row],[Tag]]&lt;&gt;FilterSpecs!$F$9), MouserListTable[[#This Row],['#/Unit]]*FilterSpecs!$B$3+MouserListTable[[#This Row],[Extra Initial]],0)</f>
        <v>0</v>
      </c>
      <c r="G477" s="150" t="s">
        <v>777</v>
      </c>
      <c r="H477" s="150" t="s">
        <v>778</v>
      </c>
      <c r="I477" s="150" t="s">
        <v>779</v>
      </c>
      <c r="J477" s="150">
        <v>1</v>
      </c>
      <c r="K477" s="154">
        <v>0.95</v>
      </c>
      <c r="L477" s="150" t="s">
        <v>1896</v>
      </c>
      <c r="M477" s="150"/>
      <c r="N477" s="154">
        <f>MouserListTable[[#This Row],['# Initial]]*MouserListTable[[#This Row],[Price (USD)]]</f>
        <v>0</v>
      </c>
      <c r="O477" s="151" t="s">
        <v>776</v>
      </c>
      <c r="P477" s="150">
        <f t="shared" si="9"/>
        <v>464</v>
      </c>
      <c r="Q477" s="150" t="s">
        <v>5</v>
      </c>
      <c r="R47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474-PRT-10112</v>
      </c>
      <c r="S477" s="157" t="str">
        <f>HYPERLINK("https://www.mouser.com/ProductDetail/" &amp;MouserListTable[[#This Row],[Mouser SKU]])</f>
        <v>https://www.mouser.com/ProductDetail/474-PRT-10112</v>
      </c>
      <c r="T477" s="152">
        <v>0</v>
      </c>
      <c r="U477" s="152">
        <v>0</v>
      </c>
      <c r="V477" s="152">
        <v>0</v>
      </c>
      <c r="W477" s="152">
        <f>MouserListTable[[#This Row],['#/Unit]]*FilterSpecs!$C$3+MouserListTable[[#This Row],[Extra]]</f>
        <v>0</v>
      </c>
      <c r="X477" s="152">
        <f>IF(MouserListTable[[#This Row],[Tag]]=FilterSpecs!$F$7,MouserListTable[[#This Row],['#/Unit]]*MouserListTable[[#This Row],[Price (USD)]],0)</f>
        <v>0</v>
      </c>
      <c r="Y477" s="152">
        <f>MouserListTable[[#This Row],[Tot '#]]*MouserListTable[[#This Row],[Price (USD)]]</f>
        <v>0</v>
      </c>
    </row>
    <row r="478" spans="1:25" x14ac:dyDescent="0.25">
      <c r="A478" s="150" t="s">
        <v>890</v>
      </c>
      <c r="B478" s="150" t="s">
        <v>1877</v>
      </c>
      <c r="C478" s="150" t="s">
        <v>1884</v>
      </c>
      <c r="D478" s="151" t="str">
        <f>IF(MouserListTable[[#This Row],[Vendor]]=FilterSpecs!$A$8,MouserListTable[[#This Row],[Mouser SKU]], MouserListTable[[#This Row],[Supplier SKU]])</f>
        <v>485-2671</v>
      </c>
      <c r="E478" s="152">
        <f>MouserListTable[[#This Row],[Tot '#]]-MouserListTable[[#This Row],['# Initial]]</f>
        <v>0</v>
      </c>
      <c r="F478" s="152">
        <f>IF(AND(MouserListTable[[#This Row],[Tag]]&lt;&gt;FilterSpecs!$F$12, MouserListTable[[#This Row],[Tag]]&lt;&gt;FilterSpecs!$F$9), MouserListTable[[#This Row],['#/Unit]]*FilterSpecs!$B$3+MouserListTable[[#This Row],[Extra Initial]],0)</f>
        <v>1</v>
      </c>
      <c r="G478" s="150"/>
      <c r="H478" s="150"/>
      <c r="I478" s="150" t="s">
        <v>2155</v>
      </c>
      <c r="J478" s="153"/>
      <c r="K478" s="154">
        <v>2.95</v>
      </c>
      <c r="L478" s="150" t="s">
        <v>1896</v>
      </c>
      <c r="M478" s="151"/>
      <c r="N478" s="154">
        <f>MouserListTable[[#This Row],['# Initial]]*MouserListTable[[#This Row],[Price (USD)]]</f>
        <v>2.95</v>
      </c>
      <c r="O478" s="151" t="s">
        <v>2154</v>
      </c>
      <c r="P478" s="150">
        <f t="shared" si="9"/>
        <v>465</v>
      </c>
      <c r="Q478" s="150" t="s">
        <v>1884</v>
      </c>
      <c r="R47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485-2671</v>
      </c>
      <c r="S478" s="157" t="str">
        <f>HYPERLINK("https://www.mouser.com/ProductDetail/" &amp;MouserListTable[[#This Row],[Mouser SKU]])</f>
        <v>https://www.mouser.com/ProductDetail/485-2671</v>
      </c>
      <c r="T478" s="152">
        <v>0</v>
      </c>
      <c r="U478" s="152">
        <v>1</v>
      </c>
      <c r="V478" s="152">
        <v>1</v>
      </c>
      <c r="W478" s="152">
        <f>MouserListTable[[#This Row],['#/Unit]]*FilterSpecs!$C$3+MouserListTable[[#This Row],[Extra]]</f>
        <v>1</v>
      </c>
      <c r="X478" s="152">
        <f>IF(MouserListTable[[#This Row],[Tag]]=FilterSpecs!$F$7,MouserListTable[[#This Row],['#/Unit]]*MouserListTable[[#This Row],[Price (USD)]],0)</f>
        <v>0</v>
      </c>
      <c r="Y478" s="152">
        <f>MouserListTable[[#This Row],[Tot '#]]*MouserListTable[[#This Row],[Price (USD)]]</f>
        <v>2.95</v>
      </c>
    </row>
    <row r="479" spans="1:25" x14ac:dyDescent="0.25">
      <c r="A479" s="150" t="s">
        <v>890</v>
      </c>
      <c r="B479" s="150" t="s">
        <v>1878</v>
      </c>
      <c r="C479" s="150" t="s">
        <v>1884</v>
      </c>
      <c r="D479" s="151" t="str">
        <f>IF(MouserListTable[[#This Row],[Vendor]]=FilterSpecs!$A$8,MouserListTable[[#This Row],[Mouser SKU]], MouserListTable[[#This Row],[Supplier SKU]])</f>
        <v>485-2886</v>
      </c>
      <c r="E479" s="152">
        <f>MouserListTable[[#This Row],[Tot '#]]-MouserListTable[[#This Row],['# Initial]]</f>
        <v>0</v>
      </c>
      <c r="F479" s="152">
        <f>IF(AND(MouserListTable[[#This Row],[Tag]]&lt;&gt;FilterSpecs!$F$12, MouserListTable[[#This Row],[Tag]]&lt;&gt;FilterSpecs!$F$9), MouserListTable[[#This Row],['#/Unit]]*FilterSpecs!$B$3+MouserListTable[[#This Row],[Extra Initial]],0)</f>
        <v>0</v>
      </c>
      <c r="G479" s="150"/>
      <c r="H479" s="150"/>
      <c r="I479" s="150" t="s">
        <v>2153</v>
      </c>
      <c r="J479" s="153"/>
      <c r="K479" s="118">
        <v>0.95</v>
      </c>
      <c r="L479" s="97" t="s">
        <v>1896</v>
      </c>
      <c r="M479" s="153"/>
      <c r="N479" s="154">
        <f>MouserListTable[[#This Row],['# Initial]]*MouserListTable[[#This Row],[Price (USD)]]</f>
        <v>0</v>
      </c>
      <c r="O479" s="151" t="s">
        <v>2152</v>
      </c>
      <c r="P479" s="150">
        <f t="shared" si="9"/>
        <v>466</v>
      </c>
      <c r="Q479" s="150" t="s">
        <v>1884</v>
      </c>
      <c r="R47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485-2886</v>
      </c>
      <c r="S479" s="157" t="str">
        <f>HYPERLINK("https://www.mouser.com/ProductDetail/" &amp;MouserListTable[[#This Row],[Mouser SKU]])</f>
        <v>https://www.mouser.com/ProductDetail/485-2886</v>
      </c>
      <c r="T479" s="152">
        <v>0</v>
      </c>
      <c r="U479" s="152">
        <v>0</v>
      </c>
      <c r="V479" s="152">
        <v>0</v>
      </c>
      <c r="W479" s="152">
        <f>MouserListTable[[#This Row],['#/Unit]]*FilterSpecs!$C$3+MouserListTable[[#This Row],[Extra]]</f>
        <v>0</v>
      </c>
      <c r="X479" s="152">
        <f>IF(MouserListTable[[#This Row],[Tag]]=FilterSpecs!$F$7,MouserListTable[[#This Row],['#/Unit]]*MouserListTable[[#This Row],[Price (USD)]],0)</f>
        <v>0</v>
      </c>
      <c r="Y479" s="152">
        <f>MouserListTable[[#This Row],[Tot '#]]*MouserListTable[[#This Row],[Price (USD)]]</f>
        <v>0</v>
      </c>
    </row>
    <row r="480" spans="1:25" x14ac:dyDescent="0.25">
      <c r="A480" s="150" t="s">
        <v>890</v>
      </c>
      <c r="B480" s="150" t="s">
        <v>1878</v>
      </c>
      <c r="C480" s="150" t="s">
        <v>1884</v>
      </c>
      <c r="D480" s="151" t="str">
        <f>IF(MouserListTable[[#This Row],[Vendor]]=FilterSpecs!$A$8,MouserListTable[[#This Row],[Mouser SKU]], MouserListTable[[#This Row],[Supplier SKU]])</f>
        <v>485-598</v>
      </c>
      <c r="E480" s="152">
        <f>MouserListTable[[#This Row],[Tot '#]]-MouserListTable[[#This Row],['# Initial]]</f>
        <v>0</v>
      </c>
      <c r="F480" s="152">
        <f>IF(AND(MouserListTable[[#This Row],[Tag]]&lt;&gt;FilterSpecs!$F$12, MouserListTable[[#This Row],[Tag]]&lt;&gt;FilterSpecs!$F$9), MouserListTable[[#This Row],['#/Unit]]*FilterSpecs!$B$3+MouserListTable[[#This Row],[Extra Initial]],0)</f>
        <v>1</v>
      </c>
      <c r="G480" s="150"/>
      <c r="H480" s="150"/>
      <c r="I480" s="150" t="s">
        <v>2147</v>
      </c>
      <c r="J480" s="153"/>
      <c r="K480" s="154">
        <v>2.95</v>
      </c>
      <c r="L480" s="150" t="s">
        <v>1896</v>
      </c>
      <c r="M480" s="151"/>
      <c r="N480" s="154">
        <f>MouserListTable[[#This Row],['# Initial]]*MouserListTable[[#This Row],[Price (USD)]]</f>
        <v>2.95</v>
      </c>
      <c r="O480" s="151" t="s">
        <v>2146</v>
      </c>
      <c r="P480" s="150">
        <f t="shared" si="9"/>
        <v>467</v>
      </c>
      <c r="Q480" s="150" t="s">
        <v>1884</v>
      </c>
      <c r="R48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485-598</v>
      </c>
      <c r="S480" s="157" t="str">
        <f>HYPERLINK("https://www.mouser.com/ProductDetail/" &amp;MouserListTable[[#This Row],[Mouser SKU]])</f>
        <v>https://www.mouser.com/ProductDetail/485-598</v>
      </c>
      <c r="T480" s="152">
        <v>0</v>
      </c>
      <c r="U480" s="152">
        <v>1</v>
      </c>
      <c r="V480" s="152">
        <v>1</v>
      </c>
      <c r="W480" s="152">
        <f>MouserListTable[[#This Row],['#/Unit]]*FilterSpecs!$C$3+MouserListTable[[#This Row],[Extra]]</f>
        <v>1</v>
      </c>
      <c r="X480" s="152">
        <f>IF(MouserListTable[[#This Row],[Tag]]=FilterSpecs!$F$7,MouserListTable[[#This Row],['#/Unit]]*MouserListTable[[#This Row],[Price (USD)]],0)</f>
        <v>0</v>
      </c>
      <c r="Y480" s="152">
        <f>MouserListTable[[#This Row],[Tot '#]]*MouserListTable[[#This Row],[Price (USD)]]</f>
        <v>2.95</v>
      </c>
    </row>
    <row r="481" spans="1:25" x14ac:dyDescent="0.25">
      <c r="A481" s="150" t="s">
        <v>890</v>
      </c>
      <c r="B481" s="150" t="s">
        <v>1878</v>
      </c>
      <c r="C481" s="150" t="s">
        <v>1884</v>
      </c>
      <c r="D481" s="151" t="str">
        <f>IF(MouserListTable[[#This Row],[Vendor]]=FilterSpecs!$A$8,MouserListTable[[#This Row],[Mouser SKU]], MouserListTable[[#This Row],[Supplier SKU]])</f>
        <v>485-3008</v>
      </c>
      <c r="E481" s="152">
        <f>MouserListTable[[#This Row],[Tot '#]]-MouserListTable[[#This Row],['# Initial]]</f>
        <v>0</v>
      </c>
      <c r="F481" s="152">
        <f>IF(AND(MouserListTable[[#This Row],[Tag]]&lt;&gt;FilterSpecs!$F$12, MouserListTable[[#This Row],[Tag]]&lt;&gt;FilterSpecs!$F$9), MouserListTable[[#This Row],['#/Unit]]*FilterSpecs!$B$3+MouserListTable[[#This Row],[Extra Initial]],0)</f>
        <v>1</v>
      </c>
      <c r="G481" s="150"/>
      <c r="H481" s="150"/>
      <c r="I481" s="150" t="s">
        <v>2149</v>
      </c>
      <c r="J481" s="153"/>
      <c r="K481" s="154">
        <v>7.95</v>
      </c>
      <c r="L481" s="150" t="s">
        <v>1896</v>
      </c>
      <c r="M481" s="151"/>
      <c r="N481" s="154">
        <f>MouserListTable[[#This Row],['# Initial]]*MouserListTable[[#This Row],[Price (USD)]]</f>
        <v>7.95</v>
      </c>
      <c r="O481" s="151" t="s">
        <v>2148</v>
      </c>
      <c r="P481" s="150">
        <f t="shared" si="9"/>
        <v>468</v>
      </c>
      <c r="Q481" s="150" t="s">
        <v>1884</v>
      </c>
      <c r="R48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485-3008</v>
      </c>
      <c r="S481" s="157" t="str">
        <f>HYPERLINK("https://www.mouser.com/ProductDetail/" &amp;MouserListTable[[#This Row],[Mouser SKU]])</f>
        <v>https://www.mouser.com/ProductDetail/485-3008</v>
      </c>
      <c r="T481" s="152">
        <v>0</v>
      </c>
      <c r="U481" s="152">
        <v>1</v>
      </c>
      <c r="V481" s="152">
        <v>1</v>
      </c>
      <c r="W481" s="152">
        <f>MouserListTable[[#This Row],['#/Unit]]*FilterSpecs!$C$3+MouserListTable[[#This Row],[Extra]]</f>
        <v>1</v>
      </c>
      <c r="X481" s="152">
        <f>IF(MouserListTable[[#This Row],[Tag]]=FilterSpecs!$F$7,MouserListTable[[#This Row],['#/Unit]]*MouserListTable[[#This Row],[Price (USD)]],0)</f>
        <v>0</v>
      </c>
      <c r="Y481" s="152">
        <f>MouserListTable[[#This Row],[Tot '#]]*MouserListTable[[#This Row],[Price (USD)]]</f>
        <v>7.95</v>
      </c>
    </row>
    <row r="482" spans="1:25" x14ac:dyDescent="0.25">
      <c r="A482" s="150" t="s">
        <v>890</v>
      </c>
      <c r="B482" s="150" t="s">
        <v>1878</v>
      </c>
      <c r="C482" s="150" t="s">
        <v>1884</v>
      </c>
      <c r="D482" s="151" t="str">
        <f>IF(MouserListTable[[#This Row],[Vendor]]=FilterSpecs!$A$8,MouserListTable[[#This Row],[Mouser SKU]], MouserListTable[[#This Row],[Supplier SKU]])</f>
        <v>485-1542</v>
      </c>
      <c r="E482" s="152">
        <f>MouserListTable[[#This Row],[Tot '#]]-MouserListTable[[#This Row],['# Initial]]</f>
        <v>0</v>
      </c>
      <c r="F482" s="152">
        <f>IF(AND(MouserListTable[[#This Row],[Tag]]&lt;&gt;FilterSpecs!$F$12, MouserListTable[[#This Row],[Tag]]&lt;&gt;FilterSpecs!$F$9), MouserListTable[[#This Row],['#/Unit]]*FilterSpecs!$B$3+MouserListTable[[#This Row],[Extra Initial]],0)</f>
        <v>1</v>
      </c>
      <c r="G482" s="150"/>
      <c r="H482" s="150"/>
      <c r="I482" s="150" t="s">
        <v>2139</v>
      </c>
      <c r="J482" s="153"/>
      <c r="K482" s="154">
        <v>4.95</v>
      </c>
      <c r="L482" s="150" t="s">
        <v>1896</v>
      </c>
      <c r="M482" s="151"/>
      <c r="N482" s="154">
        <f>MouserListTable[[#This Row],['# Initial]]*MouserListTable[[#This Row],[Price (USD)]]</f>
        <v>4.95</v>
      </c>
      <c r="O482" s="151" t="s">
        <v>2138</v>
      </c>
      <c r="P482" s="150">
        <f t="shared" si="9"/>
        <v>469</v>
      </c>
      <c r="Q482" s="150" t="s">
        <v>1884</v>
      </c>
      <c r="R48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485-1542</v>
      </c>
      <c r="S482" s="157" t="str">
        <f>HYPERLINK("https://www.mouser.com/ProductDetail/" &amp;MouserListTable[[#This Row],[Mouser SKU]])</f>
        <v>https://www.mouser.com/ProductDetail/485-1542</v>
      </c>
      <c r="T482" s="152">
        <v>0</v>
      </c>
      <c r="U482" s="152">
        <v>1</v>
      </c>
      <c r="V482" s="152">
        <v>1</v>
      </c>
      <c r="W482" s="152">
        <f>MouserListTable[[#This Row],['#/Unit]]*FilterSpecs!$C$3+MouserListTable[[#This Row],[Extra]]</f>
        <v>1</v>
      </c>
      <c r="X482" s="152">
        <f>IF(MouserListTable[[#This Row],[Tag]]=FilterSpecs!$F$7,MouserListTable[[#This Row],['#/Unit]]*MouserListTable[[#This Row],[Price (USD)]],0)</f>
        <v>0</v>
      </c>
      <c r="Y482" s="152">
        <f>MouserListTable[[#This Row],[Tot '#]]*MouserListTable[[#This Row],[Price (USD)]]</f>
        <v>4.95</v>
      </c>
    </row>
    <row r="483" spans="1:25" x14ac:dyDescent="0.25">
      <c r="A483" s="150" t="s">
        <v>890</v>
      </c>
      <c r="B483" s="150" t="s">
        <v>1878</v>
      </c>
      <c r="C483" s="150" t="s">
        <v>1884</v>
      </c>
      <c r="D483" s="151" t="str">
        <f>IF(MouserListTable[[#This Row],[Vendor]]=FilterSpecs!$A$8,MouserListTable[[#This Row],[Mouser SKU]], MouserListTable[[#This Row],[Supplier SKU]])</f>
        <v>485-1544</v>
      </c>
      <c r="E483" s="152">
        <f>MouserListTable[[#This Row],[Tot '#]]-MouserListTable[[#This Row],['# Initial]]</f>
        <v>0</v>
      </c>
      <c r="F483" s="152">
        <f>IF(AND(MouserListTable[[#This Row],[Tag]]&lt;&gt;FilterSpecs!$F$12, MouserListTable[[#This Row],[Tag]]&lt;&gt;FilterSpecs!$F$9), MouserListTable[[#This Row],['#/Unit]]*FilterSpecs!$B$3+MouserListTable[[#This Row],[Extra Initial]],0)</f>
        <v>1</v>
      </c>
      <c r="G483" s="150"/>
      <c r="H483" s="150"/>
      <c r="I483" s="150" t="s">
        <v>2137</v>
      </c>
      <c r="J483" s="153"/>
      <c r="K483" s="154">
        <v>5.95</v>
      </c>
      <c r="L483" s="150" t="s">
        <v>1896</v>
      </c>
      <c r="M483" s="151"/>
      <c r="N483" s="154">
        <f>MouserListTable[[#This Row],['# Initial]]*MouserListTable[[#This Row],[Price (USD)]]</f>
        <v>5.95</v>
      </c>
      <c r="O483" s="151" t="s">
        <v>2136</v>
      </c>
      <c r="P483" s="150">
        <f t="shared" si="9"/>
        <v>470</v>
      </c>
      <c r="Q483" s="150" t="s">
        <v>1884</v>
      </c>
      <c r="R48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485-1544</v>
      </c>
      <c r="S483" s="157" t="str">
        <f>HYPERLINK("https://www.mouser.com/ProductDetail/" &amp;MouserListTable[[#This Row],[Mouser SKU]])</f>
        <v>https://www.mouser.com/ProductDetail/485-1544</v>
      </c>
      <c r="T483" s="152">
        <v>0</v>
      </c>
      <c r="U483" s="152">
        <v>1</v>
      </c>
      <c r="V483" s="152">
        <v>1</v>
      </c>
      <c r="W483" s="152">
        <f>MouserListTable[[#This Row],['#/Unit]]*FilterSpecs!$C$3+MouserListTable[[#This Row],[Extra]]</f>
        <v>1</v>
      </c>
      <c r="X483" s="152">
        <f>IF(MouserListTable[[#This Row],[Tag]]=FilterSpecs!$F$7,MouserListTable[[#This Row],['#/Unit]]*MouserListTable[[#This Row],[Price (USD)]],0)</f>
        <v>0</v>
      </c>
      <c r="Y483" s="152">
        <f>MouserListTable[[#This Row],[Tot '#]]*MouserListTable[[#This Row],[Price (USD)]]</f>
        <v>5.95</v>
      </c>
    </row>
    <row r="484" spans="1:25" x14ac:dyDescent="0.25">
      <c r="A484" s="150" t="s">
        <v>890</v>
      </c>
      <c r="B484" s="150" t="s">
        <v>1878</v>
      </c>
      <c r="C484" s="150" t="s">
        <v>1884</v>
      </c>
      <c r="D484" s="151" t="str">
        <f>IF(MouserListTable[[#This Row],[Vendor]]=FilterSpecs!$A$8,MouserListTable[[#This Row],[Mouser SKU]], MouserListTable[[#This Row],[Supplier SKU]])</f>
        <v>485-2823</v>
      </c>
      <c r="E484" s="152">
        <f>MouserListTable[[#This Row],[Tot '#]]-MouserListTable[[#This Row],['# Initial]]</f>
        <v>0</v>
      </c>
      <c r="F484" s="152">
        <f>IF(AND(MouserListTable[[#This Row],[Tag]]&lt;&gt;FilterSpecs!$F$12, MouserListTable[[#This Row],[Tag]]&lt;&gt;FilterSpecs!$F$9), MouserListTable[[#This Row],['#/Unit]]*FilterSpecs!$B$3+MouserListTable[[#This Row],[Extra Initial]],0)</f>
        <v>0</v>
      </c>
      <c r="G484" s="150"/>
      <c r="H484" s="150"/>
      <c r="I484" s="150" t="s">
        <v>2133</v>
      </c>
      <c r="J484" s="153"/>
      <c r="K484" s="118">
        <v>1.5</v>
      </c>
      <c r="L484" s="97" t="s">
        <v>1896</v>
      </c>
      <c r="M484" s="153"/>
      <c r="N484" s="154">
        <f>MouserListTable[[#This Row],['# Initial]]*MouserListTable[[#This Row],[Price (USD)]]</f>
        <v>0</v>
      </c>
      <c r="O484" s="151" t="s">
        <v>2132</v>
      </c>
      <c r="P484" s="150">
        <f t="shared" si="9"/>
        <v>471</v>
      </c>
      <c r="Q484" s="150" t="s">
        <v>1884</v>
      </c>
      <c r="R48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485-2823</v>
      </c>
      <c r="S484" s="157" t="str">
        <f>HYPERLINK("https://www.mouser.com/ProductDetail/" &amp;MouserListTable[[#This Row],[Mouser SKU]])</f>
        <v>https://www.mouser.com/ProductDetail/485-2823</v>
      </c>
      <c r="T484" s="152">
        <v>0</v>
      </c>
      <c r="U484" s="152">
        <v>0</v>
      </c>
      <c r="V484" s="152">
        <v>0</v>
      </c>
      <c r="W484" s="152">
        <f>MouserListTable[[#This Row],['#/Unit]]*FilterSpecs!$C$3+MouserListTable[[#This Row],[Extra]]</f>
        <v>0</v>
      </c>
      <c r="X484" s="152">
        <f>IF(MouserListTable[[#This Row],[Tag]]=FilterSpecs!$F$7,MouserListTable[[#This Row],['#/Unit]]*MouserListTable[[#This Row],[Price (USD)]],0)</f>
        <v>0</v>
      </c>
      <c r="Y484" s="152">
        <f>MouserListTable[[#This Row],[Tot '#]]*MouserListTable[[#This Row],[Price (USD)]]</f>
        <v>0</v>
      </c>
    </row>
    <row r="485" spans="1:25" x14ac:dyDescent="0.25">
      <c r="A485" s="150" t="s">
        <v>890</v>
      </c>
      <c r="B485" s="150" t="s">
        <v>1878</v>
      </c>
      <c r="C485" s="150" t="s">
        <v>1884</v>
      </c>
      <c r="D485" s="151" t="str">
        <f>IF(MouserListTable[[#This Row],[Vendor]]=FilterSpecs!$A$8,MouserListTable[[#This Row],[Mouser SKU]], MouserListTable[[#This Row],[Supplier SKU]])</f>
        <v>485-1543</v>
      </c>
      <c r="E485" s="152">
        <f>MouserListTable[[#This Row],[Tot '#]]-MouserListTable[[#This Row],['# Initial]]</f>
        <v>0</v>
      </c>
      <c r="F485" s="152">
        <f>IF(AND(MouserListTable[[#This Row],[Tag]]&lt;&gt;FilterSpecs!$F$12, MouserListTable[[#This Row],[Tag]]&lt;&gt;FilterSpecs!$F$9), MouserListTable[[#This Row],['#/Unit]]*FilterSpecs!$B$3+MouserListTable[[#This Row],[Extra Initial]],0)</f>
        <v>1</v>
      </c>
      <c r="G485" s="150"/>
      <c r="H485" s="150"/>
      <c r="I485" s="150" t="s">
        <v>2135</v>
      </c>
      <c r="J485" s="153"/>
      <c r="K485" s="154">
        <v>7.95</v>
      </c>
      <c r="L485" s="150" t="s">
        <v>1896</v>
      </c>
      <c r="M485" s="151"/>
      <c r="N485" s="154">
        <f>MouserListTable[[#This Row],['# Initial]]*MouserListTable[[#This Row],[Price (USD)]]</f>
        <v>7.95</v>
      </c>
      <c r="O485" s="151" t="s">
        <v>2134</v>
      </c>
      <c r="P485" s="150">
        <f t="shared" si="9"/>
        <v>472</v>
      </c>
      <c r="Q485" s="150" t="s">
        <v>1884</v>
      </c>
      <c r="R48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485-1543</v>
      </c>
      <c r="S485" s="157" t="str">
        <f>HYPERLINK("https://www.mouser.com/ProductDetail/" &amp;MouserListTable[[#This Row],[Mouser SKU]])</f>
        <v>https://www.mouser.com/ProductDetail/485-1543</v>
      </c>
      <c r="T485" s="152">
        <v>0</v>
      </c>
      <c r="U485" s="152">
        <v>1</v>
      </c>
      <c r="V485" s="152">
        <v>1</v>
      </c>
      <c r="W485" s="152">
        <f>MouserListTable[[#This Row],['#/Unit]]*FilterSpecs!$C$3+MouserListTable[[#This Row],[Extra]]</f>
        <v>1</v>
      </c>
      <c r="X485" s="152">
        <f>IF(MouserListTable[[#This Row],[Tag]]=FilterSpecs!$F$7,MouserListTable[[#This Row],['#/Unit]]*MouserListTable[[#This Row],[Price (USD)]],0)</f>
        <v>0</v>
      </c>
      <c r="Y485" s="152">
        <f>MouserListTable[[#This Row],[Tot '#]]*MouserListTable[[#This Row],[Price (USD)]]</f>
        <v>7.95</v>
      </c>
    </row>
    <row r="486" spans="1:25" x14ac:dyDescent="0.25">
      <c r="A486" s="150" t="s">
        <v>890</v>
      </c>
      <c r="B486" s="150" t="s">
        <v>1878</v>
      </c>
      <c r="C486" s="150" t="s">
        <v>1884</v>
      </c>
      <c r="D486" s="151" t="str">
        <f>IF(MouserListTable[[#This Row],[Vendor]]=FilterSpecs!$A$8,MouserListTable[[#This Row],[Mouser SKU]], MouserListTable[[#This Row],[Supplier SKU]])</f>
        <v>485-3342</v>
      </c>
      <c r="E486" s="152">
        <f>MouserListTable[[#This Row],[Tot '#]]-MouserListTable[[#This Row],['# Initial]]</f>
        <v>0</v>
      </c>
      <c r="F486" s="152">
        <f>IF(AND(MouserListTable[[#This Row],[Tag]]&lt;&gt;FilterSpecs!$F$12, MouserListTable[[#This Row],[Tag]]&lt;&gt;FilterSpecs!$F$9), MouserListTable[[#This Row],['#/Unit]]*FilterSpecs!$B$3+MouserListTable[[#This Row],[Extra Initial]],0)</f>
        <v>0</v>
      </c>
      <c r="G486" s="150"/>
      <c r="H486" s="150"/>
      <c r="I486" s="150" t="s">
        <v>2145</v>
      </c>
      <c r="J486" s="153"/>
      <c r="K486" s="118">
        <v>0</v>
      </c>
      <c r="L486" s="97" t="s">
        <v>1896</v>
      </c>
      <c r="M486" s="153"/>
      <c r="N486" s="154">
        <f>MouserListTable[[#This Row],['# Initial]]*MouserListTable[[#This Row],[Price (USD)]]</f>
        <v>0</v>
      </c>
      <c r="O486" s="151" t="s">
        <v>2144</v>
      </c>
      <c r="P486" s="150">
        <f t="shared" si="9"/>
        <v>473</v>
      </c>
      <c r="Q486" s="150" t="s">
        <v>1884</v>
      </c>
      <c r="R48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485-3342</v>
      </c>
      <c r="S486" s="157" t="str">
        <f>HYPERLINK("https://www.mouser.com/ProductDetail/" &amp;MouserListTable[[#This Row],[Mouser SKU]])</f>
        <v>https://www.mouser.com/ProductDetail/485-3342</v>
      </c>
      <c r="T486" s="152">
        <v>0</v>
      </c>
      <c r="U486" s="152">
        <v>0</v>
      </c>
      <c r="V486" s="152">
        <v>0</v>
      </c>
      <c r="W486" s="152">
        <f>MouserListTable[[#This Row],['#/Unit]]*FilterSpecs!$C$3+MouserListTable[[#This Row],[Extra]]</f>
        <v>0</v>
      </c>
      <c r="X486" s="152">
        <f>IF(MouserListTable[[#This Row],[Tag]]=FilterSpecs!$F$7,MouserListTable[[#This Row],['#/Unit]]*MouserListTable[[#This Row],[Price (USD)]],0)</f>
        <v>0</v>
      </c>
      <c r="Y486" s="152">
        <f>MouserListTable[[#This Row],[Tot '#]]*MouserListTable[[#This Row],[Price (USD)]]</f>
        <v>0</v>
      </c>
    </row>
    <row r="487" spans="1:25" x14ac:dyDescent="0.25">
      <c r="A487" s="97" t="s">
        <v>890</v>
      </c>
      <c r="B487" s="97" t="s">
        <v>1878</v>
      </c>
      <c r="C487" s="150" t="s">
        <v>5</v>
      </c>
      <c r="D487" s="151" t="str">
        <f>IF(MouserListTable[[#This Row],[Vendor]]=FilterSpecs!$A$8,MouserListTable[[#This Row],[Mouser SKU]], MouserListTable[[#This Row],[Supplier SKU]])</f>
        <v>474-PRT-13010</v>
      </c>
      <c r="E487" s="152">
        <f>MouserListTable[[#This Row],[Tot '#]]-MouserListTable[[#This Row],['# Initial]]</f>
        <v>0</v>
      </c>
      <c r="F487" s="152">
        <f>IF(AND(MouserListTable[[#This Row],[Tag]]&lt;&gt;FilterSpecs!$F$12, MouserListTable[[#This Row],[Tag]]&lt;&gt;FilterSpecs!$F$9), MouserListTable[[#This Row],['#/Unit]]*FilterSpecs!$B$3+MouserListTable[[#This Row],[Extra Initial]],0)</f>
        <v>0</v>
      </c>
      <c r="G487" s="150" t="s">
        <v>761</v>
      </c>
      <c r="H487" s="150" t="s">
        <v>762</v>
      </c>
      <c r="I487" s="150" t="s">
        <v>763</v>
      </c>
      <c r="J487" s="150">
        <v>1</v>
      </c>
      <c r="K487" s="154">
        <v>0.5</v>
      </c>
      <c r="L487" s="150" t="s">
        <v>1896</v>
      </c>
      <c r="M487" s="150"/>
      <c r="N487" s="154">
        <f>MouserListTable[[#This Row],['# Initial]]*MouserListTable[[#This Row],[Price (USD)]]</f>
        <v>0</v>
      </c>
      <c r="O487" s="151" t="s">
        <v>760</v>
      </c>
      <c r="P487" s="150">
        <f t="shared" si="9"/>
        <v>474</v>
      </c>
      <c r="Q487" s="150" t="s">
        <v>5</v>
      </c>
      <c r="R48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474-PRT-13010</v>
      </c>
      <c r="S487" s="157" t="str">
        <f>HYPERLINK("https://www.mouser.com/ProductDetail/" &amp;MouserListTable[[#This Row],[Mouser SKU]])</f>
        <v>https://www.mouser.com/ProductDetail/474-PRT-13010</v>
      </c>
      <c r="T487" s="152">
        <v>0</v>
      </c>
      <c r="U487" s="152">
        <v>0</v>
      </c>
      <c r="V487" s="152">
        <v>0</v>
      </c>
      <c r="W487" s="152">
        <f>MouserListTable[[#This Row],['#/Unit]]*FilterSpecs!$C$3+MouserListTable[[#This Row],[Extra]]</f>
        <v>0</v>
      </c>
      <c r="X487" s="152">
        <f>IF(MouserListTable[[#This Row],[Tag]]=FilterSpecs!$F$7,MouserListTable[[#This Row],['#/Unit]]*MouserListTable[[#This Row],[Price (USD)]],0)</f>
        <v>0</v>
      </c>
      <c r="Y487" s="152">
        <f>MouserListTable[[#This Row],[Tot '#]]*MouserListTable[[#This Row],[Price (USD)]]</f>
        <v>0</v>
      </c>
    </row>
    <row r="488" spans="1:25" x14ac:dyDescent="0.25">
      <c r="A488" s="150" t="s">
        <v>890</v>
      </c>
      <c r="B488" s="150" t="s">
        <v>1878</v>
      </c>
      <c r="C488" s="150" t="s">
        <v>5</v>
      </c>
      <c r="D488" s="151" t="str">
        <f>IF(MouserListTable[[#This Row],[Vendor]]=FilterSpecs!$A$8,MouserListTable[[#This Row],[Mouser SKU]], MouserListTable[[#This Row],[Supplier SKU]])</f>
        <v>474-PRT-10877</v>
      </c>
      <c r="E488" s="152">
        <f>MouserListTable[[#This Row],[Tot '#]]-MouserListTable[[#This Row],['# Initial]]</f>
        <v>5</v>
      </c>
      <c r="F488" s="152">
        <f>IF(AND(MouserListTable[[#This Row],[Tag]]&lt;&gt;FilterSpecs!$F$12, MouserListTable[[#This Row],[Tag]]&lt;&gt;FilterSpecs!$F$9), MouserListTable[[#This Row],['#/Unit]]*FilterSpecs!$B$3+MouserListTable[[#This Row],[Extra Initial]],0)</f>
        <v>5</v>
      </c>
      <c r="G488" s="150" t="s">
        <v>1522</v>
      </c>
      <c r="H488" s="150" t="s">
        <v>1523</v>
      </c>
      <c r="I488" s="150" t="s">
        <v>1524</v>
      </c>
      <c r="J488" s="150">
        <v>1</v>
      </c>
      <c r="K488" s="154">
        <v>1.5</v>
      </c>
      <c r="L488" s="150" t="s">
        <v>1897</v>
      </c>
      <c r="M488" s="150"/>
      <c r="N488" s="154">
        <f>MouserListTable[[#This Row],['# Initial]]*MouserListTable[[#This Row],[Price (USD)]]</f>
        <v>7.5</v>
      </c>
      <c r="O488" s="151" t="s">
        <v>1521</v>
      </c>
      <c r="P488" s="150">
        <f t="shared" si="9"/>
        <v>475</v>
      </c>
      <c r="Q488" s="150" t="s">
        <v>5</v>
      </c>
      <c r="R48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474-PRT-10877</v>
      </c>
      <c r="S488" s="157" t="str">
        <f>HYPERLINK("https://www.mouser.com/ProductDetail/" &amp;MouserListTable[[#This Row],[Mouser SKU]])</f>
        <v>https://www.mouser.com/ProductDetail/474-PRT-10877</v>
      </c>
      <c r="T488" s="152">
        <v>1</v>
      </c>
      <c r="U488" s="152">
        <v>5</v>
      </c>
      <c r="V488" s="152">
        <v>0</v>
      </c>
      <c r="W488" s="152">
        <f>MouserListTable[[#This Row],['#/Unit]]*FilterSpecs!$C$3+MouserListTable[[#This Row],[Extra]]</f>
        <v>10</v>
      </c>
      <c r="X488" s="152">
        <f>IF(MouserListTable[[#This Row],[Tag]]=FilterSpecs!$F$7,MouserListTable[[#This Row],['#/Unit]]*MouserListTable[[#This Row],[Price (USD)]],0)</f>
        <v>1.5</v>
      </c>
      <c r="Y488" s="152">
        <f>MouserListTable[[#This Row],[Tot '#]]*MouserListTable[[#This Row],[Price (USD)]]</f>
        <v>15</v>
      </c>
    </row>
    <row r="489" spans="1:25" x14ac:dyDescent="0.25">
      <c r="A489" s="150" t="s">
        <v>890</v>
      </c>
      <c r="B489" s="150" t="s">
        <v>1878</v>
      </c>
      <c r="C489" s="150" t="s">
        <v>5</v>
      </c>
      <c r="D489" s="151" t="str">
        <f>IF(MouserListTable[[#This Row],[Vendor]]=FilterSpecs!$A$8,MouserListTable[[#This Row],[Mouser SKU]], MouserListTable[[#This Row],[Supplier SKU]])</f>
        <v>474-PRT-08506</v>
      </c>
      <c r="E489" s="152">
        <f>MouserListTable[[#This Row],[Tot '#]]-MouserListTable[[#This Row],['# Initial]]</f>
        <v>5</v>
      </c>
      <c r="F489" s="152">
        <f>IF(AND(MouserListTable[[#This Row],[Tag]]&lt;&gt;FilterSpecs!$F$12, MouserListTable[[#This Row],[Tag]]&lt;&gt;FilterSpecs!$F$9), MouserListTable[[#This Row],['#/Unit]]*FilterSpecs!$B$3+MouserListTable[[#This Row],[Extra Initial]],0)</f>
        <v>5</v>
      </c>
      <c r="G489" s="150" t="s">
        <v>1526</v>
      </c>
      <c r="H489" s="150" t="s">
        <v>1527</v>
      </c>
      <c r="I489" s="150" t="s">
        <v>1528</v>
      </c>
      <c r="J489" s="150">
        <v>1</v>
      </c>
      <c r="K489" s="154">
        <v>1.5</v>
      </c>
      <c r="L489" s="150" t="s">
        <v>1897</v>
      </c>
      <c r="M489" s="150"/>
      <c r="N489" s="154">
        <f>MouserListTable[[#This Row],['# Initial]]*MouserListTable[[#This Row],[Price (USD)]]</f>
        <v>7.5</v>
      </c>
      <c r="O489" s="151" t="s">
        <v>1525</v>
      </c>
      <c r="P489" s="150">
        <f t="shared" si="9"/>
        <v>476</v>
      </c>
      <c r="Q489" s="150" t="s">
        <v>5</v>
      </c>
      <c r="R48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474-PRT-08506</v>
      </c>
      <c r="S489" s="157" t="str">
        <f>HYPERLINK("https://www.mouser.com/ProductDetail/" &amp;MouserListTable[[#This Row],[Mouser SKU]])</f>
        <v>https://www.mouser.com/ProductDetail/474-PRT-08506</v>
      </c>
      <c r="T489" s="152">
        <v>1</v>
      </c>
      <c r="U489" s="152">
        <v>5</v>
      </c>
      <c r="V489" s="152">
        <v>0</v>
      </c>
      <c r="W489" s="152">
        <f>MouserListTable[[#This Row],['#/Unit]]*FilterSpecs!$C$3+MouserListTable[[#This Row],[Extra]]</f>
        <v>10</v>
      </c>
      <c r="X489" s="152">
        <f>IF(MouserListTable[[#This Row],[Tag]]=FilterSpecs!$F$7,MouserListTable[[#This Row],['#/Unit]]*MouserListTable[[#This Row],[Price (USD)]],0)</f>
        <v>1.5</v>
      </c>
      <c r="Y489" s="152">
        <f>MouserListTable[[#This Row],[Tot '#]]*MouserListTable[[#This Row],[Price (USD)]]</f>
        <v>15</v>
      </c>
    </row>
    <row r="490" spans="1:25" x14ac:dyDescent="0.25">
      <c r="A490" s="98" t="s">
        <v>890</v>
      </c>
      <c r="B490" s="98" t="s">
        <v>1878</v>
      </c>
      <c r="C490" s="150" t="s">
        <v>1884</v>
      </c>
      <c r="D490" s="151" t="str">
        <f>IF(MouserListTable[[#This Row],[Vendor]]=FilterSpecs!$A$8,MouserListTable[[#This Row],[Mouser SKU]], MouserListTable[[#This Row],[Supplier SKU]])</f>
        <v>485-1465</v>
      </c>
      <c r="E490" s="152">
        <f>MouserListTable[[#This Row],[Tot '#]]-MouserListTable[[#This Row],['# Initial]]</f>
        <v>0</v>
      </c>
      <c r="F490" s="152">
        <f>IF(AND(MouserListTable[[#This Row],[Tag]]&lt;&gt;FilterSpecs!$F$12, MouserListTable[[#This Row],[Tag]]&lt;&gt;FilterSpecs!$F$9), MouserListTable[[#This Row],['#/Unit]]*FilterSpecs!$B$3+MouserListTable[[#This Row],[Extra Initial]],0)</f>
        <v>0</v>
      </c>
      <c r="G490" s="150"/>
      <c r="H490" s="150"/>
      <c r="I490" s="150" t="s">
        <v>2454</v>
      </c>
      <c r="J490" s="113">
        <v>116</v>
      </c>
      <c r="K490" s="119">
        <v>0.95</v>
      </c>
      <c r="L490" s="97" t="s">
        <v>1896</v>
      </c>
      <c r="M490" s="153"/>
      <c r="N490" s="154">
        <f>MouserListTable[[#This Row],['# Initial]]*MouserListTable[[#This Row],[Price (USD)]]</f>
        <v>0</v>
      </c>
      <c r="O490" s="113" t="s">
        <v>2455</v>
      </c>
      <c r="P490" s="150">
        <f t="shared" si="9"/>
        <v>477</v>
      </c>
      <c r="Q490" s="150" t="s">
        <v>1884</v>
      </c>
      <c r="R49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485-1465</v>
      </c>
      <c r="S490" s="157" t="str">
        <f>HYPERLINK("https://www.mouser.com/ProductDetail/" &amp;MouserListTable[[#This Row],[Mouser SKU]])</f>
        <v>https://www.mouser.com/ProductDetail/485-1465</v>
      </c>
      <c r="T490" s="152">
        <v>0</v>
      </c>
      <c r="U490" s="152">
        <v>0</v>
      </c>
      <c r="V490" s="152">
        <v>0</v>
      </c>
      <c r="W490" s="152">
        <f>MouserListTable[[#This Row],['#/Unit]]*FilterSpecs!$C$3+MouserListTable[[#This Row],[Extra]]</f>
        <v>0</v>
      </c>
      <c r="X490" s="152">
        <f>IF(MouserListTable[[#This Row],[Tag]]=FilterSpecs!$F$7,MouserListTable[[#This Row],['#/Unit]]*MouserListTable[[#This Row],[Price (USD)]],0)</f>
        <v>0</v>
      </c>
      <c r="Y490" s="152">
        <f>MouserListTable[[#This Row],[Tot '#]]*MouserListTable[[#This Row],[Price (USD)]]</f>
        <v>0</v>
      </c>
    </row>
    <row r="491" spans="1:25" x14ac:dyDescent="0.25">
      <c r="A491" s="97" t="s">
        <v>890</v>
      </c>
      <c r="B491" s="97" t="s">
        <v>1878</v>
      </c>
      <c r="C491" s="150" t="s">
        <v>5</v>
      </c>
      <c r="D491" s="151" t="str">
        <f>IF(MouserListTable[[#This Row],[Vendor]]=FilterSpecs!$A$8,MouserListTable[[#This Row],[Mouser SKU]], MouserListTable[[#This Row],[Supplier SKU]])</f>
        <v>474-PRT-08272</v>
      </c>
      <c r="E491" s="152">
        <f>MouserListTable[[#This Row],[Tot '#]]-MouserListTable[[#This Row],['# Initial]]</f>
        <v>0</v>
      </c>
      <c r="F491" s="152">
        <f>IF(AND(MouserListTable[[#This Row],[Tag]]&lt;&gt;FilterSpecs!$F$12, MouserListTable[[#This Row],[Tag]]&lt;&gt;FilterSpecs!$F$9), MouserListTable[[#This Row],['#/Unit]]*FilterSpecs!$B$3+MouserListTable[[#This Row],[Extra Initial]],0)</f>
        <v>0</v>
      </c>
      <c r="G491" s="150" t="s">
        <v>773</v>
      </c>
      <c r="H491" s="150" t="s">
        <v>774</v>
      </c>
      <c r="I491" s="150" t="s">
        <v>775</v>
      </c>
      <c r="J491" s="150">
        <v>1</v>
      </c>
      <c r="K491" s="154">
        <v>1</v>
      </c>
      <c r="L491" s="150" t="s">
        <v>1896</v>
      </c>
      <c r="M491" s="150"/>
      <c r="N491" s="154">
        <f>MouserListTable[[#This Row],['# Initial]]*MouserListTable[[#This Row],[Price (USD)]]</f>
        <v>0</v>
      </c>
      <c r="O491" s="151" t="s">
        <v>772</v>
      </c>
      <c r="P491" s="150">
        <f t="shared" si="9"/>
        <v>478</v>
      </c>
      <c r="Q491" s="150" t="s">
        <v>5</v>
      </c>
      <c r="R49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474-PRT-08272</v>
      </c>
      <c r="S491" s="157" t="str">
        <f>HYPERLINK("https://www.mouser.com/ProductDetail/" &amp;MouserListTable[[#This Row],[Mouser SKU]])</f>
        <v>https://www.mouser.com/ProductDetail/474-PRT-08272</v>
      </c>
      <c r="T491" s="152">
        <v>0</v>
      </c>
      <c r="U491" s="152">
        <v>0</v>
      </c>
      <c r="V491" s="152">
        <v>0</v>
      </c>
      <c r="W491" s="152">
        <f>MouserListTable[[#This Row],['#/Unit]]*FilterSpecs!$C$3+MouserListTable[[#This Row],[Extra]]</f>
        <v>0</v>
      </c>
      <c r="X491" s="152">
        <f>IF(MouserListTable[[#This Row],[Tag]]=FilterSpecs!$F$7,MouserListTable[[#This Row],['#/Unit]]*MouserListTable[[#This Row],[Price (USD)]],0)</f>
        <v>0</v>
      </c>
      <c r="Y491" s="152">
        <f>MouserListTable[[#This Row],[Tot '#]]*MouserListTable[[#This Row],[Price (USD)]]</f>
        <v>0</v>
      </c>
    </row>
    <row r="492" spans="1:25" x14ac:dyDescent="0.25">
      <c r="A492" s="150" t="s">
        <v>890</v>
      </c>
      <c r="B492" s="150" t="s">
        <v>1878</v>
      </c>
      <c r="C492" s="150" t="s">
        <v>1884</v>
      </c>
      <c r="D492" s="151" t="str">
        <f>IF(MouserListTable[[#This Row],[Vendor]]=FilterSpecs!$A$8,MouserListTable[[#This Row],[Mouser SKU]], MouserListTable[[#This Row],[Supplier SKU]])</f>
        <v>485-366</v>
      </c>
      <c r="E492" s="152">
        <f>MouserListTable[[#This Row],[Tot '#]]-MouserListTable[[#This Row],['# Initial]]</f>
        <v>0</v>
      </c>
      <c r="F492" s="152">
        <f>IF(AND(MouserListTable[[#This Row],[Tag]]&lt;&gt;FilterSpecs!$F$12, MouserListTable[[#This Row],[Tag]]&lt;&gt;FilterSpecs!$F$9), MouserListTable[[#This Row],['#/Unit]]*FilterSpecs!$B$3+MouserListTable[[#This Row],[Extra Initial]],0)</f>
        <v>10</v>
      </c>
      <c r="G492" s="150"/>
      <c r="H492" s="150"/>
      <c r="I492" s="150" t="s">
        <v>2141</v>
      </c>
      <c r="J492" s="153"/>
      <c r="K492" s="154">
        <v>0.95</v>
      </c>
      <c r="L492" s="150" t="s">
        <v>1896</v>
      </c>
      <c r="M492" s="151"/>
      <c r="N492" s="154">
        <f>MouserListTable[[#This Row],['# Initial]]*MouserListTable[[#This Row],[Price (USD)]]</f>
        <v>9.5</v>
      </c>
      <c r="O492" s="151" t="s">
        <v>2140</v>
      </c>
      <c r="P492" s="150">
        <f t="shared" si="9"/>
        <v>479</v>
      </c>
      <c r="Q492" s="150" t="s">
        <v>1884</v>
      </c>
      <c r="R49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485-366</v>
      </c>
      <c r="S492" s="157" t="str">
        <f>HYPERLINK("https://www.mouser.com/ProductDetail/" &amp;MouserListTable[[#This Row],[Mouser SKU]])</f>
        <v>https://www.mouser.com/ProductDetail/485-366</v>
      </c>
      <c r="T492" s="152">
        <v>2</v>
      </c>
      <c r="U492" s="152">
        <v>0</v>
      </c>
      <c r="V492" s="152">
        <v>0</v>
      </c>
      <c r="W492" s="152">
        <f>MouserListTable[[#This Row],['#/Unit]]*FilterSpecs!$C$3+MouserListTable[[#This Row],[Extra]]</f>
        <v>10</v>
      </c>
      <c r="X492" s="152">
        <f>IF(MouserListTable[[#This Row],[Tag]]=FilterSpecs!$F$7,MouserListTable[[#This Row],['#/Unit]]*MouserListTable[[#This Row],[Price (USD)]],0)</f>
        <v>0</v>
      </c>
      <c r="Y492" s="152">
        <f>MouserListTable[[#This Row],[Tot '#]]*MouserListTable[[#This Row],[Price (USD)]]</f>
        <v>9.5</v>
      </c>
    </row>
    <row r="493" spans="1:25" x14ac:dyDescent="0.25">
      <c r="A493" s="150" t="s">
        <v>890</v>
      </c>
      <c r="B493" s="150" t="s">
        <v>1878</v>
      </c>
      <c r="C493" s="150" t="s">
        <v>1884</v>
      </c>
      <c r="D493" s="151" t="str">
        <f>IF(MouserListTable[[#This Row],[Vendor]]=FilterSpecs!$A$8,MouserListTable[[#This Row],[Mouser SKU]], MouserListTable[[#This Row],[Supplier SKU]])</f>
        <v>485-2672</v>
      </c>
      <c r="E493" s="152">
        <f>MouserListTable[[#This Row],[Tot '#]]-MouserListTable[[#This Row],['# Initial]]</f>
        <v>0</v>
      </c>
      <c r="F493" s="152">
        <f>IF(AND(MouserListTable[[#This Row],[Tag]]&lt;&gt;FilterSpecs!$F$12, MouserListTable[[#This Row],[Tag]]&lt;&gt;FilterSpecs!$F$9), MouserListTable[[#This Row],['#/Unit]]*FilterSpecs!$B$3+MouserListTable[[#This Row],[Extra Initial]],0)</f>
        <v>1</v>
      </c>
      <c r="G493" s="150"/>
      <c r="H493" s="150"/>
      <c r="I493" s="150" t="s">
        <v>2143</v>
      </c>
      <c r="J493" s="153"/>
      <c r="K493" s="154">
        <v>3.95</v>
      </c>
      <c r="L493" s="150" t="s">
        <v>1896</v>
      </c>
      <c r="M493" s="151"/>
      <c r="N493" s="154">
        <f>MouserListTable[[#This Row],['# Initial]]*MouserListTable[[#This Row],[Price (USD)]]</f>
        <v>3.95</v>
      </c>
      <c r="O493" s="151" t="s">
        <v>2142</v>
      </c>
      <c r="P493" s="150">
        <f t="shared" si="9"/>
        <v>480</v>
      </c>
      <c r="Q493" s="150" t="s">
        <v>1884</v>
      </c>
      <c r="R49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485-2672</v>
      </c>
      <c r="S493" s="157" t="str">
        <f>HYPERLINK("https://www.mouser.com/ProductDetail/" &amp;MouserListTable[[#This Row],[Mouser SKU]])</f>
        <v>https://www.mouser.com/ProductDetail/485-2672</v>
      </c>
      <c r="T493" s="152">
        <v>0</v>
      </c>
      <c r="U493" s="152">
        <v>1</v>
      </c>
      <c r="V493" s="152">
        <v>1</v>
      </c>
      <c r="W493" s="152">
        <f>MouserListTable[[#This Row],['#/Unit]]*FilterSpecs!$C$3+MouserListTable[[#This Row],[Extra]]</f>
        <v>1</v>
      </c>
      <c r="X493" s="152">
        <f>IF(MouserListTable[[#This Row],[Tag]]=FilterSpecs!$F$7,MouserListTable[[#This Row],['#/Unit]]*MouserListTable[[#This Row],[Price (USD)]],0)</f>
        <v>0</v>
      </c>
      <c r="Y493" s="152">
        <f>MouserListTable[[#This Row],[Tot '#]]*MouserListTable[[#This Row],[Price (USD)]]</f>
        <v>3.95</v>
      </c>
    </row>
    <row r="494" spans="1:25" x14ac:dyDescent="0.25">
      <c r="A494" s="150" t="s">
        <v>890</v>
      </c>
      <c r="B494" s="150" t="s">
        <v>1876</v>
      </c>
      <c r="C494" s="150" t="s">
        <v>5</v>
      </c>
      <c r="D494" s="151" t="str">
        <f>IF(MouserListTable[[#This Row],[Vendor]]=FilterSpecs!$A$8,MouserListTable[[#This Row],[Mouser SKU]], MouserListTable[[#This Row],[Supplier SKU]])</f>
        <v>474-COM-14087</v>
      </c>
      <c r="E494" s="152">
        <f>MouserListTable[[#This Row],[Tot '#]]-MouserListTable[[#This Row],['# Initial]]</f>
        <v>15</v>
      </c>
      <c r="F494" s="152">
        <f>IF(AND(MouserListTable[[#This Row],[Tag]]&lt;&gt;FilterSpecs!$F$12, MouserListTable[[#This Row],[Tag]]&lt;&gt;FilterSpecs!$F$9), MouserListTable[[#This Row],['#/Unit]]*FilterSpecs!$B$3+MouserListTable[[#This Row],[Extra Initial]],0)</f>
        <v>0</v>
      </c>
      <c r="G494" s="150" t="s">
        <v>817</v>
      </c>
      <c r="H494" s="150" t="s">
        <v>818</v>
      </c>
      <c r="I494" s="150" t="s">
        <v>819</v>
      </c>
      <c r="J494" s="150">
        <v>1</v>
      </c>
      <c r="K494" s="154">
        <v>1.95</v>
      </c>
      <c r="L494" s="150" t="s">
        <v>2461</v>
      </c>
      <c r="M494" s="150"/>
      <c r="N494" s="154">
        <f>MouserListTable[[#This Row],['# Initial]]*MouserListTable[[#This Row],[Price (USD)]]</f>
        <v>0</v>
      </c>
      <c r="O494" s="151" t="s">
        <v>816</v>
      </c>
      <c r="P494" s="150">
        <f t="shared" si="9"/>
        <v>481</v>
      </c>
      <c r="Q494" s="150" t="s">
        <v>5</v>
      </c>
      <c r="R49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474-COM-14087</v>
      </c>
      <c r="S494" s="157" t="str">
        <f>HYPERLINK("https://www.mouser.com/ProductDetail/" &amp;MouserListTable[[#This Row],[Mouser SKU]])</f>
        <v>https://www.mouser.com/ProductDetail/474-COM-14087</v>
      </c>
      <c r="T494" s="152">
        <v>3</v>
      </c>
      <c r="U494" s="152">
        <v>0</v>
      </c>
      <c r="V494" s="152">
        <v>0</v>
      </c>
      <c r="W494" s="152">
        <f>MouserListTable[[#This Row],['#/Unit]]*FilterSpecs!$C$3+MouserListTable[[#This Row],[Extra]]</f>
        <v>15</v>
      </c>
      <c r="X494" s="152">
        <f>IF(MouserListTable[[#This Row],[Tag]]=FilterSpecs!$F$7,MouserListTable[[#This Row],['#/Unit]]*MouserListTable[[#This Row],[Price (USD)]],0)</f>
        <v>0</v>
      </c>
      <c r="Y494" s="152">
        <f>MouserListTable[[#This Row],[Tot '#]]*MouserListTable[[#This Row],[Price (USD)]]</f>
        <v>29.25</v>
      </c>
    </row>
    <row r="495" spans="1:25" x14ac:dyDescent="0.25">
      <c r="A495" s="150" t="s">
        <v>890</v>
      </c>
      <c r="B495" s="150" t="s">
        <v>1876</v>
      </c>
      <c r="C495" s="150" t="s">
        <v>5</v>
      </c>
      <c r="D495" s="151" t="str">
        <f>IF(MouserListTable[[#This Row],[Vendor]]=FilterSpecs!$A$8,MouserListTable[[#This Row],[Mouser SKU]], MouserListTable[[#This Row],[Supplier SKU]])</f>
        <v>474-COM-14086</v>
      </c>
      <c r="E495" s="152">
        <f>MouserListTable[[#This Row],[Tot '#]]-MouserListTable[[#This Row],['# Initial]]</f>
        <v>0</v>
      </c>
      <c r="F495" s="152">
        <f>IF(AND(MouserListTable[[#This Row],[Tag]]&lt;&gt;FilterSpecs!$F$12, MouserListTable[[#This Row],[Tag]]&lt;&gt;FilterSpecs!$F$9), MouserListTable[[#This Row],['#/Unit]]*FilterSpecs!$B$3+MouserListTable[[#This Row],[Extra Initial]],0)</f>
        <v>0</v>
      </c>
      <c r="G495" s="150"/>
      <c r="H495" s="150"/>
      <c r="I495" s="150" t="s">
        <v>2569</v>
      </c>
      <c r="J495" s="150"/>
      <c r="K495" s="154">
        <v>1.63</v>
      </c>
      <c r="L495" s="150" t="s">
        <v>1897</v>
      </c>
      <c r="M495" s="150"/>
      <c r="N495" s="154">
        <f>MouserListTable[[#This Row],['# Initial]]*MouserListTable[[#This Row],[Price (USD)]]</f>
        <v>0</v>
      </c>
      <c r="O495" s="151" t="s">
        <v>2568</v>
      </c>
      <c r="P495" s="150">
        <f t="shared" si="9"/>
        <v>482</v>
      </c>
      <c r="Q495" s="150" t="s">
        <v>5</v>
      </c>
      <c r="R49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474-COM-14086</v>
      </c>
      <c r="S495" s="157" t="str">
        <f>HYPERLINK("https://www.mouser.com/ProductDetail/" &amp;MouserListTable[[#This Row],[Mouser SKU]])</f>
        <v>https://www.mouser.com/ProductDetail/474-COM-14086</v>
      </c>
      <c r="T495" s="152">
        <v>0</v>
      </c>
      <c r="U495" s="152">
        <v>0</v>
      </c>
      <c r="V495" s="152">
        <v>0</v>
      </c>
      <c r="W495" s="152">
        <f>MouserListTable[[#This Row],['#/Unit]]*FilterSpecs!$C$3+MouserListTable[[#This Row],[Extra]]</f>
        <v>0</v>
      </c>
      <c r="X495" s="152">
        <f>IF(MouserListTable[[#This Row],[Tag]]=FilterSpecs!$F$7,MouserListTable[[#This Row],['#/Unit]]*MouserListTable[[#This Row],[Price (USD)]],0)</f>
        <v>0</v>
      </c>
      <c r="Y495" s="152">
        <f>MouserListTable[[#This Row],[Tot '#]]*MouserListTable[[#This Row],[Price (USD)]]</f>
        <v>0</v>
      </c>
    </row>
    <row r="496" spans="1:25" x14ac:dyDescent="0.25">
      <c r="A496" s="97" t="s">
        <v>890</v>
      </c>
      <c r="B496" s="97" t="s">
        <v>1876</v>
      </c>
      <c r="C496" s="150" t="s">
        <v>5</v>
      </c>
      <c r="D496" s="151" t="str">
        <f>IF(MouserListTable[[#This Row],[Vendor]]=FilterSpecs!$A$8,MouserListTable[[#This Row],[Mouser SKU]], MouserListTable[[#This Row],[Supplier SKU]])</f>
        <v>474-COM-14085</v>
      </c>
      <c r="E496" s="152">
        <f>MouserListTable[[#This Row],[Tot '#]]-MouserListTable[[#This Row],['# Initial]]</f>
        <v>0</v>
      </c>
      <c r="F496" s="152">
        <f>IF(AND(MouserListTable[[#This Row],[Tag]]&lt;&gt;FilterSpecs!$F$12, MouserListTable[[#This Row],[Tag]]&lt;&gt;FilterSpecs!$F$9), MouserListTable[[#This Row],['#/Unit]]*FilterSpecs!$B$3+MouserListTable[[#This Row],[Extra Initial]],0)</f>
        <v>25</v>
      </c>
      <c r="G496" s="150" t="s">
        <v>813</v>
      </c>
      <c r="H496" s="150" t="s">
        <v>814</v>
      </c>
      <c r="I496" s="150" t="s">
        <v>815</v>
      </c>
      <c r="J496" s="150">
        <v>1</v>
      </c>
      <c r="K496" s="154">
        <v>0.95</v>
      </c>
      <c r="L496" s="150" t="s">
        <v>1896</v>
      </c>
      <c r="M496" s="150"/>
      <c r="N496" s="154">
        <f>MouserListTable[[#This Row],['# Initial]]*MouserListTable[[#This Row],[Price (USD)]]</f>
        <v>23.75</v>
      </c>
      <c r="O496" s="151" t="s">
        <v>812</v>
      </c>
      <c r="P496" s="150">
        <f t="shared" si="9"/>
        <v>483</v>
      </c>
      <c r="Q496" s="150" t="s">
        <v>5</v>
      </c>
      <c r="R49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474-COM-14085</v>
      </c>
      <c r="S496" s="157" t="str">
        <f>HYPERLINK("https://www.mouser.com/ProductDetail/" &amp;MouserListTable[[#This Row],[Mouser SKU]])</f>
        <v>https://www.mouser.com/ProductDetail/474-COM-14085</v>
      </c>
      <c r="T496" s="152">
        <v>5</v>
      </c>
      <c r="U496" s="152">
        <v>0</v>
      </c>
      <c r="V496" s="152">
        <v>0</v>
      </c>
      <c r="W496" s="152">
        <f>MouserListTable[[#This Row],['#/Unit]]*FilterSpecs!$C$3+MouserListTable[[#This Row],[Extra]]</f>
        <v>25</v>
      </c>
      <c r="X496" s="152">
        <f>IF(MouserListTable[[#This Row],[Tag]]=FilterSpecs!$F$7,MouserListTable[[#This Row],['#/Unit]]*MouserListTable[[#This Row],[Price (USD)]],0)</f>
        <v>0</v>
      </c>
      <c r="Y496" s="152">
        <f>MouserListTable[[#This Row],[Tot '#]]*MouserListTable[[#This Row],[Price (USD)]]</f>
        <v>23.75</v>
      </c>
    </row>
    <row r="497" spans="1:25" x14ac:dyDescent="0.25">
      <c r="A497" s="151" t="s">
        <v>890</v>
      </c>
      <c r="B497" s="151" t="s">
        <v>2002</v>
      </c>
      <c r="C497" s="150" t="s">
        <v>1884</v>
      </c>
      <c r="D497" s="151" t="str">
        <f>IF(MouserListTable[[#This Row],[Vendor]]=FilterSpecs!$A$8,MouserListTable[[#This Row],[Mouser SKU]], MouserListTable[[#This Row],[Supplier SKU]])</f>
        <v>485-3145</v>
      </c>
      <c r="E497" s="152">
        <f>MouserListTable[[#This Row],[Tot '#]]-MouserListTable[[#This Row],['# Initial]]</f>
        <v>0</v>
      </c>
      <c r="F497" s="152">
        <f>IF(AND(MouserListTable[[#This Row],[Tag]]&lt;&gt;FilterSpecs!$F$12, MouserListTable[[#This Row],[Tag]]&lt;&gt;FilterSpecs!$F$9), MouserListTable[[#This Row],['#/Unit]]*FilterSpecs!$B$3+MouserListTable[[#This Row],[Extra Initial]],0)</f>
        <v>3</v>
      </c>
      <c r="G497" s="150"/>
      <c r="H497" s="150"/>
      <c r="I497" s="150" t="s">
        <v>2181</v>
      </c>
      <c r="J497" s="153"/>
      <c r="K497" s="154">
        <v>1.95</v>
      </c>
      <c r="L497" s="151" t="s">
        <v>1896</v>
      </c>
      <c r="M497" s="151"/>
      <c r="N497" s="154">
        <f>MouserListTable[[#This Row],['# Initial]]*MouserListTable[[#This Row],[Price (USD)]]</f>
        <v>5.85</v>
      </c>
      <c r="O497" s="151" t="s">
        <v>2180</v>
      </c>
      <c r="P497" s="150">
        <f t="shared" si="9"/>
        <v>484</v>
      </c>
      <c r="Q497" s="150" t="s">
        <v>1884</v>
      </c>
      <c r="R49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485-3145</v>
      </c>
      <c r="S497" s="157" t="str">
        <f>HYPERLINK("https://www.mouser.com/ProductDetail/" &amp;MouserListTable[[#This Row],[Mouser SKU]])</f>
        <v>https://www.mouser.com/ProductDetail/485-3145</v>
      </c>
      <c r="T497" s="152">
        <v>0</v>
      </c>
      <c r="U497" s="152">
        <v>3</v>
      </c>
      <c r="V497" s="152">
        <v>3</v>
      </c>
      <c r="W497" s="152">
        <f>MouserListTable[[#This Row],['#/Unit]]*FilterSpecs!$C$3+MouserListTable[[#This Row],[Extra]]</f>
        <v>3</v>
      </c>
      <c r="X497" s="152">
        <f>IF(MouserListTable[[#This Row],[Tag]]=FilterSpecs!$F$7,MouserListTable[[#This Row],['#/Unit]]*MouserListTable[[#This Row],[Price (USD)]],0)</f>
        <v>0</v>
      </c>
      <c r="Y497" s="152">
        <f>MouserListTable[[#This Row],[Tot '#]]*MouserListTable[[#This Row],[Price (USD)]]</f>
        <v>5.85</v>
      </c>
    </row>
    <row r="498" spans="1:25" x14ac:dyDescent="0.25">
      <c r="A498" s="151" t="s">
        <v>890</v>
      </c>
      <c r="B498" s="151" t="s">
        <v>2002</v>
      </c>
      <c r="C498" s="150" t="s">
        <v>1884</v>
      </c>
      <c r="D498" s="151" t="str">
        <f>IF(MouserListTable[[#This Row],[Vendor]]=FilterSpecs!$A$8,MouserListTable[[#This Row],[Mouser SKU]], MouserListTable[[#This Row],[Supplier SKU]])</f>
        <v>485-3144</v>
      </c>
      <c r="E498" s="152">
        <f>MouserListTable[[#This Row],[Tot '#]]-MouserListTable[[#This Row],['# Initial]]</f>
        <v>0</v>
      </c>
      <c r="F498" s="152">
        <f>IF(AND(MouserListTable[[#This Row],[Tag]]&lt;&gt;FilterSpecs!$F$12, MouserListTable[[#This Row],[Tag]]&lt;&gt;FilterSpecs!$F$9), MouserListTable[[#This Row],['#/Unit]]*FilterSpecs!$B$3+MouserListTable[[#This Row],[Extra Initial]],0)</f>
        <v>1</v>
      </c>
      <c r="G498" s="150"/>
      <c r="H498" s="150"/>
      <c r="I498" s="150" t="s">
        <v>2171</v>
      </c>
      <c r="J498" s="153"/>
      <c r="K498" s="154">
        <v>3.95</v>
      </c>
      <c r="L498" s="151" t="s">
        <v>1896</v>
      </c>
      <c r="M498" s="151"/>
      <c r="N498" s="154">
        <f>MouserListTable[[#This Row],['# Initial]]*MouserListTable[[#This Row],[Price (USD)]]</f>
        <v>3.95</v>
      </c>
      <c r="O498" s="151" t="s">
        <v>2170</v>
      </c>
      <c r="P498" s="150">
        <f t="shared" si="9"/>
        <v>485</v>
      </c>
      <c r="Q498" s="150" t="s">
        <v>1884</v>
      </c>
      <c r="R49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485-3144</v>
      </c>
      <c r="S498" s="157" t="str">
        <f>HYPERLINK("https://www.mouser.com/ProductDetail/" &amp;MouserListTable[[#This Row],[Mouser SKU]])</f>
        <v>https://www.mouser.com/ProductDetail/485-3144</v>
      </c>
      <c r="T498" s="152">
        <v>0</v>
      </c>
      <c r="U498" s="152">
        <v>1</v>
      </c>
      <c r="V498" s="152">
        <v>1</v>
      </c>
      <c r="W498" s="152">
        <f>MouserListTable[[#This Row],['#/Unit]]*FilterSpecs!$C$3+MouserListTable[[#This Row],[Extra]]</f>
        <v>1</v>
      </c>
      <c r="X498" s="152">
        <f>IF(MouserListTable[[#This Row],[Tag]]=FilterSpecs!$F$7,MouserListTable[[#This Row],['#/Unit]]*MouserListTable[[#This Row],[Price (USD)]],0)</f>
        <v>0</v>
      </c>
      <c r="Y498" s="152">
        <f>MouserListTable[[#This Row],[Tot '#]]*MouserListTable[[#This Row],[Price (USD)]]</f>
        <v>3.95</v>
      </c>
    </row>
    <row r="499" spans="1:25" x14ac:dyDescent="0.25">
      <c r="A499" s="151" t="s">
        <v>890</v>
      </c>
      <c r="B499" s="151" t="s">
        <v>2002</v>
      </c>
      <c r="C499" s="150" t="s">
        <v>1884</v>
      </c>
      <c r="D499" s="151" t="str">
        <f>IF(MouserListTable[[#This Row],[Vendor]]=FilterSpecs!$A$8,MouserListTable[[#This Row],[Mouser SKU]], MouserListTable[[#This Row],[Supplier SKU]])</f>
        <v>485-3143</v>
      </c>
      <c r="E499" s="152">
        <f>MouserListTable[[#This Row],[Tot '#]]-MouserListTable[[#This Row],['# Initial]]</f>
        <v>0</v>
      </c>
      <c r="F499" s="152">
        <f>IF(AND(MouserListTable[[#This Row],[Tag]]&lt;&gt;FilterSpecs!$F$12, MouserListTable[[#This Row],[Tag]]&lt;&gt;FilterSpecs!$F$9), MouserListTable[[#This Row],['#/Unit]]*FilterSpecs!$B$3+MouserListTable[[#This Row],[Extra Initial]],0)</f>
        <v>2</v>
      </c>
      <c r="G499" s="150"/>
      <c r="H499" s="150"/>
      <c r="I499" s="150" t="s">
        <v>2179</v>
      </c>
      <c r="J499" s="153"/>
      <c r="K499" s="154">
        <v>1.95</v>
      </c>
      <c r="L499" s="151" t="s">
        <v>1896</v>
      </c>
      <c r="M499" s="151"/>
      <c r="N499" s="154">
        <f>MouserListTable[[#This Row],['# Initial]]*MouserListTable[[#This Row],[Price (USD)]]</f>
        <v>3.9</v>
      </c>
      <c r="O499" s="151" t="s">
        <v>2178</v>
      </c>
      <c r="P499" s="150">
        <f t="shared" si="9"/>
        <v>486</v>
      </c>
      <c r="Q499" s="150" t="s">
        <v>1884</v>
      </c>
      <c r="R49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485-3143</v>
      </c>
      <c r="S499" s="157" t="str">
        <f>HYPERLINK("https://www.mouser.com/ProductDetail/" &amp;MouserListTable[[#This Row],[Mouser SKU]])</f>
        <v>https://www.mouser.com/ProductDetail/485-3143</v>
      </c>
      <c r="T499" s="152">
        <v>0</v>
      </c>
      <c r="U499" s="152">
        <v>2</v>
      </c>
      <c r="V499" s="152">
        <v>2</v>
      </c>
      <c r="W499" s="152">
        <f>MouserListTable[[#This Row],['#/Unit]]*FilterSpecs!$C$3+MouserListTable[[#This Row],[Extra]]</f>
        <v>2</v>
      </c>
      <c r="X499" s="152">
        <f>IF(MouserListTable[[#This Row],[Tag]]=FilterSpecs!$F$7,MouserListTable[[#This Row],['#/Unit]]*MouserListTable[[#This Row],[Price (USD)]],0)</f>
        <v>0</v>
      </c>
      <c r="Y499" s="152">
        <f>MouserListTable[[#This Row],[Tot '#]]*MouserListTable[[#This Row],[Price (USD)]]</f>
        <v>3.9</v>
      </c>
    </row>
    <row r="500" spans="1:25" x14ac:dyDescent="0.25">
      <c r="A500" s="151" t="s">
        <v>890</v>
      </c>
      <c r="B500" s="151" t="s">
        <v>2002</v>
      </c>
      <c r="C500" s="150" t="s">
        <v>1884</v>
      </c>
      <c r="D500" s="151" t="str">
        <f>IF(MouserListTable[[#This Row],[Vendor]]=FilterSpecs!$A$8,MouserListTable[[#This Row],[Mouser SKU]], MouserListTable[[#This Row],[Supplier SKU]])</f>
        <v>485-3146</v>
      </c>
      <c r="E500" s="152">
        <f>MouserListTable[[#This Row],[Tot '#]]-MouserListTable[[#This Row],['# Initial]]</f>
        <v>0</v>
      </c>
      <c r="F500" s="152">
        <f>IF(AND(MouserListTable[[#This Row],[Tag]]&lt;&gt;FilterSpecs!$F$12, MouserListTable[[#This Row],[Tag]]&lt;&gt;FilterSpecs!$F$9), MouserListTable[[#This Row],['#/Unit]]*FilterSpecs!$B$3+MouserListTable[[#This Row],[Extra Initial]],0)</f>
        <v>1</v>
      </c>
      <c r="G500" s="150"/>
      <c r="H500" s="150"/>
      <c r="I500" s="150" t="s">
        <v>2173</v>
      </c>
      <c r="J500" s="153"/>
      <c r="K500" s="154">
        <v>2.95</v>
      </c>
      <c r="L500" s="151" t="s">
        <v>1896</v>
      </c>
      <c r="M500" s="151"/>
      <c r="N500" s="154">
        <f>MouserListTable[[#This Row],['# Initial]]*MouserListTable[[#This Row],[Price (USD)]]</f>
        <v>2.95</v>
      </c>
      <c r="O500" s="151" t="s">
        <v>2172</v>
      </c>
      <c r="P500" s="150">
        <f t="shared" si="9"/>
        <v>487</v>
      </c>
      <c r="Q500" s="150" t="s">
        <v>1884</v>
      </c>
      <c r="R50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485-3146</v>
      </c>
      <c r="S500" s="157" t="str">
        <f>HYPERLINK("https://www.mouser.com/ProductDetail/" &amp;MouserListTable[[#This Row],[Mouser SKU]])</f>
        <v>https://www.mouser.com/ProductDetail/485-3146</v>
      </c>
      <c r="T500" s="152">
        <v>0</v>
      </c>
      <c r="U500" s="152">
        <v>1</v>
      </c>
      <c r="V500" s="152">
        <v>1</v>
      </c>
      <c r="W500" s="152">
        <f>MouserListTable[[#This Row],['#/Unit]]*FilterSpecs!$C$3+MouserListTable[[#This Row],[Extra]]</f>
        <v>1</v>
      </c>
      <c r="X500" s="152">
        <f>IF(MouserListTable[[#This Row],[Tag]]=FilterSpecs!$F$7,MouserListTable[[#This Row],['#/Unit]]*MouserListTable[[#This Row],[Price (USD)]],0)</f>
        <v>0</v>
      </c>
      <c r="Y500" s="152">
        <f>MouserListTable[[#This Row],[Tot '#]]*MouserListTable[[#This Row],[Price (USD)]]</f>
        <v>2.95</v>
      </c>
    </row>
    <row r="501" spans="1:25" x14ac:dyDescent="0.25">
      <c r="A501" s="151" t="s">
        <v>890</v>
      </c>
      <c r="B501" s="151" t="s">
        <v>2002</v>
      </c>
      <c r="C501" s="150" t="s">
        <v>1884</v>
      </c>
      <c r="D501" s="151" t="str">
        <f>IF(MouserListTable[[#This Row],[Vendor]]=FilterSpecs!$A$8,MouserListTable[[#This Row],[Mouser SKU]], MouserListTable[[#This Row],[Supplier SKU]])</f>
        <v>485-3141</v>
      </c>
      <c r="E501" s="152">
        <f>MouserListTable[[#This Row],[Tot '#]]-MouserListTable[[#This Row],['# Initial]]</f>
        <v>5</v>
      </c>
      <c r="F501" s="152">
        <f>IF(AND(MouserListTable[[#This Row],[Tag]]&lt;&gt;FilterSpecs!$F$12, MouserListTable[[#This Row],[Tag]]&lt;&gt;FilterSpecs!$F$9), MouserListTable[[#This Row],['#/Unit]]*FilterSpecs!$B$3+MouserListTable[[#This Row],[Extra Initial]],0)</f>
        <v>5</v>
      </c>
      <c r="G501" s="150"/>
      <c r="H501" s="150"/>
      <c r="I501" s="150" t="s">
        <v>2175</v>
      </c>
      <c r="J501" s="153"/>
      <c r="K501" s="154">
        <v>2.95</v>
      </c>
      <c r="L501" s="151" t="s">
        <v>1897</v>
      </c>
      <c r="M501" s="151"/>
      <c r="N501" s="154">
        <f>MouserListTable[[#This Row],['# Initial]]*MouserListTable[[#This Row],[Price (USD)]]</f>
        <v>14.75</v>
      </c>
      <c r="O501" s="151" t="s">
        <v>2174</v>
      </c>
      <c r="P501" s="150">
        <f t="shared" si="9"/>
        <v>488</v>
      </c>
      <c r="Q501" s="150" t="s">
        <v>1884</v>
      </c>
      <c r="R50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485-3141</v>
      </c>
      <c r="S501" s="157" t="str">
        <f>HYPERLINK("https://www.mouser.com/ProductDetail/" &amp;MouserListTable[[#This Row],[Mouser SKU]])</f>
        <v>https://www.mouser.com/ProductDetail/485-3141</v>
      </c>
      <c r="T501" s="152">
        <v>1</v>
      </c>
      <c r="U501" s="152">
        <v>5</v>
      </c>
      <c r="V501" s="152">
        <v>0</v>
      </c>
      <c r="W501" s="152">
        <f>MouserListTable[[#This Row],['#/Unit]]*FilterSpecs!$C$3+MouserListTable[[#This Row],[Extra]]</f>
        <v>10</v>
      </c>
      <c r="X501" s="152">
        <f>IF(MouserListTable[[#This Row],[Tag]]=FilterSpecs!$F$7,MouserListTable[[#This Row],['#/Unit]]*MouserListTable[[#This Row],[Price (USD)]],0)</f>
        <v>2.95</v>
      </c>
      <c r="Y501" s="152">
        <f>MouserListTable[[#This Row],[Tot '#]]*MouserListTable[[#This Row],[Price (USD)]]</f>
        <v>29.5</v>
      </c>
    </row>
    <row r="502" spans="1:25" x14ac:dyDescent="0.25">
      <c r="A502" s="151" t="s">
        <v>890</v>
      </c>
      <c r="B502" s="151" t="s">
        <v>2002</v>
      </c>
      <c r="C502" s="150" t="s">
        <v>1884</v>
      </c>
      <c r="D502" s="151" t="str">
        <f>IF(MouserListTable[[#This Row],[Vendor]]=FilterSpecs!$A$8,MouserListTable[[#This Row],[Mouser SKU]], MouserListTable[[#This Row],[Supplier SKU]])</f>
        <v>485-3142</v>
      </c>
      <c r="E502" s="152">
        <f>MouserListTable[[#This Row],[Tot '#]]-MouserListTable[[#This Row],['# Initial]]</f>
        <v>5</v>
      </c>
      <c r="F502" s="152">
        <f>IF(AND(MouserListTable[[#This Row],[Tag]]&lt;&gt;FilterSpecs!$F$12, MouserListTable[[#This Row],[Tag]]&lt;&gt;FilterSpecs!$F$9), MouserListTable[[#This Row],['#/Unit]]*FilterSpecs!$B$3+MouserListTable[[#This Row],[Extra Initial]],0)</f>
        <v>5</v>
      </c>
      <c r="G502" s="150"/>
      <c r="H502" s="150"/>
      <c r="I502" s="150" t="s">
        <v>2177</v>
      </c>
      <c r="J502" s="153"/>
      <c r="K502" s="154">
        <v>3.95</v>
      </c>
      <c r="L502" s="151" t="s">
        <v>1897</v>
      </c>
      <c r="M502" s="151"/>
      <c r="N502" s="154">
        <f>MouserListTable[[#This Row],['# Initial]]*MouserListTable[[#This Row],[Price (USD)]]</f>
        <v>19.75</v>
      </c>
      <c r="O502" s="151" t="s">
        <v>2176</v>
      </c>
      <c r="P502" s="150">
        <f t="shared" si="9"/>
        <v>489</v>
      </c>
      <c r="Q502" s="150" t="s">
        <v>1884</v>
      </c>
      <c r="R50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485-3142</v>
      </c>
      <c r="S502" s="157" t="str">
        <f>HYPERLINK("https://www.mouser.com/ProductDetail/" &amp;MouserListTable[[#This Row],[Mouser SKU]])</f>
        <v>https://www.mouser.com/ProductDetail/485-3142</v>
      </c>
      <c r="T502" s="152">
        <v>1</v>
      </c>
      <c r="U502" s="152">
        <v>5</v>
      </c>
      <c r="V502" s="152">
        <v>0</v>
      </c>
      <c r="W502" s="152">
        <f>MouserListTable[[#This Row],['#/Unit]]*FilterSpecs!$C$3+MouserListTable[[#This Row],[Extra]]</f>
        <v>10</v>
      </c>
      <c r="X502" s="152">
        <f>IF(MouserListTable[[#This Row],[Tag]]=FilterSpecs!$F$7,MouserListTable[[#This Row],['#/Unit]]*MouserListTable[[#This Row],[Price (USD)]],0)</f>
        <v>3.95</v>
      </c>
      <c r="Y502" s="152">
        <f>MouserListTable[[#This Row],[Tot '#]]*MouserListTable[[#This Row],[Price (USD)]]</f>
        <v>39.5</v>
      </c>
    </row>
    <row r="503" spans="1:25" x14ac:dyDescent="0.25">
      <c r="A503" s="153" t="s">
        <v>890</v>
      </c>
      <c r="B503" s="153" t="s">
        <v>2408</v>
      </c>
      <c r="C503" s="150" t="s">
        <v>5</v>
      </c>
      <c r="D503" s="151" t="str">
        <f>IF(MouserListTable[[#This Row],[Vendor]]=FilterSpecs!$A$8,MouserListTable[[#This Row],[Mouser SKU]], MouserListTable[[#This Row],[Supplier SKU]])</f>
        <v>474-PRT-08671</v>
      </c>
      <c r="E503" s="152">
        <f>MouserListTable[[#This Row],[Tot '#]]-MouserListTable[[#This Row],['# Initial]]</f>
        <v>0</v>
      </c>
      <c r="F503" s="152">
        <f>IF(AND(MouserListTable[[#This Row],[Tag]]&lt;&gt;FilterSpecs!$F$12, MouserListTable[[#This Row],[Tag]]&lt;&gt;FilterSpecs!$F$9), MouserListTable[[#This Row],['#/Unit]]*FilterSpecs!$B$3+MouserListTable[[#This Row],[Extra Initial]],0)</f>
        <v>0</v>
      </c>
      <c r="G503" s="150" t="s">
        <v>589</v>
      </c>
      <c r="H503" s="150" t="s">
        <v>590</v>
      </c>
      <c r="I503" s="150" t="s">
        <v>591</v>
      </c>
      <c r="J503" s="150">
        <v>1</v>
      </c>
      <c r="K503" s="154">
        <v>0.95</v>
      </c>
      <c r="L503" s="151" t="s">
        <v>1896</v>
      </c>
      <c r="M503" s="150" t="s">
        <v>2373</v>
      </c>
      <c r="N503" s="154">
        <f>MouserListTable[[#This Row],['# Initial]]*MouserListTable[[#This Row],[Price (USD)]]</f>
        <v>0</v>
      </c>
      <c r="O503" s="151" t="s">
        <v>588</v>
      </c>
      <c r="P503" s="150">
        <f t="shared" si="9"/>
        <v>490</v>
      </c>
      <c r="Q503" s="150" t="s">
        <v>5</v>
      </c>
      <c r="R50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474-PRT-08671</v>
      </c>
      <c r="S503" s="157" t="str">
        <f>HYPERLINK("https://www.mouser.com/ProductDetail/" &amp;MouserListTable[[#This Row],[Mouser SKU]])</f>
        <v>https://www.mouser.com/ProductDetail/474-PRT-08671</v>
      </c>
      <c r="T503" s="152">
        <v>0</v>
      </c>
      <c r="U503" s="152">
        <v>0</v>
      </c>
      <c r="V503" s="152">
        <v>0</v>
      </c>
      <c r="W503" s="152">
        <f>MouserListTable[[#This Row],['#/Unit]]*FilterSpecs!$C$3+MouserListTable[[#This Row],[Extra]]</f>
        <v>0</v>
      </c>
      <c r="X503" s="152">
        <f>IF(MouserListTable[[#This Row],[Tag]]=FilterSpecs!$F$7,MouserListTable[[#This Row],['#/Unit]]*MouserListTable[[#This Row],[Price (USD)]],0)</f>
        <v>0</v>
      </c>
      <c r="Y503" s="152">
        <f>MouserListTable[[#This Row],[Tot '#]]*MouserListTable[[#This Row],[Price (USD)]]</f>
        <v>0</v>
      </c>
    </row>
    <row r="504" spans="1:25" x14ac:dyDescent="0.25">
      <c r="A504" s="153" t="s">
        <v>890</v>
      </c>
      <c r="B504" s="153" t="s">
        <v>2408</v>
      </c>
      <c r="C504" s="150" t="s">
        <v>5</v>
      </c>
      <c r="D504" s="151" t="str">
        <f>IF(MouserListTable[[#This Row],[Vendor]]=FilterSpecs!$A$8,MouserListTable[[#This Row],[Mouser SKU]], MouserListTable[[#This Row],[Supplier SKU]])</f>
        <v>474-PRT-08670</v>
      </c>
      <c r="E504" s="152">
        <f>MouserListTable[[#This Row],[Tot '#]]-MouserListTable[[#This Row],['# Initial]]</f>
        <v>0</v>
      </c>
      <c r="F504" s="152">
        <f>IF(AND(MouserListTable[[#This Row],[Tag]]&lt;&gt;FilterSpecs!$F$12, MouserListTable[[#This Row],[Tag]]&lt;&gt;FilterSpecs!$F$9), MouserListTable[[#This Row],['#/Unit]]*FilterSpecs!$B$3+MouserListTable[[#This Row],[Extra Initial]],0)</f>
        <v>0</v>
      </c>
      <c r="G504" s="150" t="s">
        <v>585</v>
      </c>
      <c r="H504" s="150" t="s">
        <v>586</v>
      </c>
      <c r="I504" s="150" t="s">
        <v>587</v>
      </c>
      <c r="J504" s="150">
        <v>1</v>
      </c>
      <c r="K504" s="154">
        <v>0.95</v>
      </c>
      <c r="L504" s="151" t="s">
        <v>1896</v>
      </c>
      <c r="M504" s="150" t="s">
        <v>2373</v>
      </c>
      <c r="N504" s="154">
        <f>MouserListTable[[#This Row],['# Initial]]*MouserListTable[[#This Row],[Price (USD)]]</f>
        <v>0</v>
      </c>
      <c r="O504" s="151" t="s">
        <v>584</v>
      </c>
      <c r="P504" s="150">
        <f t="shared" si="9"/>
        <v>491</v>
      </c>
      <c r="Q504" s="150" t="s">
        <v>5</v>
      </c>
      <c r="R50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474-PRT-08670</v>
      </c>
      <c r="S504" s="157" t="str">
        <f>HYPERLINK("https://www.mouser.com/ProductDetail/" &amp;MouserListTable[[#This Row],[Mouser SKU]])</f>
        <v>https://www.mouser.com/ProductDetail/474-PRT-08670</v>
      </c>
      <c r="T504" s="152">
        <v>0</v>
      </c>
      <c r="U504" s="152">
        <v>0</v>
      </c>
      <c r="V504" s="152">
        <v>0</v>
      </c>
      <c r="W504" s="152">
        <f>MouserListTable[[#This Row],['#/Unit]]*FilterSpecs!$C$3+MouserListTable[[#This Row],[Extra]]</f>
        <v>0</v>
      </c>
      <c r="X504" s="152">
        <f>IF(MouserListTable[[#This Row],[Tag]]=FilterSpecs!$F$7,MouserListTable[[#This Row],['#/Unit]]*MouserListTable[[#This Row],[Price (USD)]],0)</f>
        <v>0</v>
      </c>
      <c r="Y504" s="152">
        <f>MouserListTable[[#This Row],[Tot '#]]*MouserListTable[[#This Row],[Price (USD)]]</f>
        <v>0</v>
      </c>
    </row>
    <row r="505" spans="1:25" x14ac:dyDescent="0.25">
      <c r="A505" s="151" t="s">
        <v>890</v>
      </c>
      <c r="B505" s="151" t="s">
        <v>2408</v>
      </c>
      <c r="C505" s="150" t="s">
        <v>5</v>
      </c>
      <c r="D505" s="151" t="str">
        <f>IF(MouserListTable[[#This Row],[Vendor]]=FilterSpecs!$A$8,MouserListTable[[#This Row],[Mouser SKU]], MouserListTable[[#This Row],[Supplier SKU]])</f>
        <v>474-PRT-09914</v>
      </c>
      <c r="E505" s="152">
        <f>MouserListTable[[#This Row],[Tot '#]]-MouserListTable[[#This Row],['# Initial]]</f>
        <v>0</v>
      </c>
      <c r="F505" s="152">
        <f>IF(AND(MouserListTable[[#This Row],[Tag]]&lt;&gt;FilterSpecs!$F$12, MouserListTable[[#This Row],[Tag]]&lt;&gt;FilterSpecs!$F$9), MouserListTable[[#This Row],['#/Unit]]*FilterSpecs!$B$3+MouserListTable[[#This Row],[Extra Initial]],0)</f>
        <v>10</v>
      </c>
      <c r="G505" s="150" t="s">
        <v>505</v>
      </c>
      <c r="H505" s="150" t="s">
        <v>506</v>
      </c>
      <c r="I505" s="150" t="s">
        <v>507</v>
      </c>
      <c r="J505" s="150">
        <v>1</v>
      </c>
      <c r="K505" s="154">
        <v>0.95</v>
      </c>
      <c r="L505" s="151" t="s">
        <v>1897</v>
      </c>
      <c r="M505" s="150" t="s">
        <v>2373</v>
      </c>
      <c r="N505" s="154">
        <f>MouserListTable[[#This Row],['# Initial]]*MouserListTable[[#This Row],[Price (USD)]]</f>
        <v>9.5</v>
      </c>
      <c r="O505" s="151" t="s">
        <v>504</v>
      </c>
      <c r="P505" s="150">
        <f t="shared" si="9"/>
        <v>492</v>
      </c>
      <c r="Q505" s="150" t="s">
        <v>5</v>
      </c>
      <c r="R50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474-PRT-09914</v>
      </c>
      <c r="S505" s="157" t="str">
        <f>HYPERLINK("https://www.mouser.com/ProductDetail/" &amp;MouserListTable[[#This Row],[Mouser SKU]])</f>
        <v>https://www.mouser.com/ProductDetail/474-PRT-09914</v>
      </c>
      <c r="T505" s="152">
        <v>2</v>
      </c>
      <c r="U505" s="152">
        <v>0</v>
      </c>
      <c r="V505" s="152">
        <v>0</v>
      </c>
      <c r="W505" s="152">
        <f>MouserListTable[[#This Row],['#/Unit]]*FilterSpecs!$C$3+MouserListTable[[#This Row],[Extra]]</f>
        <v>10</v>
      </c>
      <c r="X505" s="152">
        <f>IF(MouserListTable[[#This Row],[Tag]]=FilterSpecs!$F$7,MouserListTable[[#This Row],['#/Unit]]*MouserListTable[[#This Row],[Price (USD)]],0)</f>
        <v>1.9</v>
      </c>
      <c r="Y505" s="152">
        <f>MouserListTable[[#This Row],[Tot '#]]*MouserListTable[[#This Row],[Price (USD)]]</f>
        <v>9.5</v>
      </c>
    </row>
    <row r="506" spans="1:25" x14ac:dyDescent="0.25">
      <c r="A506" s="151" t="s">
        <v>890</v>
      </c>
      <c r="B506" s="151" t="s">
        <v>2408</v>
      </c>
      <c r="C506" s="150" t="s">
        <v>5</v>
      </c>
      <c r="D506" s="151" t="str">
        <f>IF(MouserListTable[[#This Row],[Vendor]]=FilterSpecs!$A$8,MouserListTable[[#This Row],[Mouser SKU]], MouserListTable[[#This Row],[Supplier SKU]])</f>
        <v>474-PRT-09915</v>
      </c>
      <c r="E506" s="152">
        <f>MouserListTable[[#This Row],[Tot '#]]-MouserListTable[[#This Row],['# Initial]]</f>
        <v>0</v>
      </c>
      <c r="F506" s="152">
        <f>IF(AND(MouserListTable[[#This Row],[Tag]]&lt;&gt;FilterSpecs!$F$12, MouserListTable[[#This Row],[Tag]]&lt;&gt;FilterSpecs!$F$9), MouserListTable[[#This Row],['#/Unit]]*FilterSpecs!$B$3+MouserListTable[[#This Row],[Extra Initial]],0)</f>
        <v>5</v>
      </c>
      <c r="G506" s="150" t="s">
        <v>1341</v>
      </c>
      <c r="H506" s="150" t="s">
        <v>1342</v>
      </c>
      <c r="I506" s="150" t="s">
        <v>1343</v>
      </c>
      <c r="J506" s="150">
        <v>1</v>
      </c>
      <c r="K506" s="154">
        <v>1.5</v>
      </c>
      <c r="L506" s="151" t="s">
        <v>1897</v>
      </c>
      <c r="M506" s="150" t="s">
        <v>2373</v>
      </c>
      <c r="N506" s="154">
        <f>MouserListTable[[#This Row],['# Initial]]*MouserListTable[[#This Row],[Price (USD)]]</f>
        <v>7.5</v>
      </c>
      <c r="O506" s="151" t="s">
        <v>1340</v>
      </c>
      <c r="P506" s="150">
        <f t="shared" si="9"/>
        <v>493</v>
      </c>
      <c r="Q506" s="150" t="s">
        <v>5</v>
      </c>
      <c r="R50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474-PRT-09915</v>
      </c>
      <c r="S506" s="157" t="str">
        <f>HYPERLINK("https://www.mouser.com/ProductDetail/" &amp;MouserListTable[[#This Row],[Mouser SKU]])</f>
        <v>https://www.mouser.com/ProductDetail/474-PRT-09915</v>
      </c>
      <c r="T506" s="152">
        <v>1</v>
      </c>
      <c r="U506" s="152">
        <v>0</v>
      </c>
      <c r="V506" s="152">
        <v>0</v>
      </c>
      <c r="W506" s="152">
        <f>MouserListTable[[#This Row],['#/Unit]]*FilterSpecs!$C$3+MouserListTable[[#This Row],[Extra]]</f>
        <v>5</v>
      </c>
      <c r="X506" s="152">
        <f>IF(MouserListTable[[#This Row],[Tag]]=FilterSpecs!$F$7,MouserListTable[[#This Row],['#/Unit]]*MouserListTable[[#This Row],[Price (USD)]],0)</f>
        <v>1.5</v>
      </c>
      <c r="Y506" s="152">
        <f>MouserListTable[[#This Row],[Tot '#]]*MouserListTable[[#This Row],[Price (USD)]]</f>
        <v>7.5</v>
      </c>
    </row>
    <row r="507" spans="1:25" x14ac:dyDescent="0.25">
      <c r="A507" s="151" t="s">
        <v>890</v>
      </c>
      <c r="B507" s="151" t="s">
        <v>2408</v>
      </c>
      <c r="C507" s="150" t="s">
        <v>5</v>
      </c>
      <c r="D507" s="151" t="str">
        <f>IF(MouserListTable[[#This Row],[Vendor]]=FilterSpecs!$A$8,MouserListTable[[#This Row],[Mouser SKU]], MouserListTable[[#This Row],[Supplier SKU]])</f>
        <v>474-PRT-09916</v>
      </c>
      <c r="E507" s="152">
        <f>MouserListTable[[#This Row],[Tot '#]]-MouserListTable[[#This Row],['# Initial]]</f>
        <v>0</v>
      </c>
      <c r="F507" s="152">
        <f>IF(AND(MouserListTable[[#This Row],[Tag]]&lt;&gt;FilterSpecs!$F$12, MouserListTable[[#This Row],[Tag]]&lt;&gt;FilterSpecs!$F$9), MouserListTable[[#This Row],['#/Unit]]*FilterSpecs!$B$3+MouserListTable[[#This Row],[Extra Initial]],0)</f>
        <v>10</v>
      </c>
      <c r="G507" s="150" t="s">
        <v>479</v>
      </c>
      <c r="H507" s="150" t="s">
        <v>480</v>
      </c>
      <c r="I507" s="150" t="s">
        <v>481</v>
      </c>
      <c r="J507" s="150"/>
      <c r="K507" s="154">
        <v>1.5</v>
      </c>
      <c r="L507" s="151" t="s">
        <v>1897</v>
      </c>
      <c r="M507" s="150" t="s">
        <v>2373</v>
      </c>
      <c r="N507" s="154">
        <f>MouserListTable[[#This Row],['# Initial]]*MouserListTable[[#This Row],[Price (USD)]]</f>
        <v>15</v>
      </c>
      <c r="O507" s="151" t="s">
        <v>478</v>
      </c>
      <c r="P507" s="150">
        <f t="shared" si="9"/>
        <v>494</v>
      </c>
      <c r="Q507" s="150" t="s">
        <v>5</v>
      </c>
      <c r="R50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474-PRT-09916</v>
      </c>
      <c r="S507" s="157" t="str">
        <f>HYPERLINK("https://www.mouser.com/ProductDetail/" &amp;MouserListTable[[#This Row],[Mouser SKU]])</f>
        <v>https://www.mouser.com/ProductDetail/474-PRT-09916</v>
      </c>
      <c r="T507" s="152">
        <v>2</v>
      </c>
      <c r="U507" s="152">
        <v>0</v>
      </c>
      <c r="V507" s="152">
        <v>0</v>
      </c>
      <c r="W507" s="152">
        <f>MouserListTable[[#This Row],['#/Unit]]*FilterSpecs!$C$3+MouserListTable[[#This Row],[Extra]]</f>
        <v>10</v>
      </c>
      <c r="X507" s="152">
        <f>IF(MouserListTable[[#This Row],[Tag]]=FilterSpecs!$F$7,MouserListTable[[#This Row],['#/Unit]]*MouserListTable[[#This Row],[Price (USD)]],0)</f>
        <v>3</v>
      </c>
      <c r="Y507" s="152">
        <f>MouserListTable[[#This Row],[Tot '#]]*MouserListTable[[#This Row],[Price (USD)]]</f>
        <v>15</v>
      </c>
    </row>
    <row r="508" spans="1:25" x14ac:dyDescent="0.25">
      <c r="A508" s="151" t="s">
        <v>890</v>
      </c>
      <c r="B508" s="151" t="s">
        <v>2408</v>
      </c>
      <c r="C508" s="150" t="s">
        <v>1884</v>
      </c>
      <c r="D508" s="151" t="str">
        <f>IF(MouserListTable[[#This Row],[Vendor]]=FilterSpecs!$A$8,MouserListTable[[#This Row],[Mouser SKU]], MouserListTable[[#This Row],[Supplier SKU]])</f>
        <v>485-3064</v>
      </c>
      <c r="E508" s="152">
        <f>MouserListTable[[#This Row],[Tot '#]]-MouserListTable[[#This Row],['# Initial]]</f>
        <v>0</v>
      </c>
      <c r="F508" s="152">
        <f>IF(AND(MouserListTable[[#This Row],[Tag]]&lt;&gt;FilterSpecs!$F$12, MouserListTable[[#This Row],[Tag]]&lt;&gt;FilterSpecs!$F$9), MouserListTable[[#This Row],['#/Unit]]*FilterSpecs!$B$3+MouserListTable[[#This Row],[Extra Initial]],0)</f>
        <v>5</v>
      </c>
      <c r="G508" s="150"/>
      <c r="H508" s="150"/>
      <c r="I508" s="150" t="s">
        <v>2185</v>
      </c>
      <c r="J508" s="153"/>
      <c r="K508" s="154">
        <v>2.95</v>
      </c>
      <c r="L508" s="151" t="s">
        <v>1897</v>
      </c>
      <c r="M508" s="151" t="s">
        <v>2373</v>
      </c>
      <c r="N508" s="154">
        <f>MouserListTable[[#This Row],['# Initial]]*MouserListTable[[#This Row],[Price (USD)]]</f>
        <v>14.75</v>
      </c>
      <c r="O508" s="151" t="s">
        <v>2184</v>
      </c>
      <c r="P508" s="150">
        <f t="shared" si="9"/>
        <v>495</v>
      </c>
      <c r="Q508" s="150" t="s">
        <v>1884</v>
      </c>
      <c r="R50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485-3064</v>
      </c>
      <c r="S508" s="157" t="str">
        <f>HYPERLINK("https://www.mouser.com/ProductDetail/" &amp;MouserListTable[[#This Row],[Mouser SKU]])</f>
        <v>https://www.mouser.com/ProductDetail/485-3064</v>
      </c>
      <c r="T508" s="152">
        <v>1</v>
      </c>
      <c r="U508" s="152">
        <v>0</v>
      </c>
      <c r="V508" s="152">
        <v>0</v>
      </c>
      <c r="W508" s="152">
        <f>MouserListTable[[#This Row],['#/Unit]]*FilterSpecs!$C$3+MouserListTable[[#This Row],[Extra]]</f>
        <v>5</v>
      </c>
      <c r="X508" s="152">
        <f>IF(MouserListTable[[#This Row],[Tag]]=FilterSpecs!$F$7,MouserListTable[[#This Row],['#/Unit]]*MouserListTable[[#This Row],[Price (USD)]],0)</f>
        <v>2.95</v>
      </c>
      <c r="Y508" s="152">
        <f>MouserListTable[[#This Row],[Tot '#]]*MouserListTable[[#This Row],[Price (USD)]]</f>
        <v>14.75</v>
      </c>
    </row>
    <row r="509" spans="1:25" x14ac:dyDescent="0.25">
      <c r="A509" s="151" t="s">
        <v>890</v>
      </c>
      <c r="B509" s="151" t="s">
        <v>2408</v>
      </c>
      <c r="C509" s="150" t="s">
        <v>1884</v>
      </c>
      <c r="D509" s="151" t="str">
        <f>IF(MouserListTable[[#This Row],[Vendor]]=FilterSpecs!$A$8,MouserListTable[[#This Row],[Mouser SKU]], MouserListTable[[#This Row],[Supplier SKU]])</f>
        <v>485-3568</v>
      </c>
      <c r="E509" s="152">
        <f>MouserListTable[[#This Row],[Tot '#]]-MouserListTable[[#This Row],['# Initial]]</f>
        <v>0</v>
      </c>
      <c r="F509" s="152">
        <f>IF(AND(MouserListTable[[#This Row],[Tag]]&lt;&gt;FilterSpecs!$F$12, MouserListTable[[#This Row],[Tag]]&lt;&gt;FilterSpecs!$F$9), MouserListTable[[#This Row],['#/Unit]]*FilterSpecs!$B$3+MouserListTable[[#This Row],[Extra Initial]],0)</f>
        <v>0</v>
      </c>
      <c r="G509" s="150"/>
      <c r="H509" s="150"/>
      <c r="I509" s="150" t="s">
        <v>2187</v>
      </c>
      <c r="J509" s="153"/>
      <c r="K509" s="118">
        <v>0.75</v>
      </c>
      <c r="L509" s="153" t="s">
        <v>1896</v>
      </c>
      <c r="M509" s="153" t="s">
        <v>2373</v>
      </c>
      <c r="N509" s="154">
        <f>MouserListTable[[#This Row],['# Initial]]*MouserListTable[[#This Row],[Price (USD)]]</f>
        <v>0</v>
      </c>
      <c r="O509" s="151" t="s">
        <v>2186</v>
      </c>
      <c r="P509" s="150">
        <f t="shared" si="9"/>
        <v>496</v>
      </c>
      <c r="Q509" s="150" t="s">
        <v>1884</v>
      </c>
      <c r="R50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485-3568</v>
      </c>
      <c r="S509" s="157" t="str">
        <f>HYPERLINK("https://www.mouser.com/ProductDetail/" &amp;MouserListTable[[#This Row],[Mouser SKU]])</f>
        <v>https://www.mouser.com/ProductDetail/485-3568</v>
      </c>
      <c r="T509" s="152">
        <v>0</v>
      </c>
      <c r="U509" s="152">
        <v>0</v>
      </c>
      <c r="V509" s="152">
        <v>0</v>
      </c>
      <c r="W509" s="152">
        <f>MouserListTable[[#This Row],['#/Unit]]*FilterSpecs!$C$3+MouserListTable[[#This Row],[Extra]]</f>
        <v>0</v>
      </c>
      <c r="X509" s="152">
        <f>IF(MouserListTable[[#This Row],[Tag]]=FilterSpecs!$F$7,MouserListTable[[#This Row],['#/Unit]]*MouserListTable[[#This Row],[Price (USD)]],0)</f>
        <v>0</v>
      </c>
      <c r="Y509" s="152">
        <f>MouserListTable[[#This Row],[Tot '#]]*MouserListTable[[#This Row],[Price (USD)]]</f>
        <v>0</v>
      </c>
    </row>
    <row r="510" spans="1:25" x14ac:dyDescent="0.25">
      <c r="A510" s="151" t="s">
        <v>890</v>
      </c>
      <c r="B510" s="151" t="s">
        <v>2409</v>
      </c>
      <c r="C510" s="150" t="s">
        <v>5</v>
      </c>
      <c r="D510" s="151" t="str">
        <f>IF(MouserListTable[[#This Row],[Vendor]]=FilterSpecs!$A$8,MouserListTable[[#This Row],[Mouser SKU]], MouserListTable[[#This Row],[Supplier SKU]])</f>
        <v>474-PRT-10359</v>
      </c>
      <c r="E510" s="152">
        <f>MouserListTable[[#This Row],[Tot '#]]-MouserListTable[[#This Row],['# Initial]]</f>
        <v>0</v>
      </c>
      <c r="F510" s="152">
        <f>IF(AND(MouserListTable[[#This Row],[Tag]]&lt;&gt;FilterSpecs!$F$12, MouserListTable[[#This Row],[Tag]]&lt;&gt;FilterSpecs!$F$9), MouserListTable[[#This Row],['#/Unit]]*FilterSpecs!$B$3+MouserListTable[[#This Row],[Extra Initial]],0)</f>
        <v>5</v>
      </c>
      <c r="G510" s="150" t="s">
        <v>1806</v>
      </c>
      <c r="H510" s="150" t="s">
        <v>1807</v>
      </c>
      <c r="I510" s="150" t="s">
        <v>1808</v>
      </c>
      <c r="J510" s="150"/>
      <c r="K510" s="154">
        <v>1.5</v>
      </c>
      <c r="L510" s="151" t="s">
        <v>1897</v>
      </c>
      <c r="M510" s="150" t="s">
        <v>2372</v>
      </c>
      <c r="N510" s="154">
        <f>MouserListTable[[#This Row],['# Initial]]*MouserListTable[[#This Row],[Price (USD)]]</f>
        <v>7.5</v>
      </c>
      <c r="O510" s="151" t="s">
        <v>1805</v>
      </c>
      <c r="P510" s="150">
        <f t="shared" si="9"/>
        <v>497</v>
      </c>
      <c r="Q510" s="150" t="s">
        <v>5</v>
      </c>
      <c r="R51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474-PRT-10359</v>
      </c>
      <c r="S510" s="157" t="str">
        <f>HYPERLINK("https://www.mouser.com/ProductDetail/" &amp;MouserListTable[[#This Row],[Mouser SKU]])</f>
        <v>https://www.mouser.com/ProductDetail/474-PRT-10359</v>
      </c>
      <c r="T510" s="152">
        <v>1</v>
      </c>
      <c r="U510" s="152">
        <v>0</v>
      </c>
      <c r="V510" s="152">
        <v>0</v>
      </c>
      <c r="W510" s="152">
        <f>MouserListTable[[#This Row],['#/Unit]]*FilterSpecs!$C$3+MouserListTable[[#This Row],[Extra]]</f>
        <v>5</v>
      </c>
      <c r="X510" s="152">
        <f>IF(MouserListTable[[#This Row],[Tag]]=FilterSpecs!$F$7,MouserListTable[[#This Row],['#/Unit]]*MouserListTable[[#This Row],[Price (USD)]],0)</f>
        <v>1.5</v>
      </c>
      <c r="Y510" s="152">
        <f>MouserListTable[[#This Row],[Tot '#]]*MouserListTable[[#This Row],[Price (USD)]]</f>
        <v>7.5</v>
      </c>
    </row>
    <row r="511" spans="1:25" x14ac:dyDescent="0.25">
      <c r="A511" s="153" t="s">
        <v>890</v>
      </c>
      <c r="B511" s="153" t="s">
        <v>2409</v>
      </c>
      <c r="C511" s="150" t="s">
        <v>5</v>
      </c>
      <c r="D511" s="151" t="str">
        <f>IF(MouserListTable[[#This Row],[Vendor]]=FilterSpecs!$A$8,MouserListTable[[#This Row],[Mouser SKU]], MouserListTable[[#This Row],[Supplier SKU]])</f>
        <v>474-GPS-00574</v>
      </c>
      <c r="E511" s="152">
        <f>MouserListTable[[#This Row],[Tot '#]]-MouserListTable[[#This Row],['# Initial]]</f>
        <v>0</v>
      </c>
      <c r="F511" s="152">
        <f>IF(AND(MouserListTable[[#This Row],[Tag]]&lt;&gt;FilterSpecs!$F$12, MouserListTable[[#This Row],[Tag]]&lt;&gt;FilterSpecs!$F$9), MouserListTable[[#This Row],['#/Unit]]*FilterSpecs!$B$3+MouserListTable[[#This Row],[Extra Initial]],0)</f>
        <v>0</v>
      </c>
      <c r="G511" s="150" t="s">
        <v>1798</v>
      </c>
      <c r="H511" s="150" t="s">
        <v>1799</v>
      </c>
      <c r="I511" s="150" t="s">
        <v>1800</v>
      </c>
      <c r="J511" s="150"/>
      <c r="K511" s="154">
        <v>2.95</v>
      </c>
      <c r="L511" s="151" t="s">
        <v>1896</v>
      </c>
      <c r="M511" s="150" t="s">
        <v>2372</v>
      </c>
      <c r="N511" s="154">
        <f>MouserListTable[[#This Row],['# Initial]]*MouserListTable[[#This Row],[Price (USD)]]</f>
        <v>0</v>
      </c>
      <c r="O511" s="151" t="s">
        <v>1797</v>
      </c>
      <c r="P511" s="150">
        <f t="shared" si="9"/>
        <v>498</v>
      </c>
      <c r="Q511" s="150" t="s">
        <v>5</v>
      </c>
      <c r="R51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474-GPS-00574</v>
      </c>
      <c r="S511" s="157" t="str">
        <f>HYPERLINK("https://www.mouser.com/ProductDetail/" &amp;MouserListTable[[#This Row],[Mouser SKU]])</f>
        <v>https://www.mouser.com/ProductDetail/474-GPS-00574</v>
      </c>
      <c r="T511" s="152">
        <v>0</v>
      </c>
      <c r="U511" s="152">
        <v>0</v>
      </c>
      <c r="V511" s="152">
        <v>0</v>
      </c>
      <c r="W511" s="152">
        <f>MouserListTable[[#This Row],['#/Unit]]*FilterSpecs!$C$3+MouserListTable[[#This Row],[Extra]]</f>
        <v>0</v>
      </c>
      <c r="X511" s="152">
        <f>IF(MouserListTable[[#This Row],[Tag]]=FilterSpecs!$F$7,MouserListTable[[#This Row],['#/Unit]]*MouserListTable[[#This Row],[Price (USD)]],0)</f>
        <v>0</v>
      </c>
      <c r="Y511" s="152">
        <f>MouserListTable[[#This Row],[Tot '#]]*MouserListTable[[#This Row],[Price (USD)]]</f>
        <v>0</v>
      </c>
    </row>
    <row r="512" spans="1:25" x14ac:dyDescent="0.25">
      <c r="A512" s="153" t="s">
        <v>890</v>
      </c>
      <c r="B512" s="153" t="s">
        <v>2409</v>
      </c>
      <c r="C512" s="150" t="s">
        <v>5</v>
      </c>
      <c r="D512" s="151" t="str">
        <f>IF(MouserListTable[[#This Row],[Vendor]]=FilterSpecs!$A$8,MouserListTable[[#This Row],[Mouser SKU]], MouserListTable[[#This Row],[Supplier SKU]])</f>
        <v>474-PRT-10361</v>
      </c>
      <c r="E512" s="152">
        <f>MouserListTable[[#This Row],[Tot '#]]-MouserListTable[[#This Row],['# Initial]]</f>
        <v>0</v>
      </c>
      <c r="F512" s="152">
        <f>IF(AND(MouserListTable[[#This Row],[Tag]]&lt;&gt;FilterSpecs!$F$12, MouserListTable[[#This Row],[Tag]]&lt;&gt;FilterSpecs!$F$9), MouserListTable[[#This Row],['#/Unit]]*FilterSpecs!$B$3+MouserListTable[[#This Row],[Extra Initial]],0)</f>
        <v>0</v>
      </c>
      <c r="G512" s="150" t="s">
        <v>1790</v>
      </c>
      <c r="H512" s="150" t="s">
        <v>1791</v>
      </c>
      <c r="I512" s="150" t="s">
        <v>1792</v>
      </c>
      <c r="J512" s="150"/>
      <c r="K512" s="154">
        <v>1.5</v>
      </c>
      <c r="L512" s="151" t="s">
        <v>1896</v>
      </c>
      <c r="M512" s="150" t="s">
        <v>2372</v>
      </c>
      <c r="N512" s="154">
        <f>MouserListTable[[#This Row],['# Initial]]*MouserListTable[[#This Row],[Price (USD)]]</f>
        <v>0</v>
      </c>
      <c r="O512" s="151" t="s">
        <v>1789</v>
      </c>
      <c r="P512" s="150">
        <f t="shared" si="9"/>
        <v>499</v>
      </c>
      <c r="Q512" s="150" t="s">
        <v>5</v>
      </c>
      <c r="R51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474-PRT-10361</v>
      </c>
      <c r="S512" s="157" t="str">
        <f>HYPERLINK("https://www.mouser.com/ProductDetail/" &amp;MouserListTable[[#This Row],[Mouser SKU]])</f>
        <v>https://www.mouser.com/ProductDetail/474-PRT-10361</v>
      </c>
      <c r="T512" s="152">
        <v>0</v>
      </c>
      <c r="U512" s="152">
        <v>0</v>
      </c>
      <c r="V512" s="152">
        <v>0</v>
      </c>
      <c r="W512" s="152">
        <f>MouserListTable[[#This Row],['#/Unit]]*FilterSpecs!$C$3+MouserListTable[[#This Row],[Extra]]</f>
        <v>0</v>
      </c>
      <c r="X512" s="152">
        <f>IF(MouserListTable[[#This Row],[Tag]]=FilterSpecs!$F$7,MouserListTable[[#This Row],['#/Unit]]*MouserListTable[[#This Row],[Price (USD)]],0)</f>
        <v>0</v>
      </c>
      <c r="Y512" s="152">
        <f>MouserListTable[[#This Row],[Tot '#]]*MouserListTable[[#This Row],[Price (USD)]]</f>
        <v>0</v>
      </c>
    </row>
    <row r="513" spans="1:25" x14ac:dyDescent="0.25">
      <c r="A513" s="153" t="s">
        <v>890</v>
      </c>
      <c r="B513" s="153" t="s">
        <v>2409</v>
      </c>
      <c r="C513" s="150" t="s">
        <v>5</v>
      </c>
      <c r="D513" s="151" t="str">
        <f>IF(MouserListTable[[#This Row],[Vendor]]=FilterSpecs!$A$8,MouserListTable[[#This Row],[Mouser SKU]], MouserListTable[[#This Row],[Supplier SKU]])</f>
        <v>474-GPS-09123</v>
      </c>
      <c r="E513" s="152">
        <f>MouserListTable[[#This Row],[Tot '#]]-MouserListTable[[#This Row],['# Initial]]</f>
        <v>0</v>
      </c>
      <c r="F513" s="152">
        <f>IF(AND(MouserListTable[[#This Row],[Tag]]&lt;&gt;FilterSpecs!$F$12, MouserListTable[[#This Row],[Tag]]&lt;&gt;FilterSpecs!$F$9), MouserListTable[[#This Row],['#/Unit]]*FilterSpecs!$B$3+MouserListTable[[#This Row],[Extra Initial]],0)</f>
        <v>0</v>
      </c>
      <c r="G513" s="150" t="s">
        <v>1802</v>
      </c>
      <c r="H513" s="150" t="s">
        <v>1803</v>
      </c>
      <c r="I513" s="150" t="s">
        <v>1804</v>
      </c>
      <c r="J513" s="150">
        <v>1</v>
      </c>
      <c r="K513" s="154">
        <v>2.95</v>
      </c>
      <c r="L513" s="151" t="s">
        <v>1896</v>
      </c>
      <c r="M513" s="150" t="s">
        <v>2372</v>
      </c>
      <c r="N513" s="154">
        <f>MouserListTable[[#This Row],['# Initial]]*MouserListTable[[#This Row],[Price (USD)]]</f>
        <v>0</v>
      </c>
      <c r="O513" s="151" t="s">
        <v>1801</v>
      </c>
      <c r="P513" s="150">
        <f t="shared" si="9"/>
        <v>500</v>
      </c>
      <c r="Q513" s="150" t="s">
        <v>5</v>
      </c>
      <c r="R51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474-GPS-09123</v>
      </c>
      <c r="S513" s="157" t="str">
        <f>HYPERLINK("https://www.mouser.com/ProductDetail/" &amp;MouserListTable[[#This Row],[Mouser SKU]])</f>
        <v>https://www.mouser.com/ProductDetail/474-GPS-09123</v>
      </c>
      <c r="T513" s="152">
        <v>0</v>
      </c>
      <c r="U513" s="152">
        <v>0</v>
      </c>
      <c r="V513" s="152">
        <v>0</v>
      </c>
      <c r="W513" s="152">
        <f>MouserListTable[[#This Row],['#/Unit]]*FilterSpecs!$C$3+MouserListTable[[#This Row],[Extra]]</f>
        <v>0</v>
      </c>
      <c r="X513" s="152">
        <f>IF(MouserListTable[[#This Row],[Tag]]=FilterSpecs!$F$7,MouserListTable[[#This Row],['#/Unit]]*MouserListTable[[#This Row],[Price (USD)]],0)</f>
        <v>0</v>
      </c>
      <c r="Y513" s="152">
        <f>MouserListTable[[#This Row],[Tot '#]]*MouserListTable[[#This Row],[Price (USD)]]</f>
        <v>0</v>
      </c>
    </row>
    <row r="514" spans="1:25" x14ac:dyDescent="0.25">
      <c r="A514" s="153" t="s">
        <v>890</v>
      </c>
      <c r="B514" s="153" t="s">
        <v>2409</v>
      </c>
      <c r="C514" s="150" t="s">
        <v>5</v>
      </c>
      <c r="D514" s="151" t="str">
        <f>IF(MouserListTable[[#This Row],[Vendor]]=FilterSpecs!$A$8,MouserListTable[[#This Row],[Mouser SKU]], MouserListTable[[#This Row],[Supplier SKU]])</f>
        <v>474-PRT-10853</v>
      </c>
      <c r="E514" s="152">
        <f>MouserListTable[[#This Row],[Tot '#]]-MouserListTable[[#This Row],['# Initial]]</f>
        <v>0</v>
      </c>
      <c r="F514" s="152">
        <f>IF(AND(MouserListTable[[#This Row],[Tag]]&lt;&gt;FilterSpecs!$F$12, MouserListTable[[#This Row],[Tag]]&lt;&gt;FilterSpecs!$F$9), MouserListTable[[#This Row],['#/Unit]]*FilterSpecs!$B$3+MouserListTable[[#This Row],[Extra Initial]],0)</f>
        <v>0</v>
      </c>
      <c r="G514" s="150" t="s">
        <v>2405</v>
      </c>
      <c r="H514" s="150" t="s">
        <v>2406</v>
      </c>
      <c r="I514" s="150" t="s">
        <v>2407</v>
      </c>
      <c r="J514" s="150">
        <v>1</v>
      </c>
      <c r="K514" s="154">
        <v>0.95</v>
      </c>
      <c r="L514" s="153" t="s">
        <v>1896</v>
      </c>
      <c r="M514" s="153" t="s">
        <v>2372</v>
      </c>
      <c r="N514" s="154">
        <f>MouserListTable[[#This Row],['# Initial]]*MouserListTable[[#This Row],[Price (USD)]]</f>
        <v>0</v>
      </c>
      <c r="O514" s="151" t="s">
        <v>2404</v>
      </c>
      <c r="P514" s="150">
        <f t="shared" si="9"/>
        <v>501</v>
      </c>
      <c r="Q514" s="150" t="s">
        <v>5</v>
      </c>
      <c r="R51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474-PRT-10853</v>
      </c>
      <c r="S514" s="157" t="str">
        <f>HYPERLINK("https://www.mouser.com/ProductDetail/" &amp;MouserListTable[[#This Row],[Mouser SKU]])</f>
        <v>https://www.mouser.com/ProductDetail/474-PRT-10853</v>
      </c>
      <c r="T514" s="152">
        <v>0</v>
      </c>
      <c r="U514" s="152">
        <v>0</v>
      </c>
      <c r="V514" s="152">
        <v>0</v>
      </c>
      <c r="W514" s="152">
        <f>MouserListTable[[#This Row],['#/Unit]]*FilterSpecs!$C$3+MouserListTable[[#This Row],[Extra]]</f>
        <v>0</v>
      </c>
      <c r="X514" s="152">
        <f>IF(MouserListTable[[#This Row],[Tag]]=FilterSpecs!$F$7,MouserListTable[[#This Row],['#/Unit]]*MouserListTable[[#This Row],[Price (USD)]],0)</f>
        <v>0</v>
      </c>
      <c r="Y514" s="152">
        <f>MouserListTable[[#This Row],[Tot '#]]*MouserListTable[[#This Row],[Price (USD)]]</f>
        <v>0</v>
      </c>
    </row>
    <row r="515" spans="1:25" x14ac:dyDescent="0.25">
      <c r="A515" s="151" t="s">
        <v>890</v>
      </c>
      <c r="B515" s="151" t="s">
        <v>2410</v>
      </c>
      <c r="C515" s="150" t="s">
        <v>1884</v>
      </c>
      <c r="D515" s="151" t="str">
        <f>IF(MouserListTable[[#This Row],[Vendor]]=FilterSpecs!$A$8,MouserListTable[[#This Row],[Mouser SKU]], MouserListTable[[#This Row],[Supplier SKU]])</f>
        <v>485-578</v>
      </c>
      <c r="E515" s="152">
        <f>MouserListTable[[#This Row],[Tot '#]]-MouserListTable[[#This Row],['# Initial]]</f>
        <v>0</v>
      </c>
      <c r="F515" s="152">
        <f>IF(AND(MouserListTable[[#This Row],[Tag]]&lt;&gt;FilterSpecs!$F$12, MouserListTable[[#This Row],[Tag]]&lt;&gt;FilterSpecs!$F$9), MouserListTable[[#This Row],['#/Unit]]*FilterSpecs!$B$3+MouserListTable[[#This Row],[Extra Initial]],0)</f>
        <v>0</v>
      </c>
      <c r="G515" s="150"/>
      <c r="H515" s="150"/>
      <c r="I515" s="150" t="s">
        <v>2183</v>
      </c>
      <c r="J515" s="153"/>
      <c r="K515" s="118">
        <v>1.5</v>
      </c>
      <c r="L515" s="153" t="s">
        <v>1899</v>
      </c>
      <c r="M515" s="153" t="s">
        <v>2373</v>
      </c>
      <c r="N515" s="154">
        <f>MouserListTable[[#This Row],['# Initial]]*MouserListTable[[#This Row],[Price (USD)]]</f>
        <v>0</v>
      </c>
      <c r="O515" s="151" t="s">
        <v>2182</v>
      </c>
      <c r="P515" s="150">
        <f t="shared" si="9"/>
        <v>502</v>
      </c>
      <c r="Q515" s="150" t="s">
        <v>1884</v>
      </c>
      <c r="R51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485-578</v>
      </c>
      <c r="S515" s="157" t="str">
        <f>HYPERLINK("https://www.mouser.com/ProductDetail/" &amp;MouserListTable[[#This Row],[Mouser SKU]])</f>
        <v>https://www.mouser.com/ProductDetail/485-578</v>
      </c>
      <c r="T515" s="152">
        <v>0</v>
      </c>
      <c r="U515" s="152">
        <v>0</v>
      </c>
      <c r="V515" s="152">
        <v>0</v>
      </c>
      <c r="W515" s="152">
        <f>MouserListTable[[#This Row],['#/Unit]]*FilterSpecs!$C$3+MouserListTable[[#This Row],[Extra]]</f>
        <v>0</v>
      </c>
      <c r="X515" s="152">
        <f>IF(MouserListTable[[#This Row],[Tag]]=FilterSpecs!$F$7,MouserListTable[[#This Row],['#/Unit]]*MouserListTable[[#This Row],[Price (USD)]],0)</f>
        <v>0</v>
      </c>
      <c r="Y515" s="152">
        <f>MouserListTable[[#This Row],[Tot '#]]*MouserListTable[[#This Row],[Price (USD)]]</f>
        <v>0</v>
      </c>
    </row>
    <row r="516" spans="1:25" x14ac:dyDescent="0.25">
      <c r="A516" s="151" t="s">
        <v>890</v>
      </c>
      <c r="B516" s="151" t="s">
        <v>1597</v>
      </c>
      <c r="C516" s="150" t="s">
        <v>5</v>
      </c>
      <c r="D516" s="151" t="str">
        <f>IF(MouserListTable[[#This Row],[Vendor]]=FilterSpecs!$A$8,MouserListTable[[#This Row],[Mouser SKU]], MouserListTable[[#This Row],[Supplier SKU]])</f>
        <v>474-CAB-13685</v>
      </c>
      <c r="E516" s="152">
        <f>MouserListTable[[#This Row],[Tot '#]]-MouserListTable[[#This Row],['# Initial]]</f>
        <v>1</v>
      </c>
      <c r="F516" s="152">
        <f>IF(AND(MouserListTable[[#This Row],[Tag]]&lt;&gt;FilterSpecs!$F$12, MouserListTable[[#This Row],[Tag]]&lt;&gt;FilterSpecs!$F$9), MouserListTable[[#This Row],['#/Unit]]*FilterSpecs!$B$3+MouserListTable[[#This Row],[Extra Initial]],0)</f>
        <v>5</v>
      </c>
      <c r="G516" s="150" t="s">
        <v>513</v>
      </c>
      <c r="H516" s="150" t="s">
        <v>514</v>
      </c>
      <c r="I516" s="150" t="s">
        <v>515</v>
      </c>
      <c r="J516" s="150">
        <v>1</v>
      </c>
      <c r="K516" s="154">
        <v>1.5</v>
      </c>
      <c r="L516" s="151" t="s">
        <v>1897</v>
      </c>
      <c r="M516" s="150" t="s">
        <v>2373</v>
      </c>
      <c r="N516" s="154">
        <f>MouserListTable[[#This Row],['# Initial]]*MouserListTable[[#This Row],[Price (USD)]]</f>
        <v>7.5</v>
      </c>
      <c r="O516" s="151" t="s">
        <v>512</v>
      </c>
      <c r="P516" s="150">
        <f t="shared" si="9"/>
        <v>503</v>
      </c>
      <c r="Q516" s="150" t="s">
        <v>5</v>
      </c>
      <c r="R51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474-CAB-13685</v>
      </c>
      <c r="S516" s="157" t="str">
        <f>HYPERLINK("https://www.mouser.com/ProductDetail/" &amp;MouserListTable[[#This Row],[Mouser SKU]])</f>
        <v>https://www.mouser.com/ProductDetail/474-CAB-13685</v>
      </c>
      <c r="T516" s="152">
        <v>1</v>
      </c>
      <c r="U516" s="152">
        <v>1</v>
      </c>
      <c r="V516" s="152">
        <v>0</v>
      </c>
      <c r="W516" s="152">
        <f>MouserListTable[[#This Row],['#/Unit]]*FilterSpecs!$C$3+MouserListTable[[#This Row],[Extra]]</f>
        <v>6</v>
      </c>
      <c r="X516" s="152">
        <f>IF(MouserListTable[[#This Row],[Tag]]=FilterSpecs!$F$7,MouserListTable[[#This Row],['#/Unit]]*MouserListTable[[#This Row],[Price (USD)]],0)</f>
        <v>1.5</v>
      </c>
      <c r="Y516" s="152">
        <f>MouserListTable[[#This Row],[Tot '#]]*MouserListTable[[#This Row],[Price (USD)]]</f>
        <v>9</v>
      </c>
    </row>
    <row r="517" spans="1:25" x14ac:dyDescent="0.25">
      <c r="A517" s="153" t="s">
        <v>890</v>
      </c>
      <c r="B517" s="153" t="s">
        <v>1597</v>
      </c>
      <c r="C517" s="150" t="s">
        <v>5</v>
      </c>
      <c r="D517" s="151" t="str">
        <f>IF(MouserListTable[[#This Row],[Vendor]]=FilterSpecs!$A$8,MouserListTable[[#This Row],[Mouser SKU]], MouserListTable[[#This Row],[Supplier SKU]])</f>
        <v>474-PRT-08599</v>
      </c>
      <c r="E517" s="152">
        <f>MouserListTable[[#This Row],[Tot '#]]-MouserListTable[[#This Row],['# Initial]]</f>
        <v>0</v>
      </c>
      <c r="F517" s="152">
        <f>IF(AND(MouserListTable[[#This Row],[Tag]]&lt;&gt;FilterSpecs!$F$12, MouserListTable[[#This Row],[Tag]]&lt;&gt;FilterSpecs!$F$9), MouserListTable[[#This Row],['#/Unit]]*FilterSpecs!$B$3+MouserListTable[[#This Row],[Extra Initial]],0)</f>
        <v>0</v>
      </c>
      <c r="G517" s="150" t="s">
        <v>577</v>
      </c>
      <c r="H517" s="150" t="s">
        <v>578</v>
      </c>
      <c r="I517" s="150" t="s">
        <v>579</v>
      </c>
      <c r="J517" s="150">
        <v>1</v>
      </c>
      <c r="K517" s="154">
        <v>1.5</v>
      </c>
      <c r="L517" s="151" t="s">
        <v>1896</v>
      </c>
      <c r="M517" s="150" t="s">
        <v>2373</v>
      </c>
      <c r="N517" s="154">
        <f>MouserListTable[[#This Row],['# Initial]]*MouserListTable[[#This Row],[Price (USD)]]</f>
        <v>0</v>
      </c>
      <c r="O517" s="151" t="s">
        <v>576</v>
      </c>
      <c r="P517" s="150">
        <f t="shared" si="9"/>
        <v>504</v>
      </c>
      <c r="Q517" s="150" t="s">
        <v>5</v>
      </c>
      <c r="R51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474-PRT-08599</v>
      </c>
      <c r="S517" s="157" t="str">
        <f>HYPERLINK("https://www.mouser.com/ProductDetail/" &amp;MouserListTable[[#This Row],[Mouser SKU]])</f>
        <v>https://www.mouser.com/ProductDetail/474-PRT-08599</v>
      </c>
      <c r="T517" s="152">
        <v>0</v>
      </c>
      <c r="U517" s="152">
        <v>0</v>
      </c>
      <c r="V517" s="152">
        <v>0</v>
      </c>
      <c r="W517" s="152">
        <f>MouserListTable[[#This Row],['#/Unit]]*FilterSpecs!$C$3+MouserListTable[[#This Row],[Extra]]</f>
        <v>0</v>
      </c>
      <c r="X517" s="152">
        <f>IF(MouserListTable[[#This Row],[Tag]]=FilterSpecs!$F$7,MouserListTable[[#This Row],['#/Unit]]*MouserListTable[[#This Row],[Price (USD)]],0)</f>
        <v>0</v>
      </c>
      <c r="Y517" s="152">
        <f>MouserListTable[[#This Row],[Tot '#]]*MouserListTable[[#This Row],[Price (USD)]]</f>
        <v>0</v>
      </c>
    </row>
    <row r="518" spans="1:25" x14ac:dyDescent="0.25">
      <c r="A518" s="153" t="s">
        <v>890</v>
      </c>
      <c r="B518" s="153" t="s">
        <v>1597</v>
      </c>
      <c r="C518" s="150" t="s">
        <v>5</v>
      </c>
      <c r="D518" s="151" t="str">
        <f>IF(MouserListTable[[#This Row],[Vendor]]=FilterSpecs!$A$8,MouserListTable[[#This Row],[Mouser SKU]], MouserListTable[[#This Row],[Supplier SKU]])</f>
        <v>474-PRT-08598</v>
      </c>
      <c r="E518" s="152">
        <f>MouserListTable[[#This Row],[Tot '#]]-MouserListTable[[#This Row],['# Initial]]</f>
        <v>0</v>
      </c>
      <c r="F518" s="152">
        <f>IF(AND(MouserListTable[[#This Row],[Tag]]&lt;&gt;FilterSpecs!$F$12, MouserListTable[[#This Row],[Tag]]&lt;&gt;FilterSpecs!$F$9), MouserListTable[[#This Row],['#/Unit]]*FilterSpecs!$B$3+MouserListTable[[#This Row],[Extra Initial]],0)</f>
        <v>0</v>
      </c>
      <c r="G518" s="150" t="s">
        <v>1738</v>
      </c>
      <c r="H518" s="150" t="s">
        <v>1739</v>
      </c>
      <c r="I518" s="150" t="s">
        <v>1740</v>
      </c>
      <c r="J518" s="150">
        <v>1</v>
      </c>
      <c r="K518" s="154">
        <v>1.5</v>
      </c>
      <c r="L518" s="151" t="s">
        <v>1899</v>
      </c>
      <c r="M518" s="150" t="s">
        <v>2373</v>
      </c>
      <c r="N518" s="154">
        <f>MouserListTable[[#This Row],['# Initial]]*MouserListTable[[#This Row],[Price (USD)]]</f>
        <v>0</v>
      </c>
      <c r="O518" s="151" t="s">
        <v>1737</v>
      </c>
      <c r="P518" s="150">
        <f t="shared" si="9"/>
        <v>505</v>
      </c>
      <c r="Q518" s="150" t="s">
        <v>5</v>
      </c>
      <c r="R51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474-PRT-08598</v>
      </c>
      <c r="S518" s="157" t="str">
        <f>HYPERLINK("https://www.mouser.com/ProductDetail/" &amp;MouserListTable[[#This Row],[Mouser SKU]])</f>
        <v>https://www.mouser.com/ProductDetail/474-PRT-08598</v>
      </c>
      <c r="T518" s="152">
        <v>0</v>
      </c>
      <c r="U518" s="152">
        <v>0</v>
      </c>
      <c r="V518" s="152">
        <v>0</v>
      </c>
      <c r="W518" s="152">
        <f>MouserListTable[[#This Row],['#/Unit]]*FilterSpecs!$C$3+MouserListTable[[#This Row],[Extra]]</f>
        <v>0</v>
      </c>
      <c r="X518" s="152">
        <f>IF(MouserListTable[[#This Row],[Tag]]=FilterSpecs!$F$7,MouserListTable[[#This Row],['#/Unit]]*MouserListTable[[#This Row],[Price (USD)]],0)</f>
        <v>0</v>
      </c>
      <c r="Y518" s="152">
        <f>MouserListTable[[#This Row],[Tot '#]]*MouserListTable[[#This Row],[Price (USD)]]</f>
        <v>0</v>
      </c>
    </row>
    <row r="519" spans="1:25" x14ac:dyDescent="0.25">
      <c r="A519" s="98" t="s">
        <v>890</v>
      </c>
      <c r="B519" s="98" t="s">
        <v>1597</v>
      </c>
      <c r="C519" s="150" t="s">
        <v>1884</v>
      </c>
      <c r="D519" s="151" t="str">
        <f>IF(MouserListTable[[#This Row],[Vendor]]=FilterSpecs!$A$8,MouserListTable[[#This Row],[Mouser SKU]], MouserListTable[[#This Row],[Supplier SKU]])</f>
        <v>485-425</v>
      </c>
      <c r="E519" s="152">
        <f>MouserListTable[[#This Row],[Tot '#]]-MouserListTable[[#This Row],['# Initial]]</f>
        <v>0</v>
      </c>
      <c r="F519" s="152">
        <f>IF(AND(MouserListTable[[#This Row],[Tag]]&lt;&gt;FilterSpecs!$F$12, MouserListTable[[#This Row],[Tag]]&lt;&gt;FilterSpecs!$F$9), MouserListTable[[#This Row],['#/Unit]]*FilterSpecs!$B$3+MouserListTable[[#This Row],[Extra Initial]],0)</f>
        <v>0</v>
      </c>
      <c r="G519" s="150"/>
      <c r="H519" s="150"/>
      <c r="I519" s="150" t="s">
        <v>2436</v>
      </c>
      <c r="J519" s="113">
        <v>107</v>
      </c>
      <c r="K519" s="119">
        <v>1.95</v>
      </c>
      <c r="L519" s="97" t="s">
        <v>1896</v>
      </c>
      <c r="M519" s="153"/>
      <c r="N519" s="154">
        <f>MouserListTable[[#This Row],['# Initial]]*MouserListTable[[#This Row],[Price (USD)]]</f>
        <v>0</v>
      </c>
      <c r="O519" s="113" t="s">
        <v>2437</v>
      </c>
      <c r="P519" s="150">
        <f t="shared" si="9"/>
        <v>506</v>
      </c>
      <c r="Q519" s="150" t="s">
        <v>1884</v>
      </c>
      <c r="R51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485-425</v>
      </c>
      <c r="S519" s="157" t="str">
        <f>HYPERLINK("https://www.mouser.com/ProductDetail/" &amp;MouserListTable[[#This Row],[Mouser SKU]])</f>
        <v>https://www.mouser.com/ProductDetail/485-425</v>
      </c>
      <c r="T519" s="152">
        <v>0</v>
      </c>
      <c r="U519" s="152">
        <v>0</v>
      </c>
      <c r="V519" s="152">
        <v>0</v>
      </c>
      <c r="W519" s="152">
        <f>MouserListTable[[#This Row],['#/Unit]]*FilterSpecs!$C$3+MouserListTable[[#This Row],[Extra]]</f>
        <v>0</v>
      </c>
      <c r="X519" s="152">
        <f>IF(MouserListTable[[#This Row],[Tag]]=FilterSpecs!$F$7,MouserListTable[[#This Row],['#/Unit]]*MouserListTable[[#This Row],[Price (USD)]],0)</f>
        <v>0</v>
      </c>
      <c r="Y519" s="152">
        <f>MouserListTable[[#This Row],[Tot '#]]*MouserListTable[[#This Row],[Price (USD)]]</f>
        <v>0</v>
      </c>
    </row>
    <row r="520" spans="1:25" x14ac:dyDescent="0.25">
      <c r="A520" s="98" t="s">
        <v>890</v>
      </c>
      <c r="B520" s="98" t="s">
        <v>2410</v>
      </c>
      <c r="C520" s="150" t="s">
        <v>1884</v>
      </c>
      <c r="D520" s="151" t="str">
        <f>IF(MouserListTable[[#This Row],[Vendor]]=FilterSpecs!$A$8,MouserListTable[[#This Row],[Mouser SKU]], MouserListTable[[#This Row],[Supplier SKU]])</f>
        <v>485-2880</v>
      </c>
      <c r="E520" s="152">
        <f>MouserListTable[[#This Row],[Tot '#]]-MouserListTable[[#This Row],['# Initial]]</f>
        <v>0</v>
      </c>
      <c r="F520" s="152">
        <f>IF(AND(MouserListTable[[#This Row],[Tag]]&lt;&gt;FilterSpecs!$F$12, MouserListTable[[#This Row],[Tag]]&lt;&gt;FilterSpecs!$F$9), MouserListTable[[#This Row],['#/Unit]]*FilterSpecs!$B$3+MouserListTable[[#This Row],[Extra Initial]],0)</f>
        <v>0</v>
      </c>
      <c r="G520" s="150"/>
      <c r="H520" s="150"/>
      <c r="I520" s="150" t="s">
        <v>2423</v>
      </c>
      <c r="J520" s="113">
        <v>100</v>
      </c>
      <c r="K520" s="119">
        <v>0.75</v>
      </c>
      <c r="L520" s="97" t="s">
        <v>1896</v>
      </c>
      <c r="M520" s="153"/>
      <c r="N520" s="154">
        <f>MouserListTable[[#This Row],['# Initial]]*MouserListTable[[#This Row],[Price (USD)]]</f>
        <v>0</v>
      </c>
      <c r="O520" s="113" t="s">
        <v>2424</v>
      </c>
      <c r="P520" s="150">
        <f t="shared" si="9"/>
        <v>507</v>
      </c>
      <c r="Q520" s="150" t="s">
        <v>1884</v>
      </c>
      <c r="R52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485-2880</v>
      </c>
      <c r="S520" s="157" t="str">
        <f>HYPERLINK("https://www.mouser.com/ProductDetail/" &amp;MouserListTable[[#This Row],[Mouser SKU]])</f>
        <v>https://www.mouser.com/ProductDetail/485-2880</v>
      </c>
      <c r="T520" s="152">
        <v>0</v>
      </c>
      <c r="U520" s="152">
        <v>0</v>
      </c>
      <c r="V520" s="152">
        <v>0</v>
      </c>
      <c r="W520" s="152">
        <f>MouserListTable[[#This Row],['#/Unit]]*FilterSpecs!$C$3+MouserListTable[[#This Row],[Extra]]</f>
        <v>0</v>
      </c>
      <c r="X520" s="152">
        <f>IF(MouserListTable[[#This Row],[Tag]]=FilterSpecs!$F$7,MouserListTable[[#This Row],['#/Unit]]*MouserListTable[[#This Row],[Price (USD)]],0)</f>
        <v>0</v>
      </c>
      <c r="Y520" s="152">
        <f>MouserListTable[[#This Row],[Tot '#]]*MouserListTable[[#This Row],[Price (USD)]]</f>
        <v>0</v>
      </c>
    </row>
    <row r="521" spans="1:25" x14ac:dyDescent="0.25">
      <c r="A521" s="98" t="s">
        <v>890</v>
      </c>
      <c r="B521" s="98" t="s">
        <v>2408</v>
      </c>
      <c r="C521" s="150" t="s">
        <v>1884</v>
      </c>
      <c r="D521" s="151" t="str">
        <f>IF(MouserListTable[[#This Row],[Vendor]]=FilterSpecs!$A$8,MouserListTable[[#This Row],[Mouser SKU]], MouserListTable[[#This Row],[Supplier SKU]])</f>
        <v>485-261</v>
      </c>
      <c r="E521" s="152">
        <f>MouserListTable[[#This Row],[Tot '#]]-MouserListTable[[#This Row],['# Initial]]</f>
        <v>0</v>
      </c>
      <c r="F521" s="152">
        <f>IF(AND(MouserListTable[[#This Row],[Tag]]&lt;&gt;FilterSpecs!$F$12, MouserListTable[[#This Row],[Tag]]&lt;&gt;FilterSpecs!$F$9), MouserListTable[[#This Row],['#/Unit]]*FilterSpecs!$B$3+MouserListTable[[#This Row],[Extra Initial]],0)</f>
        <v>0</v>
      </c>
      <c r="G521" s="150"/>
      <c r="H521" s="150"/>
      <c r="I521" s="150" t="s">
        <v>2425</v>
      </c>
      <c r="J521" s="113">
        <v>101</v>
      </c>
      <c r="K521" s="119">
        <v>0.75</v>
      </c>
      <c r="L521" s="97" t="s">
        <v>1896</v>
      </c>
      <c r="M521" s="153"/>
      <c r="N521" s="154">
        <f>MouserListTable[[#This Row],['# Initial]]*MouserListTable[[#This Row],[Price (USD)]]</f>
        <v>0</v>
      </c>
      <c r="O521" s="113" t="s">
        <v>2426</v>
      </c>
      <c r="P521" s="150">
        <f t="shared" si="9"/>
        <v>508</v>
      </c>
      <c r="Q521" s="150" t="s">
        <v>1884</v>
      </c>
      <c r="R52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485-261</v>
      </c>
      <c r="S521" s="157" t="str">
        <f>HYPERLINK("https://www.mouser.com/ProductDetail/" &amp;MouserListTable[[#This Row],[Mouser SKU]])</f>
        <v>https://www.mouser.com/ProductDetail/485-261</v>
      </c>
      <c r="T521" s="152">
        <v>0</v>
      </c>
      <c r="U521" s="152">
        <v>0</v>
      </c>
      <c r="V521" s="152">
        <v>0</v>
      </c>
      <c r="W521" s="152">
        <f>MouserListTable[[#This Row],['#/Unit]]*FilterSpecs!$C$3+MouserListTable[[#This Row],[Extra]]</f>
        <v>0</v>
      </c>
      <c r="X521" s="152">
        <f>IF(MouserListTable[[#This Row],[Tag]]=FilterSpecs!$F$7,MouserListTable[[#This Row],['#/Unit]]*MouserListTable[[#This Row],[Price (USD)]],0)</f>
        <v>0</v>
      </c>
      <c r="Y521" s="152">
        <f>MouserListTable[[#This Row],[Tot '#]]*MouserListTable[[#This Row],[Price (USD)]]</f>
        <v>0</v>
      </c>
    </row>
    <row r="522" spans="1:25" x14ac:dyDescent="0.25">
      <c r="A522" s="98" t="s">
        <v>890</v>
      </c>
      <c r="B522" s="98" t="s">
        <v>2408</v>
      </c>
      <c r="C522" s="150" t="s">
        <v>1884</v>
      </c>
      <c r="D522" s="151" t="str">
        <f>IF(MouserListTable[[#This Row],[Vendor]]=FilterSpecs!$A$8,MouserListTable[[#This Row],[Mouser SKU]], MouserListTable[[#This Row],[Supplier SKU]])</f>
        <v>485-1769</v>
      </c>
      <c r="E522" s="152">
        <f>MouserListTable[[#This Row],[Tot '#]]-MouserListTable[[#This Row],['# Initial]]</f>
        <v>0</v>
      </c>
      <c r="F522" s="152">
        <f>IF(AND(MouserListTable[[#This Row],[Tag]]&lt;&gt;FilterSpecs!$F$12, MouserListTable[[#This Row],[Tag]]&lt;&gt;FilterSpecs!$F$9), MouserListTable[[#This Row],['#/Unit]]*FilterSpecs!$B$3+MouserListTable[[#This Row],[Extra Initial]],0)</f>
        <v>0</v>
      </c>
      <c r="G522" s="150"/>
      <c r="H522" s="150"/>
      <c r="I522" s="150" t="s">
        <v>2427</v>
      </c>
      <c r="J522" s="113">
        <v>102</v>
      </c>
      <c r="K522" s="119">
        <v>0.75</v>
      </c>
      <c r="L522" s="97" t="s">
        <v>1896</v>
      </c>
      <c r="M522" s="153"/>
      <c r="N522" s="154">
        <f>MouserListTable[[#This Row],['# Initial]]*MouserListTable[[#This Row],[Price (USD)]]</f>
        <v>0</v>
      </c>
      <c r="O522" s="113" t="s">
        <v>2121</v>
      </c>
      <c r="P522" s="150">
        <f t="shared" si="9"/>
        <v>509</v>
      </c>
      <c r="Q522" s="150" t="s">
        <v>1884</v>
      </c>
      <c r="R52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485-1769</v>
      </c>
      <c r="S522" s="157" t="str">
        <f>HYPERLINK("https://www.mouser.com/ProductDetail/" &amp;MouserListTable[[#This Row],[Mouser SKU]])</f>
        <v>https://www.mouser.com/ProductDetail/485-1769</v>
      </c>
      <c r="T522" s="152">
        <v>0</v>
      </c>
      <c r="U522" s="152">
        <v>0</v>
      </c>
      <c r="V522" s="152">
        <v>0</v>
      </c>
      <c r="W522" s="152">
        <f>MouserListTable[[#This Row],['#/Unit]]*FilterSpecs!$C$3+MouserListTable[[#This Row],[Extra]]</f>
        <v>0</v>
      </c>
      <c r="X522" s="152">
        <f>IF(MouserListTable[[#This Row],[Tag]]=FilterSpecs!$F$7,MouserListTable[[#This Row],['#/Unit]]*MouserListTable[[#This Row],[Price (USD)]],0)</f>
        <v>0</v>
      </c>
      <c r="Y522" s="152">
        <f>MouserListTable[[#This Row],[Tot '#]]*MouserListTable[[#This Row],[Price (USD)]]</f>
        <v>0</v>
      </c>
    </row>
    <row r="523" spans="1:25" x14ac:dyDescent="0.25">
      <c r="A523" s="151" t="s">
        <v>890</v>
      </c>
      <c r="B523" s="151" t="s">
        <v>1869</v>
      </c>
      <c r="C523" s="150" t="s">
        <v>5</v>
      </c>
      <c r="D523" s="151" t="str">
        <f>IF(MouserListTable[[#This Row],[Vendor]]=FilterSpecs!$A$8,MouserListTable[[#This Row],[Mouser SKU]], MouserListTable[[#This Row],[Supplier SKU]])</f>
        <v>474-PRT-09918</v>
      </c>
      <c r="E523" s="152">
        <f>MouserListTable[[#This Row],[Tot '#]]-MouserListTable[[#This Row],['# Initial]]</f>
        <v>0</v>
      </c>
      <c r="F523" s="152">
        <f>IF(AND(MouserListTable[[#This Row],[Tag]]&lt;&gt;FilterSpecs!$F$12, MouserListTable[[#This Row],[Tag]]&lt;&gt;FilterSpecs!$F$9), MouserListTable[[#This Row],['#/Unit]]*FilterSpecs!$B$3+MouserListTable[[#This Row],[Extra Initial]],0)</f>
        <v>10</v>
      </c>
      <c r="G523" s="150" t="s">
        <v>1742</v>
      </c>
      <c r="H523" s="150" t="s">
        <v>1743</v>
      </c>
      <c r="I523" s="150" t="s">
        <v>1744</v>
      </c>
      <c r="J523" s="150"/>
      <c r="K523" s="154">
        <v>0.95</v>
      </c>
      <c r="L523" s="151" t="s">
        <v>1897</v>
      </c>
      <c r="M523" s="150"/>
      <c r="N523" s="154">
        <f>MouserListTable[[#This Row],['# Initial]]*MouserListTable[[#This Row],[Price (USD)]]</f>
        <v>9.5</v>
      </c>
      <c r="O523" s="151" t="s">
        <v>1741</v>
      </c>
      <c r="P523" s="150">
        <f t="shared" si="9"/>
        <v>510</v>
      </c>
      <c r="Q523" s="150" t="s">
        <v>5</v>
      </c>
      <c r="R52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474-PRT-09918</v>
      </c>
      <c r="S523" s="157" t="str">
        <f>HYPERLINK("https://www.mouser.com/ProductDetail/" &amp;MouserListTable[[#This Row],[Mouser SKU]])</f>
        <v>https://www.mouser.com/ProductDetail/474-PRT-09918</v>
      </c>
      <c r="T523" s="152">
        <v>2</v>
      </c>
      <c r="U523" s="152">
        <v>0</v>
      </c>
      <c r="V523" s="152">
        <v>0</v>
      </c>
      <c r="W523" s="152">
        <f>MouserListTable[[#This Row],['#/Unit]]*FilterSpecs!$C$3+MouserListTable[[#This Row],[Extra]]</f>
        <v>10</v>
      </c>
      <c r="X523" s="152">
        <f>IF(MouserListTable[[#This Row],[Tag]]=FilterSpecs!$F$7,MouserListTable[[#This Row],['#/Unit]]*MouserListTable[[#This Row],[Price (USD)]],0)</f>
        <v>1.9</v>
      </c>
      <c r="Y523" s="152">
        <f>MouserListTable[[#This Row],[Tot '#]]*MouserListTable[[#This Row],[Price (USD)]]</f>
        <v>9.5</v>
      </c>
    </row>
    <row r="524" spans="1:25" x14ac:dyDescent="0.25">
      <c r="A524" s="151" t="s">
        <v>890</v>
      </c>
      <c r="B524" s="151" t="s">
        <v>1869</v>
      </c>
      <c r="C524" s="150" t="s">
        <v>5</v>
      </c>
      <c r="D524" s="151" t="str">
        <f>IF(MouserListTable[[#This Row],[Vendor]]=FilterSpecs!$A$8,MouserListTable[[#This Row],[Mouser SKU]], MouserListTable[[#This Row],[Supplier SKU]])</f>
        <v>474-PRT-09922</v>
      </c>
      <c r="E524" s="152">
        <f>MouserListTable[[#This Row],[Tot '#]]-MouserListTable[[#This Row],['# Initial]]</f>
        <v>0</v>
      </c>
      <c r="F524" s="152">
        <f>IF(AND(MouserListTable[[#This Row],[Tag]]&lt;&gt;FilterSpecs!$F$12, MouserListTable[[#This Row],[Tag]]&lt;&gt;FilterSpecs!$F$9), MouserListTable[[#This Row],['#/Unit]]*FilterSpecs!$B$3+MouserListTable[[#This Row],[Extra Initial]],0)</f>
        <v>10</v>
      </c>
      <c r="G524" s="150" t="s">
        <v>1754</v>
      </c>
      <c r="H524" s="150" t="s">
        <v>1755</v>
      </c>
      <c r="I524" s="150" t="s">
        <v>1756</v>
      </c>
      <c r="J524" s="150">
        <v>1</v>
      </c>
      <c r="K524" s="154">
        <v>1.95</v>
      </c>
      <c r="L524" s="151" t="s">
        <v>1897</v>
      </c>
      <c r="M524" s="150"/>
      <c r="N524" s="154">
        <f>MouserListTable[[#This Row],['# Initial]]*MouserListTable[[#This Row],[Price (USD)]]</f>
        <v>19.5</v>
      </c>
      <c r="O524" s="151" t="s">
        <v>1753</v>
      </c>
      <c r="P524" s="150">
        <f t="shared" si="9"/>
        <v>511</v>
      </c>
      <c r="Q524" s="150" t="s">
        <v>5</v>
      </c>
      <c r="R52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474-PRT-09922</v>
      </c>
      <c r="S524" s="157" t="str">
        <f>HYPERLINK("https://www.mouser.com/ProductDetail/" &amp;MouserListTable[[#This Row],[Mouser SKU]])</f>
        <v>https://www.mouser.com/ProductDetail/474-PRT-09922</v>
      </c>
      <c r="T524" s="152">
        <v>2</v>
      </c>
      <c r="U524" s="152">
        <v>0</v>
      </c>
      <c r="V524" s="152">
        <v>0</v>
      </c>
      <c r="W524" s="152">
        <f>MouserListTable[[#This Row],['#/Unit]]*FilterSpecs!$C$3+MouserListTable[[#This Row],[Extra]]</f>
        <v>10</v>
      </c>
      <c r="X524" s="152">
        <f>IF(MouserListTable[[#This Row],[Tag]]=FilterSpecs!$F$7,MouserListTable[[#This Row],['#/Unit]]*MouserListTable[[#This Row],[Price (USD)]],0)</f>
        <v>3.9</v>
      </c>
      <c r="Y524" s="152">
        <f>MouserListTable[[#This Row],[Tot '#]]*MouserListTable[[#This Row],[Price (USD)]]</f>
        <v>19.5</v>
      </c>
    </row>
    <row r="525" spans="1:25" x14ac:dyDescent="0.25">
      <c r="A525" s="153" t="s">
        <v>890</v>
      </c>
      <c r="B525" s="153" t="s">
        <v>1594</v>
      </c>
      <c r="C525" s="150" t="s">
        <v>5</v>
      </c>
      <c r="D525" s="151" t="str">
        <f>IF(MouserListTable[[#This Row],[Vendor]]=FilterSpecs!$A$8,MouserListTable[[#This Row],[Mouser SKU]], MouserListTable[[#This Row],[Supplier SKU]])</f>
        <v>474-PRT-08614</v>
      </c>
      <c r="E525" s="152">
        <f>MouserListTable[[#This Row],[Tot '#]]-MouserListTable[[#This Row],['# Initial]]</f>
        <v>0</v>
      </c>
      <c r="F525" s="152">
        <f>IF(AND(MouserListTable[[#This Row],[Tag]]&lt;&gt;FilterSpecs!$F$12, MouserListTable[[#This Row],[Tag]]&lt;&gt;FilterSpecs!$F$9), MouserListTable[[#This Row],['#/Unit]]*FilterSpecs!$B$3+MouserListTable[[#This Row],[Extra Initial]],0)</f>
        <v>0</v>
      </c>
      <c r="G525" s="150" t="s">
        <v>463</v>
      </c>
      <c r="H525" s="150" t="s">
        <v>464</v>
      </c>
      <c r="I525" s="150" t="s">
        <v>465</v>
      </c>
      <c r="J525" s="150">
        <v>1</v>
      </c>
      <c r="K525" s="154">
        <v>1.5</v>
      </c>
      <c r="L525" s="151" t="s">
        <v>1896</v>
      </c>
      <c r="M525" s="150"/>
      <c r="N525" s="154">
        <f>MouserListTable[[#This Row],['# Initial]]*MouserListTable[[#This Row],[Price (USD)]]</f>
        <v>0</v>
      </c>
      <c r="O525" s="151" t="s">
        <v>462</v>
      </c>
      <c r="P525" s="150">
        <f t="shared" si="9"/>
        <v>512</v>
      </c>
      <c r="Q525" s="150" t="s">
        <v>5</v>
      </c>
      <c r="R52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474-PRT-08614</v>
      </c>
      <c r="S525" s="157" t="str">
        <f>HYPERLINK("https://www.mouser.com/ProductDetail/" &amp;MouserListTable[[#This Row],[Mouser SKU]])</f>
        <v>https://www.mouser.com/ProductDetail/474-PRT-08614</v>
      </c>
      <c r="T525" s="152">
        <v>0</v>
      </c>
      <c r="U525" s="152">
        <v>0</v>
      </c>
      <c r="V525" s="152">
        <v>0</v>
      </c>
      <c r="W525" s="152">
        <f>MouserListTable[[#This Row],['#/Unit]]*FilterSpecs!$C$3+MouserListTable[[#This Row],[Extra]]</f>
        <v>0</v>
      </c>
      <c r="X525" s="152">
        <f>IF(MouserListTable[[#This Row],[Tag]]=FilterSpecs!$F$7,MouserListTable[[#This Row],['#/Unit]]*MouserListTable[[#This Row],[Price (USD)]],0)</f>
        <v>0</v>
      </c>
      <c r="Y525" s="152">
        <f>MouserListTable[[#This Row],[Tot '#]]*MouserListTable[[#This Row],[Price (USD)]]</f>
        <v>0</v>
      </c>
    </row>
    <row r="526" spans="1:25" x14ac:dyDescent="0.25">
      <c r="A526" s="153" t="s">
        <v>890</v>
      </c>
      <c r="B526" s="153" t="s">
        <v>1594</v>
      </c>
      <c r="C526" s="150" t="s">
        <v>5</v>
      </c>
      <c r="D526" s="151" t="str">
        <f>IF(MouserListTable[[#This Row],[Vendor]]=FilterSpecs!$A$8,MouserListTable[[#This Row],[Mouser SKU]], MouserListTable[[#This Row],[Supplier SKU]])</f>
        <v>474-PRT-08672</v>
      </c>
      <c r="E526" s="152">
        <f>MouserListTable[[#This Row],[Tot '#]]-MouserListTable[[#This Row],['# Initial]]</f>
        <v>0</v>
      </c>
      <c r="F526" s="152">
        <f>IF(AND(MouserListTable[[#This Row],[Tag]]&lt;&gt;FilterSpecs!$F$12, MouserListTable[[#This Row],[Tag]]&lt;&gt;FilterSpecs!$F$9), MouserListTable[[#This Row],['#/Unit]]*FilterSpecs!$B$3+MouserListTable[[#This Row],[Extra Initial]],0)</f>
        <v>0</v>
      </c>
      <c r="G526" s="150" t="s">
        <v>459</v>
      </c>
      <c r="H526" s="150" t="s">
        <v>460</v>
      </c>
      <c r="I526" s="150" t="s">
        <v>461</v>
      </c>
      <c r="J526" s="150">
        <v>1</v>
      </c>
      <c r="K526" s="154">
        <v>0.95</v>
      </c>
      <c r="L526" s="151" t="s">
        <v>1896</v>
      </c>
      <c r="M526" s="150"/>
      <c r="N526" s="154">
        <f>MouserListTable[[#This Row],['# Initial]]*MouserListTable[[#This Row],[Price (USD)]]</f>
        <v>0</v>
      </c>
      <c r="O526" s="151" t="s">
        <v>458</v>
      </c>
      <c r="P526" s="150">
        <f t="shared" ref="P526:P589" si="10">IF($P525="List #",1,$P525+1)</f>
        <v>513</v>
      </c>
      <c r="Q526" s="150" t="s">
        <v>5</v>
      </c>
      <c r="R52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474-PRT-08672</v>
      </c>
      <c r="S526" s="157" t="str">
        <f>HYPERLINK("https://www.mouser.com/ProductDetail/" &amp;MouserListTable[[#This Row],[Mouser SKU]])</f>
        <v>https://www.mouser.com/ProductDetail/474-PRT-08672</v>
      </c>
      <c r="T526" s="152">
        <v>0</v>
      </c>
      <c r="U526" s="152">
        <v>0</v>
      </c>
      <c r="V526" s="152">
        <v>0</v>
      </c>
      <c r="W526" s="152">
        <f>MouserListTable[[#This Row],['#/Unit]]*FilterSpecs!$C$3+MouserListTable[[#This Row],[Extra]]</f>
        <v>0</v>
      </c>
      <c r="X526" s="152">
        <f>IF(MouserListTable[[#This Row],[Tag]]=FilterSpecs!$F$7,MouserListTable[[#This Row],['#/Unit]]*MouserListTable[[#This Row],[Price (USD)]],0)</f>
        <v>0</v>
      </c>
      <c r="Y526" s="152">
        <f>MouserListTable[[#This Row],[Tot '#]]*MouserListTable[[#This Row],[Price (USD)]]</f>
        <v>0</v>
      </c>
    </row>
    <row r="527" spans="1:25" x14ac:dyDescent="0.25">
      <c r="A527" s="153" t="s">
        <v>890</v>
      </c>
      <c r="B527" s="153" t="s">
        <v>1594</v>
      </c>
      <c r="C527" s="150" t="s">
        <v>5</v>
      </c>
      <c r="D527" s="151" t="str">
        <f>IF(MouserListTable[[#This Row],[Vendor]]=FilterSpecs!$A$8,MouserListTable[[#This Row],[Mouser SKU]], MouserListTable[[#This Row],[Supplier SKU]])</f>
        <v>474-PRT-10367</v>
      </c>
      <c r="E527" s="152">
        <f>MouserListTable[[#This Row],[Tot '#]]-MouserListTable[[#This Row],['# Initial]]</f>
        <v>0</v>
      </c>
      <c r="F527" s="152">
        <f>IF(AND(MouserListTable[[#This Row],[Tag]]&lt;&gt;FilterSpecs!$F$12, MouserListTable[[#This Row],[Tag]]&lt;&gt;FilterSpecs!$F$9), MouserListTable[[#This Row],['#/Unit]]*FilterSpecs!$B$3+MouserListTable[[#This Row],[Extra Initial]],0)</f>
        <v>0</v>
      </c>
      <c r="G527" s="150" t="s">
        <v>581</v>
      </c>
      <c r="H527" s="150" t="s">
        <v>582</v>
      </c>
      <c r="I527" s="150" t="s">
        <v>583</v>
      </c>
      <c r="J527" s="150"/>
      <c r="K527" s="154">
        <v>1.5</v>
      </c>
      <c r="L527" s="151" t="s">
        <v>1896</v>
      </c>
      <c r="M527" s="150"/>
      <c r="N527" s="154">
        <f>MouserListTable[[#This Row],['# Initial]]*MouserListTable[[#This Row],[Price (USD)]]</f>
        <v>0</v>
      </c>
      <c r="O527" s="151" t="s">
        <v>580</v>
      </c>
      <c r="P527" s="150">
        <f t="shared" si="10"/>
        <v>514</v>
      </c>
      <c r="Q527" s="150" t="s">
        <v>5</v>
      </c>
      <c r="R52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474-PRT-10367</v>
      </c>
      <c r="S527" s="157" t="str">
        <f>HYPERLINK("https://www.mouser.com/ProductDetail/" &amp;MouserListTable[[#This Row],[Mouser SKU]])</f>
        <v>https://www.mouser.com/ProductDetail/474-PRT-10367</v>
      </c>
      <c r="T527" s="152">
        <v>0</v>
      </c>
      <c r="U527" s="152">
        <v>0</v>
      </c>
      <c r="V527" s="152">
        <v>0</v>
      </c>
      <c r="W527" s="152">
        <f>MouserListTable[[#This Row],['#/Unit]]*FilterSpecs!$C$3+MouserListTable[[#This Row],[Extra]]</f>
        <v>0</v>
      </c>
      <c r="X527" s="152">
        <f>IF(MouserListTable[[#This Row],[Tag]]=FilterSpecs!$F$7,MouserListTable[[#This Row],['#/Unit]]*MouserListTable[[#This Row],[Price (USD)]],0)</f>
        <v>0</v>
      </c>
      <c r="Y527" s="152">
        <f>MouserListTable[[#This Row],[Tot '#]]*MouserListTable[[#This Row],[Price (USD)]]</f>
        <v>0</v>
      </c>
    </row>
    <row r="528" spans="1:25" x14ac:dyDescent="0.25">
      <c r="A528" s="153" t="s">
        <v>890</v>
      </c>
      <c r="B528" s="153" t="s">
        <v>1594</v>
      </c>
      <c r="C528" s="150" t="s">
        <v>5</v>
      </c>
      <c r="D528" s="151" t="str">
        <f>IF(MouserListTable[[#This Row],[Vendor]]=FilterSpecs!$A$8,MouserListTable[[#This Row],[Mouser SKU]], MouserListTable[[#This Row],[Supplier SKU]])</f>
        <v>474-PRT-10373</v>
      </c>
      <c r="E528" s="152">
        <f>MouserListTable[[#This Row],[Tot '#]]-MouserListTable[[#This Row],['# Initial]]</f>
        <v>0</v>
      </c>
      <c r="F528" s="152">
        <f>IF(AND(MouserListTable[[#This Row],[Tag]]&lt;&gt;FilterSpecs!$F$12, MouserListTable[[#This Row],[Tag]]&lt;&gt;FilterSpecs!$F$9), MouserListTable[[#This Row],['#/Unit]]*FilterSpecs!$B$3+MouserListTable[[#This Row],[Extra Initial]],0)</f>
        <v>0</v>
      </c>
      <c r="G528" s="150" t="s">
        <v>569</v>
      </c>
      <c r="H528" s="150" t="s">
        <v>570</v>
      </c>
      <c r="I528" s="150" t="s">
        <v>571</v>
      </c>
      <c r="J528" s="150"/>
      <c r="K528" s="154">
        <v>1.95</v>
      </c>
      <c r="L528" s="151" t="s">
        <v>1896</v>
      </c>
      <c r="M528" s="150"/>
      <c r="N528" s="154">
        <f>MouserListTable[[#This Row],['# Initial]]*MouserListTable[[#This Row],[Price (USD)]]</f>
        <v>0</v>
      </c>
      <c r="O528" s="151" t="s">
        <v>568</v>
      </c>
      <c r="P528" s="150">
        <f t="shared" si="10"/>
        <v>515</v>
      </c>
      <c r="Q528" s="150" t="s">
        <v>5</v>
      </c>
      <c r="R52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474-PRT-10373</v>
      </c>
      <c r="S528" s="157" t="str">
        <f>HYPERLINK("https://www.mouser.com/ProductDetail/" &amp;MouserListTable[[#This Row],[Mouser SKU]])</f>
        <v>https://www.mouser.com/ProductDetail/474-PRT-10373</v>
      </c>
      <c r="T528" s="152">
        <v>0</v>
      </c>
      <c r="U528" s="152">
        <v>0</v>
      </c>
      <c r="V528" s="152">
        <v>0</v>
      </c>
      <c r="W528" s="152">
        <f>MouserListTable[[#This Row],['#/Unit]]*FilterSpecs!$C$3+MouserListTable[[#This Row],[Extra]]</f>
        <v>0</v>
      </c>
      <c r="X528" s="152">
        <f>IF(MouserListTable[[#This Row],[Tag]]=FilterSpecs!$F$7,MouserListTable[[#This Row],['#/Unit]]*MouserListTable[[#This Row],[Price (USD)]],0)</f>
        <v>0</v>
      </c>
      <c r="Y528" s="152">
        <f>MouserListTable[[#This Row],[Tot '#]]*MouserListTable[[#This Row],[Price (USD)]]</f>
        <v>0</v>
      </c>
    </row>
    <row r="529" spans="1:25" x14ac:dyDescent="0.25">
      <c r="A529" s="153" t="s">
        <v>890</v>
      </c>
      <c r="B529" s="153" t="s">
        <v>1594</v>
      </c>
      <c r="C529" s="150" t="s">
        <v>5</v>
      </c>
      <c r="D529" s="151" t="str">
        <f>IF(MouserListTable[[#This Row],[Vendor]]=FilterSpecs!$A$8,MouserListTable[[#This Row],[Mouser SKU]], MouserListTable[[#This Row],[Supplier SKU]])</f>
        <v>474-PRT-13164</v>
      </c>
      <c r="E529" s="152">
        <f>MouserListTable[[#This Row],[Tot '#]]-MouserListTable[[#This Row],['# Initial]]</f>
        <v>0</v>
      </c>
      <c r="F529" s="152">
        <f>IF(AND(MouserListTable[[#This Row],[Tag]]&lt;&gt;FilterSpecs!$F$12, MouserListTable[[#This Row],[Tag]]&lt;&gt;FilterSpecs!$F$9), MouserListTable[[#This Row],['#/Unit]]*FilterSpecs!$B$3+MouserListTable[[#This Row],[Extra Initial]],0)</f>
        <v>0</v>
      </c>
      <c r="G529" s="150" t="s">
        <v>533</v>
      </c>
      <c r="H529" s="150" t="s">
        <v>534</v>
      </c>
      <c r="I529" s="150" t="s">
        <v>535</v>
      </c>
      <c r="J529" s="150">
        <v>1</v>
      </c>
      <c r="K529" s="154">
        <v>1.5</v>
      </c>
      <c r="L529" s="151" t="s">
        <v>1896</v>
      </c>
      <c r="M529" s="150"/>
      <c r="N529" s="154">
        <f>MouserListTable[[#This Row],['# Initial]]*MouserListTable[[#This Row],[Price (USD)]]</f>
        <v>0</v>
      </c>
      <c r="O529" s="151" t="s">
        <v>532</v>
      </c>
      <c r="P529" s="150">
        <f t="shared" si="10"/>
        <v>516</v>
      </c>
      <c r="Q529" s="150" t="s">
        <v>5</v>
      </c>
      <c r="R52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474-PRT-13164</v>
      </c>
      <c r="S529" s="157" t="str">
        <f>HYPERLINK("https://www.mouser.com/ProductDetail/" &amp;MouserListTable[[#This Row],[Mouser SKU]])</f>
        <v>https://www.mouser.com/ProductDetail/474-PRT-13164</v>
      </c>
      <c r="T529" s="152">
        <v>0</v>
      </c>
      <c r="U529" s="152">
        <v>0</v>
      </c>
      <c r="V529" s="152">
        <v>0</v>
      </c>
      <c r="W529" s="152">
        <f>MouserListTable[[#This Row],['#/Unit]]*FilterSpecs!$C$3+MouserListTable[[#This Row],[Extra]]</f>
        <v>0</v>
      </c>
      <c r="X529" s="152">
        <f>IF(MouserListTable[[#This Row],[Tag]]=FilterSpecs!$F$7,MouserListTable[[#This Row],['#/Unit]]*MouserListTable[[#This Row],[Price (USD)]],0)</f>
        <v>0</v>
      </c>
      <c r="Y529" s="152">
        <f>MouserListTable[[#This Row],[Tot '#]]*MouserListTable[[#This Row],[Price (USD)]]</f>
        <v>0</v>
      </c>
    </row>
    <row r="530" spans="1:25" x14ac:dyDescent="0.25">
      <c r="A530" s="153" t="s">
        <v>890</v>
      </c>
      <c r="B530" s="153" t="s">
        <v>1594</v>
      </c>
      <c r="C530" s="150" t="s">
        <v>5</v>
      </c>
      <c r="D530" s="151" t="str">
        <f>IF(MouserListTable[[#This Row],[Vendor]]=FilterSpecs!$A$8,MouserListTable[[#This Row],[Mouser SKU]], MouserListTable[[#This Row],[Supplier SKU]])</f>
        <v>474-PRT-10369</v>
      </c>
      <c r="E530" s="152">
        <f>MouserListTable[[#This Row],[Tot '#]]-MouserListTable[[#This Row],['# Initial]]</f>
        <v>0</v>
      </c>
      <c r="F530" s="152">
        <f>IF(AND(MouserListTable[[#This Row],[Tag]]&lt;&gt;FilterSpecs!$F$12, MouserListTable[[#This Row],[Tag]]&lt;&gt;FilterSpecs!$F$9), MouserListTable[[#This Row],['#/Unit]]*FilterSpecs!$B$3+MouserListTable[[#This Row],[Extra Initial]],0)</f>
        <v>0</v>
      </c>
      <c r="G530" s="150" t="s">
        <v>493</v>
      </c>
      <c r="H530" s="150" t="s">
        <v>494</v>
      </c>
      <c r="I530" s="150" t="s">
        <v>495</v>
      </c>
      <c r="J530" s="150"/>
      <c r="K530" s="154">
        <v>1.5</v>
      </c>
      <c r="L530" s="151" t="s">
        <v>1896</v>
      </c>
      <c r="M530" s="150"/>
      <c r="N530" s="154">
        <f>MouserListTable[[#This Row],['# Initial]]*MouserListTable[[#This Row],[Price (USD)]]</f>
        <v>0</v>
      </c>
      <c r="O530" s="151" t="s">
        <v>492</v>
      </c>
      <c r="P530" s="150">
        <f t="shared" si="10"/>
        <v>517</v>
      </c>
      <c r="Q530" s="150" t="s">
        <v>5</v>
      </c>
      <c r="R53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474-PRT-10369</v>
      </c>
      <c r="S530" s="157" t="str">
        <f>HYPERLINK("https://www.mouser.com/ProductDetail/" &amp;MouserListTable[[#This Row],[Mouser SKU]])</f>
        <v>https://www.mouser.com/ProductDetail/474-PRT-10369</v>
      </c>
      <c r="T530" s="152">
        <v>0</v>
      </c>
      <c r="U530" s="152">
        <v>0</v>
      </c>
      <c r="V530" s="152">
        <v>0</v>
      </c>
      <c r="W530" s="152">
        <f>MouserListTable[[#This Row],['#/Unit]]*FilterSpecs!$C$3+MouserListTable[[#This Row],[Extra]]</f>
        <v>0</v>
      </c>
      <c r="X530" s="152">
        <f>IF(MouserListTable[[#This Row],[Tag]]=FilterSpecs!$F$7,MouserListTable[[#This Row],['#/Unit]]*MouserListTable[[#This Row],[Price (USD)]],0)</f>
        <v>0</v>
      </c>
      <c r="Y530" s="152">
        <f>MouserListTable[[#This Row],[Tot '#]]*MouserListTable[[#This Row],[Price (USD)]]</f>
        <v>0</v>
      </c>
    </row>
    <row r="531" spans="1:25" x14ac:dyDescent="0.25">
      <c r="A531" s="153" t="s">
        <v>890</v>
      </c>
      <c r="B531" s="153" t="s">
        <v>1594</v>
      </c>
      <c r="C531" s="150" t="s">
        <v>5</v>
      </c>
      <c r="D531" s="151" t="str">
        <f>IF(MouserListTable[[#This Row],[Vendor]]=FilterSpecs!$A$8,MouserListTable[[#This Row],[Mouser SKU]], MouserListTable[[#This Row],[Supplier SKU]])</f>
        <v>474-PRT-10370</v>
      </c>
      <c r="E531" s="152">
        <f>MouserListTable[[#This Row],[Tot '#]]-MouserListTable[[#This Row],['# Initial]]</f>
        <v>0</v>
      </c>
      <c r="F531" s="152">
        <f>IF(AND(MouserListTable[[#This Row],[Tag]]&lt;&gt;FilterSpecs!$F$12, MouserListTable[[#This Row],[Tag]]&lt;&gt;FilterSpecs!$F$9), MouserListTable[[#This Row],['#/Unit]]*FilterSpecs!$B$3+MouserListTable[[#This Row],[Extra Initial]],0)</f>
        <v>0</v>
      </c>
      <c r="G531" s="150" t="s">
        <v>529</v>
      </c>
      <c r="H531" s="150" t="s">
        <v>530</v>
      </c>
      <c r="I531" s="150" t="s">
        <v>531</v>
      </c>
      <c r="J531" s="150"/>
      <c r="K531" s="154">
        <v>1.5</v>
      </c>
      <c r="L531" s="151" t="s">
        <v>1896</v>
      </c>
      <c r="M531" s="150"/>
      <c r="N531" s="154">
        <f>MouserListTable[[#This Row],['# Initial]]*MouserListTable[[#This Row],[Price (USD)]]</f>
        <v>0</v>
      </c>
      <c r="O531" s="151" t="s">
        <v>528</v>
      </c>
      <c r="P531" s="150">
        <f t="shared" si="10"/>
        <v>518</v>
      </c>
      <c r="Q531" s="150" t="s">
        <v>5</v>
      </c>
      <c r="R53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474-PRT-10370</v>
      </c>
      <c r="S531" s="157" t="str">
        <f>HYPERLINK("https://www.mouser.com/ProductDetail/" &amp;MouserListTable[[#This Row],[Mouser SKU]])</f>
        <v>https://www.mouser.com/ProductDetail/474-PRT-10370</v>
      </c>
      <c r="T531" s="152">
        <v>0</v>
      </c>
      <c r="U531" s="152">
        <v>0</v>
      </c>
      <c r="V531" s="152">
        <v>0</v>
      </c>
      <c r="W531" s="152">
        <f>MouserListTable[[#This Row],['#/Unit]]*FilterSpecs!$C$3+MouserListTable[[#This Row],[Extra]]</f>
        <v>0</v>
      </c>
      <c r="X531" s="152">
        <f>IF(MouserListTable[[#This Row],[Tag]]=FilterSpecs!$F$7,MouserListTable[[#This Row],['#/Unit]]*MouserListTable[[#This Row],[Price (USD)]],0)</f>
        <v>0</v>
      </c>
      <c r="Y531" s="152">
        <f>MouserListTable[[#This Row],[Tot '#]]*MouserListTable[[#This Row],[Price (USD)]]</f>
        <v>0</v>
      </c>
    </row>
    <row r="532" spans="1:25" x14ac:dyDescent="0.25">
      <c r="A532" s="153" t="s">
        <v>890</v>
      </c>
      <c r="B532" s="153" t="s">
        <v>1594</v>
      </c>
      <c r="C532" s="150" t="s">
        <v>5</v>
      </c>
      <c r="D532" s="151" t="str">
        <f>IF(MouserListTable[[#This Row],[Vendor]]=FilterSpecs!$A$8,MouserListTable[[#This Row],[Mouser SKU]], MouserListTable[[#This Row],[Supplier SKU]])</f>
        <v>474-PRT-10376</v>
      </c>
      <c r="E532" s="152">
        <f>MouserListTable[[#This Row],[Tot '#]]-MouserListTable[[#This Row],['# Initial]]</f>
        <v>0</v>
      </c>
      <c r="F532" s="152">
        <f>IF(AND(MouserListTable[[#This Row],[Tag]]&lt;&gt;FilterSpecs!$F$12, MouserListTable[[#This Row],[Tag]]&lt;&gt;FilterSpecs!$F$9), MouserListTable[[#This Row],['#/Unit]]*FilterSpecs!$B$3+MouserListTable[[#This Row],[Extra Initial]],0)</f>
        <v>0</v>
      </c>
      <c r="G532" s="150" t="s">
        <v>497</v>
      </c>
      <c r="H532" s="150" t="s">
        <v>498</v>
      </c>
      <c r="I532" s="150" t="s">
        <v>499</v>
      </c>
      <c r="J532" s="150"/>
      <c r="K532" s="154">
        <v>1.95</v>
      </c>
      <c r="L532" s="151" t="s">
        <v>1896</v>
      </c>
      <c r="M532" s="150"/>
      <c r="N532" s="154">
        <f>MouserListTable[[#This Row],['# Initial]]*MouserListTable[[#This Row],[Price (USD)]]</f>
        <v>0</v>
      </c>
      <c r="O532" s="151" t="s">
        <v>496</v>
      </c>
      <c r="P532" s="150">
        <f t="shared" si="10"/>
        <v>519</v>
      </c>
      <c r="Q532" s="150" t="s">
        <v>5</v>
      </c>
      <c r="R53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474-PRT-10376</v>
      </c>
      <c r="S532" s="157" t="str">
        <f>HYPERLINK("https://www.mouser.com/ProductDetail/" &amp;MouserListTable[[#This Row],[Mouser SKU]])</f>
        <v>https://www.mouser.com/ProductDetail/474-PRT-10376</v>
      </c>
      <c r="T532" s="152">
        <v>0</v>
      </c>
      <c r="U532" s="152">
        <v>0</v>
      </c>
      <c r="V532" s="152">
        <v>0</v>
      </c>
      <c r="W532" s="152">
        <f>MouserListTable[[#This Row],['#/Unit]]*FilterSpecs!$C$3+MouserListTable[[#This Row],[Extra]]</f>
        <v>0</v>
      </c>
      <c r="X532" s="152">
        <f>IF(MouserListTable[[#This Row],[Tag]]=FilterSpecs!$F$7,MouserListTable[[#This Row],['#/Unit]]*MouserListTable[[#This Row],[Price (USD)]],0)</f>
        <v>0</v>
      </c>
      <c r="Y532" s="152">
        <f>MouserListTable[[#This Row],[Tot '#]]*MouserListTable[[#This Row],[Price (USD)]]</f>
        <v>0</v>
      </c>
    </row>
    <row r="533" spans="1:25" x14ac:dyDescent="0.25">
      <c r="A533" s="153" t="s">
        <v>890</v>
      </c>
      <c r="B533" s="153" t="s">
        <v>1594</v>
      </c>
      <c r="C533" s="150" t="s">
        <v>5</v>
      </c>
      <c r="D533" s="151" t="str">
        <f>IF(MouserListTable[[#This Row],[Vendor]]=FilterSpecs!$A$8,MouserListTable[[#This Row],[Mouser SKU]], MouserListTable[[#This Row],[Supplier SKU]])</f>
        <v>474-PRT-10371</v>
      </c>
      <c r="E533" s="152">
        <f>MouserListTable[[#This Row],[Tot '#]]-MouserListTable[[#This Row],['# Initial]]</f>
        <v>0</v>
      </c>
      <c r="F533" s="152">
        <f>IF(AND(MouserListTable[[#This Row],[Tag]]&lt;&gt;FilterSpecs!$F$12, MouserListTable[[#This Row],[Tag]]&lt;&gt;FilterSpecs!$F$9), MouserListTable[[#This Row],['#/Unit]]*FilterSpecs!$B$3+MouserListTable[[#This Row],[Extra Initial]],0)</f>
        <v>0</v>
      </c>
      <c r="G533" s="150" t="s">
        <v>501</v>
      </c>
      <c r="H533" s="150" t="s">
        <v>502</v>
      </c>
      <c r="I533" s="150" t="s">
        <v>503</v>
      </c>
      <c r="J533" s="150"/>
      <c r="K533" s="154">
        <v>1.5</v>
      </c>
      <c r="L533" s="151" t="s">
        <v>1896</v>
      </c>
      <c r="M533" s="150"/>
      <c r="N533" s="154">
        <f>MouserListTable[[#This Row],['# Initial]]*MouserListTable[[#This Row],[Price (USD)]]</f>
        <v>0</v>
      </c>
      <c r="O533" s="151" t="s">
        <v>500</v>
      </c>
      <c r="P533" s="150">
        <f t="shared" si="10"/>
        <v>520</v>
      </c>
      <c r="Q533" s="150" t="s">
        <v>5</v>
      </c>
      <c r="R53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474-PRT-10371</v>
      </c>
      <c r="S533" s="157" t="str">
        <f>HYPERLINK("https://www.mouser.com/ProductDetail/" &amp;MouserListTable[[#This Row],[Mouser SKU]])</f>
        <v>https://www.mouser.com/ProductDetail/474-PRT-10371</v>
      </c>
      <c r="T533" s="152">
        <v>0</v>
      </c>
      <c r="U533" s="152">
        <v>0</v>
      </c>
      <c r="V533" s="152">
        <v>0</v>
      </c>
      <c r="W533" s="152">
        <f>MouserListTable[[#This Row],['#/Unit]]*FilterSpecs!$C$3+MouserListTable[[#This Row],[Extra]]</f>
        <v>0</v>
      </c>
      <c r="X533" s="152">
        <f>IF(MouserListTable[[#This Row],[Tag]]=FilterSpecs!$F$7,MouserListTable[[#This Row],['#/Unit]]*MouserListTable[[#This Row],[Price (USD)]],0)</f>
        <v>0</v>
      </c>
      <c r="Y533" s="152">
        <f>MouserListTable[[#This Row],[Tot '#]]*MouserListTable[[#This Row],[Price (USD)]]</f>
        <v>0</v>
      </c>
    </row>
    <row r="534" spans="1:25" x14ac:dyDescent="0.25">
      <c r="A534" s="153" t="s">
        <v>890</v>
      </c>
      <c r="B534" s="153" t="s">
        <v>1594</v>
      </c>
      <c r="C534" s="150" t="s">
        <v>5</v>
      </c>
      <c r="D534" s="151" t="str">
        <f>IF(MouserListTable[[#This Row],[Vendor]]=FilterSpecs!$A$8,MouserListTable[[#This Row],[Mouser SKU]], MouserListTable[[#This Row],[Supplier SKU]])</f>
        <v>474-PRT-12796</v>
      </c>
      <c r="E534" s="152">
        <f>MouserListTable[[#This Row],[Tot '#]]-MouserListTable[[#This Row],['# Initial]]</f>
        <v>0</v>
      </c>
      <c r="F534" s="152">
        <f>IF(AND(MouserListTable[[#This Row],[Tag]]&lt;&gt;FilterSpecs!$F$12, MouserListTable[[#This Row],[Tag]]&lt;&gt;FilterSpecs!$F$9), MouserListTable[[#This Row],['#/Unit]]*FilterSpecs!$B$3+MouserListTable[[#This Row],[Extra Initial]],0)</f>
        <v>0</v>
      </c>
      <c r="G534" s="150" t="s">
        <v>541</v>
      </c>
      <c r="H534" s="150" t="s">
        <v>542</v>
      </c>
      <c r="I534" s="150" t="s">
        <v>543</v>
      </c>
      <c r="J534" s="150">
        <v>1</v>
      </c>
      <c r="K534" s="154">
        <v>1.95</v>
      </c>
      <c r="L534" s="151" t="s">
        <v>1896</v>
      </c>
      <c r="M534" s="150"/>
      <c r="N534" s="154">
        <f>MouserListTable[[#This Row],['# Initial]]*MouserListTable[[#This Row],[Price (USD)]]</f>
        <v>0</v>
      </c>
      <c r="O534" s="151" t="s">
        <v>540</v>
      </c>
      <c r="P534" s="150">
        <f t="shared" si="10"/>
        <v>521</v>
      </c>
      <c r="Q534" s="150" t="s">
        <v>5</v>
      </c>
      <c r="R53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474-PRT-12796</v>
      </c>
      <c r="S534" s="157" t="str">
        <f>HYPERLINK("https://www.mouser.com/ProductDetail/" &amp;MouserListTable[[#This Row],[Mouser SKU]])</f>
        <v>https://www.mouser.com/ProductDetail/474-PRT-12796</v>
      </c>
      <c r="T534" s="152">
        <v>0</v>
      </c>
      <c r="U534" s="152">
        <v>0</v>
      </c>
      <c r="V534" s="152">
        <v>0</v>
      </c>
      <c r="W534" s="152">
        <f>MouserListTable[[#This Row],['#/Unit]]*FilterSpecs!$C$3+MouserListTable[[#This Row],[Extra]]</f>
        <v>0</v>
      </c>
      <c r="X534" s="152">
        <f>IF(MouserListTable[[#This Row],[Tag]]=FilterSpecs!$F$7,MouserListTable[[#This Row],['#/Unit]]*MouserListTable[[#This Row],[Price (USD)]],0)</f>
        <v>0</v>
      </c>
      <c r="Y534" s="152">
        <f>MouserListTable[[#This Row],[Tot '#]]*MouserListTable[[#This Row],[Price (USD)]]</f>
        <v>0</v>
      </c>
    </row>
    <row r="535" spans="1:25" x14ac:dyDescent="0.25">
      <c r="A535" s="153" t="s">
        <v>890</v>
      </c>
      <c r="B535" s="153" t="s">
        <v>1594</v>
      </c>
      <c r="C535" s="150" t="s">
        <v>5</v>
      </c>
      <c r="D535" s="151" t="str">
        <f>IF(MouserListTable[[#This Row],[Vendor]]=FilterSpecs!$A$8,MouserListTable[[#This Row],[Mouser SKU]], MouserListTable[[#This Row],[Supplier SKU]])</f>
        <v>474-PRT-11710</v>
      </c>
      <c r="E535" s="152">
        <f>MouserListTable[[#This Row],[Tot '#]]-MouserListTable[[#This Row],['# Initial]]</f>
        <v>0</v>
      </c>
      <c r="F535" s="152">
        <f>IF(AND(MouserListTable[[#This Row],[Tag]]&lt;&gt;FilterSpecs!$F$12, MouserListTable[[#This Row],[Tag]]&lt;&gt;FilterSpecs!$F$9), MouserListTable[[#This Row],['#/Unit]]*FilterSpecs!$B$3+MouserListTable[[#This Row],[Extra Initial]],0)</f>
        <v>0</v>
      </c>
      <c r="G535" s="150" t="s">
        <v>545</v>
      </c>
      <c r="H535" s="150" t="s">
        <v>546</v>
      </c>
      <c r="I535" s="150" t="s">
        <v>547</v>
      </c>
      <c r="J535" s="150">
        <v>1</v>
      </c>
      <c r="K535" s="154">
        <v>4.95</v>
      </c>
      <c r="L535" s="151" t="s">
        <v>1896</v>
      </c>
      <c r="M535" s="150"/>
      <c r="N535" s="154">
        <f>MouserListTable[[#This Row],['# Initial]]*MouserListTable[[#This Row],[Price (USD)]]</f>
        <v>0</v>
      </c>
      <c r="O535" s="151" t="s">
        <v>544</v>
      </c>
      <c r="P535" s="150">
        <f t="shared" si="10"/>
        <v>522</v>
      </c>
      <c r="Q535" s="150" t="s">
        <v>5</v>
      </c>
      <c r="R53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474-PRT-11710</v>
      </c>
      <c r="S535" s="157" t="str">
        <f>HYPERLINK("https://www.mouser.com/ProductDetail/" &amp;MouserListTable[[#This Row],[Mouser SKU]])</f>
        <v>https://www.mouser.com/ProductDetail/474-PRT-11710</v>
      </c>
      <c r="T535" s="152">
        <v>0</v>
      </c>
      <c r="U535" s="152">
        <v>0</v>
      </c>
      <c r="V535" s="152">
        <v>0</v>
      </c>
      <c r="W535" s="152">
        <f>MouserListTable[[#This Row],['#/Unit]]*FilterSpecs!$C$3+MouserListTable[[#This Row],[Extra]]</f>
        <v>0</v>
      </c>
      <c r="X535" s="152">
        <f>IF(MouserListTable[[#This Row],[Tag]]=FilterSpecs!$F$7,MouserListTable[[#This Row],['#/Unit]]*MouserListTable[[#This Row],[Price (USD)]],0)</f>
        <v>0</v>
      </c>
      <c r="Y535" s="152">
        <f>MouserListTable[[#This Row],[Tot '#]]*MouserListTable[[#This Row],[Price (USD)]]</f>
        <v>0</v>
      </c>
    </row>
    <row r="536" spans="1:25" x14ac:dyDescent="0.25">
      <c r="A536" s="153" t="s">
        <v>890</v>
      </c>
      <c r="B536" s="153" t="s">
        <v>1594</v>
      </c>
      <c r="C536" s="150" t="s">
        <v>5</v>
      </c>
      <c r="D536" s="151" t="str">
        <f>IF(MouserListTable[[#This Row],[Vendor]]=FilterSpecs!$A$8,MouserListTable[[#This Row],[Mouser SKU]], MouserListTable[[#This Row],[Supplier SKU]])</f>
        <v>474-PRT-09389</v>
      </c>
      <c r="E536" s="152">
        <f>MouserListTable[[#This Row],[Tot '#]]-MouserListTable[[#This Row],['# Initial]]</f>
        <v>0</v>
      </c>
      <c r="F536" s="152">
        <f>IF(AND(MouserListTable[[#This Row],[Tag]]&lt;&gt;FilterSpecs!$F$12, MouserListTable[[#This Row],[Tag]]&lt;&gt;FilterSpecs!$F$9), MouserListTable[[#This Row],['#/Unit]]*FilterSpecs!$B$3+MouserListTable[[#This Row],[Extra Initial]],0)</f>
        <v>0</v>
      </c>
      <c r="G536" s="150" t="s">
        <v>593</v>
      </c>
      <c r="H536" s="150" t="s">
        <v>594</v>
      </c>
      <c r="I536" s="150" t="s">
        <v>595</v>
      </c>
      <c r="J536" s="150">
        <v>1</v>
      </c>
      <c r="K536" s="154">
        <v>4.5</v>
      </c>
      <c r="L536" s="151" t="s">
        <v>1896</v>
      </c>
      <c r="M536" s="150"/>
      <c r="N536" s="154">
        <f>MouserListTable[[#This Row],['# Initial]]*MouserListTable[[#This Row],[Price (USD)]]</f>
        <v>0</v>
      </c>
      <c r="O536" s="151" t="s">
        <v>592</v>
      </c>
      <c r="P536" s="150">
        <f t="shared" si="10"/>
        <v>523</v>
      </c>
      <c r="Q536" s="150" t="s">
        <v>5</v>
      </c>
      <c r="R53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474-PRT-09389</v>
      </c>
      <c r="S536" s="157" t="str">
        <f>HYPERLINK("https://www.mouser.com/ProductDetail/" &amp;MouserListTable[[#This Row],[Mouser SKU]])</f>
        <v>https://www.mouser.com/ProductDetail/474-PRT-09389</v>
      </c>
      <c r="T536" s="152">
        <v>0</v>
      </c>
      <c r="U536" s="152">
        <v>0</v>
      </c>
      <c r="V536" s="152">
        <v>0</v>
      </c>
      <c r="W536" s="152">
        <f>MouserListTable[[#This Row],['#/Unit]]*FilterSpecs!$C$3+MouserListTable[[#This Row],[Extra]]</f>
        <v>0</v>
      </c>
      <c r="X536" s="152">
        <f>IF(MouserListTable[[#This Row],[Tag]]=FilterSpecs!$F$7,MouserListTable[[#This Row],['#/Unit]]*MouserListTable[[#This Row],[Price (USD)]],0)</f>
        <v>0</v>
      </c>
      <c r="Y536" s="152">
        <f>MouserListTable[[#This Row],[Tot '#]]*MouserListTable[[#This Row],[Price (USD)]]</f>
        <v>0</v>
      </c>
    </row>
    <row r="537" spans="1:25" x14ac:dyDescent="0.25">
      <c r="A537" s="153" t="s">
        <v>890</v>
      </c>
      <c r="B537" s="153" t="s">
        <v>1594</v>
      </c>
      <c r="C537" s="150" t="s">
        <v>5</v>
      </c>
      <c r="D537" s="151" t="str">
        <f>IF(MouserListTable[[#This Row],[Vendor]]=FilterSpecs!$A$8,MouserListTable[[#This Row],[Mouser SKU]], MouserListTable[[#This Row],[Supplier SKU]])</f>
        <v>474-PRT-09140</v>
      </c>
      <c r="E537" s="152">
        <f>MouserListTable[[#This Row],[Tot '#]]-MouserListTable[[#This Row],['# Initial]]</f>
        <v>0</v>
      </c>
      <c r="F537" s="152">
        <f>IF(AND(MouserListTable[[#This Row],[Tag]]&lt;&gt;FilterSpecs!$F$12, MouserListTable[[#This Row],[Tag]]&lt;&gt;FilterSpecs!$F$9), MouserListTable[[#This Row],['#/Unit]]*FilterSpecs!$B$3+MouserListTable[[#This Row],[Extra Initial]],0)</f>
        <v>0</v>
      </c>
      <c r="G537" s="150" t="s">
        <v>553</v>
      </c>
      <c r="H537" s="150" t="s">
        <v>554</v>
      </c>
      <c r="I537" s="150" t="s">
        <v>555</v>
      </c>
      <c r="J537" s="150">
        <v>1</v>
      </c>
      <c r="K537" s="154">
        <v>3.95</v>
      </c>
      <c r="L537" s="151" t="s">
        <v>1896</v>
      </c>
      <c r="M537" s="150"/>
      <c r="N537" s="154">
        <f>MouserListTable[[#This Row],['# Initial]]*MouserListTable[[#This Row],[Price (USD)]]</f>
        <v>0</v>
      </c>
      <c r="O537" s="151" t="s">
        <v>552</v>
      </c>
      <c r="P537" s="150">
        <f t="shared" si="10"/>
        <v>524</v>
      </c>
      <c r="Q537" s="150" t="s">
        <v>5</v>
      </c>
      <c r="R53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474-PRT-09140</v>
      </c>
      <c r="S537" s="157" t="str">
        <f>HYPERLINK("https://www.mouser.com/ProductDetail/" &amp;MouserListTable[[#This Row],[Mouser SKU]])</f>
        <v>https://www.mouser.com/ProductDetail/474-PRT-09140</v>
      </c>
      <c r="T537" s="152">
        <v>0</v>
      </c>
      <c r="U537" s="152">
        <v>0</v>
      </c>
      <c r="V537" s="152">
        <v>0</v>
      </c>
      <c r="W537" s="152">
        <f>MouserListTable[[#This Row],['#/Unit]]*FilterSpecs!$C$3+MouserListTable[[#This Row],[Extra]]</f>
        <v>0</v>
      </c>
      <c r="X537" s="152">
        <f>IF(MouserListTable[[#This Row],[Tag]]=FilterSpecs!$F$7,MouserListTable[[#This Row],['#/Unit]]*MouserListTable[[#This Row],[Price (USD)]],0)</f>
        <v>0</v>
      </c>
      <c r="Y537" s="152">
        <f>MouserListTable[[#This Row],[Tot '#]]*MouserListTable[[#This Row],[Price (USD)]]</f>
        <v>0</v>
      </c>
    </row>
    <row r="538" spans="1:25" x14ac:dyDescent="0.25">
      <c r="A538" s="153" t="s">
        <v>890</v>
      </c>
      <c r="B538" s="153" t="s">
        <v>1594</v>
      </c>
      <c r="C538" s="150" t="s">
        <v>5</v>
      </c>
      <c r="D538" s="151" t="str">
        <f>IF(MouserListTable[[#This Row],[Vendor]]=FilterSpecs!$A$8,MouserListTable[[#This Row],[Mouser SKU]], MouserListTable[[#This Row],[Supplier SKU]])</f>
        <v>474-PRT-09385</v>
      </c>
      <c r="E538" s="152">
        <f>MouserListTable[[#This Row],[Tot '#]]-MouserListTable[[#This Row],['# Initial]]</f>
        <v>0</v>
      </c>
      <c r="F538" s="152">
        <f>IF(AND(MouserListTable[[#This Row],[Tag]]&lt;&gt;FilterSpecs!$F$12, MouserListTable[[#This Row],[Tag]]&lt;&gt;FilterSpecs!$F$9), MouserListTable[[#This Row],['#/Unit]]*FilterSpecs!$B$3+MouserListTable[[#This Row],[Extra Initial]],0)</f>
        <v>0</v>
      </c>
      <c r="G538" s="150" t="s">
        <v>561</v>
      </c>
      <c r="H538" s="150" t="s">
        <v>562</v>
      </c>
      <c r="I538" s="150" t="s">
        <v>563</v>
      </c>
      <c r="J538" s="150">
        <v>1</v>
      </c>
      <c r="K538" s="154">
        <v>4.5</v>
      </c>
      <c r="L538" s="151" t="s">
        <v>1896</v>
      </c>
      <c r="M538" s="150"/>
      <c r="N538" s="154">
        <f>MouserListTable[[#This Row],['# Initial]]*MouserListTable[[#This Row],[Price (USD)]]</f>
        <v>0</v>
      </c>
      <c r="O538" s="151" t="s">
        <v>560</v>
      </c>
      <c r="P538" s="150">
        <f t="shared" si="10"/>
        <v>525</v>
      </c>
      <c r="Q538" s="150" t="s">
        <v>5</v>
      </c>
      <c r="R53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474-PRT-09385</v>
      </c>
      <c r="S538" s="157" t="str">
        <f>HYPERLINK("https://www.mouser.com/ProductDetail/" &amp;MouserListTable[[#This Row],[Mouser SKU]])</f>
        <v>https://www.mouser.com/ProductDetail/474-PRT-09385</v>
      </c>
      <c r="T538" s="152">
        <v>0</v>
      </c>
      <c r="U538" s="152">
        <v>0</v>
      </c>
      <c r="V538" s="152">
        <v>0</v>
      </c>
      <c r="W538" s="152">
        <f>MouserListTable[[#This Row],['#/Unit]]*FilterSpecs!$C$3+MouserListTable[[#This Row],[Extra]]</f>
        <v>0</v>
      </c>
      <c r="X538" s="152">
        <f>IF(MouserListTable[[#This Row],[Tag]]=FilterSpecs!$F$7,MouserListTable[[#This Row],['#/Unit]]*MouserListTable[[#This Row],[Price (USD)]],0)</f>
        <v>0</v>
      </c>
      <c r="Y538" s="152">
        <f>MouserListTable[[#This Row],[Tot '#]]*MouserListTable[[#This Row],[Price (USD)]]</f>
        <v>0</v>
      </c>
    </row>
    <row r="539" spans="1:25" x14ac:dyDescent="0.25">
      <c r="A539" s="153" t="s">
        <v>890</v>
      </c>
      <c r="B539" s="153" t="s">
        <v>1594</v>
      </c>
      <c r="C539" s="150" t="s">
        <v>5</v>
      </c>
      <c r="D539" s="151" t="str">
        <f>IF(MouserListTable[[#This Row],[Vendor]]=FilterSpecs!$A$8,MouserListTable[[#This Row],[Mouser SKU]], MouserListTable[[#This Row],[Supplier SKU]])</f>
        <v>474-PRT-14284</v>
      </c>
      <c r="E539" s="152">
        <f>MouserListTable[[#This Row],[Tot '#]]-MouserListTable[[#This Row],['# Initial]]</f>
        <v>0</v>
      </c>
      <c r="F539" s="152">
        <f>IF(AND(MouserListTable[[#This Row],[Tag]]&lt;&gt;FilterSpecs!$F$12, MouserListTable[[#This Row],[Tag]]&lt;&gt;FilterSpecs!$F$9), MouserListTable[[#This Row],['#/Unit]]*FilterSpecs!$B$3+MouserListTable[[#This Row],[Extra Initial]],0)</f>
        <v>0</v>
      </c>
      <c r="G539" s="150" t="s">
        <v>537</v>
      </c>
      <c r="H539" s="150" t="s">
        <v>538</v>
      </c>
      <c r="I539" s="150" t="s">
        <v>539</v>
      </c>
      <c r="J539" s="150">
        <v>1</v>
      </c>
      <c r="K539" s="154">
        <v>1.95</v>
      </c>
      <c r="L539" s="151" t="s">
        <v>1896</v>
      </c>
      <c r="M539" s="150"/>
      <c r="N539" s="154">
        <f>MouserListTable[[#This Row],['# Initial]]*MouserListTable[[#This Row],[Price (USD)]]</f>
        <v>0</v>
      </c>
      <c r="O539" s="151" t="s">
        <v>536</v>
      </c>
      <c r="P539" s="150">
        <f t="shared" si="10"/>
        <v>526</v>
      </c>
      <c r="Q539" s="150" t="s">
        <v>5</v>
      </c>
      <c r="R53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474-PRT-14284</v>
      </c>
      <c r="S539" s="157" t="str">
        <f>HYPERLINK("https://www.mouser.com/ProductDetail/" &amp;MouserListTable[[#This Row],[Mouser SKU]])</f>
        <v>https://www.mouser.com/ProductDetail/474-PRT-14284</v>
      </c>
      <c r="T539" s="152">
        <v>0</v>
      </c>
      <c r="U539" s="152">
        <v>0</v>
      </c>
      <c r="V539" s="152">
        <v>0</v>
      </c>
      <c r="W539" s="152">
        <f>MouserListTable[[#This Row],['#/Unit]]*FilterSpecs!$C$3+MouserListTable[[#This Row],[Extra]]</f>
        <v>0</v>
      </c>
      <c r="X539" s="152">
        <f>IF(MouserListTable[[#This Row],[Tag]]=FilterSpecs!$F$7,MouserListTable[[#This Row],['#/Unit]]*MouserListTable[[#This Row],[Price (USD)]],0)</f>
        <v>0</v>
      </c>
      <c r="Y539" s="152">
        <f>MouserListTable[[#This Row],[Tot '#]]*MouserListTable[[#This Row],[Price (USD)]]</f>
        <v>0</v>
      </c>
    </row>
    <row r="540" spans="1:25" x14ac:dyDescent="0.25">
      <c r="A540" s="153" t="s">
        <v>890</v>
      </c>
      <c r="B540" s="153" t="s">
        <v>1594</v>
      </c>
      <c r="C540" s="150" t="s">
        <v>5</v>
      </c>
      <c r="D540" s="151" t="str">
        <f>IF(MouserListTable[[#This Row],[Vendor]]=FilterSpecs!$A$8,MouserListTable[[#This Row],[Mouser SKU]], MouserListTable[[#This Row],[Supplier SKU]])</f>
        <v>474-PRT-11709</v>
      </c>
      <c r="E540" s="152">
        <f>MouserListTable[[#This Row],[Tot '#]]-MouserListTable[[#This Row],['# Initial]]</f>
        <v>0</v>
      </c>
      <c r="F540" s="152">
        <f>IF(AND(MouserListTable[[#This Row],[Tag]]&lt;&gt;FilterSpecs!$F$12, MouserListTable[[#This Row],[Tag]]&lt;&gt;FilterSpecs!$F$9), MouserListTable[[#This Row],['#/Unit]]*FilterSpecs!$B$3+MouserListTable[[#This Row],[Extra Initial]],0)</f>
        <v>0</v>
      </c>
      <c r="G540" s="150" t="s">
        <v>545</v>
      </c>
      <c r="H540" s="150" t="s">
        <v>546</v>
      </c>
      <c r="I540" s="150" t="s">
        <v>1338</v>
      </c>
      <c r="J540" s="150">
        <v>1</v>
      </c>
      <c r="K540" s="154">
        <v>4.95</v>
      </c>
      <c r="L540" s="151" t="s">
        <v>1896</v>
      </c>
      <c r="M540" s="150"/>
      <c r="N540" s="154">
        <f>MouserListTable[[#This Row],['# Initial]]*MouserListTable[[#This Row],[Price (USD)]]</f>
        <v>0</v>
      </c>
      <c r="O540" s="151" t="s">
        <v>1339</v>
      </c>
      <c r="P540" s="150">
        <f t="shared" si="10"/>
        <v>527</v>
      </c>
      <c r="Q540" s="150" t="s">
        <v>5</v>
      </c>
      <c r="R54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474-PRT-11709</v>
      </c>
      <c r="S540" s="157" t="str">
        <f>HYPERLINK("https://www.mouser.com/ProductDetail/" &amp;MouserListTable[[#This Row],[Mouser SKU]])</f>
        <v>https://www.mouser.com/ProductDetail/474-PRT-11709</v>
      </c>
      <c r="T540" s="152">
        <v>0</v>
      </c>
      <c r="U540" s="152">
        <v>0</v>
      </c>
      <c r="V540" s="152">
        <v>0</v>
      </c>
      <c r="W540" s="152">
        <f>MouserListTable[[#This Row],['#/Unit]]*FilterSpecs!$C$3+MouserListTable[[#This Row],[Extra]]</f>
        <v>0</v>
      </c>
      <c r="X540" s="152">
        <f>IF(MouserListTable[[#This Row],[Tag]]=FilterSpecs!$F$7,MouserListTable[[#This Row],['#/Unit]]*MouserListTable[[#This Row],[Price (USD)]],0)</f>
        <v>0</v>
      </c>
      <c r="Y540" s="152">
        <f>MouserListTable[[#This Row],[Tot '#]]*MouserListTable[[#This Row],[Price (USD)]]</f>
        <v>0</v>
      </c>
    </row>
    <row r="541" spans="1:25" x14ac:dyDescent="0.25">
      <c r="A541" s="153" t="s">
        <v>890</v>
      </c>
      <c r="B541" s="153" t="s">
        <v>1594</v>
      </c>
      <c r="C541" s="150" t="s">
        <v>5</v>
      </c>
      <c r="D541" s="151" t="str">
        <f>IF(MouserListTable[[#This Row],[Vendor]]=FilterSpecs!$A$8,MouserListTable[[#This Row],[Mouser SKU]], MouserListTable[[#This Row],[Supplier SKU]])</f>
        <v>474-PRT-08431</v>
      </c>
      <c r="E541" s="152">
        <f>MouserListTable[[#This Row],[Tot '#]]-MouserListTable[[#This Row],['# Initial]]</f>
        <v>0</v>
      </c>
      <c r="F541" s="152">
        <f>IF(AND(MouserListTable[[#This Row],[Tag]]&lt;&gt;FilterSpecs!$F$12, MouserListTable[[#This Row],[Tag]]&lt;&gt;FilterSpecs!$F$9), MouserListTable[[#This Row],['#/Unit]]*FilterSpecs!$B$3+MouserListTable[[#This Row],[Extra Initial]],0)</f>
        <v>0</v>
      </c>
      <c r="G541" s="150" t="s">
        <v>557</v>
      </c>
      <c r="H541" s="150" t="s">
        <v>558</v>
      </c>
      <c r="I541" s="150" t="s">
        <v>559</v>
      </c>
      <c r="J541" s="150">
        <v>1</v>
      </c>
      <c r="K541" s="154">
        <v>3.95</v>
      </c>
      <c r="L541" s="151" t="s">
        <v>1896</v>
      </c>
      <c r="M541" s="150"/>
      <c r="N541" s="154">
        <f>MouserListTable[[#This Row],['# Initial]]*MouserListTable[[#This Row],[Price (USD)]]</f>
        <v>0</v>
      </c>
      <c r="O541" s="151" t="s">
        <v>556</v>
      </c>
      <c r="P541" s="150">
        <f t="shared" si="10"/>
        <v>528</v>
      </c>
      <c r="Q541" s="150" t="s">
        <v>5</v>
      </c>
      <c r="R54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474-PRT-08431</v>
      </c>
      <c r="S541" s="157" t="str">
        <f>HYPERLINK("https://www.mouser.com/ProductDetail/" &amp;MouserListTable[[#This Row],[Mouser SKU]])</f>
        <v>https://www.mouser.com/ProductDetail/474-PRT-08431</v>
      </c>
      <c r="T541" s="152">
        <v>0</v>
      </c>
      <c r="U541" s="152">
        <v>0</v>
      </c>
      <c r="V541" s="152">
        <v>0</v>
      </c>
      <c r="W541" s="152">
        <f>MouserListTable[[#This Row],['#/Unit]]*FilterSpecs!$C$3+MouserListTable[[#This Row],[Extra]]</f>
        <v>0</v>
      </c>
      <c r="X541" s="152">
        <f>IF(MouserListTable[[#This Row],[Tag]]=FilterSpecs!$F$7,MouserListTable[[#This Row],['#/Unit]]*MouserListTable[[#This Row],[Price (USD)]],0)</f>
        <v>0</v>
      </c>
      <c r="Y541" s="152">
        <f>MouserListTable[[#This Row],[Tot '#]]*MouserListTable[[#This Row],[Price (USD)]]</f>
        <v>0</v>
      </c>
    </row>
    <row r="542" spans="1:25" x14ac:dyDescent="0.25">
      <c r="A542" s="153" t="s">
        <v>890</v>
      </c>
      <c r="B542" s="153" t="s">
        <v>1594</v>
      </c>
      <c r="C542" s="150" t="s">
        <v>5</v>
      </c>
      <c r="D542" s="151" t="str">
        <f>IF(MouserListTable[[#This Row],[Vendor]]=FilterSpecs!$A$8,MouserListTable[[#This Row],[Mouser SKU]], MouserListTable[[#This Row],[Supplier SKU]])</f>
        <v>474-PRT-11026</v>
      </c>
      <c r="E542" s="152">
        <f>MouserListTable[[#This Row],[Tot '#]]-MouserListTable[[#This Row],['# Initial]]</f>
        <v>0</v>
      </c>
      <c r="F542" s="152">
        <f>IF(AND(MouserListTable[[#This Row],[Tag]]&lt;&gt;FilterSpecs!$F$12, MouserListTable[[#This Row],[Tag]]&lt;&gt;FilterSpecs!$F$9), MouserListTable[[#This Row],['#/Unit]]*FilterSpecs!$B$3+MouserListTable[[#This Row],[Extra Initial]],0)</f>
        <v>0</v>
      </c>
      <c r="G542" s="150" t="s">
        <v>549</v>
      </c>
      <c r="H542" s="150" t="s">
        <v>550</v>
      </c>
      <c r="I542" s="150" t="s">
        <v>551</v>
      </c>
      <c r="J542" s="150">
        <v>1</v>
      </c>
      <c r="K542" s="154">
        <v>1.95</v>
      </c>
      <c r="L542" s="151" t="s">
        <v>1896</v>
      </c>
      <c r="M542" s="150"/>
      <c r="N542" s="154">
        <f>MouserListTable[[#This Row],['# Initial]]*MouserListTable[[#This Row],[Price (USD)]]</f>
        <v>0</v>
      </c>
      <c r="O542" s="151" t="s">
        <v>548</v>
      </c>
      <c r="P542" s="150">
        <f t="shared" si="10"/>
        <v>529</v>
      </c>
      <c r="Q542" s="150" t="s">
        <v>5</v>
      </c>
      <c r="R54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474-PRT-11026</v>
      </c>
      <c r="S542" s="157" t="str">
        <f>HYPERLINK("https://www.mouser.com/ProductDetail/" &amp;MouserListTable[[#This Row],[Mouser SKU]])</f>
        <v>https://www.mouser.com/ProductDetail/474-PRT-11026</v>
      </c>
      <c r="T542" s="152">
        <v>0</v>
      </c>
      <c r="U542" s="152">
        <v>0</v>
      </c>
      <c r="V542" s="152">
        <v>0</v>
      </c>
      <c r="W542" s="152">
        <f>MouserListTable[[#This Row],['#/Unit]]*FilterSpecs!$C$3+MouserListTable[[#This Row],[Extra]]</f>
        <v>0</v>
      </c>
      <c r="X542" s="152">
        <f>IF(MouserListTable[[#This Row],[Tag]]=FilterSpecs!$F$7,MouserListTable[[#This Row],['#/Unit]]*MouserListTable[[#This Row],[Price (USD)]],0)</f>
        <v>0</v>
      </c>
      <c r="Y542" s="152">
        <f>MouserListTable[[#This Row],[Tot '#]]*MouserListTable[[#This Row],[Price (USD)]]</f>
        <v>0</v>
      </c>
    </row>
    <row r="543" spans="1:25" x14ac:dyDescent="0.25">
      <c r="A543" s="150" t="s">
        <v>890</v>
      </c>
      <c r="B543" s="150" t="s">
        <v>1004</v>
      </c>
      <c r="C543" s="150" t="s">
        <v>5</v>
      </c>
      <c r="D543" s="151" t="str">
        <f>IF(MouserListTable[[#This Row],[Vendor]]=FilterSpecs!$A$8,MouserListTable[[#This Row],[Mouser SKU]], MouserListTable[[#This Row],[Supplier SKU]])</f>
        <v>474-COM-10969</v>
      </c>
      <c r="E543" s="152">
        <f>MouserListTable[[#This Row],[Tot '#]]-MouserListTable[[#This Row],['# Initial]]</f>
        <v>0</v>
      </c>
      <c r="F543" s="152">
        <f>IF(AND(MouserListTable[[#This Row],[Tag]]&lt;&gt;FilterSpecs!$F$12, MouserListTable[[#This Row],[Tag]]&lt;&gt;FilterSpecs!$F$9), MouserListTable[[#This Row],['#/Unit]]*FilterSpecs!$B$3+MouserListTable[[#This Row],[Extra Initial]],0)</f>
        <v>1</v>
      </c>
      <c r="G543" s="150" t="s">
        <v>365</v>
      </c>
      <c r="H543" s="150" t="s">
        <v>366</v>
      </c>
      <c r="I543" s="150" t="s">
        <v>367</v>
      </c>
      <c r="J543" s="150">
        <v>1</v>
      </c>
      <c r="K543" s="154">
        <v>7.95</v>
      </c>
      <c r="L543" s="150" t="s">
        <v>1896</v>
      </c>
      <c r="M543" s="150"/>
      <c r="N543" s="154">
        <f>MouserListTable[[#This Row],['# Initial]]*MouserListTable[[#This Row],[Price (USD)]]</f>
        <v>7.95</v>
      </c>
      <c r="O543" s="151" t="s">
        <v>364</v>
      </c>
      <c r="P543" s="150">
        <f t="shared" si="10"/>
        <v>530</v>
      </c>
      <c r="Q543" s="150" t="s">
        <v>5</v>
      </c>
      <c r="R54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474-COM-10969</v>
      </c>
      <c r="S543" s="157" t="str">
        <f>HYPERLINK("https://www.mouser.com/ProductDetail/" &amp;MouserListTable[[#This Row],[Mouser SKU]])</f>
        <v>https://www.mouser.com/ProductDetail/474-COM-10969</v>
      </c>
      <c r="T543" s="152">
        <v>0</v>
      </c>
      <c r="U543" s="152">
        <v>1</v>
      </c>
      <c r="V543" s="152">
        <v>1</v>
      </c>
      <c r="W543" s="152">
        <f>MouserListTable[[#This Row],['#/Unit]]*FilterSpecs!$C$3+MouserListTable[[#This Row],[Extra]]</f>
        <v>1</v>
      </c>
      <c r="X543" s="152">
        <f>IF(MouserListTable[[#This Row],[Tag]]=FilterSpecs!$F$7,MouserListTable[[#This Row],['#/Unit]]*MouserListTable[[#This Row],[Price (USD)]],0)</f>
        <v>0</v>
      </c>
      <c r="Y543" s="152">
        <f>MouserListTable[[#This Row],[Tot '#]]*MouserListTable[[#This Row],[Price (USD)]]</f>
        <v>7.95</v>
      </c>
    </row>
    <row r="544" spans="1:25" x14ac:dyDescent="0.25">
      <c r="A544" s="150" t="s">
        <v>890</v>
      </c>
      <c r="B544" s="150" t="s">
        <v>1004</v>
      </c>
      <c r="C544" s="150" t="s">
        <v>5</v>
      </c>
      <c r="D544" s="151" t="str">
        <f>IF(MouserListTable[[#This Row],[Vendor]]=FilterSpecs!$A$8,MouserListTable[[#This Row],[Mouser SKU]], MouserListTable[[#This Row],[Supplier SKU]])</f>
        <v>474-COM-10856</v>
      </c>
      <c r="E544" s="152">
        <f>MouserListTable[[#This Row],[Tot '#]]-MouserListTable[[#This Row],['# Initial]]</f>
        <v>0</v>
      </c>
      <c r="F544" s="152">
        <f>IF(AND(MouserListTable[[#This Row],[Tag]]&lt;&gt;FilterSpecs!$F$12, MouserListTable[[#This Row],[Tag]]&lt;&gt;FilterSpecs!$F$9), MouserListTable[[#This Row],['#/Unit]]*FilterSpecs!$B$3+MouserListTable[[#This Row],[Extra Initial]],0)</f>
        <v>5</v>
      </c>
      <c r="G544" s="150" t="s">
        <v>431</v>
      </c>
      <c r="H544" s="150" t="s">
        <v>432</v>
      </c>
      <c r="I544" s="150" t="s">
        <v>433</v>
      </c>
      <c r="J544" s="150">
        <v>1</v>
      </c>
      <c r="K544" s="154">
        <v>0.5</v>
      </c>
      <c r="L544" s="150" t="s">
        <v>1897</v>
      </c>
      <c r="M544" s="150"/>
      <c r="N544" s="154">
        <f>MouserListTable[[#This Row],['# Initial]]*MouserListTable[[#This Row],[Price (USD)]]</f>
        <v>2.5</v>
      </c>
      <c r="O544" s="151" t="s">
        <v>430</v>
      </c>
      <c r="P544" s="150">
        <f t="shared" si="10"/>
        <v>531</v>
      </c>
      <c r="Q544" s="150" t="s">
        <v>5</v>
      </c>
      <c r="R54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474-COM-10856</v>
      </c>
      <c r="S544" s="157" t="str">
        <f>HYPERLINK("https://www.mouser.com/ProductDetail/" &amp;MouserListTable[[#This Row],[Mouser SKU]])</f>
        <v>https://www.mouser.com/ProductDetail/474-COM-10856</v>
      </c>
      <c r="T544" s="152">
        <v>1</v>
      </c>
      <c r="U544" s="152">
        <v>0</v>
      </c>
      <c r="V544" s="152">
        <v>0</v>
      </c>
      <c r="W544" s="152">
        <f>MouserListTable[[#This Row],['#/Unit]]*FilterSpecs!$C$3+MouserListTable[[#This Row],[Extra]]</f>
        <v>5</v>
      </c>
      <c r="X544" s="152">
        <f>IF(MouserListTable[[#This Row],[Tag]]=FilterSpecs!$F$7,MouserListTable[[#This Row],['#/Unit]]*MouserListTable[[#This Row],[Price (USD)]],0)</f>
        <v>0.5</v>
      </c>
      <c r="Y544" s="152">
        <f>MouserListTable[[#This Row],[Tot '#]]*MouserListTable[[#This Row],[Price (USD)]]</f>
        <v>2.5</v>
      </c>
    </row>
    <row r="545" spans="1:25" x14ac:dyDescent="0.25">
      <c r="A545" s="150" t="s">
        <v>890</v>
      </c>
      <c r="B545" s="150" t="s">
        <v>1004</v>
      </c>
      <c r="C545" s="150" t="s">
        <v>5</v>
      </c>
      <c r="D545" s="151" t="str">
        <f>IF(MouserListTable[[#This Row],[Vendor]]=FilterSpecs!$A$8,MouserListTable[[#This Row],[Mouser SKU]], MouserListTable[[#This Row],[Supplier SKU]])</f>
        <v>474-COM-10855</v>
      </c>
      <c r="E545" s="152">
        <f>MouserListTable[[#This Row],[Tot '#]]-MouserListTable[[#This Row],['# Initial]]</f>
        <v>0</v>
      </c>
      <c r="F545" s="152">
        <f>IF(AND(MouserListTable[[#This Row],[Tag]]&lt;&gt;FilterSpecs!$F$12, MouserListTable[[#This Row],[Tag]]&lt;&gt;FilterSpecs!$F$9), MouserListTable[[#This Row],['#/Unit]]*FilterSpecs!$B$3+MouserListTable[[#This Row],[Extra Initial]],0)</f>
        <v>5</v>
      </c>
      <c r="G545" s="150" t="s">
        <v>435</v>
      </c>
      <c r="H545" s="150" t="s">
        <v>436</v>
      </c>
      <c r="I545" s="150" t="s">
        <v>437</v>
      </c>
      <c r="J545" s="150">
        <v>1</v>
      </c>
      <c r="K545" s="154">
        <v>0.5</v>
      </c>
      <c r="L545" s="150" t="s">
        <v>1897</v>
      </c>
      <c r="M545" s="150"/>
      <c r="N545" s="154">
        <f>MouserListTable[[#This Row],['# Initial]]*MouserListTable[[#This Row],[Price (USD)]]</f>
        <v>2.5</v>
      </c>
      <c r="O545" s="151" t="s">
        <v>434</v>
      </c>
      <c r="P545" s="150">
        <f t="shared" si="10"/>
        <v>532</v>
      </c>
      <c r="Q545" s="150" t="s">
        <v>5</v>
      </c>
      <c r="R54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474-COM-10855</v>
      </c>
      <c r="S545" s="157" t="str">
        <f>HYPERLINK("https://www.mouser.com/ProductDetail/" &amp;MouserListTable[[#This Row],[Mouser SKU]])</f>
        <v>https://www.mouser.com/ProductDetail/474-COM-10855</v>
      </c>
      <c r="T545" s="152">
        <v>1</v>
      </c>
      <c r="U545" s="152">
        <v>0</v>
      </c>
      <c r="V545" s="152">
        <v>0</v>
      </c>
      <c r="W545" s="152">
        <f>MouserListTable[[#This Row],['#/Unit]]*FilterSpecs!$C$3+MouserListTable[[#This Row],[Extra]]</f>
        <v>5</v>
      </c>
      <c r="X545" s="152">
        <f>IF(MouserListTable[[#This Row],[Tag]]=FilterSpecs!$F$7,MouserListTable[[#This Row],['#/Unit]]*MouserListTable[[#This Row],[Price (USD)]],0)</f>
        <v>0.5</v>
      </c>
      <c r="Y545" s="152">
        <f>MouserListTable[[#This Row],[Tot '#]]*MouserListTable[[#This Row],[Price (USD)]]</f>
        <v>2.5</v>
      </c>
    </row>
    <row r="546" spans="1:25" x14ac:dyDescent="0.25">
      <c r="A546" s="150" t="s">
        <v>890</v>
      </c>
      <c r="B546" s="150" t="s">
        <v>1004</v>
      </c>
      <c r="C546" s="150" t="s">
        <v>5</v>
      </c>
      <c r="D546" s="151" t="str">
        <f>IF(MouserListTable[[#This Row],[Vendor]]=FilterSpecs!$A$8,MouserListTable[[#This Row],[Mouser SKU]], MouserListTable[[#This Row],[Supplier SKU]])</f>
        <v>474-COM-09120</v>
      </c>
      <c r="E546" s="152">
        <f>MouserListTable[[#This Row],[Tot '#]]-MouserListTable[[#This Row],['# Initial]]</f>
        <v>1</v>
      </c>
      <c r="F546" s="152">
        <f>IF(AND(MouserListTable[[#This Row],[Tag]]&lt;&gt;FilterSpecs!$F$12, MouserListTable[[#This Row],[Tag]]&lt;&gt;FilterSpecs!$F$9), MouserListTable[[#This Row],['#/Unit]]*FilterSpecs!$B$3+MouserListTable[[#This Row],[Extra Initial]],0)</f>
        <v>0</v>
      </c>
      <c r="G546" s="150" t="s">
        <v>1684</v>
      </c>
      <c r="H546" s="150" t="s">
        <v>1685</v>
      </c>
      <c r="I546" s="150" t="s">
        <v>1686</v>
      </c>
      <c r="J546" s="150">
        <v>1</v>
      </c>
      <c r="K546" s="154">
        <v>0.95</v>
      </c>
      <c r="L546" s="151" t="s">
        <v>1897</v>
      </c>
      <c r="M546" s="150"/>
      <c r="N546" s="154">
        <f>MouserListTable[[#This Row],['# Initial]]*MouserListTable[[#This Row],[Price (USD)]]</f>
        <v>0</v>
      </c>
      <c r="O546" s="151" t="s">
        <v>1683</v>
      </c>
      <c r="P546" s="150">
        <f t="shared" si="10"/>
        <v>533</v>
      </c>
      <c r="Q546" s="150" t="s">
        <v>5</v>
      </c>
      <c r="R54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474-COM-09120</v>
      </c>
      <c r="S546" s="157" t="str">
        <f>HYPERLINK("https://www.mouser.com/ProductDetail/" &amp;MouserListTable[[#This Row],[Mouser SKU]])</f>
        <v>https://www.mouser.com/ProductDetail/474-COM-09120</v>
      </c>
      <c r="T546" s="152">
        <v>0</v>
      </c>
      <c r="U546" s="152">
        <v>1</v>
      </c>
      <c r="V546" s="152">
        <v>0</v>
      </c>
      <c r="W546" s="152">
        <f>MouserListTable[[#This Row],['#/Unit]]*FilterSpecs!$C$3+MouserListTable[[#This Row],[Extra]]</f>
        <v>1</v>
      </c>
      <c r="X546" s="152">
        <f>IF(MouserListTable[[#This Row],[Tag]]=FilterSpecs!$F$7,MouserListTable[[#This Row],['#/Unit]]*MouserListTable[[#This Row],[Price (USD)]],0)</f>
        <v>0</v>
      </c>
      <c r="Y546" s="152">
        <f>MouserListTable[[#This Row],[Tot '#]]*MouserListTable[[#This Row],[Price (USD)]]</f>
        <v>0.95</v>
      </c>
    </row>
    <row r="547" spans="1:25" x14ac:dyDescent="0.25">
      <c r="A547" s="150" t="s">
        <v>890</v>
      </c>
      <c r="B547" s="150" t="s">
        <v>1004</v>
      </c>
      <c r="C547" s="150" t="s">
        <v>5</v>
      </c>
      <c r="D547" s="151" t="str">
        <f>IF(MouserListTable[[#This Row],[Vendor]]=FilterSpecs!$A$8,MouserListTable[[#This Row],[Mouser SKU]], MouserListTable[[#This Row],[Supplier SKU]])</f>
        <v>474-COM-11620</v>
      </c>
      <c r="E547" s="152">
        <f>MouserListTable[[#This Row],[Tot '#]]-MouserListTable[[#This Row],['# Initial]]</f>
        <v>1</v>
      </c>
      <c r="F547" s="152">
        <f>IF(AND(MouserListTable[[#This Row],[Tag]]&lt;&gt;FilterSpecs!$F$12, MouserListTable[[#This Row],[Tag]]&lt;&gt;FilterSpecs!$F$9), MouserListTable[[#This Row],['#/Unit]]*FilterSpecs!$B$3+MouserListTable[[#This Row],[Extra Initial]],0)</f>
        <v>0</v>
      </c>
      <c r="G547" s="150" t="s">
        <v>1688</v>
      </c>
      <c r="H547" s="150" t="s">
        <v>1689</v>
      </c>
      <c r="I547" s="150" t="s">
        <v>1690</v>
      </c>
      <c r="J547" s="150">
        <v>1</v>
      </c>
      <c r="K547" s="154">
        <v>1.95</v>
      </c>
      <c r="L547" s="150" t="s">
        <v>1896</v>
      </c>
      <c r="M547" s="150"/>
      <c r="N547" s="154">
        <f>MouserListTable[[#This Row],['# Initial]]*MouserListTable[[#This Row],[Price (USD)]]</f>
        <v>0</v>
      </c>
      <c r="O547" s="151" t="s">
        <v>1687</v>
      </c>
      <c r="P547" s="150">
        <f t="shared" si="10"/>
        <v>534</v>
      </c>
      <c r="Q547" s="150" t="s">
        <v>5</v>
      </c>
      <c r="R54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474-COM-11620</v>
      </c>
      <c r="S547" s="157" t="str">
        <f>HYPERLINK("https://www.mouser.com/ProductDetail/" &amp;MouserListTable[[#This Row],[Mouser SKU]])</f>
        <v>https://www.mouser.com/ProductDetail/474-COM-11620</v>
      </c>
      <c r="T547" s="152">
        <v>0</v>
      </c>
      <c r="U547" s="152">
        <v>1</v>
      </c>
      <c r="V547" s="152">
        <v>0</v>
      </c>
      <c r="W547" s="152">
        <f>MouserListTable[[#This Row],['#/Unit]]*FilterSpecs!$C$3+MouserListTable[[#This Row],[Extra]]</f>
        <v>1</v>
      </c>
      <c r="X547" s="152">
        <f>IF(MouserListTable[[#This Row],[Tag]]=FilterSpecs!$F$7,MouserListTable[[#This Row],['#/Unit]]*MouserListTable[[#This Row],[Price (USD)]],0)</f>
        <v>0</v>
      </c>
      <c r="Y547" s="152">
        <f>MouserListTable[[#This Row],[Tot '#]]*MouserListTable[[#This Row],[Price (USD)]]</f>
        <v>1.95</v>
      </c>
    </row>
    <row r="548" spans="1:25" x14ac:dyDescent="0.25">
      <c r="A548" s="150" t="s">
        <v>890</v>
      </c>
      <c r="B548" s="150" t="s">
        <v>1004</v>
      </c>
      <c r="C548" s="150" t="s">
        <v>5</v>
      </c>
      <c r="D548" s="151" t="str">
        <f>IF(MouserListTable[[#This Row],[Vendor]]=FilterSpecs!$A$8,MouserListTable[[#This Row],[Mouser SKU]], MouserListTable[[#This Row],[Supplier SKU]])</f>
        <v>474-COM-11621</v>
      </c>
      <c r="E548" s="152">
        <f>MouserListTable[[#This Row],[Tot '#]]-MouserListTable[[#This Row],['# Initial]]</f>
        <v>1</v>
      </c>
      <c r="F548" s="152">
        <f>IF(AND(MouserListTable[[#This Row],[Tag]]&lt;&gt;FilterSpecs!$F$12, MouserListTable[[#This Row],[Tag]]&lt;&gt;FilterSpecs!$F$9), MouserListTable[[#This Row],['#/Unit]]*FilterSpecs!$B$3+MouserListTable[[#This Row],[Extra Initial]],0)</f>
        <v>0</v>
      </c>
      <c r="G548" s="150" t="s">
        <v>1668</v>
      </c>
      <c r="H548" s="150" t="s">
        <v>1669</v>
      </c>
      <c r="I548" s="150" t="s">
        <v>1670</v>
      </c>
      <c r="J548" s="150">
        <v>1</v>
      </c>
      <c r="K548" s="154">
        <v>2.5</v>
      </c>
      <c r="L548" s="150" t="s">
        <v>1896</v>
      </c>
      <c r="M548" s="150"/>
      <c r="N548" s="154">
        <f>MouserListTable[[#This Row],['# Initial]]*MouserListTable[[#This Row],[Price (USD)]]</f>
        <v>0</v>
      </c>
      <c r="O548" s="151" t="s">
        <v>1667</v>
      </c>
      <c r="P548" s="150">
        <f t="shared" si="10"/>
        <v>535</v>
      </c>
      <c r="Q548" s="150" t="s">
        <v>5</v>
      </c>
      <c r="R54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474-COM-11621</v>
      </c>
      <c r="S548" s="157" t="str">
        <f>HYPERLINK("https://www.mouser.com/ProductDetail/" &amp;MouserListTable[[#This Row],[Mouser SKU]])</f>
        <v>https://www.mouser.com/ProductDetail/474-COM-11621</v>
      </c>
      <c r="T548" s="152">
        <v>0</v>
      </c>
      <c r="U548" s="152">
        <v>1</v>
      </c>
      <c r="V548" s="152">
        <v>0</v>
      </c>
      <c r="W548" s="152">
        <f>MouserListTable[[#This Row],['#/Unit]]*FilterSpecs!$C$3+MouserListTable[[#This Row],[Extra]]</f>
        <v>1</v>
      </c>
      <c r="X548" s="152">
        <f>IF(MouserListTable[[#This Row],[Tag]]=FilterSpecs!$F$7,MouserListTable[[#This Row],['#/Unit]]*MouserListTable[[#This Row],[Price (USD)]],0)</f>
        <v>0</v>
      </c>
      <c r="Y548" s="152">
        <f>MouserListTable[[#This Row],[Tot '#]]*MouserListTable[[#This Row],[Price (USD)]]</f>
        <v>2.5</v>
      </c>
    </row>
    <row r="549" spans="1:25" x14ac:dyDescent="0.25">
      <c r="A549" s="150" t="s">
        <v>890</v>
      </c>
      <c r="B549" s="150" t="s">
        <v>1004</v>
      </c>
      <c r="C549" s="150" t="s">
        <v>5</v>
      </c>
      <c r="D549" s="151" t="str">
        <f>IF(MouserListTable[[#This Row],[Vendor]]=FilterSpecs!$A$8,MouserListTable[[#This Row],[Mouser SKU]], MouserListTable[[#This Row],[Supplier SKU]])</f>
        <v>474-COM-09119</v>
      </c>
      <c r="E549" s="152">
        <f>MouserListTable[[#This Row],[Tot '#]]-MouserListTable[[#This Row],['# Initial]]</f>
        <v>1</v>
      </c>
      <c r="F549" s="152">
        <f>IF(AND(MouserListTable[[#This Row],[Tag]]&lt;&gt;FilterSpecs!$F$12, MouserListTable[[#This Row],[Tag]]&lt;&gt;FilterSpecs!$F$9), MouserListTable[[#This Row],['#/Unit]]*FilterSpecs!$B$3+MouserListTable[[#This Row],[Extra Initial]],0)</f>
        <v>0</v>
      </c>
      <c r="G549" s="150" t="s">
        <v>1822</v>
      </c>
      <c r="H549" s="150" t="s">
        <v>1823</v>
      </c>
      <c r="I549" s="150" t="s">
        <v>1824</v>
      </c>
      <c r="J549" s="150">
        <v>1</v>
      </c>
      <c r="K549" s="154">
        <v>2.95</v>
      </c>
      <c r="L549" s="150" t="s">
        <v>1896</v>
      </c>
      <c r="M549" s="150"/>
      <c r="N549" s="154">
        <f>MouserListTable[[#This Row],['# Initial]]*MouserListTable[[#This Row],[Price (USD)]]</f>
        <v>0</v>
      </c>
      <c r="O549" s="151" t="s">
        <v>1821</v>
      </c>
      <c r="P549" s="150">
        <f t="shared" si="10"/>
        <v>536</v>
      </c>
      <c r="Q549" s="150" t="s">
        <v>5</v>
      </c>
      <c r="R54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474-COM-09119</v>
      </c>
      <c r="S549" s="157" t="str">
        <f>HYPERLINK("https://www.mouser.com/ProductDetail/" &amp;MouserListTable[[#This Row],[Mouser SKU]])</f>
        <v>https://www.mouser.com/ProductDetail/474-COM-09119</v>
      </c>
      <c r="T549" s="152">
        <v>0</v>
      </c>
      <c r="U549" s="152">
        <v>1</v>
      </c>
      <c r="V549" s="152">
        <v>0</v>
      </c>
      <c r="W549" s="152">
        <f>MouserListTable[[#This Row],['#/Unit]]*FilterSpecs!$C$3+MouserListTable[[#This Row],[Extra]]</f>
        <v>1</v>
      </c>
      <c r="X549" s="152">
        <f>IF(MouserListTable[[#This Row],[Tag]]=FilterSpecs!$F$7,MouserListTable[[#This Row],['#/Unit]]*MouserListTable[[#This Row],[Price (USD)]],0)</f>
        <v>0</v>
      </c>
      <c r="Y549" s="152">
        <f>MouserListTable[[#This Row],[Tot '#]]*MouserListTable[[#This Row],[Price (USD)]]</f>
        <v>2.95</v>
      </c>
    </row>
    <row r="550" spans="1:25" x14ac:dyDescent="0.25">
      <c r="A550" s="150" t="s">
        <v>890</v>
      </c>
      <c r="B550" s="150" t="s">
        <v>1004</v>
      </c>
      <c r="C550" s="150" t="s">
        <v>5</v>
      </c>
      <c r="D550" s="151" t="str">
        <f>IF(MouserListTable[[#This Row],[Vendor]]=FilterSpecs!$A$8,MouserListTable[[#This Row],[Mouser SKU]], MouserListTable[[#This Row],[Supplier SKU]])</f>
        <v>474-COM-09806</v>
      </c>
      <c r="E550" s="152">
        <f>MouserListTable[[#This Row],[Tot '#]]-MouserListTable[[#This Row],['# Initial]]</f>
        <v>0</v>
      </c>
      <c r="F550" s="152">
        <f>IF(AND(MouserListTable[[#This Row],[Tag]]&lt;&gt;FilterSpecs!$F$12, MouserListTable[[#This Row],[Tag]]&lt;&gt;FilterSpecs!$F$9), MouserListTable[[#This Row],['#/Unit]]*FilterSpecs!$B$3+MouserListTable[[#This Row],[Extra Initial]],0)</f>
        <v>5</v>
      </c>
      <c r="G550" s="150" t="s">
        <v>605</v>
      </c>
      <c r="H550" s="150" t="s">
        <v>606</v>
      </c>
      <c r="I550" s="150" t="s">
        <v>607</v>
      </c>
      <c r="J550" s="150">
        <v>1</v>
      </c>
      <c r="K550" s="154">
        <v>0.95</v>
      </c>
      <c r="L550" s="150" t="s">
        <v>1897</v>
      </c>
      <c r="M550" s="150"/>
      <c r="N550" s="154">
        <f>MouserListTable[[#This Row],['# Initial]]*MouserListTable[[#This Row],[Price (USD)]]</f>
        <v>4.75</v>
      </c>
      <c r="O550" s="151" t="s">
        <v>604</v>
      </c>
      <c r="P550" s="150">
        <f t="shared" si="10"/>
        <v>537</v>
      </c>
      <c r="Q550" s="150" t="s">
        <v>5</v>
      </c>
      <c r="R55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474-COM-09806</v>
      </c>
      <c r="S550" s="157" t="str">
        <f>HYPERLINK("https://www.mouser.com/ProductDetail/" &amp;MouserListTable[[#This Row],[Mouser SKU]])</f>
        <v>https://www.mouser.com/ProductDetail/474-COM-09806</v>
      </c>
      <c r="T550" s="152">
        <v>1</v>
      </c>
      <c r="U550" s="152">
        <v>0</v>
      </c>
      <c r="V550" s="152">
        <v>0</v>
      </c>
      <c r="W550" s="152">
        <f>MouserListTable[[#This Row],['#/Unit]]*FilterSpecs!$C$3+MouserListTable[[#This Row],[Extra]]</f>
        <v>5</v>
      </c>
      <c r="X550" s="152">
        <f>IF(MouserListTable[[#This Row],[Tag]]=FilterSpecs!$F$7,MouserListTable[[#This Row],['#/Unit]]*MouserListTable[[#This Row],[Price (USD)]],0)</f>
        <v>0.95</v>
      </c>
      <c r="Y550" s="152">
        <f>MouserListTable[[#This Row],[Tot '#]]*MouserListTable[[#This Row],[Price (USD)]]</f>
        <v>4.75</v>
      </c>
    </row>
    <row r="551" spans="1:25" x14ac:dyDescent="0.25">
      <c r="A551" s="150" t="s">
        <v>890</v>
      </c>
      <c r="B551" s="150" t="s">
        <v>1004</v>
      </c>
      <c r="C551" s="150" t="s">
        <v>5</v>
      </c>
      <c r="D551" s="151" t="str">
        <f>IF(MouserListTable[[#This Row],[Vendor]]=FilterSpecs!$A$8,MouserListTable[[#This Row],[Mouser SKU]], MouserListTable[[#This Row],[Supplier SKU]])</f>
        <v>474-KIT-13698</v>
      </c>
      <c r="E551" s="152">
        <f>MouserListTable[[#This Row],[Tot '#]]-MouserListTable[[#This Row],['# Initial]]</f>
        <v>0</v>
      </c>
      <c r="F551" s="152">
        <f>IF(AND(MouserListTable[[#This Row],[Tag]]&lt;&gt;FilterSpecs!$F$12, MouserListTable[[#This Row],[Tag]]&lt;&gt;FilterSpecs!$F$9), MouserListTable[[#This Row],['#/Unit]]*FilterSpecs!$B$3+MouserListTable[[#This Row],[Extra Initial]],0)</f>
        <v>1</v>
      </c>
      <c r="G551" s="150" t="s">
        <v>369</v>
      </c>
      <c r="H551" s="150" t="s">
        <v>370</v>
      </c>
      <c r="I551" s="150" t="s">
        <v>371</v>
      </c>
      <c r="J551" s="150"/>
      <c r="K551" s="154">
        <v>6.95</v>
      </c>
      <c r="L551" s="150" t="s">
        <v>1896</v>
      </c>
      <c r="M551" s="150"/>
      <c r="N551" s="154">
        <f>MouserListTable[[#This Row],['# Initial]]*MouserListTable[[#This Row],[Price (USD)]]</f>
        <v>6.95</v>
      </c>
      <c r="O551" s="151" t="s">
        <v>368</v>
      </c>
      <c r="P551" s="150">
        <f t="shared" si="10"/>
        <v>538</v>
      </c>
      <c r="Q551" s="150" t="s">
        <v>5</v>
      </c>
      <c r="R55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474-KIT-13698</v>
      </c>
      <c r="S551" s="157" t="str">
        <f>HYPERLINK("https://www.mouser.com/ProductDetail/" &amp;MouserListTable[[#This Row],[Mouser SKU]])</f>
        <v>https://www.mouser.com/ProductDetail/474-KIT-13698</v>
      </c>
      <c r="T551" s="152">
        <v>0</v>
      </c>
      <c r="U551" s="152">
        <v>1</v>
      </c>
      <c r="V551" s="152">
        <v>1</v>
      </c>
      <c r="W551" s="152">
        <f>MouserListTable[[#This Row],['#/Unit]]*FilterSpecs!$C$3+MouserListTable[[#This Row],[Extra]]</f>
        <v>1</v>
      </c>
      <c r="X551" s="152">
        <f>IF(MouserListTable[[#This Row],[Tag]]=FilterSpecs!$F$7,MouserListTable[[#This Row],['#/Unit]]*MouserListTable[[#This Row],[Price (USD)]],0)</f>
        <v>0</v>
      </c>
      <c r="Y551" s="152">
        <f>MouserListTable[[#This Row],[Tot '#]]*MouserListTable[[#This Row],[Price (USD)]]</f>
        <v>6.95</v>
      </c>
    </row>
    <row r="552" spans="1:25" x14ac:dyDescent="0.25">
      <c r="A552" s="150" t="s">
        <v>890</v>
      </c>
      <c r="B552" s="150" t="s">
        <v>1004</v>
      </c>
      <c r="C552" s="150" t="s">
        <v>5</v>
      </c>
      <c r="D552" s="151" t="str">
        <f>IF(MouserListTable[[#This Row],[Vendor]]=FilterSpecs!$A$8,MouserListTable[[#This Row],[Mouser SKU]], MouserListTable[[#This Row],[Supplier SKU]])</f>
        <v>474-COM-00096</v>
      </c>
      <c r="E552" s="152">
        <f>MouserListTable[[#This Row],[Tot '#]]-MouserListTable[[#This Row],['# Initial]]</f>
        <v>0</v>
      </c>
      <c r="F552" s="152">
        <f>IF(AND(MouserListTable[[#This Row],[Tag]]&lt;&gt;FilterSpecs!$F$12, MouserListTable[[#This Row],[Tag]]&lt;&gt;FilterSpecs!$F$9), MouserListTable[[#This Row],['#/Unit]]*FilterSpecs!$B$3+MouserListTable[[#This Row],[Extra Initial]],0)</f>
        <v>5</v>
      </c>
      <c r="G552" s="150" t="s">
        <v>721</v>
      </c>
      <c r="H552" s="150" t="s">
        <v>722</v>
      </c>
      <c r="I552" s="150" t="s">
        <v>723</v>
      </c>
      <c r="J552" s="150">
        <v>1</v>
      </c>
      <c r="K552" s="154">
        <v>0.35</v>
      </c>
      <c r="L552" s="150" t="s">
        <v>1897</v>
      </c>
      <c r="M552" s="150"/>
      <c r="N552" s="154">
        <f>MouserListTable[[#This Row],['# Initial]]*MouserListTable[[#This Row],[Price (USD)]]</f>
        <v>1.75</v>
      </c>
      <c r="O552" s="151" t="s">
        <v>720</v>
      </c>
      <c r="P552" s="150">
        <f t="shared" si="10"/>
        <v>539</v>
      </c>
      <c r="Q552" s="150" t="s">
        <v>5</v>
      </c>
      <c r="R55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474-COM-00096</v>
      </c>
      <c r="S552" s="157" t="str">
        <f>HYPERLINK("https://www.mouser.com/ProductDetail/" &amp;MouserListTable[[#This Row],[Mouser SKU]])</f>
        <v>https://www.mouser.com/ProductDetail/474-COM-00096</v>
      </c>
      <c r="T552" s="152">
        <v>1</v>
      </c>
      <c r="U552" s="152">
        <v>0</v>
      </c>
      <c r="V552" s="152">
        <v>0</v>
      </c>
      <c r="W552" s="152">
        <f>MouserListTable[[#This Row],['#/Unit]]*FilterSpecs!$C$3+MouserListTable[[#This Row],[Extra]]</f>
        <v>5</v>
      </c>
      <c r="X552" s="152">
        <f>IF(MouserListTable[[#This Row],[Tag]]=FilterSpecs!$F$7,MouserListTable[[#This Row],['#/Unit]]*MouserListTable[[#This Row],[Price (USD)]],0)</f>
        <v>0.35</v>
      </c>
      <c r="Y552" s="152">
        <f>MouserListTable[[#This Row],[Tot '#]]*MouserListTable[[#This Row],[Price (USD)]]</f>
        <v>1.75</v>
      </c>
    </row>
    <row r="553" spans="1:25" x14ac:dyDescent="0.25">
      <c r="A553" s="150" t="s">
        <v>890</v>
      </c>
      <c r="B553" s="150" t="s">
        <v>1004</v>
      </c>
      <c r="C553" s="150" t="s">
        <v>5</v>
      </c>
      <c r="D553" s="151" t="str">
        <f>IF(MouserListTable[[#This Row],[Vendor]]=FilterSpecs!$A$8,MouserListTable[[#This Row],[Mouser SKU]], MouserListTable[[#This Row],[Supplier SKU]])</f>
        <v>474-COM-00523</v>
      </c>
      <c r="E553" s="152">
        <f>MouserListTable[[#This Row],[Tot '#]]-MouserListTable[[#This Row],['# Initial]]</f>
        <v>0</v>
      </c>
      <c r="F553" s="152">
        <f>IF(AND(MouserListTable[[#This Row],[Tag]]&lt;&gt;FilterSpecs!$F$12, MouserListTable[[#This Row],[Tag]]&lt;&gt;FilterSpecs!$F$9), MouserListTable[[#This Row],['#/Unit]]*FilterSpecs!$B$3+MouserListTable[[#This Row],[Extra Initial]],0)</f>
        <v>5</v>
      </c>
      <c r="G553" s="150" t="s">
        <v>717</v>
      </c>
      <c r="H553" s="150" t="s">
        <v>718</v>
      </c>
      <c r="I553" s="150" t="s">
        <v>719</v>
      </c>
      <c r="J553" s="150">
        <v>1</v>
      </c>
      <c r="K553" s="154">
        <v>0.45</v>
      </c>
      <c r="L553" s="150" t="s">
        <v>1897</v>
      </c>
      <c r="M553" s="150"/>
      <c r="N553" s="154">
        <f>MouserListTable[[#This Row],['# Initial]]*MouserListTable[[#This Row],[Price (USD)]]</f>
        <v>2.25</v>
      </c>
      <c r="O553" s="151" t="s">
        <v>716</v>
      </c>
      <c r="P553" s="150">
        <f t="shared" si="10"/>
        <v>540</v>
      </c>
      <c r="Q553" s="150" t="s">
        <v>5</v>
      </c>
      <c r="R55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474-COM-00523</v>
      </c>
      <c r="S553" s="157" t="str">
        <f>HYPERLINK("https://www.mouser.com/ProductDetail/" &amp;MouserListTable[[#This Row],[Mouser SKU]])</f>
        <v>https://www.mouser.com/ProductDetail/474-COM-00523</v>
      </c>
      <c r="T553" s="152">
        <v>1</v>
      </c>
      <c r="U553" s="152">
        <v>0</v>
      </c>
      <c r="V553" s="152">
        <v>0</v>
      </c>
      <c r="W553" s="152">
        <f>MouserListTable[[#This Row],['#/Unit]]*FilterSpecs!$C$3+MouserListTable[[#This Row],[Extra]]</f>
        <v>5</v>
      </c>
      <c r="X553" s="152">
        <f>IF(MouserListTable[[#This Row],[Tag]]=FilterSpecs!$F$7,MouserListTable[[#This Row],['#/Unit]]*MouserListTable[[#This Row],[Price (USD)]],0)</f>
        <v>0.45</v>
      </c>
      <c r="Y553" s="152">
        <f>MouserListTable[[#This Row],[Tot '#]]*MouserListTable[[#This Row],[Price (USD)]]</f>
        <v>2.25</v>
      </c>
    </row>
    <row r="554" spans="1:25" x14ac:dyDescent="0.25">
      <c r="A554" s="150" t="s">
        <v>890</v>
      </c>
      <c r="B554" s="150" t="s">
        <v>1004</v>
      </c>
      <c r="C554" s="150" t="s">
        <v>5</v>
      </c>
      <c r="D554" s="151" t="str">
        <f>IF(MouserListTable[[#This Row],[Vendor]]=FilterSpecs!$A$8,MouserListTable[[#This Row],[Mouser SKU]], MouserListTable[[#This Row],[Supplier SKU]])</f>
        <v>474-COM-00746</v>
      </c>
      <c r="E554" s="152">
        <f>MouserListTable[[#This Row],[Tot '#]]-MouserListTable[[#This Row],['# Initial]]</f>
        <v>3</v>
      </c>
      <c r="F554" s="152">
        <f>IF(AND(MouserListTable[[#This Row],[Tag]]&lt;&gt;FilterSpecs!$F$12, MouserListTable[[#This Row],[Tag]]&lt;&gt;FilterSpecs!$F$9), MouserListTable[[#This Row],['#/Unit]]*FilterSpecs!$B$3+MouserListTable[[#This Row],[Extra Initial]],0)</f>
        <v>0</v>
      </c>
      <c r="G554" s="150" t="s">
        <v>709</v>
      </c>
      <c r="H554" s="150" t="s">
        <v>710</v>
      </c>
      <c r="I554" s="150" t="s">
        <v>711</v>
      </c>
      <c r="J554" s="150">
        <v>1</v>
      </c>
      <c r="K554" s="154">
        <v>4.95</v>
      </c>
      <c r="L554" s="150" t="s">
        <v>1896</v>
      </c>
      <c r="M554" s="150"/>
      <c r="N554" s="154">
        <f>MouserListTable[[#This Row],['# Initial]]*MouserListTable[[#This Row],[Price (USD)]]</f>
        <v>0</v>
      </c>
      <c r="O554" s="151" t="s">
        <v>708</v>
      </c>
      <c r="P554" s="150">
        <f t="shared" si="10"/>
        <v>541</v>
      </c>
      <c r="Q554" s="150" t="s">
        <v>5</v>
      </c>
      <c r="R55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474-COM-00746</v>
      </c>
      <c r="S554" s="157" t="str">
        <f>HYPERLINK("https://www.mouser.com/ProductDetail/" &amp;MouserListTable[[#This Row],[Mouser SKU]])</f>
        <v>https://www.mouser.com/ProductDetail/474-COM-00746</v>
      </c>
      <c r="T554" s="152">
        <v>0</v>
      </c>
      <c r="U554" s="152">
        <v>3</v>
      </c>
      <c r="V554" s="152">
        <v>0</v>
      </c>
      <c r="W554" s="152">
        <f>MouserListTable[[#This Row],['#/Unit]]*FilterSpecs!$C$3+MouserListTable[[#This Row],[Extra]]</f>
        <v>3</v>
      </c>
      <c r="X554" s="152">
        <f>IF(MouserListTable[[#This Row],[Tag]]=FilterSpecs!$F$7,MouserListTable[[#This Row],['#/Unit]]*MouserListTable[[#This Row],[Price (USD)]],0)</f>
        <v>0</v>
      </c>
      <c r="Y554" s="152">
        <f>MouserListTable[[#This Row],[Tot '#]]*MouserListTable[[#This Row],[Price (USD)]]</f>
        <v>14.850000000000001</v>
      </c>
    </row>
    <row r="555" spans="1:25" x14ac:dyDescent="0.25">
      <c r="A555" s="150" t="s">
        <v>890</v>
      </c>
      <c r="B555" s="150" t="s">
        <v>1004</v>
      </c>
      <c r="C555" s="150" t="s">
        <v>5</v>
      </c>
      <c r="D555" s="151" t="str">
        <f>IF(MouserListTable[[#This Row],[Vendor]]=FilterSpecs!$A$8,MouserListTable[[#This Row],[Mouser SKU]], MouserListTable[[#This Row],[Supplier SKU]])</f>
        <v>474-SEN-00250</v>
      </c>
      <c r="E555" s="152">
        <f>MouserListTable[[#This Row],[Tot '#]]-MouserListTable[[#This Row],['# Initial]]</f>
        <v>0</v>
      </c>
      <c r="F555" s="152">
        <f>IF(AND(MouserListTable[[#This Row],[Tag]]&lt;&gt;FilterSpecs!$F$12, MouserListTable[[#This Row],[Tag]]&lt;&gt;FilterSpecs!$F$9), MouserListTable[[#This Row],['#/Unit]]*FilterSpecs!$B$3+MouserListTable[[#This Row],[Extra Initial]],0)</f>
        <v>10</v>
      </c>
      <c r="G555" s="150" t="s">
        <v>705</v>
      </c>
      <c r="H555" s="150" t="s">
        <v>706</v>
      </c>
      <c r="I555" s="150" t="s">
        <v>707</v>
      </c>
      <c r="J555" s="150">
        <v>1</v>
      </c>
      <c r="K555" s="154">
        <v>0.75</v>
      </c>
      <c r="L555" s="150" t="s">
        <v>1897</v>
      </c>
      <c r="M555" s="150"/>
      <c r="N555" s="154">
        <f>MouserListTable[[#This Row],['# Initial]]*MouserListTable[[#This Row],[Price (USD)]]</f>
        <v>7.5</v>
      </c>
      <c r="O555" s="151" t="s">
        <v>704</v>
      </c>
      <c r="P555" s="150">
        <f t="shared" si="10"/>
        <v>542</v>
      </c>
      <c r="Q555" s="150" t="s">
        <v>5</v>
      </c>
      <c r="R55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474-SEN-00250</v>
      </c>
      <c r="S555" s="157" t="str">
        <f>HYPERLINK("https://www.mouser.com/ProductDetail/" &amp;MouserListTable[[#This Row],[Mouser SKU]])</f>
        <v>https://www.mouser.com/ProductDetail/474-SEN-00250</v>
      </c>
      <c r="T555" s="152">
        <v>2</v>
      </c>
      <c r="U555" s="152">
        <v>0</v>
      </c>
      <c r="V555" s="152">
        <v>0</v>
      </c>
      <c r="W555" s="152">
        <f>MouserListTable[[#This Row],['#/Unit]]*FilterSpecs!$C$3+MouserListTable[[#This Row],[Extra]]</f>
        <v>10</v>
      </c>
      <c r="X555" s="152">
        <f>IF(MouserListTable[[#This Row],[Tag]]=FilterSpecs!$F$7,MouserListTable[[#This Row],['#/Unit]]*MouserListTable[[#This Row],[Price (USD)]],0)</f>
        <v>1.5</v>
      </c>
      <c r="Y555" s="152">
        <f>MouserListTable[[#This Row],[Tot '#]]*MouserListTable[[#This Row],[Price (USD)]]</f>
        <v>7.5</v>
      </c>
    </row>
    <row r="556" spans="1:25" x14ac:dyDescent="0.25">
      <c r="A556" s="150" t="s">
        <v>890</v>
      </c>
      <c r="B556" s="150" t="s">
        <v>1004</v>
      </c>
      <c r="C556" s="150" t="s">
        <v>5</v>
      </c>
      <c r="D556" s="151" t="str">
        <f>IF(MouserListTable[[#This Row],[Vendor]]=FilterSpecs!$A$8,MouserListTable[[#This Row],[Mouser SKU]], MouserListTable[[#This Row],[Supplier SKU]])</f>
        <v>474-COM-08589</v>
      </c>
      <c r="E556" s="152">
        <f>MouserListTable[[#This Row],[Tot '#]]-MouserListTable[[#This Row],['# Initial]]</f>
        <v>0</v>
      </c>
      <c r="F556" s="152">
        <f>IF(AND(MouserListTable[[#This Row],[Tag]]&lt;&gt;FilterSpecs!$F$12, MouserListTable[[#This Row],[Tag]]&lt;&gt;FilterSpecs!$F$9), MouserListTable[[#This Row],['#/Unit]]*FilterSpecs!$B$3+MouserListTable[[#This Row],[Extra Initial]],0)</f>
        <v>10</v>
      </c>
      <c r="G556" s="150" t="s">
        <v>419</v>
      </c>
      <c r="H556" s="150" t="s">
        <v>420</v>
      </c>
      <c r="I556" s="150" t="s">
        <v>421</v>
      </c>
      <c r="J556" s="150">
        <v>1</v>
      </c>
      <c r="K556" s="154">
        <v>0.15</v>
      </c>
      <c r="L556" s="150" t="s">
        <v>1897</v>
      </c>
      <c r="M556" s="150"/>
      <c r="N556" s="154">
        <f>MouserListTable[[#This Row],['# Initial]]*MouserListTable[[#This Row],[Price (USD)]]</f>
        <v>1.5</v>
      </c>
      <c r="O556" s="151" t="s">
        <v>418</v>
      </c>
      <c r="P556" s="150">
        <f t="shared" si="10"/>
        <v>543</v>
      </c>
      <c r="Q556" s="150" t="s">
        <v>5</v>
      </c>
      <c r="R55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474-COM-08589</v>
      </c>
      <c r="S556" s="157" t="str">
        <f>HYPERLINK("https://www.mouser.com/ProductDetail/" &amp;MouserListTable[[#This Row],[Mouser SKU]])</f>
        <v>https://www.mouser.com/ProductDetail/474-COM-08589</v>
      </c>
      <c r="T556" s="152">
        <v>2</v>
      </c>
      <c r="U556" s="152">
        <v>0</v>
      </c>
      <c r="V556" s="152">
        <v>0</v>
      </c>
      <c r="W556" s="152">
        <f>MouserListTable[[#This Row],['#/Unit]]*FilterSpecs!$C$3+MouserListTable[[#This Row],[Extra]]</f>
        <v>10</v>
      </c>
      <c r="X556" s="152">
        <f>IF(MouserListTable[[#This Row],[Tag]]=FilterSpecs!$F$7,MouserListTable[[#This Row],['#/Unit]]*MouserListTable[[#This Row],[Price (USD)]],0)</f>
        <v>0.3</v>
      </c>
      <c r="Y556" s="152">
        <f>MouserListTable[[#This Row],[Tot '#]]*MouserListTable[[#This Row],[Price (USD)]]</f>
        <v>1.5</v>
      </c>
    </row>
    <row r="557" spans="1:25" x14ac:dyDescent="0.25">
      <c r="A557" s="150" t="s">
        <v>890</v>
      </c>
      <c r="B557" s="150" t="s">
        <v>1004</v>
      </c>
      <c r="C557" s="150" t="s">
        <v>5</v>
      </c>
      <c r="D557" s="151" t="str">
        <f>IF(MouserListTable[[#This Row],[Vendor]]=FilterSpecs!$A$8,MouserListTable[[#This Row],[Mouser SKU]], MouserListTable[[#This Row],[Supplier SKU]])</f>
        <v>474-COM-08588</v>
      </c>
      <c r="E557" s="152">
        <f>MouserListTable[[#This Row],[Tot '#]]-MouserListTable[[#This Row],['# Initial]]</f>
        <v>0</v>
      </c>
      <c r="F557" s="152">
        <f>IF(AND(MouserListTable[[#This Row],[Tag]]&lt;&gt;FilterSpecs!$F$12, MouserListTable[[#This Row],[Tag]]&lt;&gt;FilterSpecs!$F$9), MouserListTable[[#This Row],['#/Unit]]*FilterSpecs!$B$3+MouserListTable[[#This Row],[Extra Initial]],0)</f>
        <v>10</v>
      </c>
      <c r="G557" s="150" t="s">
        <v>423</v>
      </c>
      <c r="H557" s="150" t="s">
        <v>424</v>
      </c>
      <c r="I557" s="150" t="s">
        <v>425</v>
      </c>
      <c r="J557" s="150">
        <v>1</v>
      </c>
      <c r="K557" s="154">
        <v>0.15</v>
      </c>
      <c r="L557" s="150" t="s">
        <v>1897</v>
      </c>
      <c r="M557" s="150"/>
      <c r="N557" s="154">
        <f>MouserListTable[[#This Row],['# Initial]]*MouserListTable[[#This Row],[Price (USD)]]</f>
        <v>1.5</v>
      </c>
      <c r="O557" s="151" t="s">
        <v>422</v>
      </c>
      <c r="P557" s="150">
        <f t="shared" si="10"/>
        <v>544</v>
      </c>
      <c r="Q557" s="150" t="s">
        <v>5</v>
      </c>
      <c r="R55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474-COM-08588</v>
      </c>
      <c r="S557" s="157" t="str">
        <f>HYPERLINK("https://www.mouser.com/ProductDetail/" &amp;MouserListTable[[#This Row],[Mouser SKU]])</f>
        <v>https://www.mouser.com/ProductDetail/474-COM-08588</v>
      </c>
      <c r="T557" s="152">
        <v>2</v>
      </c>
      <c r="U557" s="152">
        <v>0</v>
      </c>
      <c r="V557" s="152">
        <v>0</v>
      </c>
      <c r="W557" s="152">
        <f>MouserListTable[[#This Row],['#/Unit]]*FilterSpecs!$C$3+MouserListTable[[#This Row],[Extra]]</f>
        <v>10</v>
      </c>
      <c r="X557" s="152">
        <f>IF(MouserListTable[[#This Row],[Tag]]=FilterSpecs!$F$7,MouserListTable[[#This Row],['#/Unit]]*MouserListTable[[#This Row],[Price (USD)]],0)</f>
        <v>0.3</v>
      </c>
      <c r="Y557" s="152">
        <f>MouserListTable[[#This Row],[Tot '#]]*MouserListTable[[#This Row],[Price (USD)]]</f>
        <v>1.5</v>
      </c>
    </row>
    <row r="558" spans="1:25" x14ac:dyDescent="0.25">
      <c r="A558" s="150" t="s">
        <v>890</v>
      </c>
      <c r="B558" s="150" t="s">
        <v>1004</v>
      </c>
      <c r="C558" s="150" t="s">
        <v>5</v>
      </c>
      <c r="D558" s="151" t="str">
        <f>IF(MouserListTable[[#This Row],[Vendor]]=FilterSpecs!$A$8,MouserListTable[[#This Row],[Mouser SKU]], MouserListTable[[#This Row],[Supplier SKU]])</f>
        <v>474-COM-10926</v>
      </c>
      <c r="E558" s="152">
        <f>MouserListTable[[#This Row],[Tot '#]]-MouserListTable[[#This Row],['# Initial]]</f>
        <v>0</v>
      </c>
      <c r="F558" s="152">
        <f>IF(AND(MouserListTable[[#This Row],[Tag]]&lt;&gt;FilterSpecs!$F$12, MouserListTable[[#This Row],[Tag]]&lt;&gt;FilterSpecs!$F$9), MouserListTable[[#This Row],['#/Unit]]*FilterSpecs!$B$3+MouserListTable[[#This Row],[Extra Initial]],0)</f>
        <v>10</v>
      </c>
      <c r="G558" s="150" t="s">
        <v>665</v>
      </c>
      <c r="H558" s="150" t="s">
        <v>666</v>
      </c>
      <c r="I558" s="150" t="s">
        <v>667</v>
      </c>
      <c r="J558" s="150">
        <v>1</v>
      </c>
      <c r="K558" s="154">
        <v>0.15</v>
      </c>
      <c r="L558" s="150" t="s">
        <v>1897</v>
      </c>
      <c r="M558" s="150"/>
      <c r="N558" s="154">
        <f>MouserListTable[[#This Row],['# Initial]]*MouserListTable[[#This Row],[Price (USD)]]</f>
        <v>1.5</v>
      </c>
      <c r="O558" s="151" t="s">
        <v>664</v>
      </c>
      <c r="P558" s="150">
        <f t="shared" si="10"/>
        <v>545</v>
      </c>
      <c r="Q558" s="150" t="s">
        <v>5</v>
      </c>
      <c r="R55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474-COM-10926</v>
      </c>
      <c r="S558" s="157" t="str">
        <f>HYPERLINK("https://www.mouser.com/ProductDetail/" &amp;MouserListTable[[#This Row],[Mouser SKU]])</f>
        <v>https://www.mouser.com/ProductDetail/474-COM-10926</v>
      </c>
      <c r="T558" s="152">
        <v>2</v>
      </c>
      <c r="U558" s="152">
        <v>0</v>
      </c>
      <c r="V558" s="152">
        <v>0</v>
      </c>
      <c r="W558" s="152">
        <f>MouserListTable[[#This Row],['#/Unit]]*FilterSpecs!$C$3+MouserListTable[[#This Row],[Extra]]</f>
        <v>10</v>
      </c>
      <c r="X558" s="152">
        <f>IF(MouserListTable[[#This Row],[Tag]]=FilterSpecs!$F$7,MouserListTable[[#This Row],['#/Unit]]*MouserListTable[[#This Row],[Price (USD)]],0)</f>
        <v>0.3</v>
      </c>
      <c r="Y558" s="152">
        <f>MouserListTable[[#This Row],[Tot '#]]*MouserListTable[[#This Row],[Price (USD)]]</f>
        <v>1.5</v>
      </c>
    </row>
    <row r="559" spans="1:25" x14ac:dyDescent="0.25">
      <c r="A559" s="150" t="s">
        <v>890</v>
      </c>
      <c r="B559" s="150" t="s">
        <v>1004</v>
      </c>
      <c r="C559" s="150" t="s">
        <v>5</v>
      </c>
      <c r="D559" s="151" t="str">
        <f>IF(MouserListTable[[#This Row],[Vendor]]=FilterSpecs!$A$8,MouserListTable[[#This Row],[Mouser SKU]], MouserListTable[[#This Row],[Supplier SKU]])</f>
        <v>474-COM-10301</v>
      </c>
      <c r="E559" s="152">
        <f>MouserListTable[[#This Row],[Tot '#]]-MouserListTable[[#This Row],['# Initial]]</f>
        <v>10</v>
      </c>
      <c r="F559" s="152">
        <f>IF(AND(MouserListTable[[#This Row],[Tag]]&lt;&gt;FilterSpecs!$F$12, MouserListTable[[#This Row],[Tag]]&lt;&gt;FilterSpecs!$F$9), MouserListTable[[#This Row],['#/Unit]]*FilterSpecs!$B$3+MouserListTable[[#This Row],[Extra Initial]],0)</f>
        <v>0</v>
      </c>
      <c r="G559" s="150" t="s">
        <v>415</v>
      </c>
      <c r="H559" s="150" t="s">
        <v>416</v>
      </c>
      <c r="I559" s="150" t="s">
        <v>417</v>
      </c>
      <c r="J559" s="150">
        <v>1</v>
      </c>
      <c r="K559" s="154">
        <v>0.25</v>
      </c>
      <c r="L559" s="150" t="s">
        <v>2461</v>
      </c>
      <c r="M559" s="150"/>
      <c r="N559" s="154">
        <f>MouserListTable[[#This Row],['# Initial]]*MouserListTable[[#This Row],[Price (USD)]]</f>
        <v>0</v>
      </c>
      <c r="O559" s="151" t="s">
        <v>414</v>
      </c>
      <c r="P559" s="150">
        <f t="shared" si="10"/>
        <v>546</v>
      </c>
      <c r="Q559" s="150" t="s">
        <v>5</v>
      </c>
      <c r="R55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474-COM-10301</v>
      </c>
      <c r="S559" s="157" t="str">
        <f>HYPERLINK("https://www.mouser.com/ProductDetail/" &amp;MouserListTable[[#This Row],[Mouser SKU]])</f>
        <v>https://www.mouser.com/ProductDetail/474-COM-10301</v>
      </c>
      <c r="T559" s="152">
        <v>2</v>
      </c>
      <c r="U559" s="152">
        <v>0</v>
      </c>
      <c r="V559" s="152">
        <v>0</v>
      </c>
      <c r="W559" s="152">
        <f>MouserListTable[[#This Row],['#/Unit]]*FilterSpecs!$C$3+MouserListTable[[#This Row],[Extra]]</f>
        <v>10</v>
      </c>
      <c r="X559" s="152">
        <f>IF(MouserListTable[[#This Row],[Tag]]=FilterSpecs!$F$7,MouserListTable[[#This Row],['#/Unit]]*MouserListTable[[#This Row],[Price (USD)]],0)</f>
        <v>0</v>
      </c>
      <c r="Y559" s="152">
        <f>MouserListTable[[#This Row],[Tot '#]]*MouserListTable[[#This Row],[Price (USD)]]</f>
        <v>2.5</v>
      </c>
    </row>
    <row r="560" spans="1:25" x14ac:dyDescent="0.25">
      <c r="A560" s="150" t="s">
        <v>890</v>
      </c>
      <c r="B560" s="150" t="s">
        <v>1880</v>
      </c>
      <c r="C560" s="150" t="s">
        <v>5</v>
      </c>
      <c r="D560" s="151" t="str">
        <f>IF(MouserListTable[[#This Row],[Vendor]]=FilterSpecs!$A$8,MouserListTable[[#This Row],[Mouser SKU]], MouserListTable[[#This Row],[Supplier SKU]])</f>
        <v>474-COM-11154</v>
      </c>
      <c r="E560" s="152">
        <f>MouserListTable[[#This Row],[Tot '#]]-MouserListTable[[#This Row],['# Initial]]</f>
        <v>2</v>
      </c>
      <c r="F560" s="152">
        <f>IF(AND(MouserListTable[[#This Row],[Tag]]&lt;&gt;FilterSpecs!$F$12, MouserListTable[[#This Row],[Tag]]&lt;&gt;FilterSpecs!$F$9), MouserListTable[[#This Row],['#/Unit]]*FilterSpecs!$B$3+MouserListTable[[#This Row],[Extra Initial]],0)</f>
        <v>0</v>
      </c>
      <c r="G560" s="150" t="s">
        <v>741</v>
      </c>
      <c r="H560" s="150" t="s">
        <v>742</v>
      </c>
      <c r="I560" s="150" t="s">
        <v>743</v>
      </c>
      <c r="J560" s="150"/>
      <c r="K560" s="154">
        <v>0.5</v>
      </c>
      <c r="L560" s="150" t="s">
        <v>1896</v>
      </c>
      <c r="M560" s="150"/>
      <c r="N560" s="154">
        <f>MouserListTable[[#This Row],['# Initial]]*MouserListTable[[#This Row],[Price (USD)]]</f>
        <v>0</v>
      </c>
      <c r="O560" s="151" t="s">
        <v>740</v>
      </c>
      <c r="P560" s="150">
        <f t="shared" si="10"/>
        <v>547</v>
      </c>
      <c r="Q560" s="150" t="s">
        <v>5</v>
      </c>
      <c r="R56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474-COM-11154</v>
      </c>
      <c r="S560" s="157" t="str">
        <f>HYPERLINK("https://www.mouser.com/ProductDetail/" &amp;MouserListTable[[#This Row],[Mouser SKU]])</f>
        <v>https://www.mouser.com/ProductDetail/474-COM-11154</v>
      </c>
      <c r="T560" s="152">
        <v>0</v>
      </c>
      <c r="U560" s="152">
        <v>2</v>
      </c>
      <c r="V560" s="152">
        <v>0</v>
      </c>
      <c r="W560" s="152">
        <f>MouserListTable[[#This Row],['#/Unit]]*FilterSpecs!$C$3+MouserListTable[[#This Row],[Extra]]</f>
        <v>2</v>
      </c>
      <c r="X560" s="152">
        <f>IF(MouserListTable[[#This Row],[Tag]]=FilterSpecs!$F$7,MouserListTable[[#This Row],['#/Unit]]*MouserListTable[[#This Row],[Price (USD)]],0)</f>
        <v>0</v>
      </c>
      <c r="Y560" s="152">
        <f>MouserListTable[[#This Row],[Tot '#]]*MouserListTable[[#This Row],[Price (USD)]]</f>
        <v>1</v>
      </c>
    </row>
    <row r="561" spans="1:25" x14ac:dyDescent="0.25">
      <c r="A561" s="150" t="s">
        <v>890</v>
      </c>
      <c r="B561" s="150" t="s">
        <v>1880</v>
      </c>
      <c r="C561" s="150" t="s">
        <v>5</v>
      </c>
      <c r="D561" s="151" t="str">
        <f>IF(MouserListTable[[#This Row],[Vendor]]=FilterSpecs!$A$8,MouserListTable[[#This Row],[Mouser SKU]], MouserListTable[[#This Row],[Supplier SKU]])</f>
        <v>474-PRT-08032</v>
      </c>
      <c r="E561" s="152">
        <f>MouserListTable[[#This Row],[Tot '#]]-MouserListTable[[#This Row],['# Initial]]</f>
        <v>4</v>
      </c>
      <c r="F561" s="152">
        <f>IF(AND(MouserListTable[[#This Row],[Tag]]&lt;&gt;FilterSpecs!$F$12, MouserListTable[[#This Row],[Tag]]&lt;&gt;FilterSpecs!$F$9), MouserListTable[[#This Row],['#/Unit]]*FilterSpecs!$B$3+MouserListTable[[#This Row],[Extra Initial]],0)</f>
        <v>0</v>
      </c>
      <c r="G561" s="150" t="s">
        <v>737</v>
      </c>
      <c r="H561" s="150" t="s">
        <v>738</v>
      </c>
      <c r="I561" s="150" t="s">
        <v>739</v>
      </c>
      <c r="J561" s="150">
        <v>1</v>
      </c>
      <c r="K561" s="154">
        <v>1.5</v>
      </c>
      <c r="L561" s="150" t="s">
        <v>1896</v>
      </c>
      <c r="M561" s="150"/>
      <c r="N561" s="154">
        <f>MouserListTable[[#This Row],['# Initial]]*MouserListTable[[#This Row],[Price (USD)]]</f>
        <v>0</v>
      </c>
      <c r="O561" s="151" t="s">
        <v>736</v>
      </c>
      <c r="P561" s="150">
        <f t="shared" si="10"/>
        <v>548</v>
      </c>
      <c r="Q561" s="150" t="s">
        <v>5</v>
      </c>
      <c r="R56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474-PRT-08032</v>
      </c>
      <c r="S561" s="157" t="str">
        <f>HYPERLINK("https://www.mouser.com/ProductDetail/" &amp;MouserListTable[[#This Row],[Mouser SKU]])</f>
        <v>https://www.mouser.com/ProductDetail/474-PRT-08032</v>
      </c>
      <c r="T561" s="152">
        <v>0</v>
      </c>
      <c r="U561" s="152">
        <v>4</v>
      </c>
      <c r="V561" s="152">
        <v>0</v>
      </c>
      <c r="W561" s="152">
        <f>MouserListTable[[#This Row],['#/Unit]]*FilterSpecs!$C$3+MouserListTable[[#This Row],[Extra]]</f>
        <v>4</v>
      </c>
      <c r="X561" s="152">
        <f>IF(MouserListTable[[#This Row],[Tag]]=FilterSpecs!$F$7,MouserListTable[[#This Row],['#/Unit]]*MouserListTable[[#This Row],[Price (USD)]],0)</f>
        <v>0</v>
      </c>
      <c r="Y561" s="152">
        <f>MouserListTable[[#This Row],[Tot '#]]*MouserListTable[[#This Row],[Price (USD)]]</f>
        <v>6</v>
      </c>
    </row>
    <row r="562" spans="1:25" x14ac:dyDescent="0.25">
      <c r="A562" s="150" t="s">
        <v>890</v>
      </c>
      <c r="B562" s="150" t="s">
        <v>1880</v>
      </c>
      <c r="C562" s="150" t="s">
        <v>5</v>
      </c>
      <c r="D562" s="151" t="str">
        <f>IF(MouserListTable[[#This Row],[Vendor]]=FilterSpecs!$A$8,MouserListTable[[#This Row],[Mouser SKU]], MouserListTable[[#This Row],[Supplier SKU]])</f>
        <v>474-COM-11143</v>
      </c>
      <c r="E562" s="152">
        <f>MouserListTable[[#This Row],[Tot '#]]-MouserListTable[[#This Row],['# Initial]]</f>
        <v>8</v>
      </c>
      <c r="F562" s="152">
        <f>IF(AND(MouserListTable[[#This Row],[Tag]]&lt;&gt;FilterSpecs!$F$12, MouserListTable[[#This Row],[Tag]]&lt;&gt;FilterSpecs!$F$9), MouserListTable[[#This Row],['#/Unit]]*FilterSpecs!$B$3+MouserListTable[[#This Row],[Extra Initial]],0)</f>
        <v>0</v>
      </c>
      <c r="G562" s="150" t="s">
        <v>733</v>
      </c>
      <c r="H562" s="150" t="s">
        <v>734</v>
      </c>
      <c r="I562" s="150" t="s">
        <v>735</v>
      </c>
      <c r="J562" s="150"/>
      <c r="K562" s="154">
        <v>0.5</v>
      </c>
      <c r="L562" s="150" t="s">
        <v>1896</v>
      </c>
      <c r="M562" s="150"/>
      <c r="N562" s="154">
        <f>MouserListTable[[#This Row],['# Initial]]*MouserListTable[[#This Row],[Price (USD)]]</f>
        <v>0</v>
      </c>
      <c r="O562" s="151" t="s">
        <v>732</v>
      </c>
      <c r="P562" s="150">
        <f t="shared" si="10"/>
        <v>549</v>
      </c>
      <c r="Q562" s="150" t="s">
        <v>5</v>
      </c>
      <c r="R56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474-COM-11143</v>
      </c>
      <c r="S562" s="157" t="str">
        <f>HYPERLINK("https://www.mouser.com/ProductDetail/" &amp;MouserListTable[[#This Row],[Mouser SKU]])</f>
        <v>https://www.mouser.com/ProductDetail/474-COM-11143</v>
      </c>
      <c r="T562" s="152">
        <v>0</v>
      </c>
      <c r="U562" s="152">
        <v>8</v>
      </c>
      <c r="V562" s="152">
        <v>0</v>
      </c>
      <c r="W562" s="152">
        <f>MouserListTable[[#This Row],['#/Unit]]*FilterSpecs!$C$3+MouserListTable[[#This Row],[Extra]]</f>
        <v>8</v>
      </c>
      <c r="X562" s="152">
        <f>IF(MouserListTable[[#This Row],[Tag]]=FilterSpecs!$F$7,MouserListTable[[#This Row],['#/Unit]]*MouserListTable[[#This Row],[Price (USD)]],0)</f>
        <v>0</v>
      </c>
      <c r="Y562" s="152">
        <f>MouserListTable[[#This Row],[Tot '#]]*MouserListTable[[#This Row],[Price (USD)]]</f>
        <v>4</v>
      </c>
    </row>
    <row r="563" spans="1:25" x14ac:dyDescent="0.25">
      <c r="A563" s="150" t="s">
        <v>890</v>
      </c>
      <c r="B563" s="150" t="s">
        <v>1880</v>
      </c>
      <c r="C563" s="150" t="s">
        <v>5</v>
      </c>
      <c r="D563" s="151" t="str">
        <f>IF(MouserListTable[[#This Row],[Vendor]]=FilterSpecs!$A$8,MouserListTable[[#This Row],[Mouser SKU]], MouserListTable[[#This Row],[Supplier SKU]])</f>
        <v>474-PRT-10588</v>
      </c>
      <c r="E563" s="152">
        <f>MouserListTable[[#This Row],[Tot '#]]-MouserListTable[[#This Row],['# Initial]]</f>
        <v>2</v>
      </c>
      <c r="F563" s="152">
        <f>IF(AND(MouserListTable[[#This Row],[Tag]]&lt;&gt;FilterSpecs!$F$12, MouserListTable[[#This Row],[Tag]]&lt;&gt;FilterSpecs!$F$9), MouserListTable[[#This Row],['#/Unit]]*FilterSpecs!$B$3+MouserListTable[[#This Row],[Extra Initial]],0)</f>
        <v>0</v>
      </c>
      <c r="G563" s="150" t="s">
        <v>898</v>
      </c>
      <c r="H563" s="150" t="s">
        <v>899</v>
      </c>
      <c r="I563" s="150" t="s">
        <v>900</v>
      </c>
      <c r="J563" s="150">
        <v>1</v>
      </c>
      <c r="K563" s="154">
        <v>0.95</v>
      </c>
      <c r="L563" s="151" t="s">
        <v>1896</v>
      </c>
      <c r="M563" s="150"/>
      <c r="N563" s="154">
        <f>MouserListTable[[#This Row],['# Initial]]*MouserListTable[[#This Row],[Price (USD)]]</f>
        <v>0</v>
      </c>
      <c r="O563" s="151" t="s">
        <v>897</v>
      </c>
      <c r="P563" s="150">
        <f t="shared" si="10"/>
        <v>550</v>
      </c>
      <c r="Q563" s="150" t="s">
        <v>5</v>
      </c>
      <c r="R56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474-PRT-10588</v>
      </c>
      <c r="S563" s="157" t="str">
        <f>HYPERLINK("https://www.mouser.com/ProductDetail/" &amp;MouserListTable[[#This Row],[Mouser SKU]])</f>
        <v>https://www.mouser.com/ProductDetail/474-PRT-10588</v>
      </c>
      <c r="T563" s="152">
        <v>0</v>
      </c>
      <c r="U563" s="152">
        <v>2</v>
      </c>
      <c r="V563" s="152">
        <v>0</v>
      </c>
      <c r="W563" s="152">
        <f>MouserListTable[[#This Row],['#/Unit]]*FilterSpecs!$C$3+MouserListTable[[#This Row],[Extra]]</f>
        <v>2</v>
      </c>
      <c r="X563" s="152">
        <f>IF(MouserListTable[[#This Row],[Tag]]=FilterSpecs!$F$7,MouserListTable[[#This Row],['#/Unit]]*MouserListTable[[#This Row],[Price (USD)]],0)</f>
        <v>0</v>
      </c>
      <c r="Y563" s="152">
        <f>MouserListTable[[#This Row],[Tot '#]]*MouserListTable[[#This Row],[Price (USD)]]</f>
        <v>1.9</v>
      </c>
    </row>
    <row r="564" spans="1:25" x14ac:dyDescent="0.25">
      <c r="A564" s="150" t="s">
        <v>890</v>
      </c>
      <c r="B564" s="150" t="s">
        <v>1880</v>
      </c>
      <c r="C564" s="150" t="s">
        <v>1884</v>
      </c>
      <c r="D564" s="151" t="str">
        <f>IF(MouserListTable[[#This Row],[Vendor]]=FilterSpecs!$A$8,MouserListTable[[#This Row],[Mouser SKU]], MouserListTable[[#This Row],[Supplier SKU]])</f>
        <v>485-2911</v>
      </c>
      <c r="E564" s="152">
        <f>MouserListTable[[#This Row],[Tot '#]]-MouserListTable[[#This Row],['# Initial]]</f>
        <v>0</v>
      </c>
      <c r="F564" s="152">
        <f>IF(AND(MouserListTable[[#This Row],[Tag]]&lt;&gt;FilterSpecs!$F$12, MouserListTable[[#This Row],[Tag]]&lt;&gt;FilterSpecs!$F$9), MouserListTable[[#This Row],['#/Unit]]*FilterSpecs!$B$3+MouserListTable[[#This Row],[Extra Initial]],0)</f>
        <v>0</v>
      </c>
      <c r="G564" s="150"/>
      <c r="H564" s="150"/>
      <c r="I564" s="150" t="s">
        <v>2189</v>
      </c>
      <c r="J564" s="153"/>
      <c r="K564" s="118">
        <v>1.95</v>
      </c>
      <c r="L564" s="97" t="s">
        <v>1896</v>
      </c>
      <c r="M564" s="153"/>
      <c r="N564" s="154">
        <f>MouserListTable[[#This Row],['# Initial]]*MouserListTable[[#This Row],[Price (USD)]]</f>
        <v>0</v>
      </c>
      <c r="O564" s="151" t="s">
        <v>2188</v>
      </c>
      <c r="P564" s="150">
        <f t="shared" si="10"/>
        <v>551</v>
      </c>
      <c r="Q564" s="150" t="s">
        <v>1884</v>
      </c>
      <c r="R56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485-2911</v>
      </c>
      <c r="S564" s="157" t="str">
        <f>HYPERLINK("https://www.mouser.com/ProductDetail/" &amp;MouserListTable[[#This Row],[Mouser SKU]])</f>
        <v>https://www.mouser.com/ProductDetail/485-2911</v>
      </c>
      <c r="T564" s="152">
        <v>0</v>
      </c>
      <c r="U564" s="152">
        <v>0</v>
      </c>
      <c r="V564" s="152">
        <v>0</v>
      </c>
      <c r="W564" s="152">
        <f>MouserListTable[[#This Row],['#/Unit]]*FilterSpecs!$C$3+MouserListTable[[#This Row],[Extra]]</f>
        <v>0</v>
      </c>
      <c r="X564" s="152">
        <f>IF(MouserListTable[[#This Row],[Tag]]=FilterSpecs!$F$7,MouserListTable[[#This Row],['#/Unit]]*MouserListTable[[#This Row],[Price (USD)]],0)</f>
        <v>0</v>
      </c>
      <c r="Y564" s="152">
        <f>MouserListTable[[#This Row],[Tot '#]]*MouserListTable[[#This Row],[Price (USD)]]</f>
        <v>0</v>
      </c>
    </row>
    <row r="565" spans="1:25" x14ac:dyDescent="0.25">
      <c r="A565" s="150" t="s">
        <v>890</v>
      </c>
      <c r="B565" s="150" t="s">
        <v>1880</v>
      </c>
      <c r="C565" s="150" t="s">
        <v>1884</v>
      </c>
      <c r="D565" s="151" t="str">
        <f>IF(MouserListTable[[#This Row],[Vendor]]=FilterSpecs!$A$8,MouserListTable[[#This Row],[Mouser SKU]], MouserListTable[[#This Row],[Supplier SKU]])</f>
        <v>485-2791</v>
      </c>
      <c r="E565" s="152">
        <f>MouserListTable[[#This Row],[Tot '#]]-MouserListTable[[#This Row],['# Initial]]</f>
        <v>0</v>
      </c>
      <c r="F565" s="152">
        <f>IF(AND(MouserListTable[[#This Row],[Tag]]&lt;&gt;FilterSpecs!$F$12, MouserListTable[[#This Row],[Tag]]&lt;&gt;FilterSpecs!$F$9), MouserListTable[[#This Row],['#/Unit]]*FilterSpecs!$B$3+MouserListTable[[#This Row],[Extra Initial]],0)</f>
        <v>0</v>
      </c>
      <c r="G565" s="150"/>
      <c r="H565" s="150"/>
      <c r="I565" s="150" t="s">
        <v>2191</v>
      </c>
      <c r="J565" s="153"/>
      <c r="K565" s="118">
        <v>2.5</v>
      </c>
      <c r="L565" s="97" t="s">
        <v>1896</v>
      </c>
      <c r="M565" s="153"/>
      <c r="N565" s="154">
        <f>MouserListTable[[#This Row],['# Initial]]*MouserListTable[[#This Row],[Price (USD)]]</f>
        <v>0</v>
      </c>
      <c r="O565" s="151" t="s">
        <v>2190</v>
      </c>
      <c r="P565" s="150">
        <f t="shared" si="10"/>
        <v>552</v>
      </c>
      <c r="Q565" s="150" t="s">
        <v>1884</v>
      </c>
      <c r="R56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485-2791</v>
      </c>
      <c r="S565" s="157" t="str">
        <f>HYPERLINK("https://www.mouser.com/ProductDetail/" &amp;MouserListTable[[#This Row],[Mouser SKU]])</f>
        <v>https://www.mouser.com/ProductDetail/485-2791</v>
      </c>
      <c r="T565" s="152">
        <v>0</v>
      </c>
      <c r="U565" s="152">
        <v>0</v>
      </c>
      <c r="V565" s="152">
        <v>0</v>
      </c>
      <c r="W565" s="152">
        <f>MouserListTable[[#This Row],['#/Unit]]*FilterSpecs!$C$3+MouserListTable[[#This Row],[Extra]]</f>
        <v>0</v>
      </c>
      <c r="X565" s="152">
        <f>IF(MouserListTable[[#This Row],[Tag]]=FilterSpecs!$F$7,MouserListTable[[#This Row],['#/Unit]]*MouserListTable[[#This Row],[Price (USD)]],0)</f>
        <v>0</v>
      </c>
      <c r="Y565" s="152">
        <f>MouserListTable[[#This Row],[Tot '#]]*MouserListTable[[#This Row],[Price (USD)]]</f>
        <v>0</v>
      </c>
    </row>
    <row r="566" spans="1:25" x14ac:dyDescent="0.25">
      <c r="A566" s="150" t="s">
        <v>890</v>
      </c>
      <c r="B566" s="150" t="s">
        <v>1880</v>
      </c>
      <c r="C566" s="150" t="s">
        <v>1884</v>
      </c>
      <c r="D566" s="151" t="str">
        <f>IF(MouserListTable[[#This Row],[Vendor]]=FilterSpecs!$A$8,MouserListTable[[#This Row],[Mouser SKU]], MouserListTable[[#This Row],[Supplier SKU]])</f>
        <v>485-2790</v>
      </c>
      <c r="E566" s="152">
        <f>MouserListTable[[#This Row],[Tot '#]]-MouserListTable[[#This Row],['# Initial]]</f>
        <v>0</v>
      </c>
      <c r="F566" s="152">
        <f>IF(AND(MouserListTable[[#This Row],[Tag]]&lt;&gt;FilterSpecs!$F$12, MouserListTable[[#This Row],[Tag]]&lt;&gt;FilterSpecs!$F$9), MouserListTable[[#This Row],['#/Unit]]*FilterSpecs!$B$3+MouserListTable[[#This Row],[Extra Initial]],0)</f>
        <v>0</v>
      </c>
      <c r="G566" s="150"/>
      <c r="H566" s="150"/>
      <c r="I566" s="150" t="s">
        <v>2193</v>
      </c>
      <c r="J566" s="153"/>
      <c r="K566" s="118">
        <v>2.5</v>
      </c>
      <c r="L566" s="97" t="s">
        <v>1896</v>
      </c>
      <c r="M566" s="153"/>
      <c r="N566" s="154">
        <f>MouserListTable[[#This Row],['# Initial]]*MouserListTable[[#This Row],[Price (USD)]]</f>
        <v>0</v>
      </c>
      <c r="O566" s="151" t="s">
        <v>2192</v>
      </c>
      <c r="P566" s="150">
        <f t="shared" si="10"/>
        <v>553</v>
      </c>
      <c r="Q566" s="150" t="s">
        <v>1884</v>
      </c>
      <c r="R56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485-2790</v>
      </c>
      <c r="S566" s="157" t="str">
        <f>HYPERLINK("https://www.mouser.com/ProductDetail/" &amp;MouserListTable[[#This Row],[Mouser SKU]])</f>
        <v>https://www.mouser.com/ProductDetail/485-2790</v>
      </c>
      <c r="T566" s="152">
        <v>0</v>
      </c>
      <c r="U566" s="152">
        <v>0</v>
      </c>
      <c r="V566" s="152">
        <v>0</v>
      </c>
      <c r="W566" s="152">
        <f>MouserListTable[[#This Row],['#/Unit]]*FilterSpecs!$C$3+MouserListTable[[#This Row],[Extra]]</f>
        <v>0</v>
      </c>
      <c r="X566" s="152">
        <f>IF(MouserListTable[[#This Row],[Tag]]=FilterSpecs!$F$7,MouserListTable[[#This Row],['#/Unit]]*MouserListTable[[#This Row],[Price (USD)]],0)</f>
        <v>0</v>
      </c>
      <c r="Y566" s="152">
        <f>MouserListTable[[#This Row],[Tot '#]]*MouserListTable[[#This Row],[Price (USD)]]</f>
        <v>0</v>
      </c>
    </row>
    <row r="567" spans="1:25" x14ac:dyDescent="0.25">
      <c r="A567" s="150" t="s">
        <v>890</v>
      </c>
      <c r="B567" s="150" t="s">
        <v>1880</v>
      </c>
      <c r="C567" s="150" t="s">
        <v>1884</v>
      </c>
      <c r="D567" s="151" t="str">
        <f>IF(MouserListTable[[#This Row],[Vendor]]=FilterSpecs!$A$8,MouserListTable[[#This Row],[Mouser SKU]], MouserListTable[[#This Row],[Supplier SKU]])</f>
        <v>485-1699</v>
      </c>
      <c r="E567" s="152">
        <f>MouserListTable[[#This Row],[Tot '#]]-MouserListTable[[#This Row],['# Initial]]</f>
        <v>0</v>
      </c>
      <c r="F567" s="152">
        <f>IF(AND(MouserListTable[[#This Row],[Tag]]&lt;&gt;FilterSpecs!$F$12, MouserListTable[[#This Row],[Tag]]&lt;&gt;FilterSpecs!$F$9), MouserListTable[[#This Row],['#/Unit]]*FilterSpecs!$B$3+MouserListTable[[#This Row],[Extra Initial]],0)</f>
        <v>0</v>
      </c>
      <c r="G567" s="150"/>
      <c r="H567" s="150"/>
      <c r="I567" s="150" t="s">
        <v>2195</v>
      </c>
      <c r="J567" s="153"/>
      <c r="K567" s="118">
        <v>0.95</v>
      </c>
      <c r="L567" s="97" t="s">
        <v>1896</v>
      </c>
      <c r="M567" s="153"/>
      <c r="N567" s="154">
        <f>MouserListTable[[#This Row],['# Initial]]*MouserListTable[[#This Row],[Price (USD)]]</f>
        <v>0</v>
      </c>
      <c r="O567" s="151" t="s">
        <v>2194</v>
      </c>
      <c r="P567" s="150">
        <f t="shared" si="10"/>
        <v>554</v>
      </c>
      <c r="Q567" s="150" t="s">
        <v>1884</v>
      </c>
      <c r="R56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485-1699</v>
      </c>
      <c r="S567" s="157" t="str">
        <f>HYPERLINK("https://www.mouser.com/ProductDetail/" &amp;MouserListTable[[#This Row],[Mouser SKU]])</f>
        <v>https://www.mouser.com/ProductDetail/485-1699</v>
      </c>
      <c r="T567" s="152">
        <v>0</v>
      </c>
      <c r="U567" s="152">
        <v>0</v>
      </c>
      <c r="V567" s="152">
        <v>0</v>
      </c>
      <c r="W567" s="152">
        <f>MouserListTable[[#This Row],['#/Unit]]*FilterSpecs!$C$3+MouserListTable[[#This Row],[Extra]]</f>
        <v>0</v>
      </c>
      <c r="X567" s="152">
        <f>IF(MouserListTable[[#This Row],[Tag]]=FilterSpecs!$F$7,MouserListTable[[#This Row],['#/Unit]]*MouserListTable[[#This Row],[Price (USD)]],0)</f>
        <v>0</v>
      </c>
      <c r="Y567" s="152">
        <f>MouserListTable[[#This Row],[Tot '#]]*MouserListTable[[#This Row],[Price (USD)]]</f>
        <v>0</v>
      </c>
    </row>
    <row r="568" spans="1:25" x14ac:dyDescent="0.25">
      <c r="A568" s="150" t="s">
        <v>890</v>
      </c>
      <c r="B568" s="150" t="s">
        <v>1999</v>
      </c>
      <c r="C568" s="150" t="s">
        <v>1884</v>
      </c>
      <c r="D568" s="151" t="str">
        <f>IF(MouserListTable[[#This Row],[Vendor]]=FilterSpecs!$A$8,MouserListTable[[#This Row],[Mouser SKU]], MouserListTable[[#This Row],[Supplier SKU]])</f>
        <v>485-2429</v>
      </c>
      <c r="E568" s="152">
        <f>MouserListTable[[#This Row],[Tot '#]]-MouserListTable[[#This Row],['# Initial]]</f>
        <v>0</v>
      </c>
      <c r="F568" s="152">
        <f>IF(AND(MouserListTable[[#This Row],[Tag]]&lt;&gt;FilterSpecs!$F$12, MouserListTable[[#This Row],[Tag]]&lt;&gt;FilterSpecs!$F$9), MouserListTable[[#This Row],['#/Unit]]*FilterSpecs!$B$3+MouserListTable[[#This Row],[Extra Initial]],0)</f>
        <v>1</v>
      </c>
      <c r="G568" s="150"/>
      <c r="H568" s="150"/>
      <c r="I568" s="150" t="s">
        <v>2203</v>
      </c>
      <c r="J568" s="153"/>
      <c r="K568" s="154">
        <v>4.95</v>
      </c>
      <c r="L568" s="150" t="s">
        <v>1896</v>
      </c>
      <c r="M568" s="151"/>
      <c r="N568" s="154">
        <f>MouserListTable[[#This Row],['# Initial]]*MouserListTable[[#This Row],[Price (USD)]]</f>
        <v>4.95</v>
      </c>
      <c r="O568" s="151" t="s">
        <v>2202</v>
      </c>
      <c r="P568" s="150">
        <f t="shared" si="10"/>
        <v>555</v>
      </c>
      <c r="Q568" s="150" t="s">
        <v>1884</v>
      </c>
      <c r="R56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485-2429</v>
      </c>
      <c r="S568" s="157" t="str">
        <f>HYPERLINK("https://www.mouser.com/ProductDetail/" &amp;MouserListTable[[#This Row],[Mouser SKU]])</f>
        <v>https://www.mouser.com/ProductDetail/485-2429</v>
      </c>
      <c r="T568" s="152">
        <v>0</v>
      </c>
      <c r="U568" s="152">
        <v>1</v>
      </c>
      <c r="V568" s="152">
        <v>1</v>
      </c>
      <c r="W568" s="152">
        <f>MouserListTable[[#This Row],['#/Unit]]*FilterSpecs!$C$3+MouserListTable[[#This Row],[Extra]]</f>
        <v>1</v>
      </c>
      <c r="X568" s="152">
        <f>IF(MouserListTable[[#This Row],[Tag]]=FilterSpecs!$F$7,MouserListTable[[#This Row],['#/Unit]]*MouserListTable[[#This Row],[Price (USD)]],0)</f>
        <v>0</v>
      </c>
      <c r="Y568" s="152">
        <f>MouserListTable[[#This Row],[Tot '#]]*MouserListTable[[#This Row],[Price (USD)]]</f>
        <v>4.95</v>
      </c>
    </row>
    <row r="569" spans="1:25" x14ac:dyDescent="0.25">
      <c r="A569" s="150" t="s">
        <v>890</v>
      </c>
      <c r="B569" s="150" t="s">
        <v>1999</v>
      </c>
      <c r="C569" s="150" t="s">
        <v>1884</v>
      </c>
      <c r="D569" s="151" t="str">
        <f>IF(MouserListTable[[#This Row],[Vendor]]=FilterSpecs!$A$8,MouserListTable[[#This Row],[Mouser SKU]], MouserListTable[[#This Row],[Supplier SKU]])</f>
        <v>485-2428</v>
      </c>
      <c r="E569" s="152">
        <f>MouserListTable[[#This Row],[Tot '#]]-MouserListTable[[#This Row],['# Initial]]</f>
        <v>0</v>
      </c>
      <c r="F569" s="152">
        <f>IF(AND(MouserListTable[[#This Row],[Tag]]&lt;&gt;FilterSpecs!$F$12, MouserListTable[[#This Row],[Tag]]&lt;&gt;FilterSpecs!$F$9), MouserListTable[[#This Row],['#/Unit]]*FilterSpecs!$B$3+MouserListTable[[#This Row],[Extra Initial]],0)</f>
        <v>1</v>
      </c>
      <c r="G569" s="150"/>
      <c r="H569" s="150"/>
      <c r="I569" s="150" t="s">
        <v>2205</v>
      </c>
      <c r="J569" s="153"/>
      <c r="K569" s="154">
        <v>4.95</v>
      </c>
      <c r="L569" s="150" t="s">
        <v>1896</v>
      </c>
      <c r="M569" s="151"/>
      <c r="N569" s="154">
        <f>MouserListTable[[#This Row],['# Initial]]*MouserListTable[[#This Row],[Price (USD)]]</f>
        <v>4.95</v>
      </c>
      <c r="O569" s="151" t="s">
        <v>2204</v>
      </c>
      <c r="P569" s="150">
        <f t="shared" si="10"/>
        <v>556</v>
      </c>
      <c r="Q569" s="150" t="s">
        <v>1884</v>
      </c>
      <c r="R56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485-2428</v>
      </c>
      <c r="S569" s="157" t="str">
        <f>HYPERLINK("https://www.mouser.com/ProductDetail/" &amp;MouserListTable[[#This Row],[Mouser SKU]])</f>
        <v>https://www.mouser.com/ProductDetail/485-2428</v>
      </c>
      <c r="T569" s="152">
        <v>0</v>
      </c>
      <c r="U569" s="152">
        <v>1</v>
      </c>
      <c r="V569" s="152">
        <v>1</v>
      </c>
      <c r="W569" s="152">
        <f>MouserListTable[[#This Row],['#/Unit]]*FilterSpecs!$C$3+MouserListTable[[#This Row],[Extra]]</f>
        <v>1</v>
      </c>
      <c r="X569" s="152">
        <f>IF(MouserListTable[[#This Row],[Tag]]=FilterSpecs!$F$7,MouserListTable[[#This Row],['#/Unit]]*MouserListTable[[#This Row],[Price (USD)]],0)</f>
        <v>0</v>
      </c>
      <c r="Y569" s="152">
        <f>MouserListTable[[#This Row],[Tot '#]]*MouserListTable[[#This Row],[Price (USD)]]</f>
        <v>4.95</v>
      </c>
    </row>
    <row r="570" spans="1:25" x14ac:dyDescent="0.25">
      <c r="A570" s="150" t="s">
        <v>890</v>
      </c>
      <c r="B570" s="150" t="s">
        <v>1999</v>
      </c>
      <c r="C570" s="150" t="s">
        <v>1884</v>
      </c>
      <c r="D570" s="151" t="str">
        <f>IF(MouserListTable[[#This Row],[Vendor]]=FilterSpecs!$A$8,MouserListTable[[#This Row],[Mouser SKU]], MouserListTable[[#This Row],[Supplier SKU]])</f>
        <v>485-2430</v>
      </c>
      <c r="E570" s="152">
        <f>MouserListTable[[#This Row],[Tot '#]]-MouserListTable[[#This Row],['# Initial]]</f>
        <v>0</v>
      </c>
      <c r="F570" s="152">
        <f>IF(AND(MouserListTable[[#This Row],[Tag]]&lt;&gt;FilterSpecs!$F$12, MouserListTable[[#This Row],[Tag]]&lt;&gt;FilterSpecs!$F$9), MouserListTable[[#This Row],['#/Unit]]*FilterSpecs!$B$3+MouserListTable[[#This Row],[Extra Initial]],0)</f>
        <v>1</v>
      </c>
      <c r="G570" s="150"/>
      <c r="H570" s="150"/>
      <c r="I570" s="150" t="s">
        <v>2207</v>
      </c>
      <c r="J570" s="153"/>
      <c r="K570" s="154">
        <v>4.95</v>
      </c>
      <c r="L570" s="150" t="s">
        <v>1896</v>
      </c>
      <c r="M570" s="151"/>
      <c r="N570" s="154">
        <f>MouserListTable[[#This Row],['# Initial]]*MouserListTable[[#This Row],[Price (USD)]]</f>
        <v>4.95</v>
      </c>
      <c r="O570" s="151" t="s">
        <v>2206</v>
      </c>
      <c r="P570" s="150">
        <f t="shared" si="10"/>
        <v>557</v>
      </c>
      <c r="Q570" s="150" t="s">
        <v>1884</v>
      </c>
      <c r="R57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485-2430</v>
      </c>
      <c r="S570" s="157" t="str">
        <f>HYPERLINK("https://www.mouser.com/ProductDetail/" &amp;MouserListTable[[#This Row],[Mouser SKU]])</f>
        <v>https://www.mouser.com/ProductDetail/485-2430</v>
      </c>
      <c r="T570" s="152">
        <v>0</v>
      </c>
      <c r="U570" s="152">
        <v>1</v>
      </c>
      <c r="V570" s="152">
        <v>1</v>
      </c>
      <c r="W570" s="152">
        <f>MouserListTable[[#This Row],['#/Unit]]*FilterSpecs!$C$3+MouserListTable[[#This Row],[Extra]]</f>
        <v>1</v>
      </c>
      <c r="X570" s="152">
        <f>IF(MouserListTable[[#This Row],[Tag]]=FilterSpecs!$F$7,MouserListTable[[#This Row],['#/Unit]]*MouserListTable[[#This Row],[Price (USD)]],0)</f>
        <v>0</v>
      </c>
      <c r="Y570" s="152">
        <f>MouserListTable[[#This Row],[Tot '#]]*MouserListTable[[#This Row],[Price (USD)]]</f>
        <v>4.95</v>
      </c>
    </row>
    <row r="571" spans="1:25" x14ac:dyDescent="0.25">
      <c r="A571" s="150" t="s">
        <v>890</v>
      </c>
      <c r="B571" s="150" t="s">
        <v>1999</v>
      </c>
      <c r="C571" s="150" t="s">
        <v>1884</v>
      </c>
      <c r="D571" s="151" t="str">
        <f>IF(MouserListTable[[#This Row],[Vendor]]=FilterSpecs!$A$8,MouserListTable[[#This Row],[Mouser SKU]], MouserListTable[[#This Row],[Supplier SKU]])</f>
        <v>485-394</v>
      </c>
      <c r="E571" s="152">
        <f>MouserListTable[[#This Row],[Tot '#]]-MouserListTable[[#This Row],['# Initial]]</f>
        <v>0</v>
      </c>
      <c r="F571" s="152">
        <f>IF(AND(MouserListTable[[#This Row],[Tag]]&lt;&gt;FilterSpecs!$F$12, MouserListTable[[#This Row],[Tag]]&lt;&gt;FilterSpecs!$F$9), MouserListTable[[#This Row],['#/Unit]]*FilterSpecs!$B$3+MouserListTable[[#This Row],[Extra Initial]],0)</f>
        <v>1</v>
      </c>
      <c r="G571" s="150"/>
      <c r="H571" s="150"/>
      <c r="I571" s="150" t="s">
        <v>2209</v>
      </c>
      <c r="J571" s="153"/>
      <c r="K571" s="154">
        <v>7.5</v>
      </c>
      <c r="L571" s="150" t="s">
        <v>1896</v>
      </c>
      <c r="M571" s="151"/>
      <c r="N571" s="154">
        <f>MouserListTable[[#This Row],['# Initial]]*MouserListTable[[#This Row],[Price (USD)]]</f>
        <v>7.5</v>
      </c>
      <c r="O571" s="151" t="s">
        <v>2208</v>
      </c>
      <c r="P571" s="150">
        <f t="shared" si="10"/>
        <v>558</v>
      </c>
      <c r="Q571" s="150" t="s">
        <v>1884</v>
      </c>
      <c r="R57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485-394</v>
      </c>
      <c r="S571" s="157" t="str">
        <f>HYPERLINK("https://www.mouser.com/ProductDetail/" &amp;MouserListTable[[#This Row],[Mouser SKU]])</f>
        <v>https://www.mouser.com/ProductDetail/485-394</v>
      </c>
      <c r="T571" s="152">
        <v>0</v>
      </c>
      <c r="U571" s="152">
        <v>1</v>
      </c>
      <c r="V571" s="152">
        <v>1</v>
      </c>
      <c r="W571" s="152">
        <f>MouserListTable[[#This Row],['#/Unit]]*FilterSpecs!$C$3+MouserListTable[[#This Row],[Extra]]</f>
        <v>1</v>
      </c>
      <c r="X571" s="152">
        <f>IF(MouserListTable[[#This Row],[Tag]]=FilterSpecs!$F$7,MouserListTable[[#This Row],['#/Unit]]*MouserListTable[[#This Row],[Price (USD)]],0)</f>
        <v>0</v>
      </c>
      <c r="Y571" s="152">
        <f>MouserListTable[[#This Row],[Tot '#]]*MouserListTable[[#This Row],[Price (USD)]]</f>
        <v>7.5</v>
      </c>
    </row>
    <row r="572" spans="1:25" x14ac:dyDescent="0.25">
      <c r="A572" s="151" t="s">
        <v>890</v>
      </c>
      <c r="B572" s="151" t="s">
        <v>2001</v>
      </c>
      <c r="C572" s="150" t="s">
        <v>5</v>
      </c>
      <c r="D572" s="151" t="str">
        <f>IF(MouserListTable[[#This Row],[Vendor]]=FilterSpecs!$A$8,MouserListTable[[#This Row],[Mouser SKU]], MouserListTable[[#This Row],[Supplier SKU]])</f>
        <v>474-CAB-10646</v>
      </c>
      <c r="E572" s="152">
        <f>MouserListTable[[#This Row],[Tot '#]]-MouserListTable[[#This Row],['# Initial]]</f>
        <v>0</v>
      </c>
      <c r="F572" s="152">
        <f>IF(AND(MouserListTable[[#This Row],[Tag]]&lt;&gt;FilterSpecs!$F$12, MouserListTable[[#This Row],[Tag]]&lt;&gt;FilterSpecs!$F$9), MouserListTable[[#This Row],['#/Unit]]*FilterSpecs!$B$3+MouserListTable[[#This Row],[Extra Initial]],0)</f>
        <v>2</v>
      </c>
      <c r="G572" s="150" t="s">
        <v>1582</v>
      </c>
      <c r="H572" s="150" t="s">
        <v>1583</v>
      </c>
      <c r="I572" s="150" t="s">
        <v>1584</v>
      </c>
      <c r="J572" s="150">
        <v>1</v>
      </c>
      <c r="K572" s="154">
        <v>2.95</v>
      </c>
      <c r="L572" s="151" t="s">
        <v>1896</v>
      </c>
      <c r="M572" s="150"/>
      <c r="N572" s="154">
        <f>MouserListTable[[#This Row],['# Initial]]*MouserListTable[[#This Row],[Price (USD)]]</f>
        <v>5.9</v>
      </c>
      <c r="O572" s="151" t="s">
        <v>1581</v>
      </c>
      <c r="P572" s="150">
        <f t="shared" si="10"/>
        <v>559</v>
      </c>
      <c r="Q572" s="150" t="s">
        <v>5</v>
      </c>
      <c r="R57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474-CAB-10646</v>
      </c>
      <c r="S572" s="157" t="str">
        <f>HYPERLINK("https://www.mouser.com/ProductDetail/" &amp;MouserListTable[[#This Row],[Mouser SKU]])</f>
        <v>https://www.mouser.com/ProductDetail/474-CAB-10646</v>
      </c>
      <c r="T572" s="152">
        <v>0</v>
      </c>
      <c r="U572" s="152">
        <v>2</v>
      </c>
      <c r="V572" s="152">
        <v>2</v>
      </c>
      <c r="W572" s="152">
        <f>MouserListTable[[#This Row],['#/Unit]]*FilterSpecs!$C$3+MouserListTable[[#This Row],[Extra]]</f>
        <v>2</v>
      </c>
      <c r="X572" s="152">
        <f>IF(MouserListTable[[#This Row],[Tag]]=FilterSpecs!$F$7,MouserListTable[[#This Row],['#/Unit]]*MouserListTable[[#This Row],[Price (USD)]],0)</f>
        <v>0</v>
      </c>
      <c r="Y572" s="152">
        <f>MouserListTable[[#This Row],[Tot '#]]*MouserListTable[[#This Row],[Price (USD)]]</f>
        <v>5.9</v>
      </c>
    </row>
    <row r="573" spans="1:25" x14ac:dyDescent="0.25">
      <c r="A573" s="98" t="s">
        <v>890</v>
      </c>
      <c r="B573" s="98" t="s">
        <v>2001</v>
      </c>
      <c r="C573" s="150" t="s">
        <v>1884</v>
      </c>
      <c r="D573" s="151" t="str">
        <f>IF(MouserListTable[[#This Row],[Vendor]]=FilterSpecs!$A$8,MouserListTable[[#This Row],[Mouser SKU]], MouserListTable[[#This Row],[Supplier SKU]])</f>
        <v>485-371</v>
      </c>
      <c r="E573" s="152">
        <f>MouserListTable[[#This Row],[Tot '#]]-MouserListTable[[#This Row],['# Initial]]</f>
        <v>0</v>
      </c>
      <c r="F573" s="152">
        <f>IF(AND(MouserListTable[[#This Row],[Tag]]&lt;&gt;FilterSpecs!$F$12, MouserListTable[[#This Row],[Tag]]&lt;&gt;FilterSpecs!$F$9), MouserListTable[[#This Row],['#/Unit]]*FilterSpecs!$B$3+MouserListTable[[#This Row],[Extra Initial]],0)</f>
        <v>0</v>
      </c>
      <c r="G573" s="150"/>
      <c r="H573" s="150"/>
      <c r="I573" s="150" t="s">
        <v>2434</v>
      </c>
      <c r="J573" s="113">
        <v>106</v>
      </c>
      <c r="K573" s="119">
        <v>2</v>
      </c>
      <c r="L573" s="97" t="s">
        <v>1896</v>
      </c>
      <c r="M573" s="153"/>
      <c r="N573" s="154">
        <f>MouserListTable[[#This Row],['# Initial]]*MouserListTable[[#This Row],[Price (USD)]]</f>
        <v>0</v>
      </c>
      <c r="O573" s="113" t="s">
        <v>2435</v>
      </c>
      <c r="P573" s="150">
        <f t="shared" si="10"/>
        <v>560</v>
      </c>
      <c r="Q573" s="150" t="s">
        <v>1884</v>
      </c>
      <c r="R57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485-371</v>
      </c>
      <c r="S573" s="157" t="str">
        <f>HYPERLINK("https://www.mouser.com/ProductDetail/" &amp;MouserListTable[[#This Row],[Mouser SKU]])</f>
        <v>https://www.mouser.com/ProductDetail/485-371</v>
      </c>
      <c r="T573" s="152">
        <v>0</v>
      </c>
      <c r="U573" s="152">
        <v>0</v>
      </c>
      <c r="V573" s="152">
        <v>0</v>
      </c>
      <c r="W573" s="152">
        <f>MouserListTable[[#This Row],['#/Unit]]*FilterSpecs!$C$3+MouserListTable[[#This Row],[Extra]]</f>
        <v>0</v>
      </c>
      <c r="X573" s="152">
        <f>IF(MouserListTable[[#This Row],[Tag]]=FilterSpecs!$F$7,MouserListTable[[#This Row],['#/Unit]]*MouserListTable[[#This Row],[Price (USD)]],0)</f>
        <v>0</v>
      </c>
      <c r="Y573" s="152">
        <f>MouserListTable[[#This Row],[Tot '#]]*MouserListTable[[#This Row],[Price (USD)]]</f>
        <v>0</v>
      </c>
    </row>
    <row r="574" spans="1:25" x14ac:dyDescent="0.25">
      <c r="A574" s="153" t="s">
        <v>890</v>
      </c>
      <c r="B574" s="153" t="s">
        <v>2001</v>
      </c>
      <c r="C574" s="150" t="s">
        <v>5</v>
      </c>
      <c r="D574" s="151" t="str">
        <f>IF(MouserListTable[[#This Row],[Vendor]]=FilterSpecs!$A$8,MouserListTable[[#This Row],[Mouser SKU]], MouserListTable[[#This Row],[Supplier SKU]])</f>
        <v>474-CAB-10649</v>
      </c>
      <c r="E574" s="152">
        <f>MouserListTable[[#This Row],[Tot '#]]-MouserListTable[[#This Row],['# Initial]]</f>
        <v>0</v>
      </c>
      <c r="F574" s="152">
        <f>IF(AND(MouserListTable[[#This Row],[Tag]]&lt;&gt;FilterSpecs!$F$12, MouserListTable[[#This Row],[Tag]]&lt;&gt;FilterSpecs!$F$9), MouserListTable[[#This Row],['#/Unit]]*FilterSpecs!$B$3+MouserListTable[[#This Row],[Extra Initial]],0)</f>
        <v>0</v>
      </c>
      <c r="G574" s="150" t="s">
        <v>1578</v>
      </c>
      <c r="H574" s="150" t="s">
        <v>1579</v>
      </c>
      <c r="I574" s="150" t="s">
        <v>1580</v>
      </c>
      <c r="J574" s="150">
        <v>1</v>
      </c>
      <c r="K574" s="154">
        <v>0.95</v>
      </c>
      <c r="L574" s="151" t="s">
        <v>1896</v>
      </c>
      <c r="M574" s="150"/>
      <c r="N574" s="154">
        <f>MouserListTable[[#This Row],['# Initial]]*MouserListTable[[#This Row],[Price (USD)]]</f>
        <v>0</v>
      </c>
      <c r="O574" s="151" t="s">
        <v>1577</v>
      </c>
      <c r="P574" s="150">
        <f t="shared" si="10"/>
        <v>561</v>
      </c>
      <c r="Q574" s="150" t="s">
        <v>5</v>
      </c>
      <c r="R57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474-CAB-10649</v>
      </c>
      <c r="S574" s="157" t="str">
        <f>HYPERLINK("https://www.mouser.com/ProductDetail/" &amp;MouserListTable[[#This Row],[Mouser SKU]])</f>
        <v>https://www.mouser.com/ProductDetail/474-CAB-10649</v>
      </c>
      <c r="T574" s="152">
        <v>0</v>
      </c>
      <c r="U574" s="152">
        <v>0</v>
      </c>
      <c r="V574" s="152">
        <v>0</v>
      </c>
      <c r="W574" s="152">
        <f>MouserListTable[[#This Row],['#/Unit]]*FilterSpecs!$C$3+MouserListTable[[#This Row],[Extra]]</f>
        <v>0</v>
      </c>
      <c r="X574" s="152">
        <f>IF(MouserListTable[[#This Row],[Tag]]=FilterSpecs!$F$7,MouserListTable[[#This Row],['#/Unit]]*MouserListTable[[#This Row],[Price (USD)]],0)</f>
        <v>0</v>
      </c>
      <c r="Y574" s="152">
        <f>MouserListTable[[#This Row],[Tot '#]]*MouserListTable[[#This Row],[Price (USD)]]</f>
        <v>0</v>
      </c>
    </row>
    <row r="575" spans="1:25" x14ac:dyDescent="0.25">
      <c r="A575" s="151" t="s">
        <v>890</v>
      </c>
      <c r="B575" s="151" t="s">
        <v>2001</v>
      </c>
      <c r="C575" s="150" t="s">
        <v>5</v>
      </c>
      <c r="D575" s="151" t="str">
        <f>IF(MouserListTable[[#This Row],[Vendor]]=FilterSpecs!$A$8,MouserListTable[[#This Row],[Mouser SKU]], MouserListTable[[#This Row],[Supplier SKU]])</f>
        <v>474-CAB-10647</v>
      </c>
      <c r="E575" s="152">
        <f>MouserListTable[[#This Row],[Tot '#]]-MouserListTable[[#This Row],['# Initial]]</f>
        <v>0</v>
      </c>
      <c r="F575" s="152">
        <f>IF(AND(MouserListTable[[#This Row],[Tag]]&lt;&gt;FilterSpecs!$F$12, MouserListTable[[#This Row],[Tag]]&lt;&gt;FilterSpecs!$F$9), MouserListTable[[#This Row],['#/Unit]]*FilterSpecs!$B$3+MouserListTable[[#This Row],[Extra Initial]],0)</f>
        <v>1</v>
      </c>
      <c r="G575" s="150" t="s">
        <v>1586</v>
      </c>
      <c r="H575" s="150" t="s">
        <v>1587</v>
      </c>
      <c r="I575" s="150" t="s">
        <v>1588</v>
      </c>
      <c r="J575" s="150">
        <v>1</v>
      </c>
      <c r="K575" s="154">
        <v>4.95</v>
      </c>
      <c r="L575" s="151" t="s">
        <v>1896</v>
      </c>
      <c r="M575" s="150"/>
      <c r="N575" s="154">
        <f>MouserListTable[[#This Row],['# Initial]]*MouserListTable[[#This Row],[Price (USD)]]</f>
        <v>4.95</v>
      </c>
      <c r="O575" s="151" t="s">
        <v>1585</v>
      </c>
      <c r="P575" s="150">
        <f t="shared" si="10"/>
        <v>562</v>
      </c>
      <c r="Q575" s="150" t="s">
        <v>5</v>
      </c>
      <c r="R57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474-CAB-10647</v>
      </c>
      <c r="S575" s="157" t="str">
        <f>HYPERLINK("https://www.mouser.com/ProductDetail/" &amp;MouserListTable[[#This Row],[Mouser SKU]])</f>
        <v>https://www.mouser.com/ProductDetail/474-CAB-10647</v>
      </c>
      <c r="T575" s="152">
        <v>0</v>
      </c>
      <c r="U575" s="152">
        <v>1</v>
      </c>
      <c r="V575" s="152">
        <v>1</v>
      </c>
      <c r="W575" s="152">
        <f>MouserListTable[[#This Row],['#/Unit]]*FilterSpecs!$C$3+MouserListTable[[#This Row],[Extra]]</f>
        <v>1</v>
      </c>
      <c r="X575" s="152">
        <f>IF(MouserListTable[[#This Row],[Tag]]=FilterSpecs!$F$7,MouserListTable[[#This Row],['#/Unit]]*MouserListTable[[#This Row],[Price (USD)]],0)</f>
        <v>0</v>
      </c>
      <c r="Y575" s="152">
        <f>MouserListTable[[#This Row],[Tot '#]]*MouserListTable[[#This Row],[Price (USD)]]</f>
        <v>4.95</v>
      </c>
    </row>
    <row r="576" spans="1:25" x14ac:dyDescent="0.25">
      <c r="A576" s="98" t="s">
        <v>890</v>
      </c>
      <c r="B576" s="98" t="s">
        <v>2001</v>
      </c>
      <c r="C576" s="150" t="s">
        <v>1884</v>
      </c>
      <c r="D576" s="151" t="str">
        <f>IF(MouserListTable[[#This Row],[Vendor]]=FilterSpecs!$A$8,MouserListTable[[#This Row],[Mouser SKU]], MouserListTable[[#This Row],[Supplier SKU]])</f>
        <v>485-556</v>
      </c>
      <c r="E576" s="152">
        <f>MouserListTable[[#This Row],[Tot '#]]-MouserListTable[[#This Row],['# Initial]]</f>
        <v>0</v>
      </c>
      <c r="F576" s="152">
        <f>IF(AND(MouserListTable[[#This Row],[Tag]]&lt;&gt;FilterSpecs!$F$12, MouserListTable[[#This Row],[Tag]]&lt;&gt;FilterSpecs!$F$9), MouserListTable[[#This Row],['#/Unit]]*FilterSpecs!$B$3+MouserListTable[[#This Row],[Extra Initial]],0)</f>
        <v>0</v>
      </c>
      <c r="G576" s="150"/>
      <c r="H576" s="150"/>
      <c r="I576" s="150" t="s">
        <v>2432</v>
      </c>
      <c r="J576" s="113">
        <v>105</v>
      </c>
      <c r="K576" s="119">
        <v>1.5</v>
      </c>
      <c r="L576" s="97" t="s">
        <v>1896</v>
      </c>
      <c r="M576" s="153"/>
      <c r="N576" s="154">
        <f>MouserListTable[[#This Row],['# Initial]]*MouserListTable[[#This Row],[Price (USD)]]</f>
        <v>0</v>
      </c>
      <c r="O576" s="113" t="s">
        <v>2433</v>
      </c>
      <c r="P576" s="150">
        <f t="shared" si="10"/>
        <v>563</v>
      </c>
      <c r="Q576" s="150" t="s">
        <v>1884</v>
      </c>
      <c r="R57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485-556</v>
      </c>
      <c r="S576" s="157" t="str">
        <f>HYPERLINK("https://www.mouser.com/ProductDetail/" &amp;MouserListTable[[#This Row],[Mouser SKU]])</f>
        <v>https://www.mouser.com/ProductDetail/485-556</v>
      </c>
      <c r="T576" s="152">
        <v>0</v>
      </c>
      <c r="U576" s="152">
        <v>0</v>
      </c>
      <c r="V576" s="152">
        <v>0</v>
      </c>
      <c r="W576" s="152">
        <f>MouserListTable[[#This Row],['#/Unit]]*FilterSpecs!$C$3+MouserListTable[[#This Row],[Extra]]</f>
        <v>0</v>
      </c>
      <c r="X576" s="152">
        <f>IF(MouserListTable[[#This Row],[Tag]]=FilterSpecs!$F$7,MouserListTable[[#This Row],['#/Unit]]*MouserListTable[[#This Row],[Price (USD)]],0)</f>
        <v>0</v>
      </c>
      <c r="Y576" s="152">
        <f>MouserListTable[[#This Row],[Tot '#]]*MouserListTable[[#This Row],[Price (USD)]]</f>
        <v>0</v>
      </c>
    </row>
    <row r="577" spans="1:25" x14ac:dyDescent="0.25">
      <c r="A577" s="151" t="s">
        <v>890</v>
      </c>
      <c r="B577" s="151" t="s">
        <v>2001</v>
      </c>
      <c r="C577" s="150" t="s">
        <v>1884</v>
      </c>
      <c r="D577" s="151" t="str">
        <f>IF(MouserListTable[[#This Row],[Vendor]]=FilterSpecs!$A$8,MouserListTable[[#This Row],[Mouser SKU]], MouserListTable[[#This Row],[Supplier SKU]])</f>
        <v>485-370</v>
      </c>
      <c r="E577" s="152">
        <f>MouserListTable[[#This Row],[Tot '#]]-MouserListTable[[#This Row],['# Initial]]</f>
        <v>0</v>
      </c>
      <c r="F577" s="152">
        <f>IF(AND(MouserListTable[[#This Row],[Tag]]&lt;&gt;FilterSpecs!$F$12, MouserListTable[[#This Row],[Tag]]&lt;&gt;FilterSpecs!$F$9), MouserListTable[[#This Row],['#/Unit]]*FilterSpecs!$B$3+MouserListTable[[#This Row],[Extra Initial]],0)</f>
        <v>0</v>
      </c>
      <c r="G577" s="150"/>
      <c r="H577" s="150"/>
      <c r="I577" s="150" t="s">
        <v>2211</v>
      </c>
      <c r="J577" s="153"/>
      <c r="K577" s="118">
        <v>2</v>
      </c>
      <c r="L577" s="153" t="s">
        <v>1896</v>
      </c>
      <c r="M577" s="153"/>
      <c r="N577" s="154">
        <f>MouserListTable[[#This Row],['# Initial]]*MouserListTable[[#This Row],[Price (USD)]]</f>
        <v>0</v>
      </c>
      <c r="O577" s="151" t="s">
        <v>2210</v>
      </c>
      <c r="P577" s="150">
        <f t="shared" si="10"/>
        <v>564</v>
      </c>
      <c r="Q577" s="150" t="s">
        <v>1884</v>
      </c>
      <c r="R57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485-370</v>
      </c>
      <c r="S577" s="157" t="str">
        <f>HYPERLINK("https://www.mouser.com/ProductDetail/" &amp;MouserListTable[[#This Row],[Mouser SKU]])</f>
        <v>https://www.mouser.com/ProductDetail/485-370</v>
      </c>
      <c r="T577" s="152">
        <v>0</v>
      </c>
      <c r="U577" s="152">
        <v>0</v>
      </c>
      <c r="V577" s="152">
        <v>0</v>
      </c>
      <c r="W577" s="152">
        <f>MouserListTable[[#This Row],['#/Unit]]*FilterSpecs!$C$3+MouserListTable[[#This Row],[Extra]]</f>
        <v>0</v>
      </c>
      <c r="X577" s="152">
        <f>IF(MouserListTable[[#This Row],[Tag]]=FilterSpecs!$F$7,MouserListTable[[#This Row],['#/Unit]]*MouserListTable[[#This Row],[Price (USD)]],0)</f>
        <v>0</v>
      </c>
      <c r="Y577" s="152">
        <f>MouserListTable[[#This Row],[Tot '#]]*MouserListTable[[#This Row],[Price (USD)]]</f>
        <v>0</v>
      </c>
    </row>
    <row r="578" spans="1:25" x14ac:dyDescent="0.25">
      <c r="A578" s="98" t="s">
        <v>890</v>
      </c>
      <c r="B578" s="153" t="s">
        <v>2001</v>
      </c>
      <c r="C578" s="150" t="s">
        <v>1884</v>
      </c>
      <c r="D578" s="151" t="str">
        <f>IF(MouserListTable[[#This Row],[Vendor]]=FilterSpecs!$A$8,MouserListTable[[#This Row],[Mouser SKU]], MouserListTable[[#This Row],[Supplier SKU]])</f>
        <v>485-1199</v>
      </c>
      <c r="E578" s="152">
        <f>MouserListTable[[#This Row],[Tot '#]]-MouserListTable[[#This Row],['# Initial]]</f>
        <v>0</v>
      </c>
      <c r="F578" s="152">
        <f>IF(AND(MouserListTable[[#This Row],[Tag]]&lt;&gt;FilterSpecs!$F$12, MouserListTable[[#This Row],[Tag]]&lt;&gt;FilterSpecs!$F$9), MouserListTable[[#This Row],['#/Unit]]*FilterSpecs!$B$3+MouserListTable[[#This Row],[Extra Initial]],0)</f>
        <v>0</v>
      </c>
      <c r="G578" s="150"/>
      <c r="H578" s="150"/>
      <c r="I578" s="150" t="s">
        <v>2430</v>
      </c>
      <c r="J578" s="113">
        <v>104</v>
      </c>
      <c r="K578" s="119">
        <v>3.95</v>
      </c>
      <c r="L578" s="97" t="s">
        <v>1896</v>
      </c>
      <c r="M578" s="153"/>
      <c r="N578" s="154">
        <f>MouserListTable[[#This Row],['# Initial]]*MouserListTable[[#This Row],[Price (USD)]]</f>
        <v>0</v>
      </c>
      <c r="O578" s="113" t="s">
        <v>2431</v>
      </c>
      <c r="P578" s="150">
        <f t="shared" si="10"/>
        <v>565</v>
      </c>
      <c r="Q578" s="150" t="s">
        <v>1884</v>
      </c>
      <c r="R57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485-1199</v>
      </c>
      <c r="S578" s="157" t="str">
        <f>HYPERLINK("https://www.mouser.com/ProductDetail/" &amp;MouserListTable[[#This Row],[Mouser SKU]])</f>
        <v>https://www.mouser.com/ProductDetail/485-1199</v>
      </c>
      <c r="T578" s="152">
        <v>0</v>
      </c>
      <c r="U578" s="152">
        <v>0</v>
      </c>
      <c r="V578" s="152">
        <v>0</v>
      </c>
      <c r="W578" s="152">
        <f>MouserListTable[[#This Row],['#/Unit]]*FilterSpecs!$C$3+MouserListTable[[#This Row],[Extra]]</f>
        <v>0</v>
      </c>
      <c r="X578" s="152">
        <f>IF(MouserListTable[[#This Row],[Tag]]=FilterSpecs!$F$7,MouserListTable[[#This Row],['#/Unit]]*MouserListTable[[#This Row],[Price (USD)]],0)</f>
        <v>0</v>
      </c>
      <c r="Y578" s="152">
        <f>MouserListTable[[#This Row],[Tot '#]]*MouserListTable[[#This Row],[Price (USD)]]</f>
        <v>0</v>
      </c>
    </row>
    <row r="579" spans="1:25" x14ac:dyDescent="0.25">
      <c r="A579" s="153" t="s">
        <v>890</v>
      </c>
      <c r="B579" s="153" t="s">
        <v>2001</v>
      </c>
      <c r="C579" s="150" t="s">
        <v>5</v>
      </c>
      <c r="D579" s="151" t="str">
        <f>IF(MouserListTable[[#This Row],[Vendor]]=FilterSpecs!$A$8,MouserListTable[[#This Row],[Mouser SKU]], MouserListTable[[#This Row],[Supplier SKU]])</f>
        <v>474-PRT-08535</v>
      </c>
      <c r="E579" s="152">
        <f>MouserListTable[[#This Row],[Tot '#]]-MouserListTable[[#This Row],['# Initial]]</f>
        <v>0</v>
      </c>
      <c r="F579" s="152">
        <f>IF(AND(MouserListTable[[#This Row],[Tag]]&lt;&gt;FilterSpecs!$F$12, MouserListTable[[#This Row],[Tag]]&lt;&gt;FilterSpecs!$F$9), MouserListTable[[#This Row],['#/Unit]]*FilterSpecs!$B$3+MouserListTable[[#This Row],[Extra Initial]],0)</f>
        <v>0</v>
      </c>
      <c r="G579" s="150" t="s">
        <v>1518</v>
      </c>
      <c r="H579" s="150" t="s">
        <v>1519</v>
      </c>
      <c r="I579" s="150" t="s">
        <v>1520</v>
      </c>
      <c r="J579" s="150">
        <v>1</v>
      </c>
      <c r="K579" s="154">
        <v>1.5</v>
      </c>
      <c r="L579" s="151" t="s">
        <v>1896</v>
      </c>
      <c r="M579" s="150"/>
      <c r="N579" s="154">
        <f>MouserListTable[[#This Row],['# Initial]]*MouserListTable[[#This Row],[Price (USD)]]</f>
        <v>0</v>
      </c>
      <c r="O579" s="151" t="s">
        <v>1517</v>
      </c>
      <c r="P579" s="150">
        <f t="shared" si="10"/>
        <v>566</v>
      </c>
      <c r="Q579" s="150" t="s">
        <v>5</v>
      </c>
      <c r="R57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474-PRT-08535</v>
      </c>
      <c r="S579" s="157" t="str">
        <f>HYPERLINK("https://www.mouser.com/ProductDetail/" &amp;MouserListTable[[#This Row],[Mouser SKU]])</f>
        <v>https://www.mouser.com/ProductDetail/474-PRT-08535</v>
      </c>
      <c r="T579" s="152">
        <v>0</v>
      </c>
      <c r="U579" s="152">
        <v>0</v>
      </c>
      <c r="V579" s="152">
        <v>0</v>
      </c>
      <c r="W579" s="152">
        <f>MouserListTable[[#This Row],['#/Unit]]*FilterSpecs!$C$3+MouserListTable[[#This Row],[Extra]]</f>
        <v>0</v>
      </c>
      <c r="X579" s="152">
        <f>IF(MouserListTable[[#This Row],[Tag]]=FilterSpecs!$F$7,MouserListTable[[#This Row],['#/Unit]]*MouserListTable[[#This Row],[Price (USD)]],0)</f>
        <v>0</v>
      </c>
      <c r="Y579" s="152">
        <f>MouserListTable[[#This Row],[Tot '#]]*MouserListTable[[#This Row],[Price (USD)]]</f>
        <v>0</v>
      </c>
    </row>
    <row r="580" spans="1:25" x14ac:dyDescent="0.25">
      <c r="A580" s="98" t="s">
        <v>890</v>
      </c>
      <c r="B580" s="98" t="s">
        <v>2001</v>
      </c>
      <c r="C580" s="150" t="s">
        <v>1884</v>
      </c>
      <c r="D580" s="151" t="str">
        <f>IF(MouserListTable[[#This Row],[Vendor]]=FilterSpecs!$A$8,MouserListTable[[#This Row],[Mouser SKU]], MouserListTable[[#This Row],[Supplier SKU]])</f>
        <v>485-1675</v>
      </c>
      <c r="E580" s="152">
        <f>MouserListTable[[#This Row],[Tot '#]]-MouserListTable[[#This Row],['# Initial]]</f>
        <v>0</v>
      </c>
      <c r="F580" s="152">
        <f>IF(AND(MouserListTable[[#This Row],[Tag]]&lt;&gt;FilterSpecs!$F$12, MouserListTable[[#This Row],[Tag]]&lt;&gt;FilterSpecs!$F$9), MouserListTable[[#This Row],['#/Unit]]*FilterSpecs!$B$3+MouserListTable[[#This Row],[Extra Initial]],0)</f>
        <v>0</v>
      </c>
      <c r="G580" s="150"/>
      <c r="H580" s="150"/>
      <c r="I580" s="150" t="s">
        <v>2428</v>
      </c>
      <c r="J580" s="113">
        <v>103</v>
      </c>
      <c r="K580" s="119">
        <v>2.95</v>
      </c>
      <c r="L580" s="97" t="s">
        <v>1896</v>
      </c>
      <c r="M580" s="153"/>
      <c r="N580" s="154">
        <f>MouserListTable[[#This Row],['# Initial]]*MouserListTable[[#This Row],[Price (USD)]]</f>
        <v>0</v>
      </c>
      <c r="O580" s="113" t="s">
        <v>2429</v>
      </c>
      <c r="P580" s="150">
        <f t="shared" si="10"/>
        <v>567</v>
      </c>
      <c r="Q580" s="150" t="s">
        <v>1884</v>
      </c>
      <c r="R58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485-1675</v>
      </c>
      <c r="S580" s="157" t="str">
        <f>HYPERLINK("https://www.mouser.com/ProductDetail/" &amp;MouserListTable[[#This Row],[Mouser SKU]])</f>
        <v>https://www.mouser.com/ProductDetail/485-1675</v>
      </c>
      <c r="T580" s="152">
        <v>0</v>
      </c>
      <c r="U580" s="152">
        <v>0</v>
      </c>
      <c r="V580" s="152">
        <v>0</v>
      </c>
      <c r="W580" s="152">
        <f>MouserListTable[[#This Row],['#/Unit]]*FilterSpecs!$C$3+MouserListTable[[#This Row],[Extra]]</f>
        <v>0</v>
      </c>
      <c r="X580" s="152">
        <f>IF(MouserListTable[[#This Row],[Tag]]=FilterSpecs!$F$7,MouserListTable[[#This Row],['#/Unit]]*MouserListTable[[#This Row],[Price (USD)]],0)</f>
        <v>0</v>
      </c>
      <c r="Y580" s="152">
        <f>MouserListTable[[#This Row],[Tot '#]]*MouserListTable[[#This Row],[Price (USD)]]</f>
        <v>0</v>
      </c>
    </row>
    <row r="581" spans="1:25" x14ac:dyDescent="0.25">
      <c r="A581" s="97" t="s">
        <v>890</v>
      </c>
      <c r="B581" s="97" t="s">
        <v>2010</v>
      </c>
      <c r="C581" s="150" t="s">
        <v>5</v>
      </c>
      <c r="D581" s="151" t="str">
        <f>IF(MouserListTable[[#This Row],[Vendor]]=FilterSpecs!$A$8,MouserListTable[[#This Row],[Mouser SKU]], MouserListTable[[#This Row],[Supplier SKU]])</f>
        <v>474-COM-09939</v>
      </c>
      <c r="E581" s="152">
        <f>MouserListTable[[#This Row],[Tot '#]]-MouserListTable[[#This Row],['# Initial]]</f>
        <v>0</v>
      </c>
      <c r="F581" s="152">
        <f>IF(AND(MouserListTable[[#This Row],[Tag]]&lt;&gt;FilterSpecs!$F$12, MouserListTable[[#This Row],[Tag]]&lt;&gt;FilterSpecs!$F$9), MouserListTable[[#This Row],['#/Unit]]*FilterSpecs!$B$3+MouserListTable[[#This Row],[Extra Initial]],0)</f>
        <v>0</v>
      </c>
      <c r="G581" s="150" t="s">
        <v>993</v>
      </c>
      <c r="H581" s="150" t="s">
        <v>994</v>
      </c>
      <c r="I581" s="150" t="s">
        <v>995</v>
      </c>
      <c r="J581" s="150"/>
      <c r="K581" s="154">
        <v>0.95</v>
      </c>
      <c r="L581" s="150" t="s">
        <v>1896</v>
      </c>
      <c r="M581" s="150"/>
      <c r="N581" s="154">
        <f>MouserListTable[[#This Row],['# Initial]]*MouserListTable[[#This Row],[Price (USD)]]</f>
        <v>0</v>
      </c>
      <c r="O581" s="151" t="s">
        <v>992</v>
      </c>
      <c r="P581" s="150">
        <f t="shared" si="10"/>
        <v>568</v>
      </c>
      <c r="Q581" s="150" t="s">
        <v>5</v>
      </c>
      <c r="R58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474-COM-09939</v>
      </c>
      <c r="S581" s="157" t="str">
        <f>HYPERLINK("https://www.mouser.com/ProductDetail/" &amp;MouserListTable[[#This Row],[Mouser SKU]])</f>
        <v>https://www.mouser.com/ProductDetail/474-COM-09939</v>
      </c>
      <c r="T581" s="152">
        <v>0</v>
      </c>
      <c r="U581" s="152">
        <v>0</v>
      </c>
      <c r="V581" s="152">
        <v>0</v>
      </c>
      <c r="W581" s="152">
        <f>MouserListTable[[#This Row],['#/Unit]]*FilterSpecs!$C$3+MouserListTable[[#This Row],[Extra]]</f>
        <v>0</v>
      </c>
      <c r="X581" s="152">
        <f>IF(MouserListTable[[#This Row],[Tag]]=FilterSpecs!$F$7,MouserListTable[[#This Row],['#/Unit]]*MouserListTable[[#This Row],[Price (USD)]],0)</f>
        <v>0</v>
      </c>
      <c r="Y581" s="152">
        <f>MouserListTable[[#This Row],[Tot '#]]*MouserListTable[[#This Row],[Price (USD)]]</f>
        <v>0</v>
      </c>
    </row>
    <row r="582" spans="1:25" x14ac:dyDescent="0.25">
      <c r="A582" s="97" t="s">
        <v>890</v>
      </c>
      <c r="B582" s="97" t="s">
        <v>2010</v>
      </c>
      <c r="C582" s="150" t="s">
        <v>5</v>
      </c>
      <c r="D582" s="151" t="str">
        <f>IF(MouserListTable[[#This Row],[Vendor]]=FilterSpecs!$A$8,MouserListTable[[#This Row],[Mouser SKU]], MouserListTable[[#This Row],[Supplier SKU]])</f>
        <v>474-COM-09940</v>
      </c>
      <c r="E582" s="152">
        <f>MouserListTable[[#This Row],[Tot '#]]-MouserListTable[[#This Row],['# Initial]]</f>
        <v>0</v>
      </c>
      <c r="F582" s="152">
        <f>IF(AND(MouserListTable[[#This Row],[Tag]]&lt;&gt;FilterSpecs!$F$12, MouserListTable[[#This Row],[Tag]]&lt;&gt;FilterSpecs!$F$9), MouserListTable[[#This Row],['#/Unit]]*FilterSpecs!$B$3+MouserListTable[[#This Row],[Extra Initial]],0)</f>
        <v>0</v>
      </c>
      <c r="G582" s="150" t="s">
        <v>989</v>
      </c>
      <c r="H582" s="150" t="s">
        <v>990</v>
      </c>
      <c r="I582" s="150" t="s">
        <v>991</v>
      </c>
      <c r="J582" s="150">
        <v>1</v>
      </c>
      <c r="K582" s="154">
        <v>0.95</v>
      </c>
      <c r="L582" s="150" t="s">
        <v>1896</v>
      </c>
      <c r="M582" s="150"/>
      <c r="N582" s="154">
        <f>MouserListTable[[#This Row],['# Initial]]*MouserListTable[[#This Row],[Price (USD)]]</f>
        <v>0</v>
      </c>
      <c r="O582" s="151" t="s">
        <v>988</v>
      </c>
      <c r="P582" s="150">
        <f t="shared" si="10"/>
        <v>569</v>
      </c>
      <c r="Q582" s="150" t="s">
        <v>5</v>
      </c>
      <c r="R58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474-COM-09940</v>
      </c>
      <c r="S582" s="157" t="str">
        <f>HYPERLINK("https://www.mouser.com/ProductDetail/" &amp;MouserListTable[[#This Row],[Mouser SKU]])</f>
        <v>https://www.mouser.com/ProductDetail/474-COM-09940</v>
      </c>
      <c r="T582" s="152">
        <v>0</v>
      </c>
      <c r="U582" s="152">
        <v>0</v>
      </c>
      <c r="V582" s="152">
        <v>0</v>
      </c>
      <c r="W582" s="152">
        <f>MouserListTable[[#This Row],['#/Unit]]*FilterSpecs!$C$3+MouserListTable[[#This Row],[Extra]]</f>
        <v>0</v>
      </c>
      <c r="X582" s="152">
        <f>IF(MouserListTable[[#This Row],[Tag]]=FilterSpecs!$F$7,MouserListTable[[#This Row],['#/Unit]]*MouserListTable[[#This Row],[Price (USD)]],0)</f>
        <v>0</v>
      </c>
      <c r="Y582" s="152">
        <f>MouserListTable[[#This Row],[Tot '#]]*MouserListTable[[#This Row],[Price (USD)]]</f>
        <v>0</v>
      </c>
    </row>
    <row r="583" spans="1:25" x14ac:dyDescent="0.25">
      <c r="A583" s="150" t="s">
        <v>890</v>
      </c>
      <c r="B583" s="150" t="s">
        <v>2010</v>
      </c>
      <c r="C583" s="150" t="s">
        <v>5</v>
      </c>
      <c r="D583" s="151" t="str">
        <f>IF(MouserListTable[[#This Row],[Vendor]]=FilterSpecs!$A$8,MouserListTable[[#This Row],[Mouser SKU]], MouserListTable[[#This Row],[Supplier SKU]])</f>
        <v>474-COM-09288</v>
      </c>
      <c r="E583" s="152">
        <f>MouserListTable[[#This Row],[Tot '#]]-MouserListTable[[#This Row],['# Initial]]</f>
        <v>0</v>
      </c>
      <c r="F583" s="152">
        <f>IF(AND(MouserListTable[[#This Row],[Tag]]&lt;&gt;FilterSpecs!$F$12, MouserListTable[[#This Row],[Tag]]&lt;&gt;FilterSpecs!$F$9), MouserListTable[[#This Row],['#/Unit]]*FilterSpecs!$B$3+MouserListTable[[#This Row],[Extra Initial]],0)</f>
        <v>5</v>
      </c>
      <c r="G583" s="150" t="s">
        <v>997</v>
      </c>
      <c r="H583" s="150" t="s">
        <v>998</v>
      </c>
      <c r="I583" s="150" t="s">
        <v>999</v>
      </c>
      <c r="J583" s="150">
        <v>1</v>
      </c>
      <c r="K583" s="154">
        <v>0.95</v>
      </c>
      <c r="L583" s="151" t="s">
        <v>1897</v>
      </c>
      <c r="M583" s="150"/>
      <c r="N583" s="154">
        <f>MouserListTable[[#This Row],['# Initial]]*MouserListTable[[#This Row],[Price (USD)]]</f>
        <v>4.75</v>
      </c>
      <c r="O583" s="151" t="s">
        <v>996</v>
      </c>
      <c r="P583" s="150">
        <f t="shared" si="10"/>
        <v>570</v>
      </c>
      <c r="Q583" s="150" t="s">
        <v>5</v>
      </c>
      <c r="R58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474-COM-09288</v>
      </c>
      <c r="S583" s="157" t="str">
        <f>HYPERLINK("https://www.mouser.com/ProductDetail/" &amp;MouserListTable[[#This Row],[Mouser SKU]])</f>
        <v>https://www.mouser.com/ProductDetail/474-COM-09288</v>
      </c>
      <c r="T583" s="152">
        <v>1</v>
      </c>
      <c r="U583" s="152">
        <v>0</v>
      </c>
      <c r="V583" s="152">
        <v>0</v>
      </c>
      <c r="W583" s="152">
        <f>MouserListTable[[#This Row],['#/Unit]]*FilterSpecs!$C$3+MouserListTable[[#This Row],[Extra]]</f>
        <v>5</v>
      </c>
      <c r="X583" s="152">
        <f>IF(MouserListTable[[#This Row],[Tag]]=FilterSpecs!$F$7,MouserListTable[[#This Row],['#/Unit]]*MouserListTable[[#This Row],[Price (USD)]],0)</f>
        <v>0.95</v>
      </c>
      <c r="Y583" s="152">
        <f>MouserListTable[[#This Row],[Tot '#]]*MouserListTable[[#This Row],[Price (USD)]]</f>
        <v>4.75</v>
      </c>
    </row>
    <row r="584" spans="1:25" x14ac:dyDescent="0.25">
      <c r="A584" s="150" t="s">
        <v>890</v>
      </c>
      <c r="B584" s="150" t="s">
        <v>2010</v>
      </c>
      <c r="C584" s="150" t="s">
        <v>1884</v>
      </c>
      <c r="D584" s="151" t="str">
        <f>IF(MouserListTable[[#This Row],[Vendor]]=FilterSpecs!$A$8,MouserListTable[[#This Row],[Mouser SKU]], MouserListTable[[#This Row],[Supplier SKU]])</f>
        <v>485-3392</v>
      </c>
      <c r="E584" s="152">
        <f>MouserListTable[[#This Row],[Tot '#]]-MouserListTable[[#This Row],['# Initial]]</f>
        <v>0</v>
      </c>
      <c r="F584" s="152">
        <f>IF(AND(MouserListTable[[#This Row],[Tag]]&lt;&gt;FilterSpecs!$F$12, MouserListTable[[#This Row],[Tag]]&lt;&gt;FilterSpecs!$F$9), MouserListTable[[#This Row],['#/Unit]]*FilterSpecs!$B$3+MouserListTable[[#This Row],[Extra Initial]],0)</f>
        <v>0</v>
      </c>
      <c r="G584" s="150"/>
      <c r="H584" s="150"/>
      <c r="I584" s="150" t="s">
        <v>2215</v>
      </c>
      <c r="J584" s="153"/>
      <c r="K584" s="118">
        <v>1.5</v>
      </c>
      <c r="L584" s="97" t="s">
        <v>1896</v>
      </c>
      <c r="M584" s="153"/>
      <c r="N584" s="154">
        <f>MouserListTable[[#This Row],['# Initial]]*MouserListTable[[#This Row],[Price (USD)]]</f>
        <v>0</v>
      </c>
      <c r="O584" s="151" t="s">
        <v>2214</v>
      </c>
      <c r="P584" s="150">
        <f t="shared" si="10"/>
        <v>571</v>
      </c>
      <c r="Q584" s="150" t="s">
        <v>1884</v>
      </c>
      <c r="R58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485-3392</v>
      </c>
      <c r="S584" s="157" t="str">
        <f>HYPERLINK("https://www.mouser.com/ProductDetail/" &amp;MouserListTable[[#This Row],[Mouser SKU]])</f>
        <v>https://www.mouser.com/ProductDetail/485-3392</v>
      </c>
      <c r="T584" s="152">
        <v>0</v>
      </c>
      <c r="U584" s="152">
        <v>0</v>
      </c>
      <c r="V584" s="152">
        <v>0</v>
      </c>
      <c r="W584" s="152">
        <f>MouserListTable[[#This Row],['#/Unit]]*FilterSpecs!$C$3+MouserListTable[[#This Row],[Extra]]</f>
        <v>0</v>
      </c>
      <c r="X584" s="152">
        <f>IF(MouserListTable[[#This Row],[Tag]]=FilterSpecs!$F$7,MouserListTable[[#This Row],['#/Unit]]*MouserListTable[[#This Row],[Price (USD)]],0)</f>
        <v>0</v>
      </c>
      <c r="Y584" s="152">
        <f>MouserListTable[[#This Row],[Tot '#]]*MouserListTable[[#This Row],[Price (USD)]]</f>
        <v>0</v>
      </c>
    </row>
    <row r="585" spans="1:25" x14ac:dyDescent="0.25">
      <c r="A585" s="150" t="s">
        <v>890</v>
      </c>
      <c r="B585" s="150" t="s">
        <v>2010</v>
      </c>
      <c r="C585" s="150" t="s">
        <v>1884</v>
      </c>
      <c r="D585" s="151" t="str">
        <f>IF(MouserListTable[[#This Row],[Vendor]]=FilterSpecs!$A$8,MouserListTable[[#This Row],[Mouser SKU]], MouserListTable[[#This Row],[Supplier SKU]])</f>
        <v>485-3393</v>
      </c>
      <c r="E585" s="152">
        <f>MouserListTable[[#This Row],[Tot '#]]-MouserListTable[[#This Row],['# Initial]]</f>
        <v>0</v>
      </c>
      <c r="F585" s="152">
        <f>IF(AND(MouserListTable[[#This Row],[Tag]]&lt;&gt;FilterSpecs!$F$12, MouserListTable[[#This Row],[Tag]]&lt;&gt;FilterSpecs!$F$9), MouserListTable[[#This Row],['#/Unit]]*FilterSpecs!$B$3+MouserListTable[[#This Row],[Extra Initial]],0)</f>
        <v>0</v>
      </c>
      <c r="G585" s="150"/>
      <c r="H585" s="150"/>
      <c r="I585" s="150" t="s">
        <v>2217</v>
      </c>
      <c r="J585" s="153"/>
      <c r="K585" s="118">
        <v>1.75</v>
      </c>
      <c r="L585" s="97" t="s">
        <v>1896</v>
      </c>
      <c r="M585" s="153"/>
      <c r="N585" s="154">
        <f>MouserListTable[[#This Row],['# Initial]]*MouserListTable[[#This Row],[Price (USD)]]</f>
        <v>0</v>
      </c>
      <c r="O585" s="151" t="s">
        <v>2216</v>
      </c>
      <c r="P585" s="150">
        <f t="shared" si="10"/>
        <v>572</v>
      </c>
      <c r="Q585" s="150" t="s">
        <v>1884</v>
      </c>
      <c r="R58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485-3393</v>
      </c>
      <c r="S585" s="157" t="str">
        <f>HYPERLINK("https://www.mouser.com/ProductDetail/" &amp;MouserListTable[[#This Row],[Mouser SKU]])</f>
        <v>https://www.mouser.com/ProductDetail/485-3393</v>
      </c>
      <c r="T585" s="152">
        <v>0</v>
      </c>
      <c r="U585" s="152">
        <v>0</v>
      </c>
      <c r="V585" s="152">
        <v>0</v>
      </c>
      <c r="W585" s="152">
        <f>MouserListTable[[#This Row],['#/Unit]]*FilterSpecs!$C$3+MouserListTable[[#This Row],[Extra]]</f>
        <v>0</v>
      </c>
      <c r="X585" s="152">
        <f>IF(MouserListTable[[#This Row],[Tag]]=FilterSpecs!$F$7,MouserListTable[[#This Row],['#/Unit]]*MouserListTable[[#This Row],[Price (USD)]],0)</f>
        <v>0</v>
      </c>
      <c r="Y585" s="152">
        <f>MouserListTable[[#This Row],[Tot '#]]*MouserListTable[[#This Row],[Price (USD)]]</f>
        <v>0</v>
      </c>
    </row>
    <row r="586" spans="1:25" x14ac:dyDescent="0.25">
      <c r="A586" s="150" t="s">
        <v>890</v>
      </c>
      <c r="B586" s="150" t="s">
        <v>2010</v>
      </c>
      <c r="C586" s="150" t="s">
        <v>1884</v>
      </c>
      <c r="D586" s="151" t="str">
        <f>IF(MouserListTable[[#This Row],[Vendor]]=FilterSpecs!$A$8,MouserListTable[[#This Row],[Mouser SKU]], MouserListTable[[#This Row],[Supplier SKU]])</f>
        <v>485-562</v>
      </c>
      <c r="E586" s="152">
        <f>MouserListTable[[#This Row],[Tot '#]]-MouserListTable[[#This Row],['# Initial]]</f>
        <v>0</v>
      </c>
      <c r="F586" s="152">
        <f>IF(AND(MouserListTable[[#This Row],[Tag]]&lt;&gt;FilterSpecs!$F$12, MouserListTable[[#This Row],[Tag]]&lt;&gt;FilterSpecs!$F$9), MouserListTable[[#This Row],['#/Unit]]*FilterSpecs!$B$3+MouserListTable[[#This Row],[Extra Initial]],0)</f>
        <v>0</v>
      </c>
      <c r="G586" s="150"/>
      <c r="H586" s="150"/>
      <c r="I586" s="150" t="s">
        <v>2219</v>
      </c>
      <c r="J586" s="153"/>
      <c r="K586" s="118">
        <v>0.95</v>
      </c>
      <c r="L586" s="97" t="s">
        <v>1896</v>
      </c>
      <c r="M586" s="153"/>
      <c r="N586" s="154">
        <f>MouserListTable[[#This Row],['# Initial]]*MouserListTable[[#This Row],[Price (USD)]]</f>
        <v>0</v>
      </c>
      <c r="O586" s="151" t="s">
        <v>2218</v>
      </c>
      <c r="P586" s="150">
        <f t="shared" si="10"/>
        <v>573</v>
      </c>
      <c r="Q586" s="150" t="s">
        <v>1884</v>
      </c>
      <c r="R58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485-562</v>
      </c>
      <c r="S586" s="157" t="str">
        <f>HYPERLINK("https://www.mouser.com/ProductDetail/" &amp;MouserListTable[[#This Row],[Mouser SKU]])</f>
        <v>https://www.mouser.com/ProductDetail/485-562</v>
      </c>
      <c r="T586" s="152">
        <v>0</v>
      </c>
      <c r="U586" s="152">
        <v>0</v>
      </c>
      <c r="V586" s="152">
        <v>0</v>
      </c>
      <c r="W586" s="152">
        <f>MouserListTable[[#This Row],['#/Unit]]*FilterSpecs!$C$3+MouserListTable[[#This Row],[Extra]]</f>
        <v>0</v>
      </c>
      <c r="X586" s="152">
        <f>IF(MouserListTable[[#This Row],[Tag]]=FilterSpecs!$F$7,MouserListTable[[#This Row],['#/Unit]]*MouserListTable[[#This Row],[Price (USD)]],0)</f>
        <v>0</v>
      </c>
      <c r="Y586" s="152">
        <f>MouserListTable[[#This Row],[Tot '#]]*MouserListTable[[#This Row],[Price (USD)]]</f>
        <v>0</v>
      </c>
    </row>
    <row r="587" spans="1:25" x14ac:dyDescent="0.25">
      <c r="A587" s="150" t="s">
        <v>890</v>
      </c>
      <c r="B587" s="150" t="s">
        <v>2010</v>
      </c>
      <c r="C587" s="150" t="s">
        <v>1884</v>
      </c>
      <c r="D587" s="151" t="str">
        <f>IF(MouserListTable[[#This Row],[Vendor]]=FilterSpecs!$A$8,MouserListTable[[#This Row],[Mouser SKU]], MouserListTable[[#This Row],[Supplier SKU]])</f>
        <v>485-1789</v>
      </c>
      <c r="E587" s="152">
        <f>MouserListTable[[#This Row],[Tot '#]]-MouserListTable[[#This Row],['# Initial]]</f>
        <v>0</v>
      </c>
      <c r="F587" s="152">
        <f>IF(AND(MouserListTable[[#This Row],[Tag]]&lt;&gt;FilterSpecs!$F$12, MouserListTable[[#This Row],[Tag]]&lt;&gt;FilterSpecs!$F$9), MouserListTable[[#This Row],['#/Unit]]*FilterSpecs!$B$3+MouserListTable[[#This Row],[Extra Initial]],0)</f>
        <v>0</v>
      </c>
      <c r="G587" s="150"/>
      <c r="H587" s="150"/>
      <c r="I587" s="150" t="s">
        <v>2221</v>
      </c>
      <c r="J587" s="153"/>
      <c r="K587" s="118">
        <v>0.95</v>
      </c>
      <c r="L587" s="97" t="s">
        <v>1896</v>
      </c>
      <c r="M587" s="153"/>
      <c r="N587" s="154">
        <f>MouserListTable[[#This Row],['# Initial]]*MouserListTable[[#This Row],[Price (USD)]]</f>
        <v>0</v>
      </c>
      <c r="O587" s="151" t="s">
        <v>2220</v>
      </c>
      <c r="P587" s="150">
        <f t="shared" si="10"/>
        <v>574</v>
      </c>
      <c r="Q587" s="150" t="s">
        <v>1884</v>
      </c>
      <c r="R58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485-1789</v>
      </c>
      <c r="S587" s="157" t="str">
        <f>HYPERLINK("https://www.mouser.com/ProductDetail/" &amp;MouserListTable[[#This Row],[Mouser SKU]])</f>
        <v>https://www.mouser.com/ProductDetail/485-1789</v>
      </c>
      <c r="T587" s="152">
        <v>0</v>
      </c>
      <c r="U587" s="152">
        <v>0</v>
      </c>
      <c r="V587" s="152">
        <v>0</v>
      </c>
      <c r="W587" s="152">
        <f>MouserListTable[[#This Row],['#/Unit]]*FilterSpecs!$C$3+MouserListTable[[#This Row],[Extra]]</f>
        <v>0</v>
      </c>
      <c r="X587" s="152">
        <f>IF(MouserListTable[[#This Row],[Tag]]=FilterSpecs!$F$7,MouserListTable[[#This Row],['#/Unit]]*MouserListTable[[#This Row],[Price (USD)]],0)</f>
        <v>0</v>
      </c>
      <c r="Y587" s="152">
        <f>MouserListTable[[#This Row],[Tot '#]]*MouserListTable[[#This Row],[Price (USD)]]</f>
        <v>0</v>
      </c>
    </row>
    <row r="588" spans="1:25" x14ac:dyDescent="0.25">
      <c r="A588" s="150" t="s">
        <v>890</v>
      </c>
      <c r="B588" s="150" t="s">
        <v>2010</v>
      </c>
      <c r="C588" s="150" t="s">
        <v>1884</v>
      </c>
      <c r="D588" s="151" t="str">
        <f>IF(MouserListTable[[#This Row],[Vendor]]=FilterSpecs!$A$8,MouserListTable[[#This Row],[Mouser SKU]], MouserListTable[[#This Row],[Supplier SKU]])</f>
        <v>485-3395</v>
      </c>
      <c r="E588" s="152">
        <f>MouserListTable[[#This Row],[Tot '#]]-MouserListTable[[#This Row],['# Initial]]</f>
        <v>0</v>
      </c>
      <c r="F588" s="152">
        <f>IF(AND(MouserListTable[[#This Row],[Tag]]&lt;&gt;FilterSpecs!$F$12, MouserListTable[[#This Row],[Tag]]&lt;&gt;FilterSpecs!$F$9), MouserListTable[[#This Row],['#/Unit]]*FilterSpecs!$B$3+MouserListTable[[#This Row],[Extra Initial]],0)</f>
        <v>5</v>
      </c>
      <c r="G588" s="150"/>
      <c r="H588" s="150"/>
      <c r="I588" s="150" t="s">
        <v>2223</v>
      </c>
      <c r="J588" s="153"/>
      <c r="K588" s="154">
        <v>1.5</v>
      </c>
      <c r="L588" s="151" t="s">
        <v>1897</v>
      </c>
      <c r="M588" s="151"/>
      <c r="N588" s="154">
        <f>MouserListTable[[#This Row],['# Initial]]*MouserListTable[[#This Row],[Price (USD)]]</f>
        <v>7.5</v>
      </c>
      <c r="O588" s="151" t="s">
        <v>2222</v>
      </c>
      <c r="P588" s="150">
        <f t="shared" si="10"/>
        <v>575</v>
      </c>
      <c r="Q588" s="150" t="s">
        <v>1884</v>
      </c>
      <c r="R58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485-3395</v>
      </c>
      <c r="S588" s="157" t="str">
        <f>HYPERLINK("https://www.mouser.com/ProductDetail/" &amp;MouserListTable[[#This Row],[Mouser SKU]])</f>
        <v>https://www.mouser.com/ProductDetail/485-3395</v>
      </c>
      <c r="T588" s="152">
        <v>1</v>
      </c>
      <c r="U588" s="152">
        <v>0</v>
      </c>
      <c r="V588" s="152">
        <v>0</v>
      </c>
      <c r="W588" s="152">
        <f>MouserListTable[[#This Row],['#/Unit]]*FilterSpecs!$C$3+MouserListTable[[#This Row],[Extra]]</f>
        <v>5</v>
      </c>
      <c r="X588" s="152">
        <f>IF(MouserListTable[[#This Row],[Tag]]=FilterSpecs!$F$7,MouserListTable[[#This Row],['#/Unit]]*MouserListTable[[#This Row],[Price (USD)]],0)</f>
        <v>1.5</v>
      </c>
      <c r="Y588" s="152">
        <f>MouserListTable[[#This Row],[Tot '#]]*MouserListTable[[#This Row],[Price (USD)]]</f>
        <v>7.5</v>
      </c>
    </row>
    <row r="589" spans="1:25" x14ac:dyDescent="0.25">
      <c r="A589" s="97" t="s">
        <v>890</v>
      </c>
      <c r="B589" s="97" t="s">
        <v>2010</v>
      </c>
      <c r="C589" s="150" t="s">
        <v>5</v>
      </c>
      <c r="D589" s="151" t="str">
        <f>IF(MouserListTable[[#This Row],[Vendor]]=FilterSpecs!$A$8,MouserListTable[[#This Row],[Mouser SKU]], MouserListTable[[#This Row],[Supplier SKU]])</f>
        <v>474-COM-09117</v>
      </c>
      <c r="E589" s="152">
        <f>MouserListTable[[#This Row],[Tot '#]]-MouserListTable[[#This Row],['# Initial]]</f>
        <v>0</v>
      </c>
      <c r="F589" s="152">
        <f>IF(AND(MouserListTable[[#This Row],[Tag]]&lt;&gt;FilterSpecs!$F$12, MouserListTable[[#This Row],[Tag]]&lt;&gt;FilterSpecs!$F$9), MouserListTable[[#This Row],['#/Unit]]*FilterSpecs!$B$3+MouserListTable[[#This Row],[Extra Initial]],0)</f>
        <v>0</v>
      </c>
      <c r="G589" s="150" t="s">
        <v>1001</v>
      </c>
      <c r="H589" s="150" t="s">
        <v>1002</v>
      </c>
      <c r="I589" s="150" t="s">
        <v>1003</v>
      </c>
      <c r="J589" s="150">
        <v>1</v>
      </c>
      <c r="K589" s="154">
        <v>2.95</v>
      </c>
      <c r="L589" s="150" t="s">
        <v>1896</v>
      </c>
      <c r="M589" s="150"/>
      <c r="N589" s="154">
        <f>MouserListTable[[#This Row],['# Initial]]*MouserListTable[[#This Row],[Price (USD)]]</f>
        <v>0</v>
      </c>
      <c r="O589" s="151" t="s">
        <v>1000</v>
      </c>
      <c r="P589" s="150">
        <f t="shared" si="10"/>
        <v>576</v>
      </c>
      <c r="Q589" s="150" t="s">
        <v>5</v>
      </c>
      <c r="R58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474-COM-09117</v>
      </c>
      <c r="S589" s="157" t="str">
        <f>HYPERLINK("https://www.mouser.com/ProductDetail/" &amp;MouserListTable[[#This Row],[Mouser SKU]])</f>
        <v>https://www.mouser.com/ProductDetail/474-COM-09117</v>
      </c>
      <c r="T589" s="152">
        <v>0</v>
      </c>
      <c r="U589" s="152">
        <v>0</v>
      </c>
      <c r="V589" s="152">
        <v>0</v>
      </c>
      <c r="W589" s="152">
        <f>MouserListTable[[#This Row],['#/Unit]]*FilterSpecs!$C$3+MouserListTable[[#This Row],[Extra]]</f>
        <v>0</v>
      </c>
      <c r="X589" s="152">
        <f>IF(MouserListTable[[#This Row],[Tag]]=FilterSpecs!$F$7,MouserListTable[[#This Row],['#/Unit]]*MouserListTable[[#This Row],[Price (USD)]],0)</f>
        <v>0</v>
      </c>
      <c r="Y589" s="152">
        <f>MouserListTable[[#This Row],[Tot '#]]*MouserListTable[[#This Row],[Price (USD)]]</f>
        <v>0</v>
      </c>
    </row>
    <row r="590" spans="1:25" x14ac:dyDescent="0.25">
      <c r="A590" s="97" t="s">
        <v>890</v>
      </c>
      <c r="B590" s="97" t="s">
        <v>2010</v>
      </c>
      <c r="C590" s="150" t="s">
        <v>5</v>
      </c>
      <c r="D590" s="151" t="str">
        <f>IF(MouserListTable[[#This Row],[Vendor]]=FilterSpecs!$A$8,MouserListTable[[#This Row],[Mouser SKU]], MouserListTable[[#This Row],[Supplier SKU]])</f>
        <v>474-COM-10596</v>
      </c>
      <c r="E590" s="152">
        <f>MouserListTable[[#This Row],[Tot '#]]-MouserListTable[[#This Row],['# Initial]]</f>
        <v>0</v>
      </c>
      <c r="F590" s="152">
        <f>IF(AND(MouserListTable[[#This Row],[Tag]]&lt;&gt;FilterSpecs!$F$12, MouserListTable[[#This Row],[Tag]]&lt;&gt;FilterSpecs!$F$9), MouserListTable[[#This Row],['#/Unit]]*FilterSpecs!$B$3+MouserListTable[[#This Row],[Extra Initial]],0)</f>
        <v>0</v>
      </c>
      <c r="G590" s="150" t="s">
        <v>1692</v>
      </c>
      <c r="H590" s="150" t="s">
        <v>1693</v>
      </c>
      <c r="I590" s="150" t="s">
        <v>1694</v>
      </c>
      <c r="J590" s="150">
        <v>1</v>
      </c>
      <c r="K590" s="154">
        <v>2.95</v>
      </c>
      <c r="L590" s="150" t="s">
        <v>1899</v>
      </c>
      <c r="M590" s="150"/>
      <c r="N590" s="154">
        <f>MouserListTable[[#This Row],['# Initial]]*MouserListTable[[#This Row],[Price (USD)]]</f>
        <v>0</v>
      </c>
      <c r="O590" s="151" t="s">
        <v>1691</v>
      </c>
      <c r="P590" s="150">
        <f t="shared" ref="P590:P647" si="11">IF($P589="List #",1,$P589+1)</f>
        <v>577</v>
      </c>
      <c r="Q590" s="150" t="s">
        <v>5</v>
      </c>
      <c r="R59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474-COM-10596</v>
      </c>
      <c r="S590" s="157" t="str">
        <f>HYPERLINK("https://www.mouser.com/ProductDetail/" &amp;MouserListTable[[#This Row],[Mouser SKU]])</f>
        <v>https://www.mouser.com/ProductDetail/474-COM-10596</v>
      </c>
      <c r="T590" s="152">
        <v>0</v>
      </c>
      <c r="U590" s="152">
        <v>0</v>
      </c>
      <c r="V590" s="152">
        <v>0</v>
      </c>
      <c r="W590" s="152">
        <f>MouserListTable[[#This Row],['#/Unit]]*FilterSpecs!$C$3+MouserListTable[[#This Row],[Extra]]</f>
        <v>0</v>
      </c>
      <c r="X590" s="152">
        <f>IF(MouserListTable[[#This Row],[Tag]]=FilterSpecs!$F$7,MouserListTable[[#This Row],['#/Unit]]*MouserListTable[[#This Row],[Price (USD)]],0)</f>
        <v>0</v>
      </c>
      <c r="Y590" s="152">
        <f>MouserListTable[[#This Row],[Tot '#]]*MouserListTable[[#This Row],[Price (USD)]]</f>
        <v>0</v>
      </c>
    </row>
    <row r="591" spans="1:25" x14ac:dyDescent="0.25">
      <c r="A591" s="97" t="s">
        <v>890</v>
      </c>
      <c r="B591" s="97" t="s">
        <v>2010</v>
      </c>
      <c r="C591" s="150" t="s">
        <v>5</v>
      </c>
      <c r="D591" s="151" t="str">
        <f>IF(MouserListTable[[#This Row],[Vendor]]=FilterSpecs!$A$8,MouserListTable[[#This Row],[Mouser SKU]], MouserListTable[[#This Row],[Supplier SKU]])</f>
        <v>474-COM-10982</v>
      </c>
      <c r="E591" s="152">
        <f>MouserListTable[[#This Row],[Tot '#]]-MouserListTable[[#This Row],['# Initial]]</f>
        <v>0</v>
      </c>
      <c r="F591" s="152">
        <f>IF(AND(MouserListTable[[#This Row],[Tag]]&lt;&gt;FilterSpecs!$F$12, MouserListTable[[#This Row],[Tag]]&lt;&gt;FilterSpecs!$F$9), MouserListTable[[#This Row],['#/Unit]]*FilterSpecs!$B$3+MouserListTable[[#This Row],[Extra Initial]],0)</f>
        <v>0</v>
      </c>
      <c r="G591" s="150" t="s">
        <v>1672</v>
      </c>
      <c r="H591" s="150" t="s">
        <v>1673</v>
      </c>
      <c r="I591" s="150" t="s">
        <v>1674</v>
      </c>
      <c r="J591" s="150">
        <v>1</v>
      </c>
      <c r="K591" s="154">
        <v>3.95</v>
      </c>
      <c r="L591" s="150" t="s">
        <v>1896</v>
      </c>
      <c r="M591" s="150"/>
      <c r="N591" s="154">
        <f>MouserListTable[[#This Row],['# Initial]]*MouserListTable[[#This Row],[Price (USD)]]</f>
        <v>0</v>
      </c>
      <c r="O591" s="151" t="s">
        <v>1671</v>
      </c>
      <c r="P591" s="150">
        <f t="shared" si="11"/>
        <v>578</v>
      </c>
      <c r="Q591" s="150" t="s">
        <v>5</v>
      </c>
      <c r="R59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474-COM-10982</v>
      </c>
      <c r="S591" s="157" t="str">
        <f>HYPERLINK("https://www.mouser.com/ProductDetail/" &amp;MouserListTable[[#This Row],[Mouser SKU]])</f>
        <v>https://www.mouser.com/ProductDetail/474-COM-10982</v>
      </c>
      <c r="T591" s="152">
        <v>0</v>
      </c>
      <c r="U591" s="152">
        <v>0</v>
      </c>
      <c r="V591" s="152">
        <v>0</v>
      </c>
      <c r="W591" s="152">
        <f>MouserListTable[[#This Row],['#/Unit]]*FilterSpecs!$C$3+MouserListTable[[#This Row],[Extra]]</f>
        <v>0</v>
      </c>
      <c r="X591" s="152">
        <f>IF(MouserListTable[[#This Row],[Tag]]=FilterSpecs!$F$7,MouserListTable[[#This Row],['#/Unit]]*MouserListTable[[#This Row],[Price (USD)]],0)</f>
        <v>0</v>
      </c>
      <c r="Y591" s="152">
        <f>MouserListTable[[#This Row],[Tot '#]]*MouserListTable[[#This Row],[Price (USD)]]</f>
        <v>0</v>
      </c>
    </row>
    <row r="592" spans="1:25" x14ac:dyDescent="0.25">
      <c r="A592" s="97" t="s">
        <v>890</v>
      </c>
      <c r="B592" s="97" t="s">
        <v>2010</v>
      </c>
      <c r="C592" s="150" t="s">
        <v>5</v>
      </c>
      <c r="D592" s="151" t="str">
        <f>IF(MouserListTable[[#This Row],[Vendor]]=FilterSpecs!$A$8,MouserListTable[[#This Row],[Mouser SKU]], MouserListTable[[#This Row],[Supplier SKU]])</f>
        <v>474-BOB-11722</v>
      </c>
      <c r="E592" s="152">
        <f>MouserListTable[[#This Row],[Tot '#]]-MouserListTable[[#This Row],['# Initial]]</f>
        <v>0</v>
      </c>
      <c r="F592" s="152">
        <f>IF(AND(MouserListTable[[#This Row],[Tag]]&lt;&gt;FilterSpecs!$F$12, MouserListTable[[#This Row],[Tag]]&lt;&gt;FilterSpecs!$F$9), MouserListTable[[#This Row],['#/Unit]]*FilterSpecs!$B$3+MouserListTable[[#This Row],[Extra Initial]],0)</f>
        <v>0</v>
      </c>
      <c r="G592" s="150" t="s">
        <v>1720</v>
      </c>
      <c r="H592" s="150" t="s">
        <v>1721</v>
      </c>
      <c r="I592" s="150" t="s">
        <v>1722</v>
      </c>
      <c r="J592" s="150">
        <v>1</v>
      </c>
      <c r="K592" s="154">
        <v>2.95</v>
      </c>
      <c r="L592" s="150" t="s">
        <v>1898</v>
      </c>
      <c r="M592" s="150"/>
      <c r="N592" s="154">
        <f>MouserListTable[[#This Row],['# Initial]]*MouserListTable[[#This Row],[Price (USD)]]</f>
        <v>0</v>
      </c>
      <c r="O592" s="151" t="s">
        <v>1719</v>
      </c>
      <c r="P592" s="150">
        <f t="shared" si="11"/>
        <v>579</v>
      </c>
      <c r="Q592" s="150" t="s">
        <v>5</v>
      </c>
      <c r="R59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474-BOB-11722</v>
      </c>
      <c r="S592" s="157" t="str">
        <f>HYPERLINK("https://www.mouser.com/ProductDetail/" &amp;MouserListTable[[#This Row],[Mouser SKU]])</f>
        <v>https://www.mouser.com/ProductDetail/474-BOB-11722</v>
      </c>
      <c r="T592" s="152">
        <v>0</v>
      </c>
      <c r="U592" s="152">
        <v>0</v>
      </c>
      <c r="V592" s="152">
        <v>0</v>
      </c>
      <c r="W592" s="152">
        <f>MouserListTable[[#This Row],['#/Unit]]*FilterSpecs!$C$3+MouserListTable[[#This Row],[Extra]]</f>
        <v>0</v>
      </c>
      <c r="X592" s="152">
        <f>IF(MouserListTable[[#This Row],[Tag]]=FilterSpecs!$F$7,MouserListTable[[#This Row],['#/Unit]]*MouserListTable[[#This Row],[Price (USD)]],0)</f>
        <v>0</v>
      </c>
      <c r="Y592" s="152">
        <f>MouserListTable[[#This Row],[Tot '#]]*MouserListTable[[#This Row],[Price (USD)]]</f>
        <v>0</v>
      </c>
    </row>
    <row r="593" spans="1:25" x14ac:dyDescent="0.25">
      <c r="A593" s="150" t="s">
        <v>890</v>
      </c>
      <c r="B593" s="150" t="s">
        <v>2010</v>
      </c>
      <c r="C593" s="150" t="s">
        <v>1884</v>
      </c>
      <c r="D593" s="151" t="str">
        <f>IF(MouserListTable[[#This Row],[Vendor]]=FilterSpecs!$A$8,MouserListTable[[#This Row],[Mouser SKU]], MouserListTable[[#This Row],[Supplier SKU]])</f>
        <v>485-377</v>
      </c>
      <c r="E593" s="152">
        <f>MouserListTable[[#This Row],[Tot '#]]-MouserListTable[[#This Row],['# Initial]]</f>
        <v>0</v>
      </c>
      <c r="F593" s="152">
        <f>IF(AND(MouserListTable[[#This Row],[Tag]]&lt;&gt;FilterSpecs!$F$12, MouserListTable[[#This Row],[Tag]]&lt;&gt;FilterSpecs!$F$9), MouserListTable[[#This Row],['#/Unit]]*FilterSpecs!$B$3+MouserListTable[[#This Row],[Extra Initial]],0)</f>
        <v>0</v>
      </c>
      <c r="G593" s="150"/>
      <c r="H593" s="150"/>
      <c r="I593" s="150" t="s">
        <v>2225</v>
      </c>
      <c r="J593" s="153"/>
      <c r="K593" s="118">
        <v>4.5</v>
      </c>
      <c r="L593" s="97" t="s">
        <v>1898</v>
      </c>
      <c r="M593" s="153"/>
      <c r="N593" s="154">
        <f>MouserListTable[[#This Row],['# Initial]]*MouserListTable[[#This Row],[Price (USD)]]</f>
        <v>0</v>
      </c>
      <c r="O593" s="151" t="s">
        <v>2224</v>
      </c>
      <c r="P593" s="150">
        <f t="shared" si="11"/>
        <v>580</v>
      </c>
      <c r="Q593" s="150" t="s">
        <v>1884</v>
      </c>
      <c r="R59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485-377</v>
      </c>
      <c r="S593" s="157" t="str">
        <f>HYPERLINK("https://www.mouser.com/ProductDetail/" &amp;MouserListTable[[#This Row],[Mouser SKU]])</f>
        <v>https://www.mouser.com/ProductDetail/485-377</v>
      </c>
      <c r="T593" s="152">
        <v>0</v>
      </c>
      <c r="U593" s="152">
        <v>0</v>
      </c>
      <c r="V593" s="152">
        <v>0</v>
      </c>
      <c r="W593" s="152">
        <f>MouserListTable[[#This Row],['#/Unit]]*FilterSpecs!$C$3+MouserListTable[[#This Row],[Extra]]</f>
        <v>0</v>
      </c>
      <c r="X593" s="152">
        <f>IF(MouserListTable[[#This Row],[Tag]]=FilterSpecs!$F$7,MouserListTable[[#This Row],['#/Unit]]*MouserListTable[[#This Row],[Price (USD)]],0)</f>
        <v>0</v>
      </c>
      <c r="Y593" s="152">
        <f>MouserListTable[[#This Row],[Tot '#]]*MouserListTable[[#This Row],[Price (USD)]]</f>
        <v>0</v>
      </c>
    </row>
    <row r="594" spans="1:25" x14ac:dyDescent="0.25">
      <c r="A594" s="150" t="s">
        <v>890</v>
      </c>
      <c r="B594" s="150" t="s">
        <v>2010</v>
      </c>
      <c r="C594" s="150" t="s">
        <v>5</v>
      </c>
      <c r="D594" s="151" t="str">
        <f>IF(MouserListTable[[#This Row],[Vendor]]=FilterSpecs!$A$8,MouserListTable[[#This Row],[Mouser SKU]], MouserListTable[[#This Row],[Supplier SKU]])</f>
        <v>474-COM-13253</v>
      </c>
      <c r="E594" s="152">
        <f>MouserListTable[[#This Row],[Tot '#]]-MouserListTable[[#This Row],['# Initial]]</f>
        <v>0</v>
      </c>
      <c r="F594" s="152">
        <f>IF(AND(MouserListTable[[#This Row],[Tag]]&lt;&gt;FilterSpecs!$F$12, MouserListTable[[#This Row],[Tag]]&lt;&gt;FilterSpecs!$F$9), MouserListTable[[#This Row],['#/Unit]]*FilterSpecs!$B$3+MouserListTable[[#This Row],[Extra Initial]],0)</f>
        <v>5</v>
      </c>
      <c r="G594" s="150" t="s">
        <v>1109</v>
      </c>
      <c r="H594" s="150" t="s">
        <v>1110</v>
      </c>
      <c r="I594" s="150" t="s">
        <v>1111</v>
      </c>
      <c r="J594" s="150">
        <v>1</v>
      </c>
      <c r="K594" s="154">
        <v>1.95</v>
      </c>
      <c r="L594" s="151" t="s">
        <v>1897</v>
      </c>
      <c r="M594" s="150"/>
      <c r="N594" s="154">
        <f>MouserListTable[[#This Row],['# Initial]]*MouserListTable[[#This Row],[Price (USD)]]</f>
        <v>9.75</v>
      </c>
      <c r="O594" s="151" t="s">
        <v>1108</v>
      </c>
      <c r="P594" s="150">
        <f t="shared" si="11"/>
        <v>581</v>
      </c>
      <c r="Q594" s="150" t="s">
        <v>5</v>
      </c>
      <c r="R59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474-COM-13253</v>
      </c>
      <c r="S594" s="157" t="str">
        <f>HYPERLINK("https://www.mouser.com/ProductDetail/" &amp;MouserListTable[[#This Row],[Mouser SKU]])</f>
        <v>https://www.mouser.com/ProductDetail/474-COM-13253</v>
      </c>
      <c r="T594" s="152">
        <v>1</v>
      </c>
      <c r="U594" s="152">
        <v>0</v>
      </c>
      <c r="V594" s="152">
        <v>0</v>
      </c>
      <c r="W594" s="152">
        <f>MouserListTable[[#This Row],['#/Unit]]*FilterSpecs!$C$3+MouserListTable[[#This Row],[Extra]]</f>
        <v>5</v>
      </c>
      <c r="X594" s="152">
        <f>IF(MouserListTable[[#This Row],[Tag]]=FilterSpecs!$F$7,MouserListTable[[#This Row],['#/Unit]]*MouserListTable[[#This Row],[Price (USD)]],0)</f>
        <v>1.95</v>
      </c>
      <c r="Y594" s="152">
        <f>MouserListTable[[#This Row],[Tot '#]]*MouserListTable[[#This Row],[Price (USD)]]</f>
        <v>9.75</v>
      </c>
    </row>
    <row r="595" spans="1:25" x14ac:dyDescent="0.25">
      <c r="A595" s="150" t="s">
        <v>890</v>
      </c>
      <c r="B595" s="150" t="s">
        <v>2010</v>
      </c>
      <c r="C595" s="150" t="s">
        <v>5</v>
      </c>
      <c r="D595" s="151" t="str">
        <f>IF(MouserListTable[[#This Row],[Vendor]]=FilterSpecs!$A$8,MouserListTable[[#This Row],[Mouser SKU]], MouserListTable[[#This Row],[Supplier SKU]])</f>
        <v>474-BOB-13098</v>
      </c>
      <c r="E595" s="152">
        <f>MouserListTable[[#This Row],[Tot '#]]-MouserListTable[[#This Row],['# Initial]]</f>
        <v>0</v>
      </c>
      <c r="F595" s="152">
        <f>IF(AND(MouserListTable[[#This Row],[Tag]]&lt;&gt;FilterSpecs!$F$12, MouserListTable[[#This Row],[Tag]]&lt;&gt;FilterSpecs!$F$9), MouserListTable[[#This Row],['#/Unit]]*FilterSpecs!$B$3+MouserListTable[[#This Row],[Extra Initial]],0)</f>
        <v>5</v>
      </c>
      <c r="G595" s="150" t="s">
        <v>1105</v>
      </c>
      <c r="H595" s="150" t="s">
        <v>1106</v>
      </c>
      <c r="I595" s="150" t="s">
        <v>1107</v>
      </c>
      <c r="J595" s="150">
        <v>1</v>
      </c>
      <c r="K595" s="154">
        <v>1.95</v>
      </c>
      <c r="L595" s="151" t="s">
        <v>1897</v>
      </c>
      <c r="M595" s="150"/>
      <c r="N595" s="154">
        <f>MouserListTable[[#This Row],['# Initial]]*MouserListTable[[#This Row],[Price (USD)]]</f>
        <v>9.75</v>
      </c>
      <c r="O595" s="151" t="s">
        <v>1104</v>
      </c>
      <c r="P595" s="150">
        <f t="shared" si="11"/>
        <v>582</v>
      </c>
      <c r="Q595" s="150" t="s">
        <v>5</v>
      </c>
      <c r="R59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474-BOB-13098</v>
      </c>
      <c r="S595" s="157" t="str">
        <f>HYPERLINK("https://www.mouser.com/ProductDetail/" &amp;MouserListTable[[#This Row],[Mouser SKU]])</f>
        <v>https://www.mouser.com/ProductDetail/474-BOB-13098</v>
      </c>
      <c r="T595" s="152">
        <v>1</v>
      </c>
      <c r="U595" s="152">
        <v>0</v>
      </c>
      <c r="V595" s="152">
        <v>0</v>
      </c>
      <c r="W595" s="152">
        <f>MouserListTable[[#This Row],['#/Unit]]*FilterSpecs!$C$3+MouserListTable[[#This Row],[Extra]]</f>
        <v>5</v>
      </c>
      <c r="X595" s="152">
        <f>IF(MouserListTable[[#This Row],[Tag]]=FilterSpecs!$F$7,MouserListTable[[#This Row],['#/Unit]]*MouserListTable[[#This Row],[Price (USD)]],0)</f>
        <v>1.95</v>
      </c>
      <c r="Y595" s="152">
        <f>MouserListTable[[#This Row],[Tot '#]]*MouserListTable[[#This Row],[Price (USD)]]</f>
        <v>9.75</v>
      </c>
    </row>
    <row r="596" spans="1:25" x14ac:dyDescent="0.25">
      <c r="A596" s="150" t="s">
        <v>890</v>
      </c>
      <c r="B596" s="150" t="s">
        <v>2010</v>
      </c>
      <c r="C596" s="150" t="s">
        <v>5</v>
      </c>
      <c r="D596" s="151" t="str">
        <f>IF(MouserListTable[[#This Row],[Vendor]]=FilterSpecs!$A$8,MouserListTable[[#This Row],[Mouser SKU]], MouserListTable[[#This Row],[Supplier SKU]])</f>
        <v>474-BOB-13099</v>
      </c>
      <c r="E596" s="152">
        <f>MouserListTable[[#This Row],[Tot '#]]-MouserListTable[[#This Row],['# Initial]]</f>
        <v>0</v>
      </c>
      <c r="F596" s="152">
        <f>IF(AND(MouserListTable[[#This Row],[Tag]]&lt;&gt;FilterSpecs!$F$12, MouserListTable[[#This Row],[Tag]]&lt;&gt;FilterSpecs!$F$9), MouserListTable[[#This Row],['#/Unit]]*FilterSpecs!$B$3+MouserListTable[[#This Row],[Extra Initial]],0)</f>
        <v>5</v>
      </c>
      <c r="G596" s="150" t="s">
        <v>1113</v>
      </c>
      <c r="H596" s="150" t="s">
        <v>1114</v>
      </c>
      <c r="I596" s="150" t="s">
        <v>1115</v>
      </c>
      <c r="J596" s="150">
        <v>1</v>
      </c>
      <c r="K596" s="154">
        <v>1.95</v>
      </c>
      <c r="L596" s="151" t="s">
        <v>1897</v>
      </c>
      <c r="M596" s="150"/>
      <c r="N596" s="154">
        <f>MouserListTable[[#This Row],['# Initial]]*MouserListTable[[#This Row],[Price (USD)]]</f>
        <v>9.75</v>
      </c>
      <c r="O596" s="151" t="s">
        <v>1112</v>
      </c>
      <c r="P596" s="150">
        <f t="shared" si="11"/>
        <v>583</v>
      </c>
      <c r="Q596" s="150" t="s">
        <v>5</v>
      </c>
      <c r="R59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474-BOB-13099</v>
      </c>
      <c r="S596" s="157" t="str">
        <f>HYPERLINK("https://www.mouser.com/ProductDetail/" &amp;MouserListTable[[#This Row],[Mouser SKU]])</f>
        <v>https://www.mouser.com/ProductDetail/474-BOB-13099</v>
      </c>
      <c r="T596" s="152">
        <v>1</v>
      </c>
      <c r="U596" s="152">
        <v>0</v>
      </c>
      <c r="V596" s="152">
        <v>0</v>
      </c>
      <c r="W596" s="152">
        <f>MouserListTable[[#This Row],['#/Unit]]*FilterSpecs!$C$3+MouserListTable[[#This Row],[Extra]]</f>
        <v>5</v>
      </c>
      <c r="X596" s="152">
        <f>IF(MouserListTable[[#This Row],[Tag]]=FilterSpecs!$F$7,MouserListTable[[#This Row],['#/Unit]]*MouserListTable[[#This Row],[Price (USD)]],0)</f>
        <v>1.95</v>
      </c>
      <c r="Y596" s="152">
        <f>MouserListTable[[#This Row],[Tot '#]]*MouserListTable[[#This Row],[Price (USD)]]</f>
        <v>9.75</v>
      </c>
    </row>
    <row r="597" spans="1:25" x14ac:dyDescent="0.25">
      <c r="A597" s="150" t="s">
        <v>890</v>
      </c>
      <c r="B597" s="150" t="s">
        <v>2010</v>
      </c>
      <c r="C597" s="150" t="s">
        <v>1884</v>
      </c>
      <c r="D597" s="151" t="str">
        <f>IF(MouserListTable[[#This Row],[Vendor]]=FilterSpecs!$A$8,MouserListTable[[#This Row],[Mouser SKU]], MouserListTable[[#This Row],[Supplier SKU]])</f>
        <v>485-2925</v>
      </c>
      <c r="E597" s="152">
        <f>MouserListTable[[#This Row],[Tot '#]]-MouserListTable[[#This Row],['# Initial]]</f>
        <v>0</v>
      </c>
      <c r="F597" s="152">
        <f>IF(AND(MouserListTable[[#This Row],[Tag]]&lt;&gt;FilterSpecs!$F$12, MouserListTable[[#This Row],[Tag]]&lt;&gt;FilterSpecs!$F$9), MouserListTable[[#This Row],['#/Unit]]*FilterSpecs!$B$3+MouserListTable[[#This Row],[Extra Initial]],0)</f>
        <v>0</v>
      </c>
      <c r="G597" s="150"/>
      <c r="H597" s="150"/>
      <c r="I597" s="150" t="s">
        <v>2213</v>
      </c>
      <c r="J597" s="153"/>
      <c r="K597" s="118">
        <v>1.95</v>
      </c>
      <c r="L597" s="97" t="s">
        <v>1896</v>
      </c>
      <c r="M597" s="153"/>
      <c r="N597" s="154">
        <f>MouserListTable[[#This Row],['# Initial]]*MouserListTable[[#This Row],[Price (USD)]]</f>
        <v>0</v>
      </c>
      <c r="O597" s="151" t="s">
        <v>2212</v>
      </c>
      <c r="P597" s="150">
        <f t="shared" si="11"/>
        <v>584</v>
      </c>
      <c r="Q597" s="150" t="s">
        <v>1884</v>
      </c>
      <c r="R59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485-2925</v>
      </c>
      <c r="S597" s="157" t="str">
        <f>HYPERLINK("https://www.mouser.com/ProductDetail/" &amp;MouserListTable[[#This Row],[Mouser SKU]])</f>
        <v>https://www.mouser.com/ProductDetail/485-2925</v>
      </c>
      <c r="T597" s="152">
        <v>0</v>
      </c>
      <c r="U597" s="152">
        <v>0</v>
      </c>
      <c r="V597" s="152">
        <v>0</v>
      </c>
      <c r="W597" s="152">
        <f>MouserListTable[[#This Row],['#/Unit]]*FilterSpecs!$C$3+MouserListTable[[#This Row],[Extra]]</f>
        <v>0</v>
      </c>
      <c r="X597" s="152">
        <f>IF(MouserListTable[[#This Row],[Tag]]=FilterSpecs!$F$7,MouserListTable[[#This Row],['#/Unit]]*MouserListTable[[#This Row],[Price (USD)]],0)</f>
        <v>0</v>
      </c>
      <c r="Y597" s="152">
        <f>MouserListTable[[#This Row],[Tot '#]]*MouserListTable[[#This Row],[Price (USD)]]</f>
        <v>0</v>
      </c>
    </row>
    <row r="598" spans="1:25" x14ac:dyDescent="0.25">
      <c r="A598" s="97" t="s">
        <v>890</v>
      </c>
      <c r="B598" s="97" t="s">
        <v>1598</v>
      </c>
      <c r="C598" s="150" t="s">
        <v>5</v>
      </c>
      <c r="D598" s="151" t="str">
        <f>IF(MouserListTable[[#This Row],[Vendor]]=FilterSpecs!$A$8,MouserListTable[[#This Row],[Mouser SKU]], MouserListTable[[#This Row],[Supplier SKU]])</f>
        <v>474-PRT-11367</v>
      </c>
      <c r="E598" s="152">
        <f>MouserListTable[[#This Row],[Tot '#]]-MouserListTable[[#This Row],['# Initial]]</f>
        <v>0</v>
      </c>
      <c r="F598" s="152">
        <f>IF(AND(MouserListTable[[#This Row],[Tag]]&lt;&gt;FilterSpecs!$F$12, MouserListTable[[#This Row],[Tag]]&lt;&gt;FilterSpecs!$F$9), MouserListTable[[#This Row],['#/Unit]]*FilterSpecs!$B$3+MouserListTable[[#This Row],[Extra Initial]],0)</f>
        <v>0</v>
      </c>
      <c r="G598" s="150" t="s">
        <v>1650</v>
      </c>
      <c r="H598" s="150" t="s">
        <v>1651</v>
      </c>
      <c r="I598" s="150" t="s">
        <v>1652</v>
      </c>
      <c r="J598" s="150">
        <v>1</v>
      </c>
      <c r="K598" s="154">
        <v>16.95</v>
      </c>
      <c r="L598" s="150" t="s">
        <v>1896</v>
      </c>
      <c r="M598" s="150"/>
      <c r="N598" s="154">
        <f>MouserListTable[[#This Row],['# Initial]]*MouserListTable[[#This Row],[Price (USD)]]</f>
        <v>0</v>
      </c>
      <c r="O598" s="151" t="s">
        <v>1649</v>
      </c>
      <c r="P598" s="150">
        <f t="shared" si="11"/>
        <v>585</v>
      </c>
      <c r="Q598" s="150" t="s">
        <v>5</v>
      </c>
      <c r="R59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474-PRT-11367</v>
      </c>
      <c r="S598" s="157" t="str">
        <f>HYPERLINK("https://www.mouser.com/ProductDetail/" &amp;MouserListTable[[#This Row],[Mouser SKU]])</f>
        <v>https://www.mouser.com/ProductDetail/474-PRT-11367</v>
      </c>
      <c r="T598" s="152">
        <v>0</v>
      </c>
      <c r="U598" s="152">
        <v>0</v>
      </c>
      <c r="V598" s="152">
        <v>0</v>
      </c>
      <c r="W598" s="152">
        <f>MouserListTable[[#This Row],['#/Unit]]*FilterSpecs!$C$3+MouserListTable[[#This Row],[Extra]]</f>
        <v>0</v>
      </c>
      <c r="X598" s="152">
        <f>IF(MouserListTable[[#This Row],[Tag]]=FilterSpecs!$F$7,MouserListTable[[#This Row],['#/Unit]]*MouserListTable[[#This Row],[Price (USD)]],0)</f>
        <v>0</v>
      </c>
      <c r="Y598" s="152">
        <f>MouserListTable[[#This Row],[Tot '#]]*MouserListTable[[#This Row],[Price (USD)]]</f>
        <v>0</v>
      </c>
    </row>
    <row r="599" spans="1:25" x14ac:dyDescent="0.25">
      <c r="A599" s="150" t="s">
        <v>890</v>
      </c>
      <c r="B599" s="150" t="s">
        <v>1598</v>
      </c>
      <c r="C599" s="150" t="s">
        <v>1884</v>
      </c>
      <c r="D599" s="151" t="str">
        <f>IF(MouserListTable[[#This Row],[Vendor]]=FilterSpecs!$A$8,MouserListTable[[#This Row],[Mouser SKU]], MouserListTable[[#This Row],[Supplier SKU]])</f>
        <v>485-3174</v>
      </c>
      <c r="E599" s="152">
        <f>MouserListTable[[#This Row],[Tot '#]]-MouserListTable[[#This Row],['# Initial]]</f>
        <v>0</v>
      </c>
      <c r="F599" s="152">
        <f>IF(AND(MouserListTable[[#This Row],[Tag]]&lt;&gt;FilterSpecs!$F$12, MouserListTable[[#This Row],[Tag]]&lt;&gt;FilterSpecs!$F$9), MouserListTable[[#This Row],['#/Unit]]*FilterSpecs!$B$3+MouserListTable[[#This Row],[Extra Initial]],0)</f>
        <v>1</v>
      </c>
      <c r="G599" s="150"/>
      <c r="H599" s="150"/>
      <c r="I599" s="150" t="s">
        <v>2440</v>
      </c>
      <c r="J599" s="113">
        <v>109</v>
      </c>
      <c r="K599" s="154">
        <v>27.5</v>
      </c>
      <c r="L599" s="150" t="s">
        <v>1896</v>
      </c>
      <c r="M599" s="151"/>
      <c r="N599" s="154">
        <f>MouserListTable[[#This Row],['# Initial]]*MouserListTable[[#This Row],[Price (USD)]]</f>
        <v>27.5</v>
      </c>
      <c r="O599" s="151" t="s">
        <v>2441</v>
      </c>
      <c r="P599" s="150">
        <f t="shared" si="11"/>
        <v>586</v>
      </c>
      <c r="Q599" s="150" t="s">
        <v>1884</v>
      </c>
      <c r="R59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485-3174</v>
      </c>
      <c r="S599" s="157" t="str">
        <f>HYPERLINK("https://www.mouser.com/ProductDetail/" &amp;MouserListTable[[#This Row],[Mouser SKU]])</f>
        <v>https://www.mouser.com/ProductDetail/485-3174</v>
      </c>
      <c r="T599" s="152">
        <v>0</v>
      </c>
      <c r="U599" s="152">
        <v>1</v>
      </c>
      <c r="V599" s="152">
        <v>1</v>
      </c>
      <c r="W599" s="152">
        <f>MouserListTable[[#This Row],['#/Unit]]*FilterSpecs!$C$3+MouserListTable[[#This Row],[Extra]]</f>
        <v>1</v>
      </c>
      <c r="X599" s="152">
        <f>IF(MouserListTable[[#This Row],[Tag]]=FilterSpecs!$F$7,MouserListTable[[#This Row],['#/Unit]]*MouserListTable[[#This Row],[Price (USD)]],0)</f>
        <v>0</v>
      </c>
      <c r="Y599" s="152">
        <f>MouserListTable[[#This Row],[Tot '#]]*MouserListTable[[#This Row],[Price (USD)]]</f>
        <v>27.5</v>
      </c>
    </row>
    <row r="600" spans="1:25" x14ac:dyDescent="0.25">
      <c r="A600" s="97" t="s">
        <v>890</v>
      </c>
      <c r="B600" s="97" t="s">
        <v>1598</v>
      </c>
      <c r="C600" s="150" t="s">
        <v>5</v>
      </c>
      <c r="D600" s="151" t="str">
        <f>IF(MouserListTable[[#This Row],[Vendor]]=FilterSpecs!$A$8,MouserListTable[[#This Row],[Mouser SKU]], MouserListTable[[#This Row],[Supplier SKU]])</f>
        <v>474-PRT-08023</v>
      </c>
      <c r="E600" s="152">
        <f>MouserListTable[[#This Row],[Tot '#]]-MouserListTable[[#This Row],['# Initial]]</f>
        <v>0</v>
      </c>
      <c r="F600" s="152">
        <f>IF(AND(MouserListTable[[#This Row],[Tag]]&lt;&gt;FilterSpecs!$F$12, MouserListTable[[#This Row],[Tag]]&lt;&gt;FilterSpecs!$F$9), MouserListTable[[#This Row],['#/Unit]]*FilterSpecs!$B$3+MouserListTable[[#This Row],[Extra Initial]],0)</f>
        <v>0</v>
      </c>
      <c r="G600" s="150" t="s">
        <v>1389</v>
      </c>
      <c r="H600" s="150" t="s">
        <v>1390</v>
      </c>
      <c r="I600" s="150" t="s">
        <v>1391</v>
      </c>
      <c r="J600" s="150">
        <v>1</v>
      </c>
      <c r="K600" s="154">
        <v>2.5</v>
      </c>
      <c r="L600" s="150" t="s">
        <v>1898</v>
      </c>
      <c r="M600" s="150"/>
      <c r="N600" s="154">
        <f>MouserListTable[[#This Row],['# Initial]]*MouserListTable[[#This Row],[Price (USD)]]</f>
        <v>0</v>
      </c>
      <c r="O600" s="151" t="s">
        <v>1388</v>
      </c>
      <c r="P600" s="150">
        <f t="shared" si="11"/>
        <v>587</v>
      </c>
      <c r="Q600" s="150" t="s">
        <v>5</v>
      </c>
      <c r="R60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474-PRT-08023</v>
      </c>
      <c r="S600" s="157" t="str">
        <f>HYPERLINK("https://www.mouser.com/ProductDetail/" &amp;MouserListTable[[#This Row],[Mouser SKU]])</f>
        <v>https://www.mouser.com/ProductDetail/474-PRT-08023</v>
      </c>
      <c r="T600" s="152">
        <v>0</v>
      </c>
      <c r="U600" s="152">
        <v>0</v>
      </c>
      <c r="V600" s="152">
        <v>0</v>
      </c>
      <c r="W600" s="152">
        <f>MouserListTable[[#This Row],['#/Unit]]*FilterSpecs!$C$3+MouserListTable[[#This Row],[Extra]]</f>
        <v>0</v>
      </c>
      <c r="X600" s="152">
        <f>IF(MouserListTable[[#This Row],[Tag]]=FilterSpecs!$F$7,MouserListTable[[#This Row],['#/Unit]]*MouserListTable[[#This Row],[Price (USD)]],0)</f>
        <v>0</v>
      </c>
      <c r="Y600" s="152">
        <f>MouserListTable[[#This Row],[Tot '#]]*MouserListTable[[#This Row],[Price (USD)]]</f>
        <v>0</v>
      </c>
    </row>
    <row r="601" spans="1:25" x14ac:dyDescent="0.25">
      <c r="A601" s="97" t="s">
        <v>890</v>
      </c>
      <c r="B601" s="97" t="s">
        <v>1598</v>
      </c>
      <c r="C601" s="150" t="s">
        <v>5</v>
      </c>
      <c r="D601" s="151" t="str">
        <f>IF(MouserListTable[[#This Row],[Vendor]]=FilterSpecs!$A$8,MouserListTable[[#This Row],[Mouser SKU]], MouserListTable[[#This Row],[Supplier SKU]])</f>
        <v>474-PRT-08024</v>
      </c>
      <c r="E601" s="152">
        <f>MouserListTable[[#This Row],[Tot '#]]-MouserListTable[[#This Row],['# Initial]]</f>
        <v>0</v>
      </c>
      <c r="F601" s="152">
        <f>IF(AND(MouserListTable[[#This Row],[Tag]]&lt;&gt;FilterSpecs!$F$12, MouserListTable[[#This Row],[Tag]]&lt;&gt;FilterSpecs!$F$9), MouserListTable[[#This Row],['#/Unit]]*FilterSpecs!$B$3+MouserListTable[[#This Row],[Extra Initial]],0)</f>
        <v>0</v>
      </c>
      <c r="G601" s="150" t="s">
        <v>1381</v>
      </c>
      <c r="H601" s="150" t="s">
        <v>1382</v>
      </c>
      <c r="I601" s="150" t="s">
        <v>1383</v>
      </c>
      <c r="J601" s="150">
        <v>1</v>
      </c>
      <c r="K601" s="154">
        <v>2.5</v>
      </c>
      <c r="L601" s="150" t="s">
        <v>1898</v>
      </c>
      <c r="M601" s="150"/>
      <c r="N601" s="154">
        <f>MouserListTable[[#This Row],['# Initial]]*MouserListTable[[#This Row],[Price (USD)]]</f>
        <v>0</v>
      </c>
      <c r="O601" s="151" t="s">
        <v>1380</v>
      </c>
      <c r="P601" s="150">
        <f t="shared" si="11"/>
        <v>588</v>
      </c>
      <c r="Q601" s="150" t="s">
        <v>5</v>
      </c>
      <c r="R60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474-PRT-08024</v>
      </c>
      <c r="S601" s="157" t="str">
        <f>HYPERLINK("https://www.mouser.com/ProductDetail/" &amp;MouserListTable[[#This Row],[Mouser SKU]])</f>
        <v>https://www.mouser.com/ProductDetail/474-PRT-08024</v>
      </c>
      <c r="T601" s="152">
        <v>0</v>
      </c>
      <c r="U601" s="152">
        <v>0</v>
      </c>
      <c r="V601" s="152">
        <v>0</v>
      </c>
      <c r="W601" s="152">
        <f>MouserListTable[[#This Row],['#/Unit]]*FilterSpecs!$C$3+MouserListTable[[#This Row],[Extra]]</f>
        <v>0</v>
      </c>
      <c r="X601" s="152">
        <f>IF(MouserListTable[[#This Row],[Tag]]=FilterSpecs!$F$7,MouserListTable[[#This Row],['#/Unit]]*MouserListTable[[#This Row],[Price (USD)]],0)</f>
        <v>0</v>
      </c>
      <c r="Y601" s="152">
        <f>MouserListTable[[#This Row],[Tot '#]]*MouserListTable[[#This Row],[Price (USD)]]</f>
        <v>0</v>
      </c>
    </row>
    <row r="602" spans="1:25" x14ac:dyDescent="0.25">
      <c r="A602" s="97" t="s">
        <v>890</v>
      </c>
      <c r="B602" s="97" t="s">
        <v>1598</v>
      </c>
      <c r="C602" s="150" t="s">
        <v>5</v>
      </c>
      <c r="D602" s="151" t="str">
        <f>IF(MouserListTable[[#This Row],[Vendor]]=FilterSpecs!$A$8,MouserListTable[[#This Row],[Mouser SKU]], MouserListTable[[#This Row],[Supplier SKU]])</f>
        <v>474-PRT-08022</v>
      </c>
      <c r="E602" s="152">
        <f>MouserListTable[[#This Row],[Tot '#]]-MouserListTable[[#This Row],['# Initial]]</f>
        <v>0</v>
      </c>
      <c r="F602" s="152">
        <f>IF(AND(MouserListTable[[#This Row],[Tag]]&lt;&gt;FilterSpecs!$F$12, MouserListTable[[#This Row],[Tag]]&lt;&gt;FilterSpecs!$F$9), MouserListTable[[#This Row],['#/Unit]]*FilterSpecs!$B$3+MouserListTable[[#This Row],[Extra Initial]],0)</f>
        <v>0</v>
      </c>
      <c r="G602" s="150" t="s">
        <v>1385</v>
      </c>
      <c r="H602" s="150" t="s">
        <v>1386</v>
      </c>
      <c r="I602" s="150" t="s">
        <v>1387</v>
      </c>
      <c r="J602" s="150">
        <v>1</v>
      </c>
      <c r="K602" s="154">
        <v>2.5</v>
      </c>
      <c r="L602" s="150" t="s">
        <v>1898</v>
      </c>
      <c r="M602" s="150"/>
      <c r="N602" s="154">
        <f>MouserListTable[[#This Row],['# Initial]]*MouserListTable[[#This Row],[Price (USD)]]</f>
        <v>0</v>
      </c>
      <c r="O602" s="151" t="s">
        <v>1384</v>
      </c>
      <c r="P602" s="150">
        <f t="shared" si="11"/>
        <v>589</v>
      </c>
      <c r="Q602" s="150" t="s">
        <v>5</v>
      </c>
      <c r="R60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474-PRT-08022</v>
      </c>
      <c r="S602" s="157" t="str">
        <f>HYPERLINK("https://www.mouser.com/ProductDetail/" &amp;MouserListTable[[#This Row],[Mouser SKU]])</f>
        <v>https://www.mouser.com/ProductDetail/474-PRT-08022</v>
      </c>
      <c r="T602" s="152">
        <v>0</v>
      </c>
      <c r="U602" s="152">
        <v>0</v>
      </c>
      <c r="V602" s="152">
        <v>0</v>
      </c>
      <c r="W602" s="152">
        <f>MouserListTable[[#This Row],['#/Unit]]*FilterSpecs!$C$3+MouserListTable[[#This Row],[Extra]]</f>
        <v>0</v>
      </c>
      <c r="X602" s="152">
        <f>IF(MouserListTable[[#This Row],[Tag]]=FilterSpecs!$F$7,MouserListTable[[#This Row],['#/Unit]]*MouserListTable[[#This Row],[Price (USD)]],0)</f>
        <v>0</v>
      </c>
      <c r="Y602" s="152">
        <f>MouserListTable[[#This Row],[Tot '#]]*MouserListTable[[#This Row],[Price (USD)]]</f>
        <v>0</v>
      </c>
    </row>
    <row r="603" spans="1:25" x14ac:dyDescent="0.25">
      <c r="A603" s="97" t="s">
        <v>890</v>
      </c>
      <c r="B603" s="97" t="s">
        <v>1598</v>
      </c>
      <c r="C603" s="150" t="s">
        <v>5</v>
      </c>
      <c r="D603" s="151" t="str">
        <f>IF(MouserListTable[[#This Row],[Vendor]]=FilterSpecs!$A$8,MouserListTable[[#This Row],[Mouser SKU]], MouserListTable[[#This Row],[Supplier SKU]])</f>
        <v>474-PRT-08025</v>
      </c>
      <c r="E603" s="152">
        <f>MouserListTable[[#This Row],[Tot '#]]-MouserListTable[[#This Row],['# Initial]]</f>
        <v>0</v>
      </c>
      <c r="F603" s="152">
        <f>IF(AND(MouserListTable[[#This Row],[Tag]]&lt;&gt;FilterSpecs!$F$12, MouserListTable[[#This Row],[Tag]]&lt;&gt;FilterSpecs!$F$9), MouserListTable[[#This Row],['#/Unit]]*FilterSpecs!$B$3+MouserListTable[[#This Row],[Extra Initial]],0)</f>
        <v>0</v>
      </c>
      <c r="G603" s="150" t="s">
        <v>1642</v>
      </c>
      <c r="H603" s="150" t="s">
        <v>1643</v>
      </c>
      <c r="I603" s="150" t="s">
        <v>1644</v>
      </c>
      <c r="J603" s="150"/>
      <c r="K603" s="154">
        <v>2.95</v>
      </c>
      <c r="L603" s="150" t="s">
        <v>1899</v>
      </c>
      <c r="M603" s="150"/>
      <c r="N603" s="154">
        <f>MouserListTable[[#This Row],['# Initial]]*MouserListTable[[#This Row],[Price (USD)]]</f>
        <v>0</v>
      </c>
      <c r="O603" s="151" t="s">
        <v>1641</v>
      </c>
      <c r="P603" s="150">
        <f t="shared" si="11"/>
        <v>590</v>
      </c>
      <c r="Q603" s="150" t="s">
        <v>5</v>
      </c>
      <c r="R60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474-PRT-08025</v>
      </c>
      <c r="S603" s="157" t="str">
        <f>HYPERLINK("https://www.mouser.com/ProductDetail/" &amp;MouserListTable[[#This Row],[Mouser SKU]])</f>
        <v>https://www.mouser.com/ProductDetail/474-PRT-08025</v>
      </c>
      <c r="T603" s="152">
        <v>0</v>
      </c>
      <c r="U603" s="152">
        <v>0</v>
      </c>
      <c r="V603" s="152">
        <v>0</v>
      </c>
      <c r="W603" s="152">
        <f>MouserListTable[[#This Row],['#/Unit]]*FilterSpecs!$C$3+MouserListTable[[#This Row],[Extra]]</f>
        <v>0</v>
      </c>
      <c r="X603" s="152">
        <f>IF(MouserListTable[[#This Row],[Tag]]=FilterSpecs!$F$7,MouserListTable[[#This Row],['#/Unit]]*MouserListTable[[#This Row],[Price (USD)]],0)</f>
        <v>0</v>
      </c>
      <c r="Y603" s="152">
        <f>MouserListTable[[#This Row],[Tot '#]]*MouserListTable[[#This Row],[Price (USD)]]</f>
        <v>0</v>
      </c>
    </row>
    <row r="604" spans="1:25" x14ac:dyDescent="0.25">
      <c r="A604" s="97" t="s">
        <v>890</v>
      </c>
      <c r="B604" s="97" t="s">
        <v>1598</v>
      </c>
      <c r="C604" s="150" t="s">
        <v>5</v>
      </c>
      <c r="D604" s="151" t="str">
        <f>IF(MouserListTable[[#This Row],[Vendor]]=FilterSpecs!$A$8,MouserListTable[[#This Row],[Mouser SKU]], MouserListTable[[#This Row],[Supplier SKU]])</f>
        <v>474-PRT-08026</v>
      </c>
      <c r="E604" s="152">
        <f>MouserListTable[[#This Row],[Tot '#]]-MouserListTable[[#This Row],['# Initial]]</f>
        <v>0</v>
      </c>
      <c r="F604" s="152">
        <f>IF(AND(MouserListTable[[#This Row],[Tag]]&lt;&gt;FilterSpecs!$F$12, MouserListTable[[#This Row],[Tag]]&lt;&gt;FilterSpecs!$F$9), MouserListTable[[#This Row],['#/Unit]]*FilterSpecs!$B$3+MouserListTable[[#This Row],[Extra Initial]],0)</f>
        <v>0</v>
      </c>
      <c r="G604" s="150" t="s">
        <v>1377</v>
      </c>
      <c r="H604" s="150" t="s">
        <v>1378</v>
      </c>
      <c r="I604" s="150" t="s">
        <v>1379</v>
      </c>
      <c r="J604" s="150">
        <v>1</v>
      </c>
      <c r="K604" s="154">
        <v>2.5</v>
      </c>
      <c r="L604" s="150" t="s">
        <v>1899</v>
      </c>
      <c r="M604" s="150"/>
      <c r="N604" s="154">
        <f>MouserListTable[[#This Row],['# Initial]]*MouserListTable[[#This Row],[Price (USD)]]</f>
        <v>0</v>
      </c>
      <c r="O604" s="151" t="s">
        <v>1376</v>
      </c>
      <c r="P604" s="150">
        <f t="shared" si="11"/>
        <v>591</v>
      </c>
      <c r="Q604" s="150" t="s">
        <v>5</v>
      </c>
      <c r="R60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474-PRT-08026</v>
      </c>
      <c r="S604" s="157" t="str">
        <f>HYPERLINK("https://www.mouser.com/ProductDetail/" &amp;MouserListTable[[#This Row],[Mouser SKU]])</f>
        <v>https://www.mouser.com/ProductDetail/474-PRT-08026</v>
      </c>
      <c r="T604" s="152">
        <v>0</v>
      </c>
      <c r="U604" s="152">
        <v>0</v>
      </c>
      <c r="V604" s="152">
        <v>0</v>
      </c>
      <c r="W604" s="152">
        <f>MouserListTable[[#This Row],['#/Unit]]*FilterSpecs!$C$3+MouserListTable[[#This Row],[Extra]]</f>
        <v>0</v>
      </c>
      <c r="X604" s="152">
        <f>IF(MouserListTable[[#This Row],[Tag]]=FilterSpecs!$F$7,MouserListTable[[#This Row],['#/Unit]]*MouserListTable[[#This Row],[Price (USD)]],0)</f>
        <v>0</v>
      </c>
      <c r="Y604" s="152">
        <f>MouserListTable[[#This Row],[Tot '#]]*MouserListTable[[#This Row],[Price (USD)]]</f>
        <v>0</v>
      </c>
    </row>
    <row r="605" spans="1:25" x14ac:dyDescent="0.25">
      <c r="A605" s="97" t="s">
        <v>890</v>
      </c>
      <c r="B605" s="97" t="s">
        <v>1598</v>
      </c>
      <c r="C605" s="150" t="s">
        <v>5</v>
      </c>
      <c r="D605" s="151" t="str">
        <f>IF(MouserListTable[[#This Row],[Vendor]]=FilterSpecs!$A$8,MouserListTable[[#This Row],[Mouser SKU]], MouserListTable[[#This Row],[Supplier SKU]])</f>
        <v>474-PRT-08027</v>
      </c>
      <c r="E605" s="152">
        <f>MouserListTable[[#This Row],[Tot '#]]-MouserListTable[[#This Row],['# Initial]]</f>
        <v>0</v>
      </c>
      <c r="F605" s="152">
        <f>IF(AND(MouserListTable[[#This Row],[Tag]]&lt;&gt;FilterSpecs!$F$12, MouserListTable[[#This Row],[Tag]]&lt;&gt;FilterSpecs!$F$9), MouserListTable[[#This Row],['#/Unit]]*FilterSpecs!$B$3+MouserListTable[[#This Row],[Extra Initial]],0)</f>
        <v>0</v>
      </c>
      <c r="G605" s="150" t="s">
        <v>1646</v>
      </c>
      <c r="H605" s="150" t="s">
        <v>1647</v>
      </c>
      <c r="I605" s="150" t="s">
        <v>1648</v>
      </c>
      <c r="J605" s="150"/>
      <c r="K605" s="154">
        <v>2.95</v>
      </c>
      <c r="L605" s="150" t="s">
        <v>1896</v>
      </c>
      <c r="M605" s="150"/>
      <c r="N605" s="154">
        <f>MouserListTable[[#This Row],['# Initial]]*MouserListTable[[#This Row],[Price (USD)]]</f>
        <v>0</v>
      </c>
      <c r="O605" s="151" t="s">
        <v>1645</v>
      </c>
      <c r="P605" s="150">
        <f t="shared" si="11"/>
        <v>592</v>
      </c>
      <c r="Q605" s="150" t="s">
        <v>5</v>
      </c>
      <c r="R60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474-PRT-08027</v>
      </c>
      <c r="S605" s="157" t="str">
        <f>HYPERLINK("https://www.mouser.com/ProductDetail/" &amp;MouserListTable[[#This Row],[Mouser SKU]])</f>
        <v>https://www.mouser.com/ProductDetail/474-PRT-08027</v>
      </c>
      <c r="T605" s="152">
        <v>0</v>
      </c>
      <c r="U605" s="152">
        <v>0</v>
      </c>
      <c r="V605" s="152">
        <v>0</v>
      </c>
      <c r="W605" s="152">
        <f>MouserListTable[[#This Row],['#/Unit]]*FilterSpecs!$C$3+MouserListTable[[#This Row],[Extra]]</f>
        <v>0</v>
      </c>
      <c r="X605" s="152">
        <f>IF(MouserListTable[[#This Row],[Tag]]=FilterSpecs!$F$7,MouserListTable[[#This Row],['#/Unit]]*MouserListTable[[#This Row],[Price (USD)]],0)</f>
        <v>0</v>
      </c>
      <c r="Y605" s="152">
        <f>MouserListTable[[#This Row],[Tot '#]]*MouserListTable[[#This Row],[Price (USD)]]</f>
        <v>0</v>
      </c>
    </row>
    <row r="606" spans="1:25" x14ac:dyDescent="0.25">
      <c r="A606" s="150" t="s">
        <v>890</v>
      </c>
      <c r="B606" s="150" t="s">
        <v>1598</v>
      </c>
      <c r="C606" s="150" t="s">
        <v>5</v>
      </c>
      <c r="D606" s="151" t="str">
        <f>IF(MouserListTable[[#This Row],[Vendor]]=FilterSpecs!$A$8,MouserListTable[[#This Row],[Mouser SKU]], MouserListTable[[#This Row],[Supplier SKU]])</f>
        <v>474-PRT-00124</v>
      </c>
      <c r="E606" s="152">
        <f>MouserListTable[[#This Row],[Tot '#]]-MouserListTable[[#This Row],['# Initial]]</f>
        <v>0</v>
      </c>
      <c r="F606" s="152">
        <f>IF(AND(MouserListTable[[#This Row],[Tag]]&lt;&gt;FilterSpecs!$F$12, MouserListTable[[#This Row],[Tag]]&lt;&gt;FilterSpecs!$F$9), MouserListTable[[#This Row],['#/Unit]]*FilterSpecs!$B$3+MouserListTable[[#This Row],[Extra Initial]],0)</f>
        <v>2</v>
      </c>
      <c r="G606" s="150" t="s">
        <v>411</v>
      </c>
      <c r="H606" s="150" t="s">
        <v>412</v>
      </c>
      <c r="I606" s="150" t="s">
        <v>413</v>
      </c>
      <c r="J606" s="150">
        <v>1</v>
      </c>
      <c r="K606" s="154">
        <v>6.95</v>
      </c>
      <c r="L606" s="150" t="s">
        <v>1896</v>
      </c>
      <c r="M606" s="150"/>
      <c r="N606" s="154">
        <f>MouserListTable[[#This Row],['# Initial]]*MouserListTable[[#This Row],[Price (USD)]]</f>
        <v>13.9</v>
      </c>
      <c r="O606" s="151" t="s">
        <v>410</v>
      </c>
      <c r="P606" s="150">
        <f t="shared" si="11"/>
        <v>593</v>
      </c>
      <c r="Q606" s="150" t="s">
        <v>5</v>
      </c>
      <c r="R60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474-PRT-00124</v>
      </c>
      <c r="S606" s="157" t="str">
        <f>HYPERLINK("https://www.mouser.com/ProductDetail/" &amp;MouserListTable[[#This Row],[Mouser SKU]])</f>
        <v>https://www.mouser.com/ProductDetail/474-PRT-00124</v>
      </c>
      <c r="T606" s="152">
        <v>0</v>
      </c>
      <c r="U606" s="152">
        <v>2</v>
      </c>
      <c r="V606" s="152">
        <v>2</v>
      </c>
      <c r="W606" s="152">
        <f>MouserListTable[[#This Row],['#/Unit]]*FilterSpecs!$C$3+MouserListTable[[#This Row],[Extra]]</f>
        <v>2</v>
      </c>
      <c r="X606" s="152">
        <f>IF(MouserListTable[[#This Row],[Tag]]=FilterSpecs!$F$7,MouserListTable[[#This Row],['#/Unit]]*MouserListTable[[#This Row],[Price (USD)]],0)</f>
        <v>0</v>
      </c>
      <c r="Y606" s="152">
        <f>MouserListTable[[#This Row],[Tot '#]]*MouserListTable[[#This Row],[Price (USD)]]</f>
        <v>13.9</v>
      </c>
    </row>
    <row r="607" spans="1:25" x14ac:dyDescent="0.25">
      <c r="A607" s="98" t="s">
        <v>890</v>
      </c>
      <c r="B607" s="98" t="s">
        <v>1598</v>
      </c>
      <c r="C607" s="150" t="s">
        <v>1884</v>
      </c>
      <c r="D607" s="151" t="str">
        <f>IF(MouserListTable[[#This Row],[Vendor]]=FilterSpecs!$A$8,MouserListTable[[#This Row],[Mouser SKU]], MouserListTable[[#This Row],[Supplier SKU]])</f>
        <v>485-3314</v>
      </c>
      <c r="E607" s="152">
        <f>MouserListTable[[#This Row],[Tot '#]]-MouserListTable[[#This Row],['# Initial]]</f>
        <v>0</v>
      </c>
      <c r="F607" s="152">
        <f>IF(AND(MouserListTable[[#This Row],[Tag]]&lt;&gt;FilterSpecs!$F$12, MouserListTable[[#This Row],[Tag]]&lt;&gt;FilterSpecs!$F$9), MouserListTable[[#This Row],['#/Unit]]*FilterSpecs!$B$3+MouserListTable[[#This Row],[Extra Initial]],0)</f>
        <v>0</v>
      </c>
      <c r="G607" s="150"/>
      <c r="H607" s="150"/>
      <c r="I607" s="150" t="s">
        <v>2442</v>
      </c>
      <c r="J607" s="113">
        <v>110</v>
      </c>
      <c r="K607" s="119">
        <v>7.95</v>
      </c>
      <c r="L607" s="97" t="s">
        <v>1896</v>
      </c>
      <c r="M607" s="153"/>
      <c r="N607" s="154">
        <f>MouserListTable[[#This Row],['# Initial]]*MouserListTable[[#This Row],[Price (USD)]]</f>
        <v>0</v>
      </c>
      <c r="O607" s="113" t="s">
        <v>2443</v>
      </c>
      <c r="P607" s="150">
        <f t="shared" si="11"/>
        <v>594</v>
      </c>
      <c r="Q607" s="150" t="s">
        <v>1884</v>
      </c>
      <c r="R60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485-3314</v>
      </c>
      <c r="S607" s="157" t="str">
        <f>HYPERLINK("https://www.mouser.com/ProductDetail/" &amp;MouserListTable[[#This Row],[Mouser SKU]])</f>
        <v>https://www.mouser.com/ProductDetail/485-3314</v>
      </c>
      <c r="T607" s="152">
        <v>0</v>
      </c>
      <c r="U607" s="152">
        <v>0</v>
      </c>
      <c r="V607" s="152">
        <v>0</v>
      </c>
      <c r="W607" s="152">
        <f>MouserListTable[[#This Row],['#/Unit]]*FilterSpecs!$C$3+MouserListTable[[#This Row],[Extra]]</f>
        <v>0</v>
      </c>
      <c r="X607" s="152">
        <f>IF(MouserListTable[[#This Row],[Tag]]=FilterSpecs!$F$7,MouserListTable[[#This Row],['#/Unit]]*MouserListTable[[#This Row],[Price (USD)]],0)</f>
        <v>0</v>
      </c>
      <c r="Y607" s="152">
        <f>MouserListTable[[#This Row],[Tot '#]]*MouserListTable[[#This Row],[Price (USD)]]</f>
        <v>0</v>
      </c>
    </row>
    <row r="608" spans="1:25" x14ac:dyDescent="0.25">
      <c r="A608" s="150" t="s">
        <v>13</v>
      </c>
      <c r="B608" s="150" t="s">
        <v>1600</v>
      </c>
      <c r="C608" s="150" t="s">
        <v>5</v>
      </c>
      <c r="D608" s="151" t="str">
        <f>IF(MouserListTable[[#This Row],[Vendor]]=FilterSpecs!$A$8,MouserListTable[[#This Row],[Mouser SKU]], MouserListTable[[#This Row],[Supplier SKU]])</f>
        <v>474-TOL-13086</v>
      </c>
      <c r="E608" s="152">
        <f>MouserListTable[[#This Row],[Tot '#]]-MouserListTable[[#This Row],['# Initial]]</f>
        <v>0</v>
      </c>
      <c r="F608" s="152">
        <f>IF(AND(MouserListTable[[#This Row],[Tag]]&lt;&gt;FilterSpecs!$F$12, MouserListTable[[#This Row],[Tag]]&lt;&gt;FilterSpecs!$F$9), MouserListTable[[#This Row],['#/Unit]]*FilterSpecs!$B$3+MouserListTable[[#This Row],[Extra Initial]],0)</f>
        <v>0</v>
      </c>
      <c r="G608" s="150" t="s">
        <v>1186</v>
      </c>
      <c r="H608" s="150" t="s">
        <v>1187</v>
      </c>
      <c r="I608" s="150" t="s">
        <v>1188</v>
      </c>
      <c r="J608" s="150">
        <v>1</v>
      </c>
      <c r="K608" s="154">
        <v>34.950000000000003</v>
      </c>
      <c r="L608" s="150" t="s">
        <v>1900</v>
      </c>
      <c r="M608" s="151"/>
      <c r="N608" s="154">
        <f>MouserListTable[[#This Row],['# Initial]]*MouserListTable[[#This Row],[Price (USD)]]</f>
        <v>0</v>
      </c>
      <c r="O608" s="151" t="s">
        <v>1185</v>
      </c>
      <c r="P608" s="150">
        <f t="shared" si="11"/>
        <v>595</v>
      </c>
      <c r="Q608" s="150" t="s">
        <v>5</v>
      </c>
      <c r="R60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474-TOL-13086</v>
      </c>
      <c r="S608" s="157" t="str">
        <f>HYPERLINK("https://www.mouser.com/ProductDetail/" &amp;MouserListTable[[#This Row],[Mouser SKU]])</f>
        <v>https://www.mouser.com/ProductDetail/474-TOL-13086</v>
      </c>
      <c r="T608" s="152">
        <v>0</v>
      </c>
      <c r="U608" s="152">
        <v>0</v>
      </c>
      <c r="V608" s="152">
        <v>0</v>
      </c>
      <c r="W608" s="152">
        <f>MouserListTable[[#This Row],['#/Unit]]*FilterSpecs!$C$3+MouserListTable[[#This Row],[Extra]]</f>
        <v>0</v>
      </c>
      <c r="X608" s="152">
        <f>IF(MouserListTable[[#This Row],[Tag]]=FilterSpecs!$F$7,MouserListTable[[#This Row],['#/Unit]]*MouserListTable[[#This Row],[Price (USD)]],0)</f>
        <v>0</v>
      </c>
      <c r="Y608" s="152">
        <f>MouserListTable[[#This Row],[Tot '#]]*MouserListTable[[#This Row],[Price (USD)]]</f>
        <v>0</v>
      </c>
    </row>
    <row r="609" spans="1:25" x14ac:dyDescent="0.25">
      <c r="A609" s="98" t="s">
        <v>13</v>
      </c>
      <c r="B609" s="98" t="s">
        <v>1600</v>
      </c>
      <c r="C609" s="150" t="s">
        <v>1884</v>
      </c>
      <c r="D609" s="151" t="str">
        <f>IF(MouserListTable[[#This Row],[Vendor]]=FilterSpecs!$A$8,MouserListTable[[#This Row],[Mouser SKU]], MouserListTable[[#This Row],[Supplier SKU]])</f>
        <v>485-136</v>
      </c>
      <c r="E609" s="152">
        <f>MouserListTable[[#This Row],[Tot '#]]-MouserListTable[[#This Row],['# Initial]]</f>
        <v>0</v>
      </c>
      <c r="F609" s="152">
        <f>IF(AND(MouserListTable[[#This Row],[Tag]]&lt;&gt;FilterSpecs!$F$12, MouserListTable[[#This Row],[Tag]]&lt;&gt;FilterSpecs!$F$9), MouserListTable[[#This Row],['#/Unit]]*FilterSpecs!$B$3+MouserListTable[[#This Row],[Extra Initial]],0)</f>
        <v>0</v>
      </c>
      <c r="G609" s="150"/>
      <c r="H609" s="150"/>
      <c r="I609" s="150" t="s">
        <v>2438</v>
      </c>
      <c r="J609" s="113">
        <v>108</v>
      </c>
      <c r="K609" s="119">
        <v>100</v>
      </c>
      <c r="L609" s="97" t="s">
        <v>1896</v>
      </c>
      <c r="M609" s="153"/>
      <c r="N609" s="154">
        <f>MouserListTable[[#This Row],['# Initial]]*MouserListTable[[#This Row],[Price (USD)]]</f>
        <v>0</v>
      </c>
      <c r="O609" s="113" t="s">
        <v>2439</v>
      </c>
      <c r="P609" s="150">
        <f t="shared" si="11"/>
        <v>596</v>
      </c>
      <c r="Q609" s="150" t="s">
        <v>1884</v>
      </c>
      <c r="R60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485-136</v>
      </c>
      <c r="S609" s="157" t="str">
        <f>HYPERLINK("https://www.mouser.com/ProductDetail/" &amp;MouserListTable[[#This Row],[Mouser SKU]])</f>
        <v>https://www.mouser.com/ProductDetail/485-136</v>
      </c>
      <c r="T609" s="152">
        <v>0</v>
      </c>
      <c r="U609" s="152">
        <v>0</v>
      </c>
      <c r="V609" s="152">
        <v>0</v>
      </c>
      <c r="W609" s="152">
        <f>MouserListTable[[#This Row],['#/Unit]]*FilterSpecs!$C$3+MouserListTable[[#This Row],[Extra]]</f>
        <v>0</v>
      </c>
      <c r="X609" s="152">
        <f>IF(MouserListTable[[#This Row],[Tag]]=FilterSpecs!$F$7,MouserListTable[[#This Row],['#/Unit]]*MouserListTable[[#This Row],[Price (USD)]],0)</f>
        <v>0</v>
      </c>
      <c r="Y609" s="152">
        <f>MouserListTable[[#This Row],[Tot '#]]*MouserListTable[[#This Row],[Price (USD)]]</f>
        <v>0</v>
      </c>
    </row>
    <row r="610" spans="1:25" x14ac:dyDescent="0.25">
      <c r="A610" s="97" t="s">
        <v>13</v>
      </c>
      <c r="B610" s="97" t="s">
        <v>1600</v>
      </c>
      <c r="C610" s="150" t="s">
        <v>5</v>
      </c>
      <c r="D610" s="151" t="str">
        <f>IF(MouserListTable[[#This Row],[Vendor]]=FilterSpecs!$A$8,MouserListTable[[#This Row],[Mouser SKU]], MouserListTable[[#This Row],[Supplier SKU]])</f>
        <v>474-TOL-14226</v>
      </c>
      <c r="E610" s="152">
        <f>MouserListTable[[#This Row],[Tot '#]]-MouserListTable[[#This Row],['# Initial]]</f>
        <v>0</v>
      </c>
      <c r="F610" s="152">
        <f>IF(AND(MouserListTable[[#This Row],[Tag]]&lt;&gt;FilterSpecs!$F$12, MouserListTable[[#This Row],[Tag]]&lt;&gt;FilterSpecs!$F$9), MouserListTable[[#This Row],['#/Unit]]*FilterSpecs!$B$3+MouserListTable[[#This Row],[Extra Initial]],0)</f>
        <v>0</v>
      </c>
      <c r="G610" s="150" t="s">
        <v>1629</v>
      </c>
      <c r="H610" s="150" t="s">
        <v>1630</v>
      </c>
      <c r="I610" s="150" t="s">
        <v>1631</v>
      </c>
      <c r="J610" s="150"/>
      <c r="K610" s="154">
        <v>59.95</v>
      </c>
      <c r="L610" s="150" t="s">
        <v>1900</v>
      </c>
      <c r="M610" s="153"/>
      <c r="N610" s="154">
        <f>MouserListTable[[#This Row],['# Initial]]*MouserListTable[[#This Row],[Price (USD)]]</f>
        <v>0</v>
      </c>
      <c r="O610" s="151" t="s">
        <v>1628</v>
      </c>
      <c r="P610" s="150">
        <f t="shared" si="11"/>
        <v>597</v>
      </c>
      <c r="Q610" s="150" t="s">
        <v>5</v>
      </c>
      <c r="R61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474-TOL-14226</v>
      </c>
      <c r="S610" s="157" t="str">
        <f>HYPERLINK("https://www.mouser.com/ProductDetail/" &amp;MouserListTable[[#This Row],[Mouser SKU]])</f>
        <v>https://www.mouser.com/ProductDetail/474-TOL-14226</v>
      </c>
      <c r="T610" s="152">
        <v>0</v>
      </c>
      <c r="U610" s="152">
        <v>0</v>
      </c>
      <c r="V610" s="152">
        <v>0</v>
      </c>
      <c r="W610" s="152">
        <f>MouserListTable[[#This Row],['#/Unit]]*FilterSpecs!$C$3+MouserListTable[[#This Row],[Extra]]</f>
        <v>0</v>
      </c>
      <c r="X610" s="152">
        <f>IF(MouserListTable[[#This Row],[Tag]]=FilterSpecs!$F$7,MouserListTable[[#This Row],['#/Unit]]*MouserListTable[[#This Row],[Price (USD)]],0)</f>
        <v>0</v>
      </c>
      <c r="Y610" s="152">
        <f>MouserListTable[[#This Row],[Tot '#]]*MouserListTable[[#This Row],[Price (USD)]]</f>
        <v>0</v>
      </c>
    </row>
    <row r="611" spans="1:25" x14ac:dyDescent="0.25">
      <c r="A611" s="150" t="s">
        <v>13</v>
      </c>
      <c r="B611" s="150" t="s">
        <v>1600</v>
      </c>
      <c r="C611" s="150" t="s">
        <v>5</v>
      </c>
      <c r="D611" s="151" t="str">
        <f>IF(MouserListTable[[#This Row],[Vendor]]=FilterSpecs!$A$8,MouserListTable[[#This Row],[Mouser SKU]], MouserListTable[[#This Row],[Supplier SKU]])</f>
        <v>474-TOL-13203</v>
      </c>
      <c r="E611" s="152">
        <f>MouserListTable[[#This Row],[Tot '#]]-MouserListTable[[#This Row],['# Initial]]</f>
        <v>0</v>
      </c>
      <c r="F611" s="152">
        <f>IF(AND(MouserListTable[[#This Row],[Tag]]&lt;&gt;FilterSpecs!$F$12, MouserListTable[[#This Row],[Tag]]&lt;&gt;FilterSpecs!$F$9), MouserListTable[[#This Row],['#/Unit]]*FilterSpecs!$B$3+MouserListTable[[#This Row],[Extra Initial]],0)</f>
        <v>0</v>
      </c>
      <c r="G611" s="150" t="s">
        <v>1637</v>
      </c>
      <c r="H611" s="150" t="s">
        <v>1638</v>
      </c>
      <c r="I611" s="150" t="s">
        <v>1639</v>
      </c>
      <c r="J611" s="150"/>
      <c r="K611" s="154">
        <v>4.95</v>
      </c>
      <c r="L611" s="150" t="s">
        <v>1900</v>
      </c>
      <c r="M611" s="151"/>
      <c r="N611" s="154">
        <f>MouserListTable[[#This Row],['# Initial]]*MouserListTable[[#This Row],[Price (USD)]]</f>
        <v>0</v>
      </c>
      <c r="O611" s="151" t="s">
        <v>1636</v>
      </c>
      <c r="P611" s="150">
        <f t="shared" si="11"/>
        <v>598</v>
      </c>
      <c r="Q611" s="150" t="s">
        <v>5</v>
      </c>
      <c r="R61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474-TOL-13203</v>
      </c>
      <c r="S611" s="157" t="str">
        <f>HYPERLINK("https://www.mouser.com/ProductDetail/" &amp;MouserListTable[[#This Row],[Mouser SKU]])</f>
        <v>https://www.mouser.com/ProductDetail/474-TOL-13203</v>
      </c>
      <c r="T611" s="152">
        <v>0</v>
      </c>
      <c r="U611" s="152">
        <v>0</v>
      </c>
      <c r="V611" s="152">
        <v>0</v>
      </c>
      <c r="W611" s="152">
        <f>MouserListTable[[#This Row],['#/Unit]]*FilterSpecs!$C$3+MouserListTable[[#This Row],[Extra]]</f>
        <v>0</v>
      </c>
      <c r="X611" s="152">
        <f>IF(MouserListTable[[#This Row],[Tag]]=FilterSpecs!$F$7,MouserListTable[[#This Row],['#/Unit]]*MouserListTable[[#This Row],[Price (USD)]],0)</f>
        <v>0</v>
      </c>
      <c r="Y611" s="152">
        <f>MouserListTable[[#This Row],[Tot '#]]*MouserListTable[[#This Row],[Price (USD)]]</f>
        <v>0</v>
      </c>
    </row>
    <row r="612" spans="1:25" x14ac:dyDescent="0.25">
      <c r="A612" s="150" t="s">
        <v>13</v>
      </c>
      <c r="B612" s="150" t="s">
        <v>1600</v>
      </c>
      <c r="C612" s="150" t="s">
        <v>5</v>
      </c>
      <c r="D612" s="151" t="str">
        <f>IF(MouserListTable[[#This Row],[Vendor]]=FilterSpecs!$A$8,MouserListTable[[#This Row],[Mouser SKU]], MouserListTable[[#This Row],[Supplier SKU]])</f>
        <v>474-TOL-08964</v>
      </c>
      <c r="E612" s="152">
        <f>MouserListTable[[#This Row],[Tot '#]]-MouserListTable[[#This Row],['# Initial]]</f>
        <v>0</v>
      </c>
      <c r="F612" s="152">
        <f>IF(AND(MouserListTable[[#This Row],[Tag]]&lt;&gt;FilterSpecs!$F$12, MouserListTable[[#This Row],[Tag]]&lt;&gt;FilterSpecs!$F$9), MouserListTable[[#This Row],['#/Unit]]*FilterSpecs!$B$3+MouserListTable[[#This Row],[Extra Initial]],0)</f>
        <v>0</v>
      </c>
      <c r="G612" s="150" t="s">
        <v>1609</v>
      </c>
      <c r="H612" s="150" t="s">
        <v>1610</v>
      </c>
      <c r="I612" s="150" t="s">
        <v>1611</v>
      </c>
      <c r="J612" s="150">
        <v>1</v>
      </c>
      <c r="K612" s="154">
        <v>2.95</v>
      </c>
      <c r="L612" s="150" t="s">
        <v>1900</v>
      </c>
      <c r="M612" s="151"/>
      <c r="N612" s="154">
        <f>MouserListTable[[#This Row],['# Initial]]*MouserListTable[[#This Row],[Price (USD)]]</f>
        <v>0</v>
      </c>
      <c r="O612" s="151" t="s">
        <v>1608</v>
      </c>
      <c r="P612" s="150">
        <f t="shared" si="11"/>
        <v>599</v>
      </c>
      <c r="Q612" s="150" t="s">
        <v>5</v>
      </c>
      <c r="R61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474-TOL-08964</v>
      </c>
      <c r="S612" s="157" t="str">
        <f>HYPERLINK("https://www.mouser.com/ProductDetail/" &amp;MouserListTable[[#This Row],[Mouser SKU]])</f>
        <v>https://www.mouser.com/ProductDetail/474-TOL-08964</v>
      </c>
      <c r="T612" s="152">
        <v>0</v>
      </c>
      <c r="U612" s="152">
        <v>0</v>
      </c>
      <c r="V612" s="152">
        <v>0</v>
      </c>
      <c r="W612" s="152">
        <f>MouserListTable[[#This Row],['#/Unit]]*FilterSpecs!$C$3+MouserListTable[[#This Row],[Extra]]</f>
        <v>0</v>
      </c>
      <c r="X612" s="152">
        <f>IF(MouserListTable[[#This Row],[Tag]]=FilterSpecs!$F$7,MouserListTable[[#This Row],['#/Unit]]*MouserListTable[[#This Row],[Price (USD)]],0)</f>
        <v>0</v>
      </c>
      <c r="Y612" s="152">
        <f>MouserListTable[[#This Row],[Tot '#]]*MouserListTable[[#This Row],[Price (USD)]]</f>
        <v>0</v>
      </c>
    </row>
    <row r="613" spans="1:25" x14ac:dyDescent="0.25">
      <c r="A613" s="150" t="s">
        <v>13</v>
      </c>
      <c r="B613" s="150" t="s">
        <v>1600</v>
      </c>
      <c r="C613" s="150" t="s">
        <v>5</v>
      </c>
      <c r="D613" s="151" t="str">
        <f>IF(MouserListTable[[#This Row],[Vendor]]=FilterSpecs!$A$8,MouserListTable[[#This Row],[Mouser SKU]], MouserListTable[[#This Row],[Supplier SKU]])</f>
        <v>474-TOL-12878</v>
      </c>
      <c r="E613" s="152">
        <f>MouserListTable[[#This Row],[Tot '#]]-MouserListTable[[#This Row],['# Initial]]</f>
        <v>0</v>
      </c>
      <c r="F613" s="152">
        <f>IF(AND(MouserListTable[[#This Row],[Tag]]&lt;&gt;FilterSpecs!$F$12, MouserListTable[[#This Row],[Tag]]&lt;&gt;FilterSpecs!$F$9), MouserListTable[[#This Row],['#/Unit]]*FilterSpecs!$B$3+MouserListTable[[#This Row],[Extra Initial]],0)</f>
        <v>1</v>
      </c>
      <c r="G613" s="150" t="s">
        <v>1429</v>
      </c>
      <c r="H613" s="150" t="s">
        <v>1430</v>
      </c>
      <c r="I613" s="150" t="s">
        <v>1431</v>
      </c>
      <c r="J613" s="150">
        <v>1</v>
      </c>
      <c r="K613" s="154">
        <v>16.95</v>
      </c>
      <c r="L613" s="150" t="s">
        <v>1900</v>
      </c>
      <c r="M613" s="151"/>
      <c r="N613" s="154">
        <f>MouserListTable[[#This Row],['# Initial]]*MouserListTable[[#This Row],[Price (USD)]]</f>
        <v>16.95</v>
      </c>
      <c r="O613" s="151" t="s">
        <v>1428</v>
      </c>
      <c r="P613" s="150">
        <f t="shared" si="11"/>
        <v>600</v>
      </c>
      <c r="Q613" s="150" t="s">
        <v>5</v>
      </c>
      <c r="R61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474-TOL-12878</v>
      </c>
      <c r="S613" s="157" t="str">
        <f>HYPERLINK("https://www.mouser.com/ProductDetail/" &amp;MouserListTable[[#This Row],[Mouser SKU]])</f>
        <v>https://www.mouser.com/ProductDetail/474-TOL-12878</v>
      </c>
      <c r="T613" s="152">
        <v>0</v>
      </c>
      <c r="U613" s="152">
        <v>1</v>
      </c>
      <c r="V613" s="152">
        <v>1</v>
      </c>
      <c r="W613" s="152">
        <f>MouserListTable[[#This Row],['#/Unit]]*FilterSpecs!$C$3+MouserListTable[[#This Row],[Extra]]</f>
        <v>1</v>
      </c>
      <c r="X613" s="152">
        <f>IF(MouserListTable[[#This Row],[Tag]]=FilterSpecs!$F$7,MouserListTable[[#This Row],['#/Unit]]*MouserListTable[[#This Row],[Price (USD)]],0)</f>
        <v>0</v>
      </c>
      <c r="Y613" s="152">
        <f>MouserListTable[[#This Row],[Tot '#]]*MouserListTable[[#This Row],[Price (USD)]]</f>
        <v>16.95</v>
      </c>
    </row>
    <row r="614" spans="1:25" x14ac:dyDescent="0.25">
      <c r="A614" s="150" t="s">
        <v>13</v>
      </c>
      <c r="B614" s="150" t="s">
        <v>1600</v>
      </c>
      <c r="C614" s="150" t="s">
        <v>5</v>
      </c>
      <c r="D614" s="151" t="str">
        <f>IF(MouserListTable[[#This Row],[Vendor]]=FilterSpecs!$A$8,MouserListTable[[#This Row],[Mouser SKU]], MouserListTable[[#This Row],[Supplier SKU]])</f>
        <v>474-TOL-10706</v>
      </c>
      <c r="E614" s="152">
        <f>MouserListTable[[#This Row],[Tot '#]]-MouserListTable[[#This Row],['# Initial]]</f>
        <v>0</v>
      </c>
      <c r="F614" s="152">
        <f>IF(AND(MouserListTable[[#This Row],[Tag]]&lt;&gt;FilterSpecs!$F$12, MouserListTable[[#This Row],[Tag]]&lt;&gt;FilterSpecs!$F$9), MouserListTable[[#This Row],['#/Unit]]*FilterSpecs!$B$3+MouserListTable[[#This Row],[Extra Initial]],0)</f>
        <v>0</v>
      </c>
      <c r="G614" s="150" t="s">
        <v>851</v>
      </c>
      <c r="H614" s="150" t="s">
        <v>852</v>
      </c>
      <c r="I614" s="150" t="s">
        <v>853</v>
      </c>
      <c r="J614" s="150"/>
      <c r="K614" s="154">
        <v>114.95</v>
      </c>
      <c r="L614" s="150" t="s">
        <v>1900</v>
      </c>
      <c r="M614" s="150"/>
      <c r="N614" s="154">
        <f>MouserListTable[[#This Row],['# Initial]]*MouserListTable[[#This Row],[Price (USD)]]</f>
        <v>0</v>
      </c>
      <c r="O614" s="151" t="s">
        <v>850</v>
      </c>
      <c r="P614" s="150">
        <f t="shared" si="11"/>
        <v>601</v>
      </c>
      <c r="Q614" s="150" t="s">
        <v>5</v>
      </c>
      <c r="R61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474-TOL-10706</v>
      </c>
      <c r="S614" s="157" t="str">
        <f>HYPERLINK("https://www.mouser.com/ProductDetail/" &amp;MouserListTable[[#This Row],[Mouser SKU]])</f>
        <v>https://www.mouser.com/ProductDetail/474-TOL-10706</v>
      </c>
      <c r="T614" s="152">
        <v>0</v>
      </c>
      <c r="U614" s="152">
        <v>0</v>
      </c>
      <c r="V614" s="152">
        <v>0</v>
      </c>
      <c r="W614" s="152">
        <f>MouserListTable[[#This Row],['#/Unit]]*FilterSpecs!$C$3+MouserListTable[[#This Row],[Extra]]</f>
        <v>0</v>
      </c>
      <c r="X614" s="152">
        <f>IF(MouserListTable[[#This Row],[Tag]]=FilterSpecs!$F$7,MouserListTable[[#This Row],['#/Unit]]*MouserListTable[[#This Row],[Price (USD)]],0)</f>
        <v>0</v>
      </c>
      <c r="Y614" s="152">
        <f>MouserListTable[[#This Row],[Tot '#]]*MouserListTable[[#This Row],[Price (USD)]]</f>
        <v>0</v>
      </c>
    </row>
    <row r="615" spans="1:25" x14ac:dyDescent="0.25">
      <c r="A615" s="150" t="s">
        <v>13</v>
      </c>
      <c r="B615" s="150" t="s">
        <v>1600</v>
      </c>
      <c r="C615" s="150" t="s">
        <v>1884</v>
      </c>
      <c r="D615" s="151" t="str">
        <f>IF(MouserListTable[[#This Row],[Vendor]]=FilterSpecs!$A$8,MouserListTable[[#This Row],[Mouser SKU]], MouserListTable[[#This Row],[Supplier SKU]])</f>
        <v>485-1869</v>
      </c>
      <c r="E615" s="152">
        <f>MouserListTable[[#This Row],[Tot '#]]-MouserListTable[[#This Row],['# Initial]]</f>
        <v>0</v>
      </c>
      <c r="F615" s="152">
        <f>IF(AND(MouserListTable[[#This Row],[Tag]]&lt;&gt;FilterSpecs!$F$12, MouserListTable[[#This Row],[Tag]]&lt;&gt;FilterSpecs!$F$9), MouserListTable[[#This Row],['#/Unit]]*FilterSpecs!$B$3+MouserListTable[[#This Row],[Extra Initial]],0)</f>
        <v>0</v>
      </c>
      <c r="G615" s="150"/>
      <c r="H615" s="150"/>
      <c r="I615" s="150" t="s">
        <v>2367</v>
      </c>
      <c r="J615" s="153"/>
      <c r="K615" s="118">
        <v>97.5</v>
      </c>
      <c r="L615" s="97" t="s">
        <v>1899</v>
      </c>
      <c r="M615" s="153"/>
      <c r="N615" s="154">
        <f>MouserListTable[[#This Row],['# Initial]]*MouserListTable[[#This Row],[Price (USD)]]</f>
        <v>0</v>
      </c>
      <c r="O615" s="151" t="s">
        <v>2366</v>
      </c>
      <c r="P615" s="150">
        <f t="shared" si="11"/>
        <v>602</v>
      </c>
      <c r="Q615" s="150" t="s">
        <v>1884</v>
      </c>
      <c r="R61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485-1869</v>
      </c>
      <c r="S615" s="157" t="str">
        <f>HYPERLINK("https://www.mouser.com/ProductDetail/" &amp;MouserListTable[[#This Row],[Mouser SKU]])</f>
        <v>https://www.mouser.com/ProductDetail/485-1869</v>
      </c>
      <c r="T615" s="152">
        <v>0</v>
      </c>
      <c r="U615" s="152">
        <v>0</v>
      </c>
      <c r="V615" s="152">
        <v>0</v>
      </c>
      <c r="W615" s="152">
        <f>MouserListTable[[#This Row],['#/Unit]]*FilterSpecs!$C$3+MouserListTable[[#This Row],[Extra]]</f>
        <v>0</v>
      </c>
      <c r="X615" s="152">
        <f>IF(MouserListTable[[#This Row],[Tag]]=FilterSpecs!$F$7,MouserListTable[[#This Row],['#/Unit]]*MouserListTable[[#This Row],[Price (USD)]],0)</f>
        <v>0</v>
      </c>
      <c r="Y615" s="152">
        <f>MouserListTable[[#This Row],[Tot '#]]*MouserListTable[[#This Row],[Price (USD)]]</f>
        <v>0</v>
      </c>
    </row>
    <row r="616" spans="1:25" x14ac:dyDescent="0.25">
      <c r="A616" s="150" t="s">
        <v>13</v>
      </c>
      <c r="B616" s="150" t="s">
        <v>1600</v>
      </c>
      <c r="C616" s="150" t="s">
        <v>5</v>
      </c>
      <c r="D616" s="151" t="str">
        <f>IF(MouserListTable[[#This Row],[Vendor]]=FilterSpecs!$A$8,MouserListTable[[#This Row],[Mouser SKU]], MouserListTable[[#This Row],[Supplier SKU]])</f>
        <v>474-TOL-07925</v>
      </c>
      <c r="E616" s="152">
        <f>MouserListTable[[#This Row],[Tot '#]]-MouserListTable[[#This Row],['# Initial]]</f>
        <v>0</v>
      </c>
      <c r="F616" s="152">
        <f>IF(AND(MouserListTable[[#This Row],[Tag]]&lt;&gt;FilterSpecs!$F$12, MouserListTable[[#This Row],[Tag]]&lt;&gt;FilterSpecs!$F$9), MouserListTable[[#This Row],['#/Unit]]*FilterSpecs!$B$3+MouserListTable[[#This Row],[Extra Initial]],0)</f>
        <v>0</v>
      </c>
      <c r="G616" s="150" t="s">
        <v>1625</v>
      </c>
      <c r="H616" s="150" t="s">
        <v>1626</v>
      </c>
      <c r="I616" s="150" t="s">
        <v>1627</v>
      </c>
      <c r="J616" s="150"/>
      <c r="K616" s="154">
        <v>14.95</v>
      </c>
      <c r="L616" s="150" t="s">
        <v>1900</v>
      </c>
      <c r="M616" s="151"/>
      <c r="N616" s="154">
        <f>MouserListTable[[#This Row],['# Initial]]*MouserListTable[[#This Row],[Price (USD)]]</f>
        <v>0</v>
      </c>
      <c r="O616" s="151" t="s">
        <v>1624</v>
      </c>
      <c r="P616" s="150">
        <f t="shared" si="11"/>
        <v>603</v>
      </c>
      <c r="Q616" s="150" t="s">
        <v>5</v>
      </c>
      <c r="R61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474-TOL-07925</v>
      </c>
      <c r="S616" s="157" t="str">
        <f>HYPERLINK("https://www.mouser.com/ProductDetail/" &amp;MouserListTable[[#This Row],[Mouser SKU]])</f>
        <v>https://www.mouser.com/ProductDetail/474-TOL-07925</v>
      </c>
      <c r="T616" s="152">
        <v>0</v>
      </c>
      <c r="U616" s="152">
        <v>0</v>
      </c>
      <c r="V616" s="152">
        <v>0</v>
      </c>
      <c r="W616" s="152">
        <f>MouserListTable[[#This Row],['#/Unit]]*FilterSpecs!$C$3+MouserListTable[[#This Row],[Extra]]</f>
        <v>0</v>
      </c>
      <c r="X616" s="152">
        <f>IF(MouserListTable[[#This Row],[Tag]]=FilterSpecs!$F$7,MouserListTable[[#This Row],['#/Unit]]*MouserListTable[[#This Row],[Price (USD)]],0)</f>
        <v>0</v>
      </c>
      <c r="Y616" s="152">
        <f>MouserListTable[[#This Row],[Tot '#]]*MouserListTable[[#This Row],[Price (USD)]]</f>
        <v>0</v>
      </c>
    </row>
    <row r="617" spans="1:25" x14ac:dyDescent="0.25">
      <c r="A617" s="97" t="s">
        <v>13</v>
      </c>
      <c r="B617" s="97" t="s">
        <v>1600</v>
      </c>
      <c r="C617" s="150" t="s">
        <v>5</v>
      </c>
      <c r="D617" s="151" t="str">
        <f>IF(MouserListTable[[#This Row],[Vendor]]=FilterSpecs!$A$8,MouserListTable[[#This Row],[Mouser SKU]], MouserListTable[[#This Row],[Supplier SKU]])</f>
        <v>474-TOL-10326</v>
      </c>
      <c r="E617" s="152">
        <f>MouserListTable[[#This Row],[Tot '#]]-MouserListTable[[#This Row],['# Initial]]</f>
        <v>0</v>
      </c>
      <c r="F617" s="152">
        <f>IF(AND(MouserListTable[[#This Row],[Tag]]&lt;&gt;FilterSpecs!$F$12, MouserListTable[[#This Row],[Tag]]&lt;&gt;FilterSpecs!$F$9), MouserListTable[[#This Row],['#/Unit]]*FilterSpecs!$B$3+MouserListTable[[#This Row],[Extra Initial]],0)</f>
        <v>0</v>
      </c>
      <c r="G617" s="150" t="s">
        <v>843</v>
      </c>
      <c r="H617" s="150" t="s">
        <v>844</v>
      </c>
      <c r="I617" s="150" t="s">
        <v>845</v>
      </c>
      <c r="J617" s="150">
        <v>1</v>
      </c>
      <c r="K617" s="154">
        <v>13.95</v>
      </c>
      <c r="L617" s="150" t="s">
        <v>1900</v>
      </c>
      <c r="M617" s="153" t="s">
        <v>1295</v>
      </c>
      <c r="N617" s="154">
        <f>MouserListTable[[#This Row],['# Initial]]*MouserListTable[[#This Row],[Price (USD)]]</f>
        <v>0</v>
      </c>
      <c r="O617" s="151" t="s">
        <v>842</v>
      </c>
      <c r="P617" s="150">
        <f t="shared" si="11"/>
        <v>604</v>
      </c>
      <c r="Q617" s="150" t="s">
        <v>5</v>
      </c>
      <c r="R61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474-TOL-10326</v>
      </c>
      <c r="S617" s="157" t="str">
        <f>HYPERLINK("https://www.mouser.com/ProductDetail/" &amp;MouserListTable[[#This Row],[Mouser SKU]])</f>
        <v>https://www.mouser.com/ProductDetail/474-TOL-10326</v>
      </c>
      <c r="T617" s="152">
        <v>0</v>
      </c>
      <c r="U617" s="152">
        <v>0</v>
      </c>
      <c r="V617" s="152">
        <v>0</v>
      </c>
      <c r="W617" s="152">
        <f>MouserListTable[[#This Row],['#/Unit]]*FilterSpecs!$C$3+MouserListTable[[#This Row],[Extra]]</f>
        <v>0</v>
      </c>
      <c r="X617" s="152">
        <f>IF(MouserListTable[[#This Row],[Tag]]=FilterSpecs!$F$7,MouserListTable[[#This Row],['#/Unit]]*MouserListTable[[#This Row],[Price (USD)]],0)</f>
        <v>0</v>
      </c>
      <c r="Y617" s="152">
        <f>MouserListTable[[#This Row],[Tot '#]]*MouserListTable[[#This Row],[Price (USD)]]</f>
        <v>0</v>
      </c>
    </row>
    <row r="618" spans="1:25" x14ac:dyDescent="0.25">
      <c r="A618" s="150" t="s">
        <v>13</v>
      </c>
      <c r="B618" s="150" t="s">
        <v>1600</v>
      </c>
      <c r="C618" s="150" t="s">
        <v>1884</v>
      </c>
      <c r="D618" s="151" t="str">
        <f>IF(MouserListTable[[#This Row],[Vendor]]=FilterSpecs!$A$8,MouserListTable[[#This Row],[Mouser SKU]], MouserListTable[[#This Row],[Supplier SKU]])</f>
        <v>485-3536</v>
      </c>
      <c r="E618" s="152">
        <f>MouserListTable[[#This Row],[Tot '#]]-MouserListTable[[#This Row],['# Initial]]</f>
        <v>0</v>
      </c>
      <c r="F618" s="152">
        <f>IF(AND(MouserListTable[[#This Row],[Tag]]&lt;&gt;FilterSpecs!$F$12, MouserListTable[[#This Row],[Tag]]&lt;&gt;FilterSpecs!$F$9), MouserListTable[[#This Row],['#/Unit]]*FilterSpecs!$B$3+MouserListTable[[#This Row],[Extra Initial]],0)</f>
        <v>0</v>
      </c>
      <c r="G618" s="150"/>
      <c r="H618" s="150"/>
      <c r="I618" s="150" t="s">
        <v>2371</v>
      </c>
      <c r="J618" s="153"/>
      <c r="K618" s="118">
        <v>9.9499999999999993</v>
      </c>
      <c r="L618" s="97" t="s">
        <v>1896</v>
      </c>
      <c r="M618" s="153"/>
      <c r="N618" s="154">
        <f>MouserListTable[[#This Row],['# Initial]]*MouserListTable[[#This Row],[Price (USD)]]</f>
        <v>0</v>
      </c>
      <c r="O618" s="151" t="s">
        <v>2370</v>
      </c>
      <c r="P618" s="150">
        <f t="shared" si="11"/>
        <v>605</v>
      </c>
      <c r="Q618" s="150" t="s">
        <v>1884</v>
      </c>
      <c r="R61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485-3536</v>
      </c>
      <c r="S618" s="157" t="str">
        <f>HYPERLINK("https://www.mouser.com/ProductDetail/" &amp;MouserListTable[[#This Row],[Mouser SKU]])</f>
        <v>https://www.mouser.com/ProductDetail/485-3536</v>
      </c>
      <c r="T618" s="152">
        <v>0</v>
      </c>
      <c r="U618" s="152">
        <v>0</v>
      </c>
      <c r="V618" s="152">
        <v>0</v>
      </c>
      <c r="W618" s="152">
        <f>MouserListTable[[#This Row],['#/Unit]]*FilterSpecs!$C$3+MouserListTable[[#This Row],[Extra]]</f>
        <v>0</v>
      </c>
      <c r="X618" s="152">
        <f>IF(MouserListTable[[#This Row],[Tag]]=FilterSpecs!$F$7,MouserListTable[[#This Row],['#/Unit]]*MouserListTable[[#This Row],[Price (USD)]],0)</f>
        <v>0</v>
      </c>
      <c r="Y618" s="152">
        <f>MouserListTable[[#This Row],[Tot '#]]*MouserListTable[[#This Row],[Price (USD)]]</f>
        <v>0</v>
      </c>
    </row>
    <row r="619" spans="1:25" x14ac:dyDescent="0.25">
      <c r="A619" s="150" t="s">
        <v>13</v>
      </c>
      <c r="B619" s="150" t="s">
        <v>1600</v>
      </c>
      <c r="C619" s="150" t="s">
        <v>5</v>
      </c>
      <c r="D619" s="151" t="str">
        <f>IF(MouserListTable[[#This Row],[Vendor]]=FilterSpecs!$A$8,MouserListTable[[#This Row],[Mouser SKU]], MouserListTable[[#This Row],[Supplier SKU]])</f>
        <v>474-KIT-11488</v>
      </c>
      <c r="E619" s="152">
        <f>MouserListTable[[#This Row],[Tot '#]]-MouserListTable[[#This Row],['# Initial]]</f>
        <v>0</v>
      </c>
      <c r="F619" s="152">
        <f>IF(AND(MouserListTable[[#This Row],[Tag]]&lt;&gt;FilterSpecs!$F$12, MouserListTable[[#This Row],[Tag]]&lt;&gt;FilterSpecs!$F$9), MouserListTable[[#This Row],['#/Unit]]*FilterSpecs!$B$3+MouserListTable[[#This Row],[Extra Initial]],0)</f>
        <v>0</v>
      </c>
      <c r="G619" s="150" t="s">
        <v>1190</v>
      </c>
      <c r="H619" s="150" t="s">
        <v>1191</v>
      </c>
      <c r="I619" s="150" t="s">
        <v>1192</v>
      </c>
      <c r="J619" s="150">
        <v>1</v>
      </c>
      <c r="K619" s="154">
        <v>59.95</v>
      </c>
      <c r="L619" s="97" t="s">
        <v>1896</v>
      </c>
      <c r="M619" s="153"/>
      <c r="N619" s="154">
        <f>MouserListTable[[#This Row],['# Initial]]*MouserListTable[[#This Row],[Price (USD)]]</f>
        <v>0</v>
      </c>
      <c r="O619" s="120" t="s">
        <v>1189</v>
      </c>
      <c r="P619" s="150">
        <f t="shared" si="11"/>
        <v>606</v>
      </c>
      <c r="Q619" s="150" t="s">
        <v>5</v>
      </c>
      <c r="R61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474-KIT-11488</v>
      </c>
      <c r="S619" s="157" t="str">
        <f>HYPERLINK("https://www.mouser.com/ProductDetail/" &amp;MouserListTable[[#This Row],[Mouser SKU]])</f>
        <v>https://www.mouser.com/ProductDetail/474-KIT-11488</v>
      </c>
      <c r="T619" s="152">
        <v>0</v>
      </c>
      <c r="U619" s="152">
        <v>0</v>
      </c>
      <c r="V619" s="152">
        <v>0</v>
      </c>
      <c r="W619" s="152">
        <f>MouserListTable[[#This Row],['#/Unit]]*FilterSpecs!$C$3+MouserListTable[[#This Row],[Extra]]</f>
        <v>0</v>
      </c>
      <c r="X619" s="152">
        <f>IF(MouserListTable[[#This Row],[Tag]]=FilterSpecs!$F$7,MouserListTable[[#This Row],['#/Unit]]*MouserListTable[[#This Row],[Price (USD)]],0)</f>
        <v>0</v>
      </c>
      <c r="Y619" s="152">
        <f>MouserListTable[[#This Row],[Tot '#]]*MouserListTable[[#This Row],[Price (USD)]]</f>
        <v>0</v>
      </c>
    </row>
    <row r="620" spans="1:25" x14ac:dyDescent="0.25">
      <c r="A620" s="97" t="s">
        <v>13</v>
      </c>
      <c r="B620" s="97" t="s">
        <v>1601</v>
      </c>
      <c r="C620" s="150" t="s">
        <v>5</v>
      </c>
      <c r="D620" s="151" t="str">
        <f>IF(MouserListTable[[#This Row],[Vendor]]=FilterSpecs!$A$8,MouserListTable[[#This Row],[Mouser SKU]], MouserListTable[[#This Row],[Supplier SKU]])</f>
        <v>474-TOL-10410</v>
      </c>
      <c r="E620" s="152">
        <f>MouserListTable[[#This Row],[Tot '#]]-MouserListTable[[#This Row],['# Initial]]</f>
        <v>1</v>
      </c>
      <c r="F620" s="152">
        <f>IF(AND(MouserListTable[[#This Row],[Tag]]&lt;&gt;FilterSpecs!$F$12, MouserListTable[[#This Row],[Tag]]&lt;&gt;FilterSpecs!$F$9), MouserListTable[[#This Row],['#/Unit]]*FilterSpecs!$B$3+MouserListTable[[#This Row],[Extra Initial]],0)</f>
        <v>0</v>
      </c>
      <c r="G620" s="150" t="s">
        <v>875</v>
      </c>
      <c r="H620" s="150" t="s">
        <v>876</v>
      </c>
      <c r="I620" s="150" t="s">
        <v>877</v>
      </c>
      <c r="J620" s="150"/>
      <c r="K620" s="154">
        <v>33.75</v>
      </c>
      <c r="L620" s="150" t="s">
        <v>1900</v>
      </c>
      <c r="M620" s="153"/>
      <c r="N620" s="154">
        <f>MouserListTable[[#This Row],['# Initial]]*MouserListTable[[#This Row],[Price (USD)]]</f>
        <v>0</v>
      </c>
      <c r="O620" s="151" t="s">
        <v>874</v>
      </c>
      <c r="P620" s="150">
        <f t="shared" si="11"/>
        <v>607</v>
      </c>
      <c r="Q620" s="150" t="s">
        <v>5</v>
      </c>
      <c r="R62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474-TOL-10410</v>
      </c>
      <c r="S620" s="157" t="str">
        <f>HYPERLINK("https://www.mouser.com/ProductDetail/" &amp;MouserListTable[[#This Row],[Mouser SKU]])</f>
        <v>https://www.mouser.com/ProductDetail/474-TOL-10410</v>
      </c>
      <c r="T620" s="152">
        <v>0</v>
      </c>
      <c r="U620" s="152">
        <v>1</v>
      </c>
      <c r="V620" s="152">
        <v>0</v>
      </c>
      <c r="W620" s="152">
        <f>MouserListTable[[#This Row],['#/Unit]]*FilterSpecs!$C$3+MouserListTable[[#This Row],[Extra]]</f>
        <v>1</v>
      </c>
      <c r="X620" s="152">
        <f>IF(MouserListTable[[#This Row],[Tag]]=FilterSpecs!$F$7,MouserListTable[[#This Row],['#/Unit]]*MouserListTable[[#This Row],[Price (USD)]],0)</f>
        <v>0</v>
      </c>
      <c r="Y620" s="152">
        <f>MouserListTable[[#This Row],[Tot '#]]*MouserListTable[[#This Row],[Price (USD)]]</f>
        <v>33.75</v>
      </c>
    </row>
    <row r="621" spans="1:25" x14ac:dyDescent="0.25">
      <c r="A621" s="97" t="s">
        <v>13</v>
      </c>
      <c r="B621" s="97" t="s">
        <v>1601</v>
      </c>
      <c r="C621" s="150" t="s">
        <v>1884</v>
      </c>
      <c r="D621" s="151" t="str">
        <f>IF(MouserListTable[[#This Row],[Vendor]]=FilterSpecs!$A$8,MouserListTable[[#This Row],[Mouser SKU]], MouserListTable[[#This Row],[Supplier SKU]])</f>
        <v>485-151</v>
      </c>
      <c r="E621" s="152">
        <f>MouserListTable[[#This Row],[Tot '#]]-MouserListTable[[#This Row],['# Initial]]</f>
        <v>0</v>
      </c>
      <c r="F621" s="152">
        <f>IF(AND(MouserListTable[[#This Row],[Tag]]&lt;&gt;FilterSpecs!$F$12, MouserListTable[[#This Row],[Tag]]&lt;&gt;FilterSpecs!$F$9), MouserListTable[[#This Row],['#/Unit]]*FilterSpecs!$B$3+MouserListTable[[#This Row],[Extra Initial]],0)</f>
        <v>1</v>
      </c>
      <c r="G621" s="150" t="s">
        <v>875</v>
      </c>
      <c r="H621" s="150" t="s">
        <v>876</v>
      </c>
      <c r="I621" s="150" t="s">
        <v>2570</v>
      </c>
      <c r="J621" s="150"/>
      <c r="K621" s="154">
        <v>31.25</v>
      </c>
      <c r="L621" s="150" t="s">
        <v>1896</v>
      </c>
      <c r="M621" s="153"/>
      <c r="N621" s="154">
        <f>MouserListTable[[#This Row],['# Initial]]*MouserListTable[[#This Row],[Price (USD)]]</f>
        <v>31.25</v>
      </c>
      <c r="O621" s="151">
        <v>151</v>
      </c>
      <c r="P621" s="150">
        <f t="shared" si="11"/>
        <v>608</v>
      </c>
      <c r="Q621" s="150" t="s">
        <v>1884</v>
      </c>
      <c r="R62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485-151</v>
      </c>
      <c r="S621" s="157" t="str">
        <f>HYPERLINK("https://www.mouser.com/ProductDetail/" &amp;MouserListTable[[#This Row],[Mouser SKU]])</f>
        <v>https://www.mouser.com/ProductDetail/485-151</v>
      </c>
      <c r="T621" s="152">
        <v>0</v>
      </c>
      <c r="U621" s="152">
        <v>1</v>
      </c>
      <c r="V621" s="152">
        <v>1</v>
      </c>
      <c r="W621" s="152">
        <f>MouserListTable[[#This Row],['#/Unit]]*FilterSpecs!$C$3+MouserListTable[[#This Row],[Extra]]</f>
        <v>1</v>
      </c>
      <c r="X621" s="152">
        <f>IF(MouserListTable[[#This Row],[Tag]]=FilterSpecs!$F$7,MouserListTable[[#This Row],['#/Unit]]*MouserListTable[[#This Row],[Price (USD)]],0)</f>
        <v>0</v>
      </c>
      <c r="Y621" s="152">
        <f>MouserListTable[[#This Row],[Tot '#]]*MouserListTable[[#This Row],[Price (USD)]]</f>
        <v>31.25</v>
      </c>
    </row>
    <row r="622" spans="1:25" x14ac:dyDescent="0.25">
      <c r="A622" s="97" t="s">
        <v>13</v>
      </c>
      <c r="B622" s="97" t="s">
        <v>1601</v>
      </c>
      <c r="C622" s="150" t="s">
        <v>5</v>
      </c>
      <c r="D622" s="151" t="str">
        <f>IF(MouserListTable[[#This Row],[Vendor]]=FilterSpecs!$A$8,MouserListTable[[#This Row],[Mouser SKU]], MouserListTable[[#This Row],[Supplier SKU]])</f>
        <v>474-TOL-11784</v>
      </c>
      <c r="E622" s="152">
        <f>MouserListTable[[#This Row],[Tot '#]]-MouserListTable[[#This Row],['# Initial]]</f>
        <v>0</v>
      </c>
      <c r="F622" s="152">
        <f>IF(AND(MouserListTable[[#This Row],[Tag]]&lt;&gt;FilterSpecs!$F$12, MouserListTable[[#This Row],[Tag]]&lt;&gt;FilterSpecs!$F$9), MouserListTable[[#This Row],['#/Unit]]*FilterSpecs!$B$3+MouserListTable[[#This Row],[Extra Initial]],0)</f>
        <v>0</v>
      </c>
      <c r="G622" s="150" t="s">
        <v>1133</v>
      </c>
      <c r="H622" s="150" t="s">
        <v>1134</v>
      </c>
      <c r="I622" s="150" t="s">
        <v>1135</v>
      </c>
      <c r="J622" s="150">
        <v>1</v>
      </c>
      <c r="K622" s="154">
        <v>29.95</v>
      </c>
      <c r="L622" s="150" t="s">
        <v>1900</v>
      </c>
      <c r="M622" s="153"/>
      <c r="N622" s="154">
        <f>MouserListTable[[#This Row],['# Initial]]*MouserListTable[[#This Row],[Price (USD)]]</f>
        <v>0</v>
      </c>
      <c r="O622" s="151" t="s">
        <v>1132</v>
      </c>
      <c r="P622" s="150">
        <f>IF($P620="List #",1,$P620+1)</f>
        <v>608</v>
      </c>
      <c r="Q622" s="150" t="s">
        <v>5</v>
      </c>
      <c r="R62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474-TOL-11784</v>
      </c>
      <c r="S622" s="157" t="str">
        <f>HYPERLINK("https://www.mouser.com/ProductDetail/" &amp;MouserListTable[[#This Row],[Mouser SKU]])</f>
        <v>https://www.mouser.com/ProductDetail/474-TOL-11784</v>
      </c>
      <c r="T622" s="152">
        <v>0</v>
      </c>
      <c r="U622" s="152">
        <v>0</v>
      </c>
      <c r="V622" s="152">
        <v>0</v>
      </c>
      <c r="W622" s="152">
        <f>MouserListTable[[#This Row],['#/Unit]]*FilterSpecs!$C$3+MouserListTable[[#This Row],[Extra]]</f>
        <v>0</v>
      </c>
      <c r="X622" s="152">
        <f>IF(MouserListTable[[#This Row],[Tag]]=FilterSpecs!$F$7,MouserListTable[[#This Row],['#/Unit]]*MouserListTable[[#This Row],[Price (USD)]],0)</f>
        <v>0</v>
      </c>
      <c r="Y622" s="152">
        <f>MouserListTable[[#This Row],[Tot '#]]*MouserListTable[[#This Row],[Price (USD)]]</f>
        <v>0</v>
      </c>
    </row>
    <row r="623" spans="1:25" x14ac:dyDescent="0.25">
      <c r="A623" s="97" t="s">
        <v>13</v>
      </c>
      <c r="B623" s="97" t="s">
        <v>1601</v>
      </c>
      <c r="C623" s="150" t="s">
        <v>5</v>
      </c>
      <c r="D623" s="151" t="str">
        <f>IF(MouserListTable[[#This Row],[Vendor]]=FilterSpecs!$A$8,MouserListTable[[#This Row],[Mouser SKU]], MouserListTable[[#This Row],[Supplier SKU]])</f>
        <v>474-TOL-09317</v>
      </c>
      <c r="E623" s="152">
        <f>MouserListTable[[#This Row],[Tot '#]]-MouserListTable[[#This Row],['# Initial]]</f>
        <v>0</v>
      </c>
      <c r="F623" s="152">
        <f>IF(AND(MouserListTable[[#This Row],[Tag]]&lt;&gt;FilterSpecs!$F$12, MouserListTable[[#This Row],[Tag]]&lt;&gt;FilterSpecs!$F$9), MouserListTable[[#This Row],['#/Unit]]*FilterSpecs!$B$3+MouserListTable[[#This Row],[Extra Initial]],0)</f>
        <v>0</v>
      </c>
      <c r="G623" s="150" t="s">
        <v>847</v>
      </c>
      <c r="H623" s="150" t="s">
        <v>848</v>
      </c>
      <c r="I623" s="150" t="s">
        <v>849</v>
      </c>
      <c r="J623" s="150">
        <v>1</v>
      </c>
      <c r="K623" s="154">
        <v>9.9499999999999993</v>
      </c>
      <c r="L623" s="150" t="s">
        <v>1900</v>
      </c>
      <c r="M623" s="153"/>
      <c r="N623" s="154">
        <f>MouserListTable[[#This Row],['# Initial]]*MouserListTable[[#This Row],[Price (USD)]]</f>
        <v>0</v>
      </c>
      <c r="O623" s="151" t="s">
        <v>846</v>
      </c>
      <c r="P623" s="150">
        <f t="shared" si="11"/>
        <v>609</v>
      </c>
      <c r="Q623" s="150" t="s">
        <v>5</v>
      </c>
      <c r="R62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474-TOL-09317</v>
      </c>
      <c r="S623" s="157" t="str">
        <f>HYPERLINK("https://www.mouser.com/ProductDetail/" &amp;MouserListTable[[#This Row],[Mouser SKU]])</f>
        <v>https://www.mouser.com/ProductDetail/474-TOL-09317</v>
      </c>
      <c r="T623" s="152">
        <v>0</v>
      </c>
      <c r="U623" s="152">
        <v>0</v>
      </c>
      <c r="V623" s="152">
        <v>0</v>
      </c>
      <c r="W623" s="152">
        <f>MouserListTable[[#This Row],['#/Unit]]*FilterSpecs!$C$3+MouserListTable[[#This Row],[Extra]]</f>
        <v>0</v>
      </c>
      <c r="X623" s="152">
        <f>IF(MouserListTable[[#This Row],[Tag]]=FilterSpecs!$F$7,MouserListTable[[#This Row],['#/Unit]]*MouserListTable[[#This Row],[Price (USD)]],0)</f>
        <v>0</v>
      </c>
      <c r="Y623" s="152">
        <f>MouserListTable[[#This Row],[Tot '#]]*MouserListTable[[#This Row],[Price (USD)]]</f>
        <v>0</v>
      </c>
    </row>
    <row r="624" spans="1:25" x14ac:dyDescent="0.25">
      <c r="A624" s="150" t="s">
        <v>13</v>
      </c>
      <c r="B624" s="150" t="s">
        <v>1601</v>
      </c>
      <c r="C624" s="150" t="s">
        <v>1884</v>
      </c>
      <c r="D624" s="151" t="str">
        <f>IF(MouserListTable[[#This Row],[Vendor]]=FilterSpecs!$A$8,MouserListTable[[#This Row],[Mouser SKU]], MouserListTable[[#This Row],[Supplier SKU]])</f>
        <v>485-3019</v>
      </c>
      <c r="E624" s="152">
        <f>MouserListTable[[#This Row],[Tot '#]]-MouserListTable[[#This Row],['# Initial]]</f>
        <v>0</v>
      </c>
      <c r="F624" s="152">
        <f>IF(AND(MouserListTable[[#This Row],[Tag]]&lt;&gt;FilterSpecs!$F$12, MouserListTable[[#This Row],[Tag]]&lt;&gt;FilterSpecs!$F$9), MouserListTable[[#This Row],['#/Unit]]*FilterSpecs!$B$3+MouserListTable[[#This Row],[Extra Initial]],0)</f>
        <v>1</v>
      </c>
      <c r="G624" s="150"/>
      <c r="H624" s="150"/>
      <c r="I624" s="150" t="s">
        <v>2369</v>
      </c>
      <c r="J624" s="153"/>
      <c r="K624" s="154">
        <v>68.69</v>
      </c>
      <c r="L624" s="150" t="s">
        <v>1900</v>
      </c>
      <c r="M624" s="151"/>
      <c r="N624" s="154">
        <f>MouserListTable[[#This Row],['# Initial]]*MouserListTable[[#This Row],[Price (USD)]]</f>
        <v>68.69</v>
      </c>
      <c r="O624" s="151" t="s">
        <v>2368</v>
      </c>
      <c r="P624" s="150">
        <f t="shared" si="11"/>
        <v>610</v>
      </c>
      <c r="Q624" s="150" t="s">
        <v>1884</v>
      </c>
      <c r="R62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485-3019</v>
      </c>
      <c r="S624" s="157" t="str">
        <f>HYPERLINK("https://www.mouser.com/ProductDetail/" &amp;MouserListTable[[#This Row],[Mouser SKU]])</f>
        <v>https://www.mouser.com/ProductDetail/485-3019</v>
      </c>
      <c r="T624" s="152">
        <v>0</v>
      </c>
      <c r="U624" s="152">
        <v>1</v>
      </c>
      <c r="V624" s="152">
        <v>1</v>
      </c>
      <c r="W624" s="152">
        <f>MouserListTable[[#This Row],['#/Unit]]*FilterSpecs!$C$3+MouserListTable[[#This Row],[Extra]]</f>
        <v>1</v>
      </c>
      <c r="X624" s="152">
        <f>IF(MouserListTable[[#This Row],[Tag]]=FilterSpecs!$F$7,MouserListTable[[#This Row],['#/Unit]]*MouserListTable[[#This Row],[Price (USD)]],0)</f>
        <v>0</v>
      </c>
      <c r="Y624" s="152">
        <f>MouserListTable[[#This Row],[Tot '#]]*MouserListTable[[#This Row],[Price (USD)]]</f>
        <v>68.69</v>
      </c>
    </row>
    <row r="625" spans="1:25" x14ac:dyDescent="0.25">
      <c r="A625" s="150" t="s">
        <v>13</v>
      </c>
      <c r="B625" s="150" t="s">
        <v>1601</v>
      </c>
      <c r="C625" s="150" t="s">
        <v>5</v>
      </c>
      <c r="D625" s="151" t="str">
        <f>IF(MouserListTable[[#This Row],[Vendor]]=FilterSpecs!$A$8,MouserListTable[[#This Row],[Mouser SKU]], MouserListTable[[#This Row],[Supplier SKU]])</f>
        <v>474-TOL-09316</v>
      </c>
      <c r="E625" s="152">
        <f>MouserListTable[[#This Row],[Tot '#]]-MouserListTable[[#This Row],['# Initial]]</f>
        <v>0</v>
      </c>
      <c r="F625" s="152">
        <f>IF(AND(MouserListTable[[#This Row],[Tag]]&lt;&gt;FilterSpecs!$F$12, MouserListTable[[#This Row],[Tag]]&lt;&gt;FilterSpecs!$F$9), MouserListTable[[#This Row],['#/Unit]]*FilterSpecs!$B$3+MouserListTable[[#This Row],[Extra Initial]],0)</f>
        <v>1</v>
      </c>
      <c r="G625" s="150" t="s">
        <v>867</v>
      </c>
      <c r="H625" s="150" t="s">
        <v>868</v>
      </c>
      <c r="I625" s="150" t="s">
        <v>869</v>
      </c>
      <c r="J625" s="150">
        <v>1</v>
      </c>
      <c r="K625" s="154">
        <v>9.9499999999999993</v>
      </c>
      <c r="L625" s="150" t="s">
        <v>1900</v>
      </c>
      <c r="M625" s="151"/>
      <c r="N625" s="154">
        <f>MouserListTable[[#This Row],['# Initial]]*MouserListTable[[#This Row],[Price (USD)]]</f>
        <v>9.9499999999999993</v>
      </c>
      <c r="O625" s="151" t="s">
        <v>866</v>
      </c>
      <c r="P625" s="150">
        <f t="shared" si="11"/>
        <v>611</v>
      </c>
      <c r="Q625" s="150" t="s">
        <v>5</v>
      </c>
      <c r="R62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474-TOL-09316</v>
      </c>
      <c r="S625" s="157" t="str">
        <f>HYPERLINK("https://www.mouser.com/ProductDetail/" &amp;MouserListTable[[#This Row],[Mouser SKU]])</f>
        <v>https://www.mouser.com/ProductDetail/474-TOL-09316</v>
      </c>
      <c r="T625" s="152">
        <v>0</v>
      </c>
      <c r="U625" s="152">
        <v>1</v>
      </c>
      <c r="V625" s="152">
        <v>1</v>
      </c>
      <c r="W625" s="152">
        <f>MouserListTable[[#This Row],['#/Unit]]*FilterSpecs!$C$3+MouserListTable[[#This Row],[Extra]]</f>
        <v>1</v>
      </c>
      <c r="X625" s="152">
        <f>IF(MouserListTable[[#This Row],[Tag]]=FilterSpecs!$F$7,MouserListTable[[#This Row],['#/Unit]]*MouserListTable[[#This Row],[Price (USD)]],0)</f>
        <v>0</v>
      </c>
      <c r="Y625" s="152">
        <f>MouserListTable[[#This Row],[Tot '#]]*MouserListTable[[#This Row],[Price (USD)]]</f>
        <v>9.9499999999999993</v>
      </c>
    </row>
    <row r="626" spans="1:25" x14ac:dyDescent="0.25">
      <c r="A626" s="150" t="s">
        <v>13</v>
      </c>
      <c r="B626" s="150" t="s">
        <v>1601</v>
      </c>
      <c r="C626" s="150" t="s">
        <v>5</v>
      </c>
      <c r="D626" s="151" t="str">
        <f>IF(MouserListTable[[#This Row],[Vendor]]=FilterSpecs!$A$8,MouserListTable[[#This Row],[Mouser SKU]], MouserListTable[[#This Row],[Supplier SKU]])</f>
        <v>474-COM-09906</v>
      </c>
      <c r="E626" s="152">
        <f>MouserListTable[[#This Row],[Tot '#]]-MouserListTable[[#This Row],['# Initial]]</f>
        <v>1</v>
      </c>
      <c r="F626" s="152">
        <f>IF(AND(MouserListTable[[#This Row],[Tag]]&lt;&gt;FilterSpecs!$F$12, MouserListTable[[#This Row],[Tag]]&lt;&gt;FilterSpecs!$F$9), MouserListTable[[#This Row],['#/Unit]]*FilterSpecs!$B$3+MouserListTable[[#This Row],[Extra Initial]],0)</f>
        <v>0</v>
      </c>
      <c r="G626" s="150" t="s">
        <v>123</v>
      </c>
      <c r="H626" s="150" t="s">
        <v>124</v>
      </c>
      <c r="I626" s="150" t="s">
        <v>125</v>
      </c>
      <c r="J626" s="150"/>
      <c r="K626" s="154">
        <v>14.95</v>
      </c>
      <c r="L626" s="150" t="s">
        <v>2461</v>
      </c>
      <c r="M626" s="151"/>
      <c r="N626" s="154">
        <f>MouserListTable[[#This Row],['# Initial]]*MouserListTable[[#This Row],[Price (USD)]]</f>
        <v>0</v>
      </c>
      <c r="O626" s="151" t="s">
        <v>122</v>
      </c>
      <c r="P626" s="150">
        <f t="shared" si="11"/>
        <v>612</v>
      </c>
      <c r="Q626" s="150" t="s">
        <v>5</v>
      </c>
      <c r="R62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474-COM-09906</v>
      </c>
      <c r="S626" s="157" t="str">
        <f>HYPERLINK("https://www.mouser.com/ProductDetail/" &amp;MouserListTable[[#This Row],[Mouser SKU]])</f>
        <v>https://www.mouser.com/ProductDetail/474-COM-09906</v>
      </c>
      <c r="T626" s="152">
        <v>0</v>
      </c>
      <c r="U626" s="152">
        <v>1</v>
      </c>
      <c r="V626" s="152">
        <v>0</v>
      </c>
      <c r="W626" s="152">
        <f>MouserListTable[[#This Row],['#/Unit]]*FilterSpecs!$C$3+MouserListTable[[#This Row],[Extra]]</f>
        <v>1</v>
      </c>
      <c r="X626" s="152">
        <f>IF(MouserListTable[[#This Row],[Tag]]=FilterSpecs!$F$7,MouserListTable[[#This Row],['#/Unit]]*MouserListTable[[#This Row],[Price (USD)]],0)</f>
        <v>0</v>
      </c>
      <c r="Y626" s="152">
        <f>MouserListTable[[#This Row],[Tot '#]]*MouserListTable[[#This Row],[Price (USD)]]</f>
        <v>14.95</v>
      </c>
    </row>
    <row r="627" spans="1:25" x14ac:dyDescent="0.25">
      <c r="A627" s="150" t="s">
        <v>13</v>
      </c>
      <c r="B627" s="150" t="s">
        <v>1601</v>
      </c>
      <c r="C627" s="150" t="s">
        <v>5</v>
      </c>
      <c r="D627" s="151" t="str">
        <f>IF(MouserListTable[[#This Row],[Vendor]]=FilterSpecs!$A$8,MouserListTable[[#This Row],[Mouser SKU]], MouserListTable[[#This Row],[Supplier SKU]])</f>
        <v>474-COM-08674</v>
      </c>
      <c r="E627" s="152">
        <f>MouserListTable[[#This Row],[Tot '#]]-MouserListTable[[#This Row],['# Initial]]</f>
        <v>1</v>
      </c>
      <c r="F627" s="152">
        <f>IF(AND(MouserListTable[[#This Row],[Tag]]&lt;&gt;FilterSpecs!$F$12, MouserListTable[[#This Row],[Tag]]&lt;&gt;FilterSpecs!$F$9), MouserListTable[[#This Row],['#/Unit]]*FilterSpecs!$B$3+MouserListTable[[#This Row],[Extra Initial]],0)</f>
        <v>0</v>
      </c>
      <c r="G627" s="150" t="s">
        <v>127</v>
      </c>
      <c r="H627" s="150" t="s">
        <v>128</v>
      </c>
      <c r="I627" s="150" t="s">
        <v>129</v>
      </c>
      <c r="J627" s="150">
        <v>1</v>
      </c>
      <c r="K627" s="154">
        <v>0.1</v>
      </c>
      <c r="L627" s="150" t="s">
        <v>1896</v>
      </c>
      <c r="M627" s="151"/>
      <c r="N627" s="154">
        <f>MouserListTable[[#This Row],['# Initial]]*MouserListTable[[#This Row],[Price (USD)]]</f>
        <v>0</v>
      </c>
      <c r="O627" s="151" t="s">
        <v>126</v>
      </c>
      <c r="P627" s="150">
        <f t="shared" si="11"/>
        <v>613</v>
      </c>
      <c r="Q627" s="150" t="s">
        <v>5</v>
      </c>
      <c r="R62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474-COM-08674</v>
      </c>
      <c r="S627" s="157" t="str">
        <f>HYPERLINK("https://www.mouser.com/ProductDetail/" &amp;MouserListTable[[#This Row],[Mouser SKU]])</f>
        <v>https://www.mouser.com/ProductDetail/474-COM-08674</v>
      </c>
      <c r="T627" s="152">
        <v>0</v>
      </c>
      <c r="U627" s="152">
        <v>1</v>
      </c>
      <c r="V627" s="152">
        <v>0</v>
      </c>
      <c r="W627" s="152">
        <f>MouserListTable[[#This Row],['#/Unit]]*FilterSpecs!$C$3+MouserListTable[[#This Row],[Extra]]</f>
        <v>1</v>
      </c>
      <c r="X627" s="152">
        <f>IF(MouserListTable[[#This Row],[Tag]]=FilterSpecs!$F$7,MouserListTable[[#This Row],['#/Unit]]*MouserListTable[[#This Row],[Price (USD)]],0)</f>
        <v>0</v>
      </c>
      <c r="Y627" s="152">
        <f>MouserListTable[[#This Row],[Tot '#]]*MouserListTable[[#This Row],[Price (USD)]]</f>
        <v>0.1</v>
      </c>
    </row>
    <row r="628" spans="1:25" x14ac:dyDescent="0.25">
      <c r="A628" s="150" t="s">
        <v>13</v>
      </c>
      <c r="B628" s="150" t="s">
        <v>1599</v>
      </c>
      <c r="C628" s="150" t="s">
        <v>5</v>
      </c>
      <c r="D628" s="151" t="str">
        <f>IF(MouserListTable[[#This Row],[Vendor]]=FilterSpecs!$A$8,MouserListTable[[#This Row],[Mouser SKU]], MouserListTable[[#This Row],[Supplier SKU]])</f>
        <v>474-TOL-12573</v>
      </c>
      <c r="E628" s="152">
        <f>MouserListTable[[#This Row],[Tot '#]]-MouserListTable[[#This Row],['# Initial]]</f>
        <v>0</v>
      </c>
      <c r="F628" s="152">
        <f>IF(AND(MouserListTable[[#This Row],[Tag]]&lt;&gt;FilterSpecs!$F$12, MouserListTable[[#This Row],[Tag]]&lt;&gt;FilterSpecs!$F$9), MouserListTable[[#This Row],['#/Unit]]*FilterSpecs!$B$3+MouserListTable[[#This Row],[Extra Initial]],0)</f>
        <v>0</v>
      </c>
      <c r="G628" s="150" t="s">
        <v>863</v>
      </c>
      <c r="H628" s="150" t="s">
        <v>864</v>
      </c>
      <c r="I628" s="150" t="s">
        <v>865</v>
      </c>
      <c r="J628" s="150">
        <v>1</v>
      </c>
      <c r="K628" s="154">
        <v>3.95</v>
      </c>
      <c r="L628" s="150" t="s">
        <v>1900</v>
      </c>
      <c r="M628" s="151"/>
      <c r="N628" s="154">
        <f>MouserListTable[[#This Row],['# Initial]]*MouserListTable[[#This Row],[Price (USD)]]</f>
        <v>0</v>
      </c>
      <c r="O628" s="151" t="s">
        <v>862</v>
      </c>
      <c r="P628" s="150">
        <f t="shared" si="11"/>
        <v>614</v>
      </c>
      <c r="Q628" s="150" t="s">
        <v>5</v>
      </c>
      <c r="R62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474-TOL-12573</v>
      </c>
      <c r="S628" s="157" t="str">
        <f>HYPERLINK("https://www.mouser.com/ProductDetail/" &amp;MouserListTable[[#This Row],[Mouser SKU]])</f>
        <v>https://www.mouser.com/ProductDetail/474-TOL-12573</v>
      </c>
      <c r="T628" s="152">
        <v>0</v>
      </c>
      <c r="U628" s="152">
        <v>0</v>
      </c>
      <c r="V628" s="152">
        <v>0</v>
      </c>
      <c r="W628" s="152">
        <f>MouserListTable[[#This Row],['#/Unit]]*FilterSpecs!$C$3+MouserListTable[[#This Row],[Extra]]</f>
        <v>0</v>
      </c>
      <c r="X628" s="152">
        <f>IF(MouserListTable[[#This Row],[Tag]]=FilterSpecs!$F$7,MouserListTable[[#This Row],['#/Unit]]*MouserListTable[[#This Row],[Price (USD)]],0)</f>
        <v>0</v>
      </c>
      <c r="Y628" s="152">
        <f>MouserListTable[[#This Row],[Tot '#]]*MouserListTable[[#This Row],[Price (USD)]]</f>
        <v>0</v>
      </c>
    </row>
    <row r="629" spans="1:25" x14ac:dyDescent="0.25">
      <c r="A629" s="150" t="s">
        <v>13</v>
      </c>
      <c r="B629" s="150" t="s">
        <v>1599</v>
      </c>
      <c r="C629" s="150" t="s">
        <v>5</v>
      </c>
      <c r="D629" s="151" t="str">
        <f>IF(MouserListTable[[#This Row],[Vendor]]=FilterSpecs!$A$8,MouserListTable[[#This Row],[Mouser SKU]], MouserListTable[[#This Row],[Supplier SKU]])</f>
        <v>474-TOL-10602</v>
      </c>
      <c r="E629" s="152">
        <f>MouserListTable[[#This Row],[Tot '#]]-MouserListTable[[#This Row],['# Initial]]</f>
        <v>0</v>
      </c>
      <c r="F629" s="152">
        <f>IF(AND(MouserListTable[[#This Row],[Tag]]&lt;&gt;FilterSpecs!$F$12, MouserListTable[[#This Row],[Tag]]&lt;&gt;FilterSpecs!$F$9), MouserListTable[[#This Row],['#/Unit]]*FilterSpecs!$B$3+MouserListTable[[#This Row],[Extra Initial]],0)</f>
        <v>0</v>
      </c>
      <c r="G629" s="150" t="s">
        <v>855</v>
      </c>
      <c r="H629" s="150" t="s">
        <v>856</v>
      </c>
      <c r="I629" s="150" t="s">
        <v>857</v>
      </c>
      <c r="J629" s="150">
        <v>1</v>
      </c>
      <c r="K629" s="154">
        <v>3.95</v>
      </c>
      <c r="L629" s="150" t="s">
        <v>1900</v>
      </c>
      <c r="M629" s="151"/>
      <c r="N629" s="154">
        <f>MouserListTable[[#This Row],['# Initial]]*MouserListTable[[#This Row],[Price (USD)]]</f>
        <v>0</v>
      </c>
      <c r="O629" s="151" t="s">
        <v>854</v>
      </c>
      <c r="P629" s="150">
        <f t="shared" si="11"/>
        <v>615</v>
      </c>
      <c r="Q629" s="150" t="s">
        <v>5</v>
      </c>
      <c r="R62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474-TOL-10602</v>
      </c>
      <c r="S629" s="157" t="str">
        <f>HYPERLINK("https://www.mouser.com/ProductDetail/" &amp;MouserListTable[[#This Row],[Mouser SKU]])</f>
        <v>https://www.mouser.com/ProductDetail/474-TOL-10602</v>
      </c>
      <c r="T629" s="152">
        <v>0</v>
      </c>
      <c r="U629" s="152">
        <v>0</v>
      </c>
      <c r="V629" s="152">
        <v>0</v>
      </c>
      <c r="W629" s="152">
        <f>MouserListTable[[#This Row],['#/Unit]]*FilterSpecs!$C$3+MouserListTable[[#This Row],[Extra]]</f>
        <v>0</v>
      </c>
      <c r="X629" s="152">
        <f>IF(MouserListTable[[#This Row],[Tag]]=FilterSpecs!$F$7,MouserListTable[[#This Row],['#/Unit]]*MouserListTable[[#This Row],[Price (USD)]],0)</f>
        <v>0</v>
      </c>
      <c r="Y629" s="152">
        <f>MouserListTable[[#This Row],[Tot '#]]*MouserListTable[[#This Row],[Price (USD)]]</f>
        <v>0</v>
      </c>
    </row>
    <row r="630" spans="1:25" x14ac:dyDescent="0.25">
      <c r="A630" s="150" t="s">
        <v>13</v>
      </c>
      <c r="B630" s="150" t="s">
        <v>1599</v>
      </c>
      <c r="C630" s="150" t="s">
        <v>5</v>
      </c>
      <c r="D630" s="151" t="str">
        <f>IF(MouserListTable[[#This Row],[Vendor]]=FilterSpecs!$A$8,MouserListTable[[#This Row],[Mouser SKU]], MouserListTable[[#This Row],[Supplier SKU]])</f>
        <v>474-TOL-12572</v>
      </c>
      <c r="E630" s="152">
        <f>MouserListTable[[#This Row],[Tot '#]]-MouserListTable[[#This Row],['# Initial]]</f>
        <v>0</v>
      </c>
      <c r="F630" s="152">
        <f>IF(AND(MouserListTable[[#This Row],[Tag]]&lt;&gt;FilterSpecs!$F$12, MouserListTable[[#This Row],[Tag]]&lt;&gt;FilterSpecs!$F$9), MouserListTable[[#This Row],['#/Unit]]*FilterSpecs!$B$3+MouserListTable[[#This Row],[Extra Initial]],0)</f>
        <v>0</v>
      </c>
      <c r="G630" s="150" t="s">
        <v>839</v>
      </c>
      <c r="H630" s="150" t="s">
        <v>840</v>
      </c>
      <c r="I630" s="150" t="s">
        <v>841</v>
      </c>
      <c r="J630" s="150">
        <v>1</v>
      </c>
      <c r="K630" s="154">
        <v>3.95</v>
      </c>
      <c r="L630" s="150" t="s">
        <v>1900</v>
      </c>
      <c r="M630" s="151"/>
      <c r="N630" s="154">
        <f>MouserListTable[[#This Row],['# Initial]]*MouserListTable[[#This Row],[Price (USD)]]</f>
        <v>0</v>
      </c>
      <c r="O630" s="151" t="s">
        <v>838</v>
      </c>
      <c r="P630" s="150">
        <f t="shared" si="11"/>
        <v>616</v>
      </c>
      <c r="Q630" s="150" t="s">
        <v>5</v>
      </c>
      <c r="R63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474-TOL-12572</v>
      </c>
      <c r="S630" s="157" t="str">
        <f>HYPERLINK("https://www.mouser.com/ProductDetail/" &amp;MouserListTable[[#This Row],[Mouser SKU]])</f>
        <v>https://www.mouser.com/ProductDetail/474-TOL-12572</v>
      </c>
      <c r="T630" s="152">
        <v>0</v>
      </c>
      <c r="U630" s="152">
        <v>0</v>
      </c>
      <c r="V630" s="152">
        <v>0</v>
      </c>
      <c r="W630" s="152">
        <f>MouserListTable[[#This Row],['#/Unit]]*FilterSpecs!$C$3+MouserListTable[[#This Row],[Extra]]</f>
        <v>0</v>
      </c>
      <c r="X630" s="152">
        <f>IF(MouserListTable[[#This Row],[Tag]]=FilterSpecs!$F$7,MouserListTable[[#This Row],['#/Unit]]*MouserListTable[[#This Row],[Price (USD)]],0)</f>
        <v>0</v>
      </c>
      <c r="Y630" s="152">
        <f>MouserListTable[[#This Row],[Tot '#]]*MouserListTable[[#This Row],[Price (USD)]]</f>
        <v>0</v>
      </c>
    </row>
    <row r="631" spans="1:25" x14ac:dyDescent="0.25">
      <c r="A631" s="150" t="s">
        <v>13</v>
      </c>
      <c r="B631" s="150" t="s">
        <v>1599</v>
      </c>
      <c r="C631" s="150" t="s">
        <v>5</v>
      </c>
      <c r="D631" s="151" t="str">
        <f>IF(MouserListTable[[#This Row],[Vendor]]=FilterSpecs!$A$8,MouserListTable[[#This Row],[Mouser SKU]], MouserListTable[[#This Row],[Supplier SKU]])</f>
        <v>474-TOL-08793</v>
      </c>
      <c r="E631" s="152">
        <f>MouserListTable[[#This Row],[Tot '#]]-MouserListTable[[#This Row],['# Initial]]</f>
        <v>1</v>
      </c>
      <c r="F631" s="152">
        <f>IF(AND(MouserListTable[[#This Row],[Tag]]&lt;&gt;FilterSpecs!$F$12, MouserListTable[[#This Row],[Tag]]&lt;&gt;FilterSpecs!$F$9), MouserListTable[[#This Row],['#/Unit]]*FilterSpecs!$B$3+MouserListTable[[#This Row],[Extra Initial]],0)</f>
        <v>0</v>
      </c>
      <c r="G631" s="150" t="s">
        <v>1633</v>
      </c>
      <c r="H631" s="150" t="s">
        <v>1634</v>
      </c>
      <c r="I631" s="150" t="s">
        <v>1635</v>
      </c>
      <c r="J631" s="150">
        <v>1</v>
      </c>
      <c r="K631" s="154">
        <v>1.95</v>
      </c>
      <c r="L631" s="150" t="s">
        <v>1900</v>
      </c>
      <c r="M631" s="151"/>
      <c r="N631" s="154">
        <f>MouserListTable[[#This Row],['# Initial]]*MouserListTable[[#This Row],[Price (USD)]]</f>
        <v>0</v>
      </c>
      <c r="O631" s="151" t="s">
        <v>1632</v>
      </c>
      <c r="P631" s="150">
        <f t="shared" si="11"/>
        <v>617</v>
      </c>
      <c r="Q631" s="150" t="s">
        <v>5</v>
      </c>
      <c r="R63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474-TOL-08793</v>
      </c>
      <c r="S631" s="157" t="str">
        <f>HYPERLINK("https://www.mouser.com/ProductDetail/" &amp;MouserListTable[[#This Row],[Mouser SKU]])</f>
        <v>https://www.mouser.com/ProductDetail/474-TOL-08793</v>
      </c>
      <c r="T631" s="152">
        <v>0</v>
      </c>
      <c r="U631" s="152">
        <v>1</v>
      </c>
      <c r="V631" s="152">
        <v>0</v>
      </c>
      <c r="W631" s="152">
        <f>MouserListTable[[#This Row],['#/Unit]]*FilterSpecs!$C$3+MouserListTable[[#This Row],[Extra]]</f>
        <v>1</v>
      </c>
      <c r="X631" s="152">
        <f>IF(MouserListTable[[#This Row],[Tag]]=FilterSpecs!$F$7,MouserListTable[[#This Row],['#/Unit]]*MouserListTable[[#This Row],[Price (USD)]],0)</f>
        <v>0</v>
      </c>
      <c r="Y631" s="152">
        <f>MouserListTable[[#This Row],[Tot '#]]*MouserListTable[[#This Row],[Price (USD)]]</f>
        <v>1.95</v>
      </c>
    </row>
    <row r="632" spans="1:25" x14ac:dyDescent="0.25">
      <c r="A632" s="98" t="s">
        <v>13</v>
      </c>
      <c r="B632" s="98" t="s">
        <v>1599</v>
      </c>
      <c r="C632" s="150" t="s">
        <v>1884</v>
      </c>
      <c r="D632" s="151" t="str">
        <f>IF(MouserListTable[[#This Row],[Vendor]]=FilterSpecs!$A$8,MouserListTable[[#This Row],[Mouser SKU]], MouserListTable[[#This Row],[Supplier SKU]])</f>
        <v>485-1368</v>
      </c>
      <c r="E632" s="152">
        <f>MouserListTable[[#This Row],[Tot '#]]-MouserListTable[[#This Row],['# Initial]]</f>
        <v>0</v>
      </c>
      <c r="F632" s="152">
        <f>IF(AND(MouserListTable[[#This Row],[Tag]]&lt;&gt;FilterSpecs!$F$12, MouserListTable[[#This Row],[Tag]]&lt;&gt;FilterSpecs!$F$9), MouserListTable[[#This Row],['#/Unit]]*FilterSpecs!$B$3+MouserListTable[[#This Row],[Extra Initial]],0)</f>
        <v>0</v>
      </c>
      <c r="G632" s="150"/>
      <c r="H632" s="150"/>
      <c r="I632" s="150" t="s">
        <v>2448</v>
      </c>
      <c r="J632" s="113">
        <v>113</v>
      </c>
      <c r="K632" s="119">
        <v>11.95</v>
      </c>
      <c r="L632" s="97" t="s">
        <v>1896</v>
      </c>
      <c r="M632" s="153"/>
      <c r="N632" s="154">
        <f>MouserListTable[[#This Row],['# Initial]]*MouserListTable[[#This Row],[Price (USD)]]</f>
        <v>0</v>
      </c>
      <c r="O632" s="113" t="s">
        <v>2449</v>
      </c>
      <c r="P632" s="150">
        <f t="shared" si="11"/>
        <v>618</v>
      </c>
      <c r="Q632" s="150" t="s">
        <v>1884</v>
      </c>
      <c r="R63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485-1368</v>
      </c>
      <c r="S632" s="157" t="str">
        <f>HYPERLINK("https://www.mouser.com/ProductDetail/" &amp;MouserListTable[[#This Row],[Mouser SKU]])</f>
        <v>https://www.mouser.com/ProductDetail/485-1368</v>
      </c>
      <c r="T632" s="152">
        <v>0</v>
      </c>
      <c r="U632" s="152">
        <v>0</v>
      </c>
      <c r="V632" s="152">
        <v>0</v>
      </c>
      <c r="W632" s="152">
        <f>MouserListTable[[#This Row],['#/Unit]]*FilterSpecs!$C$3+MouserListTable[[#This Row],[Extra]]</f>
        <v>0</v>
      </c>
      <c r="X632" s="152">
        <f>IF(MouserListTable[[#This Row],[Tag]]=FilterSpecs!$F$7,MouserListTable[[#This Row],['#/Unit]]*MouserListTable[[#This Row],[Price (USD)]],0)</f>
        <v>0</v>
      </c>
      <c r="Y632" s="152">
        <f>MouserListTable[[#This Row],[Tot '#]]*MouserListTable[[#This Row],[Price (USD)]]</f>
        <v>0</v>
      </c>
    </row>
    <row r="633" spans="1:25" x14ac:dyDescent="0.25">
      <c r="A633" s="98" t="s">
        <v>13</v>
      </c>
      <c r="B633" s="98" t="s">
        <v>1599</v>
      </c>
      <c r="C633" s="150" t="s">
        <v>1884</v>
      </c>
      <c r="D633" s="151" t="str">
        <f>IF(MouserListTable[[#This Row],[Vendor]]=FilterSpecs!$A$8,MouserListTable[[#This Row],[Mouser SKU]], MouserListTable[[#This Row],[Supplier SKU]])</f>
        <v>485-1598</v>
      </c>
      <c r="E633" s="152">
        <f>MouserListTable[[#This Row],[Tot '#]]-MouserListTable[[#This Row],['# Initial]]</f>
        <v>0</v>
      </c>
      <c r="F633" s="152">
        <f>IF(AND(MouserListTable[[#This Row],[Tag]]&lt;&gt;FilterSpecs!$F$12, MouserListTable[[#This Row],[Tag]]&lt;&gt;FilterSpecs!$F$9), MouserListTable[[#This Row],['#/Unit]]*FilterSpecs!$B$3+MouserListTable[[#This Row],[Extra Initial]],0)</f>
        <v>0</v>
      </c>
      <c r="G633" s="150"/>
      <c r="H633" s="150"/>
      <c r="I633" s="150" t="s">
        <v>2446</v>
      </c>
      <c r="J633" s="113">
        <v>112</v>
      </c>
      <c r="K633" s="119">
        <v>14.95</v>
      </c>
      <c r="L633" s="97" t="s">
        <v>1896</v>
      </c>
      <c r="M633" s="153"/>
      <c r="N633" s="154">
        <f>MouserListTable[[#This Row],['# Initial]]*MouserListTable[[#This Row],[Price (USD)]]</f>
        <v>0</v>
      </c>
      <c r="O633" s="113" t="s">
        <v>2447</v>
      </c>
      <c r="P633" s="150">
        <f t="shared" si="11"/>
        <v>619</v>
      </c>
      <c r="Q633" s="150" t="s">
        <v>1884</v>
      </c>
      <c r="R63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485-1598</v>
      </c>
      <c r="S633" s="157" t="str">
        <f>HYPERLINK("https://www.mouser.com/ProductDetail/" &amp;MouserListTable[[#This Row],[Mouser SKU]])</f>
        <v>https://www.mouser.com/ProductDetail/485-1598</v>
      </c>
      <c r="T633" s="152">
        <v>0</v>
      </c>
      <c r="U633" s="152">
        <v>0</v>
      </c>
      <c r="V633" s="152">
        <v>0</v>
      </c>
      <c r="W633" s="152">
        <f>MouserListTable[[#This Row],['#/Unit]]*FilterSpecs!$C$3+MouserListTable[[#This Row],[Extra]]</f>
        <v>0</v>
      </c>
      <c r="X633" s="152">
        <f>IF(MouserListTable[[#This Row],[Tag]]=FilterSpecs!$F$7,MouserListTable[[#This Row],['#/Unit]]*MouserListTable[[#This Row],[Price (USD)]],0)</f>
        <v>0</v>
      </c>
      <c r="Y633" s="152">
        <f>MouserListTable[[#This Row],[Tot '#]]*MouserListTable[[#This Row],[Price (USD)]]</f>
        <v>0</v>
      </c>
    </row>
    <row r="634" spans="1:25" x14ac:dyDescent="0.25">
      <c r="A634" s="150" t="s">
        <v>13</v>
      </c>
      <c r="B634" s="150" t="s">
        <v>1599</v>
      </c>
      <c r="C634" s="150" t="s">
        <v>5</v>
      </c>
      <c r="D634" s="151" t="str">
        <f>IF(MouserListTable[[#This Row],[Vendor]]=FilterSpecs!$A$8,MouserListTable[[#This Row],[Mouser SKU]], MouserListTable[[#This Row],[Supplier SKU]])</f>
        <v>474-TOL-12630</v>
      </c>
      <c r="E634" s="152">
        <f>MouserListTable[[#This Row],[Tot '#]]-MouserListTable[[#This Row],['# Initial]]</f>
        <v>1</v>
      </c>
      <c r="F634" s="152">
        <f>IF(AND(MouserListTable[[#This Row],[Tag]]&lt;&gt;FilterSpecs!$F$12, MouserListTable[[#This Row],[Tag]]&lt;&gt;FilterSpecs!$F$9), MouserListTable[[#This Row],['#/Unit]]*FilterSpecs!$B$3+MouserListTable[[#This Row],[Extra Initial]],0)</f>
        <v>0</v>
      </c>
      <c r="G634" s="150" t="s">
        <v>2420</v>
      </c>
      <c r="H634" s="150" t="s">
        <v>2421</v>
      </c>
      <c r="I634" s="150" t="s">
        <v>2422</v>
      </c>
      <c r="J634" s="150">
        <v>1</v>
      </c>
      <c r="K634" s="154">
        <v>9.9499999999999993</v>
      </c>
      <c r="L634" s="150" t="s">
        <v>1900</v>
      </c>
      <c r="M634" s="150"/>
      <c r="N634" s="154">
        <f>MouserListTable[[#This Row],['# Initial]]*MouserListTable[[#This Row],[Price (USD)]]</f>
        <v>0</v>
      </c>
      <c r="O634" s="151" t="s">
        <v>2419</v>
      </c>
      <c r="P634" s="150">
        <f t="shared" si="11"/>
        <v>620</v>
      </c>
      <c r="Q634" s="150" t="s">
        <v>5</v>
      </c>
      <c r="R63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474-TOL-12630</v>
      </c>
      <c r="S634" s="157" t="str">
        <f>HYPERLINK("https://www.mouser.com/ProductDetail/" &amp;MouserListTable[[#This Row],[Mouser SKU]])</f>
        <v>https://www.mouser.com/ProductDetail/474-TOL-12630</v>
      </c>
      <c r="T634" s="152">
        <v>0</v>
      </c>
      <c r="U634" s="152">
        <v>1</v>
      </c>
      <c r="V634" s="152">
        <v>0</v>
      </c>
      <c r="W634" s="152">
        <f>MouserListTable[[#This Row],['#/Unit]]*FilterSpecs!$C$3+MouserListTable[[#This Row],[Extra]]</f>
        <v>1</v>
      </c>
      <c r="X634" s="152">
        <f>IF(MouserListTable[[#This Row],[Tag]]=FilterSpecs!$F$7,MouserListTable[[#This Row],['#/Unit]]*MouserListTable[[#This Row],[Price (USD)]],0)</f>
        <v>0</v>
      </c>
      <c r="Y634" s="152">
        <f>MouserListTable[[#This Row],[Tot '#]]*MouserListTable[[#This Row],[Price (USD)]]</f>
        <v>9.9499999999999993</v>
      </c>
    </row>
    <row r="635" spans="1:25" x14ac:dyDescent="0.25">
      <c r="A635" s="98" t="s">
        <v>13</v>
      </c>
      <c r="B635" s="98" t="s">
        <v>1599</v>
      </c>
      <c r="C635" s="150" t="s">
        <v>1884</v>
      </c>
      <c r="D635" s="151" t="str">
        <f>IF(MouserListTable[[#This Row],[Vendor]]=FilterSpecs!$A$8,MouserListTable[[#This Row],[Mouser SKU]], MouserListTable[[#This Row],[Supplier SKU]])</f>
        <v>485-527</v>
      </c>
      <c r="E635" s="152">
        <f>MouserListTable[[#This Row],[Tot '#]]-MouserListTable[[#This Row],['# Initial]]</f>
        <v>0</v>
      </c>
      <c r="F635" s="152">
        <f>IF(AND(MouserListTable[[#This Row],[Tag]]&lt;&gt;FilterSpecs!$F$12, MouserListTable[[#This Row],[Tag]]&lt;&gt;FilterSpecs!$F$9), MouserListTable[[#This Row],['#/Unit]]*FilterSpecs!$B$3+MouserListTable[[#This Row],[Extra Initial]],0)</f>
        <v>0</v>
      </c>
      <c r="G635" s="150"/>
      <c r="H635" s="150"/>
      <c r="I635" s="150" t="s">
        <v>2444</v>
      </c>
      <c r="J635" s="113">
        <v>111</v>
      </c>
      <c r="K635" s="119">
        <v>14.95</v>
      </c>
      <c r="L635" s="97" t="s">
        <v>1896</v>
      </c>
      <c r="M635" s="153"/>
      <c r="N635" s="154">
        <f>MouserListTable[[#This Row],['# Initial]]*MouserListTable[[#This Row],[Price (USD)]]</f>
        <v>0</v>
      </c>
      <c r="O635" s="113" t="s">
        <v>2445</v>
      </c>
      <c r="P635" s="150">
        <f t="shared" si="11"/>
        <v>621</v>
      </c>
      <c r="Q635" s="150" t="s">
        <v>1884</v>
      </c>
      <c r="R63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485-527</v>
      </c>
      <c r="S635" s="157" t="str">
        <f>HYPERLINK("https://www.mouser.com/ProductDetail/" &amp;MouserListTable[[#This Row],[Mouser SKU]])</f>
        <v>https://www.mouser.com/ProductDetail/485-527</v>
      </c>
      <c r="T635" s="152">
        <v>0</v>
      </c>
      <c r="U635" s="152">
        <v>0</v>
      </c>
      <c r="V635" s="152">
        <v>0</v>
      </c>
      <c r="W635" s="152">
        <f>MouserListTable[[#This Row],['#/Unit]]*FilterSpecs!$C$3+MouserListTable[[#This Row],[Extra]]</f>
        <v>0</v>
      </c>
      <c r="X635" s="152">
        <f>IF(MouserListTable[[#This Row],[Tag]]=FilterSpecs!$F$7,MouserListTable[[#This Row],['#/Unit]]*MouserListTable[[#This Row],[Price (USD)]],0)</f>
        <v>0</v>
      </c>
      <c r="Y635" s="152">
        <f>MouserListTable[[#This Row],[Tot '#]]*MouserListTable[[#This Row],[Price (USD)]]</f>
        <v>0</v>
      </c>
    </row>
    <row r="636" spans="1:25" x14ac:dyDescent="0.25">
      <c r="A636" s="150" t="s">
        <v>13</v>
      </c>
      <c r="B636" s="150" t="s">
        <v>1599</v>
      </c>
      <c r="C636" s="150" t="s">
        <v>5</v>
      </c>
      <c r="D636" s="151" t="str">
        <f>IF(MouserListTable[[#This Row],[Vendor]]=FilterSpecs!$A$8,MouserListTable[[#This Row],[Mouser SKU]], MouserListTable[[#This Row],[Supplier SKU]])</f>
        <v>474-TOL-08794</v>
      </c>
      <c r="E636" s="152">
        <f>MouserListTable[[#This Row],[Tot '#]]-MouserListTable[[#This Row],['# Initial]]</f>
        <v>1</v>
      </c>
      <c r="F636" s="152">
        <f>IF(AND(MouserListTable[[#This Row],[Tag]]&lt;&gt;FilterSpecs!$F$12, MouserListTable[[#This Row],[Tag]]&lt;&gt;FilterSpecs!$F$9), MouserListTable[[#This Row],['#/Unit]]*FilterSpecs!$B$3+MouserListTable[[#This Row],[Extra Initial]],0)</f>
        <v>0</v>
      </c>
      <c r="G636" s="150" t="s">
        <v>835</v>
      </c>
      <c r="H636" s="150" t="s">
        <v>836</v>
      </c>
      <c r="I636" s="150" t="s">
        <v>837</v>
      </c>
      <c r="J636" s="150">
        <v>1</v>
      </c>
      <c r="K636" s="154">
        <v>1.95</v>
      </c>
      <c r="L636" s="150" t="s">
        <v>1900</v>
      </c>
      <c r="M636" s="150"/>
      <c r="N636" s="154">
        <f>MouserListTable[[#This Row],['# Initial]]*MouserListTable[[#This Row],[Price (USD)]]</f>
        <v>0</v>
      </c>
      <c r="O636" s="151" t="s">
        <v>834</v>
      </c>
      <c r="P636" s="150">
        <f t="shared" si="11"/>
        <v>622</v>
      </c>
      <c r="Q636" s="150" t="s">
        <v>5</v>
      </c>
      <c r="R63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474-TOL-08794</v>
      </c>
      <c r="S636" s="157" t="str">
        <f>HYPERLINK("https://www.mouser.com/ProductDetail/" &amp;MouserListTable[[#This Row],[Mouser SKU]])</f>
        <v>https://www.mouser.com/ProductDetail/474-TOL-08794</v>
      </c>
      <c r="T636" s="152">
        <v>0</v>
      </c>
      <c r="U636" s="152">
        <v>1</v>
      </c>
      <c r="V636" s="152">
        <v>0</v>
      </c>
      <c r="W636" s="152">
        <f>MouserListTable[[#This Row],['#/Unit]]*FilterSpecs!$C$3+MouserListTable[[#This Row],[Extra]]</f>
        <v>1</v>
      </c>
      <c r="X636" s="152">
        <f>IF(MouserListTable[[#This Row],[Tag]]=FilterSpecs!$F$7,MouserListTable[[#This Row],['#/Unit]]*MouserListTable[[#This Row],[Price (USD)]],0)</f>
        <v>0</v>
      </c>
      <c r="Y636" s="152">
        <f>MouserListTable[[#This Row],[Tot '#]]*MouserListTable[[#This Row],[Price (USD)]]</f>
        <v>1.95</v>
      </c>
    </row>
    <row r="637" spans="1:25" x14ac:dyDescent="0.25">
      <c r="A637" s="97" t="s">
        <v>13</v>
      </c>
      <c r="B637" s="97" t="s">
        <v>1599</v>
      </c>
      <c r="C637" s="150" t="s">
        <v>5</v>
      </c>
      <c r="D637" s="151" t="str">
        <f>IF(MouserListTable[[#This Row],[Vendor]]=FilterSpecs!$A$8,MouserListTable[[#This Row],[Mouser SKU]], MouserListTable[[#This Row],[Supplier SKU]])</f>
        <v>474-TOL-11952</v>
      </c>
      <c r="E637" s="152">
        <f>MouserListTable[[#This Row],[Tot '#]]-MouserListTable[[#This Row],['# Initial]]</f>
        <v>0</v>
      </c>
      <c r="F637" s="152">
        <f>IF(AND(MouserListTable[[#This Row],[Tag]]&lt;&gt;FilterSpecs!$F$12, MouserListTable[[#This Row],[Tag]]&lt;&gt;FilterSpecs!$F$9), MouserListTable[[#This Row],['#/Unit]]*FilterSpecs!$B$3+MouserListTable[[#This Row],[Extra Initial]],0)</f>
        <v>0</v>
      </c>
      <c r="G637" s="150" t="s">
        <v>871</v>
      </c>
      <c r="H637" s="150" t="s">
        <v>872</v>
      </c>
      <c r="I637" s="150" t="s">
        <v>873</v>
      </c>
      <c r="J637" s="150">
        <v>1</v>
      </c>
      <c r="K637" s="154">
        <v>6.95</v>
      </c>
      <c r="L637" s="150" t="s">
        <v>1900</v>
      </c>
      <c r="M637" s="150" t="s">
        <v>1197</v>
      </c>
      <c r="N637" s="154">
        <f>MouserListTable[[#This Row],['# Initial]]*MouserListTable[[#This Row],[Price (USD)]]</f>
        <v>0</v>
      </c>
      <c r="O637" s="151" t="s">
        <v>870</v>
      </c>
      <c r="P637" s="150">
        <f t="shared" si="11"/>
        <v>623</v>
      </c>
      <c r="Q637" s="150" t="s">
        <v>5</v>
      </c>
      <c r="R63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474-TOL-11952</v>
      </c>
      <c r="S637" s="157" t="str">
        <f>HYPERLINK("https://www.mouser.com/ProductDetail/" &amp;MouserListTable[[#This Row],[Mouser SKU]])</f>
        <v>https://www.mouser.com/ProductDetail/474-TOL-11952</v>
      </c>
      <c r="T637" s="152">
        <v>0</v>
      </c>
      <c r="U637" s="152">
        <v>0</v>
      </c>
      <c r="V637" s="152">
        <v>0</v>
      </c>
      <c r="W637" s="152">
        <f>MouserListTable[[#This Row],['#/Unit]]*FilterSpecs!$C$3+MouserListTable[[#This Row],[Extra]]</f>
        <v>0</v>
      </c>
      <c r="X637" s="152">
        <f>IF(MouserListTable[[#This Row],[Tag]]=FilterSpecs!$F$7,MouserListTable[[#This Row],['#/Unit]]*MouserListTable[[#This Row],[Price (USD)]],0)</f>
        <v>0</v>
      </c>
      <c r="Y637" s="152">
        <f>MouserListTable[[#This Row],[Tot '#]]*MouserListTable[[#This Row],[Price (USD)]]</f>
        <v>0</v>
      </c>
    </row>
    <row r="638" spans="1:25" x14ac:dyDescent="0.25">
      <c r="A638" s="150" t="s">
        <v>13</v>
      </c>
      <c r="B638" s="150" t="s">
        <v>1599</v>
      </c>
      <c r="C638" s="150" t="s">
        <v>5</v>
      </c>
      <c r="D638" s="151" t="str">
        <f>IF(MouserListTable[[#This Row],[Vendor]]=FilterSpecs!$A$8,MouserListTable[[#This Row],[Mouser SKU]], MouserListTable[[#This Row],[Supplier SKU]])</f>
        <v>474-TOL-09200</v>
      </c>
      <c r="E638" s="152">
        <f>MouserListTable[[#This Row],[Tot '#]]-MouserListTable[[#This Row],['# Initial]]</f>
        <v>0</v>
      </c>
      <c r="F638" s="152">
        <f>IF(AND(MouserListTable[[#This Row],[Tag]]&lt;&gt;FilterSpecs!$F$12, MouserListTable[[#This Row],[Tag]]&lt;&gt;FilterSpecs!$F$9), MouserListTable[[#This Row],['#/Unit]]*FilterSpecs!$B$3+MouserListTable[[#This Row],[Extra Initial]],0)</f>
        <v>1</v>
      </c>
      <c r="G638" s="150" t="s">
        <v>859</v>
      </c>
      <c r="H638" s="150" t="s">
        <v>860</v>
      </c>
      <c r="I638" s="150" t="s">
        <v>861</v>
      </c>
      <c r="J638" s="150">
        <v>1</v>
      </c>
      <c r="K638" s="154">
        <v>2.95</v>
      </c>
      <c r="L638" s="150" t="s">
        <v>1900</v>
      </c>
      <c r="M638" s="151"/>
      <c r="N638" s="154">
        <f>MouserListTable[[#This Row],['# Initial]]*MouserListTable[[#This Row],[Price (USD)]]</f>
        <v>2.95</v>
      </c>
      <c r="O638" s="151" t="s">
        <v>858</v>
      </c>
      <c r="P638" s="150">
        <f t="shared" si="11"/>
        <v>624</v>
      </c>
      <c r="Q638" s="150" t="s">
        <v>5</v>
      </c>
      <c r="R63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474-TOL-09200</v>
      </c>
      <c r="S638" s="157" t="str">
        <f>HYPERLINK("https://www.mouser.com/ProductDetail/" &amp;MouserListTable[[#This Row],[Mouser SKU]])</f>
        <v>https://www.mouser.com/ProductDetail/474-TOL-09200</v>
      </c>
      <c r="T638" s="152">
        <v>0</v>
      </c>
      <c r="U638" s="152">
        <v>1</v>
      </c>
      <c r="V638" s="152">
        <v>1</v>
      </c>
      <c r="W638" s="152">
        <f>MouserListTable[[#This Row],['#/Unit]]*FilterSpecs!$C$3+MouserListTable[[#This Row],[Extra]]</f>
        <v>1</v>
      </c>
      <c r="X638" s="152">
        <f>IF(MouserListTable[[#This Row],[Tag]]=FilterSpecs!$F$7,MouserListTable[[#This Row],['#/Unit]]*MouserListTable[[#This Row],[Price (USD)]],0)</f>
        <v>0</v>
      </c>
      <c r="Y638" s="152">
        <f>MouserListTable[[#This Row],[Tot '#]]*MouserListTable[[#This Row],[Price (USD)]]</f>
        <v>2.95</v>
      </c>
    </row>
    <row r="639" spans="1:25" x14ac:dyDescent="0.25">
      <c r="A639" s="150" t="s">
        <v>13</v>
      </c>
      <c r="B639" s="150" t="s">
        <v>1599</v>
      </c>
      <c r="C639" s="150" t="s">
        <v>5</v>
      </c>
      <c r="D639" s="151" t="str">
        <f>IF(MouserListTable[[#This Row],[Vendor]]=FilterSpecs!$A$8,MouserListTable[[#This Row],[Mouser SKU]], MouserListTable[[#This Row],[Supplier SKU]])</f>
        <v>474-TOL-10325</v>
      </c>
      <c r="E639" s="152">
        <f>MouserListTable[[#This Row],[Tot '#]]-MouserListTable[[#This Row],['# Initial]]</f>
        <v>0</v>
      </c>
      <c r="F639" s="152">
        <f>IF(AND(MouserListTable[[#This Row],[Tag]]&lt;&gt;FilterSpecs!$F$12, MouserListTable[[#This Row],[Tag]]&lt;&gt;FilterSpecs!$F$9), MouserListTable[[#This Row],['#/Unit]]*FilterSpecs!$B$3+MouserListTable[[#This Row],[Extra Initial]],0)</f>
        <v>1</v>
      </c>
      <c r="G639" s="150" t="s">
        <v>1165</v>
      </c>
      <c r="H639" s="150" t="s">
        <v>1166</v>
      </c>
      <c r="I639" s="150" t="s">
        <v>1167</v>
      </c>
      <c r="J639" s="150"/>
      <c r="K639" s="154">
        <v>1.95</v>
      </c>
      <c r="L639" s="150" t="s">
        <v>1900</v>
      </c>
      <c r="M639" s="151"/>
      <c r="N639" s="154">
        <f>MouserListTable[[#This Row],['# Initial]]*MouserListTable[[#This Row],[Price (USD)]]</f>
        <v>1.95</v>
      </c>
      <c r="O639" s="151" t="s">
        <v>1164</v>
      </c>
      <c r="P639" s="150">
        <f t="shared" si="11"/>
        <v>625</v>
      </c>
      <c r="Q639" s="150" t="s">
        <v>5</v>
      </c>
      <c r="R63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474-TOL-10325</v>
      </c>
      <c r="S639" s="157" t="str">
        <f>HYPERLINK("https://www.mouser.com/ProductDetail/" &amp;MouserListTable[[#This Row],[Mouser SKU]])</f>
        <v>https://www.mouser.com/ProductDetail/474-TOL-10325</v>
      </c>
      <c r="T639" s="152">
        <v>0</v>
      </c>
      <c r="U639" s="152">
        <v>1</v>
      </c>
      <c r="V639" s="152">
        <v>1</v>
      </c>
      <c r="W639" s="152">
        <f>MouserListTable[[#This Row],['#/Unit]]*FilterSpecs!$C$3+MouserListTable[[#This Row],[Extra]]</f>
        <v>1</v>
      </c>
      <c r="X639" s="152">
        <f>IF(MouserListTable[[#This Row],[Tag]]=FilterSpecs!$F$7,MouserListTable[[#This Row],['#/Unit]]*MouserListTable[[#This Row],[Price (USD)]],0)</f>
        <v>0</v>
      </c>
      <c r="Y639" s="152">
        <f>MouserListTable[[#This Row],[Tot '#]]*MouserListTable[[#This Row],[Price (USD)]]</f>
        <v>1.95</v>
      </c>
    </row>
    <row r="640" spans="1:25" x14ac:dyDescent="0.25">
      <c r="A640" s="150" t="s">
        <v>13</v>
      </c>
      <c r="B640" s="150" t="s">
        <v>1599</v>
      </c>
      <c r="C640" s="150" t="s">
        <v>5</v>
      </c>
      <c r="D640" s="151" t="str">
        <f>IF(MouserListTable[[#This Row],[Vendor]]=FilterSpecs!$A$8,MouserListTable[[#This Row],[Mouser SKU]], MouserListTable[[#This Row],[Supplier SKU]])</f>
        <v>474-TOL-13114</v>
      </c>
      <c r="E640" s="152">
        <f>MouserListTable[[#This Row],[Tot '#]]-MouserListTable[[#This Row],['# Initial]]</f>
        <v>0</v>
      </c>
      <c r="F640" s="152">
        <f>IF(AND(MouserListTable[[#This Row],[Tag]]&lt;&gt;FilterSpecs!$F$12, MouserListTable[[#This Row],[Tag]]&lt;&gt;FilterSpecs!$F$9), MouserListTable[[#This Row],['#/Unit]]*FilterSpecs!$B$3+MouserListTable[[#This Row],[Extra Initial]],0)</f>
        <v>1</v>
      </c>
      <c r="G640" s="150" t="s">
        <v>827</v>
      </c>
      <c r="H640" s="150" t="s">
        <v>828</v>
      </c>
      <c r="I640" s="150" t="s">
        <v>829</v>
      </c>
      <c r="J640" s="150"/>
      <c r="K640" s="154">
        <v>4.8</v>
      </c>
      <c r="L640" s="150" t="s">
        <v>1900</v>
      </c>
      <c r="M640" s="151"/>
      <c r="N640" s="154">
        <f>MouserListTable[[#This Row],['# Initial]]*MouserListTable[[#This Row],[Price (USD)]]</f>
        <v>4.8</v>
      </c>
      <c r="O640" s="151" t="s">
        <v>826</v>
      </c>
      <c r="P640" s="150">
        <f t="shared" si="11"/>
        <v>626</v>
      </c>
      <c r="Q640" s="150" t="s">
        <v>5</v>
      </c>
      <c r="R64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474-TOL-13114</v>
      </c>
      <c r="S640" s="157" t="str">
        <f>HYPERLINK("https://www.mouser.com/ProductDetail/" &amp;MouserListTable[[#This Row],[Mouser SKU]])</f>
        <v>https://www.mouser.com/ProductDetail/474-TOL-13114</v>
      </c>
      <c r="T640" s="152">
        <v>0</v>
      </c>
      <c r="U640" s="152">
        <v>1</v>
      </c>
      <c r="V640" s="152">
        <v>1</v>
      </c>
      <c r="W640" s="152">
        <f>MouserListTable[[#This Row],['#/Unit]]*FilterSpecs!$C$3+MouserListTable[[#This Row],[Extra]]</f>
        <v>1</v>
      </c>
      <c r="X640" s="152">
        <f>IF(MouserListTable[[#This Row],[Tag]]=FilterSpecs!$F$7,MouserListTable[[#This Row],['#/Unit]]*MouserListTable[[#This Row],[Price (USD)]],0)</f>
        <v>0</v>
      </c>
      <c r="Y640" s="152">
        <f>MouserListTable[[#This Row],[Tot '#]]*MouserListTable[[#This Row],[Price (USD)]]</f>
        <v>4.8</v>
      </c>
    </row>
    <row r="641" spans="1:25" x14ac:dyDescent="0.25">
      <c r="A641" s="97" t="s">
        <v>13</v>
      </c>
      <c r="B641" s="97" t="s">
        <v>1640</v>
      </c>
      <c r="C641" s="150" t="s">
        <v>5</v>
      </c>
      <c r="D641" s="151" t="str">
        <f>IF(MouserListTable[[#This Row],[Vendor]]=FilterSpecs!$A$8,MouserListTable[[#This Row],[Mouser SKU]], MouserListTable[[#This Row],[Supplier SKU]])</f>
        <v>474-TOL-11528</v>
      </c>
      <c r="E641" s="152">
        <f>MouserListTable[[#This Row],[Tot '#]]-MouserListTable[[#This Row],['# Initial]]</f>
        <v>0</v>
      </c>
      <c r="F641" s="152">
        <f>IF(AND(MouserListTable[[#This Row],[Tag]]&lt;&gt;FilterSpecs!$F$12, MouserListTable[[#This Row],[Tag]]&lt;&gt;FilterSpecs!$F$9), MouserListTable[[#This Row],['#/Unit]]*FilterSpecs!$B$3+MouserListTable[[#This Row],[Extra Initial]],0)</f>
        <v>0</v>
      </c>
      <c r="G641" s="150" t="s">
        <v>1617</v>
      </c>
      <c r="H641" s="150" t="s">
        <v>1618</v>
      </c>
      <c r="I641" s="150" t="s">
        <v>1619</v>
      </c>
      <c r="J641" s="150"/>
      <c r="K641" s="154">
        <v>3.95</v>
      </c>
      <c r="L641" s="150" t="s">
        <v>1896</v>
      </c>
      <c r="M641" s="153"/>
      <c r="N641" s="154">
        <f>MouserListTable[[#This Row],['# Initial]]*MouserListTable[[#This Row],[Price (USD)]]</f>
        <v>0</v>
      </c>
      <c r="O641" s="151" t="s">
        <v>1616</v>
      </c>
      <c r="P641" s="150">
        <f t="shared" si="11"/>
        <v>627</v>
      </c>
      <c r="Q641" s="150" t="s">
        <v>5</v>
      </c>
      <c r="R64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474-TOL-11528</v>
      </c>
      <c r="S641" s="157" t="str">
        <f>HYPERLINK("https://www.mouser.com/ProductDetail/" &amp;MouserListTable[[#This Row],[Mouser SKU]])</f>
        <v>https://www.mouser.com/ProductDetail/474-TOL-11528</v>
      </c>
      <c r="T641" s="152">
        <v>0</v>
      </c>
      <c r="U641" s="152">
        <v>0</v>
      </c>
      <c r="V641" s="152">
        <v>0</v>
      </c>
      <c r="W641" s="152">
        <f>MouserListTable[[#This Row],['#/Unit]]*FilterSpecs!$C$3+MouserListTable[[#This Row],[Extra]]</f>
        <v>0</v>
      </c>
      <c r="X641" s="152">
        <f>IF(MouserListTable[[#This Row],[Tag]]=FilterSpecs!$F$7,MouserListTable[[#This Row],['#/Unit]]*MouserListTable[[#This Row],[Price (USD)]],0)</f>
        <v>0</v>
      </c>
      <c r="Y641" s="152">
        <f>MouserListTable[[#This Row],[Tot '#]]*MouserListTable[[#This Row],[Price (USD)]]</f>
        <v>0</v>
      </c>
    </row>
    <row r="642" spans="1:25" x14ac:dyDescent="0.25">
      <c r="A642" s="97" t="s">
        <v>13</v>
      </c>
      <c r="B642" s="97" t="s">
        <v>1640</v>
      </c>
      <c r="C642" s="150" t="s">
        <v>5</v>
      </c>
      <c r="D642" s="151" t="str">
        <f>IF(MouserListTable[[#This Row],[Vendor]]=FilterSpecs!$A$8,MouserListTable[[#This Row],[Mouser SKU]], MouserListTable[[#This Row],[Supplier SKU]])</f>
        <v>474-TOL-11527</v>
      </c>
      <c r="E642" s="152">
        <f>MouserListTable[[#This Row],[Tot '#]]-MouserListTable[[#This Row],['# Initial]]</f>
        <v>0</v>
      </c>
      <c r="F642" s="152">
        <f>IF(AND(MouserListTable[[#This Row],[Tag]]&lt;&gt;FilterSpecs!$F$12, MouserListTable[[#This Row],[Tag]]&lt;&gt;FilterSpecs!$F$9), MouserListTable[[#This Row],['#/Unit]]*FilterSpecs!$B$3+MouserListTable[[#This Row],[Extra Initial]],0)</f>
        <v>0</v>
      </c>
      <c r="G642" s="150" t="s">
        <v>1621</v>
      </c>
      <c r="H642" s="150" t="s">
        <v>1622</v>
      </c>
      <c r="I642" s="150" t="s">
        <v>1623</v>
      </c>
      <c r="J642" s="150"/>
      <c r="K642" s="154">
        <v>3.95</v>
      </c>
      <c r="L642" s="150" t="s">
        <v>1896</v>
      </c>
      <c r="M642" s="153"/>
      <c r="N642" s="154">
        <f>MouserListTable[[#This Row],['# Initial]]*MouserListTable[[#This Row],[Price (USD)]]</f>
        <v>0</v>
      </c>
      <c r="O642" s="151" t="s">
        <v>1620</v>
      </c>
      <c r="P642" s="150">
        <f t="shared" si="11"/>
        <v>628</v>
      </c>
      <c r="Q642" s="150" t="s">
        <v>5</v>
      </c>
      <c r="R64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474-TOL-11527</v>
      </c>
      <c r="S642" s="157" t="str">
        <f>HYPERLINK("https://www.mouser.com/ProductDetail/" &amp;MouserListTable[[#This Row],[Mouser SKU]])</f>
        <v>https://www.mouser.com/ProductDetail/474-TOL-11527</v>
      </c>
      <c r="T642" s="152">
        <v>0</v>
      </c>
      <c r="U642" s="152">
        <v>0</v>
      </c>
      <c r="V642" s="152">
        <v>0</v>
      </c>
      <c r="W642" s="152">
        <f>MouserListTable[[#This Row],['#/Unit]]*FilterSpecs!$C$3+MouserListTable[[#This Row],[Extra]]</f>
        <v>0</v>
      </c>
      <c r="X642" s="152">
        <f>IF(MouserListTable[[#This Row],[Tag]]=FilterSpecs!$F$7,MouserListTable[[#This Row],['#/Unit]]*MouserListTable[[#This Row],[Price (USD)]],0)</f>
        <v>0</v>
      </c>
      <c r="Y642" s="152">
        <f>MouserListTable[[#This Row],[Tot '#]]*MouserListTable[[#This Row],[Price (USD)]]</f>
        <v>0</v>
      </c>
    </row>
    <row r="643" spans="1:25" x14ac:dyDescent="0.25">
      <c r="A643" s="150" t="s">
        <v>13</v>
      </c>
      <c r="B643" s="150" t="s">
        <v>1640</v>
      </c>
      <c r="C643" s="150" t="s">
        <v>1884</v>
      </c>
      <c r="D643" s="151" t="str">
        <f>IF(MouserListTable[[#This Row],[Vendor]]=FilterSpecs!$A$8,MouserListTable[[#This Row],[Mouser SKU]], MouserListTable[[#This Row],[Supplier SKU]])</f>
        <v>485-2938</v>
      </c>
      <c r="E643" s="152">
        <f>MouserListTable[[#This Row],[Tot '#]]-MouserListTable[[#This Row],['# Initial]]</f>
        <v>0</v>
      </c>
      <c r="F643" s="152">
        <f>IF(AND(MouserListTable[[#This Row],[Tag]]&lt;&gt;FilterSpecs!$F$12, MouserListTable[[#This Row],[Tag]]&lt;&gt;FilterSpecs!$F$9), MouserListTable[[#This Row],['#/Unit]]*FilterSpecs!$B$3+MouserListTable[[#This Row],[Extra Initial]],0)</f>
        <v>0</v>
      </c>
      <c r="G643" s="150"/>
      <c r="H643" s="150"/>
      <c r="I643" s="150" t="s">
        <v>2061</v>
      </c>
      <c r="J643" s="153"/>
      <c r="K643" s="118">
        <v>2.5</v>
      </c>
      <c r="L643" s="97" t="s">
        <v>1896</v>
      </c>
      <c r="M643" s="153"/>
      <c r="N643" s="154">
        <f>MouserListTable[[#This Row],['# Initial]]*MouserListTable[[#This Row],[Price (USD)]]</f>
        <v>0</v>
      </c>
      <c r="O643" s="151" t="s">
        <v>2062</v>
      </c>
      <c r="P643" s="150">
        <f t="shared" si="11"/>
        <v>629</v>
      </c>
      <c r="Q643" s="150" t="s">
        <v>1884</v>
      </c>
      <c r="R64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485-2938</v>
      </c>
      <c r="S643" s="157" t="str">
        <f>HYPERLINK("https://www.mouser.com/ProductDetail/" &amp;MouserListTable[[#This Row],[Mouser SKU]])</f>
        <v>https://www.mouser.com/ProductDetail/485-2938</v>
      </c>
      <c r="T643" s="152">
        <v>0</v>
      </c>
      <c r="U643" s="152">
        <v>0</v>
      </c>
      <c r="V643" s="152">
        <v>0</v>
      </c>
      <c r="W643" s="152">
        <f>MouserListTable[[#This Row],['#/Unit]]*FilterSpecs!$C$3+MouserListTable[[#This Row],[Extra]]</f>
        <v>0</v>
      </c>
      <c r="X643" s="152">
        <f>IF(MouserListTable[[#This Row],[Tag]]=FilterSpecs!$F$7,MouserListTable[[#This Row],['#/Unit]]*MouserListTable[[#This Row],[Price (USD)]],0)</f>
        <v>0</v>
      </c>
      <c r="Y643" s="152">
        <f>MouserListTable[[#This Row],[Tot '#]]*MouserListTable[[#This Row],[Price (USD)]]</f>
        <v>0</v>
      </c>
    </row>
    <row r="644" spans="1:25" x14ac:dyDescent="0.25">
      <c r="A644" s="150" t="s">
        <v>13</v>
      </c>
      <c r="B644" s="150" t="s">
        <v>1640</v>
      </c>
      <c r="C644" s="150" t="s">
        <v>1884</v>
      </c>
      <c r="D644" s="151" t="str">
        <f>IF(MouserListTable[[#This Row],[Vendor]]=FilterSpecs!$A$8,MouserListTable[[#This Row],[Mouser SKU]], MouserListTable[[#This Row],[Supplier SKU]])</f>
        <v>485-433</v>
      </c>
      <c r="E644" s="152">
        <f>MouserListTable[[#This Row],[Tot '#]]-MouserListTable[[#This Row],['# Initial]]</f>
        <v>0</v>
      </c>
      <c r="F644" s="152">
        <f>IF(AND(MouserListTable[[#This Row],[Tag]]&lt;&gt;FilterSpecs!$F$12, MouserListTable[[#This Row],[Tag]]&lt;&gt;FilterSpecs!$F$9), MouserListTable[[#This Row],['#/Unit]]*FilterSpecs!$B$3+MouserListTable[[#This Row],[Extra Initial]],0)</f>
        <v>1</v>
      </c>
      <c r="G644" s="150"/>
      <c r="H644" s="150"/>
      <c r="I644" s="150" t="s">
        <v>2059</v>
      </c>
      <c r="J644" s="153"/>
      <c r="K644" s="154">
        <v>2.95</v>
      </c>
      <c r="L644" s="150" t="s">
        <v>1896</v>
      </c>
      <c r="M644" s="151"/>
      <c r="N644" s="154">
        <f>MouserListTable[[#This Row],['# Initial]]*MouserListTable[[#This Row],[Price (USD)]]</f>
        <v>2.95</v>
      </c>
      <c r="O644" s="151" t="s">
        <v>2060</v>
      </c>
      <c r="P644" s="150">
        <f t="shared" si="11"/>
        <v>630</v>
      </c>
      <c r="Q644" s="150" t="s">
        <v>1884</v>
      </c>
      <c r="R64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485-433</v>
      </c>
      <c r="S644" s="157" t="str">
        <f>HYPERLINK("https://www.mouser.com/ProductDetail/" &amp;MouserListTable[[#This Row],[Mouser SKU]])</f>
        <v>https://www.mouser.com/ProductDetail/485-433</v>
      </c>
      <c r="T644" s="152">
        <v>0</v>
      </c>
      <c r="U644" s="152">
        <v>1</v>
      </c>
      <c r="V644" s="152">
        <v>1</v>
      </c>
      <c r="W644" s="152">
        <f>MouserListTable[[#This Row],['#/Unit]]*FilterSpecs!$C$3+MouserListTable[[#This Row],[Extra]]</f>
        <v>1</v>
      </c>
      <c r="X644" s="152">
        <f>IF(MouserListTable[[#This Row],[Tag]]=FilterSpecs!$F$7,MouserListTable[[#This Row],['#/Unit]]*MouserListTable[[#This Row],[Price (USD)]],0)</f>
        <v>0</v>
      </c>
      <c r="Y644" s="152">
        <f>MouserListTable[[#This Row],[Tot '#]]*MouserListTable[[#This Row],[Price (USD)]]</f>
        <v>2.95</v>
      </c>
    </row>
    <row r="645" spans="1:25" x14ac:dyDescent="0.25">
      <c r="A645" s="150" t="s">
        <v>13</v>
      </c>
      <c r="B645" s="150" t="s">
        <v>1640</v>
      </c>
      <c r="C645" s="150" t="s">
        <v>1884</v>
      </c>
      <c r="D645" s="151" t="str">
        <f>IF(MouserListTable[[#This Row],[Vendor]]=FilterSpecs!$A$8,MouserListTable[[#This Row],[Mouser SKU]], MouserListTable[[#This Row],[Supplier SKU]])</f>
        <v>485-432</v>
      </c>
      <c r="E645" s="152">
        <f>MouserListTable[[#This Row],[Tot '#]]-MouserListTable[[#This Row],['# Initial]]</f>
        <v>0</v>
      </c>
      <c r="F645" s="152">
        <f>IF(AND(MouserListTable[[#This Row],[Tag]]&lt;&gt;FilterSpecs!$F$12, MouserListTable[[#This Row],[Tag]]&lt;&gt;FilterSpecs!$F$9), MouserListTable[[#This Row],['#/Unit]]*FilterSpecs!$B$3+MouserListTable[[#This Row],[Extra Initial]],0)</f>
        <v>1</v>
      </c>
      <c r="G645" s="150"/>
      <c r="H645" s="150"/>
      <c r="I645" s="150" t="s">
        <v>2055</v>
      </c>
      <c r="J645" s="153"/>
      <c r="K645" s="154">
        <v>2.95</v>
      </c>
      <c r="L645" s="150" t="s">
        <v>1896</v>
      </c>
      <c r="M645" s="151"/>
      <c r="N645" s="154">
        <f>MouserListTable[[#This Row],['# Initial]]*MouserListTable[[#This Row],[Price (USD)]]</f>
        <v>2.95</v>
      </c>
      <c r="O645" s="151" t="s">
        <v>2056</v>
      </c>
      <c r="P645" s="150">
        <f t="shared" si="11"/>
        <v>631</v>
      </c>
      <c r="Q645" s="150" t="s">
        <v>1884</v>
      </c>
      <c r="R64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485-432</v>
      </c>
      <c r="S645" s="157" t="str">
        <f>HYPERLINK("https://www.mouser.com/ProductDetail/" &amp;MouserListTable[[#This Row],[Mouser SKU]])</f>
        <v>https://www.mouser.com/ProductDetail/485-432</v>
      </c>
      <c r="T645" s="152">
        <v>0</v>
      </c>
      <c r="U645" s="152">
        <v>1</v>
      </c>
      <c r="V645" s="152">
        <v>1</v>
      </c>
      <c r="W645" s="152">
        <f>MouserListTable[[#This Row],['#/Unit]]*FilterSpecs!$C$3+MouserListTable[[#This Row],[Extra]]</f>
        <v>1</v>
      </c>
      <c r="X645" s="152">
        <f>IF(MouserListTable[[#This Row],[Tag]]=FilterSpecs!$F$7,MouserListTable[[#This Row],['#/Unit]]*MouserListTable[[#This Row],[Price (USD)]],0)</f>
        <v>0</v>
      </c>
      <c r="Y645" s="152">
        <f>MouserListTable[[#This Row],[Tot '#]]*MouserListTable[[#This Row],[Price (USD)]]</f>
        <v>2.95</v>
      </c>
    </row>
    <row r="646" spans="1:25" x14ac:dyDescent="0.25">
      <c r="A646" s="150" t="s">
        <v>13</v>
      </c>
      <c r="B646" s="150" t="s">
        <v>1640</v>
      </c>
      <c r="C646" s="150" t="s">
        <v>1884</v>
      </c>
      <c r="D646" s="151" t="str">
        <f>IF(MouserListTable[[#This Row],[Vendor]]=FilterSpecs!$A$8,MouserListTable[[#This Row],[Mouser SKU]], MouserListTable[[#This Row],[Supplier SKU]])</f>
        <v>485-427</v>
      </c>
      <c r="E646" s="152">
        <f>MouserListTable[[#This Row],[Tot '#]]-MouserListTable[[#This Row],['# Initial]]</f>
        <v>0</v>
      </c>
      <c r="F646" s="152">
        <f>IF(AND(MouserListTable[[#This Row],[Tag]]&lt;&gt;FilterSpecs!$F$12, MouserListTable[[#This Row],[Tag]]&lt;&gt;FilterSpecs!$F$9), MouserListTable[[#This Row],['#/Unit]]*FilterSpecs!$B$3+MouserListTable[[#This Row],[Extra Initial]],0)</f>
        <v>1</v>
      </c>
      <c r="G646" s="150"/>
      <c r="H646" s="150"/>
      <c r="I646" s="150" t="s">
        <v>2057</v>
      </c>
      <c r="J646" s="153"/>
      <c r="K646" s="154">
        <v>4</v>
      </c>
      <c r="L646" s="150" t="s">
        <v>1896</v>
      </c>
      <c r="M646" s="151"/>
      <c r="N646" s="154">
        <f>MouserListTable[[#This Row],['# Initial]]*MouserListTable[[#This Row],[Price (USD)]]</f>
        <v>4</v>
      </c>
      <c r="O646" s="151" t="s">
        <v>2058</v>
      </c>
      <c r="P646" s="150">
        <f t="shared" si="11"/>
        <v>632</v>
      </c>
      <c r="Q646" s="150" t="s">
        <v>1884</v>
      </c>
      <c r="R64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485-427</v>
      </c>
      <c r="S646" s="157" t="str">
        <f>HYPERLINK("https://www.mouser.com/ProductDetail/" &amp;MouserListTable[[#This Row],[Mouser SKU]])</f>
        <v>https://www.mouser.com/ProductDetail/485-427</v>
      </c>
      <c r="T646" s="152">
        <v>0</v>
      </c>
      <c r="U646" s="152">
        <v>1</v>
      </c>
      <c r="V646" s="152">
        <v>1</v>
      </c>
      <c r="W646" s="152">
        <f>MouserListTable[[#This Row],['#/Unit]]*FilterSpecs!$C$3+MouserListTable[[#This Row],[Extra]]</f>
        <v>1</v>
      </c>
      <c r="X646" s="152">
        <f>IF(MouserListTable[[#This Row],[Tag]]=FilterSpecs!$F$7,MouserListTable[[#This Row],['#/Unit]]*MouserListTable[[#This Row],[Price (USD)]],0)</f>
        <v>0</v>
      </c>
      <c r="Y646" s="152">
        <f>MouserListTable[[#This Row],[Tot '#]]*MouserListTable[[#This Row],[Price (USD)]]</f>
        <v>4</v>
      </c>
    </row>
    <row r="647" spans="1:25" x14ac:dyDescent="0.25">
      <c r="A647" s="150" t="s">
        <v>13</v>
      </c>
      <c r="B647" s="150" t="s">
        <v>1640</v>
      </c>
      <c r="C647" s="150" t="s">
        <v>1884</v>
      </c>
      <c r="D647" s="151" t="str">
        <f>IF(MouserListTable[[#This Row],[Vendor]]=FilterSpecs!$A$8,MouserListTable[[#This Row],[Mouser SKU]], MouserListTable[[#This Row],[Supplier SKU]])</f>
        <v>485-431</v>
      </c>
      <c r="E647" s="152">
        <f>MouserListTable[[#This Row],[Tot '#]]-MouserListTable[[#This Row],['# Initial]]</f>
        <v>0</v>
      </c>
      <c r="F647" s="152">
        <f>IF(AND(MouserListTable[[#This Row],[Tag]]&lt;&gt;FilterSpecs!$F$12, MouserListTable[[#This Row],[Tag]]&lt;&gt;FilterSpecs!$F$9), MouserListTable[[#This Row],['#/Unit]]*FilterSpecs!$B$3+MouserListTable[[#This Row],[Extra Initial]],0)</f>
        <v>1</v>
      </c>
      <c r="G647" s="150"/>
      <c r="H647" s="150"/>
      <c r="I647" s="150" t="s">
        <v>2051</v>
      </c>
      <c r="J647" s="153"/>
      <c r="K647" s="154">
        <v>4</v>
      </c>
      <c r="L647" s="150" t="s">
        <v>1896</v>
      </c>
      <c r="M647" s="151"/>
      <c r="N647" s="154">
        <f>MouserListTable[[#This Row],['# Initial]]*MouserListTable[[#This Row],[Price (USD)]]</f>
        <v>4</v>
      </c>
      <c r="O647" s="151" t="s">
        <v>2052</v>
      </c>
      <c r="P647" s="150">
        <f t="shared" si="11"/>
        <v>633</v>
      </c>
      <c r="Q647" s="150" t="s">
        <v>1884</v>
      </c>
      <c r="R64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485-431</v>
      </c>
      <c r="S647" s="157" t="str">
        <f>HYPERLINK("https://www.mouser.com/ProductDetail/" &amp;MouserListTable[[#This Row],[Mouser SKU]])</f>
        <v>https://www.mouser.com/ProductDetail/485-431</v>
      </c>
      <c r="T647" s="152">
        <v>0</v>
      </c>
      <c r="U647" s="152">
        <v>1</v>
      </c>
      <c r="V647" s="152">
        <v>1</v>
      </c>
      <c r="W647" s="152">
        <f>MouserListTable[[#This Row],['#/Unit]]*FilterSpecs!$C$3+MouserListTable[[#This Row],[Extra]]</f>
        <v>1</v>
      </c>
      <c r="X647" s="152">
        <f>IF(MouserListTable[[#This Row],[Tag]]=FilterSpecs!$F$7,MouserListTable[[#This Row],['#/Unit]]*MouserListTable[[#This Row],[Price (USD)]],0)</f>
        <v>0</v>
      </c>
      <c r="Y647" s="152">
        <f>MouserListTable[[#This Row],[Tot '#]]*MouserListTable[[#This Row],[Price (USD)]]</f>
        <v>4</v>
      </c>
    </row>
    <row r="648" spans="1:25" ht="15.75" thickBot="1" x14ac:dyDescent="0.3">
      <c r="A648" s="149" t="s">
        <v>1398</v>
      </c>
      <c r="B648" s="149">
        <f>SUBTOTAL(103,InitialOrderTable[Category])</f>
        <v>634</v>
      </c>
      <c r="D648" s="147"/>
      <c r="E648" s="147">
        <f>SUBTOTAL(109,InitialOrderTable['# Left])</f>
        <v>253</v>
      </c>
      <c r="F648" s="147"/>
      <c r="G648" s="147"/>
      <c r="H648" s="147"/>
      <c r="I648" s="147"/>
      <c r="J648" s="147"/>
      <c r="K648" s="148">
        <f>SUBTOTAL(101,InitialOrderTable[Price (USD)])</f>
        <v>11.102113564668691</v>
      </c>
      <c r="L648" s="148"/>
      <c r="M648" s="147">
        <f>SUBTOTAL(103,InitialOrderTable[Description/Comments])</f>
        <v>71</v>
      </c>
      <c r="N648" s="148">
        <f>SUBTOTAL(109,InitialOrderTable[Total Price])</f>
        <v>3962.6599999999939</v>
      </c>
      <c r="O648" s="147">
        <f>SUBTOTAL(103,InitialOrderTable[Supplier SKU])</f>
        <v>634</v>
      </c>
      <c r="P648" s="147">
        <f>SUBTOTAL(104,InitialOrderTable[List '#])</f>
        <v>633</v>
      </c>
      <c r="Q648" s="147"/>
      <c r="R648" s="147"/>
      <c r="S648" s="147"/>
      <c r="T648" s="147"/>
      <c r="U648" s="147"/>
      <c r="V648" s="147"/>
      <c r="W648" s="147"/>
      <c r="X648" s="147">
        <f>SUBTOTAL(109,InitialOrderTable[$/Unit])</f>
        <v>674.02000000000078</v>
      </c>
      <c r="Y648" s="148">
        <f>SUBTOTAL(109,InitialOrderTable[Total $])</f>
        <v>7334.6599999999808</v>
      </c>
    </row>
    <row r="649" spans="1:25" ht="20.25" thickTop="1" thickBot="1" x14ac:dyDescent="0.3">
      <c r="A649" s="126" t="s">
        <v>2554</v>
      </c>
      <c r="B649" s="126" t="s">
        <v>2555</v>
      </c>
      <c r="C649" s="127" t="s">
        <v>2556</v>
      </c>
      <c r="D649" s="147"/>
      <c r="E649" s="147"/>
      <c r="F649" s="147"/>
      <c r="G649" s="147"/>
      <c r="H649" s="147"/>
      <c r="I649" s="147"/>
      <c r="J649" s="147"/>
      <c r="K649" s="147"/>
      <c r="L649" s="147"/>
    </row>
    <row r="650" spans="1:25" ht="17.25" thickTop="1" thickBot="1" x14ac:dyDescent="0.3">
      <c r="A650" s="121" t="str">
        <f>FilterSpecs!C6</f>
        <v>Primary Component</v>
      </c>
      <c r="B650" s="122">
        <f>SUMIF(InitialOrderTable[Type],"=" &amp; FilterSpecs!$C6,InitialOrderTable[Total Price])</f>
        <v>2162.8500000000004</v>
      </c>
      <c r="C650" s="122">
        <f>SUMIF(InitialOrderTable[Type],"=" &amp; FilterSpecs!$C6,InitialOrderTable[Total $])</f>
        <v>3125.9</v>
      </c>
      <c r="D650" s="147"/>
      <c r="E650" s="147"/>
      <c r="F650" s="147"/>
      <c r="G650" s="147"/>
      <c r="H650" s="147"/>
      <c r="I650" s="147"/>
      <c r="J650" s="147"/>
      <c r="K650" s="147"/>
      <c r="L650" s="147"/>
    </row>
    <row r="651" spans="1:25" ht="17.25" thickTop="1" thickBot="1" x14ac:dyDescent="0.3">
      <c r="A651" s="121" t="str">
        <f>FilterSpecs!C7</f>
        <v>Secondary Component</v>
      </c>
      <c r="B651" s="123">
        <f>SUMIF(InitialOrderTable[Type],"=" &amp; FilterSpecs!$C7,InitialOrderTable[Total Price])</f>
        <v>331.12</v>
      </c>
      <c r="C651" s="123">
        <f>SUMIF(InitialOrderTable[Type],"=" &amp; FilterSpecs!$C7,InitialOrderTable[Total $])</f>
        <v>438.41999999999996</v>
      </c>
      <c r="D651" s="147"/>
      <c r="E651" s="147"/>
      <c r="F651" s="147"/>
      <c r="G651" s="147"/>
      <c r="H651" s="147"/>
      <c r="I651" s="147"/>
      <c r="J651" s="147"/>
      <c r="K651" s="147"/>
      <c r="L651" s="147"/>
    </row>
    <row r="652" spans="1:25" ht="17.25" thickTop="1" thickBot="1" x14ac:dyDescent="0.3">
      <c r="A652" s="121" t="str">
        <f>FilterSpecs!C8</f>
        <v>Advanced &amp; Optional Components</v>
      </c>
      <c r="B652" s="123">
        <f>SUMIF(InitialOrderTable[Type],"=" &amp; FilterSpecs!$C8,InitialOrderTable[Total Price])</f>
        <v>0</v>
      </c>
      <c r="C652" s="123">
        <f>SUMIF(InitialOrderTable[Type],"=" &amp; FilterSpecs!$C8,InitialOrderTable[Total $])</f>
        <v>1127.2500000000002</v>
      </c>
      <c r="D652" s="147"/>
      <c r="E652" s="147"/>
      <c r="F652" s="147"/>
      <c r="G652" s="147"/>
      <c r="H652" s="147"/>
      <c r="I652" s="147"/>
      <c r="J652" s="147"/>
      <c r="K652" s="147"/>
      <c r="L652" s="147"/>
    </row>
    <row r="653" spans="1:25" ht="17.25" thickTop="1" thickBot="1" x14ac:dyDescent="0.3">
      <c r="A653" s="121" t="str">
        <f>FilterSpecs!C9</f>
        <v>Smart-Home/IoT Network Integration (Fixed)</v>
      </c>
      <c r="B653" s="123">
        <f>SUMIF(InitialOrderTable[Type],"=" &amp; FilterSpecs!$C9,InitialOrderTable[Total Price])</f>
        <v>0</v>
      </c>
      <c r="C653" s="123">
        <f>SUMIF(InitialOrderTable[Type],"=" &amp; FilterSpecs!$C9,InitialOrderTable[Total $])</f>
        <v>605.09999999999991</v>
      </c>
      <c r="D653" s="147"/>
      <c r="E653" s="147"/>
      <c r="F653" s="147"/>
      <c r="G653" s="147"/>
      <c r="H653" s="147"/>
      <c r="I653" s="147"/>
      <c r="J653" s="147"/>
      <c r="K653" s="147"/>
      <c r="L653" s="147"/>
    </row>
    <row r="654" spans="1:25" ht="17.25" thickTop="1" thickBot="1" x14ac:dyDescent="0.3">
      <c r="A654" s="121" t="str">
        <f>FilterSpecs!C10</f>
        <v>Smart-Home/IoT Network Integration (Portable)</v>
      </c>
      <c r="B654" s="123">
        <f>SUMIF(InitialOrderTable[Type],"=" &amp; FilterSpecs!$C10,InitialOrderTable[Total Price])</f>
        <v>0</v>
      </c>
      <c r="C654" s="123">
        <f>SUMIF(InitialOrderTable[Type],"=" &amp; FilterSpecs!$C10,InitialOrderTable[Total $])</f>
        <v>193.8</v>
      </c>
      <c r="D654" s="147"/>
      <c r="E654" s="147"/>
      <c r="F654" s="147"/>
      <c r="G654" s="147"/>
      <c r="H654" s="147"/>
      <c r="I654" s="147"/>
      <c r="J654" s="147"/>
      <c r="K654" s="147"/>
      <c r="L654" s="147"/>
    </row>
    <row r="655" spans="1:25" ht="17.25" thickTop="1" thickBot="1" x14ac:dyDescent="0.3">
      <c r="A655" s="121" t="str">
        <f>FilterSpecs!C11</f>
        <v>Hardware Component</v>
      </c>
      <c r="B655" s="123">
        <f>SUMIF(InitialOrderTable[Type],"=" &amp; FilterSpecs!$C11,InitialOrderTable[Total Price])</f>
        <v>578.85000000000014</v>
      </c>
      <c r="C655" s="123">
        <f>SUMIF(InitialOrderTable[Type],"=" &amp; FilterSpecs!$C11,InitialOrderTable[Total $])</f>
        <v>725.25</v>
      </c>
      <c r="D655" s="147"/>
      <c r="E655" s="147"/>
      <c r="F655" s="147"/>
      <c r="G655" s="147"/>
      <c r="H655" s="147"/>
      <c r="I655" s="147"/>
      <c r="J655" s="147"/>
      <c r="K655" s="147"/>
      <c r="L655" s="147"/>
    </row>
    <row r="656" spans="1:25" ht="17.25" thickTop="1" thickBot="1" x14ac:dyDescent="0.3">
      <c r="A656" s="121" t="str">
        <f>FilterSpecs!C12</f>
        <v>Low-Level Electronics</v>
      </c>
      <c r="B656" s="123">
        <f>SUMIF(InitialOrderTable[Type],"=" &amp; FilterSpecs!$C12,InitialOrderTable[Total Price])</f>
        <v>739.40000000000009</v>
      </c>
      <c r="C656" s="123">
        <f>SUMIF(InitialOrderTable[Type],"=" &amp; FilterSpecs!$C12,InitialOrderTable[Total $])</f>
        <v>905.85000000000025</v>
      </c>
      <c r="D656" s="147"/>
      <c r="E656" s="147"/>
      <c r="F656" s="147"/>
      <c r="G656" s="147"/>
      <c r="H656" s="147"/>
      <c r="I656" s="147"/>
      <c r="J656" s="147"/>
      <c r="K656" s="147"/>
      <c r="L656" s="147"/>
    </row>
    <row r="657" spans="1:25" ht="17.25" thickTop="1" thickBot="1" x14ac:dyDescent="0.3">
      <c r="A657" s="124" t="str">
        <f>FilterSpecs!C13</f>
        <v>Tools</v>
      </c>
      <c r="B657" s="125">
        <f>SUMIF(InitialOrderTable[Type],"=" &amp; FilterSpecs!$C13,InitialOrderTable[Total Price])</f>
        <v>150.43999999999997</v>
      </c>
      <c r="C657" s="125">
        <f>SUMIF(InitialOrderTable[Type],"=" &amp; FilterSpecs!$C13,InitialOrderTable[Total $])</f>
        <v>213.08999999999989</v>
      </c>
      <c r="D657" s="147"/>
      <c r="E657" s="147"/>
      <c r="F657" s="147"/>
      <c r="G657" s="147"/>
      <c r="H657" s="147"/>
      <c r="I657" s="147"/>
      <c r="J657" s="147"/>
      <c r="K657" s="147"/>
      <c r="L657" s="147"/>
    </row>
    <row r="658" spans="1:25" ht="20.25" thickTop="1" thickBot="1" x14ac:dyDescent="0.3">
      <c r="A658" s="126">
        <f>SUBTOTAL(103,Table1216[Cost Breakdown])</f>
        <v>8</v>
      </c>
      <c r="B658" s="128">
        <f>SUBTOTAL(109,Table1216[Initial Order])</f>
        <v>3962.6600000000008</v>
      </c>
      <c r="C658" s="129">
        <f>SUBTOTAL(109,Table1216[Total Order])</f>
        <v>7334.6600000000008</v>
      </c>
      <c r="D658" s="147"/>
      <c r="E658" s="147"/>
      <c r="F658" s="147"/>
      <c r="G658" s="147"/>
      <c r="H658" s="147"/>
      <c r="I658" s="147"/>
      <c r="J658" s="147"/>
      <c r="K658" s="147"/>
      <c r="L658" s="147"/>
    </row>
    <row r="659" spans="1:25" ht="15.75" thickTop="1" x14ac:dyDescent="0.25">
      <c r="D659" s="147"/>
      <c r="E659" s="147"/>
      <c r="F659" s="147"/>
      <c r="G659" s="147"/>
    </row>
    <row r="660" spans="1:25" ht="33.75" x14ac:dyDescent="0.25">
      <c r="A660" s="171" t="s">
        <v>2459</v>
      </c>
      <c r="B660" s="171"/>
      <c r="C660" s="101"/>
      <c r="D660" s="147"/>
      <c r="E660" s="147"/>
      <c r="F660" s="147"/>
      <c r="G660" s="147"/>
      <c r="H660" s="104"/>
      <c r="I660" s="104"/>
      <c r="J660" s="104"/>
      <c r="K660" s="104"/>
      <c r="L660" s="104"/>
      <c r="M660" s="104"/>
      <c r="N660" s="104"/>
      <c r="O660" s="104"/>
      <c r="P660" s="104"/>
      <c r="Q660" s="104"/>
      <c r="R660" s="104"/>
      <c r="S660" s="104"/>
      <c r="T660" s="104"/>
      <c r="U660" s="104"/>
      <c r="V660" s="104"/>
      <c r="W660" s="104"/>
      <c r="X660" s="104"/>
      <c r="Y660" s="104"/>
    </row>
    <row r="661" spans="1:25" x14ac:dyDescent="0.25">
      <c r="A661" s="147" t="s">
        <v>889</v>
      </c>
      <c r="B661" s="147" t="s">
        <v>986</v>
      </c>
      <c r="C661" s="147" t="s">
        <v>5</v>
      </c>
      <c r="D661" s="147" t="s">
        <v>1757</v>
      </c>
      <c r="E661" s="64">
        <v>1</v>
      </c>
      <c r="F661" s="64">
        <v>1</v>
      </c>
      <c r="G661" s="147" t="s">
        <v>1758</v>
      </c>
      <c r="H661" s="147" t="s">
        <v>1759</v>
      </c>
      <c r="I661" s="147" t="s">
        <v>1760</v>
      </c>
      <c r="J661" s="147">
        <v>1</v>
      </c>
      <c r="K661" s="64">
        <v>9.9499999999999993</v>
      </c>
      <c r="L661" s="147" t="s">
        <v>1896</v>
      </c>
      <c r="M661" s="63"/>
      <c r="N661" s="63"/>
      <c r="O661" s="63"/>
      <c r="P661" s="63"/>
      <c r="Q661" s="63"/>
      <c r="R661" s="63"/>
      <c r="S661" s="63"/>
      <c r="T661" s="63"/>
      <c r="U661" s="63"/>
      <c r="V661" s="63"/>
      <c r="W661" s="63"/>
      <c r="X661" s="63"/>
      <c r="Y661" s="63"/>
    </row>
    <row r="662" spans="1:25" x14ac:dyDescent="0.25">
      <c r="A662" s="147" t="s">
        <v>889</v>
      </c>
      <c r="B662" s="147" t="s">
        <v>986</v>
      </c>
      <c r="C662" s="147" t="s">
        <v>1884</v>
      </c>
      <c r="D662" s="147" t="s">
        <v>2087</v>
      </c>
      <c r="E662" s="64">
        <v>0</v>
      </c>
      <c r="F662" s="64">
        <v>0</v>
      </c>
      <c r="G662" s="147"/>
      <c r="H662" s="147"/>
      <c r="I662" s="147" t="s">
        <v>2088</v>
      </c>
      <c r="J662" s="63"/>
      <c r="K662" s="64">
        <v>14.95</v>
      </c>
      <c r="L662" s="147" t="s">
        <v>1896</v>
      </c>
      <c r="M662" s="63"/>
      <c r="N662" s="63"/>
      <c r="O662" s="63"/>
      <c r="P662" s="63"/>
      <c r="Q662" s="63"/>
      <c r="R662" s="63"/>
      <c r="S662" s="63"/>
      <c r="T662" s="63"/>
      <c r="U662" s="63"/>
      <c r="V662" s="63"/>
      <c r="W662" s="63"/>
      <c r="X662" s="63"/>
      <c r="Y662" s="63"/>
    </row>
    <row r="663" spans="1:25" x14ac:dyDescent="0.25">
      <c r="A663" s="147" t="s">
        <v>889</v>
      </c>
      <c r="B663" s="147" t="s">
        <v>986</v>
      </c>
      <c r="C663" s="147" t="s">
        <v>1884</v>
      </c>
      <c r="D663" s="147" t="s">
        <v>2075</v>
      </c>
      <c r="E663" s="64">
        <v>0</v>
      </c>
      <c r="F663" s="64">
        <v>0</v>
      </c>
      <c r="G663" s="147"/>
      <c r="H663" s="147"/>
      <c r="I663" s="147" t="s">
        <v>2076</v>
      </c>
      <c r="J663" s="63"/>
      <c r="K663" s="64">
        <v>9.9499999999999993</v>
      </c>
      <c r="L663" s="147" t="s">
        <v>1896</v>
      </c>
      <c r="M663" s="63"/>
      <c r="N663" s="63"/>
      <c r="O663" s="63"/>
      <c r="P663" s="63"/>
      <c r="Q663" s="63"/>
      <c r="R663" s="63"/>
      <c r="S663" s="63"/>
      <c r="T663" s="63"/>
      <c r="U663" s="63"/>
      <c r="V663" s="63"/>
      <c r="W663" s="63"/>
      <c r="X663" s="63"/>
      <c r="Y663" s="63"/>
    </row>
    <row r="664" spans="1:25" x14ac:dyDescent="0.25">
      <c r="A664" s="147" t="s">
        <v>889</v>
      </c>
      <c r="B664" s="147" t="s">
        <v>986</v>
      </c>
      <c r="C664" s="147" t="s">
        <v>1884</v>
      </c>
      <c r="D664" s="147" t="s">
        <v>2079</v>
      </c>
      <c r="E664" s="64">
        <v>0</v>
      </c>
      <c r="F664" s="64">
        <v>0</v>
      </c>
      <c r="G664" s="147"/>
      <c r="H664" s="147"/>
      <c r="I664" s="147" t="s">
        <v>2080</v>
      </c>
      <c r="J664" s="63"/>
      <c r="K664" s="64">
        <v>14.95</v>
      </c>
      <c r="L664" s="147" t="s">
        <v>1896</v>
      </c>
      <c r="M664" s="63"/>
      <c r="N664" s="63"/>
      <c r="O664" s="63"/>
      <c r="P664" s="63"/>
      <c r="Q664" s="63"/>
      <c r="R664" s="63"/>
      <c r="S664" s="63"/>
      <c r="T664" s="63"/>
      <c r="U664" s="63"/>
      <c r="V664" s="63"/>
      <c r="W664" s="63"/>
      <c r="X664" s="63"/>
      <c r="Y664" s="63"/>
    </row>
    <row r="665" spans="1:25" x14ac:dyDescent="0.25">
      <c r="A665" s="150" t="s">
        <v>887</v>
      </c>
      <c r="B665" s="150" t="s">
        <v>2016</v>
      </c>
      <c r="C665" s="150" t="s">
        <v>5</v>
      </c>
      <c r="D665" s="150" t="s">
        <v>30</v>
      </c>
      <c r="E665" s="79">
        <v>5</v>
      </c>
      <c r="F665" s="79">
        <v>5</v>
      </c>
      <c r="G665" s="150" t="s">
        <v>31</v>
      </c>
      <c r="H665" s="150" t="s">
        <v>32</v>
      </c>
      <c r="I665" s="150" t="s">
        <v>33</v>
      </c>
      <c r="J665" s="151">
        <v>1</v>
      </c>
      <c r="K665" s="79">
        <v>29.95</v>
      </c>
      <c r="L665" s="150" t="s">
        <v>1897</v>
      </c>
      <c r="M665" s="151"/>
      <c r="N665" s="151">
        <v>149.75</v>
      </c>
      <c r="O665" s="151"/>
      <c r="P665" s="151"/>
      <c r="Q665" s="151"/>
      <c r="R665" s="151"/>
      <c r="S665" s="151"/>
      <c r="T665" s="151"/>
      <c r="U665" s="151"/>
      <c r="V665" s="151"/>
      <c r="W665" s="151"/>
      <c r="X665" s="151"/>
      <c r="Y665" s="151"/>
    </row>
    <row r="666" spans="1:25" x14ac:dyDescent="0.25">
      <c r="A666" s="150" t="s">
        <v>887</v>
      </c>
      <c r="B666" s="150" t="s">
        <v>2008</v>
      </c>
      <c r="C666" s="150" t="s">
        <v>5</v>
      </c>
      <c r="D666" s="150" t="s">
        <v>110</v>
      </c>
      <c r="E666" s="79">
        <v>5</v>
      </c>
      <c r="F666" s="79">
        <v>5</v>
      </c>
      <c r="G666" s="150" t="s">
        <v>111</v>
      </c>
      <c r="H666" s="150" t="s">
        <v>112</v>
      </c>
      <c r="I666" s="150" t="s">
        <v>113</v>
      </c>
      <c r="J666" s="150">
        <v>1</v>
      </c>
      <c r="K666" s="79">
        <v>12.95</v>
      </c>
      <c r="L666" s="150" t="s">
        <v>1897</v>
      </c>
      <c r="M666" s="151"/>
      <c r="N666" s="151">
        <v>64.75</v>
      </c>
      <c r="O666" s="151"/>
      <c r="P666" s="151"/>
      <c r="Q666" s="151"/>
      <c r="R666" s="151"/>
      <c r="S666" s="151"/>
      <c r="T666" s="151"/>
      <c r="U666" s="151"/>
      <c r="V666" s="151"/>
      <c r="W666" s="151"/>
      <c r="X666" s="151"/>
      <c r="Y666" s="151"/>
    </row>
    <row r="667" spans="1:25" x14ac:dyDescent="0.25">
      <c r="A667" s="150" t="s">
        <v>887</v>
      </c>
      <c r="B667" s="150" t="s">
        <v>9</v>
      </c>
      <c r="C667" s="150" t="s">
        <v>5</v>
      </c>
      <c r="D667" s="150" t="s">
        <v>253</v>
      </c>
      <c r="E667" s="79">
        <v>5</v>
      </c>
      <c r="F667" s="79">
        <v>5</v>
      </c>
      <c r="G667" s="150" t="s">
        <v>254</v>
      </c>
      <c r="H667" s="150" t="s">
        <v>255</v>
      </c>
      <c r="I667" s="150" t="s">
        <v>256</v>
      </c>
      <c r="J667" s="150">
        <v>1</v>
      </c>
      <c r="K667" s="79">
        <v>6.95</v>
      </c>
      <c r="L667" s="150" t="s">
        <v>1897</v>
      </c>
      <c r="M667" s="151"/>
      <c r="N667" s="151">
        <v>34.75</v>
      </c>
      <c r="O667" s="151"/>
      <c r="P667" s="151"/>
      <c r="Q667" s="151"/>
      <c r="R667" s="151"/>
      <c r="S667" s="151"/>
      <c r="T667" s="151"/>
      <c r="U667" s="151"/>
      <c r="V667" s="151"/>
      <c r="W667" s="151"/>
      <c r="X667" s="151"/>
      <c r="Y667" s="151"/>
    </row>
    <row r="668" spans="1:25" x14ac:dyDescent="0.25">
      <c r="A668" s="150" t="s">
        <v>888</v>
      </c>
      <c r="B668" s="150" t="s">
        <v>892</v>
      </c>
      <c r="C668" s="150" t="s">
        <v>5</v>
      </c>
      <c r="D668" s="150" t="s">
        <v>356</v>
      </c>
      <c r="E668" s="79">
        <v>0</v>
      </c>
      <c r="F668" s="79">
        <v>0</v>
      </c>
      <c r="G668" s="150" t="s">
        <v>357</v>
      </c>
      <c r="H668" s="150" t="s">
        <v>358</v>
      </c>
      <c r="I668" s="150" t="s">
        <v>359</v>
      </c>
      <c r="J668" s="150">
        <v>1</v>
      </c>
      <c r="K668" s="79">
        <v>2.95</v>
      </c>
      <c r="L668" s="150" t="s">
        <v>2461</v>
      </c>
      <c r="M668" s="150"/>
      <c r="N668" s="150">
        <v>0</v>
      </c>
      <c r="O668" s="151"/>
      <c r="P668" s="151"/>
      <c r="Q668" s="151"/>
      <c r="R668" s="151"/>
      <c r="S668" s="151"/>
      <c r="T668" s="151"/>
      <c r="U668" s="151"/>
      <c r="V668" s="151"/>
      <c r="W668" s="151"/>
      <c r="X668" s="151"/>
      <c r="Y668" s="151"/>
    </row>
    <row r="669" spans="1:25" x14ac:dyDescent="0.25">
      <c r="A669" s="150" t="s">
        <v>888</v>
      </c>
      <c r="B669" s="150" t="s">
        <v>892</v>
      </c>
      <c r="C669" s="150" t="s">
        <v>5</v>
      </c>
      <c r="D669" s="150" t="s">
        <v>1173</v>
      </c>
      <c r="E669" s="79">
        <v>0</v>
      </c>
      <c r="F669" s="79">
        <v>0</v>
      </c>
      <c r="G669" s="150" t="s">
        <v>1174</v>
      </c>
      <c r="H669" s="150" t="s">
        <v>1175</v>
      </c>
      <c r="I669" s="150" t="s">
        <v>1176</v>
      </c>
      <c r="J669" s="150">
        <v>1</v>
      </c>
      <c r="K669" s="79">
        <v>9.9499999999999993</v>
      </c>
      <c r="L669" s="150" t="s">
        <v>2461</v>
      </c>
      <c r="M669" s="151"/>
      <c r="N669" s="150">
        <v>0</v>
      </c>
      <c r="O669" s="151"/>
      <c r="P669" s="151"/>
      <c r="Q669" s="151"/>
      <c r="R669" s="151"/>
      <c r="S669" s="151"/>
      <c r="T669" s="151"/>
      <c r="U669" s="151"/>
      <c r="V669" s="151"/>
      <c r="W669" s="151"/>
      <c r="X669" s="151"/>
      <c r="Y669" s="151"/>
    </row>
    <row r="670" spans="1:25" x14ac:dyDescent="0.25">
      <c r="A670" s="147" t="s">
        <v>888</v>
      </c>
      <c r="B670" s="147" t="s">
        <v>1593</v>
      </c>
      <c r="C670" s="147" t="s">
        <v>5</v>
      </c>
      <c r="D670" s="147" t="s">
        <v>1096</v>
      </c>
      <c r="E670" s="64">
        <v>1</v>
      </c>
      <c r="F670" s="64">
        <v>1</v>
      </c>
      <c r="G670" s="147" t="s">
        <v>1097</v>
      </c>
      <c r="H670" s="147" t="s">
        <v>1098</v>
      </c>
      <c r="I670" s="147" t="s">
        <v>1099</v>
      </c>
      <c r="J670" s="147"/>
      <c r="K670" s="64">
        <v>24.95</v>
      </c>
      <c r="L670" s="147" t="s">
        <v>1896</v>
      </c>
      <c r="M670" s="63"/>
      <c r="N670" s="147">
        <v>24.95</v>
      </c>
      <c r="O670" s="63"/>
      <c r="P670" s="63"/>
      <c r="Q670" s="63"/>
      <c r="R670" s="63"/>
      <c r="S670" s="63"/>
      <c r="T670" s="63"/>
      <c r="U670" s="63"/>
      <c r="V670" s="63"/>
      <c r="W670" s="63"/>
      <c r="X670" s="63"/>
      <c r="Y670" s="63"/>
    </row>
    <row r="671" spans="1:25" x14ac:dyDescent="0.25">
      <c r="A671" s="48" t="s">
        <v>1058</v>
      </c>
      <c r="B671" s="108" t="s">
        <v>1005</v>
      </c>
      <c r="C671" s="108" t="s">
        <v>5</v>
      </c>
      <c r="D671" s="48" t="s">
        <v>981</v>
      </c>
      <c r="E671" s="73">
        <v>0</v>
      </c>
      <c r="F671" s="73">
        <v>0</v>
      </c>
      <c r="G671" s="48" t="s">
        <v>982</v>
      </c>
      <c r="H671" s="48" t="s">
        <v>983</v>
      </c>
      <c r="I671" s="48" t="s">
        <v>984</v>
      </c>
      <c r="J671" s="48">
        <v>1</v>
      </c>
      <c r="K671" s="73">
        <v>44.95</v>
      </c>
      <c r="L671" s="48" t="s">
        <v>1900</v>
      </c>
      <c r="M671" s="48" t="s">
        <v>1046</v>
      </c>
      <c r="N671" s="48">
        <v>0</v>
      </c>
      <c r="O671" s="109"/>
      <c r="P671" s="109"/>
      <c r="Q671" s="109"/>
      <c r="R671" s="109"/>
      <c r="S671" s="109"/>
      <c r="T671" s="109"/>
      <c r="U671" s="109"/>
      <c r="V671" s="109"/>
      <c r="W671" s="109"/>
      <c r="X671" s="109"/>
      <c r="Y671" s="109"/>
    </row>
    <row r="672" spans="1:25" x14ac:dyDescent="0.25">
      <c r="A672" s="147" t="s">
        <v>1058</v>
      </c>
      <c r="B672" s="147" t="s">
        <v>1005</v>
      </c>
      <c r="C672" s="147" t="s">
        <v>1884</v>
      </c>
      <c r="D672" s="147" t="s">
        <v>2069</v>
      </c>
      <c r="E672" s="64">
        <v>0</v>
      </c>
      <c r="F672" s="64">
        <v>0</v>
      </c>
      <c r="G672" s="147"/>
      <c r="H672" s="147"/>
      <c r="I672" s="147" t="s">
        <v>2070</v>
      </c>
      <c r="J672" s="147"/>
      <c r="K672" s="64">
        <v>44.95</v>
      </c>
      <c r="L672" s="147" t="s">
        <v>1896</v>
      </c>
      <c r="M672" s="63"/>
      <c r="N672" s="63"/>
      <c r="O672" s="63"/>
      <c r="P672" s="63"/>
      <c r="Q672" s="63"/>
      <c r="R672" s="63"/>
      <c r="S672" s="63"/>
      <c r="T672" s="63"/>
      <c r="U672" s="63"/>
      <c r="V672" s="63"/>
      <c r="W672" s="63"/>
      <c r="X672" s="63"/>
      <c r="Y672" s="63"/>
    </row>
    <row r="673" spans="1:25" x14ac:dyDescent="0.25">
      <c r="A673" s="147" t="s">
        <v>1058</v>
      </c>
      <c r="B673" s="147" t="s">
        <v>2040</v>
      </c>
      <c r="C673" s="147" t="s">
        <v>1884</v>
      </c>
      <c r="D673" s="147" t="s">
        <v>2048</v>
      </c>
      <c r="E673" s="64">
        <v>1</v>
      </c>
      <c r="F673" s="64">
        <v>1</v>
      </c>
      <c r="G673" s="147"/>
      <c r="H673" s="147"/>
      <c r="I673" s="147" t="s">
        <v>2047</v>
      </c>
      <c r="J673" s="147"/>
      <c r="K673" s="64">
        <v>39.950000000000003</v>
      </c>
      <c r="L673" s="147" t="s">
        <v>1896</v>
      </c>
      <c r="M673" s="63"/>
      <c r="N673" s="63"/>
      <c r="O673" s="63"/>
      <c r="P673" s="63"/>
      <c r="Q673" s="63"/>
      <c r="R673" s="63"/>
      <c r="S673" s="63"/>
      <c r="T673" s="63"/>
      <c r="U673" s="63"/>
      <c r="V673" s="63"/>
      <c r="W673" s="63"/>
      <c r="X673" s="63"/>
      <c r="Y673" s="63"/>
    </row>
    <row r="674" spans="1:25" x14ac:dyDescent="0.25">
      <c r="A674" s="147" t="s">
        <v>1058</v>
      </c>
      <c r="B674" s="110" t="s">
        <v>2005</v>
      </c>
      <c r="C674" s="147" t="s">
        <v>1884</v>
      </c>
      <c r="D674" s="147" t="s">
        <v>2073</v>
      </c>
      <c r="E674" s="64">
        <v>0</v>
      </c>
      <c r="F674" s="64">
        <v>0</v>
      </c>
      <c r="G674" s="147"/>
      <c r="H674" s="147"/>
      <c r="I674" s="147" t="s">
        <v>2074</v>
      </c>
      <c r="J674" s="63"/>
      <c r="K674" s="64">
        <v>44.95</v>
      </c>
      <c r="L674" s="147" t="s">
        <v>1896</v>
      </c>
      <c r="M674" s="63"/>
      <c r="N674" s="63"/>
      <c r="O674" s="63"/>
      <c r="P674" s="63"/>
      <c r="Q674" s="63"/>
      <c r="R674" s="63"/>
      <c r="S674" s="63"/>
      <c r="T674" s="63"/>
      <c r="U674" s="63"/>
      <c r="V674" s="63"/>
      <c r="W674" s="63"/>
      <c r="X674" s="63"/>
      <c r="Y674" s="63"/>
    </row>
    <row r="675" spans="1:25" x14ac:dyDescent="0.25">
      <c r="A675" s="77" t="s">
        <v>1058</v>
      </c>
      <c r="B675" s="90" t="s">
        <v>1424</v>
      </c>
      <c r="C675" s="90" t="s">
        <v>5</v>
      </c>
      <c r="D675" s="150" t="s">
        <v>969</v>
      </c>
      <c r="E675" s="79">
        <v>1</v>
      </c>
      <c r="F675" s="79">
        <v>1</v>
      </c>
      <c r="G675" s="150" t="s">
        <v>970</v>
      </c>
      <c r="H675" s="150" t="s">
        <v>971</v>
      </c>
      <c r="I675" s="150" t="s">
        <v>972</v>
      </c>
      <c r="J675" s="150">
        <v>1</v>
      </c>
      <c r="K675" s="79">
        <v>49.95</v>
      </c>
      <c r="L675" s="150" t="s">
        <v>1896</v>
      </c>
      <c r="M675" s="150" t="s">
        <v>1050</v>
      </c>
      <c r="N675" s="150">
        <v>49.95</v>
      </c>
      <c r="O675" s="80"/>
      <c r="P675" s="80"/>
      <c r="Q675" s="80"/>
      <c r="R675" s="80"/>
      <c r="S675" s="80"/>
      <c r="T675" s="80"/>
      <c r="U675" s="80"/>
      <c r="V675" s="80"/>
      <c r="W675" s="80"/>
      <c r="X675" s="80"/>
      <c r="Y675" s="80"/>
    </row>
    <row r="680" spans="1:25" x14ac:dyDescent="0.25">
      <c r="A680" s="61" t="s">
        <v>889</v>
      </c>
      <c r="B680" s="138" t="s">
        <v>1290</v>
      </c>
      <c r="C680" s="146" t="s">
        <v>5</v>
      </c>
      <c r="D680" s="147" t="s">
        <v>1220</v>
      </c>
      <c r="E680" s="147">
        <v>1</v>
      </c>
      <c r="G680" s="147" t="s">
        <v>1221</v>
      </c>
      <c r="H680" s="147" t="s">
        <v>1222</v>
      </c>
      <c r="I680" s="147" t="s">
        <v>1223</v>
      </c>
      <c r="J680" s="147">
        <v>1</v>
      </c>
      <c r="K680" s="147">
        <v>15.95</v>
      </c>
    </row>
    <row r="681" spans="1:25" x14ac:dyDescent="0.25">
      <c r="A681" s="61" t="s">
        <v>889</v>
      </c>
      <c r="B681" s="138" t="s">
        <v>1290</v>
      </c>
      <c r="C681" s="146" t="s">
        <v>5</v>
      </c>
      <c r="D681" s="147" t="s">
        <v>1224</v>
      </c>
      <c r="E681" s="147">
        <v>1</v>
      </c>
      <c r="G681" s="147" t="s">
        <v>1225</v>
      </c>
      <c r="H681" s="147" t="s">
        <v>1226</v>
      </c>
      <c r="I681" s="147" t="s">
        <v>1227</v>
      </c>
      <c r="J681" s="147"/>
      <c r="K681" s="147">
        <v>14.95</v>
      </c>
    </row>
    <row r="682" spans="1:25" x14ac:dyDescent="0.25">
      <c r="A682" s="61" t="s">
        <v>889</v>
      </c>
      <c r="B682" s="138" t="s">
        <v>1290</v>
      </c>
      <c r="C682" s="146" t="s">
        <v>5</v>
      </c>
      <c r="D682" s="147" t="s">
        <v>1200</v>
      </c>
      <c r="E682" s="147">
        <v>1</v>
      </c>
      <c r="G682" s="147" t="s">
        <v>1201</v>
      </c>
      <c r="H682" s="147" t="s">
        <v>1202</v>
      </c>
      <c r="I682" s="147" t="s">
        <v>1203</v>
      </c>
      <c r="J682" s="147"/>
      <c r="K682" s="147">
        <v>24.95</v>
      </c>
    </row>
    <row r="683" spans="1:25" x14ac:dyDescent="0.25">
      <c r="A683" s="61" t="s">
        <v>889</v>
      </c>
      <c r="B683" s="138" t="s">
        <v>1290</v>
      </c>
      <c r="C683" s="146" t="s">
        <v>5</v>
      </c>
      <c r="D683" s="147" t="s">
        <v>1240</v>
      </c>
      <c r="E683" s="147">
        <v>1</v>
      </c>
      <c r="G683" s="147" t="s">
        <v>1241</v>
      </c>
      <c r="H683" s="147" t="s">
        <v>1242</v>
      </c>
      <c r="I683" s="147" t="s">
        <v>1243</v>
      </c>
      <c r="J683" s="147"/>
      <c r="K683" s="147">
        <v>9.9499999999999993</v>
      </c>
    </row>
    <row r="684" spans="1:25" x14ac:dyDescent="0.25">
      <c r="A684" s="61" t="s">
        <v>889</v>
      </c>
      <c r="B684" s="138" t="s">
        <v>1290</v>
      </c>
      <c r="C684" s="146" t="s">
        <v>5</v>
      </c>
      <c r="D684" s="147" t="s">
        <v>1216</v>
      </c>
      <c r="E684" s="147">
        <v>1</v>
      </c>
      <c r="G684" s="147" t="s">
        <v>1217</v>
      </c>
      <c r="H684" s="147" t="s">
        <v>1218</v>
      </c>
      <c r="I684" s="147" t="s">
        <v>1219</v>
      </c>
      <c r="J684" s="147">
        <v>1</v>
      </c>
      <c r="K684" s="147">
        <v>19.95</v>
      </c>
    </row>
    <row r="685" spans="1:25" x14ac:dyDescent="0.25">
      <c r="A685" s="146" t="s">
        <v>890</v>
      </c>
      <c r="B685" s="158" t="s">
        <v>1603</v>
      </c>
      <c r="C685" s="146" t="s">
        <v>5</v>
      </c>
      <c r="D685" s="147" t="s">
        <v>1264</v>
      </c>
      <c r="E685" s="147">
        <v>1</v>
      </c>
      <c r="G685" s="147" t="s">
        <v>1265</v>
      </c>
      <c r="H685" s="147" t="s">
        <v>1266</v>
      </c>
      <c r="I685" s="147" t="s">
        <v>1267</v>
      </c>
      <c r="J685" s="147">
        <v>1</v>
      </c>
      <c r="K685" s="147">
        <v>0.25</v>
      </c>
    </row>
    <row r="686" spans="1:25" x14ac:dyDescent="0.25">
      <c r="A686" s="146" t="s">
        <v>890</v>
      </c>
      <c r="B686" s="158" t="s">
        <v>1603</v>
      </c>
      <c r="C686" s="146" t="s">
        <v>5</v>
      </c>
      <c r="D686" s="147" t="s">
        <v>1276</v>
      </c>
      <c r="E686" s="147">
        <v>1</v>
      </c>
      <c r="G686" s="147" t="s">
        <v>1277</v>
      </c>
      <c r="H686" s="147" t="s">
        <v>1278</v>
      </c>
      <c r="I686" s="147" t="s">
        <v>1279</v>
      </c>
      <c r="J686" s="147">
        <v>1</v>
      </c>
      <c r="K686" s="147">
        <v>1.5</v>
      </c>
    </row>
    <row r="687" spans="1:25" x14ac:dyDescent="0.25">
      <c r="A687" s="146" t="s">
        <v>890</v>
      </c>
      <c r="B687" s="158" t="s">
        <v>1603</v>
      </c>
      <c r="C687" s="146" t="s">
        <v>5</v>
      </c>
      <c r="D687" s="147" t="s">
        <v>1272</v>
      </c>
      <c r="E687" s="147">
        <v>1</v>
      </c>
      <c r="G687" s="147" t="s">
        <v>1273</v>
      </c>
      <c r="H687" s="147" t="s">
        <v>1274</v>
      </c>
      <c r="I687" s="147" t="s">
        <v>1275</v>
      </c>
      <c r="J687" s="147">
        <v>1</v>
      </c>
      <c r="K687" s="147">
        <v>0.1</v>
      </c>
    </row>
    <row r="688" spans="1:25" x14ac:dyDescent="0.25">
      <c r="A688" s="146" t="s">
        <v>890</v>
      </c>
      <c r="B688" s="158" t="s">
        <v>1603</v>
      </c>
      <c r="C688" s="146" t="s">
        <v>5</v>
      </c>
      <c r="D688" s="147" t="s">
        <v>1436</v>
      </c>
      <c r="E688" s="147">
        <v>1</v>
      </c>
      <c r="G688" s="147" t="s">
        <v>1437</v>
      </c>
      <c r="H688" s="147" t="s">
        <v>1438</v>
      </c>
      <c r="I688" s="147" t="s">
        <v>1439</v>
      </c>
      <c r="J688" s="147">
        <v>1</v>
      </c>
      <c r="K688" s="147">
        <v>1.95</v>
      </c>
    </row>
    <row r="689" spans="1:11" x14ac:dyDescent="0.25">
      <c r="A689" s="146" t="s">
        <v>890</v>
      </c>
      <c r="B689" s="158" t="s">
        <v>1603</v>
      </c>
      <c r="C689" s="146" t="s">
        <v>5</v>
      </c>
      <c r="D689" s="147" t="s">
        <v>1440</v>
      </c>
      <c r="E689" s="147">
        <v>1</v>
      </c>
      <c r="G689" s="147" t="s">
        <v>1441</v>
      </c>
      <c r="H689" s="147" t="s">
        <v>1442</v>
      </c>
      <c r="I689" s="147" t="s">
        <v>1443</v>
      </c>
      <c r="J689" s="147">
        <v>1</v>
      </c>
      <c r="K689" s="147">
        <v>1.95</v>
      </c>
    </row>
    <row r="690" spans="1:11" x14ac:dyDescent="0.25">
      <c r="A690" s="146" t="s">
        <v>890</v>
      </c>
      <c r="B690" s="158" t="s">
        <v>1603</v>
      </c>
      <c r="C690" s="146" t="s">
        <v>5</v>
      </c>
      <c r="D690" s="147" t="s">
        <v>1468</v>
      </c>
      <c r="E690" s="147">
        <v>1</v>
      </c>
      <c r="G690" s="147" t="s">
        <v>1469</v>
      </c>
      <c r="H690" s="147" t="s">
        <v>1470</v>
      </c>
      <c r="I690" s="147" t="s">
        <v>1471</v>
      </c>
      <c r="J690" s="147">
        <v>1</v>
      </c>
      <c r="K690" s="147">
        <v>1.95</v>
      </c>
    </row>
    <row r="691" spans="1:11" x14ac:dyDescent="0.25">
      <c r="A691" s="146" t="s">
        <v>890</v>
      </c>
      <c r="B691" s="146" t="s">
        <v>878</v>
      </c>
      <c r="C691" s="146" t="s">
        <v>5</v>
      </c>
      <c r="D691" s="147" t="s">
        <v>1565</v>
      </c>
      <c r="E691" s="147">
        <v>0</v>
      </c>
      <c r="G691" s="147" t="s">
        <v>1566</v>
      </c>
      <c r="H691" s="147" t="s">
        <v>1567</v>
      </c>
      <c r="I691" s="147" t="s">
        <v>1568</v>
      </c>
      <c r="J691" s="147">
        <v>1</v>
      </c>
      <c r="K691" s="147">
        <v>0.35</v>
      </c>
    </row>
    <row r="692" spans="1:11" x14ac:dyDescent="0.25">
      <c r="A692" s="146" t="s">
        <v>890</v>
      </c>
      <c r="B692" s="146" t="s">
        <v>878</v>
      </c>
      <c r="C692" s="146" t="s">
        <v>5</v>
      </c>
      <c r="D692" s="147" t="s">
        <v>1537</v>
      </c>
      <c r="E692" s="147">
        <v>0</v>
      </c>
      <c r="G692" s="147" t="s">
        <v>1538</v>
      </c>
      <c r="H692" s="147" t="s">
        <v>1539</v>
      </c>
      <c r="I692" s="147" t="s">
        <v>1540</v>
      </c>
      <c r="J692" s="147">
        <v>1</v>
      </c>
      <c r="K692" s="147">
        <v>0.35</v>
      </c>
    </row>
    <row r="693" spans="1:11" x14ac:dyDescent="0.25">
      <c r="A693" s="159" t="s">
        <v>887</v>
      </c>
      <c r="B693" s="138" t="s">
        <v>1602</v>
      </c>
      <c r="C693" s="146" t="s">
        <v>5</v>
      </c>
      <c r="D693" s="147" t="s">
        <v>1181</v>
      </c>
      <c r="E693" s="147">
        <v>1</v>
      </c>
      <c r="G693" s="147" t="s">
        <v>1182</v>
      </c>
      <c r="H693" s="147" t="s">
        <v>1183</v>
      </c>
      <c r="I693" s="147" t="s">
        <v>1184</v>
      </c>
      <c r="J693" s="147">
        <v>1</v>
      </c>
      <c r="K693" s="147">
        <v>29.95</v>
      </c>
    </row>
    <row r="694" spans="1:11" x14ac:dyDescent="0.25">
      <c r="A694" s="159" t="s">
        <v>887</v>
      </c>
      <c r="B694" s="138" t="s">
        <v>11</v>
      </c>
      <c r="C694" s="146" t="s">
        <v>5</v>
      </c>
      <c r="D694" s="147" t="s">
        <v>1204</v>
      </c>
      <c r="E694" s="147">
        <v>1</v>
      </c>
      <c r="G694" s="147" t="s">
        <v>1205</v>
      </c>
      <c r="H694" s="147" t="s">
        <v>1206</v>
      </c>
      <c r="I694" s="147" t="s">
        <v>1207</v>
      </c>
      <c r="J694" s="147">
        <v>1</v>
      </c>
      <c r="K694" s="147">
        <v>5.95</v>
      </c>
    </row>
    <row r="695" spans="1:11" x14ac:dyDescent="0.25">
      <c r="A695" s="159" t="s">
        <v>887</v>
      </c>
      <c r="B695" s="138" t="s">
        <v>11</v>
      </c>
      <c r="C695" s="146" t="s">
        <v>5</v>
      </c>
      <c r="D695" s="147" t="s">
        <v>1208</v>
      </c>
      <c r="E695" s="147">
        <v>1</v>
      </c>
      <c r="G695" s="147" t="s">
        <v>1209</v>
      </c>
      <c r="H695" s="147" t="s">
        <v>1210</v>
      </c>
      <c r="I695" s="147" t="s">
        <v>1211</v>
      </c>
      <c r="J695" s="147">
        <v>1</v>
      </c>
      <c r="K695" s="147">
        <v>14.95</v>
      </c>
    </row>
    <row r="696" spans="1:11" x14ac:dyDescent="0.25">
      <c r="A696" s="159" t="s">
        <v>887</v>
      </c>
      <c r="B696" s="138" t="s">
        <v>11</v>
      </c>
      <c r="C696" s="146" t="s">
        <v>5</v>
      </c>
      <c r="D696" s="147" t="s">
        <v>1212</v>
      </c>
      <c r="E696" s="147">
        <v>1</v>
      </c>
      <c r="G696" s="147" t="s">
        <v>1213</v>
      </c>
      <c r="H696" s="147" t="s">
        <v>1214</v>
      </c>
      <c r="I696" s="147" t="s">
        <v>1215</v>
      </c>
      <c r="J696" s="147">
        <v>1</v>
      </c>
      <c r="K696" s="147">
        <v>89.95</v>
      </c>
    </row>
    <row r="697" spans="1:11" x14ac:dyDescent="0.25">
      <c r="A697" s="159" t="s">
        <v>887</v>
      </c>
      <c r="B697" s="61" t="s">
        <v>881</v>
      </c>
      <c r="C697" s="146" t="s">
        <v>5</v>
      </c>
      <c r="D697" s="147" t="s">
        <v>1477</v>
      </c>
      <c r="E697" s="147">
        <v>1</v>
      </c>
      <c r="G697" s="147" t="s">
        <v>1478</v>
      </c>
      <c r="H697" s="147" t="s">
        <v>1479</v>
      </c>
      <c r="I697" s="147" t="s">
        <v>1480</v>
      </c>
      <c r="J697" s="147">
        <v>1</v>
      </c>
      <c r="K697" s="147">
        <v>49.95</v>
      </c>
    </row>
    <row r="698" spans="1:11" x14ac:dyDescent="0.25">
      <c r="A698" s="159" t="s">
        <v>887</v>
      </c>
      <c r="B698" s="61" t="s">
        <v>881</v>
      </c>
      <c r="C698" s="146" t="s">
        <v>5</v>
      </c>
      <c r="D698" s="147" t="s">
        <v>1481</v>
      </c>
      <c r="E698" s="147">
        <v>1</v>
      </c>
      <c r="G698" s="147" t="s">
        <v>1482</v>
      </c>
      <c r="H698" s="147" t="s">
        <v>1483</v>
      </c>
      <c r="I698" s="147" t="s">
        <v>1484</v>
      </c>
      <c r="J698" s="147">
        <v>1</v>
      </c>
      <c r="K698" s="147">
        <v>44.95</v>
      </c>
    </row>
    <row r="699" spans="1:11" x14ac:dyDescent="0.25">
      <c r="A699" s="159" t="s">
        <v>887</v>
      </c>
      <c r="B699" s="138" t="s">
        <v>1602</v>
      </c>
      <c r="C699" s="146" t="s">
        <v>5</v>
      </c>
      <c r="D699" s="147" t="s">
        <v>1725</v>
      </c>
      <c r="E699" s="147">
        <v>1</v>
      </c>
      <c r="G699" s="147" t="s">
        <v>1726</v>
      </c>
      <c r="H699" s="147" t="s">
        <v>1727</v>
      </c>
      <c r="I699" s="147" t="s">
        <v>1728</v>
      </c>
      <c r="J699" s="147">
        <v>1</v>
      </c>
      <c r="K699" s="147">
        <v>45</v>
      </c>
    </row>
    <row r="700" spans="1:11" x14ac:dyDescent="0.25">
      <c r="A700" s="159" t="s">
        <v>887</v>
      </c>
      <c r="B700" s="146" t="s">
        <v>2008</v>
      </c>
      <c r="C700" s="146" t="s">
        <v>5</v>
      </c>
      <c r="D700" s="147" t="s">
        <v>1781</v>
      </c>
      <c r="E700" s="147">
        <v>1</v>
      </c>
      <c r="G700" s="147" t="s">
        <v>1782</v>
      </c>
      <c r="H700" s="147" t="s">
        <v>1783</v>
      </c>
      <c r="I700" s="147" t="s">
        <v>1784</v>
      </c>
      <c r="J700" s="147">
        <v>1</v>
      </c>
      <c r="K700" s="147">
        <v>29.95</v>
      </c>
    </row>
    <row r="701" spans="1:11" x14ac:dyDescent="0.25">
      <c r="A701" s="159" t="s">
        <v>887</v>
      </c>
      <c r="B701" s="61" t="s">
        <v>2012</v>
      </c>
      <c r="C701" s="146" t="s">
        <v>5</v>
      </c>
      <c r="D701" s="147" t="s">
        <v>1785</v>
      </c>
      <c r="E701" s="147">
        <v>1</v>
      </c>
      <c r="G701" s="147" t="s">
        <v>1786</v>
      </c>
      <c r="H701" s="147" t="s">
        <v>1787</v>
      </c>
      <c r="I701" s="147" t="s">
        <v>1788</v>
      </c>
      <c r="J701" s="147">
        <v>1</v>
      </c>
      <c r="K701" s="147">
        <v>0.95</v>
      </c>
    </row>
    <row r="702" spans="1:11" x14ac:dyDescent="0.25">
      <c r="A702" s="160" t="s">
        <v>888</v>
      </c>
      <c r="B702" s="160" t="s">
        <v>12</v>
      </c>
      <c r="C702" s="146" t="s">
        <v>5</v>
      </c>
      <c r="D702" s="147" t="s">
        <v>1268</v>
      </c>
      <c r="E702" s="147">
        <v>1</v>
      </c>
      <c r="G702" s="147" t="s">
        <v>1269</v>
      </c>
      <c r="H702" s="147" t="s">
        <v>1270</v>
      </c>
      <c r="I702" s="147" t="s">
        <v>1271</v>
      </c>
      <c r="J702" s="147">
        <v>1</v>
      </c>
      <c r="K702" s="147">
        <v>0.95</v>
      </c>
    </row>
    <row r="703" spans="1:11" x14ac:dyDescent="0.25">
      <c r="A703" s="160" t="s">
        <v>888</v>
      </c>
      <c r="B703" s="160" t="s">
        <v>12</v>
      </c>
      <c r="C703" s="146" t="s">
        <v>5</v>
      </c>
      <c r="D703" s="147" t="s">
        <v>1444</v>
      </c>
      <c r="E703" s="147">
        <v>1</v>
      </c>
      <c r="G703" s="147" t="s">
        <v>1445</v>
      </c>
      <c r="H703" s="147" t="s">
        <v>1446</v>
      </c>
      <c r="I703" s="147" t="s">
        <v>1447</v>
      </c>
      <c r="J703" s="147">
        <v>1</v>
      </c>
      <c r="K703" s="147">
        <v>2.95</v>
      </c>
    </row>
    <row r="704" spans="1:11" x14ac:dyDescent="0.25">
      <c r="A704" s="160" t="s">
        <v>888</v>
      </c>
      <c r="B704" s="160" t="s">
        <v>12</v>
      </c>
      <c r="C704" s="146" t="s">
        <v>5</v>
      </c>
      <c r="D704" s="147" t="s">
        <v>1456</v>
      </c>
      <c r="E704" s="147">
        <v>1</v>
      </c>
      <c r="G704" s="147" t="s">
        <v>1457</v>
      </c>
      <c r="H704" s="147" t="s">
        <v>1458</v>
      </c>
      <c r="I704" s="147" t="s">
        <v>1459</v>
      </c>
      <c r="J704" s="147">
        <v>1</v>
      </c>
      <c r="K704" s="147">
        <v>2.95</v>
      </c>
    </row>
    <row r="705" spans="1:11" x14ac:dyDescent="0.25">
      <c r="A705" s="160" t="s">
        <v>888</v>
      </c>
      <c r="B705" s="160" t="s">
        <v>12</v>
      </c>
      <c r="C705" s="146" t="s">
        <v>5</v>
      </c>
      <c r="D705" s="147" t="s">
        <v>1452</v>
      </c>
      <c r="E705" s="147">
        <v>0</v>
      </c>
      <c r="G705" s="147" t="s">
        <v>1453</v>
      </c>
      <c r="H705" s="147" t="s">
        <v>1454</v>
      </c>
      <c r="I705" s="147" t="s">
        <v>1455</v>
      </c>
      <c r="J705" s="147">
        <v>1</v>
      </c>
      <c r="K705" s="147">
        <v>2.95</v>
      </c>
    </row>
    <row r="706" spans="1:11" x14ac:dyDescent="0.25">
      <c r="A706" s="160" t="s">
        <v>888</v>
      </c>
      <c r="B706" s="160" t="s">
        <v>12</v>
      </c>
      <c r="C706" s="146" t="s">
        <v>5</v>
      </c>
      <c r="D706" s="147" t="s">
        <v>1448</v>
      </c>
      <c r="E706" s="147">
        <v>1</v>
      </c>
      <c r="G706" s="147" t="s">
        <v>1449</v>
      </c>
      <c r="H706" s="147" t="s">
        <v>1450</v>
      </c>
      <c r="I706" s="147" t="s">
        <v>1451</v>
      </c>
      <c r="J706" s="147">
        <v>1</v>
      </c>
      <c r="K706" s="147">
        <v>3.95</v>
      </c>
    </row>
    <row r="707" spans="1:11" x14ac:dyDescent="0.25">
      <c r="A707" s="160" t="s">
        <v>888</v>
      </c>
      <c r="B707" s="160" t="s">
        <v>12</v>
      </c>
      <c r="C707" s="146" t="s">
        <v>5</v>
      </c>
      <c r="D707" s="147" t="s">
        <v>1472</v>
      </c>
      <c r="E707" s="147">
        <v>0</v>
      </c>
      <c r="G707" s="147" t="s">
        <v>1473</v>
      </c>
      <c r="H707" s="147" t="s">
        <v>1474</v>
      </c>
      <c r="I707" s="147" t="s">
        <v>1475</v>
      </c>
      <c r="J707" s="147">
        <v>1</v>
      </c>
      <c r="K707" s="147">
        <v>3.95</v>
      </c>
    </row>
    <row r="708" spans="1:11" x14ac:dyDescent="0.25">
      <c r="A708" s="160" t="s">
        <v>888</v>
      </c>
      <c r="B708" s="160" t="s">
        <v>12</v>
      </c>
      <c r="C708" s="146" t="s">
        <v>5</v>
      </c>
      <c r="D708" s="147" t="s">
        <v>1464</v>
      </c>
      <c r="E708" s="147">
        <v>1</v>
      </c>
      <c r="G708" s="147" t="s">
        <v>1465</v>
      </c>
      <c r="H708" s="147" t="s">
        <v>1466</v>
      </c>
      <c r="I708" s="147" t="s">
        <v>1467</v>
      </c>
      <c r="J708" s="147">
        <v>1</v>
      </c>
      <c r="K708" s="147">
        <v>3.95</v>
      </c>
    </row>
    <row r="709" spans="1:11" x14ac:dyDescent="0.25">
      <c r="A709" s="160" t="s">
        <v>888</v>
      </c>
      <c r="B709" s="160" t="s">
        <v>12</v>
      </c>
      <c r="C709" s="146" t="s">
        <v>5</v>
      </c>
      <c r="D709" s="147" t="s">
        <v>1460</v>
      </c>
      <c r="E709" s="147">
        <v>1</v>
      </c>
      <c r="G709" s="147" t="s">
        <v>1461</v>
      </c>
      <c r="H709" s="147" t="s">
        <v>1462</v>
      </c>
      <c r="I709" s="147" t="s">
        <v>1463</v>
      </c>
      <c r="J709" s="147">
        <v>1</v>
      </c>
      <c r="K709" s="147">
        <v>3.95</v>
      </c>
    </row>
    <row r="710" spans="1:11" x14ac:dyDescent="0.25">
      <c r="A710" s="160" t="s">
        <v>888</v>
      </c>
      <c r="B710" s="138" t="s">
        <v>1882</v>
      </c>
      <c r="C710" s="146" t="s">
        <v>5</v>
      </c>
      <c r="D710" s="147" t="s">
        <v>1845</v>
      </c>
      <c r="E710" s="147">
        <v>1</v>
      </c>
      <c r="G710" s="147" t="s">
        <v>1846</v>
      </c>
      <c r="H710" s="147" t="s">
        <v>1847</v>
      </c>
      <c r="I710" s="147" t="s">
        <v>1848</v>
      </c>
      <c r="J710" s="147">
        <v>1</v>
      </c>
      <c r="K710" s="147">
        <v>2.95</v>
      </c>
    </row>
    <row r="711" spans="1:11" x14ac:dyDescent="0.25">
      <c r="A711" s="160" t="s">
        <v>888</v>
      </c>
      <c r="B711" s="138" t="s">
        <v>1882</v>
      </c>
      <c r="C711" s="146" t="s">
        <v>5</v>
      </c>
      <c r="D711" s="147" t="s">
        <v>1849</v>
      </c>
      <c r="E711" s="147">
        <v>1</v>
      </c>
      <c r="G711" s="147" t="s">
        <v>1850</v>
      </c>
      <c r="H711" s="147" t="s">
        <v>1851</v>
      </c>
      <c r="I711" s="147" t="s">
        <v>1852</v>
      </c>
      <c r="J711" s="147"/>
      <c r="K711" s="147">
        <v>3.95</v>
      </c>
    </row>
    <row r="712" spans="1:11" x14ac:dyDescent="0.25">
      <c r="A712" s="160" t="s">
        <v>888</v>
      </c>
      <c r="B712" s="138" t="s">
        <v>1882</v>
      </c>
      <c r="C712" s="146" t="s">
        <v>5</v>
      </c>
      <c r="D712" s="147" t="s">
        <v>1853</v>
      </c>
      <c r="E712" s="147">
        <v>1</v>
      </c>
      <c r="G712" s="147" t="s">
        <v>1854</v>
      </c>
      <c r="H712" s="147" t="s">
        <v>1855</v>
      </c>
      <c r="I712" s="147" t="s">
        <v>1856</v>
      </c>
      <c r="J712" s="147"/>
      <c r="K712" s="147">
        <v>4.95</v>
      </c>
    </row>
    <row r="713" spans="1:11" x14ac:dyDescent="0.25">
      <c r="A713" s="160" t="s">
        <v>888</v>
      </c>
      <c r="B713" s="138" t="s">
        <v>1882</v>
      </c>
      <c r="C713" s="146" t="s">
        <v>5</v>
      </c>
      <c r="D713" s="147" t="s">
        <v>1857</v>
      </c>
      <c r="E713" s="147">
        <v>1</v>
      </c>
      <c r="G713" s="147" t="s">
        <v>1858</v>
      </c>
      <c r="H713" s="147" t="s">
        <v>1859</v>
      </c>
      <c r="I713" s="147" t="s">
        <v>1860</v>
      </c>
      <c r="J713" s="147">
        <v>1</v>
      </c>
      <c r="K713" s="147">
        <v>14.95</v>
      </c>
    </row>
    <row r="714" spans="1:11" x14ac:dyDescent="0.25">
      <c r="A714" s="160" t="s">
        <v>888</v>
      </c>
      <c r="B714" s="138" t="s">
        <v>1882</v>
      </c>
      <c r="C714" s="146" t="s">
        <v>5</v>
      </c>
      <c r="D714" s="147" t="s">
        <v>1861</v>
      </c>
      <c r="E714" s="147">
        <v>1</v>
      </c>
      <c r="G714" s="147" t="s">
        <v>1862</v>
      </c>
      <c r="H714" s="147" t="s">
        <v>1863</v>
      </c>
      <c r="I714" s="147" t="s">
        <v>1864</v>
      </c>
      <c r="J714" s="147"/>
      <c r="K714" s="147">
        <v>4.95</v>
      </c>
    </row>
    <row r="715" spans="1:11" x14ac:dyDescent="0.25">
      <c r="A715" s="160" t="s">
        <v>888</v>
      </c>
      <c r="B715" s="138" t="s">
        <v>1882</v>
      </c>
      <c r="C715" s="146" t="s">
        <v>5</v>
      </c>
      <c r="D715" s="147" t="s">
        <v>1865</v>
      </c>
      <c r="E715" s="147">
        <v>1</v>
      </c>
      <c r="G715" s="147" t="s">
        <v>1866</v>
      </c>
      <c r="H715" s="147" t="s">
        <v>1867</v>
      </c>
      <c r="I715" s="147" t="s">
        <v>1868</v>
      </c>
      <c r="J715" s="147"/>
      <c r="K715" s="147">
        <v>27.95</v>
      </c>
    </row>
    <row r="716" spans="1:11" x14ac:dyDescent="0.25">
      <c r="A716" s="146" t="s">
        <v>13</v>
      </c>
      <c r="B716" s="138" t="s">
        <v>1600</v>
      </c>
      <c r="C716" s="146" t="s">
        <v>5</v>
      </c>
      <c r="D716" s="147" t="s">
        <v>1189</v>
      </c>
      <c r="E716" s="147">
        <v>1</v>
      </c>
      <c r="G716" s="147" t="s">
        <v>1190</v>
      </c>
      <c r="H716" s="147" t="s">
        <v>1191</v>
      </c>
      <c r="I716" s="147" t="s">
        <v>1192</v>
      </c>
      <c r="J716" s="147">
        <v>1</v>
      </c>
      <c r="K716" s="147">
        <v>59.95</v>
      </c>
    </row>
  </sheetData>
  <mergeCells count="1">
    <mergeCell ref="A660:B660"/>
  </mergeCells>
  <conditionalFormatting sqref="F661:F675">
    <cfRule type="expression" dxfId="898" priority="348">
      <formula>AND(($E661=0),NOT(ISBLANK($E661)))</formula>
    </cfRule>
  </conditionalFormatting>
  <conditionalFormatting sqref="B706 B710:B714 B708 B680:B684 B686:B696">
    <cfRule type="expression" dxfId="897" priority="381">
      <formula>AND(($G680=0),NOT(ISBLANK($G680)))</formula>
    </cfRule>
  </conditionalFormatting>
  <conditionalFormatting sqref="F22:I647">
    <cfRule type="expression" dxfId="896" priority="1">
      <formula>AND(($F22=0),NOT(ISBLANK($F22)))</formula>
    </cfRule>
  </conditionalFormatting>
  <conditionalFormatting sqref="R164:S166 K113:M113 R51:Y58 R176:Y176 R201:Y208 Q167:Y175 Q177:Y200 Q59:Y163 Q209:Y620 Q15:Y50 P15:P620 O15:O24 O452:O620 O417:O445 O359:O414 O59:O70 O27:O50 O167:O175 O73:O163 O177:O200 O209:O353 N15:N620 A14:B414 A417:B647 D15:M21 D417:E647 D14:Y14 J209:M353 J177:M200 J114:M163 J167:M175 J59:M70 J27:M50 J73:M112 J359:M414 J417:M445 J452:M620 D22:E414 J22:M24 J621:Y647">
    <cfRule type="expression" dxfId="895" priority="185">
      <formula>AND(($F14=0),NOT(ISBLANK($F14)))</formula>
    </cfRule>
  </conditionalFormatting>
  <conditionalFormatting sqref="N14:N647">
    <cfRule type="dataBar" priority="193">
      <dataBar>
        <cfvo type="min"/>
        <cfvo type="max"/>
        <color rgb="FFFFB628"/>
      </dataBar>
      <extLst>
        <ext xmlns:x14="http://schemas.microsoft.com/office/spreadsheetml/2009/9/main" uri="{B025F937-C7B1-47D3-B67F-A62EFF666E3E}">
          <x14:id>{9F0E512C-5297-4D29-84D4-F4A4CB419201}</x14:id>
        </ext>
      </extLst>
    </cfRule>
  </conditionalFormatting>
  <conditionalFormatting sqref="Y14:Y163 Y167:Y647">
    <cfRule type="dataBar" priority="194">
      <dataBar>
        <cfvo type="min"/>
        <cfvo type="max"/>
        <color rgb="FFFFB628"/>
      </dataBar>
      <extLst>
        <ext xmlns:x14="http://schemas.microsoft.com/office/spreadsheetml/2009/9/main" uri="{B025F937-C7B1-47D3-B67F-A62EFF666E3E}">
          <x14:id>{9F9107BD-0B16-4757-9F11-714DBC9B378C}</x14:id>
        </ext>
      </extLst>
    </cfRule>
  </conditionalFormatting>
  <conditionalFormatting sqref="Q164:Q166">
    <cfRule type="expression" dxfId="894" priority="177">
      <formula>AND(($F164=0),NOT(ISBLANK($F164)))</formula>
    </cfRule>
  </conditionalFormatting>
  <conditionalFormatting sqref="K164:M166 O164:O166">
    <cfRule type="expression" dxfId="893" priority="161">
      <formula>AND(($F164=0),NOT(ISBLANK($F164)))</formula>
    </cfRule>
  </conditionalFormatting>
  <conditionalFormatting sqref="J25:M26 O25:O26">
    <cfRule type="expression" dxfId="892" priority="145">
      <formula>AND(($F25=0),NOT(ISBLANK($F25)))</formula>
    </cfRule>
  </conditionalFormatting>
  <conditionalFormatting sqref="J51:M58 Q51:Q58 O51:O58">
    <cfRule type="expression" dxfId="891" priority="137">
      <formula>AND(($F51=0),NOT(ISBLANK($F51)))</formula>
    </cfRule>
  </conditionalFormatting>
  <conditionalFormatting sqref="Q176">
    <cfRule type="expression" dxfId="890" priority="121">
      <formula>AND(($F176=0),NOT(ISBLANK($F176)))</formula>
    </cfRule>
  </conditionalFormatting>
  <conditionalFormatting sqref="J71:M72 O71:O72">
    <cfRule type="expression" dxfId="889" priority="129">
      <formula>AND(($F71=0),NOT(ISBLANK($F71)))</formula>
    </cfRule>
  </conditionalFormatting>
  <conditionalFormatting sqref="J176:M176 O176">
    <cfRule type="expression" dxfId="888" priority="113">
      <formula>AND(($F176=0),NOT(ISBLANK($F176)))</formula>
    </cfRule>
  </conditionalFormatting>
  <conditionalFormatting sqref="Q201:Q208">
    <cfRule type="expression" dxfId="887" priority="105">
      <formula>AND(($F201=0),NOT(ISBLANK($F201)))</formula>
    </cfRule>
  </conditionalFormatting>
  <conditionalFormatting sqref="J201:M208 O201:O208">
    <cfRule type="expression" dxfId="886" priority="97">
      <formula>AND(($F201=0),NOT(ISBLANK($F201)))</formula>
    </cfRule>
  </conditionalFormatting>
  <conditionalFormatting sqref="J354:M358 O354:O358">
    <cfRule type="expression" dxfId="885" priority="89">
      <formula>AND(($F354=0),NOT(ISBLANK($F354)))</formula>
    </cfRule>
  </conditionalFormatting>
  <conditionalFormatting sqref="A415:B416 D415:E416">
    <cfRule type="expression" dxfId="884" priority="81">
      <formula>AND(($F415=0),NOT(ISBLANK($F415)))</formula>
    </cfRule>
  </conditionalFormatting>
  <conditionalFormatting sqref="J446:M451 O446:O451">
    <cfRule type="expression" dxfId="883" priority="65">
      <formula>AND(($F446=0),NOT(ISBLANK($F446)))</formula>
    </cfRule>
  </conditionalFormatting>
  <conditionalFormatting sqref="J415:M416 O415:O416">
    <cfRule type="expression" dxfId="882" priority="73">
      <formula>AND(($F415=0),NOT(ISBLANK($F415)))</formula>
    </cfRule>
  </conditionalFormatting>
  <conditionalFormatting sqref="C167:C175 C177:C200 C59:C163 C209:C647 C14:C50">
    <cfRule type="expression" dxfId="881" priority="57">
      <formula>AND(($F14=0),NOT(ISBLANK($F14)))</formula>
    </cfRule>
  </conditionalFormatting>
  <conditionalFormatting sqref="C164:C166">
    <cfRule type="expression" dxfId="880" priority="49">
      <formula>AND(($F164=0),NOT(ISBLANK($F164)))</formula>
    </cfRule>
  </conditionalFormatting>
  <conditionalFormatting sqref="C51:C58">
    <cfRule type="expression" dxfId="879" priority="41">
      <formula>AND(($F51=0),NOT(ISBLANK($F51)))</formula>
    </cfRule>
  </conditionalFormatting>
  <conditionalFormatting sqref="C176">
    <cfRule type="expression" dxfId="878" priority="33">
      <formula>AND(($F176=0),NOT(ISBLANK($F176)))</formula>
    </cfRule>
  </conditionalFormatting>
  <conditionalFormatting sqref="C201:C208">
    <cfRule type="expression" dxfId="877" priority="25">
      <formula>AND(($F201=0),NOT(ISBLANK($F201)))</formula>
    </cfRule>
  </conditionalFormatting>
  <dataValidations count="4">
    <dataValidation allowBlank="1" showInputMessage="1" showErrorMessage="1" prompt="Total Estimated Value of All Items is automatically calculated in cell at right. Enter Inventory Date in cell I2" sqref="A649:C649" xr:uid="{B2A98E29-92AF-46BC-BFC1-36170B19FDC0}"/>
    <dataValidation allowBlank="1" showInputMessage="1" showErrorMessage="1" prompt="Title of this worksheet is in cells B1 through D1" sqref="A660" xr:uid="{80407DDB-D6DA-4EEE-A0AC-B67F1B855DFF}"/>
    <dataValidation allowBlank="1" showInputMessage="1" showErrorMessage="1" prompt="Title of this worksheet is in this cell" sqref="A11" xr:uid="{9C6DB13D-E2B4-4722-B1D4-44340AB0AC5A}"/>
    <dataValidation type="list" allowBlank="1" showInputMessage="1" showErrorMessage="1" sqref="A697:A714 A681:A685 A689:A693 A297" xr:uid="{8CA023B8-FDDD-42DB-9FA8-544F1D1B1D26}">
      <formula1>$C$6:$C$13</formula1>
    </dataValidation>
  </dataValidations>
  <pageMargins left="0.7" right="0.7" top="0.75" bottom="0.75" header="0.3" footer="0.3"/>
  <pageSetup orientation="portrait" horizontalDpi="4294967294" verticalDpi="0" r:id="rId1"/>
  <drawing r:id="rId2"/>
  <tableParts count="2">
    <tablePart r:id="rId3"/>
    <tablePart r:id="rId4"/>
  </tableParts>
  <extLst>
    <ext xmlns:x14="http://schemas.microsoft.com/office/spreadsheetml/2009/9/main" uri="{78C0D931-6437-407d-A8EE-F0AAD7539E65}">
      <x14:conditionalFormattings>
        <x14:conditionalFormatting xmlns:xm="http://schemas.microsoft.com/office/excel/2006/main">
          <x14:cfRule type="dataBar" id="{9F0E512C-5297-4D29-84D4-F4A4CB419201}">
            <x14:dataBar minLength="0" maxLength="100" border="1" negativeBarBorderColorSameAsPositive="0">
              <x14:cfvo type="autoMin"/>
              <x14:cfvo type="autoMax"/>
              <x14:borderColor rgb="FFFFB628"/>
              <x14:negativeFillColor rgb="FFFF0000"/>
              <x14:negativeBorderColor rgb="FFFF0000"/>
              <x14:axisColor rgb="FF000000"/>
            </x14:dataBar>
          </x14:cfRule>
          <xm:sqref>N14:N647</xm:sqref>
        </x14:conditionalFormatting>
        <x14:conditionalFormatting xmlns:xm="http://schemas.microsoft.com/office/excel/2006/main">
          <x14:cfRule type="dataBar" id="{9F9107BD-0B16-4757-9F11-714DBC9B378C}">
            <x14:dataBar minLength="0" maxLength="100" border="1" negativeBarBorderColorSameAsPositive="0">
              <x14:cfvo type="autoMin"/>
              <x14:cfvo type="autoMax"/>
              <x14:borderColor rgb="FFFFB628"/>
              <x14:negativeFillColor rgb="FFFF0000"/>
              <x14:negativeBorderColor rgb="FFFF0000"/>
              <x14:axisColor rgb="FF000000"/>
            </x14:dataBar>
          </x14:cfRule>
          <xm:sqref>Y14:Y163 Y167:Y647</xm:sqref>
        </x14:conditionalFormatting>
        <x14:conditionalFormatting xmlns:xm="http://schemas.microsoft.com/office/excel/2006/main">
          <x14:cfRule type="expression" priority="365" id="{8CD300D0-E39B-463E-9DB3-04805DCEA9D0}">
            <xm:f>$M661=FilterSpecs!$F$13</xm:f>
            <x14:dxf>
              <font>
                <b/>
                <i val="0"/>
                <color theme="0"/>
              </font>
              <fill>
                <patternFill>
                  <bgColor theme="9" tint="-0.499984740745262"/>
                </patternFill>
              </fill>
            </x14:dxf>
          </x14:cfRule>
          <x14:cfRule type="expression" priority="366" id="{10446EA6-BA39-4E90-B4CC-8022581844DD}">
            <xm:f>$M661=FilterSpecs!$F$12</xm:f>
            <x14:dxf>
              <font>
                <b/>
                <i val="0"/>
                <color theme="0"/>
              </font>
              <fill>
                <patternFill>
                  <bgColor rgb="FFEC6E6E"/>
                </patternFill>
              </fill>
            </x14:dxf>
          </x14:cfRule>
          <x14:cfRule type="expression" priority="367" id="{4B31E3A7-67AC-458E-946F-3F6EACE05351}">
            <xm:f>$M661=FilterSpecs!$F$11</xm:f>
            <x14:dxf>
              <font>
                <b/>
                <i val="0"/>
                <color theme="0"/>
              </font>
              <fill>
                <patternFill>
                  <bgColor rgb="FF00B050"/>
                </patternFill>
              </fill>
            </x14:dxf>
          </x14:cfRule>
          <x14:cfRule type="expression" priority="368" id="{0FAC9F15-C409-4A6F-8473-A228FECF4434}">
            <xm:f>$M661=FilterSpecs!$F$10</xm:f>
            <x14:dxf>
              <font>
                <b/>
                <i val="0"/>
                <color theme="0"/>
              </font>
              <fill>
                <patternFill>
                  <bgColor rgb="FF002060"/>
                </patternFill>
              </fill>
            </x14:dxf>
          </x14:cfRule>
          <x14:cfRule type="expression" priority="369" id="{76DFDE4F-E574-48D3-96AF-7AE56EBA0DC0}">
            <xm:f>$M661=FilterSpecs!$F$9</xm:f>
            <x14:dxf>
              <font>
                <b/>
                <i val="0"/>
                <color theme="0"/>
              </font>
              <fill>
                <patternFill>
                  <bgColor rgb="FFFF0000"/>
                </patternFill>
              </fill>
            </x14:dxf>
          </x14:cfRule>
          <x14:cfRule type="expression" priority="370" id="{4B016C1A-44A0-414E-AEAA-684B337DAEB6}">
            <xm:f>$M661=FilterSpecs!$F$8</xm:f>
            <x14:dxf>
              <font>
                <b/>
                <i val="0"/>
                <color theme="0"/>
              </font>
              <fill>
                <patternFill>
                  <bgColor rgb="FFFFC000"/>
                </patternFill>
              </fill>
            </x14:dxf>
          </x14:cfRule>
          <x14:cfRule type="expression" priority="371" id="{9D591E58-AE0A-4337-86B9-9FF6EF148869}">
            <xm:f>$M661=FilterSpecs!$F$6</xm:f>
            <x14:dxf>
              <font>
                <b val="0"/>
                <i val="0"/>
              </font>
              <fill>
                <patternFill patternType="none">
                  <bgColor auto="1"/>
                </patternFill>
              </fill>
            </x14:dxf>
          </x14:cfRule>
          <x14:cfRule type="expression" priority="372" id="{D9F4BCC3-D150-4BC6-BCD9-C31FD70A15F8}">
            <xm:f>$M661=FilterSpecs!$F$7</xm:f>
            <x14:dxf>
              <font>
                <b/>
                <i val="0"/>
                <color theme="0"/>
              </font>
              <fill>
                <patternFill>
                  <bgColor rgb="FF00B0F0"/>
                </patternFill>
              </fill>
            </x14:dxf>
          </x14:cfRule>
          <xm:sqref>G661:S675 D661:E675</xm:sqref>
        </x14:conditionalFormatting>
        <x14:conditionalFormatting xmlns:xm="http://schemas.microsoft.com/office/excel/2006/main">
          <x14:cfRule type="expression" priority="349" id="{1729464E-CCFC-4679-B0F2-1D9377623893}">
            <xm:f>$M661=FilterSpecs!$F$13</xm:f>
            <x14:dxf>
              <font>
                <b/>
                <i val="0"/>
                <color theme="0"/>
              </font>
              <fill>
                <patternFill>
                  <bgColor theme="9" tint="-0.499984740745262"/>
                </patternFill>
              </fill>
            </x14:dxf>
          </x14:cfRule>
          <x14:cfRule type="expression" priority="350" id="{707E2E22-C950-4AAE-B7AE-014A015CE350}">
            <xm:f>$M661=FilterSpecs!$F$12</xm:f>
            <x14:dxf>
              <font>
                <b/>
                <i val="0"/>
                <color theme="0"/>
              </font>
              <fill>
                <patternFill>
                  <bgColor rgb="FFEC6E6E"/>
                </patternFill>
              </fill>
            </x14:dxf>
          </x14:cfRule>
          <x14:cfRule type="expression" priority="351" id="{ADC94625-477C-4E51-BDF0-B40BF9003E06}">
            <xm:f>$M661=FilterSpecs!$F$11</xm:f>
            <x14:dxf>
              <font>
                <b/>
                <i val="0"/>
                <color theme="0"/>
              </font>
              <fill>
                <patternFill>
                  <bgColor rgb="FF00B050"/>
                </patternFill>
              </fill>
            </x14:dxf>
          </x14:cfRule>
          <x14:cfRule type="expression" priority="352" id="{095F8826-1178-49D6-AD18-844CD675B30D}">
            <xm:f>$M661=FilterSpecs!$F$10</xm:f>
            <x14:dxf>
              <font>
                <b/>
                <i val="0"/>
                <color theme="0"/>
              </font>
              <fill>
                <patternFill>
                  <bgColor rgb="FF002060"/>
                </patternFill>
              </fill>
            </x14:dxf>
          </x14:cfRule>
          <x14:cfRule type="expression" priority="353" id="{F8126693-DF2A-4548-A2E0-2F49B872C361}">
            <xm:f>$M661=FilterSpecs!$F$9</xm:f>
            <x14:dxf>
              <font>
                <b/>
                <i val="0"/>
                <color theme="0"/>
              </font>
              <fill>
                <patternFill>
                  <bgColor rgb="FFFF0000"/>
                </patternFill>
              </fill>
            </x14:dxf>
          </x14:cfRule>
          <x14:cfRule type="expression" priority="354" id="{1B9C122A-0812-49A2-97BB-A20697D8A0FF}">
            <xm:f>$M661=FilterSpecs!$F$8</xm:f>
            <x14:dxf>
              <font>
                <b/>
                <i val="0"/>
                <color theme="0"/>
              </font>
              <fill>
                <patternFill>
                  <bgColor rgb="FFFFC000"/>
                </patternFill>
              </fill>
            </x14:dxf>
          </x14:cfRule>
          <x14:cfRule type="expression" priority="355" id="{3CCC6B29-8417-4D1A-99F0-13E0D6A4A698}">
            <xm:f>$M661=FilterSpecs!$F$6</xm:f>
            <x14:dxf>
              <font>
                <b val="0"/>
                <i val="0"/>
              </font>
              <fill>
                <patternFill patternType="none">
                  <bgColor auto="1"/>
                </patternFill>
              </fill>
            </x14:dxf>
          </x14:cfRule>
          <x14:cfRule type="expression" priority="356" id="{0B75CAB3-476B-48A2-87D0-22E04C5E0D72}">
            <xm:f>$M661=FilterSpecs!$F$7</xm:f>
            <x14:dxf>
              <font>
                <b/>
                <i val="0"/>
                <color theme="0"/>
              </font>
              <fill>
                <patternFill>
                  <bgColor rgb="FF00B0F0"/>
                </patternFill>
              </fill>
            </x14:dxf>
          </x14:cfRule>
          <xm:sqref>F661:F675</xm:sqref>
        </x14:conditionalFormatting>
        <x14:conditionalFormatting xmlns:xm="http://schemas.microsoft.com/office/excel/2006/main">
          <x14:cfRule type="expression" priority="373" id="{16CFA45E-617D-4276-801C-B784D239ED5A}">
            <xm:f>$M661=FilterSpecs!$F$13</xm:f>
            <x14:dxf>
              <font>
                <b/>
                <i val="0"/>
                <color theme="0"/>
              </font>
              <fill>
                <patternFill>
                  <bgColor theme="9" tint="-0.499984740745262"/>
                </patternFill>
              </fill>
            </x14:dxf>
          </x14:cfRule>
          <x14:cfRule type="expression" priority="374" id="{59A1744B-725A-4B3A-A389-E50CAB294D5B}">
            <xm:f>$M661=FilterSpecs!$F$12</xm:f>
            <x14:dxf>
              <font>
                <b/>
                <i val="0"/>
                <color theme="0"/>
              </font>
              <fill>
                <patternFill>
                  <bgColor rgb="FFEC6E6E"/>
                </patternFill>
              </fill>
            </x14:dxf>
          </x14:cfRule>
          <x14:cfRule type="expression" priority="375" id="{9F555104-FE9E-4B71-A792-61BDD09F77C3}">
            <xm:f>$M661=FilterSpecs!$F$11</xm:f>
            <x14:dxf>
              <font>
                <b/>
                <i val="0"/>
                <color theme="0"/>
              </font>
              <fill>
                <patternFill>
                  <bgColor rgb="FF00B050"/>
                </patternFill>
              </fill>
            </x14:dxf>
          </x14:cfRule>
          <x14:cfRule type="expression" priority="376" id="{1C463F7C-6AA5-480A-BB27-B35B60A0AC7E}">
            <xm:f>$M661=FilterSpecs!$F$10</xm:f>
            <x14:dxf>
              <font>
                <b/>
                <i val="0"/>
                <color theme="0"/>
              </font>
              <fill>
                <patternFill>
                  <bgColor rgb="FF002060"/>
                </patternFill>
              </fill>
            </x14:dxf>
          </x14:cfRule>
          <x14:cfRule type="expression" priority="377" id="{73C70CB8-AD7B-472C-B94C-3EA2D4D886E1}">
            <xm:f>$M661=FilterSpecs!$F$9</xm:f>
            <x14:dxf>
              <font>
                <b/>
                <i val="0"/>
                <color theme="0"/>
              </font>
              <fill>
                <patternFill>
                  <bgColor rgb="FFFF0000"/>
                </patternFill>
              </fill>
            </x14:dxf>
          </x14:cfRule>
          <x14:cfRule type="expression" priority="378" id="{029F2DEC-1BF9-4871-9FAF-9FE42A398A93}">
            <xm:f>$M661=FilterSpecs!$F$8</xm:f>
            <x14:dxf>
              <font>
                <b/>
                <i val="0"/>
                <color theme="0"/>
              </font>
              <fill>
                <patternFill>
                  <bgColor rgb="FFFFC000"/>
                </patternFill>
              </fill>
            </x14:dxf>
          </x14:cfRule>
          <x14:cfRule type="expression" priority="379" id="{A264818A-0F44-452E-8B7A-E561FC3AFCD6}">
            <xm:f>$M661=FilterSpecs!$F$6</xm:f>
            <x14:dxf>
              <font>
                <b val="0"/>
                <i val="0"/>
              </font>
              <fill>
                <patternFill patternType="none">
                  <bgColor auto="1"/>
                </patternFill>
              </fill>
            </x14:dxf>
          </x14:cfRule>
          <x14:cfRule type="expression" priority="380" id="{6919D40D-F9C0-470F-BBEF-ACA9C8C3DE81}">
            <xm:f>$M661=FilterSpecs!$F$7</xm:f>
            <x14:dxf>
              <font>
                <b/>
                <i val="0"/>
                <color theme="0"/>
              </font>
              <fill>
                <patternFill>
                  <bgColor rgb="FF00B0F0"/>
                </patternFill>
              </fill>
            </x14:dxf>
          </x14:cfRule>
          <xm:sqref>A661:C675</xm:sqref>
        </x14:conditionalFormatting>
        <x14:conditionalFormatting xmlns:xm="http://schemas.microsoft.com/office/excel/2006/main">
          <x14:cfRule type="expression" priority="341" id="{B0F0449B-A6D8-4750-8ABC-3DBE2D50082E}">
            <xm:f>#REF!=FilterSpecs!$F$13</xm:f>
            <x14:dxf>
              <font>
                <b/>
                <i val="0"/>
                <color theme="0"/>
              </font>
              <fill>
                <patternFill>
                  <bgColor theme="9" tint="-0.499984740745262"/>
                </patternFill>
              </fill>
            </x14:dxf>
          </x14:cfRule>
          <x14:cfRule type="expression" priority="342" id="{B867CBEF-0613-4911-9F1F-0EB43F87B1A9}">
            <xm:f>#REF!=FilterSpecs!$F$11</xm:f>
            <x14:dxf>
              <font>
                <b/>
                <i val="0"/>
                <color theme="0"/>
              </font>
              <fill>
                <patternFill>
                  <bgColor rgb="FF00B050"/>
                </patternFill>
              </fill>
            </x14:dxf>
          </x14:cfRule>
          <x14:cfRule type="expression" priority="343" id="{1F54A95B-E0D6-4EAF-BA8C-DC579B5C79CA}">
            <xm:f>#REF!=FilterSpecs!$F$10</xm:f>
            <x14:dxf>
              <font>
                <b/>
                <i val="0"/>
                <color theme="0"/>
              </font>
              <fill>
                <patternFill>
                  <bgColor rgb="FF002060"/>
                </patternFill>
              </fill>
            </x14:dxf>
          </x14:cfRule>
          <x14:cfRule type="expression" priority="344" id="{6746CC1E-B34D-4CCF-8DF0-96F5AA75CEFF}">
            <xm:f>#REF!=FilterSpecs!$F$9</xm:f>
            <x14:dxf>
              <font>
                <b/>
                <i val="0"/>
                <color theme="0"/>
              </font>
              <fill>
                <patternFill>
                  <bgColor rgb="FFFF0000"/>
                </patternFill>
              </fill>
            </x14:dxf>
          </x14:cfRule>
          <x14:cfRule type="expression" priority="345" id="{85230363-548C-41E8-B1CF-10C505A20B7D}">
            <xm:f>#REF!=FilterSpecs!$F$8</xm:f>
            <x14:dxf>
              <font>
                <b/>
                <i val="0"/>
                <color theme="0"/>
              </font>
              <fill>
                <patternFill>
                  <bgColor rgb="FFFFC000"/>
                </patternFill>
              </fill>
            </x14:dxf>
          </x14:cfRule>
          <x14:cfRule type="expression" priority="346" id="{3E933A3F-BCBA-44B9-A70E-1940F3FD8C03}">
            <xm:f>#REF!=FilterSpecs!$F$6</xm:f>
            <x14:dxf>
              <font>
                <b val="0"/>
                <i val="0"/>
              </font>
              <fill>
                <patternFill patternType="none">
                  <bgColor auto="1"/>
                </patternFill>
              </fill>
            </x14:dxf>
          </x14:cfRule>
          <x14:cfRule type="expression" priority="347" id="{707E9383-439C-44A9-BC7A-A2301107730E}">
            <xm:f>#REF!=FilterSpecs!$F$7</xm:f>
            <x14:dxf>
              <font>
                <b/>
                <i val="0"/>
                <color theme="0"/>
              </font>
              <fill>
                <patternFill>
                  <bgColor rgb="FF00B0F0"/>
                </patternFill>
              </fill>
            </x14:dxf>
          </x14:cfRule>
          <xm:sqref>B706 B710:B714 B708 B680:B684 B686:B696</xm:sqref>
        </x14:conditionalFormatting>
        <x14:conditionalFormatting xmlns:xm="http://schemas.microsoft.com/office/excel/2006/main">
          <x14:cfRule type="expression" priority="2" id="{33902B93-3143-4B2B-B02D-D347A923546C}">
            <xm:f>$L22=FilterSpecs!$F$13</xm:f>
            <x14:dxf>
              <font>
                <b/>
                <i val="0"/>
                <color theme="0"/>
              </font>
              <fill>
                <patternFill>
                  <bgColor theme="9" tint="-0.499984740745262"/>
                </patternFill>
              </fill>
            </x14:dxf>
          </x14:cfRule>
          <x14:cfRule type="expression" priority="3" id="{55C6C0E7-44C8-41A2-87A0-2F8E086A7909}">
            <xm:f>$L22=FilterSpecs!$F$11</xm:f>
            <x14:dxf>
              <font>
                <b/>
                <i val="0"/>
                <color theme="0"/>
              </font>
              <fill>
                <patternFill>
                  <bgColor rgb="FF00B050"/>
                </patternFill>
              </fill>
            </x14:dxf>
          </x14:cfRule>
          <x14:cfRule type="expression" priority="4" id="{432947C8-698A-4471-B1C3-E4D7261421B8}">
            <xm:f>$L22=FilterSpecs!$F$10</xm:f>
            <x14:dxf>
              <font>
                <b/>
                <i val="0"/>
                <color theme="0"/>
              </font>
              <fill>
                <patternFill>
                  <bgColor rgb="FF002060"/>
                </patternFill>
              </fill>
            </x14:dxf>
          </x14:cfRule>
          <x14:cfRule type="expression" priority="5" id="{FBFB6DF4-682B-4EA5-B319-AAD750774D9D}">
            <xm:f>$L22=FilterSpecs!$F$9</xm:f>
            <x14:dxf>
              <font>
                <b/>
                <i val="0"/>
                <color theme="0"/>
              </font>
              <fill>
                <patternFill>
                  <bgColor rgb="FFFF0000"/>
                </patternFill>
              </fill>
            </x14:dxf>
          </x14:cfRule>
          <x14:cfRule type="expression" priority="6" id="{7C3ACC6B-BFC9-4478-A6D7-1C96CD41D08E}">
            <xm:f>$L22=FilterSpecs!$F$8</xm:f>
            <x14:dxf>
              <font>
                <b/>
                <i val="0"/>
                <color theme="0"/>
              </font>
              <fill>
                <patternFill>
                  <bgColor rgb="FFFFC000"/>
                </patternFill>
              </fill>
            </x14:dxf>
          </x14:cfRule>
          <x14:cfRule type="expression" priority="7" id="{35709D6A-33E0-4241-A650-2D3E3C72461C}">
            <xm:f>$L22=FilterSpecs!$F$6</xm:f>
            <x14:dxf>
              <font>
                <b val="0"/>
                <i val="0"/>
              </font>
              <fill>
                <patternFill patternType="none">
                  <bgColor auto="1"/>
                </patternFill>
              </fill>
            </x14:dxf>
          </x14:cfRule>
          <x14:cfRule type="expression" priority="8" id="{95F9B6DE-248E-4B55-9A52-B498FC4F0F74}">
            <xm:f>$L22=FilterSpecs!$F$7</xm:f>
            <x14:dxf>
              <font>
                <b/>
                <i val="0"/>
                <color theme="0"/>
              </font>
              <fill>
                <patternFill>
                  <bgColor rgb="FF00B0F0"/>
                </patternFill>
              </fill>
            </x14:dxf>
          </x14:cfRule>
          <xm:sqref>F22:I647</xm:sqref>
        </x14:conditionalFormatting>
        <x14:conditionalFormatting xmlns:xm="http://schemas.microsoft.com/office/excel/2006/main">
          <x14:cfRule type="expression" priority="186" id="{79B73E94-7E74-4823-8380-97FA31C2AEC8}">
            <xm:f>$L14=FilterSpecs!$F$13</xm:f>
            <x14:dxf>
              <font>
                <b/>
                <i val="0"/>
                <color theme="0"/>
              </font>
              <fill>
                <patternFill>
                  <bgColor theme="9" tint="-0.499984740745262"/>
                </patternFill>
              </fill>
            </x14:dxf>
          </x14:cfRule>
          <x14:cfRule type="expression" priority="187" id="{E50F0196-9346-41DB-93D9-B515CB509EF8}">
            <xm:f>$L14=FilterSpecs!$F$11</xm:f>
            <x14:dxf>
              <font>
                <b/>
                <i val="0"/>
                <color theme="0"/>
              </font>
              <fill>
                <patternFill>
                  <bgColor rgb="FF00B050"/>
                </patternFill>
              </fill>
            </x14:dxf>
          </x14:cfRule>
          <x14:cfRule type="expression" priority="188" id="{2160260C-DC86-4420-969E-D45AED1AB1C7}">
            <xm:f>$L14=FilterSpecs!$F$10</xm:f>
            <x14:dxf>
              <font>
                <b/>
                <i val="0"/>
                <color theme="0"/>
              </font>
              <fill>
                <patternFill>
                  <bgColor rgb="FF002060"/>
                </patternFill>
              </fill>
            </x14:dxf>
          </x14:cfRule>
          <x14:cfRule type="expression" priority="189" id="{8D2AD619-92B1-4EAC-BD27-C9BA1E07F1E8}">
            <xm:f>$L14=FilterSpecs!$F$9</xm:f>
            <x14:dxf>
              <font>
                <b/>
                <i val="0"/>
                <color theme="0"/>
              </font>
              <fill>
                <patternFill>
                  <bgColor rgb="FFFF0000"/>
                </patternFill>
              </fill>
            </x14:dxf>
          </x14:cfRule>
          <x14:cfRule type="expression" priority="190" id="{3E1FE0EE-97A0-46D6-9A73-D1A989389717}">
            <xm:f>$L14=FilterSpecs!$F$8</xm:f>
            <x14:dxf>
              <font>
                <b/>
                <i val="0"/>
                <color theme="0"/>
              </font>
              <fill>
                <patternFill>
                  <bgColor rgb="FFFFC000"/>
                </patternFill>
              </fill>
            </x14:dxf>
          </x14:cfRule>
          <x14:cfRule type="expression" priority="191" id="{43FAC70D-6E2C-4719-B2B6-827C273EDADF}">
            <xm:f>$L14=FilterSpecs!$F$6</xm:f>
            <x14:dxf>
              <font>
                <b val="0"/>
                <i val="0"/>
              </font>
              <fill>
                <patternFill patternType="none">
                  <bgColor auto="1"/>
                </patternFill>
              </fill>
            </x14:dxf>
          </x14:cfRule>
          <x14:cfRule type="expression" priority="192" id="{7F157024-3518-4B87-9840-2CCBD0AE283D}">
            <xm:f>$L14=FilterSpecs!$F$7</xm:f>
            <x14:dxf>
              <font>
                <b/>
                <i val="0"/>
                <color theme="0"/>
              </font>
              <fill>
                <patternFill>
                  <bgColor rgb="FF00B0F0"/>
                </patternFill>
              </fill>
            </x14:dxf>
          </x14:cfRule>
          <xm:sqref>R164:S166 K113:M113 R51:Y58 R176:Y176 R201:Y208 Q167:Y175 Q177:Y200 Q59:Y163 Q209:Y620 Q15:Y50 P15:P620 O15:O24 O452:O620 O417:O445 O359:O414 O59:O70 O27:O50 O167:O175 O73:O163 O177:O200 O209:O353 N15:N620 A14:B414 A417:B647 D15:M21 D417:E647 D14:Y14 J209:M353 J177:M200 J114:M163 J167:M175 J59:M70 J27:M50 J73:M112 J359:M414 J417:M445 J452:M620 D22:E414 J22:M24 J621:Y647</xm:sqref>
        </x14:conditionalFormatting>
        <x14:conditionalFormatting xmlns:xm="http://schemas.microsoft.com/office/excel/2006/main">
          <x14:cfRule type="expression" priority="178" id="{DA5ECA1A-6D5D-4222-93B6-C402B2AFC8EB}">
            <xm:f>$L164=FilterSpecs!$F$13</xm:f>
            <x14:dxf>
              <font>
                <b/>
                <i val="0"/>
                <color theme="0"/>
              </font>
              <fill>
                <patternFill>
                  <bgColor theme="9" tint="-0.499984740745262"/>
                </patternFill>
              </fill>
            </x14:dxf>
          </x14:cfRule>
          <x14:cfRule type="expression" priority="179" id="{154D2126-BC4C-4FC4-BFFB-1A1BBAD95622}">
            <xm:f>$L164=FilterSpecs!$F$11</xm:f>
            <x14:dxf>
              <font>
                <b/>
                <i val="0"/>
                <color theme="0"/>
              </font>
              <fill>
                <patternFill>
                  <bgColor rgb="FF00B050"/>
                </patternFill>
              </fill>
            </x14:dxf>
          </x14:cfRule>
          <x14:cfRule type="expression" priority="180" id="{67AD72F2-65CA-4841-B0C6-5C39CE3A313E}">
            <xm:f>$L164=FilterSpecs!$F$10</xm:f>
            <x14:dxf>
              <font>
                <b/>
                <i val="0"/>
                <color theme="0"/>
              </font>
              <fill>
                <patternFill>
                  <bgColor rgb="FF002060"/>
                </patternFill>
              </fill>
            </x14:dxf>
          </x14:cfRule>
          <x14:cfRule type="expression" priority="181" id="{EC5D975C-36FE-4712-BBDB-220DBE54A636}">
            <xm:f>$L164=FilterSpecs!$F$9</xm:f>
            <x14:dxf>
              <font>
                <b/>
                <i val="0"/>
                <color theme="0"/>
              </font>
              <fill>
                <patternFill>
                  <bgColor rgb="FFFF0000"/>
                </patternFill>
              </fill>
            </x14:dxf>
          </x14:cfRule>
          <x14:cfRule type="expression" priority="182" id="{05C360A2-3AE1-4969-B7B8-E165EB74E9E1}">
            <xm:f>$L164=FilterSpecs!$F$8</xm:f>
            <x14:dxf>
              <font>
                <b/>
                <i val="0"/>
                <color theme="0"/>
              </font>
              <fill>
                <patternFill>
                  <bgColor rgb="FFFFC000"/>
                </patternFill>
              </fill>
            </x14:dxf>
          </x14:cfRule>
          <x14:cfRule type="expression" priority="183" id="{AB2094A5-2FA6-441E-83BD-C28CACC5BFDF}">
            <xm:f>$L164=FilterSpecs!$F$6</xm:f>
            <x14:dxf>
              <font>
                <b val="0"/>
                <i val="0"/>
              </font>
              <fill>
                <patternFill patternType="none">
                  <bgColor auto="1"/>
                </patternFill>
              </fill>
            </x14:dxf>
          </x14:cfRule>
          <x14:cfRule type="expression" priority="184" id="{AA2EED00-E25F-4878-A477-92F9382C5B51}">
            <xm:f>$L164=FilterSpecs!$F$7</xm:f>
            <x14:dxf>
              <font>
                <b/>
                <i val="0"/>
                <color theme="0"/>
              </font>
              <fill>
                <patternFill>
                  <bgColor rgb="FF00B0F0"/>
                </patternFill>
              </fill>
            </x14:dxf>
          </x14:cfRule>
          <xm:sqref>Q164:Q166</xm:sqref>
        </x14:conditionalFormatting>
        <x14:conditionalFormatting xmlns:xm="http://schemas.microsoft.com/office/excel/2006/main">
          <x14:cfRule type="expression" priority="162" id="{908F2AF7-D6A5-463F-9365-6D61BFA72F96}">
            <xm:f>$L164=FilterSpecs!$F$13</xm:f>
            <x14:dxf>
              <font>
                <b/>
                <i val="0"/>
                <color theme="0"/>
              </font>
              <fill>
                <patternFill>
                  <bgColor theme="9" tint="-0.499984740745262"/>
                </patternFill>
              </fill>
            </x14:dxf>
          </x14:cfRule>
          <x14:cfRule type="expression" priority="163" id="{8109AD89-BFC5-43E7-9DBD-60970CBF11FE}">
            <xm:f>$L164=FilterSpecs!$F$11</xm:f>
            <x14:dxf>
              <font>
                <b/>
                <i val="0"/>
                <color theme="0"/>
              </font>
              <fill>
                <patternFill>
                  <bgColor rgb="FF00B050"/>
                </patternFill>
              </fill>
            </x14:dxf>
          </x14:cfRule>
          <x14:cfRule type="expression" priority="164" id="{BEE81B06-9FA4-4A74-AC3A-A7138EBA91B1}">
            <xm:f>$L164=FilterSpecs!$F$10</xm:f>
            <x14:dxf>
              <font>
                <b/>
                <i val="0"/>
                <color theme="0"/>
              </font>
              <fill>
                <patternFill>
                  <bgColor rgb="FF002060"/>
                </patternFill>
              </fill>
            </x14:dxf>
          </x14:cfRule>
          <x14:cfRule type="expression" priority="165" id="{2B002D6D-468B-458E-8B40-E96463DAEC44}">
            <xm:f>$L164=FilterSpecs!$F$9</xm:f>
            <x14:dxf>
              <font>
                <b/>
                <i val="0"/>
                <color theme="0"/>
              </font>
              <fill>
                <patternFill>
                  <bgColor rgb="FFFF0000"/>
                </patternFill>
              </fill>
            </x14:dxf>
          </x14:cfRule>
          <x14:cfRule type="expression" priority="166" id="{7B7B7211-F976-486A-8E57-5A90F99A4C29}">
            <xm:f>$L164=FilterSpecs!$F$8</xm:f>
            <x14:dxf>
              <font>
                <b/>
                <i val="0"/>
                <color theme="0"/>
              </font>
              <fill>
                <patternFill>
                  <bgColor rgb="FFFFC000"/>
                </patternFill>
              </fill>
            </x14:dxf>
          </x14:cfRule>
          <x14:cfRule type="expression" priority="167" id="{B45D4D6B-4442-4A28-BAFD-419EB142D3D4}">
            <xm:f>$L164=FilterSpecs!$F$6</xm:f>
            <x14:dxf>
              <font>
                <b val="0"/>
                <i val="0"/>
              </font>
              <fill>
                <patternFill patternType="none">
                  <bgColor auto="1"/>
                </patternFill>
              </fill>
            </x14:dxf>
          </x14:cfRule>
          <x14:cfRule type="expression" priority="168" id="{03A7E93B-9AD9-4942-BC79-0D5EABC5A231}">
            <xm:f>$L164=FilterSpecs!$F$7</xm:f>
            <x14:dxf>
              <font>
                <b/>
                <i val="0"/>
                <color theme="0"/>
              </font>
              <fill>
                <patternFill>
                  <bgColor rgb="FF00B0F0"/>
                </patternFill>
              </fill>
            </x14:dxf>
          </x14:cfRule>
          <xm:sqref>K164:M166 O164:O166</xm:sqref>
        </x14:conditionalFormatting>
        <x14:conditionalFormatting xmlns:xm="http://schemas.microsoft.com/office/excel/2006/main">
          <x14:cfRule type="expression" priority="146" id="{01376E74-59CC-4AB1-9427-CBC916FDBBFB}">
            <xm:f>$L25=FilterSpecs!$F$13</xm:f>
            <x14:dxf>
              <font>
                <b/>
                <i val="0"/>
                <color theme="0"/>
              </font>
              <fill>
                <patternFill>
                  <bgColor theme="9" tint="-0.499984740745262"/>
                </patternFill>
              </fill>
            </x14:dxf>
          </x14:cfRule>
          <x14:cfRule type="expression" priority="147" id="{7BC7F54B-DEFD-45F7-9C91-4195634637D4}">
            <xm:f>$L25=FilterSpecs!$F$11</xm:f>
            <x14:dxf>
              <font>
                <b/>
                <i val="0"/>
                <color theme="0"/>
              </font>
              <fill>
                <patternFill>
                  <bgColor rgb="FF00B050"/>
                </patternFill>
              </fill>
            </x14:dxf>
          </x14:cfRule>
          <x14:cfRule type="expression" priority="148" id="{0DA27D34-3639-4EF8-B151-D274D9A4036F}">
            <xm:f>$L25=FilterSpecs!$F$10</xm:f>
            <x14:dxf>
              <font>
                <b/>
                <i val="0"/>
                <color theme="0"/>
              </font>
              <fill>
                <patternFill>
                  <bgColor rgb="FF002060"/>
                </patternFill>
              </fill>
            </x14:dxf>
          </x14:cfRule>
          <x14:cfRule type="expression" priority="149" id="{CEAC8911-BB8D-46F4-90E2-68E60BEEB757}">
            <xm:f>$L25=FilterSpecs!$F$9</xm:f>
            <x14:dxf>
              <font>
                <b/>
                <i val="0"/>
                <color theme="0"/>
              </font>
              <fill>
                <patternFill>
                  <bgColor rgb="FFFF0000"/>
                </patternFill>
              </fill>
            </x14:dxf>
          </x14:cfRule>
          <x14:cfRule type="expression" priority="150" id="{429C1263-A179-4F2C-A927-0C10EE2847C2}">
            <xm:f>$L25=FilterSpecs!$F$8</xm:f>
            <x14:dxf>
              <font>
                <b/>
                <i val="0"/>
                <color theme="0"/>
              </font>
              <fill>
                <patternFill>
                  <bgColor rgb="FFFFC000"/>
                </patternFill>
              </fill>
            </x14:dxf>
          </x14:cfRule>
          <x14:cfRule type="expression" priority="151" id="{A672678B-1582-4227-B183-F4A5B9AB03B2}">
            <xm:f>$L25=FilterSpecs!$F$6</xm:f>
            <x14:dxf>
              <font>
                <b val="0"/>
                <i val="0"/>
              </font>
              <fill>
                <patternFill patternType="none">
                  <bgColor auto="1"/>
                </patternFill>
              </fill>
            </x14:dxf>
          </x14:cfRule>
          <x14:cfRule type="expression" priority="152" id="{EEC86821-2FE8-4662-9238-E719AC3142FD}">
            <xm:f>$L25=FilterSpecs!$F$7</xm:f>
            <x14:dxf>
              <font>
                <b/>
                <i val="0"/>
                <color theme="0"/>
              </font>
              <fill>
                <patternFill>
                  <bgColor rgb="FF00B0F0"/>
                </patternFill>
              </fill>
            </x14:dxf>
          </x14:cfRule>
          <xm:sqref>J25:M26 O25:O26</xm:sqref>
        </x14:conditionalFormatting>
        <x14:conditionalFormatting xmlns:xm="http://schemas.microsoft.com/office/excel/2006/main">
          <x14:cfRule type="expression" priority="138" id="{7EE348E4-26C4-483F-AF7E-526A40FA17FB}">
            <xm:f>$L51=FilterSpecs!$F$13</xm:f>
            <x14:dxf>
              <font>
                <b/>
                <i val="0"/>
                <color theme="0"/>
              </font>
              <fill>
                <patternFill>
                  <bgColor theme="9" tint="-0.499984740745262"/>
                </patternFill>
              </fill>
            </x14:dxf>
          </x14:cfRule>
          <x14:cfRule type="expression" priority="139" id="{5FFF812F-0F12-473B-90B1-1E000A0AC3FA}">
            <xm:f>$L51=FilterSpecs!$F$11</xm:f>
            <x14:dxf>
              <font>
                <b/>
                <i val="0"/>
                <color theme="0"/>
              </font>
              <fill>
                <patternFill>
                  <bgColor rgb="FF00B050"/>
                </patternFill>
              </fill>
            </x14:dxf>
          </x14:cfRule>
          <x14:cfRule type="expression" priority="140" id="{3B1678A3-103D-450B-9B5C-235B76D87107}">
            <xm:f>$L51=FilterSpecs!$F$10</xm:f>
            <x14:dxf>
              <font>
                <b/>
                <i val="0"/>
                <color theme="0"/>
              </font>
              <fill>
                <patternFill>
                  <bgColor rgb="FF002060"/>
                </patternFill>
              </fill>
            </x14:dxf>
          </x14:cfRule>
          <x14:cfRule type="expression" priority="141" id="{402B9D4A-4CDC-4B8A-A3DB-660BFDEE3A83}">
            <xm:f>$L51=FilterSpecs!$F$9</xm:f>
            <x14:dxf>
              <font>
                <b/>
                <i val="0"/>
                <color theme="0"/>
              </font>
              <fill>
                <patternFill>
                  <bgColor rgb="FFFF0000"/>
                </patternFill>
              </fill>
            </x14:dxf>
          </x14:cfRule>
          <x14:cfRule type="expression" priority="142" id="{BF4087CE-AB2D-4364-A220-947FDCDD00BD}">
            <xm:f>$L51=FilterSpecs!$F$8</xm:f>
            <x14:dxf>
              <font>
                <b/>
                <i val="0"/>
                <color theme="0"/>
              </font>
              <fill>
                <patternFill>
                  <bgColor rgb="FFFFC000"/>
                </patternFill>
              </fill>
            </x14:dxf>
          </x14:cfRule>
          <x14:cfRule type="expression" priority="143" id="{FE8A3B91-164D-4565-9887-80D3352ED49E}">
            <xm:f>$L51=FilterSpecs!$F$6</xm:f>
            <x14:dxf>
              <font>
                <b val="0"/>
                <i val="0"/>
              </font>
              <fill>
                <patternFill patternType="none">
                  <bgColor auto="1"/>
                </patternFill>
              </fill>
            </x14:dxf>
          </x14:cfRule>
          <x14:cfRule type="expression" priority="144" id="{7EA5F8F8-D0B5-4A4E-AB79-68FFA4B9EE59}">
            <xm:f>$L51=FilterSpecs!$F$7</xm:f>
            <x14:dxf>
              <font>
                <b/>
                <i val="0"/>
                <color theme="0"/>
              </font>
              <fill>
                <patternFill>
                  <bgColor rgb="FF00B0F0"/>
                </patternFill>
              </fill>
            </x14:dxf>
          </x14:cfRule>
          <xm:sqref>J51:M58 Q51:Q58 O51:O58</xm:sqref>
        </x14:conditionalFormatting>
        <x14:conditionalFormatting xmlns:xm="http://schemas.microsoft.com/office/excel/2006/main">
          <x14:cfRule type="expression" priority="130" id="{0EB82F3C-8277-457A-AA1A-B70277720644}">
            <xm:f>$L71=FilterSpecs!$F$13</xm:f>
            <x14:dxf>
              <font>
                <b/>
                <i val="0"/>
                <color theme="0"/>
              </font>
              <fill>
                <patternFill>
                  <bgColor theme="9" tint="-0.499984740745262"/>
                </patternFill>
              </fill>
            </x14:dxf>
          </x14:cfRule>
          <x14:cfRule type="expression" priority="131" id="{326CABB0-9C42-4926-8DAA-875CF873101F}">
            <xm:f>$L71=FilterSpecs!$F$11</xm:f>
            <x14:dxf>
              <font>
                <b/>
                <i val="0"/>
                <color theme="0"/>
              </font>
              <fill>
                <patternFill>
                  <bgColor rgb="FF00B050"/>
                </patternFill>
              </fill>
            </x14:dxf>
          </x14:cfRule>
          <x14:cfRule type="expression" priority="132" id="{0E1BE59B-1A40-4E92-9551-AB8743A2F15C}">
            <xm:f>$L71=FilterSpecs!$F$10</xm:f>
            <x14:dxf>
              <font>
                <b/>
                <i val="0"/>
                <color theme="0"/>
              </font>
              <fill>
                <patternFill>
                  <bgColor rgb="FF002060"/>
                </patternFill>
              </fill>
            </x14:dxf>
          </x14:cfRule>
          <x14:cfRule type="expression" priority="133" id="{22CA88E4-096F-4473-A0B3-294EE8CA96AA}">
            <xm:f>$L71=FilterSpecs!$F$9</xm:f>
            <x14:dxf>
              <font>
                <b/>
                <i val="0"/>
                <color theme="0"/>
              </font>
              <fill>
                <patternFill>
                  <bgColor rgb="FFFF0000"/>
                </patternFill>
              </fill>
            </x14:dxf>
          </x14:cfRule>
          <x14:cfRule type="expression" priority="134" id="{50E22E48-B63A-49E4-B509-8E207392B286}">
            <xm:f>$L71=FilterSpecs!$F$8</xm:f>
            <x14:dxf>
              <font>
                <b/>
                <i val="0"/>
                <color theme="0"/>
              </font>
              <fill>
                <patternFill>
                  <bgColor rgb="FFFFC000"/>
                </patternFill>
              </fill>
            </x14:dxf>
          </x14:cfRule>
          <x14:cfRule type="expression" priority="135" id="{D5D7B0BE-B0FD-4D23-978C-8A8ECC031A07}">
            <xm:f>$L71=FilterSpecs!$F$6</xm:f>
            <x14:dxf>
              <font>
                <b val="0"/>
                <i val="0"/>
              </font>
              <fill>
                <patternFill patternType="none">
                  <bgColor auto="1"/>
                </patternFill>
              </fill>
            </x14:dxf>
          </x14:cfRule>
          <x14:cfRule type="expression" priority="136" id="{6FA96EAA-3E11-4DC8-A5D5-FAB823CCCE35}">
            <xm:f>$L71=FilterSpecs!$F$7</xm:f>
            <x14:dxf>
              <font>
                <b/>
                <i val="0"/>
                <color theme="0"/>
              </font>
              <fill>
                <patternFill>
                  <bgColor rgb="FF00B0F0"/>
                </patternFill>
              </fill>
            </x14:dxf>
          </x14:cfRule>
          <xm:sqref>J71:M72 O71:O72</xm:sqref>
        </x14:conditionalFormatting>
        <x14:conditionalFormatting xmlns:xm="http://schemas.microsoft.com/office/excel/2006/main">
          <x14:cfRule type="expression" priority="122" id="{14A32B03-E920-4F01-888F-E557C555BCEB}">
            <xm:f>$L176=FilterSpecs!$F$13</xm:f>
            <x14:dxf>
              <font>
                <b/>
                <i val="0"/>
                <color theme="0"/>
              </font>
              <fill>
                <patternFill>
                  <bgColor theme="9" tint="-0.499984740745262"/>
                </patternFill>
              </fill>
            </x14:dxf>
          </x14:cfRule>
          <x14:cfRule type="expression" priority="123" id="{07FBC36E-3CC4-48F8-A7D7-C9A19C30E1A7}">
            <xm:f>$L176=FilterSpecs!$F$11</xm:f>
            <x14:dxf>
              <font>
                <b/>
                <i val="0"/>
                <color theme="0"/>
              </font>
              <fill>
                <patternFill>
                  <bgColor rgb="FF00B050"/>
                </patternFill>
              </fill>
            </x14:dxf>
          </x14:cfRule>
          <x14:cfRule type="expression" priority="124" id="{FA485640-A6F4-4BDB-858D-EFB88373F110}">
            <xm:f>$L176=FilterSpecs!$F$10</xm:f>
            <x14:dxf>
              <font>
                <b/>
                <i val="0"/>
                <color theme="0"/>
              </font>
              <fill>
                <patternFill>
                  <bgColor rgb="FF002060"/>
                </patternFill>
              </fill>
            </x14:dxf>
          </x14:cfRule>
          <x14:cfRule type="expression" priority="125" id="{4BA991BC-5EB5-4D3E-B31B-1AFC2A247E7C}">
            <xm:f>$L176=FilterSpecs!$F$9</xm:f>
            <x14:dxf>
              <font>
                <b/>
                <i val="0"/>
                <color theme="0"/>
              </font>
              <fill>
                <patternFill>
                  <bgColor rgb="FFFF0000"/>
                </patternFill>
              </fill>
            </x14:dxf>
          </x14:cfRule>
          <x14:cfRule type="expression" priority="126" id="{908F87E4-2034-45B0-86A7-41C759F949D8}">
            <xm:f>$L176=FilterSpecs!$F$8</xm:f>
            <x14:dxf>
              <font>
                <b/>
                <i val="0"/>
                <color theme="0"/>
              </font>
              <fill>
                <patternFill>
                  <bgColor rgb="FFFFC000"/>
                </patternFill>
              </fill>
            </x14:dxf>
          </x14:cfRule>
          <x14:cfRule type="expression" priority="127" id="{E6B15485-AA99-461C-BAF9-F018A4D155F5}">
            <xm:f>$L176=FilterSpecs!$F$6</xm:f>
            <x14:dxf>
              <font>
                <b val="0"/>
                <i val="0"/>
              </font>
              <fill>
                <patternFill patternType="none">
                  <bgColor auto="1"/>
                </patternFill>
              </fill>
            </x14:dxf>
          </x14:cfRule>
          <x14:cfRule type="expression" priority="128" id="{294A9D51-D576-4C1E-BE94-A23A704C105A}">
            <xm:f>$L176=FilterSpecs!$F$7</xm:f>
            <x14:dxf>
              <font>
                <b/>
                <i val="0"/>
                <color theme="0"/>
              </font>
              <fill>
                <patternFill>
                  <bgColor rgb="FF00B0F0"/>
                </patternFill>
              </fill>
            </x14:dxf>
          </x14:cfRule>
          <xm:sqref>Q176</xm:sqref>
        </x14:conditionalFormatting>
        <x14:conditionalFormatting xmlns:xm="http://schemas.microsoft.com/office/excel/2006/main">
          <x14:cfRule type="expression" priority="114" id="{95DC2F26-108D-4FFB-86B1-79BD6003FEA6}">
            <xm:f>$L176=FilterSpecs!$F$13</xm:f>
            <x14:dxf>
              <font>
                <b/>
                <i val="0"/>
                <color theme="0"/>
              </font>
              <fill>
                <patternFill>
                  <bgColor theme="9" tint="-0.499984740745262"/>
                </patternFill>
              </fill>
            </x14:dxf>
          </x14:cfRule>
          <x14:cfRule type="expression" priority="115" id="{67CE0AA1-0021-4266-A30F-F1B1F40BA32A}">
            <xm:f>$L176=FilterSpecs!$F$11</xm:f>
            <x14:dxf>
              <font>
                <b/>
                <i val="0"/>
                <color theme="0"/>
              </font>
              <fill>
                <patternFill>
                  <bgColor rgb="FF00B050"/>
                </patternFill>
              </fill>
            </x14:dxf>
          </x14:cfRule>
          <x14:cfRule type="expression" priority="116" id="{6D385485-DC86-451C-BA00-765277165042}">
            <xm:f>$L176=FilterSpecs!$F$10</xm:f>
            <x14:dxf>
              <font>
                <b/>
                <i val="0"/>
                <color theme="0"/>
              </font>
              <fill>
                <patternFill>
                  <bgColor rgb="FF002060"/>
                </patternFill>
              </fill>
            </x14:dxf>
          </x14:cfRule>
          <x14:cfRule type="expression" priority="117" id="{0895D940-F0D0-4D4B-9CBA-C4219716BEDE}">
            <xm:f>$L176=FilterSpecs!$F$9</xm:f>
            <x14:dxf>
              <font>
                <b/>
                <i val="0"/>
                <color theme="0"/>
              </font>
              <fill>
                <patternFill>
                  <bgColor rgb="FFFF0000"/>
                </patternFill>
              </fill>
            </x14:dxf>
          </x14:cfRule>
          <x14:cfRule type="expression" priority="118" id="{5B417A22-6188-4E29-832A-8D12B633C3A1}">
            <xm:f>$L176=FilterSpecs!$F$8</xm:f>
            <x14:dxf>
              <font>
                <b/>
                <i val="0"/>
                <color theme="0"/>
              </font>
              <fill>
                <patternFill>
                  <bgColor rgb="FFFFC000"/>
                </patternFill>
              </fill>
            </x14:dxf>
          </x14:cfRule>
          <x14:cfRule type="expression" priority="119" id="{3F89B47D-B838-4984-8098-AEAAB59F83CC}">
            <xm:f>$L176=FilterSpecs!$F$6</xm:f>
            <x14:dxf>
              <font>
                <b val="0"/>
                <i val="0"/>
              </font>
              <fill>
                <patternFill patternType="none">
                  <bgColor auto="1"/>
                </patternFill>
              </fill>
            </x14:dxf>
          </x14:cfRule>
          <x14:cfRule type="expression" priority="120" id="{22354EB5-1CB7-4EF2-ACC0-D5AA6F8CFE32}">
            <xm:f>$L176=FilterSpecs!$F$7</xm:f>
            <x14:dxf>
              <font>
                <b/>
                <i val="0"/>
                <color theme="0"/>
              </font>
              <fill>
                <patternFill>
                  <bgColor rgb="FF00B0F0"/>
                </patternFill>
              </fill>
            </x14:dxf>
          </x14:cfRule>
          <xm:sqref>J176:M176 O176</xm:sqref>
        </x14:conditionalFormatting>
        <x14:conditionalFormatting xmlns:xm="http://schemas.microsoft.com/office/excel/2006/main">
          <x14:cfRule type="expression" priority="106" id="{960DCDFB-990B-49EE-BE8A-6956A269C222}">
            <xm:f>$L201=FilterSpecs!$F$13</xm:f>
            <x14:dxf>
              <font>
                <b/>
                <i val="0"/>
                <color theme="0"/>
              </font>
              <fill>
                <patternFill>
                  <bgColor theme="9" tint="-0.499984740745262"/>
                </patternFill>
              </fill>
            </x14:dxf>
          </x14:cfRule>
          <x14:cfRule type="expression" priority="107" id="{B37806DC-31DD-4BD7-B3E8-9D420074A5F6}">
            <xm:f>$L201=FilterSpecs!$F$11</xm:f>
            <x14:dxf>
              <font>
                <b/>
                <i val="0"/>
                <color theme="0"/>
              </font>
              <fill>
                <patternFill>
                  <bgColor rgb="FF00B050"/>
                </patternFill>
              </fill>
            </x14:dxf>
          </x14:cfRule>
          <x14:cfRule type="expression" priority="108" id="{08CF6C73-A397-4FC0-A50E-E1EA9D29E5F0}">
            <xm:f>$L201=FilterSpecs!$F$10</xm:f>
            <x14:dxf>
              <font>
                <b/>
                <i val="0"/>
                <color theme="0"/>
              </font>
              <fill>
                <patternFill>
                  <bgColor rgb="FF002060"/>
                </patternFill>
              </fill>
            </x14:dxf>
          </x14:cfRule>
          <x14:cfRule type="expression" priority="109" id="{F2F25946-8F44-49ED-9288-F55FA08CCC63}">
            <xm:f>$L201=FilterSpecs!$F$9</xm:f>
            <x14:dxf>
              <font>
                <b/>
                <i val="0"/>
                <color theme="0"/>
              </font>
              <fill>
                <patternFill>
                  <bgColor rgb="FFFF0000"/>
                </patternFill>
              </fill>
            </x14:dxf>
          </x14:cfRule>
          <x14:cfRule type="expression" priority="110" id="{B6F9903B-2382-4840-A606-898C02384886}">
            <xm:f>$L201=FilterSpecs!$F$8</xm:f>
            <x14:dxf>
              <font>
                <b/>
                <i val="0"/>
                <color theme="0"/>
              </font>
              <fill>
                <patternFill>
                  <bgColor rgb="FFFFC000"/>
                </patternFill>
              </fill>
            </x14:dxf>
          </x14:cfRule>
          <x14:cfRule type="expression" priority="111" id="{FE87AAAE-0B48-496F-A6A3-83204F1C3143}">
            <xm:f>$L201=FilterSpecs!$F$6</xm:f>
            <x14:dxf>
              <font>
                <b val="0"/>
                <i val="0"/>
              </font>
              <fill>
                <patternFill patternType="none">
                  <bgColor auto="1"/>
                </patternFill>
              </fill>
            </x14:dxf>
          </x14:cfRule>
          <x14:cfRule type="expression" priority="112" id="{1A109EDD-F7AE-434E-AE80-D024A6C06A9E}">
            <xm:f>$L201=FilterSpecs!$F$7</xm:f>
            <x14:dxf>
              <font>
                <b/>
                <i val="0"/>
                <color theme="0"/>
              </font>
              <fill>
                <patternFill>
                  <bgColor rgb="FF00B0F0"/>
                </patternFill>
              </fill>
            </x14:dxf>
          </x14:cfRule>
          <xm:sqref>Q201:Q208</xm:sqref>
        </x14:conditionalFormatting>
        <x14:conditionalFormatting xmlns:xm="http://schemas.microsoft.com/office/excel/2006/main">
          <x14:cfRule type="expression" priority="98" id="{932D4DF6-7027-4B1B-899D-32AF0D0C03C5}">
            <xm:f>$L201=FilterSpecs!$F$13</xm:f>
            <x14:dxf>
              <font>
                <b/>
                <i val="0"/>
                <color theme="0"/>
              </font>
              <fill>
                <patternFill>
                  <bgColor theme="9" tint="-0.499984740745262"/>
                </patternFill>
              </fill>
            </x14:dxf>
          </x14:cfRule>
          <x14:cfRule type="expression" priority="99" id="{D670B8D6-393E-4A80-AB33-BEC38F6F022D}">
            <xm:f>$L201=FilterSpecs!$F$11</xm:f>
            <x14:dxf>
              <font>
                <b/>
                <i val="0"/>
                <color theme="0"/>
              </font>
              <fill>
                <patternFill>
                  <bgColor rgb="FF00B050"/>
                </patternFill>
              </fill>
            </x14:dxf>
          </x14:cfRule>
          <x14:cfRule type="expression" priority="100" id="{4F6C0BE4-1D52-46FC-B290-1B9E45C9DF57}">
            <xm:f>$L201=FilterSpecs!$F$10</xm:f>
            <x14:dxf>
              <font>
                <b/>
                <i val="0"/>
                <color theme="0"/>
              </font>
              <fill>
                <patternFill>
                  <bgColor rgb="FF002060"/>
                </patternFill>
              </fill>
            </x14:dxf>
          </x14:cfRule>
          <x14:cfRule type="expression" priority="101" id="{BD97D831-E45D-4D5B-9A37-89A52FDEA63D}">
            <xm:f>$L201=FilterSpecs!$F$9</xm:f>
            <x14:dxf>
              <font>
                <b/>
                <i val="0"/>
                <color theme="0"/>
              </font>
              <fill>
                <patternFill>
                  <bgColor rgb="FFFF0000"/>
                </patternFill>
              </fill>
            </x14:dxf>
          </x14:cfRule>
          <x14:cfRule type="expression" priority="102" id="{0C5E893B-AF20-4F53-973C-5A031F2D076F}">
            <xm:f>$L201=FilterSpecs!$F$8</xm:f>
            <x14:dxf>
              <font>
                <b/>
                <i val="0"/>
                <color theme="0"/>
              </font>
              <fill>
                <patternFill>
                  <bgColor rgb="FFFFC000"/>
                </patternFill>
              </fill>
            </x14:dxf>
          </x14:cfRule>
          <x14:cfRule type="expression" priority="103" id="{13881394-AC7E-4794-AEC3-F56E6E7D149C}">
            <xm:f>$L201=FilterSpecs!$F$6</xm:f>
            <x14:dxf>
              <font>
                <b val="0"/>
                <i val="0"/>
              </font>
              <fill>
                <patternFill patternType="none">
                  <bgColor auto="1"/>
                </patternFill>
              </fill>
            </x14:dxf>
          </x14:cfRule>
          <x14:cfRule type="expression" priority="104" id="{54645FB1-1FBB-4D7C-8D79-92B43015B06B}">
            <xm:f>$L201=FilterSpecs!$F$7</xm:f>
            <x14:dxf>
              <font>
                <b/>
                <i val="0"/>
                <color theme="0"/>
              </font>
              <fill>
                <patternFill>
                  <bgColor rgb="FF00B0F0"/>
                </patternFill>
              </fill>
            </x14:dxf>
          </x14:cfRule>
          <xm:sqref>J201:M208 O201:O208</xm:sqref>
        </x14:conditionalFormatting>
        <x14:conditionalFormatting xmlns:xm="http://schemas.microsoft.com/office/excel/2006/main">
          <x14:cfRule type="expression" priority="90" id="{E15B094C-2AAF-413F-A935-337D4C4A8662}">
            <xm:f>$L354=FilterSpecs!$F$13</xm:f>
            <x14:dxf>
              <font>
                <b/>
                <i val="0"/>
                <color theme="0"/>
              </font>
              <fill>
                <patternFill>
                  <bgColor theme="9" tint="-0.499984740745262"/>
                </patternFill>
              </fill>
            </x14:dxf>
          </x14:cfRule>
          <x14:cfRule type="expression" priority="91" id="{F01C885E-9BC2-405F-8A55-061BE684E950}">
            <xm:f>$L354=FilterSpecs!$F$11</xm:f>
            <x14:dxf>
              <font>
                <b/>
                <i val="0"/>
                <color theme="0"/>
              </font>
              <fill>
                <patternFill>
                  <bgColor rgb="FF00B050"/>
                </patternFill>
              </fill>
            </x14:dxf>
          </x14:cfRule>
          <x14:cfRule type="expression" priority="92" id="{21FBE219-23CF-4AB9-AAEB-D7F79E5C63B0}">
            <xm:f>$L354=FilterSpecs!$F$10</xm:f>
            <x14:dxf>
              <font>
                <b/>
                <i val="0"/>
                <color theme="0"/>
              </font>
              <fill>
                <patternFill>
                  <bgColor rgb="FF002060"/>
                </patternFill>
              </fill>
            </x14:dxf>
          </x14:cfRule>
          <x14:cfRule type="expression" priority="93" id="{E5125532-7F76-4DA5-95D4-E723758AB375}">
            <xm:f>$L354=FilterSpecs!$F$9</xm:f>
            <x14:dxf>
              <font>
                <b/>
                <i val="0"/>
                <color theme="0"/>
              </font>
              <fill>
                <patternFill>
                  <bgColor rgb="FFFF0000"/>
                </patternFill>
              </fill>
            </x14:dxf>
          </x14:cfRule>
          <x14:cfRule type="expression" priority="94" id="{B15A8280-C001-424D-8CE9-3DBE81F3AAF9}">
            <xm:f>$L354=FilterSpecs!$F$8</xm:f>
            <x14:dxf>
              <font>
                <b/>
                <i val="0"/>
                <color theme="0"/>
              </font>
              <fill>
                <patternFill>
                  <bgColor rgb="FFFFC000"/>
                </patternFill>
              </fill>
            </x14:dxf>
          </x14:cfRule>
          <x14:cfRule type="expression" priority="95" id="{8E19E863-9E58-4113-8ED9-36657B06DA67}">
            <xm:f>$L354=FilterSpecs!$F$6</xm:f>
            <x14:dxf>
              <font>
                <b val="0"/>
                <i val="0"/>
              </font>
              <fill>
                <patternFill patternType="none">
                  <bgColor auto="1"/>
                </patternFill>
              </fill>
            </x14:dxf>
          </x14:cfRule>
          <x14:cfRule type="expression" priority="96" id="{19DC2C2C-A1B3-4A20-A7BB-459F413292AC}">
            <xm:f>$L354=FilterSpecs!$F$7</xm:f>
            <x14:dxf>
              <font>
                <b/>
                <i val="0"/>
                <color theme="0"/>
              </font>
              <fill>
                <patternFill>
                  <bgColor rgb="FF00B0F0"/>
                </patternFill>
              </fill>
            </x14:dxf>
          </x14:cfRule>
          <xm:sqref>J354:M358 O354:O358</xm:sqref>
        </x14:conditionalFormatting>
        <x14:conditionalFormatting xmlns:xm="http://schemas.microsoft.com/office/excel/2006/main">
          <x14:cfRule type="expression" priority="82" id="{6FA7906F-5883-40B2-918F-57934B756960}">
            <xm:f>$L415=FilterSpecs!$F$13</xm:f>
            <x14:dxf>
              <font>
                <b/>
                <i val="0"/>
                <color theme="0"/>
              </font>
              <fill>
                <patternFill>
                  <bgColor theme="9" tint="-0.499984740745262"/>
                </patternFill>
              </fill>
            </x14:dxf>
          </x14:cfRule>
          <x14:cfRule type="expression" priority="83" id="{1325FE52-8604-44A9-A3D4-27D68821EA61}">
            <xm:f>$L415=FilterSpecs!$F$11</xm:f>
            <x14:dxf>
              <font>
                <b/>
                <i val="0"/>
                <color theme="0"/>
              </font>
              <fill>
                <patternFill>
                  <bgColor rgb="FF00B050"/>
                </patternFill>
              </fill>
            </x14:dxf>
          </x14:cfRule>
          <x14:cfRule type="expression" priority="84" id="{AC7C4E79-A9D7-4A29-A2E1-42D525789F5B}">
            <xm:f>$L415=FilterSpecs!$F$10</xm:f>
            <x14:dxf>
              <font>
                <b/>
                <i val="0"/>
                <color theme="0"/>
              </font>
              <fill>
                <patternFill>
                  <bgColor rgb="FF002060"/>
                </patternFill>
              </fill>
            </x14:dxf>
          </x14:cfRule>
          <x14:cfRule type="expression" priority="85" id="{D2B62691-3D11-439D-8F5A-2921AD7A8A75}">
            <xm:f>$L415=FilterSpecs!$F$9</xm:f>
            <x14:dxf>
              <font>
                <b/>
                <i val="0"/>
                <color theme="0"/>
              </font>
              <fill>
                <patternFill>
                  <bgColor rgb="FFFF0000"/>
                </patternFill>
              </fill>
            </x14:dxf>
          </x14:cfRule>
          <x14:cfRule type="expression" priority="86" id="{1AD97AE0-F45E-42AE-B441-5DF9193ED825}">
            <xm:f>$L415=FilterSpecs!$F$8</xm:f>
            <x14:dxf>
              <font>
                <b/>
                <i val="0"/>
                <color theme="0"/>
              </font>
              <fill>
                <patternFill>
                  <bgColor rgb="FFFFC000"/>
                </patternFill>
              </fill>
            </x14:dxf>
          </x14:cfRule>
          <x14:cfRule type="expression" priority="87" id="{F0D1F4C8-4525-45A8-941B-3E92B38FF061}">
            <xm:f>$L415=FilterSpecs!$F$6</xm:f>
            <x14:dxf>
              <font>
                <b val="0"/>
                <i val="0"/>
              </font>
              <fill>
                <patternFill patternType="none">
                  <bgColor auto="1"/>
                </patternFill>
              </fill>
            </x14:dxf>
          </x14:cfRule>
          <x14:cfRule type="expression" priority="88" id="{384398B4-343E-48A7-9FDD-BA41A76E3240}">
            <xm:f>$L415=FilterSpecs!$F$7</xm:f>
            <x14:dxf>
              <font>
                <b/>
                <i val="0"/>
                <color theme="0"/>
              </font>
              <fill>
                <patternFill>
                  <bgColor rgb="FF00B0F0"/>
                </patternFill>
              </fill>
            </x14:dxf>
          </x14:cfRule>
          <xm:sqref>A415:B416 D415:E416</xm:sqref>
        </x14:conditionalFormatting>
        <x14:conditionalFormatting xmlns:xm="http://schemas.microsoft.com/office/excel/2006/main">
          <x14:cfRule type="expression" priority="74" id="{43B7D091-F797-410E-BA55-4D7077B35099}">
            <xm:f>$L415=FilterSpecs!$F$13</xm:f>
            <x14:dxf>
              <font>
                <b/>
                <i val="0"/>
                <color theme="0"/>
              </font>
              <fill>
                <patternFill>
                  <bgColor theme="9" tint="-0.499984740745262"/>
                </patternFill>
              </fill>
            </x14:dxf>
          </x14:cfRule>
          <x14:cfRule type="expression" priority="75" id="{3F6682B3-F1DC-4E0F-A7DF-A767DB5A6B82}">
            <xm:f>$L415=FilterSpecs!$F$11</xm:f>
            <x14:dxf>
              <font>
                <b/>
                <i val="0"/>
                <color theme="0"/>
              </font>
              <fill>
                <patternFill>
                  <bgColor rgb="FF00B050"/>
                </patternFill>
              </fill>
            </x14:dxf>
          </x14:cfRule>
          <x14:cfRule type="expression" priority="76" id="{B94923F2-51BD-469B-8B5F-F2FAD63DD448}">
            <xm:f>$L415=FilterSpecs!$F$10</xm:f>
            <x14:dxf>
              <font>
                <b/>
                <i val="0"/>
                <color theme="0"/>
              </font>
              <fill>
                <patternFill>
                  <bgColor rgb="FF002060"/>
                </patternFill>
              </fill>
            </x14:dxf>
          </x14:cfRule>
          <x14:cfRule type="expression" priority="77" id="{DEFB501B-6E49-4917-B721-6D2DA912802B}">
            <xm:f>$L415=FilterSpecs!$F$9</xm:f>
            <x14:dxf>
              <font>
                <b/>
                <i val="0"/>
                <color theme="0"/>
              </font>
              <fill>
                <patternFill>
                  <bgColor rgb="FFFF0000"/>
                </patternFill>
              </fill>
            </x14:dxf>
          </x14:cfRule>
          <x14:cfRule type="expression" priority="78" id="{EAA50D0D-330F-468A-853F-CFF37D45B6B3}">
            <xm:f>$L415=FilterSpecs!$F$8</xm:f>
            <x14:dxf>
              <font>
                <b/>
                <i val="0"/>
                <color theme="0"/>
              </font>
              <fill>
                <patternFill>
                  <bgColor rgb="FFFFC000"/>
                </patternFill>
              </fill>
            </x14:dxf>
          </x14:cfRule>
          <x14:cfRule type="expression" priority="79" id="{7B0B434B-3D22-4CB2-AC00-ED0A12B798A4}">
            <xm:f>$L415=FilterSpecs!$F$6</xm:f>
            <x14:dxf>
              <font>
                <b val="0"/>
                <i val="0"/>
              </font>
              <fill>
                <patternFill patternType="none">
                  <bgColor auto="1"/>
                </patternFill>
              </fill>
            </x14:dxf>
          </x14:cfRule>
          <x14:cfRule type="expression" priority="80" id="{C41350D0-716C-4B56-977A-8FFED564B18A}">
            <xm:f>$L415=FilterSpecs!$F$7</xm:f>
            <x14:dxf>
              <font>
                <b/>
                <i val="0"/>
                <color theme="0"/>
              </font>
              <fill>
                <patternFill>
                  <bgColor rgb="FF00B0F0"/>
                </patternFill>
              </fill>
            </x14:dxf>
          </x14:cfRule>
          <xm:sqref>J415:M416 O415:O416</xm:sqref>
        </x14:conditionalFormatting>
        <x14:conditionalFormatting xmlns:xm="http://schemas.microsoft.com/office/excel/2006/main">
          <x14:cfRule type="expression" priority="66" id="{F8A7E3C0-E88E-4666-B754-F3A0FA023576}">
            <xm:f>$L446=FilterSpecs!$F$13</xm:f>
            <x14:dxf>
              <font>
                <b/>
                <i val="0"/>
                <color theme="0"/>
              </font>
              <fill>
                <patternFill>
                  <bgColor theme="9" tint="-0.499984740745262"/>
                </patternFill>
              </fill>
            </x14:dxf>
          </x14:cfRule>
          <x14:cfRule type="expression" priority="67" id="{968F748E-6166-44AC-B558-76B2FDEACBC6}">
            <xm:f>$L446=FilterSpecs!$F$11</xm:f>
            <x14:dxf>
              <font>
                <b/>
                <i val="0"/>
                <color theme="0"/>
              </font>
              <fill>
                <patternFill>
                  <bgColor rgb="FF00B050"/>
                </patternFill>
              </fill>
            </x14:dxf>
          </x14:cfRule>
          <x14:cfRule type="expression" priority="68" id="{321D410E-1B2E-495B-AB2D-94BB985B602A}">
            <xm:f>$L446=FilterSpecs!$F$10</xm:f>
            <x14:dxf>
              <font>
                <b/>
                <i val="0"/>
                <color theme="0"/>
              </font>
              <fill>
                <patternFill>
                  <bgColor rgb="FF002060"/>
                </patternFill>
              </fill>
            </x14:dxf>
          </x14:cfRule>
          <x14:cfRule type="expression" priority="69" id="{68012723-1BBE-42F7-990E-A499B25F93D3}">
            <xm:f>$L446=FilterSpecs!$F$9</xm:f>
            <x14:dxf>
              <font>
                <b/>
                <i val="0"/>
                <color theme="0"/>
              </font>
              <fill>
                <patternFill>
                  <bgColor rgb="FFFF0000"/>
                </patternFill>
              </fill>
            </x14:dxf>
          </x14:cfRule>
          <x14:cfRule type="expression" priority="70" id="{DE5FFCE0-7DD5-4FAE-B3BC-09646D88EA05}">
            <xm:f>$L446=FilterSpecs!$F$8</xm:f>
            <x14:dxf>
              <font>
                <b/>
                <i val="0"/>
                <color theme="0"/>
              </font>
              <fill>
                <patternFill>
                  <bgColor rgb="FFFFC000"/>
                </patternFill>
              </fill>
            </x14:dxf>
          </x14:cfRule>
          <x14:cfRule type="expression" priority="71" id="{8329485E-CF62-4F50-B0B2-7C51AD317D21}">
            <xm:f>$L446=FilterSpecs!$F$6</xm:f>
            <x14:dxf>
              <font>
                <b val="0"/>
                <i val="0"/>
              </font>
              <fill>
                <patternFill patternType="none">
                  <bgColor auto="1"/>
                </patternFill>
              </fill>
            </x14:dxf>
          </x14:cfRule>
          <x14:cfRule type="expression" priority="72" id="{181F9973-4522-4924-AE72-7312972C7BF2}">
            <xm:f>$L446=FilterSpecs!$F$7</xm:f>
            <x14:dxf>
              <font>
                <b/>
                <i val="0"/>
                <color theme="0"/>
              </font>
              <fill>
                <patternFill>
                  <bgColor rgb="FF00B0F0"/>
                </patternFill>
              </fill>
            </x14:dxf>
          </x14:cfRule>
          <xm:sqref>J446:M451 O446:O451</xm:sqref>
        </x14:conditionalFormatting>
        <x14:conditionalFormatting xmlns:xm="http://schemas.microsoft.com/office/excel/2006/main">
          <x14:cfRule type="expression" priority="58" id="{EC1CE78D-44A1-4D8D-834F-D28FC1728C12}">
            <xm:f>$L14=FilterSpecs!$F$13</xm:f>
            <x14:dxf>
              <font>
                <b/>
                <i val="0"/>
                <color theme="0"/>
              </font>
              <fill>
                <patternFill>
                  <bgColor theme="9" tint="-0.499984740745262"/>
                </patternFill>
              </fill>
            </x14:dxf>
          </x14:cfRule>
          <x14:cfRule type="expression" priority="59" id="{31D67CE5-233B-4C82-AAB5-1EEE5B0EB95C}">
            <xm:f>$L14=FilterSpecs!$F$11</xm:f>
            <x14:dxf>
              <font>
                <b/>
                <i val="0"/>
                <color theme="0"/>
              </font>
              <fill>
                <patternFill>
                  <bgColor rgb="FF00B050"/>
                </patternFill>
              </fill>
            </x14:dxf>
          </x14:cfRule>
          <x14:cfRule type="expression" priority="60" id="{D84C6D6B-2165-494B-9AB3-5230E1933BFA}">
            <xm:f>$L14=FilterSpecs!$F$10</xm:f>
            <x14:dxf>
              <font>
                <b/>
                <i val="0"/>
                <color theme="0"/>
              </font>
              <fill>
                <patternFill>
                  <bgColor rgb="FF002060"/>
                </patternFill>
              </fill>
            </x14:dxf>
          </x14:cfRule>
          <x14:cfRule type="expression" priority="61" id="{E1A8CE3E-C648-4085-8FB1-6C6AC7D52538}">
            <xm:f>$L14=FilterSpecs!$F$9</xm:f>
            <x14:dxf>
              <font>
                <b/>
                <i val="0"/>
                <color theme="0"/>
              </font>
              <fill>
                <patternFill>
                  <bgColor rgb="FFFF0000"/>
                </patternFill>
              </fill>
            </x14:dxf>
          </x14:cfRule>
          <x14:cfRule type="expression" priority="62" id="{DC48D261-1FF8-44E8-8A05-97CB30EBD0D1}">
            <xm:f>$L14=FilterSpecs!$F$8</xm:f>
            <x14:dxf>
              <font>
                <b/>
                <i val="0"/>
                <color theme="0"/>
              </font>
              <fill>
                <patternFill>
                  <bgColor rgb="FFFFC000"/>
                </patternFill>
              </fill>
            </x14:dxf>
          </x14:cfRule>
          <x14:cfRule type="expression" priority="63" id="{92BB0D0C-9CC1-4C81-873A-F91EF888719B}">
            <xm:f>$L14=FilterSpecs!$F$6</xm:f>
            <x14:dxf>
              <font>
                <b val="0"/>
                <i val="0"/>
              </font>
              <fill>
                <patternFill patternType="none">
                  <bgColor auto="1"/>
                </patternFill>
              </fill>
            </x14:dxf>
          </x14:cfRule>
          <x14:cfRule type="expression" priority="64" id="{2BB2507E-7FB2-4F98-A531-C91E0331B0B7}">
            <xm:f>$L14=FilterSpecs!$F$7</xm:f>
            <x14:dxf>
              <font>
                <b/>
                <i val="0"/>
                <color theme="0"/>
              </font>
              <fill>
                <patternFill>
                  <bgColor rgb="FF00B0F0"/>
                </patternFill>
              </fill>
            </x14:dxf>
          </x14:cfRule>
          <xm:sqref>C167:C175 C177:C200 C59:C163 C209:C647 C14:C50</xm:sqref>
        </x14:conditionalFormatting>
        <x14:conditionalFormatting xmlns:xm="http://schemas.microsoft.com/office/excel/2006/main">
          <x14:cfRule type="expression" priority="50" id="{A014AA5D-E242-4835-BE55-D870F0ED8F43}">
            <xm:f>$L164=FilterSpecs!$F$13</xm:f>
            <x14:dxf>
              <font>
                <b/>
                <i val="0"/>
                <color theme="0"/>
              </font>
              <fill>
                <patternFill>
                  <bgColor theme="9" tint="-0.499984740745262"/>
                </patternFill>
              </fill>
            </x14:dxf>
          </x14:cfRule>
          <x14:cfRule type="expression" priority="51" id="{322EAD15-4E7D-4D50-B9BF-CB7CDF5737BA}">
            <xm:f>$L164=FilterSpecs!$F$11</xm:f>
            <x14:dxf>
              <font>
                <b/>
                <i val="0"/>
                <color theme="0"/>
              </font>
              <fill>
                <patternFill>
                  <bgColor rgb="FF00B050"/>
                </patternFill>
              </fill>
            </x14:dxf>
          </x14:cfRule>
          <x14:cfRule type="expression" priority="52" id="{C6576B24-BB63-45E2-B9FC-461ABAB12D8E}">
            <xm:f>$L164=FilterSpecs!$F$10</xm:f>
            <x14:dxf>
              <font>
                <b/>
                <i val="0"/>
                <color theme="0"/>
              </font>
              <fill>
                <patternFill>
                  <bgColor rgb="FF002060"/>
                </patternFill>
              </fill>
            </x14:dxf>
          </x14:cfRule>
          <x14:cfRule type="expression" priority="53" id="{750917C1-372A-4E16-9420-0D458CBE478E}">
            <xm:f>$L164=FilterSpecs!$F$9</xm:f>
            <x14:dxf>
              <font>
                <b/>
                <i val="0"/>
                <color theme="0"/>
              </font>
              <fill>
                <patternFill>
                  <bgColor rgb="FFFF0000"/>
                </patternFill>
              </fill>
            </x14:dxf>
          </x14:cfRule>
          <x14:cfRule type="expression" priority="54" id="{9DC66D7C-A6A7-476C-A068-E7FAB764F7C9}">
            <xm:f>$L164=FilterSpecs!$F$8</xm:f>
            <x14:dxf>
              <font>
                <b/>
                <i val="0"/>
                <color theme="0"/>
              </font>
              <fill>
                <patternFill>
                  <bgColor rgb="FFFFC000"/>
                </patternFill>
              </fill>
            </x14:dxf>
          </x14:cfRule>
          <x14:cfRule type="expression" priority="55" id="{8B4AECD7-DA84-4ED5-A435-B3CEAD9A50EE}">
            <xm:f>$L164=FilterSpecs!$F$6</xm:f>
            <x14:dxf>
              <font>
                <b val="0"/>
                <i val="0"/>
              </font>
              <fill>
                <patternFill patternType="none">
                  <bgColor auto="1"/>
                </patternFill>
              </fill>
            </x14:dxf>
          </x14:cfRule>
          <x14:cfRule type="expression" priority="56" id="{59D48998-E60C-4E79-9099-5C86447F8BFD}">
            <xm:f>$L164=FilterSpecs!$F$7</xm:f>
            <x14:dxf>
              <font>
                <b/>
                <i val="0"/>
                <color theme="0"/>
              </font>
              <fill>
                <patternFill>
                  <bgColor rgb="FF00B0F0"/>
                </patternFill>
              </fill>
            </x14:dxf>
          </x14:cfRule>
          <xm:sqref>C164:C166</xm:sqref>
        </x14:conditionalFormatting>
        <x14:conditionalFormatting xmlns:xm="http://schemas.microsoft.com/office/excel/2006/main">
          <x14:cfRule type="expression" priority="42" id="{E1A9F0ED-1828-4600-AAA7-A040BAF6123D}">
            <xm:f>$L51=FilterSpecs!$F$13</xm:f>
            <x14:dxf>
              <font>
                <b/>
                <i val="0"/>
                <color theme="0"/>
              </font>
              <fill>
                <patternFill>
                  <bgColor theme="9" tint="-0.499984740745262"/>
                </patternFill>
              </fill>
            </x14:dxf>
          </x14:cfRule>
          <x14:cfRule type="expression" priority="43" id="{677321AC-1FC1-466A-B40B-F4BF74D55057}">
            <xm:f>$L51=FilterSpecs!$F$11</xm:f>
            <x14:dxf>
              <font>
                <b/>
                <i val="0"/>
                <color theme="0"/>
              </font>
              <fill>
                <patternFill>
                  <bgColor rgb="FF00B050"/>
                </patternFill>
              </fill>
            </x14:dxf>
          </x14:cfRule>
          <x14:cfRule type="expression" priority="44" id="{4270804B-373B-4A2A-8FE0-89388EAFD832}">
            <xm:f>$L51=FilterSpecs!$F$10</xm:f>
            <x14:dxf>
              <font>
                <b/>
                <i val="0"/>
                <color theme="0"/>
              </font>
              <fill>
                <patternFill>
                  <bgColor rgb="FF002060"/>
                </patternFill>
              </fill>
            </x14:dxf>
          </x14:cfRule>
          <x14:cfRule type="expression" priority="45" id="{5B7C7E94-519C-40FF-86E9-1597FE6F4C0B}">
            <xm:f>$L51=FilterSpecs!$F$9</xm:f>
            <x14:dxf>
              <font>
                <b/>
                <i val="0"/>
                <color theme="0"/>
              </font>
              <fill>
                <patternFill>
                  <bgColor rgb="FFFF0000"/>
                </patternFill>
              </fill>
            </x14:dxf>
          </x14:cfRule>
          <x14:cfRule type="expression" priority="46" id="{868C6DA3-7100-4CBC-9DEC-132DD995187A}">
            <xm:f>$L51=FilterSpecs!$F$8</xm:f>
            <x14:dxf>
              <font>
                <b/>
                <i val="0"/>
                <color theme="0"/>
              </font>
              <fill>
                <patternFill>
                  <bgColor rgb="FFFFC000"/>
                </patternFill>
              </fill>
            </x14:dxf>
          </x14:cfRule>
          <x14:cfRule type="expression" priority="47" id="{950B797F-8DE4-408B-A2F2-4E7578812CFF}">
            <xm:f>$L51=FilterSpecs!$F$6</xm:f>
            <x14:dxf>
              <font>
                <b val="0"/>
                <i val="0"/>
              </font>
              <fill>
                <patternFill patternType="none">
                  <bgColor auto="1"/>
                </patternFill>
              </fill>
            </x14:dxf>
          </x14:cfRule>
          <x14:cfRule type="expression" priority="48" id="{C74EDF93-AA54-4A25-81FC-678411689F70}">
            <xm:f>$L51=FilterSpecs!$F$7</xm:f>
            <x14:dxf>
              <font>
                <b/>
                <i val="0"/>
                <color theme="0"/>
              </font>
              <fill>
                <patternFill>
                  <bgColor rgb="FF00B0F0"/>
                </patternFill>
              </fill>
            </x14:dxf>
          </x14:cfRule>
          <xm:sqref>C51:C58</xm:sqref>
        </x14:conditionalFormatting>
        <x14:conditionalFormatting xmlns:xm="http://schemas.microsoft.com/office/excel/2006/main">
          <x14:cfRule type="expression" priority="34" id="{B52A1E64-9D97-46DC-B569-2276CEBADC1A}">
            <xm:f>$L176=FilterSpecs!$F$13</xm:f>
            <x14:dxf>
              <font>
                <b/>
                <i val="0"/>
                <color theme="0"/>
              </font>
              <fill>
                <patternFill>
                  <bgColor theme="9" tint="-0.499984740745262"/>
                </patternFill>
              </fill>
            </x14:dxf>
          </x14:cfRule>
          <x14:cfRule type="expression" priority="35" id="{E50E028B-5CD6-44B3-BE9D-D5F5118B48FA}">
            <xm:f>$L176=FilterSpecs!$F$11</xm:f>
            <x14:dxf>
              <font>
                <b/>
                <i val="0"/>
                <color theme="0"/>
              </font>
              <fill>
                <patternFill>
                  <bgColor rgb="FF00B050"/>
                </patternFill>
              </fill>
            </x14:dxf>
          </x14:cfRule>
          <x14:cfRule type="expression" priority="36" id="{33255778-3929-459F-9C8A-0676273395C7}">
            <xm:f>$L176=FilterSpecs!$F$10</xm:f>
            <x14:dxf>
              <font>
                <b/>
                <i val="0"/>
                <color theme="0"/>
              </font>
              <fill>
                <patternFill>
                  <bgColor rgb="FF002060"/>
                </patternFill>
              </fill>
            </x14:dxf>
          </x14:cfRule>
          <x14:cfRule type="expression" priority="37" id="{7B58F56B-C835-4F14-92FD-3A11615F921E}">
            <xm:f>$L176=FilterSpecs!$F$9</xm:f>
            <x14:dxf>
              <font>
                <b/>
                <i val="0"/>
                <color theme="0"/>
              </font>
              <fill>
                <patternFill>
                  <bgColor rgb="FFFF0000"/>
                </patternFill>
              </fill>
            </x14:dxf>
          </x14:cfRule>
          <x14:cfRule type="expression" priority="38" id="{68D72D73-D7CC-4F70-8C53-5AE093D5DB9E}">
            <xm:f>$L176=FilterSpecs!$F$8</xm:f>
            <x14:dxf>
              <font>
                <b/>
                <i val="0"/>
                <color theme="0"/>
              </font>
              <fill>
                <patternFill>
                  <bgColor rgb="FFFFC000"/>
                </patternFill>
              </fill>
            </x14:dxf>
          </x14:cfRule>
          <x14:cfRule type="expression" priority="39" id="{26B1D222-DAFD-4202-868B-C23B0BD8B298}">
            <xm:f>$L176=FilterSpecs!$F$6</xm:f>
            <x14:dxf>
              <font>
                <b val="0"/>
                <i val="0"/>
              </font>
              <fill>
                <patternFill patternType="none">
                  <bgColor auto="1"/>
                </patternFill>
              </fill>
            </x14:dxf>
          </x14:cfRule>
          <x14:cfRule type="expression" priority="40" id="{B8EA5DB1-A8C2-4E62-B51C-60B2CEAF47F2}">
            <xm:f>$L176=FilterSpecs!$F$7</xm:f>
            <x14:dxf>
              <font>
                <b/>
                <i val="0"/>
                <color theme="0"/>
              </font>
              <fill>
                <patternFill>
                  <bgColor rgb="FF00B0F0"/>
                </patternFill>
              </fill>
            </x14:dxf>
          </x14:cfRule>
          <xm:sqref>C176</xm:sqref>
        </x14:conditionalFormatting>
        <x14:conditionalFormatting xmlns:xm="http://schemas.microsoft.com/office/excel/2006/main">
          <x14:cfRule type="expression" priority="26" id="{FE3E4C6A-5BAF-4491-9BC4-A63E2F264B3C}">
            <xm:f>$L201=FilterSpecs!$F$13</xm:f>
            <x14:dxf>
              <font>
                <b/>
                <i val="0"/>
                <color theme="0"/>
              </font>
              <fill>
                <patternFill>
                  <bgColor theme="9" tint="-0.499984740745262"/>
                </patternFill>
              </fill>
            </x14:dxf>
          </x14:cfRule>
          <x14:cfRule type="expression" priority="27" id="{B7249097-549D-4187-BDE3-E805D984D4A7}">
            <xm:f>$L201=FilterSpecs!$F$11</xm:f>
            <x14:dxf>
              <font>
                <b/>
                <i val="0"/>
                <color theme="0"/>
              </font>
              <fill>
                <patternFill>
                  <bgColor rgb="FF00B050"/>
                </patternFill>
              </fill>
            </x14:dxf>
          </x14:cfRule>
          <x14:cfRule type="expression" priority="28" id="{A35F5B23-AB80-4B0B-9E0F-7CFB73E8D96A}">
            <xm:f>$L201=FilterSpecs!$F$10</xm:f>
            <x14:dxf>
              <font>
                <b/>
                <i val="0"/>
                <color theme="0"/>
              </font>
              <fill>
                <patternFill>
                  <bgColor rgb="FF002060"/>
                </patternFill>
              </fill>
            </x14:dxf>
          </x14:cfRule>
          <x14:cfRule type="expression" priority="29" id="{12752395-828A-4E66-98F6-E4419C1CAEFB}">
            <xm:f>$L201=FilterSpecs!$F$9</xm:f>
            <x14:dxf>
              <font>
                <b/>
                <i val="0"/>
                <color theme="0"/>
              </font>
              <fill>
                <patternFill>
                  <bgColor rgb="FFFF0000"/>
                </patternFill>
              </fill>
            </x14:dxf>
          </x14:cfRule>
          <x14:cfRule type="expression" priority="30" id="{68355D74-6FC9-4630-971F-54E770535CBB}">
            <xm:f>$L201=FilterSpecs!$F$8</xm:f>
            <x14:dxf>
              <font>
                <b/>
                <i val="0"/>
                <color theme="0"/>
              </font>
              <fill>
                <patternFill>
                  <bgColor rgb="FFFFC000"/>
                </patternFill>
              </fill>
            </x14:dxf>
          </x14:cfRule>
          <x14:cfRule type="expression" priority="31" id="{A0D3C123-6277-4E41-8574-34E58FC9D9F3}">
            <xm:f>$L201=FilterSpecs!$F$6</xm:f>
            <x14:dxf>
              <font>
                <b val="0"/>
                <i val="0"/>
              </font>
              <fill>
                <patternFill patternType="none">
                  <bgColor auto="1"/>
                </patternFill>
              </fill>
            </x14:dxf>
          </x14:cfRule>
          <x14:cfRule type="expression" priority="32" id="{C4117376-06A5-4CBE-8D76-EDC88D21F031}">
            <xm:f>$L201=FilterSpecs!$F$7</xm:f>
            <x14:dxf>
              <font>
                <b/>
                <i val="0"/>
                <color theme="0"/>
              </font>
              <fill>
                <patternFill>
                  <bgColor rgb="FF00B0F0"/>
                </patternFill>
              </fill>
            </x14:dxf>
          </x14:cfRule>
          <xm:sqref>C201:C208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5714D7F8-3C6B-4D37-B6B9-9EDCE8C48681}">
          <x14:formula1>
            <xm:f>FilterSpecs!$C$6:$C$13</xm:f>
          </x14:formula1>
          <xm:sqref>A298:B298</xm:sqref>
        </x14:dataValidation>
      </x14:dataValidations>
    </ext>
    <ext xmlns:x15="http://schemas.microsoft.com/office/spreadsheetml/2010/11/main" uri="{3A4CF648-6AED-40f4-86FF-DC5316D8AED3}">
      <x14:slicerList xmlns:x14="http://schemas.microsoft.com/office/spreadsheetml/2009/9/main">
        <x14:slicer r:id="rId5"/>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D96BB4-87C3-4125-9F59-34FEE46F8A4C}">
  <sheetPr codeName="Sheet28">
    <tabColor rgb="FF92D050"/>
  </sheetPr>
  <dimension ref="A1:AM716"/>
  <sheetViews>
    <sheetView topLeftCell="A88" zoomScale="70" zoomScaleNormal="70" workbookViewId="0">
      <selection activeCell="I136" sqref="I136"/>
    </sheetView>
  </sheetViews>
  <sheetFormatPr defaultColWidth="8.85546875" defaultRowHeight="15" x14ac:dyDescent="0.25"/>
  <cols>
    <col min="1" max="1" width="48.7109375" style="149" bestFit="1" customWidth="1"/>
    <col min="2" max="2" width="46.140625" style="149" bestFit="1" customWidth="1"/>
    <col min="3" max="3" width="17.140625" style="149" customWidth="1"/>
    <col min="4" max="4" width="14" style="149" customWidth="1"/>
    <col min="5" max="5" width="7.7109375" style="149" customWidth="1"/>
    <col min="6" max="6" width="10.140625" style="146" customWidth="1"/>
    <col min="7" max="7" width="2.5703125" style="146" customWidth="1"/>
    <col min="8" max="8" width="7.7109375" style="149" customWidth="1"/>
    <col min="9" max="9" width="63.140625" style="146" customWidth="1"/>
    <col min="10" max="10" width="0.140625" style="149" hidden="1" customWidth="1"/>
    <col min="11" max="11" width="9.5703125" style="149" customWidth="1"/>
    <col min="12" max="12" width="5" style="146" customWidth="1"/>
    <col min="13" max="13" width="7.28515625" style="146" hidden="1" customWidth="1"/>
    <col min="14" max="14" width="13.28515625" style="146" bestFit="1" customWidth="1"/>
    <col min="15" max="15" width="11.5703125" style="146" customWidth="1"/>
    <col min="16" max="16" width="8.140625" style="146" bestFit="1" customWidth="1"/>
    <col min="17" max="17" width="18.7109375" style="146" bestFit="1" customWidth="1"/>
    <col min="18" max="18" width="19.140625" style="146" bestFit="1" customWidth="1"/>
    <col min="19" max="19" width="57.7109375" style="146" bestFit="1" customWidth="1"/>
    <col min="20" max="20" width="7.28515625" style="146" customWidth="1"/>
    <col min="21" max="21" width="12.140625" style="146" customWidth="1"/>
    <col min="22" max="22" width="7.7109375" style="146" customWidth="1"/>
    <col min="23" max="24" width="8.85546875" style="146"/>
    <col min="25" max="25" width="10.140625" style="146" bestFit="1" customWidth="1"/>
    <col min="26" max="26" width="8.85546875" style="146"/>
    <col min="27" max="27" width="48.5703125" style="146" customWidth="1"/>
    <col min="28" max="28" width="25.7109375" style="146" customWidth="1"/>
    <col min="29" max="29" width="8.85546875" style="146"/>
    <col min="30" max="30" width="2" style="146" bestFit="1" customWidth="1"/>
    <col min="31" max="31" width="3.85546875" style="146" customWidth="1"/>
    <col min="32" max="32" width="3" style="146" bestFit="1" customWidth="1"/>
    <col min="33" max="33" width="5" style="146" customWidth="1"/>
    <col min="34" max="34" width="4" style="146" bestFit="1" customWidth="1"/>
    <col min="35" max="35" width="48.85546875" style="146" bestFit="1" customWidth="1"/>
    <col min="36" max="36" width="12.28515625" style="146" customWidth="1"/>
    <col min="37" max="37" width="8.7109375" style="146" customWidth="1"/>
    <col min="38" max="38" width="10.7109375" style="146" bestFit="1" customWidth="1"/>
    <col min="39" max="39" width="8.85546875" style="146"/>
    <col min="40" max="40" width="9.42578125" style="146" bestFit="1" customWidth="1"/>
    <col min="41" max="16384" width="8.85546875" style="146"/>
  </cols>
  <sheetData>
    <row r="1" spans="1:39" ht="78" customHeight="1" x14ac:dyDescent="0.25">
      <c r="AD1" s="153"/>
      <c r="AE1" s="153"/>
    </row>
    <row r="2" spans="1:39" x14ac:dyDescent="0.25">
      <c r="AD2" s="153"/>
      <c r="AE2" s="153"/>
    </row>
    <row r="3" spans="1:39" x14ac:dyDescent="0.25">
      <c r="AD3" s="153"/>
      <c r="AE3" s="153"/>
    </row>
    <row r="4" spans="1:39" x14ac:dyDescent="0.25">
      <c r="AD4" s="153"/>
      <c r="AE4" s="153"/>
    </row>
    <row r="5" spans="1:39" x14ac:dyDescent="0.25">
      <c r="AD5" s="153"/>
      <c r="AE5" s="153"/>
    </row>
    <row r="6" spans="1:39" x14ac:dyDescent="0.25">
      <c r="AD6" s="153"/>
      <c r="AE6" s="153"/>
    </row>
    <row r="7" spans="1:39" x14ac:dyDescent="0.25">
      <c r="AD7" s="104"/>
      <c r="AE7" s="104"/>
    </row>
    <row r="8" spans="1:39" x14ac:dyDescent="0.25">
      <c r="AD8" s="153"/>
      <c r="AE8" s="153"/>
    </row>
    <row r="9" spans="1:39" x14ac:dyDescent="0.25">
      <c r="AD9" s="153"/>
      <c r="AE9" s="153"/>
    </row>
    <row r="10" spans="1:39" x14ac:dyDescent="0.25">
      <c r="AD10" s="153"/>
      <c r="AE10" s="153"/>
    </row>
    <row r="11" spans="1:39" ht="72" customHeight="1" thickBot="1" x14ac:dyDescent="0.3">
      <c r="A11" s="38" t="s">
        <v>2574</v>
      </c>
      <c r="AD11" s="153"/>
      <c r="AE11" s="153"/>
    </row>
    <row r="12" spans="1:39" ht="6.6" customHeight="1" thickTop="1" x14ac:dyDescent="0.25">
      <c r="A12" s="83"/>
      <c r="B12" s="83"/>
      <c r="C12" s="83"/>
      <c r="D12" s="83"/>
      <c r="E12" s="83"/>
      <c r="F12" s="83"/>
      <c r="G12" s="83"/>
      <c r="H12" s="83"/>
      <c r="I12" s="83"/>
      <c r="J12" s="83"/>
      <c r="K12" s="83"/>
      <c r="L12" s="83"/>
      <c r="M12" s="83"/>
      <c r="N12" s="83"/>
      <c r="O12" s="83"/>
      <c r="P12" s="83"/>
      <c r="AD12" s="153"/>
      <c r="AE12" s="153"/>
      <c r="AF12" s="153"/>
    </row>
    <row r="13" spans="1:39" x14ac:dyDescent="0.25">
      <c r="A13" s="149" t="s">
        <v>886</v>
      </c>
      <c r="B13" s="72" t="s">
        <v>156</v>
      </c>
      <c r="C13" s="72" t="s">
        <v>4</v>
      </c>
      <c r="D13" s="147" t="s">
        <v>20</v>
      </c>
      <c r="E13" s="147" t="s">
        <v>2536</v>
      </c>
      <c r="F13" s="147" t="s">
        <v>2537</v>
      </c>
      <c r="G13" s="147" t="s">
        <v>21</v>
      </c>
      <c r="H13" s="147" t="s">
        <v>22</v>
      </c>
      <c r="I13" s="147" t="s">
        <v>23</v>
      </c>
      <c r="J13" s="147" t="s">
        <v>24</v>
      </c>
      <c r="K13" s="147" t="s">
        <v>25</v>
      </c>
      <c r="L13" s="147" t="s">
        <v>1904</v>
      </c>
      <c r="M13" s="147" t="s">
        <v>1607</v>
      </c>
      <c r="N13" s="147" t="s">
        <v>1399</v>
      </c>
      <c r="O13" s="147" t="s">
        <v>2557</v>
      </c>
      <c r="P13" s="147" t="s">
        <v>2519</v>
      </c>
      <c r="Q13" s="147" t="s">
        <v>2533</v>
      </c>
      <c r="R13" s="147" t="s">
        <v>2529</v>
      </c>
      <c r="S13" s="147" t="s">
        <v>2374</v>
      </c>
      <c r="T13" s="147" t="s">
        <v>2539</v>
      </c>
      <c r="U13" s="147" t="s">
        <v>2535</v>
      </c>
      <c r="V13" s="147" t="s">
        <v>2534</v>
      </c>
      <c r="W13" s="147" t="s">
        <v>2538</v>
      </c>
      <c r="X13" s="147" t="s">
        <v>2552</v>
      </c>
      <c r="Y13" s="147" t="s">
        <v>2553</v>
      </c>
      <c r="AB13" s="29"/>
      <c r="AC13" s="153"/>
      <c r="AD13" s="153"/>
      <c r="AE13" s="153"/>
      <c r="AF13" s="153"/>
      <c r="AI13" s="29"/>
      <c r="AK13" s="153"/>
      <c r="AL13" s="153"/>
      <c r="AM13" s="153"/>
    </row>
    <row r="14" spans="1:39" s="153" customFormat="1" x14ac:dyDescent="0.25">
      <c r="A14" s="150" t="s">
        <v>887</v>
      </c>
      <c r="B14" s="150" t="s">
        <v>881</v>
      </c>
      <c r="C14" s="150" t="s">
        <v>5</v>
      </c>
      <c r="D14" s="151" t="str">
        <f>IF(MouserListTable[[#This Row],[Vendor]]=FilterSpecs!$A$8,MouserListTable[[#This Row],[Mouser SKU]], MouserListTable[[#This Row],[Supplier SKU]])</f>
        <v>474-WIG-13660</v>
      </c>
      <c r="E14" s="152">
        <f>MouserListTable[[#This Row],[Tot '#]]-MouserListTable[[#This Row],['# Initial]]</f>
        <v>1</v>
      </c>
      <c r="F14" s="152">
        <f>IF(AND(MouserListTable[[#This Row],[Tag]]&lt;&gt;FilterSpecs!$F$12, MouserListTable[[#This Row],[Tag]]&lt;&gt;FilterSpecs!$F$9), MouserListTable[[#This Row],['#/Unit]]*FilterSpecs!$B$3+MouserListTable[[#This Row],[Extra Initial]],0)</f>
        <v>0</v>
      </c>
      <c r="G14" s="150" t="s">
        <v>131</v>
      </c>
      <c r="H14" s="150" t="s">
        <v>132</v>
      </c>
      <c r="I14" s="150" t="s">
        <v>133</v>
      </c>
      <c r="J14" s="150">
        <v>1</v>
      </c>
      <c r="K14" s="154">
        <v>49.95</v>
      </c>
      <c r="L14" s="150" t="s">
        <v>1896</v>
      </c>
      <c r="M14" s="151" t="s">
        <v>1476</v>
      </c>
      <c r="N14" s="154">
        <f>MouserListTable[[#This Row],['# Initial]]*MouserListTable[[#This Row],[Price (USD)]]</f>
        <v>0</v>
      </c>
      <c r="O14" s="151" t="s">
        <v>130</v>
      </c>
      <c r="P14" s="150">
        <f t="shared" ref="P14:P77" si="0">IF($P13="List #",1,$P13+1)</f>
        <v>1</v>
      </c>
      <c r="Q14" s="150" t="s">
        <v>5</v>
      </c>
      <c r="R1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474-WIG-13660</v>
      </c>
      <c r="S14" s="157" t="str">
        <f>HYPERLINK("https://www.mouser.com/ProductDetail/" &amp;MouserListTable[[#This Row],[Mouser SKU]])</f>
        <v>https://www.mouser.com/ProductDetail/474-WIG-13660</v>
      </c>
      <c r="T14" s="152">
        <v>0</v>
      </c>
      <c r="U14" s="152">
        <v>1</v>
      </c>
      <c r="V14" s="152">
        <v>0</v>
      </c>
      <c r="W14" s="152">
        <f>MouserListTable[[#This Row],['#/Unit]]*FilterSpecs!$C$3+MouserListTable[[#This Row],[Extra]]</f>
        <v>1</v>
      </c>
      <c r="X14" s="152">
        <f>IF(MouserListTable[[#This Row],[Tag]]=FilterSpecs!$F$7,MouserListTable[[#This Row],['#/Unit]]*MouserListTable[[#This Row],[Price (USD)]],0)</f>
        <v>0</v>
      </c>
      <c r="Y14" s="152">
        <f>MouserListTable[[#This Row],[Tot '#]]*MouserListTable[[#This Row],[Price (USD)]]</f>
        <v>49.95</v>
      </c>
      <c r="Z14" s="146"/>
      <c r="AA14" s="29" t="str">
        <f>[1]!nonzeroQtysOfList($F$14, $Q$14, InitialOrderTable2[[#This Row],[Name]], FilterSpecs!$A$7)</f>
        <v>Pogo Pin Probe Clip</v>
      </c>
      <c r="AB14" s="29">
        <f>[1]!nonzeroQtysOfList($F$14, $Q$14, InitialOrderTable2['# Initial], FilterSpecs!$A$7)</f>
        <v>1</v>
      </c>
      <c r="AC14" s="29" t="str">
        <f>[1]!nonzeroQtysOfList($F$14, $Q$14, InitialOrderTable2[SKU], FilterSpecs!$A$7)</f>
        <v>485-1969</v>
      </c>
      <c r="AG14" s="146"/>
      <c r="AH14" s="146"/>
      <c r="AI14" s="29"/>
      <c r="AJ14" s="146"/>
    </row>
    <row r="15" spans="1:39" s="153" customFormat="1" x14ac:dyDescent="0.25">
      <c r="A15" s="150" t="s">
        <v>887</v>
      </c>
      <c r="B15" s="150" t="s">
        <v>881</v>
      </c>
      <c r="C15" s="150" t="s">
        <v>5</v>
      </c>
      <c r="D15" s="151" t="str">
        <f>IF(MouserListTable[[#This Row],[Vendor]]=FilterSpecs!$A$8,MouserListTable[[#This Row],[Mouser SKU]], MouserListTable[[#This Row],[Supplier SKU]])</f>
        <v>474-COM-14023</v>
      </c>
      <c r="E15" s="152">
        <f>MouserListTable[[#This Row],[Tot '#]]-MouserListTable[[#This Row],['# Initial]]</f>
        <v>1</v>
      </c>
      <c r="F15" s="152">
        <f>IF(AND(MouserListTable[[#This Row],[Tag]]&lt;&gt;FilterSpecs!$F$12, MouserListTable[[#This Row],[Tag]]&lt;&gt;FilterSpecs!$F$9), MouserListTable[[#This Row],['#/Unit]]*FilterSpecs!$B$3+MouserListTable[[#This Row],[Extra Initial]],0)</f>
        <v>0</v>
      </c>
      <c r="G15" s="150" t="s">
        <v>143</v>
      </c>
      <c r="H15" s="150" t="s">
        <v>144</v>
      </c>
      <c r="I15" s="150" t="s">
        <v>145</v>
      </c>
      <c r="J15" s="150"/>
      <c r="K15" s="154">
        <v>4.95</v>
      </c>
      <c r="L15" s="150" t="s">
        <v>1896</v>
      </c>
      <c r="M15" s="151"/>
      <c r="N15" s="154">
        <f>MouserListTable[[#This Row],['# Initial]]*MouserListTable[[#This Row],[Price (USD)]]</f>
        <v>0</v>
      </c>
      <c r="O15" s="151" t="s">
        <v>142</v>
      </c>
      <c r="P15" s="150">
        <f t="shared" si="0"/>
        <v>2</v>
      </c>
      <c r="Q15" s="150" t="s">
        <v>5</v>
      </c>
      <c r="R1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474-COM-14023</v>
      </c>
      <c r="S15" s="157" t="str">
        <f>HYPERLINK("https://www.mouser.com/ProductDetail/" &amp;MouserListTable[[#This Row],[Mouser SKU]])</f>
        <v>https://www.mouser.com/ProductDetail/474-COM-14023</v>
      </c>
      <c r="T15" s="152">
        <v>0</v>
      </c>
      <c r="U15" s="152">
        <v>1</v>
      </c>
      <c r="V15" s="152">
        <v>0</v>
      </c>
      <c r="W15" s="152">
        <f>MouserListTable[[#This Row],['#/Unit]]*FilterSpecs!$C$3+MouserListTable[[#This Row],[Extra]]</f>
        <v>1</v>
      </c>
      <c r="X15" s="152">
        <f>IF(MouserListTable[[#This Row],[Tag]]=FilterSpecs!$F$7,MouserListTable[[#This Row],['#/Unit]]*MouserListTable[[#This Row],[Price (USD)]],0)</f>
        <v>0</v>
      </c>
      <c r="Y15" s="152">
        <f>MouserListTable[[#This Row],[Tot '#]]*MouserListTable[[#This Row],[Price (USD)]]</f>
        <v>4.95</v>
      </c>
      <c r="Z15" s="146"/>
      <c r="AA15" s="29" t="str">
        <f>[1]!nonzeroQtysOfList($F$14, $Q$14, InitialOrderTable2[[#This Row],[Name]], FilterSpecs!$A$7)</f>
        <v>5V 2A Switching Power Supply w/ USB-A Connector</v>
      </c>
      <c r="AB15" s="29">
        <f>[1]!nonzeroQtysOfList($F$14, $Q$14, InitialOrderTable2['# Initial], FilterSpecs!$A$7)</f>
        <v>5</v>
      </c>
      <c r="AC15" s="29" t="str">
        <f>[1]!nonzeroQtysOfList($F$14, $Q$14, InitialOrderTable2[SKU], FilterSpecs!$A$7)</f>
        <v>485-1994</v>
      </c>
      <c r="AG15" s="146"/>
      <c r="AH15" s="146"/>
      <c r="AI15" s="29"/>
      <c r="AJ15" s="146"/>
      <c r="AK15" s="146"/>
    </row>
    <row r="16" spans="1:39" s="153" customFormat="1" x14ac:dyDescent="0.25">
      <c r="A16" s="150" t="s">
        <v>887</v>
      </c>
      <c r="B16" s="150" t="s">
        <v>881</v>
      </c>
      <c r="C16" s="150" t="s">
        <v>5</v>
      </c>
      <c r="D16" s="151" t="str">
        <f>IF(MouserListTable[[#This Row],[Vendor]]=FilterSpecs!$A$8,MouserListTable[[#This Row],[Mouser SKU]], MouserListTable[[#This Row],[Supplier SKU]])</f>
        <v>474-COM-09151</v>
      </c>
      <c r="E16" s="152">
        <f>MouserListTable[[#This Row],[Tot '#]]-MouserListTable[[#This Row],['# Initial]]</f>
        <v>2</v>
      </c>
      <c r="F16" s="152">
        <f>IF(AND(MouserListTable[[#This Row],[Tag]]&lt;&gt;FilterSpecs!$F$12, MouserListTable[[#This Row],[Tag]]&lt;&gt;FilterSpecs!$F$9), MouserListTable[[#This Row],['#/Unit]]*FilterSpecs!$B$3+MouserListTable[[#This Row],[Extra Initial]],0)</f>
        <v>0</v>
      </c>
      <c r="G16" s="150" t="s">
        <v>147</v>
      </c>
      <c r="H16" s="150" t="s">
        <v>148</v>
      </c>
      <c r="I16" s="150" t="s">
        <v>149</v>
      </c>
      <c r="J16" s="150">
        <v>1</v>
      </c>
      <c r="K16" s="154">
        <v>1.95</v>
      </c>
      <c r="L16" s="150" t="s">
        <v>1896</v>
      </c>
      <c r="M16" s="151"/>
      <c r="N16" s="154">
        <f>MouserListTable[[#This Row],['# Initial]]*MouserListTable[[#This Row],[Price (USD)]]</f>
        <v>0</v>
      </c>
      <c r="O16" s="151" t="s">
        <v>146</v>
      </c>
      <c r="P16" s="150">
        <f t="shared" si="0"/>
        <v>3</v>
      </c>
      <c r="Q16" s="150" t="s">
        <v>5</v>
      </c>
      <c r="R1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474-COM-09151</v>
      </c>
      <c r="S16" s="157" t="str">
        <f>HYPERLINK("https://www.mouser.com/ProductDetail/" &amp;MouserListTable[[#This Row],[Mouser SKU]])</f>
        <v>https://www.mouser.com/ProductDetail/474-COM-09151</v>
      </c>
      <c r="T16" s="152">
        <v>0</v>
      </c>
      <c r="U16" s="152">
        <v>2</v>
      </c>
      <c r="V16" s="152">
        <v>0</v>
      </c>
      <c r="W16" s="152">
        <f>MouserListTable[[#This Row],['#/Unit]]*FilterSpecs!$C$3+MouserListTable[[#This Row],[Extra]]</f>
        <v>2</v>
      </c>
      <c r="X16" s="152">
        <f>IF(MouserListTable[[#This Row],[Tag]]=FilterSpecs!$F$7,MouserListTable[[#This Row],['#/Unit]]*MouserListTable[[#This Row],[Price (USD)]],0)</f>
        <v>0</v>
      </c>
      <c r="Y16" s="152">
        <f>MouserListTable[[#This Row],[Tot '#]]*MouserListTable[[#This Row],[Price (USD)]]</f>
        <v>3.9</v>
      </c>
      <c r="Z16" s="146"/>
      <c r="AA16" s="29" t="str">
        <f>[1]!nonzeroQtysOfList($F$14, $Q$14, InitialOrderTable2[[#This Row],[Name]], FilterSpecs!$A$7)</f>
        <v>MicroUSB to 5.5/2.1mm DC Barrel Jack Adapter</v>
      </c>
      <c r="AB16" s="29">
        <f>[1]!nonzeroQtysOfList($F$14, $Q$14, InitialOrderTable2['# Initial], FilterSpecs!$A$7)</f>
        <v>5</v>
      </c>
      <c r="AC16" s="29" t="str">
        <f>[1]!nonzeroQtysOfList($F$14, $Q$14, InitialOrderTable2[SKU], FilterSpecs!$A$7)</f>
        <v>485-2789</v>
      </c>
      <c r="AG16" s="146"/>
      <c r="AH16" s="146"/>
      <c r="AI16" s="29"/>
      <c r="AJ16" s="146"/>
      <c r="AK16" s="146"/>
    </row>
    <row r="17" spans="1:37" s="153" customFormat="1" x14ac:dyDescent="0.25">
      <c r="A17" s="150" t="s">
        <v>887</v>
      </c>
      <c r="B17" s="150" t="s">
        <v>881</v>
      </c>
      <c r="C17" s="150" t="s">
        <v>5</v>
      </c>
      <c r="D17" s="151" t="str">
        <f>IF(MouserListTable[[#This Row],[Vendor]]=FilterSpecs!$A$8,MouserListTable[[#This Row],[Mouser SKU]], MouserListTable[[#This Row],[Supplier SKU]])</f>
        <v>474-COM-11145</v>
      </c>
      <c r="E17" s="152">
        <f>MouserListTable[[#This Row],[Tot '#]]-MouserListTable[[#This Row],['# Initial]]</f>
        <v>1</v>
      </c>
      <c r="F17" s="152">
        <f>IF(AND(MouserListTable[[#This Row],[Tag]]&lt;&gt;FilterSpecs!$F$12, MouserListTable[[#This Row],[Tag]]&lt;&gt;FilterSpecs!$F$9), MouserListTable[[#This Row],['#/Unit]]*FilterSpecs!$B$3+MouserListTable[[#This Row],[Extra Initial]],0)</f>
        <v>0</v>
      </c>
      <c r="G17" s="150" t="s">
        <v>151</v>
      </c>
      <c r="H17" s="150" t="s">
        <v>152</v>
      </c>
      <c r="I17" s="150" t="s">
        <v>153</v>
      </c>
      <c r="J17" s="150"/>
      <c r="K17" s="154">
        <v>0.75</v>
      </c>
      <c r="L17" s="150" t="s">
        <v>1896</v>
      </c>
      <c r="M17" s="151"/>
      <c r="N17" s="154">
        <f>MouserListTable[[#This Row],['# Initial]]*MouserListTable[[#This Row],[Price (USD)]]</f>
        <v>0</v>
      </c>
      <c r="O17" s="151" t="s">
        <v>150</v>
      </c>
      <c r="P17" s="150">
        <f t="shared" si="0"/>
        <v>4</v>
      </c>
      <c r="Q17" s="150" t="s">
        <v>5</v>
      </c>
      <c r="R1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474-COM-11145</v>
      </c>
      <c r="S17" s="157" t="str">
        <f>HYPERLINK("https://www.mouser.com/ProductDetail/" &amp;MouserListTable[[#This Row],[Mouser SKU]])</f>
        <v>https://www.mouser.com/ProductDetail/474-COM-11145</v>
      </c>
      <c r="T17" s="152">
        <v>0</v>
      </c>
      <c r="U17" s="152">
        <v>1</v>
      </c>
      <c r="V17" s="152">
        <v>0</v>
      </c>
      <c r="W17" s="152">
        <f>MouserListTable[[#This Row],['#/Unit]]*FilterSpecs!$C$3+MouserListTable[[#This Row],[Extra]]</f>
        <v>1</v>
      </c>
      <c r="X17" s="152">
        <f>IF(MouserListTable[[#This Row],[Tag]]=FilterSpecs!$F$7,MouserListTable[[#This Row],['#/Unit]]*MouserListTable[[#This Row],[Price (USD)]],0)</f>
        <v>0</v>
      </c>
      <c r="Y17" s="152">
        <f>MouserListTable[[#This Row],[Tot '#]]*MouserListTable[[#This Row],[Price (USD)]]</f>
        <v>0.75</v>
      </c>
      <c r="Z17" s="146"/>
      <c r="AA17" s="29" t="str">
        <f>[1]!nonzeroQtysOfList($F$14, $Q$14, InitialOrderTable2[[#This Row],[Name]], FilterSpecs!$A$7)</f>
        <v>Waterproof DC Power Cable Set - 5.5/2.1mm</v>
      </c>
      <c r="AB17" s="29">
        <f>[1]!nonzeroQtysOfList($F$14, $Q$14, InitialOrderTable2['# Initial], FilterSpecs!$A$7)</f>
        <v>5</v>
      </c>
      <c r="AC17" s="29" t="str">
        <f>[1]!nonzeroQtysOfList($F$14, $Q$14, InitialOrderTable2[SKU], FilterSpecs!$A$7)</f>
        <v>485-743</v>
      </c>
      <c r="AG17" s="146"/>
      <c r="AH17" s="146"/>
      <c r="AI17" s="29"/>
      <c r="AJ17" s="146"/>
      <c r="AK17" s="146"/>
    </row>
    <row r="18" spans="1:37" s="153" customFormat="1" x14ac:dyDescent="0.25">
      <c r="A18" s="150" t="s">
        <v>887</v>
      </c>
      <c r="B18" s="150" t="s">
        <v>881</v>
      </c>
      <c r="C18" s="150" t="s">
        <v>5</v>
      </c>
      <c r="D18" s="151" t="str">
        <f>IF(MouserListTable[[#This Row],[Vendor]]=FilterSpecs!$A$8,MouserListTable[[#This Row],[Mouser SKU]], MouserListTable[[#This Row],[Supplier SKU]])</f>
        <v>474-ROB-08449</v>
      </c>
      <c r="E18" s="152">
        <f>MouserListTable[[#This Row],[Tot '#]]-MouserListTable[[#This Row],['# Initial]]</f>
        <v>2</v>
      </c>
      <c r="F18" s="152">
        <f>IF(AND(MouserListTable[[#This Row],[Tag]]&lt;&gt;FilterSpecs!$F$12, MouserListTable[[#This Row],[Tag]]&lt;&gt;FilterSpecs!$F$9), MouserListTable[[#This Row],['#/Unit]]*FilterSpecs!$B$3+MouserListTable[[#This Row],[Extra Initial]],0)</f>
        <v>0</v>
      </c>
      <c r="G18" s="150" t="s">
        <v>661</v>
      </c>
      <c r="H18" s="150" t="s">
        <v>662</v>
      </c>
      <c r="I18" s="150" t="s">
        <v>663</v>
      </c>
      <c r="J18" s="150">
        <v>1</v>
      </c>
      <c r="K18" s="154">
        <v>4.95</v>
      </c>
      <c r="L18" s="150" t="s">
        <v>1896</v>
      </c>
      <c r="M18" s="151"/>
      <c r="N18" s="154">
        <f>MouserListTable[[#This Row],['# Initial]]*MouserListTable[[#This Row],[Price (USD)]]</f>
        <v>0</v>
      </c>
      <c r="O18" s="151" t="s">
        <v>660</v>
      </c>
      <c r="P18" s="150">
        <f t="shared" si="0"/>
        <v>5</v>
      </c>
      <c r="Q18" s="150" t="s">
        <v>5</v>
      </c>
      <c r="R1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474-ROB-08449</v>
      </c>
      <c r="S18" s="157" t="str">
        <f>HYPERLINK("https://www.mouser.com/ProductDetail/" &amp;MouserListTable[[#This Row],[Mouser SKU]])</f>
        <v>https://www.mouser.com/ProductDetail/474-ROB-08449</v>
      </c>
      <c r="T18" s="152">
        <v>0</v>
      </c>
      <c r="U18" s="152">
        <v>2</v>
      </c>
      <c r="V18" s="152">
        <v>0</v>
      </c>
      <c r="W18" s="152">
        <f>MouserListTable[[#This Row],['#/Unit]]*FilterSpecs!$C$3+MouserListTable[[#This Row],[Extra]]</f>
        <v>2</v>
      </c>
      <c r="X18" s="152">
        <f>IF(MouserListTable[[#This Row],[Tag]]=FilterSpecs!$F$7,MouserListTable[[#This Row],['#/Unit]]*MouserListTable[[#This Row],[Price (USD)]],0)</f>
        <v>0</v>
      </c>
      <c r="Y18" s="152">
        <f>MouserListTable[[#This Row],[Tot '#]]*MouserListTable[[#This Row],[Price (USD)]]</f>
        <v>9.9</v>
      </c>
      <c r="Z18" s="146"/>
      <c r="AA18" s="29" t="str">
        <f>[1]!nonzeroQtysOfList($F$14, $Q$14, InitialOrderTable2[[#This Row],[Name]], FilterSpecs!$A$7)</f>
        <v>Adafruit VL53L0X Time of Flight Distance Sensor - ~30 to 1000mm</v>
      </c>
      <c r="AB18" s="29">
        <f>[1]!nonzeroQtysOfList($F$14, $Q$14, InitialOrderTable2['# Initial], FilterSpecs!$A$7)</f>
        <v>5</v>
      </c>
      <c r="AC18" s="29" t="str">
        <f>[1]!nonzeroQtysOfList($F$14, $Q$14, InitialOrderTable2[SKU], FilterSpecs!$A$7)</f>
        <v>485-3317</v>
      </c>
      <c r="AG18" s="146"/>
      <c r="AH18" s="146"/>
      <c r="AI18" s="29"/>
      <c r="AJ18" s="146"/>
      <c r="AK18" s="146"/>
    </row>
    <row r="19" spans="1:37" s="153" customFormat="1" x14ac:dyDescent="0.25">
      <c r="A19" s="150" t="s">
        <v>887</v>
      </c>
      <c r="B19" s="150" t="s">
        <v>881</v>
      </c>
      <c r="C19" s="150" t="s">
        <v>5</v>
      </c>
      <c r="D19" s="151" t="str">
        <f>IF(MouserListTable[[#This Row],[Vendor]]=FilterSpecs!$A$8,MouserListTable[[#This Row],[Mouser SKU]], MouserListTable[[#This Row],[Supplier SKU]])</f>
        <v>474-DEV-11711</v>
      </c>
      <c r="E19" s="152">
        <f>MouserListTable[[#This Row],[Tot '#]]-MouserListTable[[#This Row],['# Initial]]</f>
        <v>1</v>
      </c>
      <c r="F19" s="152">
        <f>IF(AND(MouserListTable[[#This Row],[Tag]]&lt;&gt;FilterSpecs!$F$12, MouserListTable[[#This Row],[Tag]]&lt;&gt;FilterSpecs!$F$9), MouserListTable[[#This Row],['#/Unit]]*FilterSpecs!$B$3+MouserListTable[[#This Row],[Extra Initial]],0)</f>
        <v>0</v>
      </c>
      <c r="G19" s="150" t="s">
        <v>135</v>
      </c>
      <c r="H19" s="150" t="s">
        <v>136</v>
      </c>
      <c r="I19" s="150" t="s">
        <v>137</v>
      </c>
      <c r="J19" s="150">
        <v>1</v>
      </c>
      <c r="K19" s="154">
        <v>59.95</v>
      </c>
      <c r="L19" s="150" t="s">
        <v>1896</v>
      </c>
      <c r="M19" s="151"/>
      <c r="N19" s="154">
        <f>MouserListTable[[#This Row],['# Initial]]*MouserListTable[[#This Row],[Price (USD)]]</f>
        <v>0</v>
      </c>
      <c r="O19" s="151" t="s">
        <v>134</v>
      </c>
      <c r="P19" s="150">
        <f t="shared" si="0"/>
        <v>6</v>
      </c>
      <c r="Q19" s="150" t="s">
        <v>5</v>
      </c>
      <c r="R1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474-DEV-11711</v>
      </c>
      <c r="S19" s="157" t="str">
        <f>HYPERLINK("https://www.mouser.com/ProductDetail/" &amp;MouserListTable[[#This Row],[Mouser SKU]])</f>
        <v>https://www.mouser.com/ProductDetail/474-DEV-11711</v>
      </c>
      <c r="T19" s="152">
        <v>0</v>
      </c>
      <c r="U19" s="152">
        <v>1</v>
      </c>
      <c r="V19" s="152">
        <v>0</v>
      </c>
      <c r="W19" s="152">
        <f>MouserListTable[[#This Row],['#/Unit]]*FilterSpecs!$C$3+MouserListTable[[#This Row],[Extra]]</f>
        <v>1</v>
      </c>
      <c r="X19" s="152">
        <f>IF(MouserListTable[[#This Row],[Tag]]=FilterSpecs!$F$7,MouserListTable[[#This Row],['#/Unit]]*MouserListTable[[#This Row],[Price (USD)]],0)</f>
        <v>0</v>
      </c>
      <c r="Y19" s="152">
        <f>MouserListTable[[#This Row],[Tot '#]]*MouserListTable[[#This Row],[Price (USD)]]</f>
        <v>59.95</v>
      </c>
      <c r="Z19" s="146"/>
      <c r="AA19" s="29" t="str">
        <f>[1]!nonzeroQtysOfList($F$14, $Q$14, InitialOrderTable2[[#This Row],[Name]], FilterSpecs!$A$7)</f>
        <v>Pressure-Sensitive Conductive Sheet (Velostat/Linqstat)</v>
      </c>
      <c r="AB19" s="29">
        <f>[1]!nonzeroQtysOfList($F$14, $Q$14, InitialOrderTable2['# Initial], FilterSpecs!$A$7)</f>
        <v>1</v>
      </c>
      <c r="AC19" s="29" t="str">
        <f>[1]!nonzeroQtysOfList($F$14, $Q$14, InitialOrderTable2[SKU], FilterSpecs!$A$7)</f>
        <v>485-1361</v>
      </c>
      <c r="AG19" s="146"/>
      <c r="AH19" s="146"/>
      <c r="AI19" s="29"/>
      <c r="AJ19" s="146"/>
      <c r="AK19" s="146"/>
    </row>
    <row r="20" spans="1:37" s="153" customFormat="1" x14ac:dyDescent="0.25">
      <c r="A20" s="150" t="s">
        <v>887</v>
      </c>
      <c r="B20" s="150" t="s">
        <v>881</v>
      </c>
      <c r="C20" s="150" t="s">
        <v>5</v>
      </c>
      <c r="D20" s="151" t="str">
        <f>IF(MouserListTable[[#This Row],[Vendor]]=FilterSpecs!$A$8,MouserListTable[[#This Row],[Mouser SKU]], MouserListTable[[#This Row],[Supplier SKU]])</f>
        <v>474-BOB-09868</v>
      </c>
      <c r="E20" s="152">
        <f>MouserListTable[[#This Row],[Tot '#]]-MouserListTable[[#This Row],['# Initial]]</f>
        <v>1</v>
      </c>
      <c r="F20" s="152">
        <f>IF(AND(MouserListTable[[#This Row],[Tag]]&lt;&gt;FilterSpecs!$F$12, MouserListTable[[#This Row],[Tag]]&lt;&gt;FilterSpecs!$F$9), MouserListTable[[#This Row],['#/Unit]]*FilterSpecs!$B$3+MouserListTable[[#This Row],[Extra Initial]],0)</f>
        <v>0</v>
      </c>
      <c r="G20" s="150" t="s">
        <v>1486</v>
      </c>
      <c r="H20" s="150" t="s">
        <v>1487</v>
      </c>
      <c r="I20" s="150" t="s">
        <v>1488</v>
      </c>
      <c r="J20" s="150">
        <v>1</v>
      </c>
      <c r="K20" s="154">
        <v>9.9499999999999993</v>
      </c>
      <c r="L20" s="150" t="s">
        <v>1896</v>
      </c>
      <c r="M20" s="151"/>
      <c r="N20" s="154">
        <f>MouserListTable[[#This Row],['# Initial]]*MouserListTable[[#This Row],[Price (USD)]]</f>
        <v>0</v>
      </c>
      <c r="O20" s="151" t="s">
        <v>1485</v>
      </c>
      <c r="P20" s="150">
        <f t="shared" si="0"/>
        <v>7</v>
      </c>
      <c r="Q20" s="150" t="s">
        <v>5</v>
      </c>
      <c r="R2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474-BOB-09868</v>
      </c>
      <c r="S20" s="157" t="str">
        <f>HYPERLINK("https://www.mouser.com/ProductDetail/" &amp;MouserListTable[[#This Row],[Mouser SKU]])</f>
        <v>https://www.mouser.com/ProductDetail/474-BOB-09868</v>
      </c>
      <c r="T20" s="152">
        <v>0</v>
      </c>
      <c r="U20" s="152">
        <v>1</v>
      </c>
      <c r="V20" s="152">
        <v>0</v>
      </c>
      <c r="W20" s="152">
        <f>MouserListTable[[#This Row],['#/Unit]]*FilterSpecs!$C$3+MouserListTable[[#This Row],[Extra]]</f>
        <v>1</v>
      </c>
      <c r="X20" s="152">
        <f>IF(MouserListTable[[#This Row],[Tag]]=FilterSpecs!$F$7,MouserListTable[[#This Row],['#/Unit]]*MouserListTable[[#This Row],[Price (USD)]],0)</f>
        <v>0</v>
      </c>
      <c r="Y20" s="152">
        <f>MouserListTable[[#This Row],[Tot '#]]*MouserListTable[[#This Row],[Price (USD)]]</f>
        <v>9.9499999999999993</v>
      </c>
      <c r="Z20" s="146"/>
      <c r="AA20" s="29" t="str">
        <f>[1]!nonzeroQtysOfList($F$14, $Q$14, InitialOrderTable2[[#This Row],[Name]], FilterSpecs!$A$7)</f>
        <v>Woven Conductive Fabric - 20cm square</v>
      </c>
      <c r="AB20" s="29">
        <f>[1]!nonzeroQtysOfList($F$14, $Q$14, InitialOrderTable2['# Initial], FilterSpecs!$A$7)</f>
        <v>1</v>
      </c>
      <c r="AC20" s="29" t="str">
        <f>[1]!nonzeroQtysOfList($F$14, $Q$14, InitialOrderTable2[SKU], FilterSpecs!$A$7)</f>
        <v>485-1168</v>
      </c>
      <c r="AG20" s="146"/>
      <c r="AH20" s="146"/>
      <c r="AI20" s="29"/>
      <c r="AJ20" s="146"/>
      <c r="AK20" s="146"/>
    </row>
    <row r="21" spans="1:37" s="153" customFormat="1" x14ac:dyDescent="0.25">
      <c r="A21" s="150" t="s">
        <v>887</v>
      </c>
      <c r="B21" s="150" t="s">
        <v>881</v>
      </c>
      <c r="C21" s="150" t="s">
        <v>5</v>
      </c>
      <c r="D21" s="151" t="str">
        <f>IF(MouserListTable[[#This Row],[Vendor]]=FilterSpecs!$A$8,MouserListTable[[#This Row],[Mouser SKU]], MouserListTable[[#This Row],[Supplier SKU]])</f>
        <v>474-COM-08635</v>
      </c>
      <c r="E21" s="152">
        <f>MouserListTable[[#This Row],[Tot '#]]-MouserListTable[[#This Row],['# Initial]]</f>
        <v>1</v>
      </c>
      <c r="F21" s="152">
        <f>IF(AND(MouserListTable[[#This Row],[Tag]]&lt;&gt;FilterSpecs!$F$12, MouserListTable[[#This Row],[Tag]]&lt;&gt;FilterSpecs!$F$9), MouserListTable[[#This Row],['#/Unit]]*FilterSpecs!$B$3+MouserListTable[[#This Row],[Extra Initial]],0)</f>
        <v>0</v>
      </c>
      <c r="G21" s="150" t="s">
        <v>1506</v>
      </c>
      <c r="H21" s="150" t="s">
        <v>1507</v>
      </c>
      <c r="I21" s="150" t="s">
        <v>1508</v>
      </c>
      <c r="J21" s="150">
        <v>1</v>
      </c>
      <c r="K21" s="154">
        <v>0.95</v>
      </c>
      <c r="L21" s="150" t="s">
        <v>1896</v>
      </c>
      <c r="M21" s="151"/>
      <c r="N21" s="154">
        <f>MouserListTable[[#This Row],['# Initial]]*MouserListTable[[#This Row],[Price (USD)]]</f>
        <v>0</v>
      </c>
      <c r="O21" s="151" t="s">
        <v>1505</v>
      </c>
      <c r="P21" s="150">
        <f t="shared" si="0"/>
        <v>8</v>
      </c>
      <c r="Q21" s="150" t="s">
        <v>5</v>
      </c>
      <c r="R2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474-COM-08635</v>
      </c>
      <c r="S21" s="157" t="str">
        <f>HYPERLINK("https://www.mouser.com/ProductDetail/" &amp;MouserListTable[[#This Row],[Mouser SKU]])</f>
        <v>https://www.mouser.com/ProductDetail/474-COM-08635</v>
      </c>
      <c r="T21" s="152">
        <v>0</v>
      </c>
      <c r="U21" s="152">
        <v>1</v>
      </c>
      <c r="V21" s="152">
        <v>0</v>
      </c>
      <c r="W21" s="152">
        <f>MouserListTable[[#This Row],['#/Unit]]*FilterSpecs!$C$3+MouserListTable[[#This Row],[Extra]]</f>
        <v>1</v>
      </c>
      <c r="X21" s="152">
        <f>IF(MouserListTable[[#This Row],[Tag]]=FilterSpecs!$F$7,MouserListTable[[#This Row],['#/Unit]]*MouserListTable[[#This Row],[Price (USD)]],0)</f>
        <v>0</v>
      </c>
      <c r="Y21" s="152">
        <f>MouserListTable[[#This Row],[Tot '#]]*MouserListTable[[#This Row],[Price (USD)]]</f>
        <v>0.95</v>
      </c>
      <c r="Z21" s="146"/>
      <c r="AA21" s="29" t="str">
        <f>[1]!nonzeroQtysOfList($F$14, $Q$14, InitialOrderTable2[[#This Row],[Name]], FilterSpecs!$A$7)</f>
        <v>RGB LCD Shield Kit w/ 16x2 Character Display - Only 2 pins used! - POSITIVE DISPLAY</v>
      </c>
      <c r="AB21" s="29">
        <f>[1]!nonzeroQtysOfList($F$14, $Q$14, InitialOrderTable2['# Initial], FilterSpecs!$A$7)</f>
        <v>5</v>
      </c>
      <c r="AC21" s="29" t="str">
        <f>[1]!nonzeroQtysOfList($F$14, $Q$14, InitialOrderTable2[SKU], FilterSpecs!$A$7)</f>
        <v>485-716</v>
      </c>
      <c r="AG21" s="146"/>
      <c r="AH21" s="146"/>
      <c r="AI21" s="29"/>
      <c r="AJ21" s="146"/>
      <c r="AK21" s="146"/>
    </row>
    <row r="22" spans="1:37" s="153" customFormat="1" x14ac:dyDescent="0.25">
      <c r="A22" s="150" t="s">
        <v>887</v>
      </c>
      <c r="B22" s="150" t="s">
        <v>881</v>
      </c>
      <c r="C22" s="150" t="s">
        <v>5</v>
      </c>
      <c r="D22" s="151" t="str">
        <f>IF(MouserListTable[[#This Row],[Vendor]]=FilterSpecs!$A$8,MouserListTable[[#This Row],[Mouser SKU]], MouserListTable[[#This Row],[Supplier SKU]])</f>
        <v>474-BOB-12758</v>
      </c>
      <c r="E22" s="152">
        <f>MouserListTable[[#This Row],[Tot '#]]-MouserListTable[[#This Row],['# Initial]]</f>
        <v>1</v>
      </c>
      <c r="F22" s="152">
        <f>IF(AND(MouserListTable[[#This Row],[Tag]]&lt;&gt;FilterSpecs!$F$12, MouserListTable[[#This Row],[Tag]]&lt;&gt;FilterSpecs!$F$9), MouserListTable[[#This Row],['#/Unit]]*FilterSpecs!$B$3+MouserListTable[[#This Row],[Extra Initial]],0)</f>
        <v>0</v>
      </c>
      <c r="G22" s="150" t="s">
        <v>1838</v>
      </c>
      <c r="H22" s="150" t="s">
        <v>1839</v>
      </c>
      <c r="I22" s="150" t="s">
        <v>1840</v>
      </c>
      <c r="J22" s="150">
        <v>1</v>
      </c>
      <c r="K22" s="154">
        <v>5.95</v>
      </c>
      <c r="L22" s="150" t="s">
        <v>1896</v>
      </c>
      <c r="M22" s="151"/>
      <c r="N22" s="154">
        <f>MouserListTable[[#This Row],['# Initial]]*MouserListTable[[#This Row],[Price (USD)]]</f>
        <v>0</v>
      </c>
      <c r="O22" s="151" t="s">
        <v>1837</v>
      </c>
      <c r="P22" s="150">
        <f t="shared" si="0"/>
        <v>9</v>
      </c>
      <c r="Q22" s="150" t="s">
        <v>5</v>
      </c>
      <c r="R2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474-BOB-12758</v>
      </c>
      <c r="S22" s="157" t="str">
        <f>HYPERLINK("https://www.mouser.com/ProductDetail/" &amp;MouserListTable[[#This Row],[Mouser SKU]])</f>
        <v>https://www.mouser.com/ProductDetail/474-BOB-12758</v>
      </c>
      <c r="T22" s="152">
        <v>0</v>
      </c>
      <c r="U22" s="152">
        <v>1</v>
      </c>
      <c r="V22" s="152">
        <v>0</v>
      </c>
      <c r="W22" s="152">
        <f>MouserListTable[[#This Row],['#/Unit]]*FilterSpecs!$C$3+MouserListTable[[#This Row],[Extra]]</f>
        <v>1</v>
      </c>
      <c r="X22" s="152">
        <f>IF(MouserListTable[[#This Row],[Tag]]=FilterSpecs!$F$7,MouserListTable[[#This Row],['#/Unit]]*MouserListTable[[#This Row],[Price (USD)]],0)</f>
        <v>0</v>
      </c>
      <c r="Y22" s="152">
        <f>MouserListTable[[#This Row],[Tot '#]]*MouserListTable[[#This Row],[Price (USD)]]</f>
        <v>5.95</v>
      </c>
      <c r="Z22" s="146"/>
      <c r="AA22" s="29" t="str">
        <f>[1]!nonzeroQtysOfList($F$14, $Q$14, InitialOrderTable2[[#This Row],[Name]], FilterSpecs!$A$7)</f>
        <v xml:space="preserve">Membrane 3x4 Matrix Keypad + extras - 3x4 </v>
      </c>
      <c r="AB22" s="29">
        <f>[1]!nonzeroQtysOfList($F$14, $Q$14, InitialOrderTable2['# Initial], FilterSpecs!$A$7)</f>
        <v>5</v>
      </c>
      <c r="AC22" s="29" t="str">
        <f>[1]!nonzeroQtysOfList($F$14, $Q$14, InitialOrderTable2[SKU], FilterSpecs!$A$7)</f>
        <v>485-419</v>
      </c>
      <c r="AG22" s="146"/>
      <c r="AH22" s="146"/>
      <c r="AI22" s="146"/>
      <c r="AJ22" s="146"/>
      <c r="AK22" s="146"/>
    </row>
    <row r="23" spans="1:37" s="153" customFormat="1" x14ac:dyDescent="0.25">
      <c r="A23" s="97" t="s">
        <v>887</v>
      </c>
      <c r="B23" s="97" t="s">
        <v>881</v>
      </c>
      <c r="C23" s="150" t="s">
        <v>5</v>
      </c>
      <c r="D23" s="151" t="str">
        <f>IF(MouserListTable[[#This Row],[Vendor]]=FilterSpecs!$A$8,MouserListTable[[#This Row],[Mouser SKU]], MouserListTable[[#This Row],[Supplier SKU]])</f>
        <v>474-SEN-12642</v>
      </c>
      <c r="E23" s="152">
        <f>MouserListTable[[#This Row],[Tot '#]]-MouserListTable[[#This Row],['# Initial]]</f>
        <v>0</v>
      </c>
      <c r="F23" s="152">
        <f>IF(AND(MouserListTable[[#This Row],[Tag]]&lt;&gt;FilterSpecs!$F$12, MouserListTable[[#This Row],[Tag]]&lt;&gt;FilterSpecs!$F$9), MouserListTable[[#This Row],['#/Unit]]*FilterSpecs!$B$3+MouserListTable[[#This Row],[Extra Initial]],0)</f>
        <v>0</v>
      </c>
      <c r="G23" s="150" t="s">
        <v>139</v>
      </c>
      <c r="H23" s="150" t="s">
        <v>140</v>
      </c>
      <c r="I23" s="150" t="s">
        <v>141</v>
      </c>
      <c r="J23" s="150">
        <v>1</v>
      </c>
      <c r="K23" s="154">
        <v>10.95</v>
      </c>
      <c r="L23" s="150" t="s">
        <v>1896</v>
      </c>
      <c r="N23" s="154">
        <f>MouserListTable[[#This Row],['# Initial]]*MouserListTable[[#This Row],[Price (USD)]]</f>
        <v>0</v>
      </c>
      <c r="O23" s="151" t="s">
        <v>138</v>
      </c>
      <c r="P23" s="150">
        <f t="shared" si="0"/>
        <v>10</v>
      </c>
      <c r="Q23" s="150" t="s">
        <v>5</v>
      </c>
      <c r="R2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474-SEN-12642</v>
      </c>
      <c r="S23" s="157" t="str">
        <f>HYPERLINK("https://www.mouser.com/ProductDetail/" &amp;MouserListTable[[#This Row],[Mouser SKU]])</f>
        <v>https://www.mouser.com/ProductDetail/474-SEN-12642</v>
      </c>
      <c r="T23" s="152">
        <v>0</v>
      </c>
      <c r="U23" s="152">
        <v>0</v>
      </c>
      <c r="V23" s="152">
        <v>0</v>
      </c>
      <c r="W23" s="152">
        <f>MouserListTable[[#This Row],['#/Unit]]*FilterSpecs!$C$3+MouserListTable[[#This Row],[Extra]]</f>
        <v>0</v>
      </c>
      <c r="X23" s="152">
        <f>IF(MouserListTable[[#This Row],[Tag]]=FilterSpecs!$F$7,MouserListTable[[#This Row],['#/Unit]]*MouserListTable[[#This Row],[Price (USD)]],0)</f>
        <v>0</v>
      </c>
      <c r="Y23" s="152">
        <f>MouserListTable[[#This Row],[Tot '#]]*MouserListTable[[#This Row],[Price (USD)]]</f>
        <v>0</v>
      </c>
      <c r="Z23" s="146"/>
      <c r="AA23" s="29" t="str">
        <f>[1]!nonzeroQtysOfList($F$14, $Q$14, InitialOrderTable2[[#This Row],[Name]], FilterSpecs!$A$7)</f>
        <v>Bluetooth / WiFi Combination USB Dongle</v>
      </c>
      <c r="AB23" s="29">
        <f>[1]!nonzeroQtysOfList($F$14, $Q$14, InitialOrderTable2['# Initial], FilterSpecs!$A$7)</f>
        <v>5</v>
      </c>
      <c r="AC23" s="29" t="str">
        <f>[1]!nonzeroQtysOfList($F$14, $Q$14, InitialOrderTable2[SKU], FilterSpecs!$A$7)</f>
        <v>485-2649</v>
      </c>
      <c r="AG23" s="146"/>
      <c r="AH23" s="146"/>
      <c r="AI23" s="146"/>
      <c r="AJ23" s="146"/>
      <c r="AK23" s="146"/>
    </row>
    <row r="24" spans="1:37" s="153" customFormat="1" x14ac:dyDescent="0.25">
      <c r="A24" s="150" t="s">
        <v>887</v>
      </c>
      <c r="B24" s="150" t="s">
        <v>881</v>
      </c>
      <c r="C24" s="150" t="s">
        <v>1884</v>
      </c>
      <c r="D24" s="151" t="str">
        <f>IF(MouserListTable[[#This Row],[Vendor]]=FilterSpecs!$A$8,MouserListTable[[#This Row],[Mouser SKU]], MouserListTable[[#This Row],[Supplier SKU]])</f>
        <v>485-94</v>
      </c>
      <c r="E24" s="152">
        <f>MouserListTable[[#This Row],[Tot '#]]-MouserListTable[[#This Row],['# Initial]]</f>
        <v>0</v>
      </c>
      <c r="F24" s="152">
        <f>IF(AND(MouserListTable[[#This Row],[Tag]]&lt;&gt;FilterSpecs!$F$12, MouserListTable[[#This Row],[Tag]]&lt;&gt;FilterSpecs!$F$9), MouserListTable[[#This Row],['#/Unit]]*FilterSpecs!$B$3+MouserListTable[[#This Row],[Extra Initial]],0)</f>
        <v>0</v>
      </c>
      <c r="G24" s="150"/>
      <c r="H24" s="150"/>
      <c r="I24" s="150" t="s">
        <v>2227</v>
      </c>
      <c r="K24" s="118">
        <v>22</v>
      </c>
      <c r="L24" s="97" t="s">
        <v>1896</v>
      </c>
      <c r="N24" s="154">
        <f>MouserListTable[[#This Row],['# Initial]]*MouserListTable[[#This Row],[Price (USD)]]</f>
        <v>0</v>
      </c>
      <c r="O24" s="151" t="s">
        <v>2226</v>
      </c>
      <c r="P24" s="150">
        <f t="shared" si="0"/>
        <v>11</v>
      </c>
      <c r="Q24" s="150" t="s">
        <v>1884</v>
      </c>
      <c r="R2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485-94</v>
      </c>
      <c r="S24" s="157" t="str">
        <f>HYPERLINK("https://www.mouser.com/ProductDetail/" &amp;MouserListTable[[#This Row],[Mouser SKU]])</f>
        <v>https://www.mouser.com/ProductDetail/485-94</v>
      </c>
      <c r="T24" s="152">
        <v>0</v>
      </c>
      <c r="U24" s="152">
        <v>0</v>
      </c>
      <c r="V24" s="152">
        <v>0</v>
      </c>
      <c r="W24" s="152">
        <f>MouserListTable[[#This Row],['#/Unit]]*FilterSpecs!$C$3+MouserListTable[[#This Row],[Extra]]</f>
        <v>0</v>
      </c>
      <c r="X24" s="152">
        <f>IF(MouserListTable[[#This Row],[Tag]]=FilterSpecs!$F$7,MouserListTable[[#This Row],['#/Unit]]*MouserListTable[[#This Row],[Price (USD)]],0)</f>
        <v>0</v>
      </c>
      <c r="Y24" s="152">
        <f>MouserListTable[[#This Row],[Tot '#]]*MouserListTable[[#This Row],[Price (USD)]]</f>
        <v>0</v>
      </c>
      <c r="Z24" s="146"/>
      <c r="AA24" s="29" t="str">
        <f>[1]!nonzeroQtysOfList($F$14, $Q$14, InitialOrderTable2[[#This Row],[Name]], FilterSpecs!$A$7)</f>
        <v>Tiny OTG Adapter - USB Micro to USB</v>
      </c>
      <c r="AB24" s="29">
        <f>[1]!nonzeroQtysOfList($F$14, $Q$14, InitialOrderTable2['# Initial], FilterSpecs!$A$7)</f>
        <v>5</v>
      </c>
      <c r="AC24" s="29" t="str">
        <f>[1]!nonzeroQtysOfList($F$14, $Q$14, InitialOrderTable2[SKU], FilterSpecs!$A$7)</f>
        <v>485-2910</v>
      </c>
      <c r="AG24" s="146"/>
      <c r="AH24" s="146"/>
      <c r="AI24" s="146"/>
      <c r="AJ24" s="146"/>
      <c r="AK24" s="146"/>
    </row>
    <row r="25" spans="1:37" s="153" customFormat="1" x14ac:dyDescent="0.25">
      <c r="A25" s="150" t="s">
        <v>887</v>
      </c>
      <c r="B25" s="150" t="s">
        <v>881</v>
      </c>
      <c r="C25" s="150" t="s">
        <v>5</v>
      </c>
      <c r="D25" s="151" t="str">
        <f>IF(MouserListTable[[#This Row],[Vendor]]=FilterSpecs!$A$8,MouserListTable[[#This Row],[Mouser SKU]], MouserListTable[[#This Row],[Supplier SKU]])</f>
        <v>474-WRL-11924</v>
      </c>
      <c r="E25" s="152">
        <f>MouserListTable[[#This Row],[Tot '#]]-MouserListTable[[#This Row],['# Initial]]</f>
        <v>0</v>
      </c>
      <c r="F25" s="152">
        <f>IF(AND(MouserListTable[[#This Row],[Tag]]&lt;&gt;FilterSpecs!$F$12, MouserListTable[[#This Row],[Tag]]&lt;&gt;FilterSpecs!$F$9), MouserListTable[[#This Row],['#/Unit]]*FilterSpecs!$B$3+MouserListTable[[#This Row],[Extra Initial]],0)</f>
        <v>0</v>
      </c>
      <c r="G25" s="150" t="s">
        <v>1478</v>
      </c>
      <c r="H25" s="150" t="s">
        <v>1479</v>
      </c>
      <c r="I25" s="150" t="s">
        <v>1480</v>
      </c>
      <c r="J25" s="97">
        <v>49.95</v>
      </c>
      <c r="K25" s="97">
        <v>49.95</v>
      </c>
      <c r="L25" s="97" t="s">
        <v>1896</v>
      </c>
      <c r="M25" s="97"/>
      <c r="N25" s="154">
        <f>MouserListTable[[#This Row],['# Initial]]*MouserListTable[[#This Row],[Price (USD)]]</f>
        <v>0</v>
      </c>
      <c r="O25" s="97" t="s">
        <v>1477</v>
      </c>
      <c r="P25" s="150">
        <f t="shared" si="0"/>
        <v>12</v>
      </c>
      <c r="Q25" s="150" t="s">
        <v>5</v>
      </c>
      <c r="R2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474-WRL-11924</v>
      </c>
      <c r="S25" s="157" t="str">
        <f>HYPERLINK("https://www.mouser.com/ProductDetail/" &amp;MouserListTable[[#This Row],[Mouser SKU]])</f>
        <v>https://www.mouser.com/ProductDetail/474-WRL-11924</v>
      </c>
      <c r="T25" s="152">
        <v>0</v>
      </c>
      <c r="U25" s="152">
        <v>0</v>
      </c>
      <c r="V25" s="152">
        <v>0</v>
      </c>
      <c r="W25" s="152">
        <f>MouserListTable[[#This Row],['#/Unit]]*FilterSpecs!$C$3+MouserListTable[[#This Row],[Extra]]</f>
        <v>0</v>
      </c>
      <c r="X25" s="152">
        <f>IF(MouserListTable[[#This Row],[Tag]]=FilterSpecs!$F$7,MouserListTable[[#This Row],['#/Unit]]*MouserListTable[[#This Row],[Price (USD)]],0)</f>
        <v>0</v>
      </c>
      <c r="Y25" s="152">
        <f>MouserListTable[[#This Row],[Tot '#]]*MouserListTable[[#This Row],[Price (USD)]]</f>
        <v>0</v>
      </c>
      <c r="Z25" s="146"/>
      <c r="AA25" s="29" t="str">
        <f>[1]!nonzeroQtysOfList($F$14, $Q$14, InitialOrderTable2[[#This Row],[Name]], FilterSpecs!$A$7)</f>
        <v>Hand-Moldable Plastic - Low Temperature Thermoplastic - 100g Bag</v>
      </c>
      <c r="AB25" s="29">
        <f>[1]!nonzeroQtysOfList($F$14, $Q$14, InitialOrderTable2['# Initial], FilterSpecs!$A$7)</f>
        <v>3</v>
      </c>
      <c r="AC25" s="29" t="str">
        <f>[1]!nonzeroQtysOfList($F$14, $Q$14, InitialOrderTable2[SKU], FilterSpecs!$A$7)</f>
        <v>485-2504</v>
      </c>
      <c r="AG25" s="146"/>
      <c r="AH25" s="146"/>
      <c r="AI25" s="146"/>
      <c r="AJ25" s="146"/>
      <c r="AK25" s="146"/>
    </row>
    <row r="26" spans="1:37" s="153" customFormat="1" x14ac:dyDescent="0.25">
      <c r="A26" s="150" t="s">
        <v>887</v>
      </c>
      <c r="B26" s="150" t="s">
        <v>881</v>
      </c>
      <c r="C26" s="150" t="s">
        <v>5</v>
      </c>
      <c r="D26" s="151" t="str">
        <f>IF(MouserListTable[[#This Row],[Vendor]]=FilterSpecs!$A$8,MouserListTable[[#This Row],[Mouser SKU]], MouserListTable[[#This Row],[Supplier SKU]])</f>
        <v>474-WRL-11927</v>
      </c>
      <c r="E26" s="152">
        <f>MouserListTable[[#This Row],[Tot '#]]-MouserListTable[[#This Row],['# Initial]]</f>
        <v>0</v>
      </c>
      <c r="F26" s="152">
        <f>IF(AND(MouserListTable[[#This Row],[Tag]]&lt;&gt;FilterSpecs!$F$12, MouserListTable[[#This Row],[Tag]]&lt;&gt;FilterSpecs!$F$9), MouserListTable[[#This Row],['#/Unit]]*FilterSpecs!$B$3+MouserListTable[[#This Row],[Extra Initial]],0)</f>
        <v>0</v>
      </c>
      <c r="G26" s="150" t="s">
        <v>1482</v>
      </c>
      <c r="H26" s="150" t="s">
        <v>1483</v>
      </c>
      <c r="I26" s="150" t="s">
        <v>1484</v>
      </c>
      <c r="J26" s="97">
        <v>44.95</v>
      </c>
      <c r="K26" s="97">
        <v>44.95</v>
      </c>
      <c r="L26" s="97" t="s">
        <v>1896</v>
      </c>
      <c r="M26" s="97"/>
      <c r="N26" s="154">
        <f>MouserListTable[[#This Row],['# Initial]]*MouserListTable[[#This Row],[Price (USD)]]</f>
        <v>0</v>
      </c>
      <c r="O26" s="97" t="s">
        <v>1481</v>
      </c>
      <c r="P26" s="150">
        <f t="shared" si="0"/>
        <v>13</v>
      </c>
      <c r="Q26" s="150" t="s">
        <v>5</v>
      </c>
      <c r="R2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474-WRL-11927</v>
      </c>
      <c r="S26" s="157" t="str">
        <f>HYPERLINK("https://www.mouser.com/ProductDetail/" &amp;MouserListTable[[#This Row],[Mouser SKU]])</f>
        <v>https://www.mouser.com/ProductDetail/474-WRL-11927</v>
      </c>
      <c r="T26" s="152">
        <v>0</v>
      </c>
      <c r="U26" s="152">
        <v>0</v>
      </c>
      <c r="V26" s="152">
        <v>0</v>
      </c>
      <c r="W26" s="152">
        <f>MouserListTable[[#This Row],['#/Unit]]*FilterSpecs!$C$3+MouserListTable[[#This Row],[Extra]]</f>
        <v>0</v>
      </c>
      <c r="X26" s="152">
        <f>IF(MouserListTable[[#This Row],[Tag]]=FilterSpecs!$F$7,MouserListTable[[#This Row],['#/Unit]]*MouserListTable[[#This Row],[Price (USD)]],0)</f>
        <v>0</v>
      </c>
      <c r="Y26" s="152">
        <f>MouserListTable[[#This Row],[Tot '#]]*MouserListTable[[#This Row],[Price (USD)]]</f>
        <v>0</v>
      </c>
      <c r="Z26" s="146"/>
      <c r="AA26" s="29" t="str">
        <f>[1]!nonzeroQtysOfList($F$14, $Q$14, InitialOrderTable2[[#This Row],[Name]], FilterSpecs!$A$7)</f>
        <v>Sugru - Black and White Pack</v>
      </c>
      <c r="AB26" s="29">
        <f>[1]!nonzeroQtysOfList($F$14, $Q$14, InitialOrderTable2['# Initial], FilterSpecs!$A$7)</f>
        <v>1</v>
      </c>
      <c r="AC26" s="29" t="str">
        <f>[1]!nonzeroQtysOfList($F$14, $Q$14, InitialOrderTable2[SKU], FilterSpecs!$A$7)</f>
        <v>485-437</v>
      </c>
      <c r="AG26" s="146"/>
      <c r="AH26" s="146"/>
      <c r="AI26" s="146"/>
      <c r="AJ26" s="146"/>
      <c r="AK26" s="146"/>
    </row>
    <row r="27" spans="1:37" s="153" customFormat="1" x14ac:dyDescent="0.25">
      <c r="A27" s="150" t="s">
        <v>887</v>
      </c>
      <c r="B27" s="150" t="s">
        <v>881</v>
      </c>
      <c r="C27" s="150" t="s">
        <v>1884</v>
      </c>
      <c r="D27" s="151" t="str">
        <f>IF(MouserListTable[[#This Row],[Vendor]]=FilterSpecs!$A$8,MouserListTable[[#This Row],[Mouser SKU]], MouserListTable[[#This Row],[Supplier SKU]])</f>
        <v>485-3369</v>
      </c>
      <c r="E27" s="152">
        <f>MouserListTable[[#This Row],[Tot '#]]-MouserListTable[[#This Row],['# Initial]]</f>
        <v>0</v>
      </c>
      <c r="F27" s="152">
        <f>IF(AND(MouserListTable[[#This Row],[Tag]]&lt;&gt;FilterSpecs!$F$12, MouserListTable[[#This Row],[Tag]]&lt;&gt;FilterSpecs!$F$9), MouserListTable[[#This Row],['#/Unit]]*FilterSpecs!$B$3+MouserListTable[[#This Row],[Extra Initial]],0)</f>
        <v>0</v>
      </c>
      <c r="G27" s="150"/>
      <c r="H27" s="150"/>
      <c r="I27" s="150" t="s">
        <v>2229</v>
      </c>
      <c r="K27" s="118">
        <v>12.5</v>
      </c>
      <c r="L27" s="97" t="s">
        <v>1896</v>
      </c>
      <c r="N27" s="154">
        <f>MouserListTable[[#This Row],['# Initial]]*MouserListTable[[#This Row],[Price (USD)]]</f>
        <v>0</v>
      </c>
      <c r="O27" s="151" t="s">
        <v>2228</v>
      </c>
      <c r="P27" s="150">
        <f t="shared" si="0"/>
        <v>14</v>
      </c>
      <c r="Q27" s="150" t="s">
        <v>1884</v>
      </c>
      <c r="R2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485-3369</v>
      </c>
      <c r="S27" s="157" t="str">
        <f>HYPERLINK("https://www.mouser.com/ProductDetail/" &amp;MouserListTable[[#This Row],[Mouser SKU]])</f>
        <v>https://www.mouser.com/ProductDetail/485-3369</v>
      </c>
      <c r="T27" s="152">
        <v>0</v>
      </c>
      <c r="U27" s="152">
        <v>0</v>
      </c>
      <c r="V27" s="152">
        <v>0</v>
      </c>
      <c r="W27" s="152">
        <f>MouserListTable[[#This Row],['#/Unit]]*FilterSpecs!$C$3+MouserListTable[[#This Row],[Extra]]</f>
        <v>0</v>
      </c>
      <c r="X27" s="152">
        <f>IF(MouserListTable[[#This Row],[Tag]]=FilterSpecs!$F$7,MouserListTable[[#This Row],['#/Unit]]*MouserListTable[[#This Row],[Price (USD)]],0)</f>
        <v>0</v>
      </c>
      <c r="Y27" s="152">
        <f>MouserListTable[[#This Row],[Tot '#]]*MouserListTable[[#This Row],[Price (USD)]]</f>
        <v>0</v>
      </c>
      <c r="Z27" s="146"/>
      <c r="AA27" s="29" t="str">
        <f>[1]!nonzeroQtysOfList($F$14, $Q$14, InitialOrderTable2[[#This Row],[Name]], FilterSpecs!$A$7)</f>
        <v xml:space="preserve">TO-220 Clip-On Heatsink </v>
      </c>
      <c r="AB27" s="29">
        <f>[1]!nonzeroQtysOfList($F$14, $Q$14, InitialOrderTable2['# Initial], FilterSpecs!$A$7)</f>
        <v>10</v>
      </c>
      <c r="AC27" s="29" t="str">
        <f>[1]!nonzeroQtysOfList($F$14, $Q$14, InitialOrderTable2[SKU], FilterSpecs!$A$7)</f>
        <v>485-977</v>
      </c>
      <c r="AG27" s="146"/>
      <c r="AH27" s="146"/>
      <c r="AI27" s="146"/>
      <c r="AJ27" s="146"/>
      <c r="AK27" s="146"/>
    </row>
    <row r="28" spans="1:37" s="153" customFormat="1" x14ac:dyDescent="0.25">
      <c r="A28" s="150" t="s">
        <v>887</v>
      </c>
      <c r="B28" s="150" t="s">
        <v>881</v>
      </c>
      <c r="C28" s="150" t="s">
        <v>1884</v>
      </c>
      <c r="D28" s="151" t="str">
        <f>IF(MouserListTable[[#This Row],[Vendor]]=FilterSpecs!$A$8,MouserListTable[[#This Row],[Mouser SKU]], MouserListTable[[#This Row],[Supplier SKU]])</f>
        <v>485-3367</v>
      </c>
      <c r="E28" s="152">
        <f>MouserListTable[[#This Row],[Tot '#]]-MouserListTable[[#This Row],['# Initial]]</f>
        <v>0</v>
      </c>
      <c r="F28" s="152">
        <f>IF(AND(MouserListTable[[#This Row],[Tag]]&lt;&gt;FilterSpecs!$F$12, MouserListTable[[#This Row],[Tag]]&lt;&gt;FilterSpecs!$F$9), MouserListTable[[#This Row],['#/Unit]]*FilterSpecs!$B$3+MouserListTable[[#This Row],[Extra Initial]],0)</f>
        <v>0</v>
      </c>
      <c r="G28" s="150"/>
      <c r="H28" s="150"/>
      <c r="I28" s="150" t="s">
        <v>2231</v>
      </c>
      <c r="K28" s="118">
        <v>5.95</v>
      </c>
      <c r="L28" s="97" t="s">
        <v>1896</v>
      </c>
      <c r="N28" s="154">
        <f>MouserListTable[[#This Row],['# Initial]]*MouserListTable[[#This Row],[Price (USD)]]</f>
        <v>0</v>
      </c>
      <c r="O28" s="151" t="s">
        <v>2230</v>
      </c>
      <c r="P28" s="150">
        <f t="shared" si="0"/>
        <v>15</v>
      </c>
      <c r="Q28" s="150" t="s">
        <v>1884</v>
      </c>
      <c r="R2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485-3367</v>
      </c>
      <c r="S28" s="157" t="str">
        <f>HYPERLINK("https://www.mouser.com/ProductDetail/" &amp;MouserListTable[[#This Row],[Mouser SKU]])</f>
        <v>https://www.mouser.com/ProductDetail/485-3367</v>
      </c>
      <c r="T28" s="152">
        <v>0</v>
      </c>
      <c r="U28" s="152">
        <v>0</v>
      </c>
      <c r="V28" s="152">
        <v>0</v>
      </c>
      <c r="W28" s="152">
        <f>MouserListTable[[#This Row],['#/Unit]]*FilterSpecs!$C$3+MouserListTable[[#This Row],[Extra]]</f>
        <v>0</v>
      </c>
      <c r="X28" s="152">
        <f>IF(MouserListTable[[#This Row],[Tag]]=FilterSpecs!$F$7,MouserListTable[[#This Row],['#/Unit]]*MouserListTable[[#This Row],[Price (USD)]],0)</f>
        <v>0</v>
      </c>
      <c r="Y28" s="152">
        <f>MouserListTable[[#This Row],[Tot '#]]*MouserListTable[[#This Row],[Price (USD)]]</f>
        <v>0</v>
      </c>
      <c r="Z28" s="146"/>
      <c r="AA28" s="29" t="str">
        <f>[1]!nonzeroQtysOfList($F$14, $Q$14, InitialOrderTable2[[#This Row],[Name]], FilterSpecs!$A$7)</f>
        <v xml:space="preserve">Potentiometer Knob - Soft Touch T18 - White </v>
      </c>
      <c r="AB28" s="29">
        <f>[1]!nonzeroQtysOfList($F$14, $Q$14, InitialOrderTable2['# Initial], FilterSpecs!$A$7)</f>
        <v>10</v>
      </c>
      <c r="AC28" s="29" t="str">
        <f>[1]!nonzeroQtysOfList($F$14, $Q$14, InitialOrderTable2[SKU], FilterSpecs!$A$7)</f>
        <v>485-2047</v>
      </c>
      <c r="AG28" s="146"/>
      <c r="AH28" s="146"/>
      <c r="AI28" s="146"/>
      <c r="AJ28" s="146"/>
      <c r="AK28" s="146"/>
    </row>
    <row r="29" spans="1:37" s="153" customFormat="1" x14ac:dyDescent="0.25">
      <c r="A29" s="150" t="s">
        <v>887</v>
      </c>
      <c r="B29" s="150" t="s">
        <v>881</v>
      </c>
      <c r="C29" s="150" t="s">
        <v>1884</v>
      </c>
      <c r="D29" s="151" t="str">
        <f>IF(MouserListTable[[#This Row],[Vendor]]=FilterSpecs!$A$8,MouserListTable[[#This Row],[Mouser SKU]], MouserListTable[[#This Row],[Supplier SKU]])</f>
        <v>485-3351</v>
      </c>
      <c r="E29" s="152">
        <f>MouserListTable[[#This Row],[Tot '#]]-MouserListTable[[#This Row],['# Initial]]</f>
        <v>0</v>
      </c>
      <c r="F29" s="152">
        <f>IF(AND(MouserListTable[[#This Row],[Tag]]&lt;&gt;FilterSpecs!$F$12, MouserListTable[[#This Row],[Tag]]&lt;&gt;FilterSpecs!$F$9), MouserListTable[[#This Row],['#/Unit]]*FilterSpecs!$B$3+MouserListTable[[#This Row],[Extra Initial]],0)</f>
        <v>0</v>
      </c>
      <c r="G29" s="150"/>
      <c r="H29" s="150"/>
      <c r="I29" s="150" t="s">
        <v>2233</v>
      </c>
      <c r="K29" s="118">
        <v>3.95</v>
      </c>
      <c r="L29" s="97" t="s">
        <v>1896</v>
      </c>
      <c r="N29" s="154">
        <f>MouserListTable[[#This Row],['# Initial]]*MouserListTable[[#This Row],[Price (USD)]]</f>
        <v>0</v>
      </c>
      <c r="O29" s="151" t="s">
        <v>2232</v>
      </c>
      <c r="P29" s="150">
        <f t="shared" si="0"/>
        <v>16</v>
      </c>
      <c r="Q29" s="150" t="s">
        <v>1884</v>
      </c>
      <c r="R2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485-3351</v>
      </c>
      <c r="S29" s="157" t="str">
        <f>HYPERLINK("https://www.mouser.com/ProductDetail/" &amp;MouserListTable[[#This Row],[Mouser SKU]])</f>
        <v>https://www.mouser.com/ProductDetail/485-3351</v>
      </c>
      <c r="T29" s="152">
        <v>0</v>
      </c>
      <c r="U29" s="152">
        <v>0</v>
      </c>
      <c r="V29" s="152">
        <v>0</v>
      </c>
      <c r="W29" s="152">
        <f>MouserListTable[[#This Row],['#/Unit]]*FilterSpecs!$C$3+MouserListTable[[#This Row],[Extra]]</f>
        <v>0</v>
      </c>
      <c r="X29" s="152">
        <f>IF(MouserListTable[[#This Row],[Tag]]=FilterSpecs!$F$7,MouserListTable[[#This Row],['#/Unit]]*MouserListTable[[#This Row],[Price (USD)]],0)</f>
        <v>0</v>
      </c>
      <c r="Y29" s="152">
        <f>MouserListTable[[#This Row],[Tot '#]]*MouserListTable[[#This Row],[Price (USD)]]</f>
        <v>0</v>
      </c>
      <c r="Z29" s="146"/>
      <c r="AA29" s="29" t="str">
        <f>[1]!nonzeroQtysOfList($F$14, $Q$14, InitialOrderTable2[[#This Row],[Name]], FilterSpecs!$A$7)</f>
        <v>IDC Breakout Helper - 2x5 (10 pin)</v>
      </c>
      <c r="AB29" s="29">
        <f>[1]!nonzeroQtysOfList($F$14, $Q$14, InitialOrderTable2['# Initial], FilterSpecs!$A$7)</f>
        <v>10</v>
      </c>
      <c r="AC29" s="29" t="str">
        <f>[1]!nonzeroQtysOfList($F$14, $Q$14, InitialOrderTable2[SKU], FilterSpecs!$A$7)</f>
        <v>485-2102</v>
      </c>
      <c r="AG29" s="146"/>
      <c r="AH29" s="146"/>
      <c r="AI29" s="146"/>
      <c r="AJ29" s="146"/>
      <c r="AK29" s="146"/>
    </row>
    <row r="30" spans="1:37" s="104" customFormat="1" x14ac:dyDescent="0.25">
      <c r="A30" s="150" t="s">
        <v>887</v>
      </c>
      <c r="B30" s="150" t="s">
        <v>881</v>
      </c>
      <c r="C30" s="150" t="s">
        <v>1884</v>
      </c>
      <c r="D30" s="151" t="str">
        <f>IF(MouserListTable[[#This Row],[Vendor]]=FilterSpecs!$A$8,MouserListTable[[#This Row],[Mouser SKU]], MouserListTable[[#This Row],[Supplier SKU]])</f>
        <v>485-1314</v>
      </c>
      <c r="E30" s="152">
        <f>MouserListTable[[#This Row],[Tot '#]]-MouserListTable[[#This Row],['# Initial]]</f>
        <v>0</v>
      </c>
      <c r="F30" s="152">
        <f>IF(AND(MouserListTable[[#This Row],[Tag]]&lt;&gt;FilterSpecs!$F$12, MouserListTable[[#This Row],[Tag]]&lt;&gt;FilterSpecs!$F$9), MouserListTable[[#This Row],['#/Unit]]*FilterSpecs!$B$3+MouserListTable[[#This Row],[Extra Initial]],0)</f>
        <v>0</v>
      </c>
      <c r="G30" s="150"/>
      <c r="H30" s="150"/>
      <c r="I30" s="150" t="s">
        <v>2235</v>
      </c>
      <c r="J30" s="153"/>
      <c r="K30" s="118">
        <v>1.95</v>
      </c>
      <c r="L30" s="97" t="s">
        <v>1896</v>
      </c>
      <c r="M30" s="153"/>
      <c r="N30" s="154">
        <f>MouserListTable[[#This Row],['# Initial]]*MouserListTable[[#This Row],[Price (USD)]]</f>
        <v>0</v>
      </c>
      <c r="O30" s="151" t="s">
        <v>2234</v>
      </c>
      <c r="P30" s="150">
        <f t="shared" si="0"/>
        <v>17</v>
      </c>
      <c r="Q30" s="150" t="s">
        <v>1884</v>
      </c>
      <c r="R3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485-1314</v>
      </c>
      <c r="S30" s="157" t="str">
        <f>HYPERLINK("https://www.mouser.com/ProductDetail/" &amp;MouserListTable[[#This Row],[Mouser SKU]])</f>
        <v>https://www.mouser.com/ProductDetail/485-1314</v>
      </c>
      <c r="T30" s="152">
        <v>0</v>
      </c>
      <c r="U30" s="152">
        <v>0</v>
      </c>
      <c r="V30" s="152">
        <v>0</v>
      </c>
      <c r="W30" s="152">
        <f>MouserListTable[[#This Row],['#/Unit]]*FilterSpecs!$C$3+MouserListTable[[#This Row],[Extra]]</f>
        <v>0</v>
      </c>
      <c r="X30" s="152">
        <f>IF(MouserListTable[[#This Row],[Tag]]=FilterSpecs!$F$7,MouserListTable[[#This Row],['#/Unit]]*MouserListTable[[#This Row],[Price (USD)]],0)</f>
        <v>0</v>
      </c>
      <c r="Y30" s="152">
        <f>MouserListTable[[#This Row],[Tot '#]]*MouserListTable[[#This Row],[Price (USD)]]</f>
        <v>0</v>
      </c>
      <c r="Z30" s="146"/>
      <c r="AA30" s="29" t="str">
        <f>[1]!nonzeroQtysOfList($F$14, $Q$14, InitialOrderTable2[[#This Row],[Name]], FilterSpecs!$A$7)</f>
        <v xml:space="preserve">Jumper Shunt with Handle (0.1" / 2.54mm) – 10 Pack </v>
      </c>
      <c r="AB30" s="29">
        <f>[1]!nonzeroQtysOfList($F$14, $Q$14, InitialOrderTable2['# Initial], FilterSpecs!$A$7)</f>
        <v>1</v>
      </c>
      <c r="AC30" s="29" t="str">
        <f>[1]!nonzeroQtysOfList($F$14, $Q$14, InitialOrderTable2[SKU], FilterSpecs!$A$7)</f>
        <v>485-3525</v>
      </c>
      <c r="AF30" s="153"/>
      <c r="AG30" s="146"/>
      <c r="AH30" s="146"/>
      <c r="AI30" s="146"/>
      <c r="AJ30" s="146"/>
      <c r="AK30" s="146"/>
    </row>
    <row r="31" spans="1:37" s="104" customFormat="1" x14ac:dyDescent="0.25">
      <c r="A31" s="150" t="s">
        <v>887</v>
      </c>
      <c r="B31" s="150" t="s">
        <v>881</v>
      </c>
      <c r="C31" s="150" t="s">
        <v>1884</v>
      </c>
      <c r="D31" s="151" t="str">
        <f>IF(MouserListTable[[#This Row],[Vendor]]=FilterSpecs!$A$8,MouserListTable[[#This Row],[Mouser SKU]], MouserListTable[[#This Row],[Supplier SKU]])</f>
        <v>485-1313</v>
      </c>
      <c r="E31" s="152">
        <f>MouserListTable[[#This Row],[Tot '#]]-MouserListTable[[#This Row],['# Initial]]</f>
        <v>0</v>
      </c>
      <c r="F31" s="152">
        <f>IF(AND(MouserListTable[[#This Row],[Tag]]&lt;&gt;FilterSpecs!$F$12, MouserListTable[[#This Row],[Tag]]&lt;&gt;FilterSpecs!$F$9), MouserListTable[[#This Row],['#/Unit]]*FilterSpecs!$B$3+MouserListTable[[#This Row],[Extra Initial]],0)</f>
        <v>0</v>
      </c>
      <c r="G31" s="150"/>
      <c r="H31" s="150"/>
      <c r="I31" s="150" t="s">
        <v>2237</v>
      </c>
      <c r="J31" s="153"/>
      <c r="K31" s="118">
        <v>1.95</v>
      </c>
      <c r="L31" s="97" t="s">
        <v>1899</v>
      </c>
      <c r="M31" s="153"/>
      <c r="N31" s="154">
        <f>MouserListTable[[#This Row],['# Initial]]*MouserListTable[[#This Row],[Price (USD)]]</f>
        <v>0</v>
      </c>
      <c r="O31" s="151" t="s">
        <v>2236</v>
      </c>
      <c r="P31" s="150">
        <f t="shared" si="0"/>
        <v>18</v>
      </c>
      <c r="Q31" s="150" t="s">
        <v>1884</v>
      </c>
      <c r="R3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485-1313</v>
      </c>
      <c r="S31" s="157" t="str">
        <f>HYPERLINK("https://www.mouser.com/ProductDetail/" &amp;MouserListTable[[#This Row],[Mouser SKU]])</f>
        <v>https://www.mouser.com/ProductDetail/485-1313</v>
      </c>
      <c r="T31" s="152">
        <v>0</v>
      </c>
      <c r="U31" s="152">
        <v>0</v>
      </c>
      <c r="V31" s="152">
        <v>0</v>
      </c>
      <c r="W31" s="152">
        <f>MouserListTable[[#This Row],['#/Unit]]*FilterSpecs!$C$3+MouserListTable[[#This Row],[Extra]]</f>
        <v>0</v>
      </c>
      <c r="X31" s="152">
        <f>IF(MouserListTable[[#This Row],[Tag]]=FilterSpecs!$F$7,MouserListTable[[#This Row],['#/Unit]]*MouserListTable[[#This Row],[Price (USD)]],0)</f>
        <v>0</v>
      </c>
      <c r="Y31" s="152">
        <f>MouserListTable[[#This Row],[Tot '#]]*MouserListTable[[#This Row],[Price (USD)]]</f>
        <v>0</v>
      </c>
      <c r="Z31" s="146"/>
      <c r="AA31" s="29" t="str">
        <f>[1]!nonzeroQtysOfList($F$14, $Q$14, InitialOrderTable2[[#This Row],[Name]], FilterSpecs!$A$7)</f>
        <v>Adafruit Parts Pal</v>
      </c>
      <c r="AB31" s="29">
        <f>[1]!nonzeroQtysOfList($F$14, $Q$14, InitialOrderTable2['# Initial], FilterSpecs!$A$7)</f>
        <v>1</v>
      </c>
      <c r="AC31" s="29" t="str">
        <f>[1]!nonzeroQtysOfList($F$14, $Q$14, InitialOrderTable2[SKU], FilterSpecs!$A$7)</f>
        <v>485-2975</v>
      </c>
      <c r="AF31" s="153"/>
      <c r="AG31" s="146"/>
      <c r="AH31" s="146"/>
      <c r="AI31" s="146"/>
      <c r="AJ31" s="146"/>
      <c r="AK31" s="146"/>
    </row>
    <row r="32" spans="1:37" s="104" customFormat="1" x14ac:dyDescent="0.25">
      <c r="A32" s="150" t="s">
        <v>887</v>
      </c>
      <c r="B32" s="150" t="s">
        <v>881</v>
      </c>
      <c r="C32" s="150" t="s">
        <v>1884</v>
      </c>
      <c r="D32" s="151" t="str">
        <f>IF(MouserListTable[[#This Row],[Vendor]]=FilterSpecs!$A$8,MouserListTable[[#This Row],[Mouser SKU]], MouserListTable[[#This Row],[Supplier SKU]])</f>
        <v>485-1669</v>
      </c>
      <c r="E32" s="152">
        <f>MouserListTable[[#This Row],[Tot '#]]-MouserListTable[[#This Row],['# Initial]]</f>
        <v>0</v>
      </c>
      <c r="F32" s="152">
        <f>IF(AND(MouserListTable[[#This Row],[Tag]]&lt;&gt;FilterSpecs!$F$12, MouserListTable[[#This Row],[Tag]]&lt;&gt;FilterSpecs!$F$9), MouserListTable[[#This Row],['#/Unit]]*FilterSpecs!$B$3+MouserListTable[[#This Row],[Extra Initial]],0)</f>
        <v>0</v>
      </c>
      <c r="G32" s="150"/>
      <c r="H32" s="150"/>
      <c r="I32" s="150" t="s">
        <v>2239</v>
      </c>
      <c r="J32" s="153"/>
      <c r="K32" s="118">
        <v>7.5</v>
      </c>
      <c r="L32" s="97" t="s">
        <v>1899</v>
      </c>
      <c r="M32" s="153"/>
      <c r="N32" s="154">
        <f>MouserListTable[[#This Row],['# Initial]]*MouserListTable[[#This Row],[Price (USD)]]</f>
        <v>0</v>
      </c>
      <c r="O32" s="151" t="s">
        <v>2238</v>
      </c>
      <c r="P32" s="150">
        <f t="shared" si="0"/>
        <v>19</v>
      </c>
      <c r="Q32" s="150" t="s">
        <v>1884</v>
      </c>
      <c r="R3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485-1669</v>
      </c>
      <c r="S32" s="157" t="str">
        <f>HYPERLINK("https://www.mouser.com/ProductDetail/" &amp;MouserListTable[[#This Row],[Mouser SKU]])</f>
        <v>https://www.mouser.com/ProductDetail/485-1669</v>
      </c>
      <c r="T32" s="152">
        <v>0</v>
      </c>
      <c r="U32" s="152">
        <v>0</v>
      </c>
      <c r="V32" s="152">
        <v>0</v>
      </c>
      <c r="W32" s="152">
        <f>MouserListTable[[#This Row],['#/Unit]]*FilterSpecs!$C$3+MouserListTable[[#This Row],[Extra]]</f>
        <v>0</v>
      </c>
      <c r="X32" s="152">
        <f>IF(MouserListTable[[#This Row],[Tag]]=FilterSpecs!$F$7,MouserListTable[[#This Row],['#/Unit]]*MouserListTable[[#This Row],[Price (USD)]],0)</f>
        <v>0</v>
      </c>
      <c r="Y32" s="152">
        <f>MouserListTable[[#This Row],[Tot '#]]*MouserListTable[[#This Row],[Price (USD)]]</f>
        <v>0</v>
      </c>
      <c r="Z32" s="146"/>
      <c r="AA32" s="29" t="str">
        <f>[1]!nonzeroQtysOfList($F$14, $Q$14, InitialOrderTable2[[#This Row],[Name]], FilterSpecs!$A$7)</f>
        <v>Shield stacking headers for Arduino (R3 Compatible)</v>
      </c>
      <c r="AB32" s="29">
        <f>[1]!nonzeroQtysOfList($F$14, $Q$14, InitialOrderTable2['# Initial], FilterSpecs!$A$7)</f>
        <v>10</v>
      </c>
      <c r="AC32" s="29" t="str">
        <f>[1]!nonzeroQtysOfList($F$14, $Q$14, InitialOrderTable2[SKU], FilterSpecs!$A$7)</f>
        <v>485-85</v>
      </c>
      <c r="AH32" s="146"/>
      <c r="AI32" s="146"/>
      <c r="AJ32" s="146"/>
    </row>
    <row r="33" spans="1:36" s="153" customFormat="1" x14ac:dyDescent="0.25">
      <c r="A33" s="150" t="s">
        <v>887</v>
      </c>
      <c r="B33" s="150" t="s">
        <v>881</v>
      </c>
      <c r="C33" s="150" t="s">
        <v>1884</v>
      </c>
      <c r="D33" s="151" t="str">
        <f>IF(MouserListTable[[#This Row],[Vendor]]=FilterSpecs!$A$8,MouserListTable[[#This Row],[Mouser SKU]], MouserListTable[[#This Row],[Supplier SKU]])</f>
        <v>485-1363</v>
      </c>
      <c r="E33" s="152">
        <f>MouserListTable[[#This Row],[Tot '#]]-MouserListTable[[#This Row],['# Initial]]</f>
        <v>0</v>
      </c>
      <c r="F33" s="152">
        <f>IF(AND(MouserListTable[[#This Row],[Tag]]&lt;&gt;FilterSpecs!$F$12, MouserListTable[[#This Row],[Tag]]&lt;&gt;FilterSpecs!$F$9), MouserListTable[[#This Row],['#/Unit]]*FilterSpecs!$B$3+MouserListTable[[#This Row],[Extra Initial]],0)</f>
        <v>0</v>
      </c>
      <c r="G33" s="150"/>
      <c r="H33" s="150"/>
      <c r="I33" s="150" t="s">
        <v>2241</v>
      </c>
      <c r="K33" s="118">
        <v>9.9499999999999993</v>
      </c>
      <c r="L33" s="97" t="s">
        <v>1896</v>
      </c>
      <c r="N33" s="154">
        <f>MouserListTable[[#This Row],['# Initial]]*MouserListTable[[#This Row],[Price (USD)]]</f>
        <v>0</v>
      </c>
      <c r="O33" s="151" t="s">
        <v>2240</v>
      </c>
      <c r="P33" s="150">
        <f t="shared" si="0"/>
        <v>20</v>
      </c>
      <c r="Q33" s="150" t="s">
        <v>1884</v>
      </c>
      <c r="R3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485-1363</v>
      </c>
      <c r="S33" s="157" t="str">
        <f>HYPERLINK("https://www.mouser.com/ProductDetail/" &amp;MouserListTable[[#This Row],[Mouser SKU]])</f>
        <v>https://www.mouser.com/ProductDetail/485-1363</v>
      </c>
      <c r="T33" s="152">
        <v>0</v>
      </c>
      <c r="U33" s="152">
        <v>0</v>
      </c>
      <c r="V33" s="152">
        <v>0</v>
      </c>
      <c r="W33" s="152">
        <f>MouserListTable[[#This Row],['#/Unit]]*FilterSpecs!$C$3+MouserListTable[[#This Row],[Extra]]</f>
        <v>0</v>
      </c>
      <c r="X33" s="152">
        <f>IF(MouserListTable[[#This Row],[Tag]]=FilterSpecs!$F$7,MouserListTable[[#This Row],['#/Unit]]*MouserListTable[[#This Row],[Price (USD)]],0)</f>
        <v>0</v>
      </c>
      <c r="Y33" s="152">
        <f>MouserListTable[[#This Row],[Tot '#]]*MouserListTable[[#This Row],[Price (USD)]]</f>
        <v>0</v>
      </c>
      <c r="Z33" s="146"/>
      <c r="AA33" s="29" t="str">
        <f>[1]!nonzeroQtysOfList($F$14, $Q$14, InitialOrderTable2[[#This Row],[Name]], FilterSpecs!$A$7)</f>
        <v>36-pin Stacking header - pack of 5!</v>
      </c>
      <c r="AB33" s="29">
        <f>[1]!nonzeroQtysOfList($F$14, $Q$14, InitialOrderTable2['# Initial], FilterSpecs!$A$7)</f>
        <v>1</v>
      </c>
      <c r="AC33" s="29" t="str">
        <f>[1]!nonzeroQtysOfList($F$14, $Q$14, InitialOrderTable2[SKU], FilterSpecs!$A$7)</f>
        <v>485-3366</v>
      </c>
      <c r="AJ33" s="146"/>
    </row>
    <row r="34" spans="1:36" s="153" customFormat="1" x14ac:dyDescent="0.25">
      <c r="A34" s="150" t="s">
        <v>887</v>
      </c>
      <c r="B34" s="150" t="s">
        <v>8</v>
      </c>
      <c r="C34" s="150" t="s">
        <v>5</v>
      </c>
      <c r="D34" s="151" t="str">
        <f>IF(MouserListTable[[#This Row],[Vendor]]=FilterSpecs!$A$8,MouserListTable[[#This Row],[Mouser SKU]], MouserListTable[[#This Row],[Supplier SKU]])</f>
        <v>474-WRL-11373</v>
      </c>
      <c r="E34" s="152">
        <f>MouserListTable[[#This Row],[Tot '#]]-MouserListTable[[#This Row],['# Initial]]</f>
        <v>0</v>
      </c>
      <c r="F34" s="152">
        <f>IF(AND(MouserListTable[[#This Row],[Tag]]&lt;&gt;FilterSpecs!$F$12, MouserListTable[[#This Row],[Tag]]&lt;&gt;FilterSpecs!$F$9), MouserListTable[[#This Row],['#/Unit]]*FilterSpecs!$B$3+MouserListTable[[#This Row],[Extra Initial]],0)</f>
        <v>5</v>
      </c>
      <c r="G34" s="150" t="s">
        <v>51</v>
      </c>
      <c r="H34" s="150" t="s">
        <v>52</v>
      </c>
      <c r="I34" s="150" t="s">
        <v>53</v>
      </c>
      <c r="J34" s="150">
        <v>1</v>
      </c>
      <c r="K34" s="154">
        <v>9.9499999999999993</v>
      </c>
      <c r="L34" s="150" t="s">
        <v>1897</v>
      </c>
      <c r="M34" s="151"/>
      <c r="N34" s="154">
        <f>MouserListTable[[#This Row],['# Initial]]*MouserListTable[[#This Row],[Price (USD)]]</f>
        <v>49.75</v>
      </c>
      <c r="O34" s="151" t="s">
        <v>50</v>
      </c>
      <c r="P34" s="150">
        <f t="shared" si="0"/>
        <v>21</v>
      </c>
      <c r="Q34" s="150" t="s">
        <v>5</v>
      </c>
      <c r="R3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474-WRL-11373</v>
      </c>
      <c r="S34" s="157" t="str">
        <f>HYPERLINK("https://www.mouser.com/ProductDetail/" &amp;MouserListTable[[#This Row],[Mouser SKU]])</f>
        <v>https://www.mouser.com/ProductDetail/474-WRL-11373</v>
      </c>
      <c r="T34" s="152">
        <v>1</v>
      </c>
      <c r="U34" s="152">
        <v>0</v>
      </c>
      <c r="V34" s="152">
        <v>0</v>
      </c>
      <c r="W34" s="152">
        <f>MouserListTable[[#This Row],['#/Unit]]*FilterSpecs!$C$3+MouserListTable[[#This Row],[Extra]]</f>
        <v>5</v>
      </c>
      <c r="X34" s="152">
        <f>IF(MouserListTable[[#This Row],[Tag]]=FilterSpecs!$F$7,MouserListTable[[#This Row],['#/Unit]]*MouserListTable[[#This Row],[Price (USD)]],0)</f>
        <v>9.9499999999999993</v>
      </c>
      <c r="Y34" s="152">
        <f>MouserListTable[[#This Row],[Tot '#]]*MouserListTable[[#This Row],[Price (USD)]]</f>
        <v>49.75</v>
      </c>
      <c r="Z34" s="146"/>
      <c r="AA34" s="29" t="str">
        <f>[1]!nonzeroQtysOfList($F$14, $Q$14, InitialOrderTable2[[#This Row],[Name]], FilterSpecs!$A$7)</f>
        <v>Break-away 0.1" 36-pin strip male header (10 pieces)</v>
      </c>
      <c r="AB34" s="29">
        <f>[1]!nonzeroQtysOfList($F$14, $Q$14, InitialOrderTable2['# Initial], FilterSpecs!$A$7)</f>
        <v>1</v>
      </c>
      <c r="AC34" s="29" t="str">
        <f>[1]!nonzeroQtysOfList($F$14, $Q$14, InitialOrderTable2[SKU], FilterSpecs!$A$7)</f>
        <v>485-392</v>
      </c>
      <c r="AJ34" s="146"/>
    </row>
    <row r="35" spans="1:36" s="153" customFormat="1" x14ac:dyDescent="0.25">
      <c r="A35" s="150" t="s">
        <v>887</v>
      </c>
      <c r="B35" s="150" t="s">
        <v>8</v>
      </c>
      <c r="C35" s="150" t="s">
        <v>5</v>
      </c>
      <c r="D35" s="151" t="str">
        <f>IF(MouserListTable[[#This Row],[Vendor]]=FilterSpecs!$A$8,MouserListTable[[#This Row],[Mouser SKU]], MouserListTable[[#This Row],[Supplier SKU]])</f>
        <v>474-WRL-11697</v>
      </c>
      <c r="E35" s="152">
        <f>MouserListTable[[#This Row],[Tot '#]]-MouserListTable[[#This Row],['# Initial]]</f>
        <v>0</v>
      </c>
      <c r="F35" s="152">
        <f>IF(AND(MouserListTable[[#This Row],[Tag]]&lt;&gt;FilterSpecs!$F$12, MouserListTable[[#This Row],[Tag]]&lt;&gt;FilterSpecs!$F$9), MouserListTable[[#This Row],['#/Unit]]*FilterSpecs!$B$3+MouserListTable[[#This Row],[Extra Initial]],0)</f>
        <v>5</v>
      </c>
      <c r="G35" s="150" t="s">
        <v>55</v>
      </c>
      <c r="H35" s="150" t="s">
        <v>56</v>
      </c>
      <c r="I35" s="150" t="s">
        <v>57</v>
      </c>
      <c r="J35" s="150">
        <v>1</v>
      </c>
      <c r="K35" s="154">
        <v>24.95</v>
      </c>
      <c r="L35" s="150" t="s">
        <v>1897</v>
      </c>
      <c r="M35" s="151"/>
      <c r="N35" s="154">
        <f>MouserListTable[[#This Row],['# Initial]]*MouserListTable[[#This Row],[Price (USD)]]</f>
        <v>124.75</v>
      </c>
      <c r="O35" s="151" t="s">
        <v>54</v>
      </c>
      <c r="P35" s="150">
        <f t="shared" si="0"/>
        <v>22</v>
      </c>
      <c r="Q35" s="150" t="s">
        <v>5</v>
      </c>
      <c r="R3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474-WRL-11697</v>
      </c>
      <c r="S35" s="157" t="str">
        <f>HYPERLINK("https://www.mouser.com/ProductDetail/" &amp;MouserListTable[[#This Row],[Mouser SKU]])</f>
        <v>https://www.mouser.com/ProductDetail/474-WRL-11697</v>
      </c>
      <c r="T35" s="152">
        <v>1</v>
      </c>
      <c r="U35" s="152">
        <v>0</v>
      </c>
      <c r="V35" s="152">
        <v>0</v>
      </c>
      <c r="W35" s="152">
        <f>MouserListTable[[#This Row],['#/Unit]]*FilterSpecs!$C$3+MouserListTable[[#This Row],[Extra]]</f>
        <v>5</v>
      </c>
      <c r="X35" s="152">
        <f>IF(MouserListTable[[#This Row],[Tag]]=FilterSpecs!$F$7,MouserListTable[[#This Row],['#/Unit]]*MouserListTable[[#This Row],[Price (USD)]],0)</f>
        <v>24.95</v>
      </c>
      <c r="Y35" s="152">
        <f>MouserListTable[[#This Row],[Tot '#]]*MouserListTable[[#This Row],[Price (USD)]]</f>
        <v>124.75</v>
      </c>
      <c r="Z35" s="146"/>
      <c r="AA35" s="29" t="str">
        <f>[1]!nonzeroQtysOfList($F$14, $Q$14, InitialOrderTable2[[#This Row],[Name]], FilterSpecs!$A$7)</f>
        <v xml:space="preserve">36-pin 0.1" Short Break-away Male Header - Pack of 10 </v>
      </c>
      <c r="AB35" s="29">
        <f>[1]!nonzeroQtysOfList($F$14, $Q$14, InitialOrderTable2['# Initial], FilterSpecs!$A$7)</f>
        <v>1</v>
      </c>
      <c r="AC35" s="29" t="str">
        <f>[1]!nonzeroQtysOfList($F$14, $Q$14, InitialOrderTable2[SKU], FilterSpecs!$A$7)</f>
        <v>485-3009</v>
      </c>
      <c r="AJ35" s="146"/>
    </row>
    <row r="36" spans="1:36" s="153" customFormat="1" x14ac:dyDescent="0.25">
      <c r="A36" s="150" t="s">
        <v>887</v>
      </c>
      <c r="B36" s="150" t="s">
        <v>8</v>
      </c>
      <c r="C36" s="150" t="s">
        <v>5</v>
      </c>
      <c r="D36" s="151" t="str">
        <f>IF(MouserListTable[[#This Row],[Vendor]]=FilterSpecs!$A$8,MouserListTable[[#This Row],[Mouser SKU]], MouserListTable[[#This Row],[Supplier SKU]])</f>
        <v>474-WRL-09434</v>
      </c>
      <c r="E36" s="152">
        <f>MouserListTable[[#This Row],[Tot '#]]-MouserListTable[[#This Row],['# Initial]]</f>
        <v>0</v>
      </c>
      <c r="F36" s="152">
        <f>IF(AND(MouserListTable[[#This Row],[Tag]]&lt;&gt;FilterSpecs!$F$12, MouserListTable[[#This Row],[Tag]]&lt;&gt;FilterSpecs!$F$9), MouserListTable[[#This Row],['#/Unit]]*FilterSpecs!$B$3+MouserListTable[[#This Row],[Extra Initial]],0)</f>
        <v>0</v>
      </c>
      <c r="G36" s="150" t="s">
        <v>59</v>
      </c>
      <c r="H36" s="150" t="s">
        <v>60</v>
      </c>
      <c r="I36" s="150" t="s">
        <v>61</v>
      </c>
      <c r="J36" s="150"/>
      <c r="K36" s="154">
        <v>10.95</v>
      </c>
      <c r="L36" s="150" t="s">
        <v>1897</v>
      </c>
      <c r="M36" s="151"/>
      <c r="N36" s="154">
        <f>MouserListTable[[#This Row],['# Initial]]*MouserListTable[[#This Row],[Price (USD)]]</f>
        <v>0</v>
      </c>
      <c r="O36" s="151" t="s">
        <v>58</v>
      </c>
      <c r="P36" s="150">
        <f t="shared" si="0"/>
        <v>23</v>
      </c>
      <c r="Q36" s="150" t="s">
        <v>5</v>
      </c>
      <c r="R3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474-WRL-09434</v>
      </c>
      <c r="S36" s="157" t="str">
        <f>HYPERLINK("https://www.mouser.com/ProductDetail/" &amp;MouserListTable[[#This Row],[Mouser SKU]])</f>
        <v>https://www.mouser.com/ProductDetail/474-WRL-09434</v>
      </c>
      <c r="T36" s="152">
        <v>0</v>
      </c>
      <c r="U36" s="152">
        <v>0</v>
      </c>
      <c r="V36" s="152">
        <v>0</v>
      </c>
      <c r="W36" s="152">
        <f>MouserListTable[[#This Row],['#/Unit]]*FilterSpecs!$C$3+MouserListTable[[#This Row],[Extra]]</f>
        <v>0</v>
      </c>
      <c r="X36" s="152">
        <f>IF(MouserListTable[[#This Row],[Tag]]=FilterSpecs!$F$7,MouserListTable[[#This Row],['#/Unit]]*MouserListTable[[#This Row],[Price (USD)]],0)</f>
        <v>0</v>
      </c>
      <c r="Y36" s="152">
        <f>MouserListTable[[#This Row],[Tot '#]]*MouserListTable[[#This Row],[Price (USD)]]</f>
        <v>0</v>
      </c>
      <c r="Z36" s="146"/>
      <c r="AA36" s="29" t="str">
        <f>[1]!nonzeroQtysOfList($F$14, $Q$14, InitialOrderTable2[[#This Row],[Name]], FilterSpecs!$A$7)</f>
        <v>Extra-long break-away 0.1" 16-pin strip male header (5 pieces)</v>
      </c>
      <c r="AB36" s="29">
        <f>[1]!nonzeroQtysOfList($F$14, $Q$14, InitialOrderTable2['# Initial], FilterSpecs!$A$7)</f>
        <v>1</v>
      </c>
      <c r="AC36" s="29" t="str">
        <f>[1]!nonzeroQtysOfList($F$14, $Q$14, InitialOrderTable2[SKU], FilterSpecs!$A$7)</f>
        <v>485-400</v>
      </c>
      <c r="AJ36" s="146"/>
    </row>
    <row r="37" spans="1:36" s="153" customFormat="1" x14ac:dyDescent="0.25">
      <c r="A37" s="150" t="s">
        <v>887</v>
      </c>
      <c r="B37" s="150" t="s">
        <v>8</v>
      </c>
      <c r="C37" s="150" t="s">
        <v>5</v>
      </c>
      <c r="D37" s="151" t="str">
        <f>IF(MouserListTable[[#This Row],[Vendor]]=FilterSpecs!$A$8,MouserListTable[[#This Row],[Mouser SKU]], MouserListTable[[#This Row],[Supplier SKU]])</f>
        <v>474-WRL-11601</v>
      </c>
      <c r="E37" s="152">
        <f>MouserListTable[[#This Row],[Tot '#]]-MouserListTable[[#This Row],['# Initial]]</f>
        <v>0</v>
      </c>
      <c r="F37" s="152">
        <f>IF(AND(MouserListTable[[#This Row],[Tag]]&lt;&gt;FilterSpecs!$F$12, MouserListTable[[#This Row],[Tag]]&lt;&gt;FilterSpecs!$F$9), MouserListTable[[#This Row],['#/Unit]]*FilterSpecs!$B$3+MouserListTable[[#This Row],[Extra Initial]],0)</f>
        <v>10</v>
      </c>
      <c r="G37" s="150" t="s">
        <v>63</v>
      </c>
      <c r="H37" s="150" t="s">
        <v>64</v>
      </c>
      <c r="I37" s="150" t="s">
        <v>65</v>
      </c>
      <c r="J37" s="150">
        <v>1</v>
      </c>
      <c r="K37" s="154">
        <v>24.95</v>
      </c>
      <c r="L37" s="150" t="s">
        <v>1897</v>
      </c>
      <c r="M37" s="151"/>
      <c r="N37" s="154">
        <f>MouserListTable[[#This Row],['# Initial]]*MouserListTable[[#This Row],[Price (USD)]]</f>
        <v>249.5</v>
      </c>
      <c r="O37" s="151" t="s">
        <v>62</v>
      </c>
      <c r="P37" s="150">
        <f t="shared" si="0"/>
        <v>24</v>
      </c>
      <c r="Q37" s="150" t="s">
        <v>5</v>
      </c>
      <c r="R3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474-WRL-11601</v>
      </c>
      <c r="S37" s="157" t="str">
        <f>HYPERLINK("https://www.mouser.com/ProductDetail/" &amp;MouserListTable[[#This Row],[Mouser SKU]])</f>
        <v>https://www.mouser.com/ProductDetail/474-WRL-11601</v>
      </c>
      <c r="T37" s="152">
        <v>2</v>
      </c>
      <c r="U37" s="152">
        <v>0</v>
      </c>
      <c r="V37" s="152">
        <v>0</v>
      </c>
      <c r="W37" s="152">
        <f>MouserListTable[[#This Row],['#/Unit]]*FilterSpecs!$C$3+MouserListTable[[#This Row],[Extra]]</f>
        <v>10</v>
      </c>
      <c r="X37" s="152">
        <f>IF(MouserListTable[[#This Row],[Tag]]=FilterSpecs!$F$7,MouserListTable[[#This Row],['#/Unit]]*MouserListTable[[#This Row],[Price (USD)]],0)</f>
        <v>49.9</v>
      </c>
      <c r="Y37" s="152">
        <f>MouserListTable[[#This Row],[Tot '#]]*MouserListTable[[#This Row],[Price (USD)]]</f>
        <v>249.5</v>
      </c>
      <c r="Z37" s="146"/>
      <c r="AA37" s="29" t="str">
        <f>[1]!nonzeroQtysOfList($F$14, $Q$14, InitialOrderTable2[[#This Row],[Name]], FilterSpecs!$A$7)</f>
        <v>Break-away 0.1" 2x36-pin strip dual male header (10 pieces)</v>
      </c>
      <c r="AB37" s="29">
        <f>[1]!nonzeroQtysOfList($F$14, $Q$14, InitialOrderTable2['# Initial], FilterSpecs!$A$7)</f>
        <v>1</v>
      </c>
      <c r="AC37" s="29" t="str">
        <f>[1]!nonzeroQtysOfList($F$14, $Q$14, InitialOrderTable2[SKU], FilterSpecs!$A$7)</f>
        <v>485-1539</v>
      </c>
      <c r="AJ37" s="146"/>
    </row>
    <row r="38" spans="1:36" s="153" customFormat="1" x14ac:dyDescent="0.25">
      <c r="A38" s="150" t="s">
        <v>887</v>
      </c>
      <c r="B38" s="150" t="s">
        <v>1882</v>
      </c>
      <c r="C38" s="150" t="s">
        <v>5</v>
      </c>
      <c r="D38" s="151" t="str">
        <f>IF(MouserListTable[[#This Row],[Vendor]]=FilterSpecs!$A$8,MouserListTable[[#This Row],[Mouser SKU]], MouserListTable[[#This Row],[Supplier SKU]])</f>
        <v>474-WIG-12772</v>
      </c>
      <c r="E38" s="152">
        <f>MouserListTable[[#This Row],[Tot '#]]-MouserListTable[[#This Row],['# Initial]]</f>
        <v>1</v>
      </c>
      <c r="F38" s="152">
        <f>IF(AND(MouserListTable[[#This Row],[Tag]]&lt;&gt;FilterSpecs!$F$12, MouserListTable[[#This Row],[Tag]]&lt;&gt;FilterSpecs!$F$9), MouserListTable[[#This Row],['#/Unit]]*FilterSpecs!$B$3+MouserListTable[[#This Row],[Extra Initial]],0)</f>
        <v>0</v>
      </c>
      <c r="G38" s="150" t="s">
        <v>224</v>
      </c>
      <c r="H38" s="150" t="s">
        <v>225</v>
      </c>
      <c r="I38" s="150" t="s">
        <v>191</v>
      </c>
      <c r="J38" s="150">
        <v>1</v>
      </c>
      <c r="K38" s="154">
        <v>54.95</v>
      </c>
      <c r="L38" s="150" t="s">
        <v>1896</v>
      </c>
      <c r="M38" s="151"/>
      <c r="N38" s="154">
        <f>MouserListTable[[#This Row],['# Initial]]*MouserListTable[[#This Row],[Price (USD)]]</f>
        <v>0</v>
      </c>
      <c r="O38" s="151" t="s">
        <v>223</v>
      </c>
      <c r="P38" s="150">
        <f t="shared" si="0"/>
        <v>25</v>
      </c>
      <c r="Q38" s="150" t="s">
        <v>5</v>
      </c>
      <c r="R3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474-WIG-12772</v>
      </c>
      <c r="S38" s="157" t="str">
        <f>HYPERLINK("https://www.mouser.com/ProductDetail/" &amp;MouserListTable[[#This Row],[Mouser SKU]])</f>
        <v>https://www.mouser.com/ProductDetail/474-WIG-12772</v>
      </c>
      <c r="T38" s="152">
        <v>0</v>
      </c>
      <c r="U38" s="152">
        <v>1</v>
      </c>
      <c r="V38" s="152">
        <v>0</v>
      </c>
      <c r="W38" s="152">
        <f>MouserListTable[[#This Row],['#/Unit]]*FilterSpecs!$C$3+MouserListTable[[#This Row],[Extra]]</f>
        <v>1</v>
      </c>
      <c r="X38" s="152">
        <f>IF(MouserListTable[[#This Row],[Tag]]=FilterSpecs!$F$7,MouserListTable[[#This Row],['#/Unit]]*MouserListTable[[#This Row],[Price (USD)]],0)</f>
        <v>0</v>
      </c>
      <c r="Y38" s="152">
        <f>MouserListTable[[#This Row],[Tot '#]]*MouserListTable[[#This Row],[Price (USD)]]</f>
        <v>54.95</v>
      </c>
      <c r="Z38" s="146"/>
      <c r="AA38" s="29" t="str">
        <f>[1]!nonzeroQtysOfList($F$14, $Q$14, InitialOrderTable2[[#This Row],[Name]], FilterSpecs!$A$7)</f>
        <v xml:space="preserve">Break-away 0.1" 2x36-pin strip right-angle male header (5 pack) </v>
      </c>
      <c r="AB38" s="29">
        <f>[1]!nonzeroQtysOfList($F$14, $Q$14, InitialOrderTable2['# Initial], FilterSpecs!$A$7)</f>
        <v>1</v>
      </c>
      <c r="AC38" s="29" t="str">
        <f>[1]!nonzeroQtysOfList($F$14, $Q$14, InitialOrderTable2[SKU], FilterSpecs!$A$7)</f>
        <v>485-1541</v>
      </c>
      <c r="AJ38" s="146"/>
    </row>
    <row r="39" spans="1:36" s="153" customFormat="1" x14ac:dyDescent="0.25">
      <c r="A39" s="150" t="s">
        <v>887</v>
      </c>
      <c r="B39" s="150" t="s">
        <v>1882</v>
      </c>
      <c r="C39" s="150" t="s">
        <v>5</v>
      </c>
      <c r="D39" s="151" t="str">
        <f>IF(MouserListTable[[#This Row],[Vendor]]=FilterSpecs!$A$8,MouserListTable[[#This Row],[Mouser SKU]], MouserListTable[[#This Row],[Supplier SKU]])</f>
        <v>474-DEV-13712</v>
      </c>
      <c r="E39" s="152">
        <f>MouserListTable[[#This Row],[Tot '#]]-MouserListTable[[#This Row],['# Initial]]</f>
        <v>1</v>
      </c>
      <c r="F39" s="152">
        <f>IF(AND(MouserListTable[[#This Row],[Tag]]&lt;&gt;FilterSpecs!$F$12, MouserListTable[[#This Row],[Tag]]&lt;&gt;FilterSpecs!$F$9), MouserListTable[[#This Row],['#/Unit]]*FilterSpecs!$B$3+MouserListTable[[#This Row],[Extra Initial]],0)</f>
        <v>0</v>
      </c>
      <c r="G39" s="150" t="s">
        <v>1818</v>
      </c>
      <c r="H39" s="150" t="s">
        <v>1819</v>
      </c>
      <c r="I39" s="150" t="s">
        <v>1820</v>
      </c>
      <c r="J39" s="150">
        <v>1</v>
      </c>
      <c r="K39" s="154">
        <v>14.95</v>
      </c>
      <c r="L39" s="150" t="s">
        <v>1896</v>
      </c>
      <c r="M39" s="151"/>
      <c r="N39" s="154">
        <f>MouserListTable[[#This Row],['# Initial]]*MouserListTable[[#This Row],[Price (USD)]]</f>
        <v>0</v>
      </c>
      <c r="O39" s="151" t="s">
        <v>1817</v>
      </c>
      <c r="P39" s="150">
        <f t="shared" si="0"/>
        <v>26</v>
      </c>
      <c r="Q39" s="150" t="s">
        <v>5</v>
      </c>
      <c r="R3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474-DEV-13712</v>
      </c>
      <c r="S39" s="157" t="str">
        <f>HYPERLINK("https://www.mouser.com/ProductDetail/" &amp;MouserListTable[[#This Row],[Mouser SKU]])</f>
        <v>https://www.mouser.com/ProductDetail/474-DEV-13712</v>
      </c>
      <c r="T39" s="152">
        <v>0</v>
      </c>
      <c r="U39" s="152">
        <v>1</v>
      </c>
      <c r="V39" s="152">
        <v>0</v>
      </c>
      <c r="W39" s="152">
        <f>MouserListTable[[#This Row],['#/Unit]]*FilterSpecs!$C$3+MouserListTable[[#This Row],[Extra]]</f>
        <v>1</v>
      </c>
      <c r="X39" s="152">
        <f>IF(MouserListTable[[#This Row],[Tag]]=FilterSpecs!$F$7,MouserListTable[[#This Row],['#/Unit]]*MouserListTable[[#This Row],[Price (USD)]],0)</f>
        <v>0</v>
      </c>
      <c r="Y39" s="152">
        <f>MouserListTable[[#This Row],[Tot '#]]*MouserListTable[[#This Row],[Price (USD)]]</f>
        <v>14.95</v>
      </c>
      <c r="Z39" s="146"/>
      <c r="AA39" s="29" t="str">
        <f>[1]!nonzeroQtysOfList($F$14, $Q$14, InitialOrderTable2[[#This Row],[Name]], FilterSpecs!$A$7)</f>
        <v>2mm Pitch 40-Pin Break-apart Male Headers - Pack of 5</v>
      </c>
      <c r="AB39" s="29">
        <f>[1]!nonzeroQtysOfList($F$14, $Q$14, InitialOrderTable2['# Initial], FilterSpecs!$A$7)</f>
        <v>1</v>
      </c>
      <c r="AC39" s="29" t="str">
        <f>[1]!nonzeroQtysOfList($F$14, $Q$14, InitialOrderTable2[SKU], FilterSpecs!$A$7)</f>
        <v>485-2671</v>
      </c>
      <c r="AJ39" s="146"/>
    </row>
    <row r="40" spans="1:36" s="153" customFormat="1" x14ac:dyDescent="0.25">
      <c r="A40" s="150" t="s">
        <v>887</v>
      </c>
      <c r="B40" s="150" t="s">
        <v>1882</v>
      </c>
      <c r="C40" s="150" t="s">
        <v>5</v>
      </c>
      <c r="D40" s="151" t="str">
        <f>IF(MouserListTable[[#This Row],[Vendor]]=FilterSpecs!$A$8,MouserListTable[[#This Row],[Mouser SKU]], MouserListTable[[#This Row],[Supplier SKU]])</f>
        <v>474-DEV-12761</v>
      </c>
      <c r="E40" s="152">
        <f>MouserListTable[[#This Row],[Tot '#]]-MouserListTable[[#This Row],['# Initial]]</f>
        <v>1</v>
      </c>
      <c r="F40" s="152">
        <f>IF(AND(MouserListTable[[#This Row],[Tag]]&lt;&gt;FilterSpecs!$F$12, MouserListTable[[#This Row],[Tag]]&lt;&gt;FilterSpecs!$F$9), MouserListTable[[#This Row],['#/Unit]]*FilterSpecs!$B$3+MouserListTable[[#This Row],[Extra Initial]],0)</f>
        <v>0</v>
      </c>
      <c r="G40" s="150" t="s">
        <v>2482</v>
      </c>
      <c r="H40" s="150" t="s">
        <v>2483</v>
      </c>
      <c r="I40" s="150" t="s">
        <v>2484</v>
      </c>
      <c r="J40" s="150">
        <v>1</v>
      </c>
      <c r="K40" s="154">
        <v>14.95</v>
      </c>
      <c r="L40" s="150" t="s">
        <v>1897</v>
      </c>
      <c r="M40" s="150"/>
      <c r="N40" s="154">
        <f>MouserListTable[[#This Row],['# Initial]]*MouserListTable[[#This Row],[Price (USD)]]</f>
        <v>0</v>
      </c>
      <c r="O40" s="151" t="s">
        <v>2481</v>
      </c>
      <c r="P40" s="150">
        <f t="shared" si="0"/>
        <v>27</v>
      </c>
      <c r="Q40" s="150" t="s">
        <v>5</v>
      </c>
      <c r="R4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474-DEV-12761</v>
      </c>
      <c r="S40" s="157" t="str">
        <f>HYPERLINK("https://www.mouser.com/ProductDetail/" &amp;MouserListTable[[#This Row],[Mouser SKU]])</f>
        <v>https://www.mouser.com/ProductDetail/474-DEV-12761</v>
      </c>
      <c r="T40" s="152">
        <v>0</v>
      </c>
      <c r="U40" s="152">
        <v>1</v>
      </c>
      <c r="V40" s="152">
        <v>0</v>
      </c>
      <c r="W40" s="152">
        <f>MouserListTable[[#This Row],['#/Unit]]*FilterSpecs!$C$3+MouserListTable[[#This Row],[Extra]]</f>
        <v>1</v>
      </c>
      <c r="X40" s="152">
        <f>IF(MouserListTable[[#This Row],[Tag]]=FilterSpecs!$F$7,MouserListTable[[#This Row],['#/Unit]]*MouserListTable[[#This Row],[Price (USD)]],0)</f>
        <v>0</v>
      </c>
      <c r="Y40" s="152">
        <f>MouserListTable[[#This Row],[Tot '#]]*MouserListTable[[#This Row],[Price (USD)]]</f>
        <v>14.95</v>
      </c>
      <c r="Z40" s="146"/>
      <c r="AA40" s="29" t="str">
        <f>[1]!nonzeroQtysOfList($F$14, $Q$14, InitialOrderTable2[[#This Row],[Name]], FilterSpecs!$A$7)</f>
        <v>36-pin 0.1" Female header - pack of 5!</v>
      </c>
      <c r="AB40" s="29">
        <f>[1]!nonzeroQtysOfList($F$14, $Q$14, InitialOrderTable2['# Initial], FilterSpecs!$A$7)</f>
        <v>1</v>
      </c>
      <c r="AC40" s="29" t="str">
        <f>[1]!nonzeroQtysOfList($F$14, $Q$14, InitialOrderTable2[SKU], FilterSpecs!$A$7)</f>
        <v>485-598</v>
      </c>
      <c r="AJ40" s="146"/>
    </row>
    <row r="41" spans="1:36" s="153" customFormat="1" x14ac:dyDescent="0.25">
      <c r="A41" s="150" t="s">
        <v>887</v>
      </c>
      <c r="B41" s="150" t="s">
        <v>1882</v>
      </c>
      <c r="C41" s="150" t="s">
        <v>5</v>
      </c>
      <c r="D41" s="151" t="str">
        <f>IF(MouserListTable[[#This Row],[Vendor]]=FilterSpecs!$A$8,MouserListTable[[#This Row],[Mouser SKU]], MouserListTable[[#This Row],[Supplier SKU]])</f>
        <v>474-COM-13004</v>
      </c>
      <c r="E41" s="152">
        <f>MouserListTable[[#This Row],[Tot '#]]-MouserListTable[[#This Row],['# Initial]]</f>
        <v>0</v>
      </c>
      <c r="F41" s="152">
        <f>IF(AND(MouserListTable[[#This Row],[Tag]]&lt;&gt;FilterSpecs!$F$12, MouserListTable[[#This Row],[Tag]]&lt;&gt;FilterSpecs!$F$9), MouserListTable[[#This Row],['#/Unit]]*FilterSpecs!$B$3+MouserListTable[[#This Row],[Extra Initial]],0)</f>
        <v>5</v>
      </c>
      <c r="G41" s="150" t="s">
        <v>341</v>
      </c>
      <c r="H41" s="150" t="s">
        <v>342</v>
      </c>
      <c r="I41" s="150" t="s">
        <v>343</v>
      </c>
      <c r="K41" s="154">
        <v>4.95</v>
      </c>
      <c r="L41" s="150" t="s">
        <v>1897</v>
      </c>
      <c r="M41" s="151"/>
      <c r="N41" s="154">
        <f>MouserListTable[[#This Row],['# Initial]]*MouserListTable[[#This Row],[Price (USD)]]</f>
        <v>24.75</v>
      </c>
      <c r="O41" s="151" t="s">
        <v>340</v>
      </c>
      <c r="P41" s="150">
        <f t="shared" si="0"/>
        <v>28</v>
      </c>
      <c r="Q41" s="150" t="s">
        <v>5</v>
      </c>
      <c r="R4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474-COM-13004</v>
      </c>
      <c r="S41" s="157" t="str">
        <f>HYPERLINK("https://www.mouser.com/ProductDetail/" &amp;MouserListTable[[#This Row],[Mouser SKU]])</f>
        <v>https://www.mouser.com/ProductDetail/474-COM-13004</v>
      </c>
      <c r="T41" s="152">
        <v>1</v>
      </c>
      <c r="U41" s="152">
        <v>0</v>
      </c>
      <c r="V41" s="152">
        <v>0</v>
      </c>
      <c r="W41" s="152">
        <f>MouserListTable[[#This Row],['#/Unit]]*FilterSpecs!$C$3+MouserListTable[[#This Row],[Extra]]</f>
        <v>5</v>
      </c>
      <c r="X41" s="152">
        <f>IF(MouserListTable[[#This Row],[Tag]]=FilterSpecs!$F$7,MouserListTable[[#This Row],['#/Unit]]*MouserListTable[[#This Row],[Price (USD)]],0)</f>
        <v>4.95</v>
      </c>
      <c r="Y41" s="152">
        <f>MouserListTable[[#This Row],[Tot '#]]*MouserListTable[[#This Row],[Price (USD)]]</f>
        <v>24.75</v>
      </c>
      <c r="Z41" s="146"/>
      <c r="AA41" s="29" t="str">
        <f>[1]!nonzeroQtysOfList($F$14, $Q$14, InitialOrderTable2[[#This Row],[Name]], FilterSpecs!$A$7)</f>
        <v xml:space="preserve">36-pin 0.1" Short Female Header - Pack of 5 </v>
      </c>
      <c r="AB41" s="29">
        <f>[1]!nonzeroQtysOfList($F$14, $Q$14, InitialOrderTable2['# Initial], FilterSpecs!$A$7)</f>
        <v>1</v>
      </c>
      <c r="AC41" s="29" t="str">
        <f>[1]!nonzeroQtysOfList($F$14, $Q$14, InitialOrderTable2[SKU], FilterSpecs!$A$7)</f>
        <v>485-3008</v>
      </c>
      <c r="AJ41" s="146"/>
    </row>
    <row r="42" spans="1:36" s="153" customFormat="1" x14ac:dyDescent="0.25">
      <c r="A42" s="150" t="s">
        <v>887</v>
      </c>
      <c r="B42" s="150" t="s">
        <v>1882</v>
      </c>
      <c r="C42" s="150" t="s">
        <v>5</v>
      </c>
      <c r="D42" s="151" t="str">
        <f>IF(MouserListTable[[#This Row],[Vendor]]=FilterSpecs!$A$8,MouserListTable[[#This Row],[Mouser SKU]], MouserListTable[[#This Row],[Supplier SKU]])</f>
        <v>474-TOL-09419</v>
      </c>
      <c r="E42" s="152">
        <f>MouserListTable[[#This Row],[Tot '#]]-MouserListTable[[#This Row],['# Initial]]</f>
        <v>0</v>
      </c>
      <c r="F42" s="152">
        <f>IF(AND(MouserListTable[[#This Row],[Tag]]&lt;&gt;FilterSpecs!$F$12, MouserListTable[[#This Row],[Tag]]&lt;&gt;FilterSpecs!$F$9), MouserListTable[[#This Row],['#/Unit]]*FilterSpecs!$B$3+MouserListTable[[#This Row],[Extra Initial]],0)</f>
        <v>1</v>
      </c>
      <c r="G42" s="150" t="s">
        <v>227</v>
      </c>
      <c r="H42" s="150" t="s">
        <v>228</v>
      </c>
      <c r="I42" s="150" t="s">
        <v>198</v>
      </c>
      <c r="J42" s="150">
        <v>1</v>
      </c>
      <c r="K42" s="154">
        <v>9.9499999999999993</v>
      </c>
      <c r="L42" s="150" t="s">
        <v>1900</v>
      </c>
      <c r="M42" s="151"/>
      <c r="N42" s="154">
        <f>MouserListTable[[#This Row],['# Initial]]*MouserListTable[[#This Row],[Price (USD)]]</f>
        <v>9.9499999999999993</v>
      </c>
      <c r="O42" s="151" t="s">
        <v>226</v>
      </c>
      <c r="P42" s="150">
        <f t="shared" si="0"/>
        <v>29</v>
      </c>
      <c r="Q42" s="150" t="s">
        <v>5</v>
      </c>
      <c r="R4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474-TOL-09419</v>
      </c>
      <c r="S42" s="157" t="str">
        <f>HYPERLINK("https://www.mouser.com/ProductDetail/" &amp;MouserListTable[[#This Row],[Mouser SKU]])</f>
        <v>https://www.mouser.com/ProductDetail/474-TOL-09419</v>
      </c>
      <c r="T42" s="152">
        <v>0</v>
      </c>
      <c r="U42" s="152">
        <v>1</v>
      </c>
      <c r="V42" s="152">
        <v>1</v>
      </c>
      <c r="W42" s="152">
        <f>MouserListTable[[#This Row],['#/Unit]]*FilterSpecs!$C$3+MouserListTable[[#This Row],[Extra]]</f>
        <v>1</v>
      </c>
      <c r="X42" s="152">
        <f>IF(MouserListTable[[#This Row],[Tag]]=FilterSpecs!$F$7,MouserListTable[[#This Row],['#/Unit]]*MouserListTable[[#This Row],[Price (USD)]],0)</f>
        <v>0</v>
      </c>
      <c r="Y42" s="152">
        <f>MouserListTable[[#This Row],[Tot '#]]*MouserListTable[[#This Row],[Price (USD)]]</f>
        <v>9.9499999999999993</v>
      </c>
      <c r="Z42" s="146"/>
      <c r="AA42" s="29" t="str">
        <f>[1]!nonzeroQtysOfList($F$14, $Q$14, InitialOrderTable2[[#This Row],[Name]], FilterSpecs!$A$7)</f>
        <v>0.1" 36-pin Strip Right-Angle Female/Socket Header (5 pack)</v>
      </c>
      <c r="AB42" s="29">
        <f>[1]!nonzeroQtysOfList($F$14, $Q$14, InitialOrderTable2['# Initial], FilterSpecs!$A$7)</f>
        <v>1</v>
      </c>
      <c r="AC42" s="29" t="str">
        <f>[1]!nonzeroQtysOfList($F$14, $Q$14, InitialOrderTable2[SKU], FilterSpecs!$A$7)</f>
        <v>485-1542</v>
      </c>
      <c r="AJ42" s="146"/>
    </row>
    <row r="43" spans="1:36" s="153" customFormat="1" x14ac:dyDescent="0.25">
      <c r="A43" s="97" t="s">
        <v>887</v>
      </c>
      <c r="B43" s="97" t="s">
        <v>1882</v>
      </c>
      <c r="C43" s="150" t="s">
        <v>5</v>
      </c>
      <c r="D43" s="151" t="str">
        <f>IF(MouserListTable[[#This Row],[Vendor]]=FilterSpecs!$A$8,MouserListTable[[#This Row],[Mouser SKU]], MouserListTable[[#This Row],[Supplier SKU]])</f>
        <v>474-BOB-12941</v>
      </c>
      <c r="E43" s="152">
        <f>MouserListTable[[#This Row],[Tot '#]]-MouserListTable[[#This Row],['# Initial]]</f>
        <v>0</v>
      </c>
      <c r="F43" s="152">
        <f>IF(AND(MouserListTable[[#This Row],[Tag]]&lt;&gt;FilterSpecs!$F$12, MouserListTable[[#This Row],[Tag]]&lt;&gt;FilterSpecs!$F$9), MouserListTable[[#This Row],['#/Unit]]*FilterSpecs!$B$3+MouserListTable[[#This Row],[Extra Initial]],0)</f>
        <v>0</v>
      </c>
      <c r="G43" s="150" t="s">
        <v>280</v>
      </c>
      <c r="H43" s="150" t="s">
        <v>281</v>
      </c>
      <c r="I43" s="150" t="s">
        <v>196</v>
      </c>
      <c r="J43" s="150">
        <v>1</v>
      </c>
      <c r="K43" s="154">
        <v>9.9499999999999993</v>
      </c>
      <c r="L43" s="150" t="s">
        <v>1897</v>
      </c>
      <c r="N43" s="154">
        <f>MouserListTable[[#This Row],['# Initial]]*MouserListTable[[#This Row],[Price (USD)]]</f>
        <v>0</v>
      </c>
      <c r="O43" s="151" t="s">
        <v>279</v>
      </c>
      <c r="P43" s="150">
        <f t="shared" si="0"/>
        <v>30</v>
      </c>
      <c r="Q43" s="150" t="s">
        <v>5</v>
      </c>
      <c r="R4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474-BOB-12941</v>
      </c>
      <c r="S43" s="157" t="str">
        <f>HYPERLINK("https://www.mouser.com/ProductDetail/" &amp;MouserListTable[[#This Row],[Mouser SKU]])</f>
        <v>https://www.mouser.com/ProductDetail/474-BOB-12941</v>
      </c>
      <c r="T43" s="152">
        <v>0</v>
      </c>
      <c r="U43" s="152">
        <v>0</v>
      </c>
      <c r="V43" s="152">
        <v>0</v>
      </c>
      <c r="W43" s="152">
        <f>MouserListTable[[#This Row],['#/Unit]]*FilterSpecs!$C$3+MouserListTable[[#This Row],[Extra]]</f>
        <v>0</v>
      </c>
      <c r="X43" s="152">
        <f>IF(MouserListTable[[#This Row],[Tag]]=FilterSpecs!$F$7,MouserListTable[[#This Row],['#/Unit]]*MouserListTable[[#This Row],[Price (USD)]],0)</f>
        <v>0</v>
      </c>
      <c r="Y43" s="152">
        <f>MouserListTable[[#This Row],[Tot '#]]*MouserListTable[[#This Row],[Price (USD)]]</f>
        <v>0</v>
      </c>
      <c r="Z43" s="146"/>
      <c r="AA43" s="29" t="str">
        <f>[1]!nonzeroQtysOfList($F$14, $Q$14, InitialOrderTable2[[#This Row],[Name]], FilterSpecs!$A$7)</f>
        <v>0.1" 2x36-pin Strip Straight Socket (Female) Header (5 pack)</v>
      </c>
      <c r="AB43" s="29">
        <f>[1]!nonzeroQtysOfList($F$14, $Q$14, InitialOrderTable2['# Initial], FilterSpecs!$A$7)</f>
        <v>1</v>
      </c>
      <c r="AC43" s="29" t="str">
        <f>[1]!nonzeroQtysOfList($F$14, $Q$14, InitialOrderTable2[SKU], FilterSpecs!$A$7)</f>
        <v>485-1544</v>
      </c>
      <c r="AJ43" s="146"/>
    </row>
    <row r="44" spans="1:36" s="153" customFormat="1" x14ac:dyDescent="0.25">
      <c r="A44" s="150" t="s">
        <v>887</v>
      </c>
      <c r="B44" s="150" t="s">
        <v>1882</v>
      </c>
      <c r="C44" s="150" t="s">
        <v>5</v>
      </c>
      <c r="D44" s="151" t="str">
        <f>IF(MouserListTable[[#This Row],[Vendor]]=FilterSpecs!$A$8,MouserListTable[[#This Row],[Mouser SKU]], MouserListTable[[#This Row],[Supplier SKU]])</f>
        <v>474-DEV-13743</v>
      </c>
      <c r="E44" s="152">
        <f>MouserListTable[[#This Row],[Tot '#]]-MouserListTable[[#This Row],['# Initial]]</f>
        <v>0</v>
      </c>
      <c r="F44" s="152">
        <f>IF(AND(MouserListTable[[#This Row],[Tag]]&lt;&gt;FilterSpecs!$F$12, MouserListTable[[#This Row],[Tag]]&lt;&gt;FilterSpecs!$F$9), MouserListTable[[#This Row],['#/Unit]]*FilterSpecs!$B$3+MouserListTable[[#This Row],[Extra Initial]],0)</f>
        <v>5</v>
      </c>
      <c r="G44" s="150" t="s">
        <v>408</v>
      </c>
      <c r="H44" s="150" t="s">
        <v>409</v>
      </c>
      <c r="I44" s="150" t="s">
        <v>216</v>
      </c>
      <c r="J44" s="150">
        <v>1</v>
      </c>
      <c r="K44" s="154">
        <v>4.95</v>
      </c>
      <c r="L44" s="150" t="s">
        <v>1897</v>
      </c>
      <c r="M44" s="151"/>
      <c r="N44" s="154">
        <f>MouserListTable[[#This Row],['# Initial]]*MouserListTable[[#This Row],[Price (USD)]]</f>
        <v>24.75</v>
      </c>
      <c r="O44" s="151" t="s">
        <v>407</v>
      </c>
      <c r="P44" s="150">
        <f t="shared" si="0"/>
        <v>31</v>
      </c>
      <c r="Q44" s="150" t="s">
        <v>5</v>
      </c>
      <c r="R4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474-DEV-13743</v>
      </c>
      <c r="S44" s="157" t="str">
        <f>HYPERLINK("https://www.mouser.com/ProductDetail/" &amp;MouserListTable[[#This Row],[Mouser SKU]])</f>
        <v>https://www.mouser.com/ProductDetail/474-DEV-13743</v>
      </c>
      <c r="T44" s="152">
        <v>1</v>
      </c>
      <c r="U44" s="152">
        <v>0</v>
      </c>
      <c r="V44" s="152">
        <v>0</v>
      </c>
      <c r="W44" s="152">
        <f>MouserListTable[[#This Row],['#/Unit]]*FilterSpecs!$C$3+MouserListTable[[#This Row],[Extra]]</f>
        <v>5</v>
      </c>
      <c r="X44" s="152">
        <f>IF(MouserListTable[[#This Row],[Tag]]=FilterSpecs!$F$7,MouserListTable[[#This Row],['#/Unit]]*MouserListTable[[#This Row],[Price (USD)]],0)</f>
        <v>4.95</v>
      </c>
      <c r="Y44" s="152">
        <f>MouserListTable[[#This Row],[Tot '#]]*MouserListTable[[#This Row],[Price (USD)]]</f>
        <v>24.75</v>
      </c>
      <c r="Z44" s="146"/>
      <c r="AA44" s="29" t="str">
        <f>[1]!nonzeroQtysOfList($F$14, $Q$14, InitialOrderTable2[[#This Row],[Name]], FilterSpecs!$A$7)</f>
        <v>0.1" 2x36-pin Strip Right-Angle Socket (Female) Header (5 pack)</v>
      </c>
      <c r="AB44" s="29">
        <f>[1]!nonzeroQtysOfList($F$14, $Q$14, InitialOrderTable2['# Initial], FilterSpecs!$A$7)</f>
        <v>1</v>
      </c>
      <c r="AC44" s="29" t="str">
        <f>[1]!nonzeroQtysOfList($F$14, $Q$14, InitialOrderTable2[SKU], FilterSpecs!$A$7)</f>
        <v>485-1543</v>
      </c>
      <c r="AJ44" s="146"/>
    </row>
    <row r="45" spans="1:36" s="153" customFormat="1" x14ac:dyDescent="0.25">
      <c r="A45" s="150" t="s">
        <v>887</v>
      </c>
      <c r="B45" s="150" t="s">
        <v>1882</v>
      </c>
      <c r="C45" s="150" t="s">
        <v>5</v>
      </c>
      <c r="D45" s="151" t="str">
        <f>IF(MouserListTable[[#This Row],[Vendor]]=FilterSpecs!$A$8,MouserListTable[[#This Row],[Mouser SKU]], MouserListTable[[#This Row],[Supplier SKU]])</f>
        <v>474-COM-13833</v>
      </c>
      <c r="E45" s="152">
        <f>MouserListTable[[#This Row],[Tot '#]]-MouserListTable[[#This Row],['# Initial]]</f>
        <v>1</v>
      </c>
      <c r="F45" s="152">
        <f>IF(AND(MouserListTable[[#This Row],[Tag]]&lt;&gt;FilterSpecs!$F$12, MouserListTable[[#This Row],[Tag]]&lt;&gt;FilterSpecs!$F$9), MouserListTable[[#This Row],['#/Unit]]*FilterSpecs!$B$3+MouserListTable[[#This Row],[Extra Initial]],0)</f>
        <v>5</v>
      </c>
      <c r="G45" s="150" t="s">
        <v>629</v>
      </c>
      <c r="H45" s="150" t="s">
        <v>630</v>
      </c>
      <c r="I45" s="150" t="s">
        <v>631</v>
      </c>
      <c r="J45" s="150">
        <v>1</v>
      </c>
      <c r="K45" s="154">
        <v>19.95</v>
      </c>
      <c r="L45" s="150" t="s">
        <v>1897</v>
      </c>
      <c r="M45" s="151"/>
      <c r="N45" s="154">
        <f>MouserListTable[[#This Row],['# Initial]]*MouserListTable[[#This Row],[Price (USD)]]</f>
        <v>99.75</v>
      </c>
      <c r="O45" s="151" t="s">
        <v>628</v>
      </c>
      <c r="P45" s="150">
        <f t="shared" si="0"/>
        <v>32</v>
      </c>
      <c r="Q45" s="150" t="s">
        <v>5</v>
      </c>
      <c r="R4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474-COM-13833</v>
      </c>
      <c r="S45" s="157" t="str">
        <f>HYPERLINK("https://www.mouser.com/ProductDetail/" &amp;MouserListTable[[#This Row],[Mouser SKU]])</f>
        <v>https://www.mouser.com/ProductDetail/474-COM-13833</v>
      </c>
      <c r="T45" s="152">
        <v>1</v>
      </c>
      <c r="U45" s="152">
        <v>1</v>
      </c>
      <c r="V45" s="152">
        <v>0</v>
      </c>
      <c r="W45" s="152">
        <f>MouserListTable[[#This Row],['#/Unit]]*FilterSpecs!$C$3+MouserListTable[[#This Row],[Extra]]</f>
        <v>6</v>
      </c>
      <c r="X45" s="152">
        <f>IF(MouserListTable[[#This Row],[Tag]]=FilterSpecs!$F$7,MouserListTable[[#This Row],['#/Unit]]*MouserListTable[[#This Row],[Price (USD)]],0)</f>
        <v>19.95</v>
      </c>
      <c r="Y45" s="152">
        <f>MouserListTable[[#This Row],[Tot '#]]*MouserListTable[[#This Row],[Price (USD)]]</f>
        <v>119.69999999999999</v>
      </c>
      <c r="Z45" s="146"/>
      <c r="AA45" s="29" t="str">
        <f>[1]!nonzeroQtysOfList($F$14, $Q$14, InitialOrderTable2[[#This Row],[Name]], FilterSpecs!$A$7)</f>
        <v>2mm 10 pin Socket Headers (for XBee) - Pack of 2</v>
      </c>
      <c r="AB45" s="29">
        <f>[1]!nonzeroQtysOfList($F$14, $Q$14, InitialOrderTable2['# Initial], FilterSpecs!$A$7)</f>
        <v>10</v>
      </c>
      <c r="AC45" s="29" t="str">
        <f>[1]!nonzeroQtysOfList($F$14, $Q$14, InitialOrderTable2[SKU], FilterSpecs!$A$7)</f>
        <v>485-366</v>
      </c>
      <c r="AJ45" s="146"/>
    </row>
    <row r="46" spans="1:36" s="104" customFormat="1" x14ac:dyDescent="0.25">
      <c r="A46" s="150" t="s">
        <v>887</v>
      </c>
      <c r="B46" s="150" t="s">
        <v>1882</v>
      </c>
      <c r="C46" s="150" t="s">
        <v>1884</v>
      </c>
      <c r="D46" s="151" t="str">
        <f>IF(MouserListTable[[#This Row],[Vendor]]=FilterSpecs!$A$8,MouserListTable[[#This Row],[Mouser SKU]], MouserListTable[[#This Row],[Supplier SKU]])</f>
        <v>485-102</v>
      </c>
      <c r="E46" s="152">
        <f>MouserListTable[[#This Row],[Tot '#]]-MouserListTable[[#This Row],['# Initial]]</f>
        <v>2</v>
      </c>
      <c r="F46" s="152">
        <f>IF(AND(MouserListTable[[#This Row],[Tag]]&lt;&gt;FilterSpecs!$F$12, MouserListTable[[#This Row],[Tag]]&lt;&gt;FilterSpecs!$F$9), MouserListTable[[#This Row],['#/Unit]]*FilterSpecs!$B$3+MouserListTable[[#This Row],[Extra Initial]],0)</f>
        <v>0</v>
      </c>
      <c r="G46" s="150"/>
      <c r="H46" s="150"/>
      <c r="I46" s="150" t="s">
        <v>2243</v>
      </c>
      <c r="J46" s="150"/>
      <c r="K46" s="154">
        <v>7.95</v>
      </c>
      <c r="L46" s="150" t="s">
        <v>1896</v>
      </c>
      <c r="M46" s="151"/>
      <c r="N46" s="154">
        <f>MouserListTable[[#This Row],['# Initial]]*MouserListTable[[#This Row],[Price (USD)]]</f>
        <v>0</v>
      </c>
      <c r="O46" s="151" t="s">
        <v>2242</v>
      </c>
      <c r="P46" s="150">
        <f t="shared" si="0"/>
        <v>33</v>
      </c>
      <c r="Q46" s="150" t="s">
        <v>1884</v>
      </c>
      <c r="R4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485-102</v>
      </c>
      <c r="S46" s="157" t="str">
        <f>HYPERLINK("https://www.mouser.com/ProductDetail/" &amp;MouserListTable[[#This Row],[Mouser SKU]])</f>
        <v>https://www.mouser.com/ProductDetail/485-102</v>
      </c>
      <c r="T46" s="152">
        <v>0</v>
      </c>
      <c r="U46" s="152">
        <v>2</v>
      </c>
      <c r="V46" s="152">
        <v>0</v>
      </c>
      <c r="W46" s="152">
        <f>MouserListTable[[#This Row],['#/Unit]]*FilterSpecs!$C$3+MouserListTable[[#This Row],[Extra]]</f>
        <v>2</v>
      </c>
      <c r="X46" s="152">
        <f>IF(MouserListTable[[#This Row],[Tag]]=FilterSpecs!$F$7,MouserListTable[[#This Row],['#/Unit]]*MouserListTable[[#This Row],[Price (USD)]],0)</f>
        <v>0</v>
      </c>
      <c r="Y46" s="152">
        <f>MouserListTable[[#This Row],[Tot '#]]*MouserListTable[[#This Row],[Price (USD)]]</f>
        <v>15.9</v>
      </c>
      <c r="Z46" s="146"/>
      <c r="AA46" s="29" t="str">
        <f>[1]!nonzeroQtysOfList($F$14, $Q$14, InitialOrderTable2[[#This Row],[Name]], FilterSpecs!$A$7)</f>
        <v>2mm Pitch 25-Pin Female Socket Headers - Pack of 5</v>
      </c>
      <c r="AB46" s="29">
        <f>[1]!nonzeroQtysOfList($F$14, $Q$14, InitialOrderTable2['# Initial], FilterSpecs!$A$7)</f>
        <v>1</v>
      </c>
      <c r="AC46" s="29" t="str">
        <f>[1]!nonzeroQtysOfList($F$14, $Q$14, InitialOrderTable2[SKU], FilterSpecs!$A$7)</f>
        <v>485-2672</v>
      </c>
      <c r="AJ46" s="146"/>
    </row>
    <row r="47" spans="1:36" s="104" customFormat="1" x14ac:dyDescent="0.25">
      <c r="A47" s="97" t="s">
        <v>887</v>
      </c>
      <c r="B47" s="97" t="s">
        <v>1882</v>
      </c>
      <c r="C47" s="150" t="s">
        <v>1884</v>
      </c>
      <c r="D47" s="151" t="str">
        <f>IF(MouserListTable[[#This Row],[Vendor]]=FilterSpecs!$A$8,MouserListTable[[#This Row],[Mouser SKU]], MouserListTable[[#This Row],[Supplier SKU]])</f>
        <v>485-2693</v>
      </c>
      <c r="E47" s="152">
        <f>MouserListTable[[#This Row],[Tot '#]]-MouserListTable[[#This Row],['# Initial]]</f>
        <v>0</v>
      </c>
      <c r="F47" s="152">
        <f>IF(AND(MouserListTable[[#This Row],[Tag]]&lt;&gt;FilterSpecs!$F$12, MouserListTable[[#This Row],[Tag]]&lt;&gt;FilterSpecs!$F$9), MouserListTable[[#This Row],['#/Unit]]*FilterSpecs!$B$3+MouserListTable[[#This Row],[Extra Initial]],0)</f>
        <v>0</v>
      </c>
      <c r="G47" s="150"/>
      <c r="H47" s="150"/>
      <c r="I47" s="150" t="s">
        <v>2245</v>
      </c>
      <c r="J47" s="150"/>
      <c r="K47" s="154">
        <v>19.95</v>
      </c>
      <c r="L47" s="150" t="s">
        <v>1899</v>
      </c>
      <c r="M47" s="153"/>
      <c r="N47" s="154">
        <f>MouserListTable[[#This Row],['# Initial]]*MouserListTable[[#This Row],[Price (USD)]]</f>
        <v>0</v>
      </c>
      <c r="O47" s="151" t="s">
        <v>2244</v>
      </c>
      <c r="P47" s="150">
        <f t="shared" si="0"/>
        <v>34</v>
      </c>
      <c r="Q47" s="150" t="s">
        <v>1884</v>
      </c>
      <c r="R4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485-2693</v>
      </c>
      <c r="S47" s="157" t="str">
        <f>HYPERLINK("https://www.mouser.com/ProductDetail/" &amp;MouserListTable[[#This Row],[Mouser SKU]])</f>
        <v>https://www.mouser.com/ProductDetail/485-2693</v>
      </c>
      <c r="T47" s="152">
        <v>0</v>
      </c>
      <c r="U47" s="152">
        <v>0</v>
      </c>
      <c r="V47" s="152">
        <v>0</v>
      </c>
      <c r="W47" s="152">
        <f>MouserListTable[[#This Row],['#/Unit]]*FilterSpecs!$C$3+MouserListTable[[#This Row],[Extra]]</f>
        <v>0</v>
      </c>
      <c r="X47" s="152">
        <f>IF(MouserListTable[[#This Row],[Tag]]=FilterSpecs!$F$7,MouserListTable[[#This Row],['#/Unit]]*MouserListTable[[#This Row],[Price (USD)]],0)</f>
        <v>0</v>
      </c>
      <c r="Y47" s="152">
        <f>MouserListTable[[#This Row],[Tot '#]]*MouserListTable[[#This Row],[Price (USD)]]</f>
        <v>0</v>
      </c>
      <c r="Z47" s="146"/>
      <c r="AA47" s="29" t="str">
        <f>[1]!nonzeroQtysOfList($F$14, $Q$14, InitialOrderTable2[[#This Row],[Name]], FilterSpecs!$A$7)</f>
        <v>Small Single Row Wire Housing Pack for DIY Jumper Cables</v>
      </c>
      <c r="AB47" s="29">
        <f>[1]!nonzeroQtysOfList($F$14, $Q$14, InitialOrderTable2['# Initial], FilterSpecs!$A$7)</f>
        <v>3</v>
      </c>
      <c r="AC47" s="29" t="str">
        <f>[1]!nonzeroQtysOfList($F$14, $Q$14, InitialOrderTable2[SKU], FilterSpecs!$A$7)</f>
        <v>485-3145</v>
      </c>
      <c r="AJ47" s="146"/>
    </row>
    <row r="48" spans="1:36" s="153" customFormat="1" x14ac:dyDescent="0.25">
      <c r="A48" s="150" t="s">
        <v>887</v>
      </c>
      <c r="B48" s="150" t="s">
        <v>1882</v>
      </c>
      <c r="C48" s="150" t="s">
        <v>1884</v>
      </c>
      <c r="D48" s="151" t="str">
        <f>IF(MouserListTable[[#This Row],[Vendor]]=FilterSpecs!$A$8,MouserListTable[[#This Row],[Mouser SKU]], MouserListTable[[#This Row],[Supplier SKU]])</f>
        <v>485-1294</v>
      </c>
      <c r="E48" s="152">
        <f>MouserListTable[[#This Row],[Tot '#]]-MouserListTable[[#This Row],['# Initial]]</f>
        <v>0</v>
      </c>
      <c r="F48" s="152">
        <f>IF(AND(MouserListTable[[#This Row],[Tag]]&lt;&gt;FilterSpecs!$F$12, MouserListTable[[#This Row],[Tag]]&lt;&gt;FilterSpecs!$F$9), MouserListTable[[#This Row],['#/Unit]]*FilterSpecs!$B$3+MouserListTable[[#This Row],[Extra Initial]],0)</f>
        <v>0</v>
      </c>
      <c r="G48" s="150"/>
      <c r="H48" s="150"/>
      <c r="I48" s="150" t="s">
        <v>2247</v>
      </c>
      <c r="K48" s="118">
        <v>9.9499999999999993</v>
      </c>
      <c r="L48" s="97" t="s">
        <v>1896</v>
      </c>
      <c r="N48" s="154">
        <f>MouserListTable[[#This Row],['# Initial]]*MouserListTable[[#This Row],[Price (USD)]]</f>
        <v>0</v>
      </c>
      <c r="O48" s="151" t="s">
        <v>2246</v>
      </c>
      <c r="P48" s="150">
        <f t="shared" si="0"/>
        <v>35</v>
      </c>
      <c r="Q48" s="150" t="s">
        <v>1884</v>
      </c>
      <c r="R4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485-1294</v>
      </c>
      <c r="S48" s="157" t="str">
        <f>HYPERLINK("https://www.mouser.com/ProductDetail/" &amp;MouserListTable[[#This Row],[Mouser SKU]])</f>
        <v>https://www.mouser.com/ProductDetail/485-1294</v>
      </c>
      <c r="T48" s="152">
        <v>0</v>
      </c>
      <c r="U48" s="152">
        <v>0</v>
      </c>
      <c r="V48" s="152">
        <v>0</v>
      </c>
      <c r="W48" s="152">
        <f>MouserListTable[[#This Row],['#/Unit]]*FilterSpecs!$C$3+MouserListTable[[#This Row],[Extra]]</f>
        <v>0</v>
      </c>
      <c r="X48" s="152">
        <f>IF(MouserListTable[[#This Row],[Tag]]=FilterSpecs!$F$7,MouserListTable[[#This Row],['#/Unit]]*MouserListTable[[#This Row],[Price (USD)]],0)</f>
        <v>0</v>
      </c>
      <c r="Y48" s="152">
        <f>MouserListTable[[#This Row],[Tot '#]]*MouserListTable[[#This Row],[Price (USD)]]</f>
        <v>0</v>
      </c>
      <c r="Z48" s="146"/>
      <c r="AA48" s="29" t="str">
        <f>[1]!nonzeroQtysOfList($F$14, $Q$14, InitialOrderTable2[[#This Row],[Name]], FilterSpecs!$A$7)</f>
        <v>Large Dual Row Wire Housing Pack for DIY Jumper Cables</v>
      </c>
      <c r="AB48" s="29">
        <f>[1]!nonzeroQtysOfList($F$14, $Q$14, InitialOrderTable2['# Initial], FilterSpecs!$A$7)</f>
        <v>1</v>
      </c>
      <c r="AC48" s="29" t="str">
        <f>[1]!nonzeroQtysOfList($F$14, $Q$14, InitialOrderTable2[SKU], FilterSpecs!$A$7)</f>
        <v>485-3144</v>
      </c>
      <c r="AJ48" s="146"/>
    </row>
    <row r="49" spans="1:36" s="153" customFormat="1" x14ac:dyDescent="0.25">
      <c r="A49" s="150" t="s">
        <v>887</v>
      </c>
      <c r="B49" s="150" t="s">
        <v>1882</v>
      </c>
      <c r="C49" s="150" t="s">
        <v>5</v>
      </c>
      <c r="D49" s="151" t="str">
        <f>IF(MouserListTable[[#This Row],[Vendor]]=FilterSpecs!$A$8,MouserListTable[[#This Row],[Mouser SKU]], MouserListTable[[#This Row],[Supplier SKU]])</f>
        <v>474-TOL-12078</v>
      </c>
      <c r="E49" s="152">
        <f>MouserListTable[[#This Row],[Tot '#]]-MouserListTable[[#This Row],['# Initial]]</f>
        <v>1</v>
      </c>
      <c r="F49" s="152">
        <f>IF(AND(MouserListTable[[#This Row],[Tag]]&lt;&gt;FilterSpecs!$F$12, MouserListTable[[#This Row],[Tag]]&lt;&gt;FilterSpecs!$F$9), MouserListTable[[#This Row],['#/Unit]]*FilterSpecs!$B$3+MouserListTable[[#This Row],[Extra Initial]],0)</f>
        <v>0</v>
      </c>
      <c r="G49" s="150" t="s">
        <v>1613</v>
      </c>
      <c r="H49" s="150" t="s">
        <v>1614</v>
      </c>
      <c r="I49" s="150" t="s">
        <v>1615</v>
      </c>
      <c r="J49" s="150"/>
      <c r="K49" s="154">
        <v>4.95</v>
      </c>
      <c r="L49" s="150" t="s">
        <v>1900</v>
      </c>
      <c r="M49" s="151"/>
      <c r="N49" s="154">
        <f>MouserListTable[[#This Row],['# Initial]]*MouserListTable[[#This Row],[Price (USD)]]</f>
        <v>0</v>
      </c>
      <c r="O49" s="151" t="s">
        <v>1612</v>
      </c>
      <c r="P49" s="150">
        <f t="shared" si="0"/>
        <v>36</v>
      </c>
      <c r="Q49" s="150" t="s">
        <v>5</v>
      </c>
      <c r="R4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474-TOL-12078</v>
      </c>
      <c r="S49" s="157" t="str">
        <f>HYPERLINK("https://www.mouser.com/ProductDetail/" &amp;MouserListTable[[#This Row],[Mouser SKU]])</f>
        <v>https://www.mouser.com/ProductDetail/474-TOL-12078</v>
      </c>
      <c r="T49" s="152">
        <v>0</v>
      </c>
      <c r="U49" s="152">
        <v>1</v>
      </c>
      <c r="V49" s="152">
        <v>0</v>
      </c>
      <c r="W49" s="152">
        <f>MouserListTable[[#This Row],['#/Unit]]*FilterSpecs!$C$3+MouserListTable[[#This Row],[Extra]]</f>
        <v>1</v>
      </c>
      <c r="X49" s="152">
        <f>IF(MouserListTable[[#This Row],[Tag]]=FilterSpecs!$F$7,MouserListTable[[#This Row],['#/Unit]]*MouserListTable[[#This Row],[Price (USD)]],0)</f>
        <v>0</v>
      </c>
      <c r="Y49" s="152">
        <f>MouserListTable[[#This Row],[Tot '#]]*MouserListTable[[#This Row],[Price (USD)]]</f>
        <v>4.95</v>
      </c>
      <c r="Z49" s="146"/>
      <c r="AA49" s="29" t="str">
        <f>[1]!nonzeroQtysOfList($F$14, $Q$14, InitialOrderTable2[[#This Row],[Name]], FilterSpecs!$A$7)</f>
        <v>Small Dual Row Wire Housing Pack for DIY Jumper Cables</v>
      </c>
      <c r="AB49" s="29">
        <f>[1]!nonzeroQtysOfList($F$14, $Q$14, InitialOrderTable2['# Initial], FilterSpecs!$A$7)</f>
        <v>2</v>
      </c>
      <c r="AC49" s="29" t="str">
        <f>[1]!nonzeroQtysOfList($F$14, $Q$14, InitialOrderTable2[SKU], FilterSpecs!$A$7)</f>
        <v>485-3143</v>
      </c>
      <c r="AJ49" s="146"/>
    </row>
    <row r="50" spans="1:36" s="153" customFormat="1" x14ac:dyDescent="0.25">
      <c r="A50" s="150" t="s">
        <v>887</v>
      </c>
      <c r="B50" s="150" t="s">
        <v>1882</v>
      </c>
      <c r="C50" s="150" t="s">
        <v>5</v>
      </c>
      <c r="D50" s="151" t="str">
        <f>IF(MouserListTable[[#This Row],[Vendor]]=FilterSpecs!$A$8,MouserListTable[[#This Row],[Mouser SKU]], MouserListTable[[#This Row],[Supplier SKU]])</f>
        <v>474-TOL-11060</v>
      </c>
      <c r="E50" s="152">
        <f>MouserListTable[[#This Row],[Tot '#]]-MouserListTable[[#This Row],['# Initial]]</f>
        <v>0</v>
      </c>
      <c r="F50" s="152">
        <f>IF(AND(MouserListTable[[#This Row],[Tag]]&lt;&gt;FilterSpecs!$F$12, MouserListTable[[#This Row],[Tag]]&lt;&gt;FilterSpecs!$F$9), MouserListTable[[#This Row],['#/Unit]]*FilterSpecs!$B$3+MouserListTable[[#This Row],[Extra Initial]],0)</f>
        <v>1</v>
      </c>
      <c r="G50" s="150" t="s">
        <v>831</v>
      </c>
      <c r="H50" s="150" t="s">
        <v>832</v>
      </c>
      <c r="I50" s="150" t="s">
        <v>833</v>
      </c>
      <c r="J50" s="150"/>
      <c r="K50" s="154">
        <v>4.95</v>
      </c>
      <c r="L50" s="150" t="s">
        <v>1900</v>
      </c>
      <c r="M50" s="151"/>
      <c r="N50" s="154">
        <f>MouserListTable[[#This Row],['# Initial]]*MouserListTable[[#This Row],[Price (USD)]]</f>
        <v>4.95</v>
      </c>
      <c r="O50" s="151" t="s">
        <v>830</v>
      </c>
      <c r="P50" s="150">
        <f t="shared" si="0"/>
        <v>37</v>
      </c>
      <c r="Q50" s="150" t="s">
        <v>5</v>
      </c>
      <c r="R5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474-TOL-11060</v>
      </c>
      <c r="S50" s="157" t="str">
        <f>HYPERLINK("https://www.mouser.com/ProductDetail/" &amp;MouserListTable[[#This Row],[Mouser SKU]])</f>
        <v>https://www.mouser.com/ProductDetail/474-TOL-11060</v>
      </c>
      <c r="T50" s="152">
        <v>0</v>
      </c>
      <c r="U50" s="152">
        <v>1</v>
      </c>
      <c r="V50" s="152">
        <v>1</v>
      </c>
      <c r="W50" s="152">
        <f>MouserListTable[[#This Row],['#/Unit]]*FilterSpecs!$C$3+MouserListTable[[#This Row],[Extra]]</f>
        <v>1</v>
      </c>
      <c r="X50" s="152">
        <f>IF(MouserListTable[[#This Row],[Tag]]=FilterSpecs!$F$7,MouserListTable[[#This Row],['#/Unit]]*MouserListTable[[#This Row],[Price (USD)]],0)</f>
        <v>0</v>
      </c>
      <c r="Y50" s="152">
        <f>MouserListTable[[#This Row],[Tot '#]]*MouserListTable[[#This Row],[Price (USD)]]</f>
        <v>4.95</v>
      </c>
      <c r="Z50" s="146"/>
      <c r="AA50" s="29" t="str">
        <f>[1]!nonzeroQtysOfList($F$14, $Q$14, InitialOrderTable2[[#This Row],[Name]], FilterSpecs!$A$7)</f>
        <v>Large Single Row Housing Pack for DIY Jumper Cables</v>
      </c>
      <c r="AB50" s="29">
        <f>[1]!nonzeroQtysOfList($F$14, $Q$14, InitialOrderTable2['# Initial], FilterSpecs!$A$7)</f>
        <v>1</v>
      </c>
      <c r="AC50" s="29" t="str">
        <f>[1]!nonzeroQtysOfList($F$14, $Q$14, InitialOrderTable2[SKU], FilterSpecs!$A$7)</f>
        <v>485-3146</v>
      </c>
      <c r="AJ50" s="146"/>
    </row>
    <row r="51" spans="1:36" s="153" customFormat="1" x14ac:dyDescent="0.25">
      <c r="A51" s="150" t="s">
        <v>887</v>
      </c>
      <c r="B51" s="150" t="s">
        <v>1882</v>
      </c>
      <c r="C51" s="150" t="s">
        <v>5</v>
      </c>
      <c r="D51" s="151" t="str">
        <f>IF(MouserListTable[[#This Row],[Vendor]]=FilterSpecs!$A$8,MouserListTable[[#This Row],[Mouser SKU]], MouserListTable[[#This Row],[Supplier SKU]])</f>
        <v>474-PRT-12978</v>
      </c>
      <c r="E51" s="152">
        <f>MouserListTable[[#This Row],[Tot '#]]-MouserListTable[[#This Row],['# Initial]]</f>
        <v>0</v>
      </c>
      <c r="F51" s="152">
        <f>IF(AND(MouserListTable[[#This Row],[Tag]]&lt;&gt;FilterSpecs!$F$12, MouserListTable[[#This Row],[Tag]]&lt;&gt;FilterSpecs!$F$9), MouserListTable[[#This Row],['#/Unit]]*FilterSpecs!$B$3+MouserListTable[[#This Row],[Extra Initial]],0)</f>
        <v>0</v>
      </c>
      <c r="G51" s="150" t="s">
        <v>1846</v>
      </c>
      <c r="H51" s="150" t="s">
        <v>1847</v>
      </c>
      <c r="I51" s="150" t="s">
        <v>1848</v>
      </c>
      <c r="J51" s="150">
        <v>1</v>
      </c>
      <c r="K51" s="150">
        <v>2.95</v>
      </c>
      <c r="L51" s="150" t="s">
        <v>1896</v>
      </c>
      <c r="M51" s="150"/>
      <c r="N51" s="154">
        <f>MouserListTable[[#This Row],['# Initial]]*MouserListTable[[#This Row],[Price (USD)]]</f>
        <v>0</v>
      </c>
      <c r="O51" s="150" t="s">
        <v>1845</v>
      </c>
      <c r="P51" s="150">
        <f t="shared" si="0"/>
        <v>38</v>
      </c>
      <c r="Q51" s="150" t="s">
        <v>5</v>
      </c>
      <c r="R5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474-PRT-12978</v>
      </c>
      <c r="S51" s="157" t="str">
        <f>HYPERLINK("https://www.mouser.com/ProductDetail/" &amp;MouserListTable[[#This Row],[Mouser SKU]])</f>
        <v>https://www.mouser.com/ProductDetail/474-PRT-12978</v>
      </c>
      <c r="T51" s="152">
        <v>0</v>
      </c>
      <c r="U51" s="152">
        <v>0</v>
      </c>
      <c r="V51" s="152">
        <v>0</v>
      </c>
      <c r="W51" s="152">
        <f>MouserListTable[[#This Row],['#/Unit]]*FilterSpecs!$C$3+MouserListTable[[#This Row],[Extra]]</f>
        <v>0</v>
      </c>
      <c r="X51" s="152">
        <f>IF(MouserListTable[[#This Row],[Tag]]=FilterSpecs!$F$7,MouserListTable[[#This Row],['#/Unit]]*MouserListTable[[#This Row],[Price (USD)]],0)</f>
        <v>0</v>
      </c>
      <c r="Y51" s="152">
        <f>MouserListTable[[#This Row],[Tot '#]]*MouserListTable[[#This Row],[Price (USD)]]</f>
        <v>0</v>
      </c>
      <c r="Z51" s="146"/>
      <c r="AA51" s="29" t="str">
        <f>[1]!nonzeroQtysOfList($F$14, $Q$14, InitialOrderTable2[[#This Row],[Name]], FilterSpecs!$A$7)</f>
        <v>Premium Female/Female Raw Custom Jumper Wires - 40 x 6" (150mm)</v>
      </c>
      <c r="AB51" s="29">
        <f>[1]!nonzeroQtysOfList($F$14, $Q$14, InitialOrderTable2['# Initial], FilterSpecs!$A$7)</f>
        <v>5</v>
      </c>
      <c r="AC51" s="29" t="str">
        <f>[1]!nonzeroQtysOfList($F$14, $Q$14, InitialOrderTable2[SKU], FilterSpecs!$A$7)</f>
        <v>485-3141</v>
      </c>
      <c r="AJ51" s="146"/>
    </row>
    <row r="52" spans="1:36" s="153" customFormat="1" x14ac:dyDescent="0.25">
      <c r="A52" s="150" t="s">
        <v>887</v>
      </c>
      <c r="B52" s="150" t="s">
        <v>1882</v>
      </c>
      <c r="C52" s="150" t="s">
        <v>5</v>
      </c>
      <c r="D52" s="151" t="str">
        <f>IF(MouserListTable[[#This Row],[Vendor]]=FilterSpecs!$A$8,MouserListTable[[#This Row],[Mouser SKU]], MouserListTable[[#This Row],[Supplier SKU]])</f>
        <v>474-CAB-00508</v>
      </c>
      <c r="E52" s="152">
        <f>MouserListTable[[#This Row],[Tot '#]]-MouserListTable[[#This Row],['# Initial]]</f>
        <v>0</v>
      </c>
      <c r="F52" s="152">
        <f>IF(AND(MouserListTable[[#This Row],[Tag]]&lt;&gt;FilterSpecs!$F$12, MouserListTable[[#This Row],[Tag]]&lt;&gt;FilterSpecs!$F$9), MouserListTable[[#This Row],['#/Unit]]*FilterSpecs!$B$3+MouserListTable[[#This Row],[Extra Initial]],0)</f>
        <v>0</v>
      </c>
      <c r="G52" s="150" t="s">
        <v>1850</v>
      </c>
      <c r="H52" s="150" t="s">
        <v>1851</v>
      </c>
      <c r="I52" s="150" t="s">
        <v>1852</v>
      </c>
      <c r="J52" s="150"/>
      <c r="K52" s="150">
        <v>3.95</v>
      </c>
      <c r="L52" s="150" t="s">
        <v>1896</v>
      </c>
      <c r="M52" s="150"/>
      <c r="N52" s="154">
        <f>MouserListTable[[#This Row],['# Initial]]*MouserListTable[[#This Row],[Price (USD)]]</f>
        <v>0</v>
      </c>
      <c r="O52" s="150" t="s">
        <v>1861</v>
      </c>
      <c r="P52" s="150">
        <f t="shared" si="0"/>
        <v>39</v>
      </c>
      <c r="Q52" s="150" t="s">
        <v>5</v>
      </c>
      <c r="R5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474-CAB-00508</v>
      </c>
      <c r="S52" s="157" t="str">
        <f>HYPERLINK("https://www.mouser.com/ProductDetail/" &amp;MouserListTable[[#This Row],[Mouser SKU]])</f>
        <v>https://www.mouser.com/ProductDetail/474-CAB-00508</v>
      </c>
      <c r="T52" s="152">
        <v>0</v>
      </c>
      <c r="U52" s="152">
        <v>0</v>
      </c>
      <c r="V52" s="152">
        <v>0</v>
      </c>
      <c r="W52" s="152">
        <f>MouserListTable[[#This Row],['#/Unit]]*FilterSpecs!$C$3+MouserListTable[[#This Row],[Extra]]</f>
        <v>0</v>
      </c>
      <c r="X52" s="152">
        <f>IF(MouserListTable[[#This Row],[Tag]]=FilterSpecs!$F$7,MouserListTable[[#This Row],['#/Unit]]*MouserListTable[[#This Row],[Price (USD)]],0)</f>
        <v>0</v>
      </c>
      <c r="Y52" s="152">
        <f>MouserListTable[[#This Row],[Tot '#]]*MouserListTable[[#This Row],[Price (USD)]]</f>
        <v>0</v>
      </c>
      <c r="Z52" s="146"/>
      <c r="AA52" s="29" t="str">
        <f>[1]!nonzeroQtysOfList($F$14, $Q$14, InitialOrderTable2[[#This Row],[Name]], FilterSpecs!$A$7)</f>
        <v>Premium Male/Male Raw Jumper Wires - 40 x 6" (150mm)</v>
      </c>
      <c r="AB52" s="29">
        <f>[1]!nonzeroQtysOfList($F$14, $Q$14, InitialOrderTable2['# Initial], FilterSpecs!$A$7)</f>
        <v>5</v>
      </c>
      <c r="AC52" s="29" t="str">
        <f>[1]!nonzeroQtysOfList($F$14, $Q$14, InitialOrderTable2[SKU], FilterSpecs!$A$7)</f>
        <v>485-3142</v>
      </c>
      <c r="AJ52" s="146"/>
    </row>
    <row r="53" spans="1:36" s="153" customFormat="1" x14ac:dyDescent="0.25">
      <c r="A53" s="150" t="s">
        <v>887</v>
      </c>
      <c r="B53" s="150" t="s">
        <v>1882</v>
      </c>
      <c r="C53" s="150" t="s">
        <v>5</v>
      </c>
      <c r="D53" s="151" t="str">
        <f>IF(MouserListTable[[#This Row],[Vendor]]=FilterSpecs!$A$8,MouserListTable[[#This Row],[Mouser SKU]], MouserListTable[[#This Row],[Supplier SKU]])</f>
        <v>474-CAB-00509</v>
      </c>
      <c r="E53" s="152">
        <f>MouserListTable[[#This Row],[Tot '#]]-MouserListTable[[#This Row],['# Initial]]</f>
        <v>0</v>
      </c>
      <c r="F53" s="152">
        <f>IF(AND(MouserListTable[[#This Row],[Tag]]&lt;&gt;FilterSpecs!$F$12, MouserListTable[[#This Row],[Tag]]&lt;&gt;FilterSpecs!$F$9), MouserListTable[[#This Row],['#/Unit]]*FilterSpecs!$B$3+MouserListTable[[#This Row],[Extra Initial]],0)</f>
        <v>0</v>
      </c>
      <c r="G53" s="150" t="s">
        <v>1862</v>
      </c>
      <c r="H53" s="150" t="s">
        <v>1863</v>
      </c>
      <c r="I53" s="150" t="s">
        <v>1864</v>
      </c>
      <c r="J53" s="150"/>
      <c r="K53" s="150">
        <v>4.95</v>
      </c>
      <c r="L53" s="150" t="s">
        <v>1896</v>
      </c>
      <c r="M53" s="150"/>
      <c r="N53" s="154">
        <f>MouserListTable[[#This Row],['# Initial]]*MouserListTable[[#This Row],[Price (USD)]]</f>
        <v>0</v>
      </c>
      <c r="O53" s="150" t="s">
        <v>1849</v>
      </c>
      <c r="P53" s="150">
        <f t="shared" si="0"/>
        <v>40</v>
      </c>
      <c r="Q53" s="150" t="s">
        <v>5</v>
      </c>
      <c r="R5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474-CAB-00509</v>
      </c>
      <c r="S53" s="157" t="str">
        <f>HYPERLINK("https://www.mouser.com/ProductDetail/" &amp;MouserListTable[[#This Row],[Mouser SKU]])</f>
        <v>https://www.mouser.com/ProductDetail/474-CAB-00509</v>
      </c>
      <c r="T53" s="152">
        <v>0</v>
      </c>
      <c r="U53" s="152">
        <v>0</v>
      </c>
      <c r="V53" s="152">
        <v>0</v>
      </c>
      <c r="W53" s="152">
        <f>MouserListTable[[#This Row],['#/Unit]]*FilterSpecs!$C$3+MouserListTable[[#This Row],[Extra]]</f>
        <v>0</v>
      </c>
      <c r="X53" s="152">
        <f>IF(MouserListTable[[#This Row],[Tag]]=FilterSpecs!$F$7,MouserListTable[[#This Row],['#/Unit]]*MouserListTable[[#This Row],[Price (USD)]],0)</f>
        <v>0</v>
      </c>
      <c r="Y53" s="152">
        <f>MouserListTable[[#This Row],[Tot '#]]*MouserListTable[[#This Row],[Price (USD)]]</f>
        <v>0</v>
      </c>
      <c r="Z53" s="146"/>
      <c r="AA53" s="29" t="str">
        <f>[1]!nonzeroQtysOfList($F$14, $Q$14, InitialOrderTable2[[#This Row],[Name]], FilterSpecs!$A$7)</f>
        <v xml:space="preserve">JST 2-pin Extension Cable with On/Off Switch - JST PH2 </v>
      </c>
      <c r="AB53" s="29">
        <f>[1]!nonzeroQtysOfList($F$14, $Q$14, InitialOrderTable2['# Initial], FilterSpecs!$A$7)</f>
        <v>5</v>
      </c>
      <c r="AC53" s="29" t="str">
        <f>[1]!nonzeroQtysOfList($F$14, $Q$14, InitialOrderTable2[SKU], FilterSpecs!$A$7)</f>
        <v>485-3064</v>
      </c>
      <c r="AJ53" s="146"/>
    </row>
    <row r="54" spans="1:36" s="153" customFormat="1" x14ac:dyDescent="0.25">
      <c r="A54" s="150" t="s">
        <v>887</v>
      </c>
      <c r="B54" s="150" t="s">
        <v>1882</v>
      </c>
      <c r="C54" s="150" t="s">
        <v>5</v>
      </c>
      <c r="D54" s="151" t="str">
        <f>IF(MouserListTable[[#This Row],[Vendor]]=FilterSpecs!$A$8,MouserListTable[[#This Row],[Mouser SKU]], MouserListTable[[#This Row],[Supplier SKU]])</f>
        <v>474-CAB-00506</v>
      </c>
      <c r="E54" s="152">
        <f>MouserListTable[[#This Row],[Tot '#]]-MouserListTable[[#This Row],['# Initial]]</f>
        <v>0</v>
      </c>
      <c r="F54" s="152">
        <f>IF(AND(MouserListTable[[#This Row],[Tag]]&lt;&gt;FilterSpecs!$F$12, MouserListTable[[#This Row],[Tag]]&lt;&gt;FilterSpecs!$F$9), MouserListTable[[#This Row],['#/Unit]]*FilterSpecs!$B$3+MouserListTable[[#This Row],[Extra Initial]],0)</f>
        <v>0</v>
      </c>
      <c r="G54" s="150" t="s">
        <v>1854</v>
      </c>
      <c r="H54" s="150" t="s">
        <v>1855</v>
      </c>
      <c r="I54" s="150" t="s">
        <v>1856</v>
      </c>
      <c r="J54" s="150"/>
      <c r="K54" s="150">
        <v>4.95</v>
      </c>
      <c r="L54" s="150" t="s">
        <v>1896</v>
      </c>
      <c r="M54" s="150"/>
      <c r="N54" s="154">
        <f>MouserListTable[[#This Row],['# Initial]]*MouserListTable[[#This Row],[Price (USD)]]</f>
        <v>0</v>
      </c>
      <c r="O54" s="150" t="s">
        <v>1853</v>
      </c>
      <c r="P54" s="150">
        <f t="shared" si="0"/>
        <v>41</v>
      </c>
      <c r="Q54" s="150" t="s">
        <v>5</v>
      </c>
      <c r="R5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474-CAB-00506</v>
      </c>
      <c r="S54" s="157" t="str">
        <f>HYPERLINK("https://www.mouser.com/ProductDetail/" &amp;MouserListTable[[#This Row],[Mouser SKU]])</f>
        <v>https://www.mouser.com/ProductDetail/474-CAB-00506</v>
      </c>
      <c r="T54" s="152">
        <v>0</v>
      </c>
      <c r="U54" s="152">
        <v>0</v>
      </c>
      <c r="V54" s="152">
        <v>0</v>
      </c>
      <c r="W54" s="152">
        <f>MouserListTable[[#This Row],['#/Unit]]*FilterSpecs!$C$3+MouserListTable[[#This Row],[Extra]]</f>
        <v>0</v>
      </c>
      <c r="X54" s="152">
        <f>IF(MouserListTable[[#This Row],[Tag]]=FilterSpecs!$F$7,MouserListTable[[#This Row],['#/Unit]]*MouserListTable[[#This Row],[Price (USD)]],0)</f>
        <v>0</v>
      </c>
      <c r="Y54" s="152">
        <f>MouserListTable[[#This Row],[Tot '#]]*MouserListTable[[#This Row],[Price (USD)]]</f>
        <v>0</v>
      </c>
      <c r="Z54" s="146"/>
      <c r="AA54" s="29" t="str">
        <f>[1]!nonzeroQtysOfList($F$14, $Q$14, InitialOrderTable2[[#This Row],[Name]], FilterSpecs!$A$7)</f>
        <v xml:space="preserve">Pogo Pins "Crown Head" (10 pack) - P75-H2 </v>
      </c>
      <c r="AB54" s="29">
        <f>[1]!nonzeroQtysOfList($F$14, $Q$14, InitialOrderTable2['# Initial], FilterSpecs!$A$7)</f>
        <v>1</v>
      </c>
      <c r="AC54" s="29" t="str">
        <f>[1]!nonzeroQtysOfList($F$14, $Q$14, InitialOrderTable2[SKU], FilterSpecs!$A$7)</f>
        <v>485-2429</v>
      </c>
      <c r="AJ54" s="146"/>
    </row>
    <row r="55" spans="1:36" s="153" customFormat="1" x14ac:dyDescent="0.25">
      <c r="A55" s="150" t="s">
        <v>887</v>
      </c>
      <c r="B55" s="150" t="s">
        <v>1882</v>
      </c>
      <c r="C55" s="150" t="s">
        <v>5</v>
      </c>
      <c r="D55" s="151" t="str">
        <f>IF(MouserListTable[[#This Row],[Vendor]]=FilterSpecs!$A$8,MouserListTable[[#This Row],[Mouser SKU]], MouserListTable[[#This Row],[Supplier SKU]])</f>
        <v>474-CAB-09486</v>
      </c>
      <c r="E55" s="152">
        <f>MouserListTable[[#This Row],[Tot '#]]-MouserListTable[[#This Row],['# Initial]]</f>
        <v>0</v>
      </c>
      <c r="F55" s="152">
        <f>IF(AND(MouserListTable[[#This Row],[Tag]]&lt;&gt;FilterSpecs!$F$12, MouserListTable[[#This Row],[Tag]]&lt;&gt;FilterSpecs!$F$9), MouserListTable[[#This Row],['#/Unit]]*FilterSpecs!$B$3+MouserListTable[[#This Row],[Extra Initial]],0)</f>
        <v>0</v>
      </c>
      <c r="G55" s="150" t="s">
        <v>1858</v>
      </c>
      <c r="H55" s="150" t="s">
        <v>1859</v>
      </c>
      <c r="I55" s="150" t="s">
        <v>1860</v>
      </c>
      <c r="J55" s="150">
        <v>1</v>
      </c>
      <c r="K55" s="150">
        <v>14.95</v>
      </c>
      <c r="L55" s="150" t="s">
        <v>1896</v>
      </c>
      <c r="M55" s="150"/>
      <c r="N55" s="154">
        <f>MouserListTable[[#This Row],['# Initial]]*MouserListTable[[#This Row],[Price (USD)]]</f>
        <v>0</v>
      </c>
      <c r="O55" s="150" t="s">
        <v>1857</v>
      </c>
      <c r="P55" s="150">
        <f t="shared" si="0"/>
        <v>42</v>
      </c>
      <c r="Q55" s="150" t="s">
        <v>5</v>
      </c>
      <c r="R5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474-CAB-09486</v>
      </c>
      <c r="S55" s="157" t="str">
        <f>HYPERLINK("https://www.mouser.com/ProductDetail/" &amp;MouserListTable[[#This Row],[Mouser SKU]])</f>
        <v>https://www.mouser.com/ProductDetail/474-CAB-09486</v>
      </c>
      <c r="T55" s="152">
        <v>0</v>
      </c>
      <c r="U55" s="152">
        <v>0</v>
      </c>
      <c r="V55" s="152">
        <v>0</v>
      </c>
      <c r="W55" s="152">
        <f>MouserListTable[[#This Row],['#/Unit]]*FilterSpecs!$C$3+MouserListTable[[#This Row],[Extra]]</f>
        <v>0</v>
      </c>
      <c r="X55" s="152">
        <f>IF(MouserListTable[[#This Row],[Tag]]=FilterSpecs!$F$7,MouserListTable[[#This Row],['#/Unit]]*MouserListTable[[#This Row],[Price (USD)]],0)</f>
        <v>0</v>
      </c>
      <c r="Y55" s="152">
        <f>MouserListTable[[#This Row],[Tot '#]]*MouserListTable[[#This Row],[Price (USD)]]</f>
        <v>0</v>
      </c>
      <c r="Z55" s="146"/>
      <c r="AA55" s="29" t="str">
        <f>[1]!nonzeroQtysOfList($F$14, $Q$14, InitialOrderTable2[[#This Row],[Name]], FilterSpecs!$A$7)</f>
        <v xml:space="preserve">Pogo Pins "Cupped Head" (10 pack) - P75-A2 </v>
      </c>
      <c r="AB55" s="29">
        <f>[1]!nonzeroQtysOfList($F$14, $Q$14, InitialOrderTable2['# Initial], FilterSpecs!$A$7)</f>
        <v>1</v>
      </c>
      <c r="AC55" s="29" t="str">
        <f>[1]!nonzeroQtysOfList($F$14, $Q$14, InitialOrderTable2[SKU], FilterSpecs!$A$7)</f>
        <v>485-2428</v>
      </c>
      <c r="AJ55" s="146"/>
    </row>
    <row r="56" spans="1:36" s="104" customFormat="1" x14ac:dyDescent="0.25">
      <c r="A56" s="150" t="s">
        <v>887</v>
      </c>
      <c r="B56" s="150" t="s">
        <v>1882</v>
      </c>
      <c r="C56" s="150" t="s">
        <v>5</v>
      </c>
      <c r="D56" s="151" t="str">
        <f>IF(MouserListTable[[#This Row],[Vendor]]=FilterSpecs!$A$8,MouserListTable[[#This Row],[Mouser SKU]], MouserListTable[[#This Row],[Supplier SKU]])</f>
        <v>474-DEV-11643</v>
      </c>
      <c r="E56" s="152">
        <f>MouserListTable[[#This Row],[Tot '#]]-MouserListTable[[#This Row],['# Initial]]</f>
        <v>1</v>
      </c>
      <c r="F56" s="152">
        <f>IF(AND(MouserListTable[[#This Row],[Tag]]&lt;&gt;FilterSpecs!$F$12, MouserListTable[[#This Row],[Tag]]&lt;&gt;FilterSpecs!$F$13, MouserListTable[[#This Row],[Tag]]&lt;&gt;FilterSpecs!$F$9), MouserListTable[[#This Row],['#/Unit]]*FilterSpecs!$B$3+MouserListTable[[#This Row],[Extra Initial]],0)</f>
        <v>0</v>
      </c>
      <c r="G56" s="150" t="s">
        <v>326</v>
      </c>
      <c r="H56" s="150" t="s">
        <v>327</v>
      </c>
      <c r="I56" s="150" t="s">
        <v>328</v>
      </c>
      <c r="J56" s="150">
        <v>1</v>
      </c>
      <c r="K56" s="150">
        <v>54.95</v>
      </c>
      <c r="L56" s="150" t="s">
        <v>2464</v>
      </c>
      <c r="M56" s="150"/>
      <c r="N56" s="154">
        <f>MouserListTable[[#This Row],['# Initial]]*MouserListTable[[#This Row],[Price (USD)]]</f>
        <v>0</v>
      </c>
      <c r="O56" s="150" t="s">
        <v>325</v>
      </c>
      <c r="P56" s="150">
        <f t="shared" si="0"/>
        <v>43</v>
      </c>
      <c r="Q56" s="150" t="s">
        <v>5</v>
      </c>
      <c r="R5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474-DEV-11643</v>
      </c>
      <c r="S56" s="157" t="str">
        <f>HYPERLINK("https://www.mouser.com/ProductDetail/" &amp;MouserListTable[[#This Row],[Mouser SKU]])</f>
        <v>https://www.mouser.com/ProductDetail/474-DEV-11643</v>
      </c>
      <c r="T56" s="152">
        <v>0</v>
      </c>
      <c r="U56" s="152">
        <v>1</v>
      </c>
      <c r="V56" s="152">
        <v>1</v>
      </c>
      <c r="W56" s="152">
        <f>MouserListTable[[#This Row],['#/Unit]]*FilterSpecs!$C$3+MouserListTable[[#This Row],[Extra]]</f>
        <v>1</v>
      </c>
      <c r="X56" s="152">
        <f>IF(MouserListTable[[#This Row],[Tag]]=FilterSpecs!$F$7,MouserListTable[[#This Row],['#/Unit]]*MouserListTable[[#This Row],[Price (USD)]],0)</f>
        <v>0</v>
      </c>
      <c r="Y56" s="152">
        <f>MouserListTable[[#This Row],[Tot '#]]*MouserListTable[[#This Row],[Price (USD)]]</f>
        <v>54.95</v>
      </c>
      <c r="Z56" s="146"/>
      <c r="AA56" s="29" t="str">
        <f>[1]!nonzeroQtysOfList($F$14, $Q$14, InitialOrderTable2[[#This Row],[Name]], FilterSpecs!$A$7)</f>
        <v>Pogo Pins "Needle Head" (10 pack) - P75-B1</v>
      </c>
      <c r="AB56" s="29">
        <f>[1]!nonzeroQtysOfList($F$14, $Q$14, InitialOrderTable2['# Initial], FilterSpecs!$A$7)</f>
        <v>1</v>
      </c>
      <c r="AC56" s="29" t="str">
        <f>[1]!nonzeroQtysOfList($F$14, $Q$14, InitialOrderTable2[SKU], FilterSpecs!$A$7)</f>
        <v>485-2430</v>
      </c>
      <c r="AJ56" s="146"/>
    </row>
    <row r="57" spans="1:36" s="104" customFormat="1" x14ac:dyDescent="0.25">
      <c r="A57" s="150" t="s">
        <v>887</v>
      </c>
      <c r="B57" s="150" t="s">
        <v>1882</v>
      </c>
      <c r="C57" s="150" t="s">
        <v>1884</v>
      </c>
      <c r="D57" s="151" t="str">
        <f>IF(MouserListTable[[#This Row],[Vendor]]=FilterSpecs!$A$8,MouserListTable[[#This Row],[Mouser SKU]], MouserListTable[[#This Row],[Supplier SKU]])</f>
        <v>485-1969</v>
      </c>
      <c r="E57" s="152">
        <f>MouserListTable[[#This Row],[Tot '#]]-MouserListTable[[#This Row],['# Initial]]</f>
        <v>0</v>
      </c>
      <c r="F57" s="152">
        <f>IF(AND(MouserListTable[[#This Row],[Tag]]&lt;&gt;FilterSpecs!$F$12, MouserListTable[[#This Row],[Tag]]&lt;&gt;FilterSpecs!$F$9), MouserListTable[[#This Row],['#/Unit]]*FilterSpecs!$B$3+MouserListTable[[#This Row],[Extra Initial]],0)</f>
        <v>1</v>
      </c>
      <c r="G57" s="150"/>
      <c r="H57" s="150"/>
      <c r="I57" s="150" t="s">
        <v>2053</v>
      </c>
      <c r="J57" s="150"/>
      <c r="K57" s="150">
        <v>2.95</v>
      </c>
      <c r="L57" s="150" t="s">
        <v>1896</v>
      </c>
      <c r="M57" s="150"/>
      <c r="N57" s="154">
        <f>MouserListTable[[#This Row],['# Initial]]*MouserListTable[[#This Row],[Price (USD)]]</f>
        <v>2.95</v>
      </c>
      <c r="O57" s="150" t="s">
        <v>2054</v>
      </c>
      <c r="P57" s="150">
        <f t="shared" si="0"/>
        <v>44</v>
      </c>
      <c r="Q57" s="150" t="s">
        <v>1884</v>
      </c>
      <c r="R5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485-1969</v>
      </c>
      <c r="S57" s="157" t="str">
        <f>HYPERLINK("https://www.mouser.com/ProductDetail/" &amp;MouserListTable[[#This Row],[Mouser SKU]])</f>
        <v>https://www.mouser.com/ProductDetail/485-1969</v>
      </c>
      <c r="T57" s="152">
        <v>0</v>
      </c>
      <c r="U57" s="152">
        <v>1</v>
      </c>
      <c r="V57" s="152">
        <v>1</v>
      </c>
      <c r="W57" s="152">
        <f>MouserListTable[[#This Row],['#/Unit]]*FilterSpecs!$C$3+MouserListTable[[#This Row],[Extra]]</f>
        <v>1</v>
      </c>
      <c r="X57" s="152">
        <f>IF(MouserListTable[[#This Row],[Tag]]=FilterSpecs!$F$7,MouserListTable[[#This Row],['#/Unit]]*MouserListTable[[#This Row],[Price (USD)]],0)</f>
        <v>0</v>
      </c>
      <c r="Y57" s="152">
        <f>MouserListTable[[#This Row],[Tot '#]]*MouserListTable[[#This Row],[Price (USD)]]</f>
        <v>2.95</v>
      </c>
      <c r="Z57" s="146"/>
      <c r="AA57" s="29" t="str">
        <f>[1]!nonzeroQtysOfList($F$14, $Q$14, InitialOrderTable2[[#This Row],[Name]], FilterSpecs!$A$7)</f>
        <v xml:space="preserve">Pogo Pins "Spear Head" (10 pack) - P75-LM3 </v>
      </c>
      <c r="AB57" s="29">
        <f>[1]!nonzeroQtysOfList($F$14, $Q$14, InitialOrderTable2['# Initial], FilterSpecs!$A$7)</f>
        <v>1</v>
      </c>
      <c r="AC57" s="29" t="str">
        <f>[1]!nonzeroQtysOfList($F$14, $Q$14, InitialOrderTable2[SKU], FilterSpecs!$A$7)</f>
        <v>485-394</v>
      </c>
      <c r="AJ57" s="146"/>
    </row>
    <row r="58" spans="1:36" s="153" customFormat="1" x14ac:dyDescent="0.25">
      <c r="A58" s="150" t="s">
        <v>887</v>
      </c>
      <c r="B58" s="150" t="s">
        <v>1882</v>
      </c>
      <c r="C58" s="150" t="s">
        <v>5</v>
      </c>
      <c r="D58" s="151" t="str">
        <f>IF(MouserListTable[[#This Row],[Vendor]]=FilterSpecs!$A$8,MouserListTable[[#This Row],[Mouser SKU]], MouserListTable[[#This Row],[Supplier SKU]])</f>
        <v>474-TOL-10829</v>
      </c>
      <c r="E58" s="152">
        <f>MouserListTable[[#This Row],[Tot '#]]-MouserListTable[[#This Row],['# Initial]]</f>
        <v>0</v>
      </c>
      <c r="F58" s="152">
        <f>IF(AND(MouserListTable[[#This Row],[Tag]]&lt;&gt;FilterSpecs!$F$12, MouserListTable[[#This Row],[Tag]]&lt;&gt;FilterSpecs!$F$9), MouserListTable[[#This Row],['#/Unit]]*FilterSpecs!$B$3+MouserListTable[[#This Row],[Extra Initial]],0)</f>
        <v>0</v>
      </c>
      <c r="G58" s="150" t="s">
        <v>1866</v>
      </c>
      <c r="H58" s="150" t="s">
        <v>1867</v>
      </c>
      <c r="I58" s="150" t="s">
        <v>1868</v>
      </c>
      <c r="J58" s="150"/>
      <c r="K58" s="150">
        <v>27.95</v>
      </c>
      <c r="L58" s="150" t="s">
        <v>1896</v>
      </c>
      <c r="M58" s="150"/>
      <c r="N58" s="154">
        <f>MouserListTable[[#This Row],['# Initial]]*MouserListTable[[#This Row],[Price (USD)]]</f>
        <v>0</v>
      </c>
      <c r="O58" s="150" t="s">
        <v>1865</v>
      </c>
      <c r="P58" s="150">
        <f t="shared" si="0"/>
        <v>45</v>
      </c>
      <c r="Q58" s="150" t="s">
        <v>5</v>
      </c>
      <c r="R5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474-TOL-10829</v>
      </c>
      <c r="S58" s="157" t="str">
        <f>HYPERLINK("https://www.mouser.com/ProductDetail/" &amp;MouserListTable[[#This Row],[Mouser SKU]])</f>
        <v>https://www.mouser.com/ProductDetail/474-TOL-10829</v>
      </c>
      <c r="T58" s="152">
        <v>0</v>
      </c>
      <c r="U58" s="152">
        <v>0</v>
      </c>
      <c r="V58" s="152">
        <v>0</v>
      </c>
      <c r="W58" s="152">
        <f>MouserListTable[[#This Row],['#/Unit]]*FilterSpecs!$C$3+MouserListTable[[#This Row],[Extra]]</f>
        <v>0</v>
      </c>
      <c r="X58" s="152">
        <f>IF(MouserListTable[[#This Row],[Tag]]=FilterSpecs!$F$7,MouserListTable[[#This Row],['#/Unit]]*MouserListTable[[#This Row],[Price (USD)]],0)</f>
        <v>0</v>
      </c>
      <c r="Y58" s="152">
        <f>MouserListTable[[#This Row],[Tot '#]]*MouserListTable[[#This Row],[Price (USD)]]</f>
        <v>0</v>
      </c>
      <c r="Z58" s="146"/>
      <c r="AA58" s="29" t="str">
        <f>[1]!nonzeroQtysOfList($F$14, $Q$14, InitialOrderTable2[[#This Row],[Name]], FilterSpecs!$A$7)</f>
        <v xml:space="preserve">Panel Mount Right Angle 10K Linear Potentiometer w/On-Off Switch - 10K Linear w/ Switch </v>
      </c>
      <c r="AB58" s="29">
        <f>[1]!nonzeroQtysOfList($F$14, $Q$14, InitialOrderTable2['# Initial], FilterSpecs!$A$7)</f>
        <v>5</v>
      </c>
      <c r="AC58" s="29" t="str">
        <f>[1]!nonzeroQtysOfList($F$14, $Q$14, InitialOrderTable2[SKU], FilterSpecs!$A$7)</f>
        <v>485-3395</v>
      </c>
      <c r="AJ58" s="146"/>
    </row>
    <row r="59" spans="1:36" s="153" customFormat="1" x14ac:dyDescent="0.25">
      <c r="A59" s="150" t="s">
        <v>887</v>
      </c>
      <c r="B59" s="150" t="s">
        <v>1882</v>
      </c>
      <c r="C59" s="150" t="s">
        <v>5</v>
      </c>
      <c r="D59" s="151" t="str">
        <f>IF(MouserListTable[[#This Row],[Vendor]]=FilterSpecs!$A$8,MouserListTable[[#This Row],[Mouser SKU]], MouserListTable[[#This Row],[Supplier SKU]])</f>
        <v>474-BOB-10160</v>
      </c>
      <c r="E59" s="152">
        <f>MouserListTable[[#This Row],[Tot '#]]-MouserListTable[[#This Row],['# Initial]]</f>
        <v>1</v>
      </c>
      <c r="F59" s="152">
        <f>IF(AND(MouserListTable[[#This Row],[Tag]]&lt;&gt;FilterSpecs!$F$12, MouserListTable[[#This Row],[Tag]]&lt;&gt;FilterSpecs!$F$9), MouserListTable[[#This Row],['#/Unit]]*FilterSpecs!$B$3+MouserListTable[[#This Row],[Extra Initial]],0)</f>
        <v>0</v>
      </c>
      <c r="G59" s="150" t="s">
        <v>918</v>
      </c>
      <c r="H59" s="150" t="s">
        <v>919</v>
      </c>
      <c r="I59" s="150" t="s">
        <v>920</v>
      </c>
      <c r="J59" s="153">
        <v>1</v>
      </c>
      <c r="K59" s="154">
        <v>19.95</v>
      </c>
      <c r="L59" s="150" t="s">
        <v>1900</v>
      </c>
      <c r="M59" s="151"/>
      <c r="N59" s="154">
        <f>MouserListTable[[#This Row],['# Initial]]*MouserListTable[[#This Row],[Price (USD)]]</f>
        <v>0</v>
      </c>
      <c r="O59" s="151" t="s">
        <v>917</v>
      </c>
      <c r="P59" s="150">
        <f t="shared" si="0"/>
        <v>46</v>
      </c>
      <c r="Q59" s="150" t="s">
        <v>5</v>
      </c>
      <c r="R5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474-BOB-10160</v>
      </c>
      <c r="S59" s="157" t="str">
        <f>HYPERLINK("https://www.mouser.com/ProductDetail/" &amp;MouserListTable[[#This Row],[Mouser SKU]])</f>
        <v>https://www.mouser.com/ProductDetail/474-BOB-10160</v>
      </c>
      <c r="T59" s="152">
        <v>0</v>
      </c>
      <c r="U59" s="152">
        <v>1</v>
      </c>
      <c r="V59" s="152">
        <v>0</v>
      </c>
      <c r="W59" s="152">
        <f>MouserListTable[[#This Row],['#/Unit]]*FilterSpecs!$C$3+MouserListTable[[#This Row],[Extra]]</f>
        <v>1</v>
      </c>
      <c r="X59" s="152">
        <f>IF(MouserListTable[[#This Row],[Tag]]=FilterSpecs!$F$7,MouserListTable[[#This Row],['#/Unit]]*MouserListTable[[#This Row],[Price (USD)]],0)</f>
        <v>0</v>
      </c>
      <c r="Y59" s="152">
        <f>MouserListTable[[#This Row],[Tot '#]]*MouserListTable[[#This Row],[Price (USD)]]</f>
        <v>19.95</v>
      </c>
      <c r="Z59" s="146"/>
      <c r="AA59" s="29" t="str">
        <f>[1]!nonzeroQtysOfList($F$14, $Q$14, InitialOrderTable2[[#This Row],[Name]], FilterSpecs!$A$7)</f>
        <v>Hook-up Wire Spool Set - 22AWG Solid Core - 10 x 25ft</v>
      </c>
      <c r="AB59" s="29">
        <f>[1]!nonzeroQtysOfList($F$14, $Q$14, InitialOrderTable2['# Initial], FilterSpecs!$A$7)</f>
        <v>1</v>
      </c>
      <c r="AC59" s="29" t="str">
        <f>[1]!nonzeroQtysOfList($F$14, $Q$14, InitialOrderTable2[SKU], FilterSpecs!$A$7)</f>
        <v>485-3174</v>
      </c>
      <c r="AJ59" s="146"/>
    </row>
    <row r="60" spans="1:36" s="153" customFormat="1" x14ac:dyDescent="0.25">
      <c r="A60" s="150" t="s">
        <v>887</v>
      </c>
      <c r="B60" s="150" t="s">
        <v>2007</v>
      </c>
      <c r="C60" s="150" t="s">
        <v>5</v>
      </c>
      <c r="D60" s="151" t="str">
        <f>IF(MouserListTable[[#This Row],[Vendor]]=FilterSpecs!$A$8,MouserListTable[[#This Row],[Mouser SKU]], MouserListTable[[#This Row],[Supplier SKU]])</f>
        <v>474-COM-12014</v>
      </c>
      <c r="E60" s="152">
        <f>MouserListTable[[#This Row],[Tot '#]]-MouserListTable[[#This Row],['# Initial]]</f>
        <v>1</v>
      </c>
      <c r="F60" s="152">
        <f>IF(AND(MouserListTable[[#This Row],[Tag]]&lt;&gt;FilterSpecs!$F$12, MouserListTable[[#This Row],[Tag]]&lt;&gt;FilterSpecs!$F$9), MouserListTable[[#This Row],['#/Unit]]*FilterSpecs!$B$3+MouserListTable[[#This Row],[Extra Initial]],0)</f>
        <v>0</v>
      </c>
      <c r="G60" s="150" t="s">
        <v>1129</v>
      </c>
      <c r="H60" s="150" t="s">
        <v>1130</v>
      </c>
      <c r="I60" s="150" t="s">
        <v>1131</v>
      </c>
      <c r="J60" s="150">
        <v>1</v>
      </c>
      <c r="K60" s="154">
        <v>3.95</v>
      </c>
      <c r="L60" s="150" t="s">
        <v>1896</v>
      </c>
      <c r="M60" s="151"/>
      <c r="N60" s="154">
        <f>MouserListTable[[#This Row],['# Initial]]*MouserListTable[[#This Row],[Price (USD)]]</f>
        <v>0</v>
      </c>
      <c r="O60" s="151" t="s">
        <v>1128</v>
      </c>
      <c r="P60" s="150">
        <f t="shared" si="0"/>
        <v>47</v>
      </c>
      <c r="Q60" s="150" t="s">
        <v>5</v>
      </c>
      <c r="R6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474-COM-12014</v>
      </c>
      <c r="S60" s="157" t="str">
        <f>HYPERLINK("https://www.mouser.com/ProductDetail/" &amp;MouserListTable[[#This Row],[Mouser SKU]])</f>
        <v>https://www.mouser.com/ProductDetail/474-COM-12014</v>
      </c>
      <c r="T60" s="152">
        <v>0</v>
      </c>
      <c r="U60" s="152">
        <v>1</v>
      </c>
      <c r="V60" s="152">
        <v>0</v>
      </c>
      <c r="W60" s="152">
        <f>MouserListTable[[#This Row],['#/Unit]]*FilterSpecs!$C$3+MouserListTable[[#This Row],[Extra]]</f>
        <v>1</v>
      </c>
      <c r="X60" s="152">
        <f>IF(MouserListTable[[#This Row],[Tag]]=FilterSpecs!$F$7,MouserListTable[[#This Row],['#/Unit]]*MouserListTable[[#This Row],[Price (USD)]],0)</f>
        <v>0</v>
      </c>
      <c r="Y60" s="152">
        <f>MouserListTable[[#This Row],[Tot '#]]*MouserListTable[[#This Row],[Price (USD)]]</f>
        <v>3.95</v>
      </c>
      <c r="Z60" s="146"/>
      <c r="AA60" s="29" t="str">
        <f>[1]!nonzeroQtysOfList($F$14, $Q$14, InitialOrderTable2[[#This Row],[Name]], FilterSpecs!$A$7)</f>
        <v xml:space="preserve">Panavise Jr. </v>
      </c>
      <c r="AB60" s="29">
        <f>[1]!nonzeroQtysOfList($F$14, $Q$14, InitialOrderTable2['# Initial], FilterSpecs!$A$7)</f>
        <v>1</v>
      </c>
      <c r="AC60" s="29" t="str">
        <f>[1]!nonzeroQtysOfList($F$14, $Q$14, InitialOrderTable2[SKU], FilterSpecs!$A$7)</f>
        <v>485-151</v>
      </c>
      <c r="AJ60" s="146"/>
    </row>
    <row r="61" spans="1:36" s="153" customFormat="1" x14ac:dyDescent="0.25">
      <c r="A61" s="150" t="s">
        <v>887</v>
      </c>
      <c r="B61" s="150" t="s">
        <v>2007</v>
      </c>
      <c r="C61" s="150" t="s">
        <v>5</v>
      </c>
      <c r="D61" s="151" t="str">
        <f>IF(MouserListTable[[#This Row],[Vendor]]=FilterSpecs!$A$8,MouserListTable[[#This Row],[Mouser SKU]], MouserListTable[[#This Row],[Supplier SKU]])</f>
        <v>474-COM-11408</v>
      </c>
      <c r="E61" s="152">
        <f>MouserListTable[[#This Row],[Tot '#]]-MouserListTable[[#This Row],['# Initial]]</f>
        <v>1</v>
      </c>
      <c r="F61" s="152">
        <f>IF(AND(MouserListTable[[#This Row],[Tag]]&lt;&gt;FilterSpecs!$F$12, MouserListTable[[#This Row],[Tag]]&lt;&gt;FilterSpecs!$F$9), MouserListTable[[#This Row],['#/Unit]]*FilterSpecs!$B$3+MouserListTable[[#This Row],[Extra Initial]],0)</f>
        <v>0</v>
      </c>
      <c r="G61" s="150" t="s">
        <v>1716</v>
      </c>
      <c r="H61" s="150" t="s">
        <v>1717</v>
      </c>
      <c r="I61" s="150" t="s">
        <v>1718</v>
      </c>
      <c r="J61" s="150">
        <v>1</v>
      </c>
      <c r="K61" s="154">
        <v>2.95</v>
      </c>
      <c r="L61" s="150" t="s">
        <v>1896</v>
      </c>
      <c r="M61" s="151"/>
      <c r="N61" s="154">
        <f>MouserListTable[[#This Row],['# Initial]]*MouserListTable[[#This Row],[Price (USD)]]</f>
        <v>0</v>
      </c>
      <c r="O61" s="151" t="s">
        <v>1715</v>
      </c>
      <c r="P61" s="150">
        <f t="shared" si="0"/>
        <v>48</v>
      </c>
      <c r="Q61" s="150" t="s">
        <v>5</v>
      </c>
      <c r="R6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474-COM-11408</v>
      </c>
      <c r="S61" s="157" t="str">
        <f>HYPERLINK("https://www.mouser.com/ProductDetail/" &amp;MouserListTable[[#This Row],[Mouser SKU]])</f>
        <v>https://www.mouser.com/ProductDetail/474-COM-11408</v>
      </c>
      <c r="T61" s="152">
        <v>0</v>
      </c>
      <c r="U61" s="152">
        <v>1</v>
      </c>
      <c r="V61" s="152">
        <v>0</v>
      </c>
      <c r="W61" s="152">
        <f>MouserListTable[[#This Row],['#/Unit]]*FilterSpecs!$C$3+MouserListTable[[#This Row],[Extra]]</f>
        <v>1</v>
      </c>
      <c r="X61" s="152">
        <f>IF(MouserListTable[[#This Row],[Tag]]=FilterSpecs!$F$7,MouserListTable[[#This Row],['#/Unit]]*MouserListTable[[#This Row],[Price (USD)]],0)</f>
        <v>0</v>
      </c>
      <c r="Y61" s="152">
        <f>MouserListTable[[#This Row],[Tot '#]]*MouserListTable[[#This Row],[Price (USD)]]</f>
        <v>2.95</v>
      </c>
      <c r="Z61" s="146"/>
      <c r="AA61" s="29" t="str">
        <f>[1]!nonzeroQtysOfList($F$14, $Q$14, InitialOrderTable2[[#This Row],[Name]], FilterSpecs!$A$7)</f>
        <v>Third Hand Pana Hand Workstation Add-On for Panavise</v>
      </c>
      <c r="AB61" s="29">
        <f>[1]!nonzeroQtysOfList($F$14, $Q$14, InitialOrderTable2['# Initial], FilterSpecs!$A$7)</f>
        <v>1</v>
      </c>
      <c r="AC61" s="29" t="str">
        <f>[1]!nonzeroQtysOfList($F$14, $Q$14, InitialOrderTable2[SKU], FilterSpecs!$A$7)</f>
        <v>485-3019</v>
      </c>
      <c r="AJ61" s="146"/>
    </row>
    <row r="62" spans="1:36" s="104" customFormat="1" x14ac:dyDescent="0.25">
      <c r="A62" s="150" t="s">
        <v>887</v>
      </c>
      <c r="B62" s="150" t="s">
        <v>2007</v>
      </c>
      <c r="C62" s="150" t="s">
        <v>5</v>
      </c>
      <c r="D62" s="151" t="str">
        <f>IF(MouserListTable[[#This Row],[Vendor]]=FilterSpecs!$A$8,MouserListTable[[#This Row],[Mouser SKU]], MouserListTable[[#This Row],[Supplier SKU]])</f>
        <v>474-COM-13999</v>
      </c>
      <c r="E62" s="152">
        <f>MouserListTable[[#This Row],[Tot '#]]-MouserListTable[[#This Row],['# Initial]]</f>
        <v>1</v>
      </c>
      <c r="F62" s="152">
        <f>IF(AND(MouserListTable[[#This Row],[Tag]]&lt;&gt;FilterSpecs!$F$12, MouserListTable[[#This Row],[Tag]]&lt;&gt;FilterSpecs!$F$9), MouserListTable[[#This Row],['#/Unit]]*FilterSpecs!$B$3+MouserListTable[[#This Row],[Extra Initial]],0)</f>
        <v>0</v>
      </c>
      <c r="G62" s="150" t="s">
        <v>1660</v>
      </c>
      <c r="H62" s="150" t="s">
        <v>1661</v>
      </c>
      <c r="I62" s="150" t="s">
        <v>1662</v>
      </c>
      <c r="J62" s="150"/>
      <c r="K62" s="154">
        <v>3.95</v>
      </c>
      <c r="L62" s="150" t="s">
        <v>2461</v>
      </c>
      <c r="M62" s="151"/>
      <c r="N62" s="154">
        <f>MouserListTable[[#This Row],['# Initial]]*MouserListTable[[#This Row],[Price (USD)]]</f>
        <v>0</v>
      </c>
      <c r="O62" s="151" t="s">
        <v>1659</v>
      </c>
      <c r="P62" s="150">
        <f t="shared" si="0"/>
        <v>49</v>
      </c>
      <c r="Q62" s="150" t="s">
        <v>5</v>
      </c>
      <c r="R6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474-COM-13999</v>
      </c>
      <c r="S62" s="157" t="str">
        <f>HYPERLINK("https://www.mouser.com/ProductDetail/" &amp;MouserListTable[[#This Row],[Mouser SKU]])</f>
        <v>https://www.mouser.com/ProductDetail/474-COM-13999</v>
      </c>
      <c r="T62" s="152">
        <v>0</v>
      </c>
      <c r="U62" s="152">
        <v>1</v>
      </c>
      <c r="V62" s="152">
        <v>0</v>
      </c>
      <c r="W62" s="152">
        <f>MouserListTable[[#This Row],['#/Unit]]*FilterSpecs!$C$3+MouserListTable[[#This Row],[Extra]]</f>
        <v>1</v>
      </c>
      <c r="X62" s="152">
        <f>IF(MouserListTable[[#This Row],[Tag]]=FilterSpecs!$F$7,MouserListTable[[#This Row],['#/Unit]]*MouserListTable[[#This Row],[Price (USD)]],0)</f>
        <v>0</v>
      </c>
      <c r="Y62" s="152">
        <f>MouserListTable[[#This Row],[Tot '#]]*MouserListTable[[#This Row],[Price (USD)]]</f>
        <v>3.95</v>
      </c>
      <c r="Z62" s="146"/>
      <c r="AA62" s="29" t="str">
        <f>[1]!nonzeroQtysOfList($F$14, $Q$14, InitialOrderTable2[[#This Row],[Name]], FilterSpecs!$A$7)</f>
        <v>Medium Modular Snap Boxes - SMD component storage - 2 pack - Pink</v>
      </c>
      <c r="AB62" s="29">
        <f>[1]!nonzeroQtysOfList($F$14, $Q$14, InitialOrderTable2['# Initial], FilterSpecs!$A$7)</f>
        <v>1</v>
      </c>
      <c r="AC62" s="29" t="str">
        <f>[1]!nonzeroQtysOfList($F$14, $Q$14, InitialOrderTable2[SKU], FilterSpecs!$A$7)</f>
        <v>485-433</v>
      </c>
      <c r="AJ62" s="146"/>
    </row>
    <row r="63" spans="1:36" s="104" customFormat="1" x14ac:dyDescent="0.25">
      <c r="A63" s="150" t="s">
        <v>887</v>
      </c>
      <c r="B63" s="150" t="s">
        <v>2007</v>
      </c>
      <c r="C63" s="150" t="s">
        <v>5</v>
      </c>
      <c r="D63" s="151" t="str">
        <f>IF(MouserListTable[[#This Row],[Vendor]]=FilterSpecs!$A$8,MouserListTable[[#This Row],[Mouser SKU]], MouserListTable[[#This Row],[Supplier SKU]])</f>
        <v>474-COM-09938</v>
      </c>
      <c r="E63" s="152">
        <f>MouserListTable[[#This Row],[Tot '#]]-MouserListTable[[#This Row],['# Initial]]</f>
        <v>0</v>
      </c>
      <c r="F63" s="152">
        <f>IF(AND(MouserListTable[[#This Row],[Tag]]&lt;&gt;FilterSpecs!$F$12, MouserListTable[[#This Row],[Tag]]&lt;&gt;FilterSpecs!$F$9), MouserListTable[[#This Row],['#/Unit]]*FilterSpecs!$B$3+MouserListTable[[#This Row],[Extra Initial]],0)</f>
        <v>10</v>
      </c>
      <c r="G63" s="150" t="s">
        <v>1433</v>
      </c>
      <c r="H63" s="150" t="s">
        <v>1434</v>
      </c>
      <c r="I63" s="150" t="s">
        <v>1435</v>
      </c>
      <c r="J63" s="150">
        <v>1</v>
      </c>
      <c r="K63" s="154">
        <v>1.95</v>
      </c>
      <c r="L63" s="150" t="s">
        <v>1897</v>
      </c>
      <c r="M63" s="151"/>
      <c r="N63" s="154">
        <f>MouserListTable[[#This Row],['# Initial]]*MouserListTable[[#This Row],[Price (USD)]]</f>
        <v>19.5</v>
      </c>
      <c r="O63" s="151" t="s">
        <v>1432</v>
      </c>
      <c r="P63" s="150">
        <f t="shared" si="0"/>
        <v>50</v>
      </c>
      <c r="Q63" s="150" t="s">
        <v>5</v>
      </c>
      <c r="R6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474-COM-09938</v>
      </c>
      <c r="S63" s="157" t="str">
        <f>HYPERLINK("https://www.mouser.com/ProductDetail/" &amp;MouserListTable[[#This Row],[Mouser SKU]])</f>
        <v>https://www.mouser.com/ProductDetail/474-COM-09938</v>
      </c>
      <c r="T63" s="152">
        <v>2</v>
      </c>
      <c r="U63" s="152">
        <v>0</v>
      </c>
      <c r="V63" s="152">
        <v>0</v>
      </c>
      <c r="W63" s="152">
        <f>MouserListTable[[#This Row],['#/Unit]]*FilterSpecs!$C$3+MouserListTable[[#This Row],[Extra]]</f>
        <v>10</v>
      </c>
      <c r="X63" s="152">
        <f>IF(MouserListTable[[#This Row],[Tag]]=FilterSpecs!$F$7,MouserListTable[[#This Row],['#/Unit]]*MouserListTable[[#This Row],[Price (USD)]],0)</f>
        <v>3.9</v>
      </c>
      <c r="Y63" s="152">
        <f>MouserListTable[[#This Row],[Tot '#]]*MouserListTable[[#This Row],[Price (USD)]]</f>
        <v>19.5</v>
      </c>
      <c r="Z63" s="146"/>
      <c r="AA63" s="29" t="str">
        <f>[1]!nonzeroQtysOfList($F$14, $Q$14, InitialOrderTable2[[#This Row],[Name]], FilterSpecs!$A$7)</f>
        <v>Small Modular Snap Boxes - SMD component storage - 3 pack - Green</v>
      </c>
      <c r="AB63" s="29">
        <f>[1]!nonzeroQtysOfList($F$14, $Q$14, InitialOrderTable2['# Initial], FilterSpecs!$A$7)</f>
        <v>1</v>
      </c>
      <c r="AC63" s="29" t="str">
        <f>[1]!nonzeroQtysOfList($F$14, $Q$14, InitialOrderTable2[SKU], FilterSpecs!$A$7)</f>
        <v>485-432</v>
      </c>
      <c r="AJ63" s="146"/>
    </row>
    <row r="64" spans="1:36" s="104" customFormat="1" x14ac:dyDescent="0.25">
      <c r="A64" s="150" t="s">
        <v>887</v>
      </c>
      <c r="B64" s="150" t="s">
        <v>2007</v>
      </c>
      <c r="C64" s="150" t="s">
        <v>5</v>
      </c>
      <c r="D64" s="151" t="str">
        <f>IF(MouserListTable[[#This Row],[Vendor]]=FilterSpecs!$A$8,MouserListTable[[#This Row],[Mouser SKU]], MouserListTable[[#This Row],[Supplier SKU]])</f>
        <v>474-BOB-13282</v>
      </c>
      <c r="E64" s="152">
        <f>MouserListTable[[#This Row],[Tot '#]]-MouserListTable[[#This Row],['# Initial]]</f>
        <v>2</v>
      </c>
      <c r="F64" s="152">
        <f>IF(AND(MouserListTable[[#This Row],[Tag]]&lt;&gt;FilterSpecs!$F$12, MouserListTable[[#This Row],[Tag]]&lt;&gt;FilterSpecs!$F$9), MouserListTable[[#This Row],['#/Unit]]*FilterSpecs!$B$3+MouserListTable[[#This Row],[Extra Initial]],0)</f>
        <v>0</v>
      </c>
      <c r="G64" s="150" t="s">
        <v>1125</v>
      </c>
      <c r="H64" s="150" t="s">
        <v>1126</v>
      </c>
      <c r="I64" s="150" t="s">
        <v>1127</v>
      </c>
      <c r="J64" s="150">
        <v>1</v>
      </c>
      <c r="K64" s="154">
        <v>2.95</v>
      </c>
      <c r="L64" s="150" t="s">
        <v>1896</v>
      </c>
      <c r="M64" s="151"/>
      <c r="N64" s="154">
        <f>MouserListTable[[#This Row],['# Initial]]*MouserListTable[[#This Row],[Price (USD)]]</f>
        <v>0</v>
      </c>
      <c r="O64" s="151" t="s">
        <v>1124</v>
      </c>
      <c r="P64" s="150">
        <f t="shared" si="0"/>
        <v>51</v>
      </c>
      <c r="Q64" s="150" t="s">
        <v>5</v>
      </c>
      <c r="R6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474-BOB-13282</v>
      </c>
      <c r="S64" s="157" t="str">
        <f>HYPERLINK("https://www.mouser.com/ProductDetail/" &amp;MouserListTable[[#This Row],[Mouser SKU]])</f>
        <v>https://www.mouser.com/ProductDetail/474-BOB-13282</v>
      </c>
      <c r="T64" s="152">
        <v>0</v>
      </c>
      <c r="U64" s="152">
        <v>2</v>
      </c>
      <c r="V64" s="152">
        <v>0</v>
      </c>
      <c r="W64" s="152">
        <f>MouserListTable[[#This Row],['#/Unit]]*FilterSpecs!$C$3+MouserListTable[[#This Row],[Extra]]</f>
        <v>2</v>
      </c>
      <c r="X64" s="152">
        <f>IF(MouserListTable[[#This Row],[Tag]]=FilterSpecs!$F$7,MouserListTable[[#This Row],['#/Unit]]*MouserListTable[[#This Row],[Price (USD)]],0)</f>
        <v>0</v>
      </c>
      <c r="Y64" s="152">
        <f>MouserListTable[[#This Row],[Tot '#]]*MouserListTable[[#This Row],[Price (USD)]]</f>
        <v>5.9</v>
      </c>
      <c r="Z64" s="146"/>
      <c r="AA64" s="29" t="str">
        <f>[1]!nonzeroQtysOfList($F$14, $Q$14, InitialOrderTable2[[#This Row],[Name]], FilterSpecs!$A$7)</f>
        <v>Tiny Modular Snap Boxes - SMD component storage - 10 pack - Blue</v>
      </c>
      <c r="AB64" s="29">
        <f>[1]!nonzeroQtysOfList($F$14, $Q$14, InitialOrderTable2['# Initial], FilterSpecs!$A$7)</f>
        <v>1</v>
      </c>
      <c r="AC64" s="29" t="str">
        <f>[1]!nonzeroQtysOfList($F$14, $Q$14, InitialOrderTable2[SKU], FilterSpecs!$A$7)</f>
        <v>485-427</v>
      </c>
      <c r="AJ64" s="146"/>
    </row>
    <row r="65" spans="1:36" s="153" customFormat="1" x14ac:dyDescent="0.25">
      <c r="A65" s="150" t="s">
        <v>887</v>
      </c>
      <c r="B65" s="150" t="s">
        <v>2007</v>
      </c>
      <c r="C65" s="150" t="s">
        <v>5</v>
      </c>
      <c r="D65" s="151" t="str">
        <f>IF(MouserListTable[[#This Row],[Vendor]]=FilterSpecs!$A$8,MouserListTable[[#This Row],[Mouser SKU]], MouserListTable[[#This Row],[Supplier SKU]])</f>
        <v>474-BOB-13884</v>
      </c>
      <c r="E65" s="152">
        <f>MouserListTable[[#This Row],[Tot '#]]-MouserListTable[[#This Row],['# Initial]]</f>
        <v>0</v>
      </c>
      <c r="F65" s="152">
        <f>IF(AND(MouserListTable[[#This Row],[Tag]]&lt;&gt;FilterSpecs!$F$12, MouserListTable[[#This Row],[Tag]]&lt;&gt;FilterSpecs!$F$9), MouserListTable[[#This Row],['#/Unit]]*FilterSpecs!$B$3+MouserListTable[[#This Row],[Extra Initial]],0)</f>
        <v>5</v>
      </c>
      <c r="G65" s="150" t="s">
        <v>1121</v>
      </c>
      <c r="H65" s="150" t="s">
        <v>1122</v>
      </c>
      <c r="I65" s="150" t="s">
        <v>1123</v>
      </c>
      <c r="J65" s="150">
        <v>1</v>
      </c>
      <c r="K65" s="154">
        <v>7.95</v>
      </c>
      <c r="L65" s="150" t="s">
        <v>1897</v>
      </c>
      <c r="M65" s="151"/>
      <c r="N65" s="154">
        <f>MouserListTable[[#This Row],['# Initial]]*MouserListTable[[#This Row],[Price (USD)]]</f>
        <v>39.75</v>
      </c>
      <c r="O65" s="151" t="s">
        <v>1120</v>
      </c>
      <c r="P65" s="150">
        <f t="shared" si="0"/>
        <v>52</v>
      </c>
      <c r="Q65" s="150" t="s">
        <v>5</v>
      </c>
      <c r="R6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474-BOB-13884</v>
      </c>
      <c r="S65" s="157" t="str">
        <f>HYPERLINK("https://www.mouser.com/ProductDetail/" &amp;MouserListTable[[#This Row],[Mouser SKU]])</f>
        <v>https://www.mouser.com/ProductDetail/474-BOB-13884</v>
      </c>
      <c r="T65" s="152">
        <v>1</v>
      </c>
      <c r="U65" s="152">
        <v>0</v>
      </c>
      <c r="V65" s="152">
        <v>0</v>
      </c>
      <c r="W65" s="152">
        <f>MouserListTable[[#This Row],['#/Unit]]*FilterSpecs!$C$3+MouserListTable[[#This Row],[Extra]]</f>
        <v>5</v>
      </c>
      <c r="X65" s="152">
        <f>IF(MouserListTable[[#This Row],[Tag]]=FilterSpecs!$F$7,MouserListTable[[#This Row],['#/Unit]]*MouserListTable[[#This Row],[Price (USD)]],0)</f>
        <v>7.95</v>
      </c>
      <c r="Y65" s="152">
        <f>MouserListTable[[#This Row],[Tot '#]]*MouserListTable[[#This Row],[Price (USD)]]</f>
        <v>39.75</v>
      </c>
      <c r="Z65" s="146"/>
      <c r="AA65" s="29" t="str">
        <f>[1]!nonzeroQtysOfList($F$14, $Q$14, InitialOrderTable2[[#This Row],[Name]], FilterSpecs!$A$7)</f>
        <v>Tiny Modular Snap Boxes - SMD component storage - 10 pack - White</v>
      </c>
      <c r="AB65" s="29">
        <f>[1]!nonzeroQtysOfList($F$14, $Q$14, InitialOrderTable2['# Initial], FilterSpecs!$A$7)</f>
        <v>1</v>
      </c>
      <c r="AC65" s="29" t="str">
        <f>[1]!nonzeroQtysOfList($F$14, $Q$14, InitialOrderTable2[SKU], FilterSpecs!$A$7)</f>
        <v>485-431</v>
      </c>
      <c r="AJ65" s="146"/>
    </row>
    <row r="66" spans="1:36" s="153" customFormat="1" x14ac:dyDescent="0.25">
      <c r="A66" s="150" t="s">
        <v>887</v>
      </c>
      <c r="B66" s="150" t="s">
        <v>2007</v>
      </c>
      <c r="C66" s="150" t="s">
        <v>5</v>
      </c>
      <c r="D66" s="151" t="str">
        <f>IF(MouserListTable[[#This Row],[Vendor]]=FilterSpecs!$A$8,MouserListTable[[#This Row],[Mouser SKU]], MouserListTable[[#This Row],[Supplier SKU]])</f>
        <v>474-COM-12661</v>
      </c>
      <c r="E66" s="152">
        <f>MouserListTable[[#This Row],[Tot '#]]-MouserListTable[[#This Row],['# Initial]]</f>
        <v>1</v>
      </c>
      <c r="F66" s="152">
        <f>IF(AND(MouserListTable[[#This Row],[Tag]]&lt;&gt;FilterSpecs!$F$12, MouserListTable[[#This Row],[Tag]]&lt;&gt;FilterSpecs!$F$9), MouserListTable[[#This Row],['#/Unit]]*FilterSpecs!$B$3+MouserListTable[[#This Row],[Extra Initial]],0)</f>
        <v>0</v>
      </c>
      <c r="G66" s="150" t="s">
        <v>115</v>
      </c>
      <c r="H66" s="150" t="s">
        <v>116</v>
      </c>
      <c r="I66" s="150" t="s">
        <v>117</v>
      </c>
      <c r="J66" s="150">
        <v>1</v>
      </c>
      <c r="K66" s="154">
        <v>5.95</v>
      </c>
      <c r="L66" s="150" t="s">
        <v>1896</v>
      </c>
      <c r="M66" s="151"/>
      <c r="N66" s="154">
        <f>MouserListTable[[#This Row],['# Initial]]*MouserListTable[[#This Row],[Price (USD)]]</f>
        <v>0</v>
      </c>
      <c r="O66" s="151" t="s">
        <v>114</v>
      </c>
      <c r="P66" s="150">
        <f t="shared" si="0"/>
        <v>53</v>
      </c>
      <c r="Q66" s="150" t="s">
        <v>5</v>
      </c>
      <c r="R6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474-COM-12661</v>
      </c>
      <c r="S66" s="157" t="str">
        <f>HYPERLINK("https://www.mouser.com/ProductDetail/" &amp;MouserListTable[[#This Row],[Mouser SKU]])</f>
        <v>https://www.mouser.com/ProductDetail/474-COM-12661</v>
      </c>
      <c r="T66" s="152">
        <v>0</v>
      </c>
      <c r="U66" s="152">
        <v>1</v>
      </c>
      <c r="V66" s="152">
        <v>0</v>
      </c>
      <c r="W66" s="152">
        <f>MouserListTable[[#This Row],['#/Unit]]*FilterSpecs!$C$3+MouserListTable[[#This Row],[Extra]]</f>
        <v>1</v>
      </c>
      <c r="X66" s="152">
        <f>IF(MouserListTable[[#This Row],[Tag]]=FilterSpecs!$F$7,MouserListTable[[#This Row],['#/Unit]]*MouserListTable[[#This Row],[Price (USD)]],0)</f>
        <v>0</v>
      </c>
      <c r="Y66" s="152">
        <f>MouserListTable[[#This Row],[Tot '#]]*MouserListTable[[#This Row],[Price (USD)]]</f>
        <v>5.95</v>
      </c>
      <c r="Z66" s="146"/>
      <c r="AA66" s="29" t="e">
        <f>[1]!nonzeroQtysOfList($F$14, $Q$14, InitialOrderTable2[[#This Row],[Name]], FilterSpecs!$A$7)</f>
        <v>#VALUE!</v>
      </c>
      <c r="AB66" s="29" t="e">
        <f>[1]!nonzeroQtysOfList($F$14, $Q$14, InitialOrderTable2['# Initial], FilterSpecs!$A$7)</f>
        <v>#VALUE!</v>
      </c>
      <c r="AC66" s="29" t="e">
        <f>[1]!nonzeroQtysOfList($F$14, $Q$14, InitialOrderTable2[SKU], FilterSpecs!$A$7)</f>
        <v>#VALUE!</v>
      </c>
      <c r="AJ66" s="146"/>
    </row>
    <row r="67" spans="1:36" s="153" customFormat="1" x14ac:dyDescent="0.25">
      <c r="A67" s="150" t="s">
        <v>887</v>
      </c>
      <c r="B67" s="150" t="s">
        <v>2007</v>
      </c>
      <c r="C67" s="150" t="s">
        <v>5</v>
      </c>
      <c r="D67" s="151" t="str">
        <f>IF(MouserListTable[[#This Row],[Vendor]]=FilterSpecs!$A$8,MouserListTable[[#This Row],[Mouser SKU]], MouserListTable[[#This Row],[Supplier SKU]])</f>
        <v>474-COM-09637</v>
      </c>
      <c r="E67" s="152">
        <f>MouserListTable[[#This Row],[Tot '#]]-MouserListTable[[#This Row],['# Initial]]</f>
        <v>3</v>
      </c>
      <c r="F67" s="152">
        <f>IF(AND(MouserListTable[[#This Row],[Tag]]&lt;&gt;FilterSpecs!$F$12, MouserListTable[[#This Row],[Tag]]&lt;&gt;FilterSpecs!$F$9), MouserListTable[[#This Row],['#/Unit]]*FilterSpecs!$B$3+MouserListTable[[#This Row],[Extra Initial]],0)</f>
        <v>0</v>
      </c>
      <c r="G67" s="150" t="s">
        <v>119</v>
      </c>
      <c r="H67" s="150" t="s">
        <v>120</v>
      </c>
      <c r="I67" s="150" t="s">
        <v>121</v>
      </c>
      <c r="J67" s="150">
        <v>1</v>
      </c>
      <c r="K67" s="154">
        <v>4.95</v>
      </c>
      <c r="L67" s="150" t="s">
        <v>1896</v>
      </c>
      <c r="M67" s="151"/>
      <c r="N67" s="154">
        <f>MouserListTable[[#This Row],['# Initial]]*MouserListTable[[#This Row],[Price (USD)]]</f>
        <v>0</v>
      </c>
      <c r="O67" s="151" t="s">
        <v>118</v>
      </c>
      <c r="P67" s="150">
        <f t="shared" si="0"/>
        <v>54</v>
      </c>
      <c r="Q67" s="150" t="s">
        <v>5</v>
      </c>
      <c r="R6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474-COM-09637</v>
      </c>
      <c r="S67" s="157" t="str">
        <f>HYPERLINK("https://www.mouser.com/ProductDetail/" &amp;MouserListTable[[#This Row],[Mouser SKU]])</f>
        <v>https://www.mouser.com/ProductDetail/474-COM-09637</v>
      </c>
      <c r="T67" s="152">
        <v>0</v>
      </c>
      <c r="U67" s="152">
        <v>3</v>
      </c>
      <c r="V67" s="152">
        <v>0</v>
      </c>
      <c r="W67" s="152">
        <f>MouserListTable[[#This Row],['#/Unit]]*FilterSpecs!$C$3+MouserListTable[[#This Row],[Extra]]</f>
        <v>3</v>
      </c>
      <c r="X67" s="152">
        <f>IF(MouserListTable[[#This Row],[Tag]]=FilterSpecs!$F$7,MouserListTable[[#This Row],['#/Unit]]*MouserListTable[[#This Row],[Price (USD)]],0)</f>
        <v>0</v>
      </c>
      <c r="Y67" s="152">
        <f>MouserListTable[[#This Row],[Tot '#]]*MouserListTable[[#This Row],[Price (USD)]]</f>
        <v>14.850000000000001</v>
      </c>
      <c r="Z67" s="146"/>
      <c r="AA67" s="29" t="e">
        <f>[1]!nonzeroQtysOfList($F$14, $Q$14, InitialOrderTable2[[#This Row],[Name]], FilterSpecs!$A$7)</f>
        <v>#VALUE!</v>
      </c>
      <c r="AB67" s="29" t="e">
        <f>[1]!nonzeroQtysOfList($F$14, $Q$14, InitialOrderTable2['# Initial], FilterSpecs!$A$7)</f>
        <v>#VALUE!</v>
      </c>
      <c r="AC67" s="29" t="e">
        <f>[1]!nonzeroQtysOfList($F$14, $Q$14, InitialOrderTable2[SKU], FilterSpecs!$A$7)</f>
        <v>#VALUE!</v>
      </c>
      <c r="AJ67" s="146"/>
    </row>
    <row r="68" spans="1:36" s="153" customFormat="1" x14ac:dyDescent="0.25">
      <c r="A68" s="150" t="s">
        <v>887</v>
      </c>
      <c r="B68" s="150" t="s">
        <v>2007</v>
      </c>
      <c r="C68" s="150" t="s">
        <v>1884</v>
      </c>
      <c r="D68" s="151" t="str">
        <f>IF(MouserListTable[[#This Row],[Vendor]]=FilterSpecs!$A$8,MouserListTable[[#This Row],[Mouser SKU]], MouserListTable[[#This Row],[Supplier SKU]])</f>
        <v>485-1621</v>
      </c>
      <c r="E68" s="152">
        <f>MouserListTable[[#This Row],[Tot '#]]-MouserListTable[[#This Row],['# Initial]]</f>
        <v>0</v>
      </c>
      <c r="F68" s="152">
        <f>IF(AND(MouserListTable[[#This Row],[Tag]]&lt;&gt;FilterSpecs!$F$12, MouserListTable[[#This Row],[Tag]]&lt;&gt;FilterSpecs!$F$9), MouserListTable[[#This Row],['#/Unit]]*FilterSpecs!$B$3+MouserListTable[[#This Row],[Extra Initial]],0)</f>
        <v>0</v>
      </c>
      <c r="G68" s="150"/>
      <c r="H68" s="150"/>
      <c r="I68" s="150" t="s">
        <v>2319</v>
      </c>
      <c r="K68" s="118">
        <v>2.95</v>
      </c>
      <c r="L68" s="97" t="s">
        <v>1896</v>
      </c>
      <c r="N68" s="154">
        <f>MouserListTable[[#This Row],['# Initial]]*MouserListTable[[#This Row],[Price (USD)]]</f>
        <v>0</v>
      </c>
      <c r="O68" s="151" t="s">
        <v>2318</v>
      </c>
      <c r="P68" s="150">
        <f t="shared" si="0"/>
        <v>55</v>
      </c>
      <c r="Q68" s="150" t="s">
        <v>1884</v>
      </c>
      <c r="R6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485-1621</v>
      </c>
      <c r="S68" s="157" t="str">
        <f>HYPERLINK("https://www.mouser.com/ProductDetail/" &amp;MouserListTable[[#This Row],[Mouser SKU]])</f>
        <v>https://www.mouser.com/ProductDetail/485-1621</v>
      </c>
      <c r="T68" s="152">
        <v>0</v>
      </c>
      <c r="U68" s="152">
        <v>0</v>
      </c>
      <c r="V68" s="152">
        <v>0</v>
      </c>
      <c r="W68" s="152">
        <f>MouserListTable[[#This Row],['#/Unit]]*FilterSpecs!$C$3+MouserListTable[[#This Row],[Extra]]</f>
        <v>0</v>
      </c>
      <c r="X68" s="152">
        <f>IF(MouserListTable[[#This Row],[Tag]]=FilterSpecs!$F$7,MouserListTable[[#This Row],['#/Unit]]*MouserListTable[[#This Row],[Price (USD)]],0)</f>
        <v>0</v>
      </c>
      <c r="Y68" s="152">
        <f>MouserListTable[[#This Row],[Tot '#]]*MouserListTable[[#This Row],[Price (USD)]]</f>
        <v>0</v>
      </c>
      <c r="Z68" s="146"/>
      <c r="AA68" s="29" t="e">
        <f>[1]!nonzeroQtysOfList($F$14, $Q$14, InitialOrderTable2[[#This Row],[Name]], FilterSpecs!$A$7)</f>
        <v>#VALUE!</v>
      </c>
      <c r="AB68" s="29" t="e">
        <f>[1]!nonzeroQtysOfList($F$14, $Q$14, InitialOrderTable2['# Initial], FilterSpecs!$A$7)</f>
        <v>#VALUE!</v>
      </c>
      <c r="AC68" s="29" t="e">
        <f>[1]!nonzeroQtysOfList($F$14, $Q$14, InitialOrderTable2[SKU], FilterSpecs!$A$7)</f>
        <v>#VALUE!</v>
      </c>
      <c r="AJ68" s="146"/>
    </row>
    <row r="69" spans="1:36" s="153" customFormat="1" x14ac:dyDescent="0.25">
      <c r="A69" s="150" t="s">
        <v>887</v>
      </c>
      <c r="B69" s="150" t="s">
        <v>2007</v>
      </c>
      <c r="C69" s="150" t="s">
        <v>1884</v>
      </c>
      <c r="D69" s="151" t="str">
        <f>IF(MouserListTable[[#This Row],[Vendor]]=FilterSpecs!$A$8,MouserListTable[[#This Row],[Mouser SKU]], MouserListTable[[#This Row],[Supplier SKU]])</f>
        <v>485-1622</v>
      </c>
      <c r="E69" s="152">
        <f>MouserListTable[[#This Row],[Tot '#]]-MouserListTable[[#This Row],['# Initial]]</f>
        <v>0</v>
      </c>
      <c r="F69" s="152">
        <f>IF(AND(MouserListTable[[#This Row],[Tag]]&lt;&gt;FilterSpecs!$F$12, MouserListTable[[#This Row],[Tag]]&lt;&gt;FilterSpecs!$F$9), MouserListTable[[#This Row],['#/Unit]]*FilterSpecs!$B$3+MouserListTable[[#This Row],[Extra Initial]],0)</f>
        <v>0</v>
      </c>
      <c r="G69" s="150"/>
      <c r="H69" s="150"/>
      <c r="I69" s="150" t="s">
        <v>2321</v>
      </c>
      <c r="K69" s="118">
        <v>2.5</v>
      </c>
      <c r="L69" s="97" t="s">
        <v>1896</v>
      </c>
      <c r="N69" s="154">
        <f>MouserListTable[[#This Row],['# Initial]]*MouserListTable[[#This Row],[Price (USD)]]</f>
        <v>0</v>
      </c>
      <c r="O69" s="151" t="s">
        <v>2320</v>
      </c>
      <c r="P69" s="150">
        <f t="shared" si="0"/>
        <v>56</v>
      </c>
      <c r="Q69" s="150" t="s">
        <v>1884</v>
      </c>
      <c r="R6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485-1622</v>
      </c>
      <c r="S69" s="157" t="str">
        <f>HYPERLINK("https://www.mouser.com/ProductDetail/" &amp;MouserListTable[[#This Row],[Mouser SKU]])</f>
        <v>https://www.mouser.com/ProductDetail/485-1622</v>
      </c>
      <c r="T69" s="152">
        <v>0</v>
      </c>
      <c r="U69" s="152">
        <v>0</v>
      </c>
      <c r="V69" s="152">
        <v>0</v>
      </c>
      <c r="W69" s="152">
        <f>MouserListTable[[#This Row],['#/Unit]]*FilterSpecs!$C$3+MouserListTable[[#This Row],[Extra]]</f>
        <v>0</v>
      </c>
      <c r="X69" s="152">
        <f>IF(MouserListTable[[#This Row],[Tag]]=FilterSpecs!$F$7,MouserListTable[[#This Row],['#/Unit]]*MouserListTable[[#This Row],[Price (USD)]],0)</f>
        <v>0</v>
      </c>
      <c r="Y69" s="152">
        <f>MouserListTable[[#This Row],[Tot '#]]*MouserListTable[[#This Row],[Price (USD)]]</f>
        <v>0</v>
      </c>
      <c r="Z69" s="146"/>
      <c r="AA69" s="29" t="e">
        <f>[1]!nonzeroQtysOfList($F$14, $Q$14, InitialOrderTable2[[#This Row],[Name]], FilterSpecs!$A$7)</f>
        <v>#VALUE!</v>
      </c>
      <c r="AB69" s="29" t="e">
        <f>[1]!nonzeroQtysOfList($F$14, $Q$14, InitialOrderTable2['# Initial], FilterSpecs!$A$7)</f>
        <v>#VALUE!</v>
      </c>
      <c r="AC69" s="29" t="e">
        <f>[1]!nonzeroQtysOfList($F$14, $Q$14, InitialOrderTable2[SKU], FilterSpecs!$A$7)</f>
        <v>#VALUE!</v>
      </c>
      <c r="AJ69" s="146"/>
    </row>
    <row r="70" spans="1:36" s="153" customFormat="1" x14ac:dyDescent="0.25">
      <c r="A70" s="150" t="s">
        <v>887</v>
      </c>
      <c r="B70" s="150" t="s">
        <v>1602</v>
      </c>
      <c r="C70" s="150" t="s">
        <v>5</v>
      </c>
      <c r="D70" s="151" t="str">
        <f>IF(MouserListTable[[#This Row],[Vendor]]=FilterSpecs!$A$8,MouserListTable[[#This Row],[Mouser SKU]], MouserListTable[[#This Row],[Supplier SKU]])</f>
        <v>474-DEV-11061</v>
      </c>
      <c r="E70" s="152">
        <f>MouserListTable[[#This Row],[Tot '#]]-MouserListTable[[#This Row],['# Initial]]</f>
        <v>5</v>
      </c>
      <c r="F70" s="152">
        <f>IF(AND(MouserListTable[[#This Row],[Tag]]&lt;&gt;FilterSpecs!$F$12, MouserListTable[[#This Row],[Tag]]&lt;&gt;FilterSpecs!$F$9), MouserListTable[[#This Row],['#/Unit]]*FilterSpecs!$B$3+MouserListTable[[#This Row],[Extra Initial]],0)</f>
        <v>0</v>
      </c>
      <c r="G70" s="150" t="s">
        <v>27</v>
      </c>
      <c r="H70" s="150" t="s">
        <v>28</v>
      </c>
      <c r="I70" s="150" t="s">
        <v>29</v>
      </c>
      <c r="J70" s="150">
        <v>1</v>
      </c>
      <c r="K70" s="154">
        <v>45.95</v>
      </c>
      <c r="L70" s="150" t="s">
        <v>2461</v>
      </c>
      <c r="M70" s="151"/>
      <c r="N70" s="154">
        <f>MouserListTable[[#This Row],['# Initial]]*MouserListTable[[#This Row],[Price (USD)]]</f>
        <v>0</v>
      </c>
      <c r="O70" s="151" t="s">
        <v>26</v>
      </c>
      <c r="P70" s="150">
        <f t="shared" si="0"/>
        <v>57</v>
      </c>
      <c r="Q70" s="150" t="s">
        <v>5</v>
      </c>
      <c r="R7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474-DEV-11061</v>
      </c>
      <c r="S70" s="157" t="str">
        <f>HYPERLINK("https://www.mouser.com/ProductDetail/" &amp;MouserListTable[[#This Row],[Mouser SKU]])</f>
        <v>https://www.mouser.com/ProductDetail/474-DEV-11061</v>
      </c>
      <c r="T70" s="152">
        <v>1</v>
      </c>
      <c r="U70" s="152">
        <v>0</v>
      </c>
      <c r="V70" s="152">
        <v>0</v>
      </c>
      <c r="W70" s="152">
        <f>MouserListTable[[#This Row],['#/Unit]]*FilterSpecs!$C$3+MouserListTable[[#This Row],[Extra]]</f>
        <v>5</v>
      </c>
      <c r="X70" s="152">
        <f>IF(MouserListTable[[#This Row],[Tag]]=FilterSpecs!$F$7,MouserListTable[[#This Row],['#/Unit]]*MouserListTable[[#This Row],[Price (USD)]],0)</f>
        <v>0</v>
      </c>
      <c r="Y70" s="152">
        <f>MouserListTable[[#This Row],[Tot '#]]*MouserListTable[[#This Row],[Price (USD)]]</f>
        <v>229.75</v>
      </c>
      <c r="Z70" s="146"/>
      <c r="AA70" s="29" t="e">
        <f>[1]!nonzeroQtysOfList($F$14, $Q$14, InitialOrderTable2[[#This Row],[Name]], FilterSpecs!$A$7)</f>
        <v>#VALUE!</v>
      </c>
      <c r="AB70" s="29" t="e">
        <f>[1]!nonzeroQtysOfList($F$14, $Q$14, InitialOrderTable2['# Initial], FilterSpecs!$A$7)</f>
        <v>#VALUE!</v>
      </c>
      <c r="AC70" s="29" t="e">
        <f>[1]!nonzeroQtysOfList($F$14, $Q$14, InitialOrderTable2[SKU], FilterSpecs!$A$7)</f>
        <v>#VALUE!</v>
      </c>
      <c r="AJ70" s="146"/>
    </row>
    <row r="71" spans="1:36" s="153" customFormat="1" x14ac:dyDescent="0.25">
      <c r="A71" s="150" t="s">
        <v>887</v>
      </c>
      <c r="B71" s="150" t="s">
        <v>1602</v>
      </c>
      <c r="C71" s="150" t="s">
        <v>5</v>
      </c>
      <c r="D71" s="151" t="str">
        <f>IF(MouserListTable[[#This Row],[Vendor]]=FilterSpecs!$A$8,MouserListTable[[#This Row],[Mouser SKU]], MouserListTable[[#This Row],[Supplier SKU]])</f>
        <v>474-DEV-14082</v>
      </c>
      <c r="E71" s="152">
        <f>MouserListTable[[#This Row],[Tot '#]]-MouserListTable[[#This Row],['# Initial]]</f>
        <v>0</v>
      </c>
      <c r="F71" s="152">
        <f>IF(AND(MouserListTable[[#This Row],[Tag]]&lt;&gt;FilterSpecs!$F$12, MouserListTable[[#This Row],[Tag]]&lt;&gt;FilterSpecs!$F$9), MouserListTable[[#This Row],['#/Unit]]*FilterSpecs!$B$3+MouserListTable[[#This Row],[Extra Initial]],0)</f>
        <v>0</v>
      </c>
      <c r="G71" s="150" t="s">
        <v>1726</v>
      </c>
      <c r="H71" s="150" t="s">
        <v>1727</v>
      </c>
      <c r="I71" s="150" t="s">
        <v>1728</v>
      </c>
      <c r="J71" s="150">
        <v>45</v>
      </c>
      <c r="K71" s="154">
        <v>45</v>
      </c>
      <c r="L71" s="150" t="s">
        <v>1896</v>
      </c>
      <c r="M71" s="151"/>
      <c r="N71" s="154">
        <f>MouserListTable[[#This Row],['# Initial]]*MouserListTable[[#This Row],[Price (USD)]]</f>
        <v>0</v>
      </c>
      <c r="O71" s="151" t="s">
        <v>1725</v>
      </c>
      <c r="P71" s="150">
        <f t="shared" si="0"/>
        <v>58</v>
      </c>
      <c r="Q71" s="150" t="s">
        <v>5</v>
      </c>
      <c r="R7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474-DEV-14082</v>
      </c>
      <c r="S71" s="157" t="str">
        <f>HYPERLINK("https://www.mouser.com/ProductDetail/" &amp;MouserListTable[[#This Row],[Mouser SKU]])</f>
        <v>https://www.mouser.com/ProductDetail/474-DEV-14082</v>
      </c>
      <c r="T71" s="152">
        <v>0</v>
      </c>
      <c r="U71" s="152">
        <v>0</v>
      </c>
      <c r="V71" s="152">
        <v>0</v>
      </c>
      <c r="W71" s="152">
        <f>MouserListTable[[#This Row],['#/Unit]]*FilterSpecs!$C$3+MouserListTable[[#This Row],[Extra]]</f>
        <v>0</v>
      </c>
      <c r="X71" s="152">
        <f>IF(MouserListTable[[#This Row],[Tag]]=FilterSpecs!$F$7,MouserListTable[[#This Row],['#/Unit]]*MouserListTable[[#This Row],[Price (USD)]],0)</f>
        <v>0</v>
      </c>
      <c r="Y71" s="152">
        <f>MouserListTable[[#This Row],[Tot '#]]*MouserListTable[[#This Row],[Price (USD)]]</f>
        <v>0</v>
      </c>
      <c r="Z71" s="146"/>
      <c r="AA71" s="29" t="e">
        <f>[1]!nonzeroQtysOfList($F$14, $Q$14, InitialOrderTable2[[#This Row],[Name]], FilterSpecs!$A$7)</f>
        <v>#VALUE!</v>
      </c>
      <c r="AB71" s="29" t="e">
        <f>[1]!nonzeroQtysOfList($F$14, $Q$14, InitialOrderTable2['# Initial], FilterSpecs!$A$7)</f>
        <v>#VALUE!</v>
      </c>
      <c r="AC71" s="29" t="e">
        <f>[1]!nonzeroQtysOfList($F$14, $Q$14, InitialOrderTable2[SKU], FilterSpecs!$A$7)</f>
        <v>#VALUE!</v>
      </c>
      <c r="AJ71" s="146"/>
    </row>
    <row r="72" spans="1:36" s="153" customFormat="1" x14ac:dyDescent="0.25">
      <c r="A72" s="150" t="s">
        <v>887</v>
      </c>
      <c r="B72" s="150" t="s">
        <v>1602</v>
      </c>
      <c r="C72" s="150" t="s">
        <v>5</v>
      </c>
      <c r="D72" s="151" t="str">
        <f>IF(MouserListTable[[#This Row],[Vendor]]=FilterSpecs!$A$8,MouserListTable[[#This Row],[Mouser SKU]], MouserListTable[[#This Row],[Supplier SKU]])</f>
        <v>474-KIT-11734</v>
      </c>
      <c r="E72" s="152">
        <f>MouserListTable[[#This Row],[Tot '#]]-MouserListTable[[#This Row],['# Initial]]</f>
        <v>0</v>
      </c>
      <c r="F72" s="152">
        <f>IF(AND(MouserListTable[[#This Row],[Tag]]&lt;&gt;FilterSpecs!$F$12, MouserListTable[[#This Row],[Tag]]&lt;&gt;FilterSpecs!$F$9), MouserListTable[[#This Row],['#/Unit]]*FilterSpecs!$B$3+MouserListTable[[#This Row],[Extra Initial]],0)</f>
        <v>0</v>
      </c>
      <c r="G72" s="150" t="s">
        <v>1182</v>
      </c>
      <c r="H72" s="150" t="s">
        <v>1183</v>
      </c>
      <c r="I72" s="150" t="s">
        <v>1184</v>
      </c>
      <c r="J72" s="150">
        <v>29.95</v>
      </c>
      <c r="K72" s="154">
        <v>29.95</v>
      </c>
      <c r="L72" s="150" t="s">
        <v>1896</v>
      </c>
      <c r="M72" s="151"/>
      <c r="N72" s="154">
        <f>MouserListTable[[#This Row],['# Initial]]*MouserListTable[[#This Row],[Price (USD)]]</f>
        <v>0</v>
      </c>
      <c r="O72" s="151" t="s">
        <v>1181</v>
      </c>
      <c r="P72" s="150">
        <f t="shared" si="0"/>
        <v>59</v>
      </c>
      <c r="Q72" s="150" t="s">
        <v>5</v>
      </c>
      <c r="R7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474-KIT-11734</v>
      </c>
      <c r="S72" s="157" t="str">
        <f>HYPERLINK("https://www.mouser.com/ProductDetail/" &amp;MouserListTable[[#This Row],[Mouser SKU]])</f>
        <v>https://www.mouser.com/ProductDetail/474-KIT-11734</v>
      </c>
      <c r="T72" s="152">
        <v>0</v>
      </c>
      <c r="U72" s="152">
        <v>0</v>
      </c>
      <c r="V72" s="152">
        <v>0</v>
      </c>
      <c r="W72" s="152">
        <f>MouserListTable[[#This Row],['#/Unit]]*FilterSpecs!$C$3+MouserListTable[[#This Row],[Extra]]</f>
        <v>0</v>
      </c>
      <c r="X72" s="152">
        <f>IF(MouserListTable[[#This Row],[Tag]]=FilterSpecs!$F$7,MouserListTable[[#This Row],['#/Unit]]*MouserListTable[[#This Row],[Price (USD)]],0)</f>
        <v>0</v>
      </c>
      <c r="Y72" s="152">
        <f>MouserListTable[[#This Row],[Tot '#]]*MouserListTable[[#This Row],[Price (USD)]]</f>
        <v>0</v>
      </c>
      <c r="Z72" s="146"/>
      <c r="AA72" s="29" t="e">
        <f>[1]!nonzeroQtysOfList($F$14, $Q$14, InitialOrderTable2[[#This Row],[Name]], FilterSpecs!$A$7)</f>
        <v>#VALUE!</v>
      </c>
      <c r="AB72" s="29" t="e">
        <f>[1]!nonzeroQtysOfList($F$14, $Q$14, InitialOrderTable2['# Initial], FilterSpecs!$A$7)</f>
        <v>#VALUE!</v>
      </c>
      <c r="AC72" s="29" t="e">
        <f>[1]!nonzeroQtysOfList($F$14, $Q$14, InitialOrderTable2[SKU], FilterSpecs!$A$7)</f>
        <v>#VALUE!</v>
      </c>
      <c r="AJ72" s="146"/>
    </row>
    <row r="73" spans="1:36" s="153" customFormat="1" x14ac:dyDescent="0.25">
      <c r="A73" s="97" t="s">
        <v>887</v>
      </c>
      <c r="B73" s="97" t="s">
        <v>2015</v>
      </c>
      <c r="C73" s="150" t="s">
        <v>5</v>
      </c>
      <c r="D73" s="151" t="str">
        <f>IF(MouserListTable[[#This Row],[Vendor]]=FilterSpecs!$A$8,MouserListTable[[#This Row],[Mouser SKU]], MouserListTable[[#This Row],[Supplier SKU]])</f>
        <v>474-TOL-12889</v>
      </c>
      <c r="E73" s="152">
        <f>MouserListTable[[#This Row],[Tot '#]]-MouserListTable[[#This Row],['# Initial]]</f>
        <v>0</v>
      </c>
      <c r="F73" s="152">
        <f>IF(AND(MouserListTable[[#This Row],[Tag]]&lt;&gt;FilterSpecs!$F$12, MouserListTable[[#This Row],[Tag]]&lt;&gt;FilterSpecs!$F$9), MouserListTable[[#This Row],['#/Unit]]*FilterSpecs!$B$3+MouserListTable[[#This Row],[Extra Initial]],0)</f>
        <v>0</v>
      </c>
      <c r="G73" s="150" t="s">
        <v>785</v>
      </c>
      <c r="H73" s="150" t="s">
        <v>786</v>
      </c>
      <c r="I73" s="150" t="s">
        <v>787</v>
      </c>
      <c r="J73" s="150">
        <v>1</v>
      </c>
      <c r="K73" s="154">
        <v>5.95</v>
      </c>
      <c r="L73" s="150" t="s">
        <v>1897</v>
      </c>
      <c r="N73" s="154">
        <f>MouserListTable[[#This Row],['# Initial]]*MouserListTable[[#This Row],[Price (USD)]]</f>
        <v>0</v>
      </c>
      <c r="O73" s="151" t="s">
        <v>784</v>
      </c>
      <c r="P73" s="150">
        <f t="shared" si="0"/>
        <v>60</v>
      </c>
      <c r="Q73" s="150" t="s">
        <v>5</v>
      </c>
      <c r="R7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474-TOL-12889</v>
      </c>
      <c r="S73" s="157" t="str">
        <f>HYPERLINK("https://www.mouser.com/ProductDetail/" &amp;MouserListTable[[#This Row],[Mouser SKU]])</f>
        <v>https://www.mouser.com/ProductDetail/474-TOL-12889</v>
      </c>
      <c r="T73" s="152">
        <v>0</v>
      </c>
      <c r="U73" s="152">
        <v>0</v>
      </c>
      <c r="V73" s="152">
        <v>0</v>
      </c>
      <c r="W73" s="152">
        <f>MouserListTable[[#This Row],['#/Unit]]*FilterSpecs!$C$3+MouserListTable[[#This Row],[Extra]]</f>
        <v>0</v>
      </c>
      <c r="X73" s="152">
        <f>IF(MouserListTable[[#This Row],[Tag]]=FilterSpecs!$F$7,MouserListTable[[#This Row],['#/Unit]]*MouserListTable[[#This Row],[Price (USD)]],0)</f>
        <v>0</v>
      </c>
      <c r="Y73" s="152">
        <f>MouserListTable[[#This Row],[Tot '#]]*MouserListTable[[#This Row],[Price (USD)]]</f>
        <v>0</v>
      </c>
      <c r="Z73" s="146"/>
      <c r="AA73" s="29" t="e">
        <f>[1]!nonzeroQtysOfList($F$14, $Q$14, InitialOrderTable2[[#This Row],[Name]], FilterSpecs!$A$7)</f>
        <v>#VALUE!</v>
      </c>
      <c r="AB73" s="29" t="e">
        <f>[1]!nonzeroQtysOfList($F$14, $Q$14, InitialOrderTable2['# Initial], FilterSpecs!$A$7)</f>
        <v>#VALUE!</v>
      </c>
      <c r="AC73" s="29" t="e">
        <f>[1]!nonzeroQtysOfList($F$14, $Q$14, InitialOrderTable2[SKU], FilterSpecs!$A$7)</f>
        <v>#VALUE!</v>
      </c>
      <c r="AJ73" s="146"/>
    </row>
    <row r="74" spans="1:36" s="153" customFormat="1" x14ac:dyDescent="0.25">
      <c r="A74" s="97" t="s">
        <v>887</v>
      </c>
      <c r="B74" s="97" t="s">
        <v>2015</v>
      </c>
      <c r="C74" s="150" t="s">
        <v>5</v>
      </c>
      <c r="D74" s="151" t="str">
        <f>IF(MouserListTable[[#This Row],[Vendor]]=FilterSpecs!$A$8,MouserListTable[[#This Row],[Mouser SKU]], MouserListTable[[#This Row],[Supplier SKU]])</f>
        <v>474-TOL-09442</v>
      </c>
      <c r="E74" s="152">
        <f>MouserListTable[[#This Row],[Tot '#]]-MouserListTable[[#This Row],['# Initial]]</f>
        <v>0</v>
      </c>
      <c r="F74" s="152">
        <f>IF(AND(MouserListTable[[#This Row],[Tag]]&lt;&gt;FilterSpecs!$F$12, MouserListTable[[#This Row],[Tag]]&lt;&gt;FilterSpecs!$F$9), MouserListTable[[#This Row],['#/Unit]]*FilterSpecs!$B$3+MouserListTable[[#This Row],[Extra Initial]],0)</f>
        <v>0</v>
      </c>
      <c r="G74" s="150" t="s">
        <v>1766</v>
      </c>
      <c r="H74" s="150" t="s">
        <v>1767</v>
      </c>
      <c r="I74" s="150" t="s">
        <v>1768</v>
      </c>
      <c r="J74" s="150">
        <v>1</v>
      </c>
      <c r="K74" s="154">
        <v>5.95</v>
      </c>
      <c r="L74" s="150" t="s">
        <v>1899</v>
      </c>
      <c r="N74" s="154">
        <f>MouserListTable[[#This Row],['# Initial]]*MouserListTable[[#This Row],[Price (USD)]]</f>
        <v>0</v>
      </c>
      <c r="O74" s="151" t="s">
        <v>1765</v>
      </c>
      <c r="P74" s="150">
        <f t="shared" si="0"/>
        <v>61</v>
      </c>
      <c r="Q74" s="150" t="s">
        <v>5</v>
      </c>
      <c r="R7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474-TOL-09442</v>
      </c>
      <c r="S74" s="157" t="str">
        <f>HYPERLINK("https://www.mouser.com/ProductDetail/" &amp;MouserListTable[[#This Row],[Mouser SKU]])</f>
        <v>https://www.mouser.com/ProductDetail/474-TOL-09442</v>
      </c>
      <c r="T74" s="152">
        <v>0</v>
      </c>
      <c r="U74" s="152">
        <v>0</v>
      </c>
      <c r="V74" s="152">
        <v>0</v>
      </c>
      <c r="W74" s="152">
        <f>MouserListTable[[#This Row],['#/Unit]]*FilterSpecs!$C$3+MouserListTable[[#This Row],[Extra]]</f>
        <v>0</v>
      </c>
      <c r="X74" s="152">
        <f>IF(MouserListTable[[#This Row],[Tag]]=FilterSpecs!$F$7,MouserListTable[[#This Row],['#/Unit]]*MouserListTable[[#This Row],[Price (USD)]],0)</f>
        <v>0</v>
      </c>
      <c r="Y74" s="152">
        <f>MouserListTable[[#This Row],[Tot '#]]*MouserListTable[[#This Row],[Price (USD)]]</f>
        <v>0</v>
      </c>
      <c r="Z74" s="146"/>
      <c r="AA74" s="29" t="e">
        <f>[1]!nonzeroQtysOfList($F$14, $Q$14, InitialOrderTable2[[#This Row],[Name]], FilterSpecs!$A$7)</f>
        <v>#VALUE!</v>
      </c>
      <c r="AB74" s="29" t="e">
        <f>[1]!nonzeroQtysOfList($F$14, $Q$14, InitialOrderTable2['# Initial], FilterSpecs!$A$7)</f>
        <v>#VALUE!</v>
      </c>
      <c r="AC74" s="29" t="e">
        <f>[1]!nonzeroQtysOfList($F$14, $Q$14, InitialOrderTable2[SKU], FilterSpecs!$A$7)</f>
        <v>#VALUE!</v>
      </c>
      <c r="AJ74" s="146"/>
    </row>
    <row r="75" spans="1:36" s="153" customFormat="1" x14ac:dyDescent="0.25">
      <c r="A75" s="97" t="s">
        <v>887</v>
      </c>
      <c r="B75" s="97" t="s">
        <v>2015</v>
      </c>
      <c r="C75" s="150" t="s">
        <v>1884</v>
      </c>
      <c r="D75" s="151" t="str">
        <f>IF(MouserListTable[[#This Row],[Vendor]]=FilterSpecs!$A$8,MouserListTable[[#This Row],[Mouser SKU]], MouserListTable[[#This Row],[Supplier SKU]])</f>
        <v>485-276</v>
      </c>
      <c r="E75" s="152">
        <f>MouserListTable[[#This Row],[Tot '#]]-MouserListTable[[#This Row],['# Initial]]</f>
        <v>0</v>
      </c>
      <c r="F75" s="152">
        <f>IF(AND(MouserListTable[[#This Row],[Tag]]&lt;&gt;FilterSpecs!$F$12, MouserListTable[[#This Row],[Tag]]&lt;&gt;FilterSpecs!$F$9), MouserListTable[[#This Row],['#/Unit]]*FilterSpecs!$B$3+MouserListTable[[#This Row],[Extra Initial]],0)</f>
        <v>0</v>
      </c>
      <c r="G75" s="150"/>
      <c r="H75" s="150"/>
      <c r="I75" s="150" t="s">
        <v>2259</v>
      </c>
      <c r="J75" s="150"/>
      <c r="K75" s="154">
        <v>7.95</v>
      </c>
      <c r="L75" s="150" t="s">
        <v>1896</v>
      </c>
      <c r="N75" s="154">
        <f>MouserListTable[[#This Row],['# Initial]]*MouserListTable[[#This Row],[Price (USD)]]</f>
        <v>0</v>
      </c>
      <c r="O75" s="151" t="s">
        <v>2258</v>
      </c>
      <c r="P75" s="150">
        <f t="shared" si="0"/>
        <v>62</v>
      </c>
      <c r="Q75" s="150" t="s">
        <v>1884</v>
      </c>
      <c r="R7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485-276</v>
      </c>
      <c r="S75" s="157" t="str">
        <f>HYPERLINK("https://www.mouser.com/ProductDetail/" &amp;MouserListTable[[#This Row],[Mouser SKU]])</f>
        <v>https://www.mouser.com/ProductDetail/485-276</v>
      </c>
      <c r="T75" s="152">
        <v>0</v>
      </c>
      <c r="U75" s="152">
        <v>0</v>
      </c>
      <c r="V75" s="152">
        <v>0</v>
      </c>
      <c r="W75" s="152">
        <f>MouserListTable[[#This Row],['#/Unit]]*FilterSpecs!$C$3+MouserListTable[[#This Row],[Extra]]</f>
        <v>0</v>
      </c>
      <c r="X75" s="152">
        <f>IF(MouserListTable[[#This Row],[Tag]]=FilterSpecs!$F$7,MouserListTable[[#This Row],['#/Unit]]*MouserListTable[[#This Row],[Price (USD)]],0)</f>
        <v>0</v>
      </c>
      <c r="Y75" s="152">
        <f>MouserListTable[[#This Row],[Tot '#]]*MouserListTable[[#This Row],[Price (USD)]]</f>
        <v>0</v>
      </c>
      <c r="Z75" s="146"/>
      <c r="AA75" s="29" t="e">
        <f>[1]!nonzeroQtysOfList($F$14, $Q$14, InitialOrderTable2[[#This Row],[Name]], FilterSpecs!$A$7)</f>
        <v>#VALUE!</v>
      </c>
      <c r="AB75" s="29" t="e">
        <f>[1]!nonzeroQtysOfList($F$14, $Q$14, InitialOrderTable2['# Initial], FilterSpecs!$A$7)</f>
        <v>#VALUE!</v>
      </c>
      <c r="AC75" s="29" t="e">
        <f>[1]!nonzeroQtysOfList($F$14, $Q$14, InitialOrderTable2[SKU], FilterSpecs!$A$7)</f>
        <v>#VALUE!</v>
      </c>
      <c r="AJ75" s="146"/>
    </row>
    <row r="76" spans="1:36" s="153" customFormat="1" x14ac:dyDescent="0.25">
      <c r="A76" s="97" t="s">
        <v>887</v>
      </c>
      <c r="B76" s="97" t="s">
        <v>2015</v>
      </c>
      <c r="C76" s="150" t="s">
        <v>1884</v>
      </c>
      <c r="D76" s="151" t="str">
        <f>IF(MouserListTable[[#This Row],[Vendor]]=FilterSpecs!$A$8,MouserListTable[[#This Row],[Mouser SKU]], MouserListTable[[#This Row],[Supplier SKU]])</f>
        <v>485-1448</v>
      </c>
      <c r="E76" s="152">
        <f>MouserListTable[[#This Row],[Tot '#]]-MouserListTable[[#This Row],['# Initial]]</f>
        <v>0</v>
      </c>
      <c r="F76" s="152">
        <f>IF(AND(MouserListTable[[#This Row],[Tag]]&lt;&gt;FilterSpecs!$F$12, MouserListTable[[#This Row],[Tag]]&lt;&gt;FilterSpecs!$F$9), MouserListTable[[#This Row],['#/Unit]]*FilterSpecs!$B$3+MouserListTable[[#This Row],[Extra Initial]],0)</f>
        <v>0</v>
      </c>
      <c r="G76" s="150"/>
      <c r="H76" s="150"/>
      <c r="I76" s="150" t="s">
        <v>2261</v>
      </c>
      <c r="J76" s="150"/>
      <c r="K76" s="154">
        <v>14.95</v>
      </c>
      <c r="L76" s="150" t="s">
        <v>1896</v>
      </c>
      <c r="N76" s="154">
        <f>MouserListTable[[#This Row],['# Initial]]*MouserListTable[[#This Row],[Price (USD)]]</f>
        <v>0</v>
      </c>
      <c r="O76" s="151" t="s">
        <v>2260</v>
      </c>
      <c r="P76" s="150">
        <f t="shared" si="0"/>
        <v>63</v>
      </c>
      <c r="Q76" s="150" t="s">
        <v>1884</v>
      </c>
      <c r="R7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485-1448</v>
      </c>
      <c r="S76" s="157" t="str">
        <f>HYPERLINK("https://www.mouser.com/ProductDetail/" &amp;MouserListTable[[#This Row],[Mouser SKU]])</f>
        <v>https://www.mouser.com/ProductDetail/485-1448</v>
      </c>
      <c r="T76" s="152">
        <v>0</v>
      </c>
      <c r="U76" s="152">
        <v>0</v>
      </c>
      <c r="V76" s="152">
        <v>0</v>
      </c>
      <c r="W76" s="152">
        <f>MouserListTable[[#This Row],['#/Unit]]*FilterSpecs!$C$3+MouserListTable[[#This Row],[Extra]]</f>
        <v>0</v>
      </c>
      <c r="X76" s="152">
        <f>IF(MouserListTable[[#This Row],[Tag]]=FilterSpecs!$F$7,MouserListTable[[#This Row],['#/Unit]]*MouserListTable[[#This Row],[Price (USD)]],0)</f>
        <v>0</v>
      </c>
      <c r="Y76" s="152">
        <f>MouserListTable[[#This Row],[Tot '#]]*MouserListTable[[#This Row],[Price (USD)]]</f>
        <v>0</v>
      </c>
      <c r="Z76" s="146"/>
      <c r="AA76" s="29" t="e">
        <f>[1]!nonzeroQtysOfList($F$14, $Q$14, InitialOrderTable2[[#This Row],[Name]], FilterSpecs!$A$7)</f>
        <v>#VALUE!</v>
      </c>
      <c r="AB76" s="29" t="e">
        <f>[1]!nonzeroQtysOfList($F$14, $Q$14, InitialOrderTable2['# Initial], FilterSpecs!$A$7)</f>
        <v>#VALUE!</v>
      </c>
      <c r="AC76" s="29" t="e">
        <f>[1]!nonzeroQtysOfList($F$14, $Q$14, InitialOrderTable2[SKU], FilterSpecs!$A$7)</f>
        <v>#VALUE!</v>
      </c>
      <c r="AJ76" s="146"/>
    </row>
    <row r="77" spans="1:36" s="104" customFormat="1" x14ac:dyDescent="0.25">
      <c r="A77" s="150" t="s">
        <v>887</v>
      </c>
      <c r="B77" s="150" t="s">
        <v>2018</v>
      </c>
      <c r="C77" s="150" t="s">
        <v>5</v>
      </c>
      <c r="D77" s="151" t="str">
        <f>IF(MouserListTable[[#This Row],[Vendor]]=FilterSpecs!$A$8,MouserListTable[[#This Row],[Mouser SKU]], MouserListTable[[#This Row],[Supplier SKU]])</f>
        <v>474-COM-11707</v>
      </c>
      <c r="E77" s="152">
        <f>MouserListTable[[#This Row],[Tot '#]]-MouserListTable[[#This Row],['# Initial]]</f>
        <v>0</v>
      </c>
      <c r="F77" s="152">
        <f>IF(AND(MouserListTable[[#This Row],[Tag]]&lt;&gt;FilterSpecs!$F$12, MouserListTable[[#This Row],[Tag]]&lt;&gt;FilterSpecs!$F$9), MouserListTable[[#This Row],['#/Unit]]*FilterSpecs!$B$3+MouserListTable[[#This Row],[Extra Initial]],0)</f>
        <v>5</v>
      </c>
      <c r="G77" s="150" t="s">
        <v>381</v>
      </c>
      <c r="H77" s="150" t="s">
        <v>382</v>
      </c>
      <c r="I77" s="150" t="s">
        <v>383</v>
      </c>
      <c r="J77" s="150"/>
      <c r="K77" s="154">
        <v>1.95</v>
      </c>
      <c r="L77" s="150" t="s">
        <v>1897</v>
      </c>
      <c r="M77" s="151"/>
      <c r="N77" s="154">
        <f>MouserListTable[[#This Row],['# Initial]]*MouserListTable[[#This Row],[Price (USD)]]</f>
        <v>9.75</v>
      </c>
      <c r="O77" s="151" t="s">
        <v>380</v>
      </c>
      <c r="P77" s="150">
        <f t="shared" si="0"/>
        <v>64</v>
      </c>
      <c r="Q77" s="150" t="s">
        <v>5</v>
      </c>
      <c r="R7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474-COM-11707</v>
      </c>
      <c r="S77" s="157" t="str">
        <f>HYPERLINK("https://www.mouser.com/ProductDetail/" &amp;MouserListTable[[#This Row],[Mouser SKU]])</f>
        <v>https://www.mouser.com/ProductDetail/474-COM-11707</v>
      </c>
      <c r="T77" s="152">
        <v>1</v>
      </c>
      <c r="U77" s="152">
        <v>0</v>
      </c>
      <c r="V77" s="152">
        <v>0</v>
      </c>
      <c r="W77" s="152">
        <f>MouserListTable[[#This Row],['#/Unit]]*FilterSpecs!$C$3+MouserListTable[[#This Row],[Extra]]</f>
        <v>5</v>
      </c>
      <c r="X77" s="152">
        <f>IF(MouserListTable[[#This Row],[Tag]]=FilterSpecs!$F$7,MouserListTable[[#This Row],['#/Unit]]*MouserListTable[[#This Row],[Price (USD)]],0)</f>
        <v>1.95</v>
      </c>
      <c r="Y77" s="152">
        <f>MouserListTable[[#This Row],[Tot '#]]*MouserListTable[[#This Row],[Price (USD)]]</f>
        <v>9.75</v>
      </c>
      <c r="Z77" s="146"/>
      <c r="AA77" s="29" t="e">
        <f>[1]!nonzeroQtysOfList($F$14, $Q$14, InitialOrderTable2[[#This Row],[Name]], FilterSpecs!$A$7)</f>
        <v>#VALUE!</v>
      </c>
      <c r="AB77" s="29" t="e">
        <f>[1]!nonzeroQtysOfList($F$14, $Q$14, InitialOrderTable2['# Initial], FilterSpecs!$A$7)</f>
        <v>#VALUE!</v>
      </c>
      <c r="AC77" s="29" t="e">
        <f>[1]!nonzeroQtysOfList($F$14, $Q$14, InitialOrderTable2[SKU], FilterSpecs!$A$7)</f>
        <v>#VALUE!</v>
      </c>
      <c r="AJ77" s="146"/>
    </row>
    <row r="78" spans="1:36" s="104" customFormat="1" x14ac:dyDescent="0.25">
      <c r="A78" s="150" t="s">
        <v>887</v>
      </c>
      <c r="B78" s="150" t="s">
        <v>2018</v>
      </c>
      <c r="C78" s="150" t="s">
        <v>5</v>
      </c>
      <c r="D78" s="151" t="str">
        <f>IF(MouserListTable[[#This Row],[Vendor]]=FilterSpecs!$A$8,MouserListTable[[#This Row],[Mouser SKU]], MouserListTable[[#This Row],[Supplier SKU]])</f>
        <v>474-TOL-08734</v>
      </c>
      <c r="E78" s="152">
        <f>MouserListTable[[#This Row],[Tot '#]]-MouserListTable[[#This Row],['# Initial]]</f>
        <v>0</v>
      </c>
      <c r="F78" s="152">
        <f>IF(AND(MouserListTable[[#This Row],[Tag]]&lt;&gt;FilterSpecs!$F$12, MouserListTable[[#This Row],[Tag]]&lt;&gt;FilterSpecs!$F$9), MouserListTable[[#This Row],['#/Unit]]*FilterSpecs!$B$3+MouserListTable[[#This Row],[Extra Initial]],0)</f>
        <v>5</v>
      </c>
      <c r="G78" s="150" t="s">
        <v>797</v>
      </c>
      <c r="H78" s="150" t="s">
        <v>798</v>
      </c>
      <c r="I78" s="150" t="s">
        <v>799</v>
      </c>
      <c r="J78" s="150">
        <v>1</v>
      </c>
      <c r="K78" s="154">
        <v>2.95</v>
      </c>
      <c r="L78" s="150" t="s">
        <v>1897</v>
      </c>
      <c r="M78" s="151"/>
      <c r="N78" s="154">
        <f>MouserListTable[[#This Row],['# Initial]]*MouserListTable[[#This Row],[Price (USD)]]</f>
        <v>14.75</v>
      </c>
      <c r="O78" s="151" t="s">
        <v>796</v>
      </c>
      <c r="P78" s="150">
        <f t="shared" ref="P78:P141" si="1">IF($P77="List #",1,$P77+1)</f>
        <v>65</v>
      </c>
      <c r="Q78" s="150" t="s">
        <v>5</v>
      </c>
      <c r="R7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474-TOL-08734</v>
      </c>
      <c r="S78" s="157" t="str">
        <f>HYPERLINK("https://www.mouser.com/ProductDetail/" &amp;MouserListTable[[#This Row],[Mouser SKU]])</f>
        <v>https://www.mouser.com/ProductDetail/474-TOL-08734</v>
      </c>
      <c r="T78" s="152">
        <v>1</v>
      </c>
      <c r="U78" s="152">
        <v>0</v>
      </c>
      <c r="V78" s="152">
        <v>0</v>
      </c>
      <c r="W78" s="152">
        <f>MouserListTable[[#This Row],['#/Unit]]*FilterSpecs!$C$3+MouserListTable[[#This Row],[Extra]]</f>
        <v>5</v>
      </c>
      <c r="X78" s="152">
        <f>IF(MouserListTable[[#This Row],[Tag]]=FilterSpecs!$F$7,MouserListTable[[#This Row],['#/Unit]]*MouserListTable[[#This Row],[Price (USD)]],0)</f>
        <v>2.95</v>
      </c>
      <c r="Y78" s="152">
        <f>MouserListTable[[#This Row],[Tot '#]]*MouserListTable[[#This Row],[Price (USD)]]</f>
        <v>14.75</v>
      </c>
      <c r="Z78" s="146"/>
      <c r="AA78" s="29" t="e">
        <f>[1]!nonzeroQtysOfList($F$14, $Q$14, InitialOrderTable2[[#This Row],[Name]], FilterSpecs!$A$7)</f>
        <v>#VALUE!</v>
      </c>
      <c r="AB78" s="29" t="e">
        <f>[1]!nonzeroQtysOfList($F$14, $Q$14, InitialOrderTable2['# Initial], FilterSpecs!$A$7)</f>
        <v>#VALUE!</v>
      </c>
      <c r="AC78" s="29" t="e">
        <f>[1]!nonzeroQtysOfList($F$14, $Q$14, InitialOrderTable2[SKU], FilterSpecs!$A$7)</f>
        <v>#VALUE!</v>
      </c>
      <c r="AJ78" s="146"/>
    </row>
    <row r="79" spans="1:36" s="104" customFormat="1" x14ac:dyDescent="0.25">
      <c r="A79" s="150" t="s">
        <v>887</v>
      </c>
      <c r="B79" s="150" t="s">
        <v>2018</v>
      </c>
      <c r="C79" s="150" t="s">
        <v>5</v>
      </c>
      <c r="D79" s="151" t="str">
        <f>IF(MouserListTable[[#This Row],[Vendor]]=FilterSpecs!$A$8,MouserListTable[[#This Row],[Mouser SKU]], MouserListTable[[#This Row],[Supplier SKU]])</f>
        <v>474-TOL-08639</v>
      </c>
      <c r="E79" s="152">
        <f>MouserListTable[[#This Row],[Tot '#]]-MouserListTable[[#This Row],['# Initial]]</f>
        <v>0</v>
      </c>
      <c r="F79" s="152">
        <f>IF(AND(MouserListTable[[#This Row],[Tag]]&lt;&gt;FilterSpecs!$F$12, MouserListTable[[#This Row],[Tag]]&lt;&gt;FilterSpecs!$F$9), MouserListTable[[#This Row],['#/Unit]]*FilterSpecs!$B$3+MouserListTable[[#This Row],[Extra Initial]],0)</f>
        <v>5</v>
      </c>
      <c r="G79" s="150" t="s">
        <v>455</v>
      </c>
      <c r="H79" s="150" t="s">
        <v>456</v>
      </c>
      <c r="I79" s="150" t="s">
        <v>457</v>
      </c>
      <c r="J79" s="150">
        <v>1</v>
      </c>
      <c r="K79" s="154">
        <v>2.95</v>
      </c>
      <c r="L79" s="150" t="s">
        <v>1897</v>
      </c>
      <c r="M79" s="151"/>
      <c r="N79" s="154">
        <f>MouserListTable[[#This Row],['# Initial]]*MouserListTable[[#This Row],[Price (USD)]]</f>
        <v>14.75</v>
      </c>
      <c r="O79" s="151" t="s">
        <v>454</v>
      </c>
      <c r="P79" s="150">
        <f t="shared" si="1"/>
        <v>66</v>
      </c>
      <c r="Q79" s="150" t="s">
        <v>5</v>
      </c>
      <c r="R7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474-TOL-08639</v>
      </c>
      <c r="S79" s="157" t="str">
        <f>HYPERLINK("https://www.mouser.com/ProductDetail/" &amp;MouserListTable[[#This Row],[Mouser SKU]])</f>
        <v>https://www.mouser.com/ProductDetail/474-TOL-08639</v>
      </c>
      <c r="T79" s="152">
        <v>1</v>
      </c>
      <c r="U79" s="152">
        <v>0</v>
      </c>
      <c r="V79" s="152">
        <v>0</v>
      </c>
      <c r="W79" s="152">
        <f>MouserListTable[[#This Row],['#/Unit]]*FilterSpecs!$C$3+MouserListTable[[#This Row],[Extra]]</f>
        <v>5</v>
      </c>
      <c r="X79" s="152">
        <f>IF(MouserListTable[[#This Row],[Tag]]=FilterSpecs!$F$7,MouserListTable[[#This Row],['#/Unit]]*MouserListTable[[#This Row],[Price (USD)]],0)</f>
        <v>2.95</v>
      </c>
      <c r="Y79" s="152">
        <f>MouserListTable[[#This Row],[Tot '#]]*MouserListTable[[#This Row],[Price (USD)]]</f>
        <v>14.75</v>
      </c>
      <c r="Z79" s="146"/>
      <c r="AA79" s="29" t="e">
        <f>[1]!nonzeroQtysOfList($F$14, $Q$14, InitialOrderTable2[[#This Row],[Name]], FilterSpecs!$A$7)</f>
        <v>#VALUE!</v>
      </c>
      <c r="AB79" s="29" t="e">
        <f>[1]!nonzeroQtysOfList($F$14, $Q$14, InitialOrderTable2['# Initial], FilterSpecs!$A$7)</f>
        <v>#VALUE!</v>
      </c>
      <c r="AC79" s="29" t="e">
        <f>[1]!nonzeroQtysOfList($F$14, $Q$14, InitialOrderTable2[SKU], FilterSpecs!$A$7)</f>
        <v>#VALUE!</v>
      </c>
      <c r="AJ79" s="146"/>
    </row>
    <row r="80" spans="1:36" s="104" customFormat="1" x14ac:dyDescent="0.25">
      <c r="A80" s="150" t="s">
        <v>887</v>
      </c>
      <c r="B80" s="150" t="s">
        <v>2018</v>
      </c>
      <c r="C80" s="150" t="s">
        <v>5</v>
      </c>
      <c r="D80" s="151" t="str">
        <f>IF(MouserListTable[[#This Row],[Vendor]]=FilterSpecs!$A$8,MouserListTable[[#This Row],[Mouser SKU]], MouserListTable[[#This Row],[Supplier SKU]])</f>
        <v>474-COM-11705</v>
      </c>
      <c r="E80" s="152">
        <f>MouserListTable[[#This Row],[Tot '#]]-MouserListTable[[#This Row],['# Initial]]</f>
        <v>0</v>
      </c>
      <c r="F80" s="152">
        <f>IF(AND(MouserListTable[[#This Row],[Tag]]&lt;&gt;FilterSpecs!$F$12, MouserListTable[[#This Row],[Tag]]&lt;&gt;FilterSpecs!$F$9), MouserListTable[[#This Row],['#/Unit]]*FilterSpecs!$B$3+MouserListTable[[#This Row],[Extra Initial]],0)</f>
        <v>5</v>
      </c>
      <c r="G80" s="150" t="s">
        <v>805</v>
      </c>
      <c r="H80" s="150" t="s">
        <v>806</v>
      </c>
      <c r="I80" s="150" t="s">
        <v>807</v>
      </c>
      <c r="J80" s="150"/>
      <c r="K80" s="154">
        <v>2.5</v>
      </c>
      <c r="L80" s="151" t="s">
        <v>1897</v>
      </c>
      <c r="M80" s="151"/>
      <c r="N80" s="154">
        <f>MouserListTable[[#This Row],['# Initial]]*MouserListTable[[#This Row],[Price (USD)]]</f>
        <v>12.5</v>
      </c>
      <c r="O80" s="151" t="s">
        <v>804</v>
      </c>
      <c r="P80" s="150">
        <f t="shared" si="1"/>
        <v>67</v>
      </c>
      <c r="Q80" s="150" t="s">
        <v>5</v>
      </c>
      <c r="R8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474-COM-11705</v>
      </c>
      <c r="S80" s="157" t="str">
        <f>HYPERLINK("https://www.mouser.com/ProductDetail/" &amp;MouserListTable[[#This Row],[Mouser SKU]])</f>
        <v>https://www.mouser.com/ProductDetail/474-COM-11705</v>
      </c>
      <c r="T80" s="152">
        <v>1</v>
      </c>
      <c r="U80" s="152">
        <v>0</v>
      </c>
      <c r="V80" s="152">
        <v>0</v>
      </c>
      <c r="W80" s="152">
        <f>MouserListTable[[#This Row],['#/Unit]]*FilterSpecs!$C$3+MouserListTable[[#This Row],[Extra]]</f>
        <v>5</v>
      </c>
      <c r="X80" s="152">
        <f>IF(MouserListTable[[#This Row],[Tag]]=FilterSpecs!$F$7,MouserListTable[[#This Row],['#/Unit]]*MouserListTable[[#This Row],[Price (USD)]],0)</f>
        <v>2.5</v>
      </c>
      <c r="Y80" s="152">
        <f>MouserListTable[[#This Row],[Tot '#]]*MouserListTable[[#This Row],[Price (USD)]]</f>
        <v>12.5</v>
      </c>
      <c r="Z80" s="146"/>
      <c r="AA80" s="29" t="e">
        <f>[1]!nonzeroQtysOfList($F$14, $Q$14, InitialOrderTable2[[#This Row],[Name]], FilterSpecs!$A$7)</f>
        <v>#VALUE!</v>
      </c>
      <c r="AB80" s="29" t="e">
        <f>[1]!nonzeroQtysOfList($F$14, $Q$14, InitialOrderTable2['# Initial], FilterSpecs!$A$7)</f>
        <v>#VALUE!</v>
      </c>
      <c r="AC80" s="29" t="e">
        <f>[1]!nonzeroQtysOfList($F$14, $Q$14, InitialOrderTable2[SKU], FilterSpecs!$A$7)</f>
        <v>#VALUE!</v>
      </c>
      <c r="AJ80" s="146"/>
    </row>
    <row r="81" spans="1:36" s="104" customFormat="1" x14ac:dyDescent="0.25">
      <c r="A81" s="150" t="s">
        <v>887</v>
      </c>
      <c r="B81" s="150" t="s">
        <v>2018</v>
      </c>
      <c r="C81" s="150" t="s">
        <v>1884</v>
      </c>
      <c r="D81" s="151" t="str">
        <f>IF(MouserListTable[[#This Row],[Vendor]]=FilterSpecs!$A$8,MouserListTable[[#This Row],[Mouser SKU]], MouserListTable[[#This Row],[Supplier SKU]])</f>
        <v>485-327</v>
      </c>
      <c r="E81" s="152">
        <f>MouserListTable[[#This Row],[Tot '#]]-MouserListTable[[#This Row],['# Initial]]</f>
        <v>0</v>
      </c>
      <c r="F81" s="152">
        <f>IF(AND(MouserListTable[[#This Row],[Tag]]&lt;&gt;FilterSpecs!$F$12, MouserListTable[[#This Row],[Tag]]&lt;&gt;FilterSpecs!$F$9), MouserListTable[[#This Row],['#/Unit]]*FilterSpecs!$B$3+MouserListTable[[#This Row],[Extra Initial]],0)</f>
        <v>0</v>
      </c>
      <c r="G81" s="150"/>
      <c r="H81" s="150"/>
      <c r="I81" s="150" t="s">
        <v>2249</v>
      </c>
      <c r="J81" s="153"/>
      <c r="K81" s="118">
        <v>2.95</v>
      </c>
      <c r="L81" s="97" t="s">
        <v>1896</v>
      </c>
      <c r="M81" s="153"/>
      <c r="N81" s="154">
        <f>MouserListTable[[#This Row],['# Initial]]*MouserListTable[[#This Row],[Price (USD)]]</f>
        <v>0</v>
      </c>
      <c r="O81" s="151" t="s">
        <v>2248</v>
      </c>
      <c r="P81" s="150">
        <f t="shared" si="1"/>
        <v>68</v>
      </c>
      <c r="Q81" s="150" t="s">
        <v>1884</v>
      </c>
      <c r="R8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485-327</v>
      </c>
      <c r="S81" s="157" t="str">
        <f>HYPERLINK("https://www.mouser.com/ProductDetail/" &amp;MouserListTable[[#This Row],[Mouser SKU]])</f>
        <v>https://www.mouser.com/ProductDetail/485-327</v>
      </c>
      <c r="T81" s="152">
        <v>0</v>
      </c>
      <c r="U81" s="152">
        <v>0</v>
      </c>
      <c r="V81" s="152">
        <v>0</v>
      </c>
      <c r="W81" s="152">
        <f>MouserListTable[[#This Row],['#/Unit]]*FilterSpecs!$C$3+MouserListTable[[#This Row],[Extra]]</f>
        <v>0</v>
      </c>
      <c r="X81" s="152">
        <f>IF(MouserListTable[[#This Row],[Tag]]=FilterSpecs!$F$7,MouserListTable[[#This Row],['#/Unit]]*MouserListTable[[#This Row],[Price (USD)]],0)</f>
        <v>0</v>
      </c>
      <c r="Y81" s="152">
        <f>MouserListTable[[#This Row],[Tot '#]]*MouserListTable[[#This Row],[Price (USD)]]</f>
        <v>0</v>
      </c>
      <c r="Z81" s="146"/>
      <c r="AA81" s="29" t="e">
        <f>[1]!nonzeroQtysOfList($F$14, $Q$14, InitialOrderTable2[[#This Row],[Name]], FilterSpecs!$A$7)</f>
        <v>#VALUE!</v>
      </c>
      <c r="AB81" s="29" t="e">
        <f>[1]!nonzeroQtysOfList($F$14, $Q$14, InitialOrderTable2['# Initial], FilterSpecs!$A$7)</f>
        <v>#VALUE!</v>
      </c>
      <c r="AC81" s="29" t="e">
        <f>[1]!nonzeroQtysOfList($F$14, $Q$14, InitialOrderTable2[SKU], FilterSpecs!$A$7)</f>
        <v>#VALUE!</v>
      </c>
      <c r="AJ81" s="146"/>
    </row>
    <row r="82" spans="1:36" s="104" customFormat="1" x14ac:dyDescent="0.25">
      <c r="A82" s="150" t="s">
        <v>887</v>
      </c>
      <c r="B82" s="150" t="s">
        <v>2018</v>
      </c>
      <c r="C82" s="150" t="s">
        <v>1884</v>
      </c>
      <c r="D82" s="151" t="str">
        <f>IF(MouserListTable[[#This Row],[Vendor]]=FilterSpecs!$A$8,MouserListTable[[#This Row],[Mouser SKU]], MouserListTable[[#This Row],[Supplier SKU]])</f>
        <v>485-411</v>
      </c>
      <c r="E82" s="152">
        <f>MouserListTable[[#This Row],[Tot '#]]-MouserListTable[[#This Row],['# Initial]]</f>
        <v>1</v>
      </c>
      <c r="F82" s="152">
        <f>IF(AND(MouserListTable[[#This Row],[Tag]]&lt;&gt;FilterSpecs!$F$12, MouserListTable[[#This Row],[Tag]]&lt;&gt;FilterSpecs!$F$9), MouserListTable[[#This Row],['#/Unit]]*FilterSpecs!$B$3+MouserListTable[[#This Row],[Extra Initial]],0)</f>
        <v>0</v>
      </c>
      <c r="G82" s="150"/>
      <c r="H82" s="150"/>
      <c r="I82" s="150" t="s">
        <v>2251</v>
      </c>
      <c r="J82" s="153"/>
      <c r="K82" s="154">
        <v>2.5</v>
      </c>
      <c r="L82" s="150" t="s">
        <v>1896</v>
      </c>
      <c r="M82" s="151"/>
      <c r="N82" s="154">
        <f>MouserListTable[[#This Row],['# Initial]]*MouserListTable[[#This Row],[Price (USD)]]</f>
        <v>0</v>
      </c>
      <c r="O82" s="151" t="s">
        <v>2250</v>
      </c>
      <c r="P82" s="150">
        <f t="shared" si="1"/>
        <v>69</v>
      </c>
      <c r="Q82" s="150" t="s">
        <v>1884</v>
      </c>
      <c r="R8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485-411</v>
      </c>
      <c r="S82" s="157" t="str">
        <f>HYPERLINK("https://www.mouser.com/ProductDetail/" &amp;MouserListTable[[#This Row],[Mouser SKU]])</f>
        <v>https://www.mouser.com/ProductDetail/485-411</v>
      </c>
      <c r="T82" s="152">
        <v>0</v>
      </c>
      <c r="U82" s="152">
        <v>1</v>
      </c>
      <c r="V82" s="152">
        <v>0</v>
      </c>
      <c r="W82" s="152">
        <f>MouserListTable[[#This Row],['#/Unit]]*FilterSpecs!$C$3+MouserListTable[[#This Row],[Extra]]</f>
        <v>1</v>
      </c>
      <c r="X82" s="152">
        <f>IF(MouserListTable[[#This Row],[Tag]]=FilterSpecs!$F$7,MouserListTable[[#This Row],['#/Unit]]*MouserListTable[[#This Row],[Price (USD)]],0)</f>
        <v>0</v>
      </c>
      <c r="Y82" s="152">
        <f>MouserListTable[[#This Row],[Tot '#]]*MouserListTable[[#This Row],[Price (USD)]]</f>
        <v>2.5</v>
      </c>
      <c r="Z82" s="146"/>
      <c r="AA82" s="29" t="e">
        <f>[1]!nonzeroQtysOfList($F$14, $Q$14, InitialOrderTable2[[#This Row],[Name]], FilterSpecs!$A$7)</f>
        <v>#VALUE!</v>
      </c>
      <c r="AB82" s="29" t="e">
        <f>[1]!nonzeroQtysOfList($F$14, $Q$14, InitialOrderTable2['# Initial], FilterSpecs!$A$7)</f>
        <v>#VALUE!</v>
      </c>
      <c r="AC82" s="29" t="e">
        <f>[1]!nonzeroQtysOfList($F$14, $Q$14, InitialOrderTable2[SKU], FilterSpecs!$A$7)</f>
        <v>#VALUE!</v>
      </c>
      <c r="AJ82" s="146"/>
    </row>
    <row r="83" spans="1:36" s="104" customFormat="1" x14ac:dyDescent="0.25">
      <c r="A83" s="150" t="s">
        <v>887</v>
      </c>
      <c r="B83" s="150" t="s">
        <v>2018</v>
      </c>
      <c r="C83" s="150" t="s">
        <v>1884</v>
      </c>
      <c r="D83" s="151" t="str">
        <f>IF(MouserListTable[[#This Row],[Vendor]]=FilterSpecs!$A$8,MouserListTable[[#This Row],[Mouser SKU]], MouserListTable[[#This Row],[Supplier SKU]])</f>
        <v>485-2897</v>
      </c>
      <c r="E83" s="152">
        <f>MouserListTable[[#This Row],[Tot '#]]-MouserListTable[[#This Row],['# Initial]]</f>
        <v>1</v>
      </c>
      <c r="F83" s="152">
        <f>IF(AND(MouserListTable[[#This Row],[Tag]]&lt;&gt;FilterSpecs!$F$12, MouserListTable[[#This Row],[Tag]]&lt;&gt;FilterSpecs!$F$9), MouserListTable[[#This Row],['#/Unit]]*FilterSpecs!$B$3+MouserListTable[[#This Row],[Extra Initial]],0)</f>
        <v>0</v>
      </c>
      <c r="G83" s="150"/>
      <c r="H83" s="150"/>
      <c r="I83" s="150" t="s">
        <v>2253</v>
      </c>
      <c r="J83" s="153"/>
      <c r="K83" s="154">
        <v>0.95</v>
      </c>
      <c r="L83" s="150" t="s">
        <v>1896</v>
      </c>
      <c r="M83" s="151"/>
      <c r="N83" s="154">
        <f>MouserListTable[[#This Row],['# Initial]]*MouserListTable[[#This Row],[Price (USD)]]</f>
        <v>0</v>
      </c>
      <c r="O83" s="151" t="s">
        <v>2252</v>
      </c>
      <c r="P83" s="150">
        <f t="shared" si="1"/>
        <v>70</v>
      </c>
      <c r="Q83" s="150" t="s">
        <v>1884</v>
      </c>
      <c r="R8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485-2897</v>
      </c>
      <c r="S83" s="157" t="str">
        <f>HYPERLINK("https://www.mouser.com/ProductDetail/" &amp;MouserListTable[[#This Row],[Mouser SKU]])</f>
        <v>https://www.mouser.com/ProductDetail/485-2897</v>
      </c>
      <c r="T83" s="152">
        <v>0</v>
      </c>
      <c r="U83" s="152">
        <v>1</v>
      </c>
      <c r="V83" s="152">
        <v>0</v>
      </c>
      <c r="W83" s="152">
        <f>MouserListTable[[#This Row],['#/Unit]]*FilterSpecs!$C$3+MouserListTable[[#This Row],[Extra]]</f>
        <v>1</v>
      </c>
      <c r="X83" s="152">
        <f>IF(MouserListTable[[#This Row],[Tag]]=FilterSpecs!$F$7,MouserListTable[[#This Row],['#/Unit]]*MouserListTable[[#This Row],[Price (USD)]],0)</f>
        <v>0</v>
      </c>
      <c r="Y83" s="152">
        <f>MouserListTable[[#This Row],[Tot '#]]*MouserListTable[[#This Row],[Price (USD)]]</f>
        <v>0.95</v>
      </c>
      <c r="Z83" s="146"/>
      <c r="AA83" s="29" t="e">
        <f>[1]!nonzeroQtysOfList($F$14, $Q$14, InitialOrderTable2[[#This Row],[Name]], FilterSpecs!$A$7)</f>
        <v>#VALUE!</v>
      </c>
      <c r="AB83" s="29" t="e">
        <f>[1]!nonzeroQtysOfList($F$14, $Q$14, InitialOrderTable2['# Initial], FilterSpecs!$A$7)</f>
        <v>#VALUE!</v>
      </c>
      <c r="AC83" s="29" t="e">
        <f>[1]!nonzeroQtysOfList($F$14, $Q$14, InitialOrderTable2[SKU], FilterSpecs!$A$7)</f>
        <v>#VALUE!</v>
      </c>
      <c r="AJ83" s="146"/>
    </row>
    <row r="84" spans="1:36" s="104" customFormat="1" x14ac:dyDescent="0.25">
      <c r="A84" s="150" t="s">
        <v>887</v>
      </c>
      <c r="B84" s="150" t="s">
        <v>2018</v>
      </c>
      <c r="C84" s="150" t="s">
        <v>1884</v>
      </c>
      <c r="D84" s="151" t="str">
        <f>IF(MouserListTable[[#This Row],[Vendor]]=FilterSpecs!$A$8,MouserListTable[[#This Row],[Mouser SKU]], MouserListTable[[#This Row],[Supplier SKU]])</f>
        <v>485-2788</v>
      </c>
      <c r="E84" s="152">
        <f>MouserListTable[[#This Row],[Tot '#]]-MouserListTable[[#This Row],['# Initial]]</f>
        <v>1</v>
      </c>
      <c r="F84" s="152">
        <f>IF(AND(MouserListTable[[#This Row],[Tag]]&lt;&gt;FilterSpecs!$F$12, MouserListTable[[#This Row],[Tag]]&lt;&gt;FilterSpecs!$F$9), MouserListTable[[#This Row],['#/Unit]]*FilterSpecs!$B$3+MouserListTable[[#This Row],[Extra Initial]],0)</f>
        <v>0</v>
      </c>
      <c r="G84" s="150"/>
      <c r="H84" s="150"/>
      <c r="I84" s="150" t="s">
        <v>2255</v>
      </c>
      <c r="J84" s="153"/>
      <c r="K84" s="154">
        <v>0.95</v>
      </c>
      <c r="L84" s="150" t="s">
        <v>1896</v>
      </c>
      <c r="M84" s="151"/>
      <c r="N84" s="154">
        <f>MouserListTable[[#This Row],['# Initial]]*MouserListTable[[#This Row],[Price (USD)]]</f>
        <v>0</v>
      </c>
      <c r="O84" s="151" t="s">
        <v>2254</v>
      </c>
      <c r="P84" s="150">
        <f t="shared" si="1"/>
        <v>71</v>
      </c>
      <c r="Q84" s="150" t="s">
        <v>1884</v>
      </c>
      <c r="R8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485-2788</v>
      </c>
      <c r="S84" s="157" t="str">
        <f>HYPERLINK("https://www.mouser.com/ProductDetail/" &amp;MouserListTable[[#This Row],[Mouser SKU]])</f>
        <v>https://www.mouser.com/ProductDetail/485-2788</v>
      </c>
      <c r="T84" s="152">
        <v>0</v>
      </c>
      <c r="U84" s="152">
        <v>1</v>
      </c>
      <c r="V84" s="152">
        <v>0</v>
      </c>
      <c r="W84" s="152">
        <f>MouserListTable[[#This Row],['#/Unit]]*FilterSpecs!$C$3+MouserListTable[[#This Row],[Extra]]</f>
        <v>1</v>
      </c>
      <c r="X84" s="152">
        <f>IF(MouserListTable[[#This Row],[Tag]]=FilterSpecs!$F$7,MouserListTable[[#This Row],['#/Unit]]*MouserListTable[[#This Row],[Price (USD)]],0)</f>
        <v>0</v>
      </c>
      <c r="Y84" s="152">
        <f>MouserListTable[[#This Row],[Tot '#]]*MouserListTable[[#This Row],[Price (USD)]]</f>
        <v>0.95</v>
      </c>
      <c r="Z84" s="146"/>
      <c r="AA84" s="29" t="e">
        <f>[1]!nonzeroQtysOfList($F$14, $Q$14, InitialOrderTable2[[#This Row],[Name]], FilterSpecs!$A$7)</f>
        <v>#VALUE!</v>
      </c>
      <c r="AB84" s="29" t="e">
        <f>[1]!nonzeroQtysOfList($F$14, $Q$14, InitialOrderTable2['# Initial], FilterSpecs!$A$7)</f>
        <v>#VALUE!</v>
      </c>
      <c r="AC84" s="29" t="e">
        <f>[1]!nonzeroQtysOfList($F$14, $Q$14, InitialOrderTable2[SKU], FilterSpecs!$A$7)</f>
        <v>#VALUE!</v>
      </c>
      <c r="AJ84" s="146"/>
    </row>
    <row r="85" spans="1:36" s="104" customFormat="1" x14ac:dyDescent="0.25">
      <c r="A85" s="150" t="s">
        <v>887</v>
      </c>
      <c r="B85" s="150" t="s">
        <v>2020</v>
      </c>
      <c r="C85" s="150" t="s">
        <v>5</v>
      </c>
      <c r="D85" s="151" t="str">
        <f>IF(MouserListTable[[#This Row],[Vendor]]=FilterSpecs!$A$8,MouserListTable[[#This Row],[Mouser SKU]], MouserListTable[[#This Row],[Supplier SKU]])</f>
        <v>474-TOL-12890</v>
      </c>
      <c r="E85" s="152">
        <f>MouserListTable[[#This Row],[Tot '#]]-MouserListTable[[#This Row],['# Initial]]</f>
        <v>0</v>
      </c>
      <c r="F85" s="152">
        <f>IF(AND(MouserListTable[[#This Row],[Tag]]&lt;&gt;FilterSpecs!$F$12, MouserListTable[[#This Row],[Tag]]&lt;&gt;FilterSpecs!$F$9), MouserListTable[[#This Row],['#/Unit]]*FilterSpecs!$B$3+MouserListTable[[#This Row],[Extra Initial]],0)</f>
        <v>0</v>
      </c>
      <c r="G85" s="150" t="s">
        <v>1101</v>
      </c>
      <c r="H85" s="150" t="s">
        <v>1102</v>
      </c>
      <c r="I85" s="150" t="s">
        <v>1103</v>
      </c>
      <c r="J85" s="153">
        <v>1</v>
      </c>
      <c r="K85" s="118">
        <v>5.95</v>
      </c>
      <c r="L85" s="97" t="s">
        <v>1896</v>
      </c>
      <c r="M85" s="153"/>
      <c r="N85" s="154">
        <f>MouserListTable[[#This Row],['# Initial]]*MouserListTable[[#This Row],[Price (USD)]]</f>
        <v>0</v>
      </c>
      <c r="O85" s="151" t="s">
        <v>1100</v>
      </c>
      <c r="P85" s="150">
        <f t="shared" si="1"/>
        <v>72</v>
      </c>
      <c r="Q85" s="150" t="s">
        <v>5</v>
      </c>
      <c r="R8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474-TOL-12890</v>
      </c>
      <c r="S85" s="157" t="str">
        <f>HYPERLINK("https://www.mouser.com/ProductDetail/" &amp;MouserListTable[[#This Row],[Mouser SKU]])</f>
        <v>https://www.mouser.com/ProductDetail/474-TOL-12890</v>
      </c>
      <c r="T85" s="152">
        <v>0</v>
      </c>
      <c r="U85" s="152">
        <v>0</v>
      </c>
      <c r="V85" s="152">
        <v>0</v>
      </c>
      <c r="W85" s="152">
        <f>MouserListTable[[#This Row],['#/Unit]]*FilterSpecs!$C$3+MouserListTable[[#This Row],[Extra]]</f>
        <v>0</v>
      </c>
      <c r="X85" s="152">
        <f>IF(MouserListTable[[#This Row],[Tag]]=FilterSpecs!$F$7,MouserListTable[[#This Row],['#/Unit]]*MouserListTable[[#This Row],[Price (USD)]],0)</f>
        <v>0</v>
      </c>
      <c r="Y85" s="152">
        <f>MouserListTable[[#This Row],[Tot '#]]*MouserListTable[[#This Row],[Price (USD)]]</f>
        <v>0</v>
      </c>
      <c r="Z85" s="146"/>
      <c r="AA85" s="29" t="e">
        <f>[1]!nonzeroQtysOfList($F$14, $Q$14, InitialOrderTable2[[#This Row],[Name]], FilterSpecs!$A$7)</f>
        <v>#VALUE!</v>
      </c>
      <c r="AB85" s="29" t="e">
        <f>[1]!nonzeroQtysOfList($F$14, $Q$14, InitialOrderTable2['# Initial], FilterSpecs!$A$7)</f>
        <v>#VALUE!</v>
      </c>
      <c r="AC85" s="29" t="e">
        <f>[1]!nonzeroQtysOfList($F$14, $Q$14, InitialOrderTable2[SKU], FilterSpecs!$A$7)</f>
        <v>#VALUE!</v>
      </c>
      <c r="AJ85" s="146"/>
    </row>
    <row r="86" spans="1:36" s="104" customFormat="1" x14ac:dyDescent="0.25">
      <c r="A86" s="150" t="s">
        <v>887</v>
      </c>
      <c r="B86" s="150" t="s">
        <v>2020</v>
      </c>
      <c r="C86" s="150" t="s">
        <v>1884</v>
      </c>
      <c r="D86" s="151" t="str">
        <f>IF(MouserListTable[[#This Row],[Vendor]]=FilterSpecs!$A$8,MouserListTable[[#This Row],[Mouser SKU]], MouserListTable[[#This Row],[Supplier SKU]])</f>
        <v>485-501</v>
      </c>
      <c r="E86" s="152">
        <f>MouserListTable[[#This Row],[Tot '#]]-MouserListTable[[#This Row],['# Initial]]</f>
        <v>0</v>
      </c>
      <c r="F86" s="152">
        <f>IF(AND(MouserListTable[[#This Row],[Tag]]&lt;&gt;FilterSpecs!$F$12, MouserListTable[[#This Row],[Tag]]&lt;&gt;FilterSpecs!$F$9), MouserListTable[[#This Row],['#/Unit]]*FilterSpecs!$B$3+MouserListTable[[#This Row],[Extra Initial]],0)</f>
        <v>0</v>
      </c>
      <c r="G86" s="150"/>
      <c r="H86" s="150"/>
      <c r="I86" s="150" t="s">
        <v>2289</v>
      </c>
      <c r="J86" s="153"/>
      <c r="K86" s="118">
        <v>5.95</v>
      </c>
      <c r="L86" s="97" t="s">
        <v>1896</v>
      </c>
      <c r="M86" s="153"/>
      <c r="N86" s="154">
        <f>MouserListTable[[#This Row],['# Initial]]*MouserListTable[[#This Row],[Price (USD)]]</f>
        <v>0</v>
      </c>
      <c r="O86" s="151" t="s">
        <v>2288</v>
      </c>
      <c r="P86" s="150">
        <f t="shared" si="1"/>
        <v>73</v>
      </c>
      <c r="Q86" s="150" t="s">
        <v>1884</v>
      </c>
      <c r="R8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485-501</v>
      </c>
      <c r="S86" s="157" t="str">
        <f>HYPERLINK("https://www.mouser.com/ProductDetail/" &amp;MouserListTable[[#This Row],[Mouser SKU]])</f>
        <v>https://www.mouser.com/ProductDetail/485-501</v>
      </c>
      <c r="T86" s="152">
        <v>0</v>
      </c>
      <c r="U86" s="152">
        <v>0</v>
      </c>
      <c r="V86" s="152">
        <v>0</v>
      </c>
      <c r="W86" s="152">
        <f>MouserListTable[[#This Row],['#/Unit]]*FilterSpecs!$C$3+MouserListTable[[#This Row],[Extra]]</f>
        <v>0</v>
      </c>
      <c r="X86" s="152">
        <f>IF(MouserListTable[[#This Row],[Tag]]=FilterSpecs!$F$7,MouserListTable[[#This Row],['#/Unit]]*MouserListTable[[#This Row],[Price (USD)]],0)</f>
        <v>0</v>
      </c>
      <c r="Y86" s="152">
        <f>MouserListTable[[#This Row],[Tot '#]]*MouserListTable[[#This Row],[Price (USD)]]</f>
        <v>0</v>
      </c>
      <c r="Z86" s="146"/>
      <c r="AA86" s="29" t="e">
        <f>[1]!nonzeroQtysOfList($F$14, $Q$14, InitialOrderTable2[[#This Row],[Name]], FilterSpecs!$A$7)</f>
        <v>#VALUE!</v>
      </c>
      <c r="AB86" s="29" t="e">
        <f>[1]!nonzeroQtysOfList($F$14, $Q$14, InitialOrderTable2['# Initial], FilterSpecs!$A$7)</f>
        <v>#VALUE!</v>
      </c>
      <c r="AC86" s="29" t="e">
        <f>[1]!nonzeroQtysOfList($F$14, $Q$14, InitialOrderTable2[SKU], FilterSpecs!$A$7)</f>
        <v>#VALUE!</v>
      </c>
      <c r="AJ86" s="146"/>
    </row>
    <row r="87" spans="1:36" s="104" customFormat="1" x14ac:dyDescent="0.25">
      <c r="A87" s="150" t="s">
        <v>887</v>
      </c>
      <c r="B87" s="150" t="s">
        <v>2020</v>
      </c>
      <c r="C87" s="150" t="s">
        <v>1884</v>
      </c>
      <c r="D87" s="151" t="str">
        <f>IF(MouserListTable[[#This Row],[Vendor]]=FilterSpecs!$A$8,MouserListTable[[#This Row],[Mouser SKU]], MouserListTable[[#This Row],[Supplier SKU]])</f>
        <v>485-1994</v>
      </c>
      <c r="E87" s="152">
        <f>MouserListTable[[#This Row],[Tot '#]]-MouserListTable[[#This Row],['# Initial]]</f>
        <v>0</v>
      </c>
      <c r="F87" s="152">
        <f>IF(AND(MouserListTable[[#This Row],[Tag]]&lt;&gt;FilterSpecs!$F$12, MouserListTable[[#This Row],[Tag]]&lt;&gt;FilterSpecs!$F$9), MouserListTable[[#This Row],['#/Unit]]*FilterSpecs!$B$3+MouserListTable[[#This Row],[Extra Initial]],0)</f>
        <v>5</v>
      </c>
      <c r="G87" s="150"/>
      <c r="H87" s="150"/>
      <c r="I87" s="150" t="s">
        <v>2291</v>
      </c>
      <c r="J87" s="153"/>
      <c r="K87" s="154">
        <v>6.95</v>
      </c>
      <c r="L87" s="150" t="s">
        <v>1897</v>
      </c>
      <c r="M87" s="151"/>
      <c r="N87" s="154">
        <f>MouserListTable[[#This Row],['# Initial]]*MouserListTable[[#This Row],[Price (USD)]]</f>
        <v>34.75</v>
      </c>
      <c r="O87" s="151" t="s">
        <v>2290</v>
      </c>
      <c r="P87" s="150">
        <f t="shared" si="1"/>
        <v>74</v>
      </c>
      <c r="Q87" s="150" t="s">
        <v>1884</v>
      </c>
      <c r="R8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485-1994</v>
      </c>
      <c r="S87" s="157" t="str">
        <f>HYPERLINK("https://www.mouser.com/ProductDetail/" &amp;MouserListTable[[#This Row],[Mouser SKU]])</f>
        <v>https://www.mouser.com/ProductDetail/485-1994</v>
      </c>
      <c r="T87" s="152">
        <v>1</v>
      </c>
      <c r="U87" s="152">
        <v>0</v>
      </c>
      <c r="V87" s="152">
        <v>0</v>
      </c>
      <c r="W87" s="152">
        <f>MouserListTable[[#This Row],['#/Unit]]*FilterSpecs!$C$3+MouserListTable[[#This Row],[Extra]]</f>
        <v>5</v>
      </c>
      <c r="X87" s="152">
        <f>IF(MouserListTable[[#This Row],[Tag]]=FilterSpecs!$F$7,MouserListTable[[#This Row],['#/Unit]]*MouserListTable[[#This Row],[Price (USD)]],0)</f>
        <v>6.95</v>
      </c>
      <c r="Y87" s="152">
        <f>MouserListTable[[#This Row],[Tot '#]]*MouserListTable[[#This Row],[Price (USD)]]</f>
        <v>34.75</v>
      </c>
      <c r="Z87" s="146"/>
      <c r="AA87" s="29" t="e">
        <f>[1]!nonzeroQtysOfList($F$14, $Q$14, InitialOrderTable2[[#This Row],[Name]], FilterSpecs!$A$7)</f>
        <v>#VALUE!</v>
      </c>
      <c r="AB87" s="29" t="e">
        <f>[1]!nonzeroQtysOfList($F$14, $Q$14, InitialOrderTable2['# Initial], FilterSpecs!$A$7)</f>
        <v>#VALUE!</v>
      </c>
      <c r="AC87" s="29" t="e">
        <f>[1]!nonzeroQtysOfList($F$14, $Q$14, InitialOrderTable2[SKU], FilterSpecs!$A$7)</f>
        <v>#VALUE!</v>
      </c>
      <c r="AJ87" s="146"/>
    </row>
    <row r="88" spans="1:36" s="104" customFormat="1" x14ac:dyDescent="0.25">
      <c r="A88" s="150" t="s">
        <v>887</v>
      </c>
      <c r="B88" s="150" t="s">
        <v>2013</v>
      </c>
      <c r="C88" s="150" t="s">
        <v>5</v>
      </c>
      <c r="D88" s="151" t="str">
        <f>IF(MouserListTable[[#This Row],[Vendor]]=FilterSpecs!$A$8,MouserListTable[[#This Row],[Mouser SKU]], MouserListTable[[#This Row],[Supplier SKU]])</f>
        <v>474-CAB-00512</v>
      </c>
      <c r="E88" s="152">
        <f>MouserListTable[[#This Row],[Tot '#]]-MouserListTable[[#This Row],['# Initial]]</f>
        <v>0</v>
      </c>
      <c r="F88" s="152">
        <f>IF(AND(MouserListTable[[#This Row],[Tag]]&lt;&gt;FilterSpecs!$F$12, MouserListTable[[#This Row],[Tag]]&lt;&gt;FilterSpecs!$F$9), MouserListTable[[#This Row],['#/Unit]]*FilterSpecs!$B$3+MouserListTable[[#This Row],[Extra Initial]],0)</f>
        <v>5</v>
      </c>
      <c r="G88" s="150" t="s">
        <v>2466</v>
      </c>
      <c r="H88" s="150" t="s">
        <v>2467</v>
      </c>
      <c r="I88" s="150" t="s">
        <v>2468</v>
      </c>
      <c r="J88" s="150">
        <v>1</v>
      </c>
      <c r="K88" s="154">
        <v>3.95</v>
      </c>
      <c r="L88" s="150" t="s">
        <v>1897</v>
      </c>
      <c r="M88" s="150"/>
      <c r="N88" s="154">
        <f>MouserListTable[[#This Row],['# Initial]]*MouserListTable[[#This Row],[Price (USD)]]</f>
        <v>19.75</v>
      </c>
      <c r="O88" s="151" t="s">
        <v>2465</v>
      </c>
      <c r="P88" s="150">
        <f t="shared" si="1"/>
        <v>75</v>
      </c>
      <c r="Q88" s="150" t="s">
        <v>5</v>
      </c>
      <c r="R8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474-CAB-00512</v>
      </c>
      <c r="S88" s="157" t="str">
        <f>HYPERLINK("https://www.mouser.com/ProductDetail/" &amp;MouserListTable[[#This Row],[Mouser SKU]])</f>
        <v>https://www.mouser.com/ProductDetail/474-CAB-00512</v>
      </c>
      <c r="T88" s="152">
        <v>1</v>
      </c>
      <c r="U88" s="152">
        <v>0</v>
      </c>
      <c r="V88" s="152">
        <v>0</v>
      </c>
      <c r="W88" s="152">
        <f>MouserListTable[[#This Row],['#/Unit]]*FilterSpecs!$C$3+MouserListTable[[#This Row],[Extra]]</f>
        <v>5</v>
      </c>
      <c r="X88" s="152">
        <f>IF(MouserListTable[[#This Row],[Tag]]=FilterSpecs!$F$7,MouserListTable[[#This Row],['#/Unit]]*MouserListTable[[#This Row],[Price (USD)]],0)</f>
        <v>3.95</v>
      </c>
      <c r="Y88" s="152">
        <f>MouserListTable[[#This Row],[Tot '#]]*MouserListTable[[#This Row],[Price (USD)]]</f>
        <v>19.75</v>
      </c>
      <c r="Z88" s="146"/>
      <c r="AA88" s="29" t="e">
        <f>[1]!nonzeroQtysOfList($F$14, $Q$14, InitialOrderTable2[[#This Row],[Name]], FilterSpecs!$A$7)</f>
        <v>#VALUE!</v>
      </c>
      <c r="AB88" s="29" t="e">
        <f>[1]!nonzeroQtysOfList($F$14, $Q$14, InitialOrderTable2['# Initial], FilterSpecs!$A$7)</f>
        <v>#VALUE!</v>
      </c>
      <c r="AC88" s="29" t="e">
        <f>[1]!nonzeroQtysOfList($F$14, $Q$14, InitialOrderTable2[SKU], FilterSpecs!$A$7)</f>
        <v>#VALUE!</v>
      </c>
      <c r="AJ88" s="146"/>
    </row>
    <row r="89" spans="1:36" s="104" customFormat="1" x14ac:dyDescent="0.25">
      <c r="A89" s="150" t="s">
        <v>887</v>
      </c>
      <c r="B89" s="150" t="s">
        <v>2013</v>
      </c>
      <c r="C89" s="150" t="s">
        <v>5</v>
      </c>
      <c r="D89" s="151" t="str">
        <f>IF(MouserListTable[[#This Row],[Vendor]]=FilterSpecs!$A$8,MouserListTable[[#This Row],[Mouser SKU]], MouserListTable[[#This Row],[Supplier SKU]])</f>
        <v>474-CAB-11301</v>
      </c>
      <c r="E89" s="152">
        <f>MouserListTable[[#This Row],[Tot '#]]-MouserListTable[[#This Row],['# Initial]]</f>
        <v>0</v>
      </c>
      <c r="F89" s="152">
        <f>IF(AND(MouserListTable[[#This Row],[Tag]]&lt;&gt;FilterSpecs!$F$12, MouserListTable[[#This Row],[Tag]]&lt;&gt;FilterSpecs!$F$9), MouserListTable[[#This Row],['#/Unit]]*FilterSpecs!$B$3+MouserListTable[[#This Row],[Extra Initial]],0)</f>
        <v>5</v>
      </c>
      <c r="G89" s="150" t="s">
        <v>2470</v>
      </c>
      <c r="H89" s="150" t="s">
        <v>2471</v>
      </c>
      <c r="I89" s="150" t="s">
        <v>2472</v>
      </c>
      <c r="J89" s="150">
        <v>1</v>
      </c>
      <c r="K89" s="154">
        <v>3.95</v>
      </c>
      <c r="L89" s="150" t="s">
        <v>1897</v>
      </c>
      <c r="M89" s="150"/>
      <c r="N89" s="154">
        <f>MouserListTable[[#This Row],['# Initial]]*MouserListTable[[#This Row],[Price (USD)]]</f>
        <v>19.75</v>
      </c>
      <c r="O89" s="151" t="s">
        <v>2469</v>
      </c>
      <c r="P89" s="150">
        <f t="shared" si="1"/>
        <v>76</v>
      </c>
      <c r="Q89" s="150" t="s">
        <v>5</v>
      </c>
      <c r="R8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474-CAB-11301</v>
      </c>
      <c r="S89" s="157" t="str">
        <f>HYPERLINK("https://www.mouser.com/ProductDetail/" &amp;MouserListTable[[#This Row],[Mouser SKU]])</f>
        <v>https://www.mouser.com/ProductDetail/474-CAB-11301</v>
      </c>
      <c r="T89" s="152">
        <v>1</v>
      </c>
      <c r="U89" s="152">
        <v>0</v>
      </c>
      <c r="V89" s="152">
        <v>0</v>
      </c>
      <c r="W89" s="152">
        <f>MouserListTable[[#This Row],['#/Unit]]*FilterSpecs!$C$3+MouserListTable[[#This Row],[Extra]]</f>
        <v>5</v>
      </c>
      <c r="X89" s="152">
        <f>IF(MouserListTable[[#This Row],[Tag]]=FilterSpecs!$F$7,MouserListTable[[#This Row],['#/Unit]]*MouserListTable[[#This Row],[Price (USD)]],0)</f>
        <v>3.95</v>
      </c>
      <c r="Y89" s="152">
        <f>MouserListTable[[#This Row],[Tot '#]]*MouserListTable[[#This Row],[Price (USD)]]</f>
        <v>19.75</v>
      </c>
      <c r="Z89" s="146"/>
      <c r="AA89" s="29" t="e">
        <f>[1]!nonzeroQtysOfList($F$14, $Q$14, InitialOrderTable2[[#This Row],[Name]], FilterSpecs!$A$7)</f>
        <v>#VALUE!</v>
      </c>
      <c r="AB89" s="29" t="e">
        <f>[1]!nonzeroQtysOfList($F$14, $Q$14, InitialOrderTable2['# Initial], FilterSpecs!$A$7)</f>
        <v>#VALUE!</v>
      </c>
      <c r="AC89" s="29" t="e">
        <f>[1]!nonzeroQtysOfList($F$14, $Q$14, InitialOrderTable2[SKU], FilterSpecs!$A$7)</f>
        <v>#VALUE!</v>
      </c>
      <c r="AJ89" s="146"/>
    </row>
    <row r="90" spans="1:36" s="104" customFormat="1" x14ac:dyDescent="0.25">
      <c r="A90" s="97" t="s">
        <v>887</v>
      </c>
      <c r="B90" s="97" t="s">
        <v>2013</v>
      </c>
      <c r="C90" s="150" t="s">
        <v>5</v>
      </c>
      <c r="D90" s="151" t="str">
        <f>IF(MouserListTable[[#This Row],[Vendor]]=FilterSpecs!$A$8,MouserListTable[[#This Row],[Mouser SKU]], MouserListTable[[#This Row],[Supplier SKU]])</f>
        <v>474-CAB-13243</v>
      </c>
      <c r="E90" s="152">
        <f>MouserListTable[[#This Row],[Tot '#]]-MouserListTable[[#This Row],['# Initial]]</f>
        <v>0</v>
      </c>
      <c r="F90" s="152">
        <f>IF(AND(MouserListTable[[#This Row],[Tag]]&lt;&gt;FilterSpecs!$F$12, MouserListTable[[#This Row],[Tag]]&lt;&gt;FilterSpecs!$F$9), MouserListTable[[#This Row],['#/Unit]]*FilterSpecs!$B$3+MouserListTable[[#This Row],[Extra Initial]],0)</f>
        <v>0</v>
      </c>
      <c r="G90" s="150" t="s">
        <v>2474</v>
      </c>
      <c r="H90" s="150" t="s">
        <v>2475</v>
      </c>
      <c r="I90" s="150" t="s">
        <v>2476</v>
      </c>
      <c r="J90" s="150">
        <v>1</v>
      </c>
      <c r="K90" s="154">
        <v>1.95</v>
      </c>
      <c r="L90" s="150" t="s">
        <v>1897</v>
      </c>
      <c r="M90" s="150"/>
      <c r="N90" s="154">
        <f>MouserListTable[[#This Row],['# Initial]]*MouserListTable[[#This Row],[Price (USD)]]</f>
        <v>0</v>
      </c>
      <c r="O90" s="151" t="s">
        <v>2473</v>
      </c>
      <c r="P90" s="150">
        <f t="shared" si="1"/>
        <v>77</v>
      </c>
      <c r="Q90" s="150" t="s">
        <v>5</v>
      </c>
      <c r="R9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474-CAB-13243</v>
      </c>
      <c r="S90" s="157" t="str">
        <f>HYPERLINK("https://www.mouser.com/ProductDetail/" &amp;MouserListTable[[#This Row],[Mouser SKU]])</f>
        <v>https://www.mouser.com/ProductDetail/474-CAB-13243</v>
      </c>
      <c r="T90" s="152">
        <v>0</v>
      </c>
      <c r="U90" s="152">
        <v>0</v>
      </c>
      <c r="V90" s="152">
        <v>0</v>
      </c>
      <c r="W90" s="152">
        <f>MouserListTable[[#This Row],['#/Unit]]*FilterSpecs!$C$3+MouserListTable[[#This Row],[Extra]]</f>
        <v>0</v>
      </c>
      <c r="X90" s="152">
        <f>IF(MouserListTable[[#This Row],[Tag]]=FilterSpecs!$F$7,MouserListTable[[#This Row],['#/Unit]]*MouserListTable[[#This Row],[Price (USD)]],0)</f>
        <v>0</v>
      </c>
      <c r="Y90" s="152">
        <f>MouserListTable[[#This Row],[Tot '#]]*MouserListTable[[#This Row],[Price (USD)]]</f>
        <v>0</v>
      </c>
      <c r="Z90" s="146"/>
      <c r="AA90" s="29" t="e">
        <f>[1]!nonzeroQtysOfList($F$14, $Q$14, InitialOrderTable2[[#This Row],[Name]], FilterSpecs!$A$7)</f>
        <v>#VALUE!</v>
      </c>
      <c r="AB90" s="29" t="e">
        <f>[1]!nonzeroQtysOfList($F$14, $Q$14, InitialOrderTable2['# Initial], FilterSpecs!$A$7)</f>
        <v>#VALUE!</v>
      </c>
      <c r="AC90" s="29" t="e">
        <f>[1]!nonzeroQtysOfList($F$14, $Q$14, InitialOrderTable2[SKU], FilterSpecs!$A$7)</f>
        <v>#VALUE!</v>
      </c>
      <c r="AJ90" s="146"/>
    </row>
    <row r="91" spans="1:36" s="104" customFormat="1" x14ac:dyDescent="0.25">
      <c r="A91" s="150" t="s">
        <v>887</v>
      </c>
      <c r="B91" s="150" t="s">
        <v>2013</v>
      </c>
      <c r="C91" s="150" t="s">
        <v>5</v>
      </c>
      <c r="D91" s="151" t="str">
        <f>IF(MouserListTable[[#This Row],[Vendor]]=FilterSpecs!$A$8,MouserListTable[[#This Row],[Mouser SKU]], MouserListTable[[#This Row],[Supplier SKU]])</f>
        <v>474-CAB-10177</v>
      </c>
      <c r="E91" s="152">
        <f>MouserListTable[[#This Row],[Tot '#]]-MouserListTable[[#This Row],['# Initial]]</f>
        <v>1</v>
      </c>
      <c r="F91" s="152">
        <f>IF(AND(MouserListTable[[#This Row],[Tag]]&lt;&gt;FilterSpecs!$F$12, MouserListTable[[#This Row],[Tag]]&lt;&gt;FilterSpecs!$F$9), MouserListTable[[#This Row],['#/Unit]]*FilterSpecs!$B$3+MouserListTable[[#This Row],[Extra Initial]],0)</f>
        <v>0</v>
      </c>
      <c r="G91" s="150" t="s">
        <v>2478</v>
      </c>
      <c r="H91" s="150" t="s">
        <v>2479</v>
      </c>
      <c r="I91" s="150" t="s">
        <v>2480</v>
      </c>
      <c r="J91" s="150">
        <v>1</v>
      </c>
      <c r="K91" s="154">
        <v>2.95</v>
      </c>
      <c r="L91" s="150" t="s">
        <v>1896</v>
      </c>
      <c r="M91" s="150"/>
      <c r="N91" s="154">
        <f>MouserListTable[[#This Row],['# Initial]]*MouserListTable[[#This Row],[Price (USD)]]</f>
        <v>0</v>
      </c>
      <c r="O91" s="151" t="s">
        <v>2477</v>
      </c>
      <c r="P91" s="150">
        <f t="shared" si="1"/>
        <v>78</v>
      </c>
      <c r="Q91" s="150" t="s">
        <v>5</v>
      </c>
      <c r="R9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474-CAB-10177</v>
      </c>
      <c r="S91" s="157" t="str">
        <f>HYPERLINK("https://www.mouser.com/ProductDetail/" &amp;MouserListTable[[#This Row],[Mouser SKU]])</f>
        <v>https://www.mouser.com/ProductDetail/474-CAB-10177</v>
      </c>
      <c r="T91" s="152">
        <v>0</v>
      </c>
      <c r="U91" s="152">
        <v>1</v>
      </c>
      <c r="V91" s="152">
        <v>0</v>
      </c>
      <c r="W91" s="152">
        <f>MouserListTable[[#This Row],['#/Unit]]*FilterSpecs!$C$3+MouserListTable[[#This Row],[Extra]]</f>
        <v>1</v>
      </c>
      <c r="X91" s="152">
        <f>IF(MouserListTable[[#This Row],[Tag]]=FilterSpecs!$F$7,MouserListTable[[#This Row],['#/Unit]]*MouserListTable[[#This Row],[Price (USD)]],0)</f>
        <v>0</v>
      </c>
      <c r="Y91" s="152">
        <f>MouserListTable[[#This Row],[Tot '#]]*MouserListTable[[#This Row],[Price (USD)]]</f>
        <v>2.95</v>
      </c>
      <c r="Z91" s="146"/>
      <c r="AA91" s="29" t="e">
        <f>[1]!nonzeroQtysOfList($F$14, $Q$14, InitialOrderTable2[[#This Row],[Name]], FilterSpecs!$A$7)</f>
        <v>#VALUE!</v>
      </c>
      <c r="AB91" s="29" t="e">
        <f>[1]!nonzeroQtysOfList($F$14, $Q$14, InitialOrderTable2['# Initial], FilterSpecs!$A$7)</f>
        <v>#VALUE!</v>
      </c>
      <c r="AC91" s="29" t="e">
        <f>[1]!nonzeroQtysOfList($F$14, $Q$14, InitialOrderTable2[SKU], FilterSpecs!$A$7)</f>
        <v>#VALUE!</v>
      </c>
      <c r="AJ91" s="146"/>
    </row>
    <row r="92" spans="1:36" s="153" customFormat="1" x14ac:dyDescent="0.25">
      <c r="A92" s="150" t="s">
        <v>887</v>
      </c>
      <c r="B92" s="150" t="s">
        <v>2013</v>
      </c>
      <c r="C92" s="150" t="s">
        <v>5</v>
      </c>
      <c r="D92" s="151" t="str">
        <f>IF(MouserListTable[[#This Row],[Vendor]]=FilterSpecs!$A$8,MouserListTable[[#This Row],[Mouser SKU]], MouserListTable[[#This Row],[Supplier SKU]])</f>
        <v>474-CAB-10215</v>
      </c>
      <c r="E92" s="152">
        <f>MouserListTable[[#This Row],[Tot '#]]-MouserListTable[[#This Row],['# Initial]]</f>
        <v>0</v>
      </c>
      <c r="F92" s="152">
        <f>IF(AND(MouserListTable[[#This Row],[Tag]]&lt;&gt;FilterSpecs!$F$12, MouserListTable[[#This Row],[Tag]]&lt;&gt;FilterSpecs!$F$9), MouserListTable[[#This Row],['#/Unit]]*FilterSpecs!$B$3+MouserListTable[[#This Row],[Extra Initial]],0)</f>
        <v>5</v>
      </c>
      <c r="G92" s="150" t="s">
        <v>1494</v>
      </c>
      <c r="H92" s="150" t="s">
        <v>1495</v>
      </c>
      <c r="I92" s="150" t="s">
        <v>1496</v>
      </c>
      <c r="J92" s="150">
        <v>1</v>
      </c>
      <c r="K92" s="154">
        <v>4.95</v>
      </c>
      <c r="L92" s="150" t="s">
        <v>1897</v>
      </c>
      <c r="M92" s="150"/>
      <c r="N92" s="154">
        <f>MouserListTable[[#This Row],['# Initial]]*MouserListTable[[#This Row],[Price (USD)]]</f>
        <v>24.75</v>
      </c>
      <c r="O92" s="151" t="s">
        <v>1493</v>
      </c>
      <c r="P92" s="150">
        <f t="shared" si="1"/>
        <v>79</v>
      </c>
      <c r="Q92" s="150" t="s">
        <v>5</v>
      </c>
      <c r="R9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474-CAB-10215</v>
      </c>
      <c r="S92" s="157" t="str">
        <f>HYPERLINK("https://www.mouser.com/ProductDetail/" &amp;MouserListTable[[#This Row],[Mouser SKU]])</f>
        <v>https://www.mouser.com/ProductDetail/474-CAB-10215</v>
      </c>
      <c r="T92" s="152">
        <v>1</v>
      </c>
      <c r="U92" s="152">
        <v>0</v>
      </c>
      <c r="V92" s="152">
        <v>0</v>
      </c>
      <c r="W92" s="152">
        <f>MouserListTable[[#This Row],['#/Unit]]*FilterSpecs!$C$3+MouserListTable[[#This Row],[Extra]]</f>
        <v>5</v>
      </c>
      <c r="X92" s="152">
        <f>IF(MouserListTable[[#This Row],[Tag]]=FilterSpecs!$F$7,MouserListTable[[#This Row],['#/Unit]]*MouserListTable[[#This Row],[Price (USD)]],0)</f>
        <v>4.95</v>
      </c>
      <c r="Y92" s="152">
        <f>MouserListTable[[#This Row],[Tot '#]]*MouserListTable[[#This Row],[Price (USD)]]</f>
        <v>24.75</v>
      </c>
      <c r="Z92" s="146"/>
      <c r="AA92" s="29" t="e">
        <f>[1]!nonzeroQtysOfList($F$14, $Q$14, InitialOrderTable2[[#This Row],[Name]], FilterSpecs!$A$7)</f>
        <v>#VALUE!</v>
      </c>
      <c r="AB92" s="29" t="e">
        <f>[1]!nonzeroQtysOfList($F$14, $Q$14, InitialOrderTable2['# Initial], FilterSpecs!$A$7)</f>
        <v>#VALUE!</v>
      </c>
      <c r="AC92" s="29" t="e">
        <f>[1]!nonzeroQtysOfList($F$14, $Q$14, InitialOrderTable2[SKU], FilterSpecs!$A$7)</f>
        <v>#VALUE!</v>
      </c>
      <c r="AJ92" s="146"/>
    </row>
    <row r="93" spans="1:36" s="153" customFormat="1" ht="15.6" customHeight="1" x14ac:dyDescent="0.25">
      <c r="A93" s="97" t="s">
        <v>887</v>
      </c>
      <c r="B93" s="97" t="s">
        <v>2013</v>
      </c>
      <c r="C93" s="150" t="s">
        <v>5</v>
      </c>
      <c r="D93" s="151" t="str">
        <f>IF(MouserListTable[[#This Row],[Vendor]]=FilterSpecs!$A$8,MouserListTable[[#This Row],[Mouser SKU]], MouserListTable[[#This Row],[Supplier SKU]])</f>
        <v>474-CAB-13244</v>
      </c>
      <c r="E93" s="152">
        <f>MouserListTable[[#This Row],[Tot '#]]-MouserListTable[[#This Row],['# Initial]]</f>
        <v>0</v>
      </c>
      <c r="F93" s="152">
        <f>IF(AND(MouserListTable[[#This Row],[Tag]]&lt;&gt;FilterSpecs!$F$12, MouserListTable[[#This Row],[Tag]]&lt;&gt;FilterSpecs!$F$9), MouserListTable[[#This Row],['#/Unit]]*FilterSpecs!$B$3+MouserListTable[[#This Row],[Extra Initial]],0)</f>
        <v>0</v>
      </c>
      <c r="G93" s="150" t="s">
        <v>1498</v>
      </c>
      <c r="H93" s="150" t="s">
        <v>1499</v>
      </c>
      <c r="I93" s="150" t="s">
        <v>1500</v>
      </c>
      <c r="J93" s="150">
        <v>1</v>
      </c>
      <c r="K93" s="154">
        <v>1.95</v>
      </c>
      <c r="L93" s="150" t="s">
        <v>1896</v>
      </c>
      <c r="M93" s="150"/>
      <c r="N93" s="154">
        <f>MouserListTable[[#This Row],['# Initial]]*MouserListTable[[#This Row],[Price (USD)]]</f>
        <v>0</v>
      </c>
      <c r="O93" s="151" t="s">
        <v>1497</v>
      </c>
      <c r="P93" s="150">
        <f t="shared" si="1"/>
        <v>80</v>
      </c>
      <c r="Q93" s="150" t="s">
        <v>5</v>
      </c>
      <c r="R9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474-CAB-13244</v>
      </c>
      <c r="S93" s="157" t="str">
        <f>HYPERLINK("https://www.mouser.com/ProductDetail/" &amp;MouserListTable[[#This Row],[Mouser SKU]])</f>
        <v>https://www.mouser.com/ProductDetail/474-CAB-13244</v>
      </c>
      <c r="T93" s="152">
        <v>0</v>
      </c>
      <c r="U93" s="152">
        <v>0</v>
      </c>
      <c r="V93" s="152">
        <v>0</v>
      </c>
      <c r="W93" s="152">
        <f>MouserListTable[[#This Row],['#/Unit]]*FilterSpecs!$C$3+MouserListTable[[#This Row],[Extra]]</f>
        <v>0</v>
      </c>
      <c r="X93" s="152">
        <f>IF(MouserListTable[[#This Row],[Tag]]=FilterSpecs!$F$7,MouserListTable[[#This Row],['#/Unit]]*MouserListTable[[#This Row],[Price (USD)]],0)</f>
        <v>0</v>
      </c>
      <c r="Y93" s="152">
        <f>MouserListTable[[#This Row],[Tot '#]]*MouserListTable[[#This Row],[Price (USD)]]</f>
        <v>0</v>
      </c>
      <c r="Z93" s="146"/>
      <c r="AA93" s="29" t="e">
        <f>[1]!nonzeroQtysOfList($F$14, $Q$14, InitialOrderTable2[[#This Row],[Name]], FilterSpecs!$A$7)</f>
        <v>#VALUE!</v>
      </c>
      <c r="AB93" s="29" t="e">
        <f>[1]!nonzeroQtysOfList($F$14, $Q$14, InitialOrderTable2['# Initial], FilterSpecs!$A$7)</f>
        <v>#VALUE!</v>
      </c>
      <c r="AC93" s="29" t="e">
        <f>[1]!nonzeroQtysOfList($F$14, $Q$14, InitialOrderTable2[SKU], FilterSpecs!$A$7)</f>
        <v>#VALUE!</v>
      </c>
      <c r="AJ93" s="146"/>
    </row>
    <row r="94" spans="1:36" s="153" customFormat="1" x14ac:dyDescent="0.25">
      <c r="A94" s="150" t="s">
        <v>887</v>
      </c>
      <c r="B94" s="150" t="s">
        <v>2013</v>
      </c>
      <c r="C94" s="150" t="s">
        <v>5</v>
      </c>
      <c r="D94" s="151" t="str">
        <f>IF(MouserListTable[[#This Row],[Vendor]]=FilterSpecs!$A$8,MouserListTable[[#This Row],[Mouser SKU]], MouserListTable[[#This Row],[Supplier SKU]])</f>
        <v>474-CAB-11579</v>
      </c>
      <c r="E94" s="152">
        <f>MouserListTable[[#This Row],[Tot '#]]-MouserListTable[[#This Row],['# Initial]]</f>
        <v>1</v>
      </c>
      <c r="F94" s="152">
        <f>IF(AND(MouserListTable[[#This Row],[Tag]]&lt;&gt;FilterSpecs!$F$12, MouserListTable[[#This Row],[Tag]]&lt;&gt;FilterSpecs!$F$9), MouserListTable[[#This Row],['#/Unit]]*FilterSpecs!$B$3+MouserListTable[[#This Row],[Extra Initial]],0)</f>
        <v>0</v>
      </c>
      <c r="G94" s="150" t="s">
        <v>242</v>
      </c>
      <c r="H94" s="150" t="s">
        <v>243</v>
      </c>
      <c r="I94" s="150" t="s">
        <v>244</v>
      </c>
      <c r="J94" s="153">
        <v>1</v>
      </c>
      <c r="K94" s="154">
        <v>4.95</v>
      </c>
      <c r="L94" s="150" t="s">
        <v>1896</v>
      </c>
      <c r="M94" s="151"/>
      <c r="N94" s="154">
        <f>MouserListTable[[#This Row],['# Initial]]*MouserListTable[[#This Row],[Price (USD)]]</f>
        <v>0</v>
      </c>
      <c r="O94" s="151" t="s">
        <v>241</v>
      </c>
      <c r="P94" s="150">
        <f t="shared" si="1"/>
        <v>81</v>
      </c>
      <c r="Q94" s="150" t="s">
        <v>5</v>
      </c>
      <c r="R9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474-CAB-11579</v>
      </c>
      <c r="S94" s="157" t="str">
        <f>HYPERLINK("https://www.mouser.com/ProductDetail/" &amp;MouserListTable[[#This Row],[Mouser SKU]])</f>
        <v>https://www.mouser.com/ProductDetail/474-CAB-11579</v>
      </c>
      <c r="T94" s="152">
        <v>0</v>
      </c>
      <c r="U94" s="152">
        <v>1</v>
      </c>
      <c r="V94" s="152">
        <v>0</v>
      </c>
      <c r="W94" s="152">
        <f>MouserListTable[[#This Row],['#/Unit]]*FilterSpecs!$C$3+MouserListTable[[#This Row],[Extra]]</f>
        <v>1</v>
      </c>
      <c r="X94" s="152">
        <f>IF(MouserListTable[[#This Row],[Tag]]=FilterSpecs!$F$7,MouserListTable[[#This Row],['#/Unit]]*MouserListTable[[#This Row],[Price (USD)]],0)</f>
        <v>0</v>
      </c>
      <c r="Y94" s="152">
        <f>MouserListTable[[#This Row],[Tot '#]]*MouserListTable[[#This Row],[Price (USD)]]</f>
        <v>4.95</v>
      </c>
      <c r="Z94" s="146"/>
      <c r="AA94" s="29" t="e">
        <f>[1]!nonzeroQtysOfList($F$14, $Q$14, InitialOrderTable2[[#This Row],[Name]], FilterSpecs!$A$7)</f>
        <v>#VALUE!</v>
      </c>
      <c r="AB94" s="29" t="e">
        <f>[1]!nonzeroQtysOfList($F$14, $Q$14, InitialOrderTable2['# Initial], FilterSpecs!$A$7)</f>
        <v>#VALUE!</v>
      </c>
      <c r="AC94" s="29" t="e">
        <f>[1]!nonzeroQtysOfList($F$14, $Q$14, InitialOrderTable2[SKU], FilterSpecs!$A$7)</f>
        <v>#VALUE!</v>
      </c>
      <c r="AJ94" s="146"/>
    </row>
    <row r="95" spans="1:36" s="153" customFormat="1" x14ac:dyDescent="0.25">
      <c r="A95" s="150" t="s">
        <v>887</v>
      </c>
      <c r="B95" s="150" t="s">
        <v>2039</v>
      </c>
      <c r="C95" s="150" t="s">
        <v>1884</v>
      </c>
      <c r="D95" s="151" t="str">
        <f>IF(MouserListTable[[#This Row],[Vendor]]=FilterSpecs!$A$8,MouserListTable[[#This Row],[Mouser SKU]], MouserListTable[[#This Row],[Supplier SKU]])</f>
        <v>485-2727</v>
      </c>
      <c r="E95" s="152">
        <f>MouserListTable[[#This Row],[Tot '#]]-MouserListTable[[#This Row],['# Initial]]</f>
        <v>0</v>
      </c>
      <c r="F95" s="152">
        <f>IF(AND(MouserListTable[[#This Row],[Tag]]&lt;&gt;FilterSpecs!$F$12, MouserListTable[[#This Row],[Tag]]&lt;&gt;FilterSpecs!$F$9), MouserListTable[[#This Row],['#/Unit]]*FilterSpecs!$B$3+MouserListTable[[#This Row],[Extra Initial]],0)</f>
        <v>0</v>
      </c>
      <c r="G95" s="150"/>
      <c r="H95" s="150"/>
      <c r="I95" s="150" t="s">
        <v>2277</v>
      </c>
      <c r="K95" s="118">
        <v>1.95</v>
      </c>
      <c r="L95" s="97" t="s">
        <v>1896</v>
      </c>
      <c r="N95" s="154">
        <f>MouserListTable[[#This Row],['# Initial]]*MouserListTable[[#This Row],[Price (USD)]]</f>
        <v>0</v>
      </c>
      <c r="O95" s="151" t="s">
        <v>2276</v>
      </c>
      <c r="P95" s="150">
        <f t="shared" si="1"/>
        <v>82</v>
      </c>
      <c r="Q95" s="150" t="s">
        <v>1884</v>
      </c>
      <c r="R9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485-2727</v>
      </c>
      <c r="S95" s="157" t="str">
        <f>HYPERLINK("https://www.mouser.com/ProductDetail/" &amp;MouserListTable[[#This Row],[Mouser SKU]])</f>
        <v>https://www.mouser.com/ProductDetail/485-2727</v>
      </c>
      <c r="T95" s="152">
        <v>0</v>
      </c>
      <c r="U95" s="152">
        <v>0</v>
      </c>
      <c r="V95" s="152">
        <v>0</v>
      </c>
      <c r="W95" s="152">
        <f>MouserListTable[[#This Row],['#/Unit]]*FilterSpecs!$C$3+MouserListTable[[#This Row],[Extra]]</f>
        <v>0</v>
      </c>
      <c r="X95" s="152">
        <f>IF(MouserListTable[[#This Row],[Tag]]=FilterSpecs!$F$7,MouserListTable[[#This Row],['#/Unit]]*MouserListTable[[#This Row],[Price (USD)]],0)</f>
        <v>0</v>
      </c>
      <c r="Y95" s="152">
        <f>MouserListTable[[#This Row],[Tot '#]]*MouserListTable[[#This Row],[Price (USD)]]</f>
        <v>0</v>
      </c>
      <c r="Z95" s="146"/>
      <c r="AA95" s="29" t="e">
        <f>[1]!nonzeroQtysOfList($F$14, $Q$14, InitialOrderTable2[[#This Row],[Name]], FilterSpecs!$A$7)</f>
        <v>#VALUE!</v>
      </c>
      <c r="AB95" s="29" t="e">
        <f>[1]!nonzeroQtysOfList($F$14, $Q$14, InitialOrderTable2['# Initial], FilterSpecs!$A$7)</f>
        <v>#VALUE!</v>
      </c>
      <c r="AC95" s="29" t="e">
        <f>[1]!nonzeroQtysOfList($F$14, $Q$14, InitialOrderTable2[SKU], FilterSpecs!$A$7)</f>
        <v>#VALUE!</v>
      </c>
      <c r="AJ95" s="146"/>
    </row>
    <row r="96" spans="1:36" s="153" customFormat="1" x14ac:dyDescent="0.25">
      <c r="A96" s="150" t="s">
        <v>887</v>
      </c>
      <c r="B96" s="150" t="s">
        <v>2039</v>
      </c>
      <c r="C96" s="150" t="s">
        <v>1884</v>
      </c>
      <c r="D96" s="151" t="str">
        <f>IF(MouserListTable[[#This Row],[Vendor]]=FilterSpecs!$A$8,MouserListTable[[#This Row],[Mouser SKU]], MouserListTable[[#This Row],[Supplier SKU]])</f>
        <v>485-988</v>
      </c>
      <c r="E96" s="152">
        <f>MouserListTable[[#This Row],[Tot '#]]-MouserListTable[[#This Row],['# Initial]]</f>
        <v>0</v>
      </c>
      <c r="F96" s="152">
        <f>IF(AND(MouserListTable[[#This Row],[Tag]]&lt;&gt;FilterSpecs!$F$12, MouserListTable[[#This Row],[Tag]]&lt;&gt;FilterSpecs!$F$9), MouserListTable[[#This Row],['#/Unit]]*FilterSpecs!$B$3+MouserListTable[[#This Row],[Extra Initial]],0)</f>
        <v>0</v>
      </c>
      <c r="G96" s="150"/>
      <c r="H96" s="150"/>
      <c r="I96" s="150" t="s">
        <v>2279</v>
      </c>
      <c r="K96" s="118">
        <v>2.95</v>
      </c>
      <c r="L96" s="97" t="s">
        <v>1896</v>
      </c>
      <c r="N96" s="154">
        <f>MouserListTable[[#This Row],['# Initial]]*MouserListTable[[#This Row],[Price (USD)]]</f>
        <v>0</v>
      </c>
      <c r="O96" s="151" t="s">
        <v>2278</v>
      </c>
      <c r="P96" s="150">
        <f t="shared" si="1"/>
        <v>83</v>
      </c>
      <c r="Q96" s="150" t="s">
        <v>1884</v>
      </c>
      <c r="R9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485-988</v>
      </c>
      <c r="S96" s="157" t="str">
        <f>HYPERLINK("https://www.mouser.com/ProductDetail/" &amp;MouserListTable[[#This Row],[Mouser SKU]])</f>
        <v>https://www.mouser.com/ProductDetail/485-988</v>
      </c>
      <c r="T96" s="152">
        <v>0</v>
      </c>
      <c r="U96" s="152">
        <v>0</v>
      </c>
      <c r="V96" s="152">
        <v>0</v>
      </c>
      <c r="W96" s="152">
        <f>MouserListTable[[#This Row],['#/Unit]]*FilterSpecs!$C$3+MouserListTable[[#This Row],[Extra]]</f>
        <v>0</v>
      </c>
      <c r="X96" s="152">
        <f>IF(MouserListTable[[#This Row],[Tag]]=FilterSpecs!$F$7,MouserListTable[[#This Row],['#/Unit]]*MouserListTable[[#This Row],[Price (USD)]],0)</f>
        <v>0</v>
      </c>
      <c r="Y96" s="152">
        <f>MouserListTable[[#This Row],[Tot '#]]*MouserListTable[[#This Row],[Price (USD)]]</f>
        <v>0</v>
      </c>
      <c r="Z96" s="146"/>
      <c r="AA96" s="29" t="e">
        <f>[1]!nonzeroQtysOfList($F$14, $Q$14, InitialOrderTable2[[#This Row],[Name]], FilterSpecs!$A$7)</f>
        <v>#VALUE!</v>
      </c>
      <c r="AB96" s="29" t="e">
        <f>[1]!nonzeroQtysOfList($F$14, $Q$14, InitialOrderTable2['# Initial], FilterSpecs!$A$7)</f>
        <v>#VALUE!</v>
      </c>
      <c r="AC96" s="29" t="e">
        <f>[1]!nonzeroQtysOfList($F$14, $Q$14, InitialOrderTable2[SKU], FilterSpecs!$A$7)</f>
        <v>#VALUE!</v>
      </c>
      <c r="AJ96" s="146"/>
    </row>
    <row r="97" spans="1:36" s="153" customFormat="1" x14ac:dyDescent="0.25">
      <c r="A97" s="150" t="s">
        <v>887</v>
      </c>
      <c r="B97" s="150" t="s">
        <v>2039</v>
      </c>
      <c r="C97" s="150" t="s">
        <v>1884</v>
      </c>
      <c r="D97" s="151" t="str">
        <f>IF(MouserListTable[[#This Row],[Vendor]]=FilterSpecs!$A$8,MouserListTable[[#This Row],[Mouser SKU]], MouserListTable[[#This Row],[Supplier SKU]])</f>
        <v>485-2778</v>
      </c>
      <c r="E97" s="152">
        <f>MouserListTable[[#This Row],[Tot '#]]-MouserListTable[[#This Row],['# Initial]]</f>
        <v>2</v>
      </c>
      <c r="F97" s="152">
        <f>IF(AND(MouserListTable[[#This Row],[Tag]]&lt;&gt;FilterSpecs!$F$12, MouserListTable[[#This Row],[Tag]]&lt;&gt;FilterSpecs!$F$9), MouserListTable[[#This Row],['#/Unit]]*FilterSpecs!$B$3+MouserListTable[[#This Row],[Extra Initial]],0)</f>
        <v>0</v>
      </c>
      <c r="G97" s="150"/>
      <c r="H97" s="150"/>
      <c r="I97" s="150" t="s">
        <v>2281</v>
      </c>
      <c r="K97" s="154">
        <v>6.5</v>
      </c>
      <c r="L97" s="150" t="s">
        <v>1896</v>
      </c>
      <c r="M97" s="151"/>
      <c r="N97" s="154">
        <f>MouserListTable[[#This Row],['# Initial]]*MouserListTable[[#This Row],[Price (USD)]]</f>
        <v>0</v>
      </c>
      <c r="O97" s="151" t="s">
        <v>2280</v>
      </c>
      <c r="P97" s="150">
        <f t="shared" si="1"/>
        <v>84</v>
      </c>
      <c r="Q97" s="150" t="s">
        <v>1884</v>
      </c>
      <c r="R9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485-2778</v>
      </c>
      <c r="S97" s="157" t="str">
        <f>HYPERLINK("https://www.mouser.com/ProductDetail/" &amp;MouserListTable[[#This Row],[Mouser SKU]])</f>
        <v>https://www.mouser.com/ProductDetail/485-2778</v>
      </c>
      <c r="T97" s="152">
        <v>0</v>
      </c>
      <c r="U97" s="152">
        <v>2</v>
      </c>
      <c r="V97" s="152">
        <v>0</v>
      </c>
      <c r="W97" s="152">
        <f>MouserListTable[[#This Row],['#/Unit]]*FilterSpecs!$C$3+MouserListTable[[#This Row],[Extra]]</f>
        <v>2</v>
      </c>
      <c r="X97" s="152">
        <f>IF(MouserListTable[[#This Row],[Tag]]=FilterSpecs!$F$7,MouserListTable[[#This Row],['#/Unit]]*MouserListTable[[#This Row],[Price (USD)]],0)</f>
        <v>0</v>
      </c>
      <c r="Y97" s="152">
        <f>MouserListTable[[#This Row],[Tot '#]]*MouserListTable[[#This Row],[Price (USD)]]</f>
        <v>13</v>
      </c>
      <c r="Z97" s="146"/>
      <c r="AA97" s="29" t="e">
        <f>[1]!nonzeroQtysOfList($F$14, $Q$14, InitialOrderTable2[[#This Row],[Name]], FilterSpecs!$A$7)</f>
        <v>#VALUE!</v>
      </c>
      <c r="AB97" s="29" t="e">
        <f>[1]!nonzeroQtysOfList($F$14, $Q$14, InitialOrderTable2['# Initial], FilterSpecs!$A$7)</f>
        <v>#VALUE!</v>
      </c>
      <c r="AC97" s="29" t="e">
        <f>[1]!nonzeroQtysOfList($F$14, $Q$14, InitialOrderTable2[SKU], FilterSpecs!$A$7)</f>
        <v>#VALUE!</v>
      </c>
      <c r="AJ97" s="146"/>
    </row>
    <row r="98" spans="1:36" s="104" customFormat="1" x14ac:dyDescent="0.25">
      <c r="A98" s="150" t="s">
        <v>887</v>
      </c>
      <c r="B98" s="150" t="s">
        <v>2039</v>
      </c>
      <c r="C98" s="150" t="s">
        <v>1884</v>
      </c>
      <c r="D98" s="151" t="str">
        <f>IF(MouserListTable[[#This Row],[Vendor]]=FilterSpecs!$A$8,MouserListTable[[#This Row],[Mouser SKU]], MouserListTable[[#This Row],[Supplier SKU]])</f>
        <v>485-2777</v>
      </c>
      <c r="E98" s="152">
        <f>MouserListTable[[#This Row],[Tot '#]]-MouserListTable[[#This Row],['# Initial]]</f>
        <v>0</v>
      </c>
      <c r="F98" s="152">
        <f>IF(AND(MouserListTable[[#This Row],[Tag]]&lt;&gt;FilterSpecs!$F$12, MouserListTable[[#This Row],[Tag]]&lt;&gt;FilterSpecs!$F$9), MouserListTable[[#This Row],['#/Unit]]*FilterSpecs!$B$3+MouserListTable[[#This Row],[Extra Initial]],0)</f>
        <v>0</v>
      </c>
      <c r="G98" s="150"/>
      <c r="H98" s="150"/>
      <c r="I98" s="150" t="s">
        <v>2283</v>
      </c>
      <c r="J98" s="153"/>
      <c r="K98" s="118">
        <v>6.5</v>
      </c>
      <c r="L98" s="97" t="s">
        <v>1896</v>
      </c>
      <c r="M98" s="153"/>
      <c r="N98" s="154">
        <f>MouserListTable[[#This Row],['# Initial]]*MouserListTable[[#This Row],[Price (USD)]]</f>
        <v>0</v>
      </c>
      <c r="O98" s="151" t="s">
        <v>2282</v>
      </c>
      <c r="P98" s="150">
        <f t="shared" si="1"/>
        <v>85</v>
      </c>
      <c r="Q98" s="150" t="s">
        <v>1884</v>
      </c>
      <c r="R9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485-2777</v>
      </c>
      <c r="S98" s="157" t="str">
        <f>HYPERLINK("https://www.mouser.com/ProductDetail/" &amp;MouserListTable[[#This Row],[Mouser SKU]])</f>
        <v>https://www.mouser.com/ProductDetail/485-2777</v>
      </c>
      <c r="T98" s="152">
        <v>0</v>
      </c>
      <c r="U98" s="152">
        <v>0</v>
      </c>
      <c r="V98" s="152">
        <v>0</v>
      </c>
      <c r="W98" s="152">
        <f>MouserListTable[[#This Row],['#/Unit]]*FilterSpecs!$C$3+MouserListTable[[#This Row],[Extra]]</f>
        <v>0</v>
      </c>
      <c r="X98" s="152">
        <f>IF(MouserListTable[[#This Row],[Tag]]=FilterSpecs!$F$7,MouserListTable[[#This Row],['#/Unit]]*MouserListTable[[#This Row],[Price (USD)]],0)</f>
        <v>0</v>
      </c>
      <c r="Y98" s="152">
        <f>MouserListTable[[#This Row],[Tot '#]]*MouserListTable[[#This Row],[Price (USD)]]</f>
        <v>0</v>
      </c>
      <c r="Z98" s="146"/>
      <c r="AA98" s="29" t="e">
        <f>[1]!nonzeroQtysOfList($F$14, $Q$14, InitialOrderTable2[[#This Row],[Name]], FilterSpecs!$A$7)</f>
        <v>#VALUE!</v>
      </c>
      <c r="AB98" s="29" t="e">
        <f>[1]!nonzeroQtysOfList($F$14, $Q$14, InitialOrderTable2['# Initial], FilterSpecs!$A$7)</f>
        <v>#VALUE!</v>
      </c>
      <c r="AC98" s="29" t="e">
        <f>[1]!nonzeroQtysOfList($F$14, $Q$14, InitialOrderTable2[SKU], FilterSpecs!$A$7)</f>
        <v>#VALUE!</v>
      </c>
      <c r="AJ98" s="146"/>
    </row>
    <row r="99" spans="1:36" s="104" customFormat="1" x14ac:dyDescent="0.25">
      <c r="A99" s="150" t="s">
        <v>887</v>
      </c>
      <c r="B99" s="150" t="s">
        <v>2039</v>
      </c>
      <c r="C99" s="150" t="s">
        <v>1884</v>
      </c>
      <c r="D99" s="151" t="str">
        <f>IF(MouserListTable[[#This Row],[Vendor]]=FilterSpecs!$A$8,MouserListTable[[#This Row],[Mouser SKU]], MouserListTable[[#This Row],[Supplier SKU]])</f>
        <v>485-2697</v>
      </c>
      <c r="E99" s="152">
        <f>MouserListTable[[#This Row],[Tot '#]]-MouserListTable[[#This Row],['# Initial]]</f>
        <v>0</v>
      </c>
      <c r="F99" s="152">
        <f>IF(AND(MouserListTable[[#This Row],[Tag]]&lt;&gt;FilterSpecs!$F$12, MouserListTable[[#This Row],[Tag]]&lt;&gt;FilterSpecs!$F$9), MouserListTable[[#This Row],['#/Unit]]*FilterSpecs!$B$3+MouserListTable[[#This Row],[Extra Initial]],0)</f>
        <v>0</v>
      </c>
      <c r="G99" s="150"/>
      <c r="H99" s="150"/>
      <c r="I99" s="150" t="s">
        <v>2285</v>
      </c>
      <c r="J99" s="153"/>
      <c r="K99" s="118">
        <v>2.75</v>
      </c>
      <c r="L99" s="97" t="s">
        <v>1896</v>
      </c>
      <c r="M99" s="153"/>
      <c r="N99" s="154">
        <f>MouserListTable[[#This Row],['# Initial]]*MouserListTable[[#This Row],[Price (USD)]]</f>
        <v>0</v>
      </c>
      <c r="O99" s="151" t="s">
        <v>2284</v>
      </c>
      <c r="P99" s="150">
        <f t="shared" si="1"/>
        <v>86</v>
      </c>
      <c r="Q99" s="150" t="s">
        <v>1884</v>
      </c>
      <c r="R9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485-2697</v>
      </c>
      <c r="S99" s="157" t="str">
        <f>HYPERLINK("https://www.mouser.com/ProductDetail/" &amp;MouserListTable[[#This Row],[Mouser SKU]])</f>
        <v>https://www.mouser.com/ProductDetail/485-2697</v>
      </c>
      <c r="T99" s="152">
        <v>0</v>
      </c>
      <c r="U99" s="152">
        <v>0</v>
      </c>
      <c r="V99" s="152">
        <v>0</v>
      </c>
      <c r="W99" s="152">
        <f>MouserListTable[[#This Row],['#/Unit]]*FilterSpecs!$C$3+MouserListTable[[#This Row],[Extra]]</f>
        <v>0</v>
      </c>
      <c r="X99" s="152">
        <f>IF(MouserListTable[[#This Row],[Tag]]=FilterSpecs!$F$7,MouserListTable[[#This Row],['#/Unit]]*MouserListTable[[#This Row],[Price (USD)]],0)</f>
        <v>0</v>
      </c>
      <c r="Y99" s="152">
        <f>MouserListTable[[#This Row],[Tot '#]]*MouserListTable[[#This Row],[Price (USD)]]</f>
        <v>0</v>
      </c>
      <c r="Z99" s="146"/>
      <c r="AA99" s="29" t="e">
        <f>[1]!nonzeroQtysOfList($F$14, $Q$14, InitialOrderTable2[[#This Row],[Name]], FilterSpecs!$A$7)</f>
        <v>#VALUE!</v>
      </c>
      <c r="AB99" s="29" t="e">
        <f>[1]!nonzeroQtysOfList($F$14, $Q$14, InitialOrderTable2['# Initial], FilterSpecs!$A$7)</f>
        <v>#VALUE!</v>
      </c>
      <c r="AC99" s="29" t="e">
        <f>[1]!nonzeroQtysOfList($F$14, $Q$14, InitialOrderTable2[SKU], FilterSpecs!$A$7)</f>
        <v>#VALUE!</v>
      </c>
      <c r="AJ99" s="146"/>
    </row>
    <row r="100" spans="1:36" s="104" customFormat="1" x14ac:dyDescent="0.25">
      <c r="A100" s="150" t="s">
        <v>887</v>
      </c>
      <c r="B100" s="150" t="s">
        <v>2039</v>
      </c>
      <c r="C100" s="150" t="s">
        <v>1884</v>
      </c>
      <c r="D100" s="151" t="str">
        <f>IF(MouserListTable[[#This Row],[Vendor]]=FilterSpecs!$A$8,MouserListTable[[#This Row],[Mouser SKU]], MouserListTable[[#This Row],[Supplier SKU]])</f>
        <v>485-2789</v>
      </c>
      <c r="E100" s="152">
        <f>MouserListTable[[#This Row],[Tot '#]]-MouserListTable[[#This Row],['# Initial]]</f>
        <v>0</v>
      </c>
      <c r="F100" s="152">
        <f>IF(AND(MouserListTable[[#This Row],[Tag]]&lt;&gt;FilterSpecs!$F$12, MouserListTable[[#This Row],[Tag]]&lt;&gt;FilterSpecs!$F$9), MouserListTable[[#This Row],['#/Unit]]*FilterSpecs!$B$3+MouserListTable[[#This Row],[Extra Initial]],0)</f>
        <v>5</v>
      </c>
      <c r="G100" s="150"/>
      <c r="H100" s="150"/>
      <c r="I100" s="150" t="s">
        <v>2287</v>
      </c>
      <c r="J100" s="153"/>
      <c r="K100" s="154">
        <v>1.95</v>
      </c>
      <c r="L100" s="150" t="s">
        <v>1897</v>
      </c>
      <c r="M100" s="151"/>
      <c r="N100" s="154">
        <f>MouserListTable[[#This Row],['# Initial]]*MouserListTable[[#This Row],[Price (USD)]]</f>
        <v>9.75</v>
      </c>
      <c r="O100" s="151" t="s">
        <v>2286</v>
      </c>
      <c r="P100" s="150">
        <f t="shared" si="1"/>
        <v>87</v>
      </c>
      <c r="Q100" s="150" t="s">
        <v>1884</v>
      </c>
      <c r="R10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485-2789</v>
      </c>
      <c r="S100" s="157" t="str">
        <f>HYPERLINK("https://www.mouser.com/ProductDetail/" &amp;MouserListTable[[#This Row],[Mouser SKU]])</f>
        <v>https://www.mouser.com/ProductDetail/485-2789</v>
      </c>
      <c r="T100" s="152">
        <v>1</v>
      </c>
      <c r="U100" s="152">
        <v>0</v>
      </c>
      <c r="V100" s="152">
        <v>0</v>
      </c>
      <c r="W100" s="152">
        <f>MouserListTable[[#This Row],['#/Unit]]*FilterSpecs!$C$3+MouserListTable[[#This Row],[Extra]]</f>
        <v>5</v>
      </c>
      <c r="X100" s="152">
        <f>IF(MouserListTable[[#This Row],[Tag]]=FilterSpecs!$F$7,MouserListTable[[#This Row],['#/Unit]]*MouserListTable[[#This Row],[Price (USD)]],0)</f>
        <v>1.95</v>
      </c>
      <c r="Y100" s="152">
        <f>MouserListTable[[#This Row],[Tot '#]]*MouserListTable[[#This Row],[Price (USD)]]</f>
        <v>9.75</v>
      </c>
      <c r="Z100" s="146"/>
      <c r="AA100" s="29" t="e">
        <f>[1]!nonzeroQtysOfList($F$14, $Q$14, InitialOrderTable2[[#This Row],[Name]], FilterSpecs!$A$7)</f>
        <v>#VALUE!</v>
      </c>
      <c r="AB100" s="29" t="e">
        <f>[1]!nonzeroQtysOfList($F$14, $Q$14, InitialOrderTable2['# Initial], FilterSpecs!$A$7)</f>
        <v>#VALUE!</v>
      </c>
      <c r="AC100" s="29" t="e">
        <f>[1]!nonzeroQtysOfList($F$14, $Q$14, InitialOrderTable2[SKU], FilterSpecs!$A$7)</f>
        <v>#VALUE!</v>
      </c>
      <c r="AJ100" s="146"/>
    </row>
    <row r="101" spans="1:36" s="153" customFormat="1" x14ac:dyDescent="0.25">
      <c r="A101" s="150" t="s">
        <v>887</v>
      </c>
      <c r="B101" s="150" t="s">
        <v>2016</v>
      </c>
      <c r="C101" s="150" t="s">
        <v>5</v>
      </c>
      <c r="D101" s="151" t="str">
        <f>IF(MouserListTable[[#This Row],[Vendor]]=FilterSpecs!$A$8,MouserListTable[[#This Row],[Mouser SKU]], MouserListTable[[#This Row],[Supplier SKU]])</f>
        <v>474-DEV-13158</v>
      </c>
      <c r="E101" s="152">
        <f>MouserListTable[[#This Row],[Tot '#]]-MouserListTable[[#This Row],['# Initial]]</f>
        <v>0</v>
      </c>
      <c r="F101" s="152">
        <f>IF(AND(MouserListTable[[#This Row],[Tag]]&lt;&gt;FilterSpecs!$F$12, MouserListTable[[#This Row],[Tag]]&lt;&gt;FilterSpecs!$F$9), MouserListTable[[#This Row],['#/Unit]]*FilterSpecs!$B$3+MouserListTable[[#This Row],[Extra Initial]],0)</f>
        <v>5</v>
      </c>
      <c r="G101" s="150" t="s">
        <v>31</v>
      </c>
      <c r="H101" s="150" t="s">
        <v>32</v>
      </c>
      <c r="I101" s="150" t="s">
        <v>33</v>
      </c>
      <c r="J101" s="153">
        <v>1</v>
      </c>
      <c r="K101" s="154">
        <v>29.95</v>
      </c>
      <c r="L101" s="150" t="s">
        <v>1897</v>
      </c>
      <c r="M101" s="151"/>
      <c r="N101" s="154">
        <f>MouserListTable[[#This Row],['# Initial]]*MouserListTable[[#This Row],[Price (USD)]]</f>
        <v>149.75</v>
      </c>
      <c r="O101" s="151" t="s">
        <v>30</v>
      </c>
      <c r="P101" s="150">
        <f t="shared" si="1"/>
        <v>88</v>
      </c>
      <c r="Q101" s="150" t="s">
        <v>5</v>
      </c>
      <c r="R10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474-DEV-13158</v>
      </c>
      <c r="S101" s="157" t="str">
        <f>HYPERLINK("https://www.mouser.com/ProductDetail/" &amp;MouserListTable[[#This Row],[Mouser SKU]])</f>
        <v>https://www.mouser.com/ProductDetail/474-DEV-13158</v>
      </c>
      <c r="T101" s="152">
        <v>1</v>
      </c>
      <c r="U101" s="152">
        <v>0</v>
      </c>
      <c r="V101" s="152">
        <v>0</v>
      </c>
      <c r="W101" s="152">
        <f>MouserListTable[[#This Row],['#/Unit]]*FilterSpecs!$C$3+MouserListTable[[#This Row],[Extra]]</f>
        <v>5</v>
      </c>
      <c r="X101" s="152">
        <f>IF(MouserListTable[[#This Row],[Tag]]=FilterSpecs!$F$7,MouserListTable[[#This Row],['#/Unit]]*MouserListTable[[#This Row],[Price (USD)]],0)</f>
        <v>29.95</v>
      </c>
      <c r="Y101" s="152">
        <f>MouserListTable[[#This Row],[Tot '#]]*MouserListTable[[#This Row],[Price (USD)]]</f>
        <v>149.75</v>
      </c>
      <c r="Z101" s="146"/>
      <c r="AA101" s="29" t="e">
        <f>[1]!nonzeroQtysOfList($F$14, $Q$14, InitialOrderTable2[[#This Row],[Name]], FilterSpecs!$A$7)</f>
        <v>#VALUE!</v>
      </c>
      <c r="AB101" s="29" t="e">
        <f>[1]!nonzeroQtysOfList($F$14, $Q$14, InitialOrderTable2['# Initial], FilterSpecs!$A$7)</f>
        <v>#VALUE!</v>
      </c>
      <c r="AC101" s="29" t="e">
        <f>[1]!nonzeroQtysOfList($F$14, $Q$14, InitialOrderTable2[SKU], FilterSpecs!$A$7)</f>
        <v>#VALUE!</v>
      </c>
      <c r="AJ101" s="146"/>
    </row>
    <row r="102" spans="1:36" s="153" customFormat="1" x14ac:dyDescent="0.25">
      <c r="A102" s="150" t="s">
        <v>887</v>
      </c>
      <c r="B102" s="150" t="s">
        <v>2016</v>
      </c>
      <c r="C102" s="150" t="s">
        <v>5</v>
      </c>
      <c r="D102" s="151" t="str">
        <f>IF(MouserListTable[[#This Row],[Vendor]]=FilterSpecs!$A$8,MouserListTable[[#This Row],[Mouser SKU]], MouserListTable[[#This Row],[Supplier SKU]])</f>
        <v>474-PRT-12711</v>
      </c>
      <c r="E102" s="152">
        <f>MouserListTable[[#This Row],[Tot '#]]-MouserListTable[[#This Row],['# Initial]]</f>
        <v>0</v>
      </c>
      <c r="F102" s="152">
        <f>IF(AND(MouserListTable[[#This Row],[Tag]]&lt;&gt;FilterSpecs!$F$12, MouserListTable[[#This Row],[Tag]]&lt;&gt;FilterSpecs!$F$9), MouserListTable[[#This Row],['#/Unit]]*FilterSpecs!$B$3+MouserListTable[[#This Row],[Extra Initial]],0)</f>
        <v>5</v>
      </c>
      <c r="G102" s="150" t="s">
        <v>35</v>
      </c>
      <c r="H102" s="150" t="s">
        <v>36</v>
      </c>
      <c r="I102" s="150" t="s">
        <v>37</v>
      </c>
      <c r="J102" s="153">
        <v>1</v>
      </c>
      <c r="K102" s="154">
        <v>14.95</v>
      </c>
      <c r="L102" s="150" t="s">
        <v>1897</v>
      </c>
      <c r="M102" s="151"/>
      <c r="N102" s="154">
        <f>MouserListTable[[#This Row],['# Initial]]*MouserListTable[[#This Row],[Price (USD)]]</f>
        <v>74.75</v>
      </c>
      <c r="O102" s="151" t="s">
        <v>34</v>
      </c>
      <c r="P102" s="150">
        <f t="shared" si="1"/>
        <v>89</v>
      </c>
      <c r="Q102" s="150" t="s">
        <v>5</v>
      </c>
      <c r="R10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474-PRT-12711</v>
      </c>
      <c r="S102" s="157" t="str">
        <f>HYPERLINK("https://www.mouser.com/ProductDetail/" &amp;MouserListTable[[#This Row],[Mouser SKU]])</f>
        <v>https://www.mouser.com/ProductDetail/474-PRT-12711</v>
      </c>
      <c r="T102" s="152">
        <v>1</v>
      </c>
      <c r="U102" s="152">
        <v>0</v>
      </c>
      <c r="V102" s="152">
        <v>0</v>
      </c>
      <c r="W102" s="152">
        <f>MouserListTable[[#This Row],['#/Unit]]*FilterSpecs!$C$3+MouserListTable[[#This Row],[Extra]]</f>
        <v>5</v>
      </c>
      <c r="X102" s="152">
        <f>IF(MouserListTable[[#This Row],[Tag]]=FilterSpecs!$F$7,MouserListTable[[#This Row],['#/Unit]]*MouserListTable[[#This Row],[Price (USD)]],0)</f>
        <v>14.95</v>
      </c>
      <c r="Y102" s="152">
        <f>MouserListTable[[#This Row],[Tot '#]]*MouserListTable[[#This Row],[Price (USD)]]</f>
        <v>74.75</v>
      </c>
      <c r="Z102" s="146"/>
      <c r="AA102" s="29" t="e">
        <f>[1]!nonzeroQtysOfList($F$14, $Q$14, InitialOrderTable2[[#This Row],[Name]], FilterSpecs!$A$7)</f>
        <v>#VALUE!</v>
      </c>
      <c r="AB102" s="29" t="e">
        <f>[1]!nonzeroQtysOfList($F$14, $Q$14, InitialOrderTable2['# Initial], FilterSpecs!$A$7)</f>
        <v>#VALUE!</v>
      </c>
      <c r="AC102" s="29" t="e">
        <f>[1]!nonzeroQtysOfList($F$14, $Q$14, InitialOrderTable2[SKU], FilterSpecs!$A$7)</f>
        <v>#VALUE!</v>
      </c>
      <c r="AJ102" s="146"/>
    </row>
    <row r="103" spans="1:36" s="153" customFormat="1" x14ac:dyDescent="0.25">
      <c r="A103" s="150" t="s">
        <v>887</v>
      </c>
      <c r="B103" s="150" t="s">
        <v>2016</v>
      </c>
      <c r="C103" s="150" t="s">
        <v>5</v>
      </c>
      <c r="D103" s="151" t="str">
        <f>IF(MouserListTable[[#This Row],[Vendor]]=FilterSpecs!$A$8,MouserListTable[[#This Row],[Mouser SKU]], MouserListTable[[#This Row],[Supplier SKU]])</f>
        <v>474-PRT-13777</v>
      </c>
      <c r="E103" s="152">
        <f>MouserListTable[[#This Row],[Tot '#]]-MouserListTable[[#This Row],['# Initial]]</f>
        <v>1</v>
      </c>
      <c r="F103" s="152">
        <f>IF(AND(MouserListTable[[#This Row],[Tag]]&lt;&gt;FilterSpecs!$F$12, MouserListTable[[#This Row],[Tag]]&lt;&gt;FilterSpecs!$F$9), MouserListTable[[#This Row],['#/Unit]]*FilterSpecs!$B$3+MouserListTable[[#This Row],[Extra Initial]],0)</f>
        <v>0</v>
      </c>
      <c r="G103" s="150" t="s">
        <v>43</v>
      </c>
      <c r="H103" s="150" t="s">
        <v>44</v>
      </c>
      <c r="I103" s="150" t="s">
        <v>45</v>
      </c>
      <c r="J103" s="153">
        <v>1</v>
      </c>
      <c r="K103" s="154">
        <v>19.95</v>
      </c>
      <c r="L103" s="150" t="s">
        <v>1896</v>
      </c>
      <c r="M103" s="151"/>
      <c r="N103" s="154">
        <f>MouserListTable[[#This Row],['# Initial]]*MouserListTable[[#This Row],[Price (USD)]]</f>
        <v>0</v>
      </c>
      <c r="O103" s="151" t="s">
        <v>42</v>
      </c>
      <c r="P103" s="150">
        <f t="shared" si="1"/>
        <v>90</v>
      </c>
      <c r="Q103" s="150" t="s">
        <v>5</v>
      </c>
      <c r="R10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474-PRT-13777</v>
      </c>
      <c r="S103" s="157" t="str">
        <f>HYPERLINK("https://www.mouser.com/ProductDetail/" &amp;MouserListTable[[#This Row],[Mouser SKU]])</f>
        <v>https://www.mouser.com/ProductDetail/474-PRT-13777</v>
      </c>
      <c r="T103" s="152">
        <v>0</v>
      </c>
      <c r="U103" s="152">
        <v>1</v>
      </c>
      <c r="V103" s="152">
        <v>0</v>
      </c>
      <c r="W103" s="152">
        <f>MouserListTable[[#This Row],['#/Unit]]*FilterSpecs!$C$3+MouserListTable[[#This Row],[Extra]]</f>
        <v>1</v>
      </c>
      <c r="X103" s="152">
        <f>IF(MouserListTable[[#This Row],[Tag]]=FilterSpecs!$F$7,MouserListTable[[#This Row],['#/Unit]]*MouserListTable[[#This Row],[Price (USD)]],0)</f>
        <v>0</v>
      </c>
      <c r="Y103" s="152">
        <f>MouserListTable[[#This Row],[Tot '#]]*MouserListTable[[#This Row],[Price (USD)]]</f>
        <v>19.95</v>
      </c>
      <c r="Z103" s="146"/>
      <c r="AA103" s="29" t="e">
        <f>[1]!nonzeroQtysOfList($F$14, $Q$14, InitialOrderTable2[[#This Row],[Name]], FilterSpecs!$A$7)</f>
        <v>#VALUE!</v>
      </c>
      <c r="AB103" s="29" t="e">
        <f>[1]!nonzeroQtysOfList($F$14, $Q$14, InitialOrderTable2['# Initial], FilterSpecs!$A$7)</f>
        <v>#VALUE!</v>
      </c>
      <c r="AC103" s="29" t="e">
        <f>[1]!nonzeroQtysOfList($F$14, $Q$14, InitialOrderTable2[SKU], FilterSpecs!$A$7)</f>
        <v>#VALUE!</v>
      </c>
      <c r="AJ103" s="146"/>
    </row>
    <row r="104" spans="1:36" s="104" customFormat="1" x14ac:dyDescent="0.25">
      <c r="A104" s="150" t="s">
        <v>887</v>
      </c>
      <c r="B104" s="150" t="s">
        <v>2016</v>
      </c>
      <c r="C104" s="150" t="s">
        <v>5</v>
      </c>
      <c r="D104" s="151" t="str">
        <f>IF(MouserListTable[[#This Row],[Vendor]]=FilterSpecs!$A$8,MouserListTable[[#This Row],[Mouser SKU]], MouserListTable[[#This Row],[Supplier SKU]])</f>
        <v>474-PRT-13856</v>
      </c>
      <c r="E104" s="152">
        <f>MouserListTable[[#This Row],[Tot '#]]-MouserListTable[[#This Row],['# Initial]]</f>
        <v>1</v>
      </c>
      <c r="F104" s="152">
        <f>IF(AND(MouserListTable[[#This Row],[Tag]]&lt;&gt;FilterSpecs!$F$12, MouserListTable[[#This Row],[Tag]]&lt;&gt;FilterSpecs!$F$9), MouserListTable[[#This Row],['#/Unit]]*FilterSpecs!$B$3+MouserListTable[[#This Row],[Extra Initial]],0)</f>
        <v>5</v>
      </c>
      <c r="G104" s="150" t="s">
        <v>47</v>
      </c>
      <c r="H104" s="150" t="s">
        <v>48</v>
      </c>
      <c r="I104" s="150" t="s">
        <v>49</v>
      </c>
      <c r="J104" s="153">
        <v>1</v>
      </c>
      <c r="K104" s="154">
        <v>29.95</v>
      </c>
      <c r="L104" s="150" t="s">
        <v>1897</v>
      </c>
      <c r="M104" s="151"/>
      <c r="N104" s="154">
        <f>MouserListTable[[#This Row],['# Initial]]*MouserListTable[[#This Row],[Price (USD)]]</f>
        <v>149.75</v>
      </c>
      <c r="O104" s="151" t="s">
        <v>46</v>
      </c>
      <c r="P104" s="150">
        <f t="shared" si="1"/>
        <v>91</v>
      </c>
      <c r="Q104" s="150" t="s">
        <v>5</v>
      </c>
      <c r="R10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474-PRT-13856</v>
      </c>
      <c r="S104" s="157" t="str">
        <f>HYPERLINK("https://www.mouser.com/ProductDetail/" &amp;MouserListTable[[#This Row],[Mouser SKU]])</f>
        <v>https://www.mouser.com/ProductDetail/474-PRT-13856</v>
      </c>
      <c r="T104" s="152">
        <v>1</v>
      </c>
      <c r="U104" s="152">
        <v>1</v>
      </c>
      <c r="V104" s="152">
        <v>0</v>
      </c>
      <c r="W104" s="152">
        <f>MouserListTable[[#This Row],['#/Unit]]*FilterSpecs!$C$3+MouserListTable[[#This Row],[Extra]]</f>
        <v>6</v>
      </c>
      <c r="X104" s="152">
        <f>IF(MouserListTable[[#This Row],[Tag]]=FilterSpecs!$F$7,MouserListTable[[#This Row],['#/Unit]]*MouserListTable[[#This Row],[Price (USD)]],0)</f>
        <v>29.95</v>
      </c>
      <c r="Y104" s="152">
        <f>MouserListTable[[#This Row],[Tot '#]]*MouserListTable[[#This Row],[Price (USD)]]</f>
        <v>179.7</v>
      </c>
      <c r="Z104" s="146"/>
      <c r="AA104" s="29" t="e">
        <f>[1]!nonzeroQtysOfList($F$14, $Q$14, InitialOrderTable2[[#This Row],[Name]], FilterSpecs!$A$7)</f>
        <v>#VALUE!</v>
      </c>
      <c r="AB104" s="29" t="e">
        <f>[1]!nonzeroQtysOfList($F$14, $Q$14, InitialOrderTable2['# Initial], FilterSpecs!$A$7)</f>
        <v>#VALUE!</v>
      </c>
      <c r="AC104" s="29" t="e">
        <f>[1]!nonzeroQtysOfList($F$14, $Q$14, InitialOrderTable2[SKU], FilterSpecs!$A$7)</f>
        <v>#VALUE!</v>
      </c>
      <c r="AJ104" s="146"/>
    </row>
    <row r="105" spans="1:36" s="104" customFormat="1" x14ac:dyDescent="0.25">
      <c r="A105" s="150" t="s">
        <v>887</v>
      </c>
      <c r="B105" s="150" t="s">
        <v>2016</v>
      </c>
      <c r="C105" s="150" t="s">
        <v>5</v>
      </c>
      <c r="D105" s="151" t="str">
        <f>IF(MouserListTable[[#This Row],[Vendor]]=FilterSpecs!$A$8,MouserListTable[[#This Row],[Mouser SKU]], MouserListTable[[#This Row],[Supplier SKU]])</f>
        <v>474-PRT-13855</v>
      </c>
      <c r="E105" s="152">
        <f>MouserListTable[[#This Row],[Tot '#]]-MouserListTable[[#This Row],['# Initial]]</f>
        <v>2</v>
      </c>
      <c r="F105" s="152">
        <f>IF(AND(MouserListTable[[#This Row],[Tag]]&lt;&gt;FilterSpecs!$F$12, MouserListTable[[#This Row],[Tag]]&lt;&gt;FilterSpecs!$F$9), MouserListTable[[#This Row],['#/Unit]]*FilterSpecs!$B$3+MouserListTable[[#This Row],[Extra Initial]],0)</f>
        <v>0</v>
      </c>
      <c r="G105" s="150" t="s">
        <v>789</v>
      </c>
      <c r="H105" s="150" t="s">
        <v>790</v>
      </c>
      <c r="I105" s="150" t="s">
        <v>791</v>
      </c>
      <c r="J105" s="153">
        <v>1</v>
      </c>
      <c r="K105" s="154">
        <v>12.95</v>
      </c>
      <c r="L105" s="150" t="s">
        <v>1896</v>
      </c>
      <c r="M105" s="151"/>
      <c r="N105" s="154">
        <f>MouserListTable[[#This Row],['# Initial]]*MouserListTable[[#This Row],[Price (USD)]]</f>
        <v>0</v>
      </c>
      <c r="O105" s="151" t="s">
        <v>788</v>
      </c>
      <c r="P105" s="150">
        <f t="shared" si="1"/>
        <v>92</v>
      </c>
      <c r="Q105" s="150" t="s">
        <v>5</v>
      </c>
      <c r="R10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474-PRT-13855</v>
      </c>
      <c r="S105" s="157" t="str">
        <f>HYPERLINK("https://www.mouser.com/ProductDetail/" &amp;MouserListTable[[#This Row],[Mouser SKU]])</f>
        <v>https://www.mouser.com/ProductDetail/474-PRT-13855</v>
      </c>
      <c r="T105" s="152">
        <v>0</v>
      </c>
      <c r="U105" s="152">
        <v>2</v>
      </c>
      <c r="V105" s="152">
        <v>0</v>
      </c>
      <c r="W105" s="152">
        <f>MouserListTable[[#This Row],['#/Unit]]*FilterSpecs!$C$3+MouserListTable[[#This Row],[Extra]]</f>
        <v>2</v>
      </c>
      <c r="X105" s="152">
        <f>IF(MouserListTable[[#This Row],[Tag]]=FilterSpecs!$F$7,MouserListTable[[#This Row],['#/Unit]]*MouserListTable[[#This Row],[Price (USD)]],0)</f>
        <v>0</v>
      </c>
      <c r="Y105" s="152">
        <f>MouserListTable[[#This Row],[Tot '#]]*MouserListTable[[#This Row],[Price (USD)]]</f>
        <v>25.9</v>
      </c>
      <c r="Z105" s="146"/>
      <c r="AA105" s="29" t="e">
        <f>[1]!nonzeroQtysOfList($F$14, $Q$14, InitialOrderTable2[[#This Row],[Name]], FilterSpecs!$A$7)</f>
        <v>#VALUE!</v>
      </c>
      <c r="AB105" s="29" t="e">
        <f>[1]!nonzeroQtysOfList($F$14, $Q$14, InitialOrderTable2['# Initial], FilterSpecs!$A$7)</f>
        <v>#VALUE!</v>
      </c>
      <c r="AC105" s="29" t="e">
        <f>[1]!nonzeroQtysOfList($F$14, $Q$14, InitialOrderTable2[SKU], FilterSpecs!$A$7)</f>
        <v>#VALUE!</v>
      </c>
      <c r="AJ105" s="146"/>
    </row>
    <row r="106" spans="1:36" s="104" customFormat="1" x14ac:dyDescent="0.25">
      <c r="A106" s="150" t="s">
        <v>887</v>
      </c>
      <c r="B106" s="150" t="s">
        <v>2011</v>
      </c>
      <c r="C106" s="150" t="s">
        <v>5</v>
      </c>
      <c r="D106" s="151" t="str">
        <f>IF(MouserListTable[[#This Row],[Vendor]]=FilterSpecs!$A$8,MouserListTable[[#This Row],[Mouser SKU]], MouserListTable[[#This Row],[Supplier SKU]])</f>
        <v>474-PRT-13032</v>
      </c>
      <c r="E106" s="152">
        <f>MouserListTable[[#This Row],[Tot '#]]-MouserListTable[[#This Row],['# Initial]]</f>
        <v>0</v>
      </c>
      <c r="F106" s="152">
        <f>IF(AND(MouserListTable[[#This Row],[Tag]]&lt;&gt;FilterSpecs!$F$12, MouserListTable[[#This Row],[Tag]]&lt;&gt;FilterSpecs!$F$9), MouserListTable[[#This Row],['#/Unit]]*FilterSpecs!$B$3+MouserListTable[[#This Row],[Extra Initial]],0)</f>
        <v>5</v>
      </c>
      <c r="G106" s="150" t="s">
        <v>39</v>
      </c>
      <c r="H106" s="150" t="s">
        <v>40</v>
      </c>
      <c r="I106" s="150" t="s">
        <v>41</v>
      </c>
      <c r="J106" s="153">
        <v>1</v>
      </c>
      <c r="K106" s="154">
        <v>9.9499999999999993</v>
      </c>
      <c r="L106" s="150" t="s">
        <v>1897</v>
      </c>
      <c r="M106" s="151"/>
      <c r="N106" s="154">
        <f>MouserListTable[[#This Row],['# Initial]]*MouserListTable[[#This Row],[Price (USD)]]</f>
        <v>49.75</v>
      </c>
      <c r="O106" s="151" t="s">
        <v>38</v>
      </c>
      <c r="P106" s="150">
        <f t="shared" si="1"/>
        <v>93</v>
      </c>
      <c r="Q106" s="150" t="s">
        <v>5</v>
      </c>
      <c r="R10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474-PRT-13032</v>
      </c>
      <c r="S106" s="157" t="str">
        <f>HYPERLINK("https://www.mouser.com/ProductDetail/" &amp;MouserListTable[[#This Row],[Mouser SKU]])</f>
        <v>https://www.mouser.com/ProductDetail/474-PRT-13032</v>
      </c>
      <c r="T106" s="152">
        <v>1</v>
      </c>
      <c r="U106" s="152">
        <v>0</v>
      </c>
      <c r="V106" s="152">
        <v>0</v>
      </c>
      <c r="W106" s="152">
        <f>MouserListTable[[#This Row],['#/Unit]]*FilterSpecs!$C$3+MouserListTable[[#This Row],[Extra]]</f>
        <v>5</v>
      </c>
      <c r="X106" s="152">
        <f>IF(MouserListTable[[#This Row],[Tag]]=FilterSpecs!$F$7,MouserListTable[[#This Row],['#/Unit]]*MouserListTable[[#This Row],[Price (USD)]],0)</f>
        <v>9.9499999999999993</v>
      </c>
      <c r="Y106" s="152">
        <f>MouserListTable[[#This Row],[Tot '#]]*MouserListTable[[#This Row],[Price (USD)]]</f>
        <v>49.75</v>
      </c>
      <c r="Z106" s="146"/>
      <c r="AA106" s="29" t="e">
        <f>[1]!nonzeroQtysOfList($F$14, $Q$14, InitialOrderTable2[[#This Row],[Name]], FilterSpecs!$A$7)</f>
        <v>#VALUE!</v>
      </c>
      <c r="AB106" s="29" t="e">
        <f>[1]!nonzeroQtysOfList($F$14, $Q$14, InitialOrderTable2['# Initial], FilterSpecs!$A$7)</f>
        <v>#VALUE!</v>
      </c>
      <c r="AC106" s="29" t="e">
        <f>[1]!nonzeroQtysOfList($F$14, $Q$14, InitialOrderTable2[SKU], FilterSpecs!$A$7)</f>
        <v>#VALUE!</v>
      </c>
      <c r="AJ106" s="146"/>
    </row>
    <row r="107" spans="1:36" s="104" customFormat="1" x14ac:dyDescent="0.25">
      <c r="A107" s="150" t="s">
        <v>887</v>
      </c>
      <c r="B107" s="150" t="s">
        <v>2011</v>
      </c>
      <c r="C107" s="150" t="s">
        <v>5</v>
      </c>
      <c r="D107" s="151" t="str">
        <f>IF(MouserListTable[[#This Row],[Vendor]]=FilterSpecs!$A$8,MouserListTable[[#This Row],[Mouser SKU]], MouserListTable[[#This Row],[Supplier SKU]])</f>
        <v>474-PRT-00114</v>
      </c>
      <c r="E107" s="152">
        <f>MouserListTable[[#This Row],[Tot '#]]-MouserListTable[[#This Row],['# Initial]]</f>
        <v>2</v>
      </c>
      <c r="F107" s="152">
        <f>IF(AND(MouserListTable[[#This Row],[Tag]]&lt;&gt;FilterSpecs!$F$12, MouserListTable[[#This Row],[Tag]]&lt;&gt;FilterSpecs!$F$9), MouserListTable[[#This Row],['#/Unit]]*FilterSpecs!$B$3+MouserListTable[[#This Row],[Extra Initial]],0)</f>
        <v>0</v>
      </c>
      <c r="G107" s="150" t="s">
        <v>1194</v>
      </c>
      <c r="H107" s="150" t="s">
        <v>1195</v>
      </c>
      <c r="I107" s="150" t="s">
        <v>1196</v>
      </c>
      <c r="J107" s="153">
        <v>1</v>
      </c>
      <c r="K107" s="154">
        <v>9.9499999999999993</v>
      </c>
      <c r="L107" s="150" t="s">
        <v>1896</v>
      </c>
      <c r="M107" s="151"/>
      <c r="N107" s="154">
        <f>MouserListTable[[#This Row],['# Initial]]*MouserListTable[[#This Row],[Price (USD)]]</f>
        <v>0</v>
      </c>
      <c r="O107" s="151" t="s">
        <v>1193</v>
      </c>
      <c r="P107" s="150">
        <f t="shared" si="1"/>
        <v>94</v>
      </c>
      <c r="Q107" s="150" t="s">
        <v>5</v>
      </c>
      <c r="R10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474-PRT-00114</v>
      </c>
      <c r="S107" s="157" t="str">
        <f>HYPERLINK("https://www.mouser.com/ProductDetail/" &amp;MouserListTable[[#This Row],[Mouser SKU]])</f>
        <v>https://www.mouser.com/ProductDetail/474-PRT-00114</v>
      </c>
      <c r="T107" s="152">
        <v>0</v>
      </c>
      <c r="U107" s="152">
        <v>2</v>
      </c>
      <c r="V107" s="152">
        <v>0</v>
      </c>
      <c r="W107" s="152">
        <f>MouserListTable[[#This Row],['#/Unit]]*FilterSpecs!$C$3+MouserListTable[[#This Row],[Extra]]</f>
        <v>2</v>
      </c>
      <c r="X107" s="152">
        <f>IF(MouserListTable[[#This Row],[Tag]]=FilterSpecs!$F$7,MouserListTable[[#This Row],['#/Unit]]*MouserListTable[[#This Row],[Price (USD)]],0)</f>
        <v>0</v>
      </c>
      <c r="Y107" s="152">
        <f>MouserListTable[[#This Row],[Tot '#]]*MouserListTable[[#This Row],[Price (USD)]]</f>
        <v>19.899999999999999</v>
      </c>
      <c r="Z107" s="146"/>
      <c r="AA107" s="29" t="e">
        <f>[1]!nonzeroQtysOfList($F$14, $Q$14, InitialOrderTable2[[#This Row],[Name]], FilterSpecs!$A$7)</f>
        <v>#VALUE!</v>
      </c>
      <c r="AB107" s="29" t="e">
        <f>[1]!nonzeroQtysOfList($F$14, $Q$14, InitialOrderTable2['# Initial], FilterSpecs!$A$7)</f>
        <v>#VALUE!</v>
      </c>
      <c r="AC107" s="29" t="e">
        <f>[1]!nonzeroQtysOfList($F$14, $Q$14, InitialOrderTable2[SKU], FilterSpecs!$A$7)</f>
        <v>#VALUE!</v>
      </c>
      <c r="AJ107" s="146"/>
    </row>
    <row r="108" spans="1:36" s="104" customFormat="1" x14ac:dyDescent="0.25">
      <c r="A108" s="97" t="s">
        <v>887</v>
      </c>
      <c r="B108" s="150" t="s">
        <v>2011</v>
      </c>
      <c r="C108" s="150" t="s">
        <v>1884</v>
      </c>
      <c r="D108" s="151" t="str">
        <f>IF(MouserListTable[[#This Row],[Vendor]]=FilterSpecs!$A$8,MouserListTable[[#This Row],[Mouser SKU]], MouserListTable[[#This Row],[Supplier SKU]])</f>
        <v>485-184</v>
      </c>
      <c r="E108" s="152">
        <f>MouserListTable[[#This Row],[Tot '#]]-MouserListTable[[#This Row],['# Initial]]</f>
        <v>0</v>
      </c>
      <c r="F108" s="152">
        <f>IF(AND(MouserListTable[[#This Row],[Tag]]&lt;&gt;FilterSpecs!$F$12, MouserListTable[[#This Row],[Tag]]&lt;&gt;FilterSpecs!$F$9), MouserListTable[[#This Row],['#/Unit]]*FilterSpecs!$B$3+MouserListTable[[#This Row],[Extra Initial]],0)</f>
        <v>0</v>
      </c>
      <c r="G108" s="150"/>
      <c r="H108" s="150"/>
      <c r="I108" s="150" t="s">
        <v>2263</v>
      </c>
      <c r="J108" s="153"/>
      <c r="K108" s="118">
        <v>14.95</v>
      </c>
      <c r="L108" s="97" t="s">
        <v>1896</v>
      </c>
      <c r="M108" s="153"/>
      <c r="N108" s="154">
        <f>MouserListTable[[#This Row],['# Initial]]*MouserListTable[[#This Row],[Price (USD)]]</f>
        <v>0</v>
      </c>
      <c r="O108" s="151" t="s">
        <v>2262</v>
      </c>
      <c r="P108" s="150">
        <f t="shared" si="1"/>
        <v>95</v>
      </c>
      <c r="Q108" s="150" t="s">
        <v>1884</v>
      </c>
      <c r="R10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485-184</v>
      </c>
      <c r="S108" s="157" t="str">
        <f>HYPERLINK("https://www.mouser.com/ProductDetail/" &amp;MouserListTable[[#This Row],[Mouser SKU]])</f>
        <v>https://www.mouser.com/ProductDetail/485-184</v>
      </c>
      <c r="T108" s="152">
        <v>0</v>
      </c>
      <c r="U108" s="152">
        <v>0</v>
      </c>
      <c r="V108" s="152">
        <v>0</v>
      </c>
      <c r="W108" s="152">
        <f>MouserListTable[[#This Row],['#/Unit]]*FilterSpecs!$C$3+MouserListTable[[#This Row],[Extra]]</f>
        <v>0</v>
      </c>
      <c r="X108" s="152">
        <f>IF(MouserListTable[[#This Row],[Tag]]=FilterSpecs!$F$7,MouserListTable[[#This Row],['#/Unit]]*MouserListTable[[#This Row],[Price (USD)]],0)</f>
        <v>0</v>
      </c>
      <c r="Y108" s="152">
        <f>MouserListTable[[#This Row],[Tot '#]]*MouserListTable[[#This Row],[Price (USD)]]</f>
        <v>0</v>
      </c>
      <c r="Z108" s="146"/>
      <c r="AA108" s="29" t="e">
        <f>[1]!nonzeroQtysOfList($F$14, $Q$14, InitialOrderTable2[[#This Row],[Name]], FilterSpecs!$A$7)</f>
        <v>#VALUE!</v>
      </c>
      <c r="AB108" s="29" t="e">
        <f>[1]!nonzeroQtysOfList($F$14, $Q$14, InitialOrderTable2['# Initial], FilterSpecs!$A$7)</f>
        <v>#VALUE!</v>
      </c>
      <c r="AC108" s="29" t="e">
        <f>[1]!nonzeroQtysOfList($F$14, $Q$14, InitialOrderTable2[SKU], FilterSpecs!$A$7)</f>
        <v>#VALUE!</v>
      </c>
      <c r="AJ108" s="146"/>
    </row>
    <row r="109" spans="1:36" s="104" customFormat="1" x14ac:dyDescent="0.25">
      <c r="A109" s="150" t="s">
        <v>887</v>
      </c>
      <c r="B109" s="150" t="s">
        <v>2011</v>
      </c>
      <c r="C109" s="150" t="s">
        <v>5</v>
      </c>
      <c r="D109" s="151" t="str">
        <f>IF(MouserListTable[[#This Row],[Vendor]]=FilterSpecs!$A$8,MouserListTable[[#This Row],[Mouser SKU]], MouserListTable[[#This Row],[Supplier SKU]])</f>
        <v>474-PRT-10811</v>
      </c>
      <c r="E109" s="152">
        <f>MouserListTable[[#This Row],[Tot '#]]-MouserListTable[[#This Row],['# Initial]]</f>
        <v>1</v>
      </c>
      <c r="F109" s="152">
        <f>IF(AND(MouserListTable[[#This Row],[Tag]]&lt;&gt;FilterSpecs!$F$12, MouserListTable[[#This Row],[Tag]]&lt;&gt;FilterSpecs!$F$9), MouserListTable[[#This Row],['#/Unit]]*FilterSpecs!$B$3+MouserListTable[[#This Row],[Extra Initial]],0)</f>
        <v>5</v>
      </c>
      <c r="G109" s="150" t="s">
        <v>565</v>
      </c>
      <c r="H109" s="150" t="s">
        <v>566</v>
      </c>
      <c r="I109" s="150" t="s">
        <v>567</v>
      </c>
      <c r="J109" s="153"/>
      <c r="K109" s="154">
        <v>0.95</v>
      </c>
      <c r="L109" s="150" t="s">
        <v>1897</v>
      </c>
      <c r="M109" s="151"/>
      <c r="N109" s="154">
        <f>MouserListTable[[#This Row],['# Initial]]*MouserListTable[[#This Row],[Price (USD)]]</f>
        <v>4.75</v>
      </c>
      <c r="O109" s="151" t="s">
        <v>564</v>
      </c>
      <c r="P109" s="150">
        <f t="shared" si="1"/>
        <v>96</v>
      </c>
      <c r="Q109" s="150" t="s">
        <v>5</v>
      </c>
      <c r="R10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474-PRT-10811</v>
      </c>
      <c r="S109" s="157" t="str">
        <f>HYPERLINK("https://www.mouser.com/ProductDetail/" &amp;MouserListTable[[#This Row],[Mouser SKU]])</f>
        <v>https://www.mouser.com/ProductDetail/474-PRT-10811</v>
      </c>
      <c r="T109" s="152">
        <v>1</v>
      </c>
      <c r="U109" s="152">
        <v>1</v>
      </c>
      <c r="V109" s="152">
        <v>0</v>
      </c>
      <c r="W109" s="152">
        <f>MouserListTable[[#This Row],['#/Unit]]*FilterSpecs!$C$3+MouserListTable[[#This Row],[Extra]]</f>
        <v>6</v>
      </c>
      <c r="X109" s="152">
        <f>IF(MouserListTable[[#This Row],[Tag]]=FilterSpecs!$F$7,MouserListTable[[#This Row],['#/Unit]]*MouserListTable[[#This Row],[Price (USD)]],0)</f>
        <v>0.95</v>
      </c>
      <c r="Y109" s="152">
        <f>MouserListTable[[#This Row],[Tot '#]]*MouserListTable[[#This Row],[Price (USD)]]</f>
        <v>5.6999999999999993</v>
      </c>
      <c r="Z109" s="146"/>
      <c r="AA109" s="29" t="e">
        <f>[1]!nonzeroQtysOfList($F$14, $Q$14, InitialOrderTable2[[#This Row],[Name]], FilterSpecs!$A$7)</f>
        <v>#VALUE!</v>
      </c>
      <c r="AB109" s="29" t="e">
        <f>[1]!nonzeroQtysOfList($F$14, $Q$14, InitialOrderTable2['# Initial], FilterSpecs!$A$7)</f>
        <v>#VALUE!</v>
      </c>
      <c r="AC109" s="29" t="e">
        <f>[1]!nonzeroQtysOfList($F$14, $Q$14, InitialOrderTable2[SKU], FilterSpecs!$A$7)</f>
        <v>#VALUE!</v>
      </c>
      <c r="AJ109" s="146"/>
    </row>
    <row r="110" spans="1:36" s="104" customFormat="1" x14ac:dyDescent="0.25">
      <c r="A110" s="97" t="s">
        <v>887</v>
      </c>
      <c r="B110" s="150" t="s">
        <v>2011</v>
      </c>
      <c r="C110" s="150" t="s">
        <v>1884</v>
      </c>
      <c r="D110" s="151" t="str">
        <f>IF(MouserListTable[[#This Row],[Vendor]]=FilterSpecs!$A$8,MouserListTable[[#This Row],[Mouser SKU]], MouserListTable[[#This Row],[Supplier SKU]])</f>
        <v>485-373</v>
      </c>
      <c r="E110" s="152">
        <f>MouserListTable[[#This Row],[Tot '#]]-MouserListTable[[#This Row],['# Initial]]</f>
        <v>0</v>
      </c>
      <c r="F110" s="152">
        <f>IF(AND(MouserListTable[[#This Row],[Tag]]&lt;&gt;FilterSpecs!$F$12, MouserListTable[[#This Row],[Tag]]&lt;&gt;FilterSpecs!$F$9), MouserListTable[[#This Row],['#/Unit]]*FilterSpecs!$B$3+MouserListTable[[#This Row],[Extra Initial]],0)</f>
        <v>0</v>
      </c>
      <c r="G110" s="150"/>
      <c r="H110" s="150"/>
      <c r="I110" s="150" t="s">
        <v>2197</v>
      </c>
      <c r="J110" s="153"/>
      <c r="K110" s="118">
        <v>0.95</v>
      </c>
      <c r="L110" s="97" t="s">
        <v>1896</v>
      </c>
      <c r="M110" s="153"/>
      <c r="N110" s="154">
        <f>MouserListTable[[#This Row],['# Initial]]*MouserListTable[[#This Row],[Price (USD)]]</f>
        <v>0</v>
      </c>
      <c r="O110" s="151" t="s">
        <v>2196</v>
      </c>
      <c r="P110" s="150">
        <f t="shared" si="1"/>
        <v>97</v>
      </c>
      <c r="Q110" s="150" t="s">
        <v>1884</v>
      </c>
      <c r="R11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485-373</v>
      </c>
      <c r="S110" s="157" t="str">
        <f>HYPERLINK("https://www.mouser.com/ProductDetail/" &amp;MouserListTable[[#This Row],[Mouser SKU]])</f>
        <v>https://www.mouser.com/ProductDetail/485-373</v>
      </c>
      <c r="T110" s="152">
        <v>0</v>
      </c>
      <c r="U110" s="152">
        <v>0</v>
      </c>
      <c r="V110" s="152">
        <v>0</v>
      </c>
      <c r="W110" s="152">
        <f>MouserListTable[[#This Row],['#/Unit]]*FilterSpecs!$C$3+MouserListTable[[#This Row],[Extra]]</f>
        <v>0</v>
      </c>
      <c r="X110" s="152">
        <f>IF(MouserListTable[[#This Row],[Tag]]=FilterSpecs!$F$7,MouserListTable[[#This Row],['#/Unit]]*MouserListTable[[#This Row],[Price (USD)]],0)</f>
        <v>0</v>
      </c>
      <c r="Y110" s="152">
        <f>MouserListTable[[#This Row],[Tot '#]]*MouserListTable[[#This Row],[Price (USD)]]</f>
        <v>0</v>
      </c>
      <c r="Z110" s="146"/>
      <c r="AA110" s="29" t="e">
        <f>[1]!nonzeroQtysOfList($F$14, $Q$14, InitialOrderTable2[[#This Row],[Name]], FilterSpecs!$A$7)</f>
        <v>#VALUE!</v>
      </c>
      <c r="AB110" s="29" t="e">
        <f>[1]!nonzeroQtysOfList($F$14, $Q$14, InitialOrderTable2['# Initial], FilterSpecs!$A$7)</f>
        <v>#VALUE!</v>
      </c>
      <c r="AC110" s="29" t="e">
        <f>[1]!nonzeroQtysOfList($F$14, $Q$14, InitialOrderTable2[SKU], FilterSpecs!$A$7)</f>
        <v>#VALUE!</v>
      </c>
      <c r="AJ110" s="146"/>
    </row>
    <row r="111" spans="1:36" s="104" customFormat="1" x14ac:dyDescent="0.25">
      <c r="A111" s="150" t="s">
        <v>887</v>
      </c>
      <c r="B111" s="151" t="s">
        <v>2012</v>
      </c>
      <c r="C111" s="150" t="s">
        <v>5</v>
      </c>
      <c r="D111" s="151" t="str">
        <f>IF(MouserListTable[[#This Row],[Vendor]]=FilterSpecs!$A$8,MouserListTable[[#This Row],[Mouser SKU]], MouserListTable[[#This Row],[Supplier SKU]])</f>
        <v>474-PRT-11214</v>
      </c>
      <c r="E111" s="152">
        <f>MouserListTable[[#This Row],[Tot '#]]-MouserListTable[[#This Row],['# Initial]]</f>
        <v>0</v>
      </c>
      <c r="F111" s="152">
        <f>IF(AND(MouserListTable[[#This Row],[Tag]]&lt;&gt;FilterSpecs!$F$12, MouserListTable[[#This Row],[Tag]]&lt;&gt;FilterSpecs!$F$9), MouserListTable[[#This Row],['#/Unit]]*FilterSpecs!$B$3+MouserListTable[[#This Row],[Extra Initial]],0)</f>
        <v>5</v>
      </c>
      <c r="G111" s="150" t="s">
        <v>801</v>
      </c>
      <c r="H111" s="150" t="s">
        <v>802</v>
      </c>
      <c r="I111" s="150" t="s">
        <v>803</v>
      </c>
      <c r="J111" s="150">
        <v>1</v>
      </c>
      <c r="K111" s="154">
        <v>6.95</v>
      </c>
      <c r="L111" s="150" t="s">
        <v>1897</v>
      </c>
      <c r="M111" s="151"/>
      <c r="N111" s="154">
        <f>MouserListTable[[#This Row],['# Initial]]*MouserListTable[[#This Row],[Price (USD)]]</f>
        <v>34.75</v>
      </c>
      <c r="O111" s="151" t="s">
        <v>800</v>
      </c>
      <c r="P111" s="150">
        <f t="shared" si="1"/>
        <v>98</v>
      </c>
      <c r="Q111" s="150" t="s">
        <v>5</v>
      </c>
      <c r="R11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474-PRT-11214</v>
      </c>
      <c r="S111" s="157" t="str">
        <f>HYPERLINK("https://www.mouser.com/ProductDetail/" &amp;MouserListTable[[#This Row],[Mouser SKU]])</f>
        <v>https://www.mouser.com/ProductDetail/474-PRT-11214</v>
      </c>
      <c r="T111" s="152">
        <v>1</v>
      </c>
      <c r="U111" s="152">
        <v>0</v>
      </c>
      <c r="V111" s="152">
        <v>0</v>
      </c>
      <c r="W111" s="152">
        <f>MouserListTable[[#This Row],['#/Unit]]*FilterSpecs!$C$3+MouserListTable[[#This Row],[Extra]]</f>
        <v>5</v>
      </c>
      <c r="X111" s="152">
        <f>IF(MouserListTable[[#This Row],[Tag]]=FilterSpecs!$F$7,MouserListTable[[#This Row],['#/Unit]]*MouserListTable[[#This Row],[Price (USD)]],0)</f>
        <v>6.95</v>
      </c>
      <c r="Y111" s="152">
        <f>MouserListTable[[#This Row],[Tot '#]]*MouserListTable[[#This Row],[Price (USD)]]</f>
        <v>34.75</v>
      </c>
      <c r="Z111" s="146"/>
      <c r="AA111" s="29" t="e">
        <f>[1]!nonzeroQtysOfList($F$14, $Q$14, InitialOrderTable2[[#This Row],[Name]], FilterSpecs!$A$7)</f>
        <v>#VALUE!</v>
      </c>
      <c r="AB111" s="29" t="e">
        <f>[1]!nonzeroQtysOfList($F$14, $Q$14, InitialOrderTable2['# Initial], FilterSpecs!$A$7)</f>
        <v>#VALUE!</v>
      </c>
      <c r="AC111" s="29" t="e">
        <f>[1]!nonzeroQtysOfList($F$14, $Q$14, InitialOrderTable2[SKU], FilterSpecs!$A$7)</f>
        <v>#VALUE!</v>
      </c>
      <c r="AJ111" s="146"/>
    </row>
    <row r="112" spans="1:36" s="104" customFormat="1" x14ac:dyDescent="0.25">
      <c r="A112" s="97" t="s">
        <v>887</v>
      </c>
      <c r="B112" s="97" t="s">
        <v>2012</v>
      </c>
      <c r="C112" s="150" t="s">
        <v>1884</v>
      </c>
      <c r="D112" s="151" t="str">
        <f>IF(MouserListTable[[#This Row],[Vendor]]=FilterSpecs!$A$8,MouserListTable[[#This Row],[Mouser SKU]], MouserListTable[[#This Row],[Supplier SKU]])</f>
        <v>485-1125</v>
      </c>
      <c r="E112" s="152">
        <f>MouserListTable[[#This Row],[Tot '#]]-MouserListTable[[#This Row],['# Initial]]</f>
        <v>0</v>
      </c>
      <c r="F112" s="152">
        <f>IF(AND(MouserListTable[[#This Row],[Tag]]&lt;&gt;FilterSpecs!$F$12, MouserListTable[[#This Row],[Tag]]&lt;&gt;FilterSpecs!$F$9), MouserListTable[[#This Row],['#/Unit]]*FilterSpecs!$B$3+MouserListTable[[#This Row],[Extra Initial]],0)</f>
        <v>0</v>
      </c>
      <c r="G112" s="150"/>
      <c r="H112" s="150"/>
      <c r="I112" s="150" t="s">
        <v>2257</v>
      </c>
      <c r="J112" s="150"/>
      <c r="K112" s="154">
        <v>2.5</v>
      </c>
      <c r="L112" s="150" t="s">
        <v>1896</v>
      </c>
      <c r="M112" s="153"/>
      <c r="N112" s="154">
        <f>MouserListTable[[#This Row],['# Initial]]*MouserListTable[[#This Row],[Price (USD)]]</f>
        <v>0</v>
      </c>
      <c r="O112" s="151" t="s">
        <v>2256</v>
      </c>
      <c r="P112" s="150">
        <f t="shared" si="1"/>
        <v>99</v>
      </c>
      <c r="Q112" s="150" t="s">
        <v>1884</v>
      </c>
      <c r="R11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485-1125</v>
      </c>
      <c r="S112" s="157" t="str">
        <f>HYPERLINK("https://www.mouser.com/ProductDetail/" &amp;MouserListTable[[#This Row],[Mouser SKU]])</f>
        <v>https://www.mouser.com/ProductDetail/485-1125</v>
      </c>
      <c r="T112" s="152">
        <v>0</v>
      </c>
      <c r="U112" s="152">
        <v>0</v>
      </c>
      <c r="V112" s="152">
        <v>0</v>
      </c>
      <c r="W112" s="152">
        <f>MouserListTable[[#This Row],['#/Unit]]*FilterSpecs!$C$3+MouserListTable[[#This Row],[Extra]]</f>
        <v>0</v>
      </c>
      <c r="X112" s="152">
        <f>IF(MouserListTable[[#This Row],[Tag]]=FilterSpecs!$F$7,MouserListTable[[#This Row],['#/Unit]]*MouserListTable[[#This Row],[Price (USD)]],0)</f>
        <v>0</v>
      </c>
      <c r="Y112" s="152">
        <f>MouserListTable[[#This Row],[Tot '#]]*MouserListTable[[#This Row],[Price (USD)]]</f>
        <v>0</v>
      </c>
      <c r="Z112" s="146"/>
      <c r="AA112" s="29" t="e">
        <f>[1]!nonzeroQtysOfList($F$14, $Q$14, InitialOrderTable2[[#This Row],[Name]], FilterSpecs!$A$7)</f>
        <v>#VALUE!</v>
      </c>
      <c r="AB112" s="29" t="e">
        <f>[1]!nonzeroQtysOfList($F$14, $Q$14, InitialOrderTable2['# Initial], FilterSpecs!$A$7)</f>
        <v>#VALUE!</v>
      </c>
      <c r="AC112" s="29" t="e">
        <f>[1]!nonzeroQtysOfList($F$14, $Q$14, InitialOrderTable2[SKU], FilterSpecs!$A$7)</f>
        <v>#VALUE!</v>
      </c>
      <c r="AJ112" s="146"/>
    </row>
    <row r="113" spans="1:36" s="153" customFormat="1" x14ac:dyDescent="0.25">
      <c r="A113" s="97" t="s">
        <v>887</v>
      </c>
      <c r="B113" s="97" t="s">
        <v>2012</v>
      </c>
      <c r="C113" s="150" t="s">
        <v>5</v>
      </c>
      <c r="D113" s="151" t="str">
        <f>IF(MouserListTable[[#This Row],[Vendor]]=FilterSpecs!$A$8,MouserListTable[[#This Row],[Mouser SKU]], MouserListTable[[#This Row],[Supplier SKU]])</f>
        <v>474-COM-11477</v>
      </c>
      <c r="E113" s="152">
        <f>MouserListTable[[#This Row],[Tot '#]]-MouserListTable[[#This Row],['# Initial]]</f>
        <v>0</v>
      </c>
      <c r="F113" s="152">
        <f>IF(AND(MouserListTable[[#This Row],[Tag]]&lt;&gt;FilterSpecs!$F$12, MouserListTable[[#This Row],[Tag]]&lt;&gt;FilterSpecs!$F$9), MouserListTable[[#This Row],['#/Unit]]*FilterSpecs!$B$3+MouserListTable[[#This Row],[Extra Initial]],0)</f>
        <v>0</v>
      </c>
      <c r="G113" s="150" t="s">
        <v>1786</v>
      </c>
      <c r="H113" s="150" t="s">
        <v>1787</v>
      </c>
      <c r="I113" s="150" t="s">
        <v>1788</v>
      </c>
      <c r="J113" s="147">
        <v>0.95</v>
      </c>
      <c r="K113" s="154">
        <v>0.95</v>
      </c>
      <c r="L113" s="150" t="s">
        <v>1896</v>
      </c>
      <c r="N113" s="154">
        <f>MouserListTable[[#This Row],['# Initial]]*MouserListTable[[#This Row],[Price (USD)]]</f>
        <v>0</v>
      </c>
      <c r="O113" s="147" t="s">
        <v>1785</v>
      </c>
      <c r="P113" s="150">
        <f t="shared" si="1"/>
        <v>100</v>
      </c>
      <c r="Q113" s="150" t="s">
        <v>5</v>
      </c>
      <c r="R11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474-COM-11477</v>
      </c>
      <c r="S113" s="157" t="str">
        <f>HYPERLINK("https://www.mouser.com/ProductDetail/" &amp;MouserListTable[[#This Row],[Mouser SKU]])</f>
        <v>https://www.mouser.com/ProductDetail/474-COM-11477</v>
      </c>
      <c r="T113" s="152">
        <v>0</v>
      </c>
      <c r="U113" s="152">
        <v>0</v>
      </c>
      <c r="V113" s="152">
        <v>0</v>
      </c>
      <c r="W113" s="152">
        <f>MouserListTable[[#This Row],['#/Unit]]*FilterSpecs!$C$3+MouserListTable[[#This Row],[Extra]]</f>
        <v>0</v>
      </c>
      <c r="X113" s="152">
        <f>IF(MouserListTable[[#This Row],[Tag]]=FilterSpecs!$F$7,MouserListTable[[#This Row],['#/Unit]]*MouserListTable[[#This Row],[Price (USD)]],0)</f>
        <v>0</v>
      </c>
      <c r="Y113" s="152">
        <f>MouserListTable[[#This Row],[Tot '#]]*MouserListTable[[#This Row],[Price (USD)]]</f>
        <v>0</v>
      </c>
      <c r="Z113" s="146"/>
      <c r="AA113" s="29" t="e">
        <f>[1]!nonzeroQtysOfList($F$14, $Q$14, InitialOrderTable2[[#This Row],[Name]], FilterSpecs!$A$7)</f>
        <v>#VALUE!</v>
      </c>
      <c r="AB113" s="29" t="e">
        <f>[1]!nonzeroQtysOfList($F$14, $Q$14, InitialOrderTable2['# Initial], FilterSpecs!$A$7)</f>
        <v>#VALUE!</v>
      </c>
      <c r="AC113" s="29" t="e">
        <f>[1]!nonzeroQtysOfList($F$14, $Q$14, InitialOrderTable2[SKU], FilterSpecs!$A$7)</f>
        <v>#VALUE!</v>
      </c>
      <c r="AJ113" s="146"/>
    </row>
    <row r="114" spans="1:36" s="153" customFormat="1" x14ac:dyDescent="0.25">
      <c r="A114" s="150" t="s">
        <v>887</v>
      </c>
      <c r="B114" s="150" t="s">
        <v>2014</v>
      </c>
      <c r="C114" s="150" t="s">
        <v>1884</v>
      </c>
      <c r="D114" s="151" t="str">
        <f>IF(MouserListTable[[#This Row],[Vendor]]=FilterSpecs!$A$8,MouserListTable[[#This Row],[Mouser SKU]], MouserListTable[[#This Row],[Supplier SKU]])</f>
        <v>485-743</v>
      </c>
      <c r="E114" s="152">
        <f>MouserListTable[[#This Row],[Tot '#]]-MouserListTable[[#This Row],['# Initial]]</f>
        <v>1</v>
      </c>
      <c r="F114" s="152">
        <f>IF(AND(MouserListTable[[#This Row],[Tag]]&lt;&gt;FilterSpecs!$F$12, MouserListTable[[#This Row],[Tag]]&lt;&gt;FilterSpecs!$F$9), MouserListTable[[#This Row],['#/Unit]]*FilterSpecs!$B$3+MouserListTable[[#This Row],[Extra Initial]],0)</f>
        <v>5</v>
      </c>
      <c r="G114" s="150"/>
      <c r="H114" s="150"/>
      <c r="I114" s="150" t="s">
        <v>2063</v>
      </c>
      <c r="J114" s="150"/>
      <c r="K114" s="154">
        <v>2.5</v>
      </c>
      <c r="L114" s="150" t="s">
        <v>1897</v>
      </c>
      <c r="M114" s="151"/>
      <c r="N114" s="154">
        <f>MouserListTable[[#This Row],['# Initial]]*MouserListTable[[#This Row],[Price (USD)]]</f>
        <v>12.5</v>
      </c>
      <c r="O114" s="151" t="s">
        <v>2064</v>
      </c>
      <c r="P114" s="150">
        <f t="shared" si="1"/>
        <v>101</v>
      </c>
      <c r="Q114" s="150" t="s">
        <v>1884</v>
      </c>
      <c r="R11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485-743</v>
      </c>
      <c r="S114" s="157" t="str">
        <f>HYPERLINK("https://www.mouser.com/ProductDetail/" &amp;MouserListTable[[#This Row],[Mouser SKU]])</f>
        <v>https://www.mouser.com/ProductDetail/485-743</v>
      </c>
      <c r="T114" s="152">
        <v>1</v>
      </c>
      <c r="U114" s="152">
        <v>1</v>
      </c>
      <c r="V114" s="152">
        <v>0</v>
      </c>
      <c r="W114" s="152">
        <f>MouserListTable[[#This Row],['#/Unit]]*FilterSpecs!$C$3+MouserListTable[[#This Row],[Extra]]</f>
        <v>6</v>
      </c>
      <c r="X114" s="152">
        <f>IF(MouserListTable[[#This Row],[Tag]]=FilterSpecs!$F$7,MouserListTable[[#This Row],['#/Unit]]*MouserListTable[[#This Row],[Price (USD)]],0)</f>
        <v>2.5</v>
      </c>
      <c r="Y114" s="152">
        <f>MouserListTable[[#This Row],[Tot '#]]*MouserListTable[[#This Row],[Price (USD)]]</f>
        <v>15</v>
      </c>
      <c r="Z114" s="146"/>
      <c r="AA114" s="29" t="e">
        <f>[1]!nonzeroQtysOfList($F$14, $Q$14, InitialOrderTable2[[#This Row],[Name]], FilterSpecs!$A$7)</f>
        <v>#VALUE!</v>
      </c>
      <c r="AB114" s="29" t="e">
        <f>[1]!nonzeroQtysOfList($F$14, $Q$14, InitialOrderTable2['# Initial], FilterSpecs!$A$7)</f>
        <v>#VALUE!</v>
      </c>
      <c r="AC114" s="29" t="e">
        <f>[1]!nonzeroQtysOfList($F$14, $Q$14, InitialOrderTable2[SKU], FilterSpecs!$A$7)</f>
        <v>#VALUE!</v>
      </c>
      <c r="AJ114" s="146"/>
    </row>
    <row r="115" spans="1:36" s="153" customFormat="1" x14ac:dyDescent="0.25">
      <c r="A115" s="97" t="s">
        <v>887</v>
      </c>
      <c r="B115" s="97" t="s">
        <v>2014</v>
      </c>
      <c r="C115" s="150" t="s">
        <v>5</v>
      </c>
      <c r="D115" s="151" t="str">
        <f>IF(MouserListTable[[#This Row],[Vendor]]=FilterSpecs!$A$8,MouserListTable[[#This Row],[Mouser SKU]], MouserListTable[[#This Row],[Supplier SKU]])</f>
        <v>474-PRT-10288</v>
      </c>
      <c r="E115" s="152">
        <f>MouserListTable[[#This Row],[Tot '#]]-MouserListTable[[#This Row],['# Initial]]</f>
        <v>0</v>
      </c>
      <c r="F115" s="152">
        <f>IF(AND(MouserListTable[[#This Row],[Tag]]&lt;&gt;FilterSpecs!$F$12, MouserListTable[[#This Row],[Tag]]&lt;&gt;FilterSpecs!$F$9), MouserListTable[[#This Row],['#/Unit]]*FilterSpecs!$B$3+MouserListTable[[#This Row],[Extra Initial]],0)</f>
        <v>0</v>
      </c>
      <c r="G115" s="150" t="s">
        <v>1020</v>
      </c>
      <c r="H115" s="150" t="s">
        <v>1021</v>
      </c>
      <c r="I115" s="150" t="s">
        <v>1022</v>
      </c>
      <c r="J115" s="150"/>
      <c r="K115" s="154">
        <v>2.95</v>
      </c>
      <c r="L115" s="150" t="s">
        <v>1898</v>
      </c>
      <c r="M115" s="150"/>
      <c r="N115" s="154">
        <f>MouserListTable[[#This Row],['# Initial]]*MouserListTable[[#This Row],[Price (USD)]]</f>
        <v>0</v>
      </c>
      <c r="O115" s="151" t="s">
        <v>1019</v>
      </c>
      <c r="P115" s="150">
        <f t="shared" si="1"/>
        <v>102</v>
      </c>
      <c r="Q115" s="150" t="s">
        <v>5</v>
      </c>
      <c r="R11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474-PRT-10288</v>
      </c>
      <c r="S115" s="157" t="str">
        <f>HYPERLINK("https://www.mouser.com/ProductDetail/" &amp;MouserListTable[[#This Row],[Mouser SKU]])</f>
        <v>https://www.mouser.com/ProductDetail/474-PRT-10288</v>
      </c>
      <c r="T115" s="152">
        <v>0</v>
      </c>
      <c r="U115" s="152">
        <v>0</v>
      </c>
      <c r="V115" s="152">
        <v>0</v>
      </c>
      <c r="W115" s="152">
        <f>MouserListTable[[#This Row],['#/Unit]]*FilterSpecs!$C$3+MouserListTable[[#This Row],[Extra]]</f>
        <v>0</v>
      </c>
      <c r="X115" s="152">
        <f>IF(MouserListTable[[#This Row],[Tag]]=FilterSpecs!$F$7,MouserListTable[[#This Row],['#/Unit]]*MouserListTable[[#This Row],[Price (USD)]],0)</f>
        <v>0</v>
      </c>
      <c r="Y115" s="152">
        <f>MouserListTable[[#This Row],[Tot '#]]*MouserListTable[[#This Row],[Price (USD)]]</f>
        <v>0</v>
      </c>
      <c r="Z115" s="146"/>
      <c r="AA115" s="29" t="e">
        <f>[1]!nonzeroQtysOfList($F$14, $Q$14, InitialOrderTable2[[#This Row],[Name]], FilterSpecs!$A$7)</f>
        <v>#VALUE!</v>
      </c>
      <c r="AB115" s="29" t="e">
        <f>[1]!nonzeroQtysOfList($F$14, $Q$14, InitialOrderTable2['# Initial], FilterSpecs!$A$7)</f>
        <v>#VALUE!</v>
      </c>
      <c r="AC115" s="29" t="e">
        <f>[1]!nonzeroQtysOfList($F$14, $Q$14, InitialOrderTable2[SKU], FilterSpecs!$A$7)</f>
        <v>#VALUE!</v>
      </c>
      <c r="AJ115" s="146"/>
    </row>
    <row r="116" spans="1:36" s="153" customFormat="1" x14ac:dyDescent="0.25">
      <c r="A116" s="97" t="s">
        <v>887</v>
      </c>
      <c r="B116" s="97" t="s">
        <v>2014</v>
      </c>
      <c r="C116" s="150" t="s">
        <v>5</v>
      </c>
      <c r="D116" s="151" t="str">
        <f>IF(MouserListTable[[#This Row],[Vendor]]=FilterSpecs!$A$8,MouserListTable[[#This Row],[Mouser SKU]], MouserListTable[[#This Row],[Supplier SKU]])</f>
        <v>474-PRT-10287</v>
      </c>
      <c r="E116" s="152">
        <f>MouserListTable[[#This Row],[Tot '#]]-MouserListTable[[#This Row],['# Initial]]</f>
        <v>0</v>
      </c>
      <c r="F116" s="152">
        <f>IF(AND(MouserListTable[[#This Row],[Tag]]&lt;&gt;FilterSpecs!$F$12, MouserListTable[[#This Row],[Tag]]&lt;&gt;FilterSpecs!$F$9), MouserListTable[[#This Row],['#/Unit]]*FilterSpecs!$B$3+MouserListTable[[#This Row],[Extra Initial]],0)</f>
        <v>0</v>
      </c>
      <c r="G116" s="150" t="s">
        <v>809</v>
      </c>
      <c r="H116" s="150" t="s">
        <v>810</v>
      </c>
      <c r="I116" s="150" t="s">
        <v>811</v>
      </c>
      <c r="J116" s="150"/>
      <c r="K116" s="154">
        <v>2.95</v>
      </c>
      <c r="L116" s="150" t="s">
        <v>1898</v>
      </c>
      <c r="M116" s="150"/>
      <c r="N116" s="154">
        <f>MouserListTable[[#This Row],['# Initial]]*MouserListTable[[#This Row],[Price (USD)]]</f>
        <v>0</v>
      </c>
      <c r="O116" s="151" t="s">
        <v>808</v>
      </c>
      <c r="P116" s="150">
        <f t="shared" si="1"/>
        <v>103</v>
      </c>
      <c r="Q116" s="150" t="s">
        <v>5</v>
      </c>
      <c r="R11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474-PRT-10287</v>
      </c>
      <c r="S116" s="157" t="str">
        <f>HYPERLINK("https://www.mouser.com/ProductDetail/" &amp;MouserListTable[[#This Row],[Mouser SKU]])</f>
        <v>https://www.mouser.com/ProductDetail/474-PRT-10287</v>
      </c>
      <c r="T116" s="152">
        <v>0</v>
      </c>
      <c r="U116" s="152">
        <v>0</v>
      </c>
      <c r="V116" s="152">
        <v>0</v>
      </c>
      <c r="W116" s="152">
        <f>MouserListTable[[#This Row],['#/Unit]]*FilterSpecs!$C$3+MouserListTable[[#This Row],[Extra]]</f>
        <v>0</v>
      </c>
      <c r="X116" s="152">
        <f>IF(MouserListTable[[#This Row],[Tag]]=FilterSpecs!$F$7,MouserListTable[[#This Row],['#/Unit]]*MouserListTable[[#This Row],[Price (USD)]],0)</f>
        <v>0</v>
      </c>
      <c r="Y116" s="152">
        <f>MouserListTable[[#This Row],[Tot '#]]*MouserListTable[[#This Row],[Price (USD)]]</f>
        <v>0</v>
      </c>
      <c r="Z116" s="146"/>
      <c r="AA116" s="29" t="e">
        <f>[1]!nonzeroQtysOfList($F$14, $Q$14, InitialOrderTable2[[#This Row],[Name]], FilterSpecs!$A$7)</f>
        <v>#VALUE!</v>
      </c>
      <c r="AB116" s="29" t="e">
        <f>[1]!nonzeroQtysOfList($F$14, $Q$14, InitialOrderTable2['# Initial], FilterSpecs!$A$7)</f>
        <v>#VALUE!</v>
      </c>
      <c r="AC116" s="29" t="e">
        <f>[1]!nonzeroQtysOfList($F$14, $Q$14, InitialOrderTable2[SKU], FilterSpecs!$A$7)</f>
        <v>#VALUE!</v>
      </c>
      <c r="AJ116" s="146"/>
    </row>
    <row r="117" spans="1:36" s="104" customFormat="1" x14ac:dyDescent="0.25">
      <c r="A117" s="97" t="s">
        <v>887</v>
      </c>
      <c r="B117" s="97" t="s">
        <v>2014</v>
      </c>
      <c r="C117" s="150" t="s">
        <v>1884</v>
      </c>
      <c r="D117" s="151" t="str">
        <f>IF(MouserListTable[[#This Row],[Vendor]]=FilterSpecs!$A$8,MouserListTable[[#This Row],[Mouser SKU]], MouserListTable[[#This Row],[Supplier SKU]])</f>
        <v>485-368</v>
      </c>
      <c r="E117" s="152">
        <f>MouserListTable[[#This Row],[Tot '#]]-MouserListTable[[#This Row],['# Initial]]</f>
        <v>0</v>
      </c>
      <c r="F117" s="152">
        <f>IF(AND(MouserListTable[[#This Row],[Tag]]&lt;&gt;FilterSpecs!$F$12, MouserListTable[[#This Row],[Tag]]&lt;&gt;FilterSpecs!$F$9), MouserListTable[[#This Row],['#/Unit]]*FilterSpecs!$B$3+MouserListTable[[#This Row],[Extra Initial]],0)</f>
        <v>0</v>
      </c>
      <c r="G117" s="150"/>
      <c r="H117" s="150"/>
      <c r="I117" s="150" t="s">
        <v>2199</v>
      </c>
      <c r="J117" s="150"/>
      <c r="K117" s="154">
        <v>2</v>
      </c>
      <c r="L117" s="150" t="s">
        <v>1896</v>
      </c>
      <c r="M117" s="150"/>
      <c r="N117" s="154">
        <f>MouserListTable[[#This Row],['# Initial]]*MouserListTable[[#This Row],[Price (USD)]]</f>
        <v>0</v>
      </c>
      <c r="O117" s="151" t="s">
        <v>2198</v>
      </c>
      <c r="P117" s="150">
        <f t="shared" si="1"/>
        <v>104</v>
      </c>
      <c r="Q117" s="150" t="s">
        <v>1884</v>
      </c>
      <c r="R11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485-368</v>
      </c>
      <c r="S117" s="157" t="str">
        <f>HYPERLINK("https://www.mouser.com/ProductDetail/" &amp;MouserListTable[[#This Row],[Mouser SKU]])</f>
        <v>https://www.mouser.com/ProductDetail/485-368</v>
      </c>
      <c r="T117" s="152">
        <v>0</v>
      </c>
      <c r="U117" s="152">
        <v>0</v>
      </c>
      <c r="V117" s="152">
        <v>0</v>
      </c>
      <c r="W117" s="152">
        <f>MouserListTable[[#This Row],['#/Unit]]*FilterSpecs!$C$3+MouserListTable[[#This Row],[Extra]]</f>
        <v>0</v>
      </c>
      <c r="X117" s="152">
        <f>IF(MouserListTable[[#This Row],[Tag]]=FilterSpecs!$F$7,MouserListTable[[#This Row],['#/Unit]]*MouserListTable[[#This Row],[Price (USD)]],0)</f>
        <v>0</v>
      </c>
      <c r="Y117" s="152">
        <f>MouserListTable[[#This Row],[Tot '#]]*MouserListTable[[#This Row],[Price (USD)]]</f>
        <v>0</v>
      </c>
      <c r="Z117" s="146"/>
      <c r="AA117" s="29" t="e">
        <f>[1]!nonzeroQtysOfList($F$14, $Q$14, InitialOrderTable2[[#This Row],[Name]], FilterSpecs!$A$7)</f>
        <v>#VALUE!</v>
      </c>
      <c r="AB117" s="29" t="e">
        <f>[1]!nonzeroQtysOfList($F$14, $Q$14, InitialOrderTable2['# Initial], FilterSpecs!$A$7)</f>
        <v>#VALUE!</v>
      </c>
      <c r="AC117" s="29" t="e">
        <f>[1]!nonzeroQtysOfList($F$14, $Q$14, InitialOrderTable2[SKU], FilterSpecs!$A$7)</f>
        <v>#VALUE!</v>
      </c>
      <c r="AJ117" s="146"/>
    </row>
    <row r="118" spans="1:36" s="104" customFormat="1" x14ac:dyDescent="0.25">
      <c r="A118" s="97" t="s">
        <v>887</v>
      </c>
      <c r="B118" s="97" t="s">
        <v>2014</v>
      </c>
      <c r="C118" s="150" t="s">
        <v>1884</v>
      </c>
      <c r="D118" s="151" t="str">
        <f>IF(MouserListTable[[#This Row],[Vendor]]=FilterSpecs!$A$8,MouserListTable[[#This Row],[Mouser SKU]], MouserListTable[[#This Row],[Supplier SKU]])</f>
        <v>485-369</v>
      </c>
      <c r="E118" s="152">
        <f>MouserListTable[[#This Row],[Tot '#]]-MouserListTable[[#This Row],['# Initial]]</f>
        <v>0</v>
      </c>
      <c r="F118" s="152">
        <f>IF(AND(MouserListTable[[#This Row],[Tag]]&lt;&gt;FilterSpecs!$F$12, MouserListTable[[#This Row],[Tag]]&lt;&gt;FilterSpecs!$F$9), MouserListTable[[#This Row],['#/Unit]]*FilterSpecs!$B$3+MouserListTable[[#This Row],[Extra Initial]],0)</f>
        <v>0</v>
      </c>
      <c r="G118" s="150"/>
      <c r="H118" s="150"/>
      <c r="I118" s="150" t="s">
        <v>2201</v>
      </c>
      <c r="J118" s="150"/>
      <c r="K118" s="154">
        <v>2</v>
      </c>
      <c r="L118" s="150" t="s">
        <v>1896</v>
      </c>
      <c r="M118" s="150"/>
      <c r="N118" s="154">
        <f>MouserListTable[[#This Row],['# Initial]]*MouserListTable[[#This Row],[Price (USD)]]</f>
        <v>0</v>
      </c>
      <c r="O118" s="151" t="s">
        <v>2200</v>
      </c>
      <c r="P118" s="150">
        <f t="shared" si="1"/>
        <v>105</v>
      </c>
      <c r="Q118" s="150" t="s">
        <v>1884</v>
      </c>
      <c r="R11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485-369</v>
      </c>
      <c r="S118" s="157" t="str">
        <f>HYPERLINK("https://www.mouser.com/ProductDetail/" &amp;MouserListTable[[#This Row],[Mouser SKU]])</f>
        <v>https://www.mouser.com/ProductDetail/485-369</v>
      </c>
      <c r="T118" s="152">
        <v>0</v>
      </c>
      <c r="U118" s="152">
        <v>0</v>
      </c>
      <c r="V118" s="152">
        <v>0</v>
      </c>
      <c r="W118" s="152">
        <f>MouserListTable[[#This Row],['#/Unit]]*FilterSpecs!$C$3+MouserListTable[[#This Row],[Extra]]</f>
        <v>0</v>
      </c>
      <c r="X118" s="152">
        <f>IF(MouserListTable[[#This Row],[Tag]]=FilterSpecs!$F$7,MouserListTable[[#This Row],['#/Unit]]*MouserListTable[[#This Row],[Price (USD)]],0)</f>
        <v>0</v>
      </c>
      <c r="Y118" s="152">
        <f>MouserListTable[[#This Row],[Tot '#]]*MouserListTable[[#This Row],[Price (USD)]]</f>
        <v>0</v>
      </c>
      <c r="Z118" s="146"/>
      <c r="AA118" s="29" t="e">
        <f>[1]!nonzeroQtysOfList($F$14, $Q$14, InitialOrderTable2[[#This Row],[Name]], FilterSpecs!$A$7)</f>
        <v>#VALUE!</v>
      </c>
      <c r="AB118" s="29" t="e">
        <f>[1]!nonzeroQtysOfList($F$14, $Q$14, InitialOrderTable2['# Initial], FilterSpecs!$A$7)</f>
        <v>#VALUE!</v>
      </c>
      <c r="AC118" s="29" t="e">
        <f>[1]!nonzeroQtysOfList($F$14, $Q$14, InitialOrderTable2[SKU], FilterSpecs!$A$7)</f>
        <v>#VALUE!</v>
      </c>
      <c r="AJ118" s="146"/>
    </row>
    <row r="119" spans="1:36" s="104" customFormat="1" x14ac:dyDescent="0.25">
      <c r="A119" s="150" t="s">
        <v>887</v>
      </c>
      <c r="B119" s="150" t="s">
        <v>2014</v>
      </c>
      <c r="C119" s="150" t="s">
        <v>5</v>
      </c>
      <c r="D119" s="151" t="str">
        <f>IF(MouserListTable[[#This Row],[Vendor]]=FilterSpecs!$A$8,MouserListTable[[#This Row],[Mouser SKU]], MouserListTable[[#This Row],[Supplier SKU]])</f>
        <v>474-PRT-13126</v>
      </c>
      <c r="E119" s="152">
        <f>MouserListTable[[#This Row],[Tot '#]]-MouserListTable[[#This Row],['# Initial]]</f>
        <v>2</v>
      </c>
      <c r="F119" s="152">
        <f>IF(AND(MouserListTable[[#This Row],[Tag]]&lt;&gt;FilterSpecs!$F$12, MouserListTable[[#This Row],[Tag]]&lt;&gt;FilterSpecs!$F$9), MouserListTable[[#This Row],['#/Unit]]*FilterSpecs!$B$3+MouserListTable[[#This Row],[Extra Initial]],0)</f>
        <v>0</v>
      </c>
      <c r="G119" s="150" t="s">
        <v>958</v>
      </c>
      <c r="H119" s="150" t="s">
        <v>959</v>
      </c>
      <c r="I119" s="150" t="s">
        <v>960</v>
      </c>
      <c r="J119" s="150">
        <v>1</v>
      </c>
      <c r="K119" s="154">
        <v>0.95</v>
      </c>
      <c r="L119" s="150" t="s">
        <v>1897</v>
      </c>
      <c r="M119" s="150"/>
      <c r="N119" s="154">
        <f>MouserListTable[[#This Row],['# Initial]]*MouserListTable[[#This Row],[Price (USD)]]</f>
        <v>0</v>
      </c>
      <c r="O119" s="151" t="s">
        <v>957</v>
      </c>
      <c r="P119" s="150">
        <f t="shared" si="1"/>
        <v>106</v>
      </c>
      <c r="Q119" s="150" t="s">
        <v>5</v>
      </c>
      <c r="R11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474-PRT-13126</v>
      </c>
      <c r="S119" s="157" t="str">
        <f>HYPERLINK("https://www.mouser.com/ProductDetail/" &amp;MouserListTable[[#This Row],[Mouser SKU]])</f>
        <v>https://www.mouser.com/ProductDetail/474-PRT-13126</v>
      </c>
      <c r="T119" s="152">
        <v>0</v>
      </c>
      <c r="U119" s="152">
        <v>2</v>
      </c>
      <c r="V119" s="152">
        <v>0</v>
      </c>
      <c r="W119" s="152">
        <f>MouserListTable[[#This Row],['#/Unit]]*FilterSpecs!$C$3+MouserListTable[[#This Row],[Extra]]</f>
        <v>2</v>
      </c>
      <c r="X119" s="152">
        <f>IF(MouserListTable[[#This Row],[Tag]]=FilterSpecs!$F$7,MouserListTable[[#This Row],['#/Unit]]*MouserListTable[[#This Row],[Price (USD)]],0)</f>
        <v>0</v>
      </c>
      <c r="Y119" s="152">
        <f>MouserListTable[[#This Row],[Tot '#]]*MouserListTable[[#This Row],[Price (USD)]]</f>
        <v>1.9</v>
      </c>
      <c r="Z119" s="146"/>
      <c r="AA119" s="29" t="e">
        <f>[1]!nonzeroQtysOfList($F$14, $Q$14, InitialOrderTable2[[#This Row],[Name]], FilterSpecs!$A$7)</f>
        <v>#VALUE!</v>
      </c>
      <c r="AB119" s="29" t="e">
        <f>[1]!nonzeroQtysOfList($F$14, $Q$14, InitialOrderTable2['# Initial], FilterSpecs!$A$7)</f>
        <v>#VALUE!</v>
      </c>
      <c r="AC119" s="29" t="e">
        <f>[1]!nonzeroQtysOfList($F$14, $Q$14, InitialOrderTable2[SKU], FilterSpecs!$A$7)</f>
        <v>#VALUE!</v>
      </c>
      <c r="AJ119" s="146"/>
    </row>
    <row r="120" spans="1:36" s="153" customFormat="1" x14ac:dyDescent="0.25">
      <c r="A120" s="150" t="s">
        <v>887</v>
      </c>
      <c r="B120" s="150" t="s">
        <v>2014</v>
      </c>
      <c r="C120" s="150" t="s">
        <v>5</v>
      </c>
      <c r="D120" s="151" t="str">
        <f>IF(MouserListTable[[#This Row],[Vendor]]=FilterSpecs!$A$8,MouserListTable[[#This Row],[Mouser SKU]], MouserListTable[[#This Row],[Supplier SKU]])</f>
        <v>474-PRT-11476</v>
      </c>
      <c r="E120" s="152">
        <f>MouserListTable[[#This Row],[Tot '#]]-MouserListTable[[#This Row],['# Initial]]</f>
        <v>1</v>
      </c>
      <c r="F120" s="152">
        <f>IF(AND(MouserListTable[[#This Row],[Tag]]&lt;&gt;FilterSpecs!$F$12, MouserListTable[[#This Row],[Tag]]&lt;&gt;FilterSpecs!$F$9), MouserListTable[[#This Row],['#/Unit]]*FilterSpecs!$B$3+MouserListTable[[#This Row],[Extra Initial]],0)</f>
        <v>5</v>
      </c>
      <c r="G120" s="150" t="s">
        <v>1016</v>
      </c>
      <c r="H120" s="150" t="s">
        <v>1017</v>
      </c>
      <c r="I120" s="150" t="s">
        <v>1018</v>
      </c>
      <c r="J120" s="153">
        <v>1</v>
      </c>
      <c r="K120" s="154">
        <v>0.95</v>
      </c>
      <c r="L120" s="150" t="s">
        <v>1897</v>
      </c>
      <c r="M120" s="151"/>
      <c r="N120" s="154">
        <f>MouserListTable[[#This Row],['# Initial]]*MouserListTable[[#This Row],[Price (USD)]]</f>
        <v>4.75</v>
      </c>
      <c r="O120" s="151" t="s">
        <v>1015</v>
      </c>
      <c r="P120" s="150">
        <f t="shared" si="1"/>
        <v>107</v>
      </c>
      <c r="Q120" s="150" t="s">
        <v>5</v>
      </c>
      <c r="R12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474-PRT-11476</v>
      </c>
      <c r="S120" s="157" t="str">
        <f>HYPERLINK("https://www.mouser.com/ProductDetail/" &amp;MouserListTable[[#This Row],[Mouser SKU]])</f>
        <v>https://www.mouser.com/ProductDetail/474-PRT-11476</v>
      </c>
      <c r="T120" s="152">
        <v>1</v>
      </c>
      <c r="U120" s="152">
        <v>1</v>
      </c>
      <c r="V120" s="152">
        <v>0</v>
      </c>
      <c r="W120" s="152">
        <f>MouserListTable[[#This Row],['#/Unit]]*FilterSpecs!$C$3+MouserListTable[[#This Row],[Extra]]</f>
        <v>6</v>
      </c>
      <c r="X120" s="152">
        <f>IF(MouserListTable[[#This Row],[Tag]]=FilterSpecs!$F$7,MouserListTable[[#This Row],['#/Unit]]*MouserListTable[[#This Row],[Price (USD)]],0)</f>
        <v>0.95</v>
      </c>
      <c r="Y120" s="152">
        <f>MouserListTable[[#This Row],[Tot '#]]*MouserListTable[[#This Row],[Price (USD)]]</f>
        <v>5.6999999999999993</v>
      </c>
      <c r="Z120" s="146"/>
      <c r="AA120" s="29" t="e">
        <f>[1]!nonzeroQtysOfList($F$14, $Q$14, InitialOrderTable2[[#This Row],[Name]], FilterSpecs!$A$7)</f>
        <v>#VALUE!</v>
      </c>
      <c r="AB120" s="29" t="e">
        <f>[1]!nonzeroQtysOfList($F$14, $Q$14, InitialOrderTable2['# Initial], FilterSpecs!$A$7)</f>
        <v>#VALUE!</v>
      </c>
      <c r="AC120" s="29" t="e">
        <f>[1]!nonzeroQtysOfList($F$14, $Q$14, InitialOrderTable2[SKU], FilterSpecs!$A$7)</f>
        <v>#VALUE!</v>
      </c>
      <c r="AJ120" s="146"/>
    </row>
    <row r="121" spans="1:36" s="153" customFormat="1" x14ac:dyDescent="0.25">
      <c r="A121" s="150" t="s">
        <v>887</v>
      </c>
      <c r="B121" s="150" t="s">
        <v>2014</v>
      </c>
      <c r="C121" s="150" t="s">
        <v>5</v>
      </c>
      <c r="D121" s="151" t="str">
        <f>IF(MouserListTable[[#This Row],[Vendor]]=FilterSpecs!$A$8,MouserListTable[[#This Row],[Mouser SKU]], MouserListTable[[#This Row],[Supplier SKU]])</f>
        <v>474-PRT-11474</v>
      </c>
      <c r="E121" s="152">
        <f>MouserListTable[[#This Row],[Tot '#]]-MouserListTable[[#This Row],['# Initial]]</f>
        <v>4</v>
      </c>
      <c r="F121" s="152">
        <f>IF(AND(MouserListTable[[#This Row],[Tag]]&lt;&gt;FilterSpecs!$F$12, MouserListTable[[#This Row],[Tag]]&lt;&gt;FilterSpecs!$F$9), MouserListTable[[#This Row],['#/Unit]]*FilterSpecs!$B$3+MouserListTable[[#This Row],[Extra Initial]],0)</f>
        <v>0</v>
      </c>
      <c r="G121" s="150" t="s">
        <v>2397</v>
      </c>
      <c r="H121" s="150" t="s">
        <v>2398</v>
      </c>
      <c r="I121" s="150" t="s">
        <v>2399</v>
      </c>
      <c r="J121" s="153">
        <v>1</v>
      </c>
      <c r="K121" s="154">
        <v>0.3</v>
      </c>
      <c r="L121" s="150" t="s">
        <v>1896</v>
      </c>
      <c r="M121" s="151"/>
      <c r="N121" s="154">
        <f>MouserListTable[[#This Row],['# Initial]]*MouserListTable[[#This Row],[Price (USD)]]</f>
        <v>0</v>
      </c>
      <c r="O121" s="151" t="s">
        <v>2396</v>
      </c>
      <c r="P121" s="150">
        <f t="shared" si="1"/>
        <v>108</v>
      </c>
      <c r="Q121" s="150" t="s">
        <v>5</v>
      </c>
      <c r="R12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474-PRT-11474</v>
      </c>
      <c r="S121" s="157" t="str">
        <f>HYPERLINK("https://www.mouser.com/ProductDetail/" &amp;MouserListTable[[#This Row],[Mouser SKU]])</f>
        <v>https://www.mouser.com/ProductDetail/474-PRT-11474</v>
      </c>
      <c r="T121" s="152">
        <v>0</v>
      </c>
      <c r="U121" s="152">
        <v>4</v>
      </c>
      <c r="V121" s="152">
        <v>0</v>
      </c>
      <c r="W121" s="152">
        <f>MouserListTable[[#This Row],['#/Unit]]*FilterSpecs!$C$3+MouserListTable[[#This Row],[Extra]]</f>
        <v>4</v>
      </c>
      <c r="X121" s="152">
        <f>IF(MouserListTable[[#This Row],[Tag]]=FilterSpecs!$F$7,MouserListTable[[#This Row],['#/Unit]]*MouserListTable[[#This Row],[Price (USD)]],0)</f>
        <v>0</v>
      </c>
      <c r="Y121" s="152">
        <f>MouserListTable[[#This Row],[Tot '#]]*MouserListTable[[#This Row],[Price (USD)]]</f>
        <v>1.2</v>
      </c>
      <c r="Z121" s="146"/>
      <c r="AA121" s="29" t="e">
        <f>[1]!nonzeroQtysOfList($F$14, $Q$14, InitialOrderTable2[[#This Row],[Name]], FilterSpecs!$A$7)</f>
        <v>#VALUE!</v>
      </c>
      <c r="AB121" s="29" t="e">
        <f>[1]!nonzeroQtysOfList($F$14, $Q$14, InitialOrderTable2['# Initial], FilterSpecs!$A$7)</f>
        <v>#VALUE!</v>
      </c>
      <c r="AC121" s="29" t="e">
        <f>[1]!nonzeroQtysOfList($F$14, $Q$14, InitialOrderTable2[SKU], FilterSpecs!$A$7)</f>
        <v>#VALUE!</v>
      </c>
      <c r="AJ121" s="146"/>
    </row>
    <row r="122" spans="1:36" s="153" customFormat="1" x14ac:dyDescent="0.25">
      <c r="A122" s="150" t="s">
        <v>887</v>
      </c>
      <c r="B122" s="150" t="s">
        <v>2014</v>
      </c>
      <c r="C122" s="150" t="s">
        <v>1884</v>
      </c>
      <c r="D122" s="151" t="str">
        <f>IF(MouserListTable[[#This Row],[Vendor]]=FilterSpecs!$A$8,MouserListTable[[#This Row],[Mouser SKU]], MouserListTable[[#This Row],[Supplier SKU]])</f>
        <v>485-1829</v>
      </c>
      <c r="E122" s="152">
        <f>MouserListTable[[#This Row],[Tot '#]]-MouserListTable[[#This Row],['# Initial]]</f>
        <v>0</v>
      </c>
      <c r="F122" s="152">
        <f>IF(AND(MouserListTable[[#This Row],[Tag]]&lt;&gt;FilterSpecs!$F$12, MouserListTable[[#This Row],[Tag]]&lt;&gt;FilterSpecs!$F$9), MouserListTable[[#This Row],['#/Unit]]*FilterSpecs!$B$3+MouserListTable[[#This Row],[Extra Initial]],0)</f>
        <v>0</v>
      </c>
      <c r="G122" s="150"/>
      <c r="H122" s="150"/>
      <c r="I122" s="150" t="s">
        <v>2265</v>
      </c>
      <c r="K122" s="118">
        <v>0.95</v>
      </c>
      <c r="L122" s="97" t="s">
        <v>1896</v>
      </c>
      <c r="N122" s="154">
        <f>MouserListTable[[#This Row],['# Initial]]*MouserListTable[[#This Row],[Price (USD)]]</f>
        <v>0</v>
      </c>
      <c r="O122" s="151" t="s">
        <v>2264</v>
      </c>
      <c r="P122" s="150">
        <f t="shared" si="1"/>
        <v>109</v>
      </c>
      <c r="Q122" s="150" t="s">
        <v>1884</v>
      </c>
      <c r="R12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485-1829</v>
      </c>
      <c r="S122" s="157" t="str">
        <f>HYPERLINK("https://www.mouser.com/ProductDetail/" &amp;MouserListTable[[#This Row],[Mouser SKU]])</f>
        <v>https://www.mouser.com/ProductDetail/485-1829</v>
      </c>
      <c r="T122" s="152">
        <v>0</v>
      </c>
      <c r="U122" s="152">
        <v>0</v>
      </c>
      <c r="V122" s="152">
        <v>0</v>
      </c>
      <c r="W122" s="152">
        <f>MouserListTable[[#This Row],['#/Unit]]*FilterSpecs!$C$3+MouserListTable[[#This Row],[Extra]]</f>
        <v>0</v>
      </c>
      <c r="X122" s="152">
        <f>IF(MouserListTable[[#This Row],[Tag]]=FilterSpecs!$F$7,MouserListTable[[#This Row],['#/Unit]]*MouserListTable[[#This Row],[Price (USD)]],0)</f>
        <v>0</v>
      </c>
      <c r="Y122" s="152">
        <f>MouserListTable[[#This Row],[Tot '#]]*MouserListTable[[#This Row],[Price (USD)]]</f>
        <v>0</v>
      </c>
      <c r="Z122" s="146"/>
      <c r="AA122" s="29" t="e">
        <f>[1]!nonzeroQtysOfList($F$14, $Q$14, InitialOrderTable2[[#This Row],[Name]], FilterSpecs!$A$7)</f>
        <v>#VALUE!</v>
      </c>
      <c r="AB122" s="29" t="e">
        <f>[1]!nonzeroQtysOfList($F$14, $Q$14, InitialOrderTable2['# Initial], FilterSpecs!$A$7)</f>
        <v>#VALUE!</v>
      </c>
      <c r="AC122" s="29" t="e">
        <f>[1]!nonzeroQtysOfList($F$14, $Q$14, InitialOrderTable2[SKU], FilterSpecs!$A$7)</f>
        <v>#VALUE!</v>
      </c>
      <c r="AJ122" s="146"/>
    </row>
    <row r="123" spans="1:36" s="153" customFormat="1" x14ac:dyDescent="0.25">
      <c r="A123" s="97" t="s">
        <v>887</v>
      </c>
      <c r="B123" s="97" t="s">
        <v>2014</v>
      </c>
      <c r="C123" s="150" t="s">
        <v>1884</v>
      </c>
      <c r="D123" s="151" t="str">
        <f>IF(MouserListTable[[#This Row],[Vendor]]=FilterSpecs!$A$8,MouserListTable[[#This Row],[Mouser SKU]], MouserListTable[[#This Row],[Supplier SKU]])</f>
        <v>485-1388</v>
      </c>
      <c r="E123" s="152">
        <f>MouserListTable[[#This Row],[Tot '#]]-MouserListTable[[#This Row],['# Initial]]</f>
        <v>0</v>
      </c>
      <c r="F123" s="152">
        <f>IF(AND(MouserListTable[[#This Row],[Tag]]&lt;&gt;FilterSpecs!$F$12, MouserListTable[[#This Row],[Tag]]&lt;&gt;FilterSpecs!$F$9), MouserListTable[[#This Row],['#/Unit]]*FilterSpecs!$B$3+MouserListTable[[#This Row],[Extra Initial]],0)</f>
        <v>0</v>
      </c>
      <c r="G123" s="150"/>
      <c r="H123" s="150"/>
      <c r="I123" s="150" t="s">
        <v>2267</v>
      </c>
      <c r="J123" s="150"/>
      <c r="K123" s="154">
        <v>0.95</v>
      </c>
      <c r="L123" s="153" t="s">
        <v>1896</v>
      </c>
      <c r="M123" s="150"/>
      <c r="N123" s="154">
        <f>MouserListTable[[#This Row],['# Initial]]*MouserListTable[[#This Row],[Price (USD)]]</f>
        <v>0</v>
      </c>
      <c r="O123" s="151" t="s">
        <v>2266</v>
      </c>
      <c r="P123" s="150">
        <f t="shared" si="1"/>
        <v>110</v>
      </c>
      <c r="Q123" s="150" t="s">
        <v>1884</v>
      </c>
      <c r="R12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485-1388</v>
      </c>
      <c r="S123" s="157" t="str">
        <f>HYPERLINK("https://www.mouser.com/ProductDetail/" &amp;MouserListTable[[#This Row],[Mouser SKU]])</f>
        <v>https://www.mouser.com/ProductDetail/485-1388</v>
      </c>
      <c r="T123" s="152">
        <v>0</v>
      </c>
      <c r="U123" s="152">
        <v>0</v>
      </c>
      <c r="V123" s="152">
        <v>0</v>
      </c>
      <c r="W123" s="152">
        <f>MouserListTable[[#This Row],['#/Unit]]*FilterSpecs!$C$3+MouserListTable[[#This Row],[Extra]]</f>
        <v>0</v>
      </c>
      <c r="X123" s="152">
        <f>IF(MouserListTable[[#This Row],[Tag]]=FilterSpecs!$F$7,MouserListTable[[#This Row],['#/Unit]]*MouserListTable[[#This Row],[Price (USD)]],0)</f>
        <v>0</v>
      </c>
      <c r="Y123" s="152">
        <f>MouserListTable[[#This Row],[Tot '#]]*MouserListTable[[#This Row],[Price (USD)]]</f>
        <v>0</v>
      </c>
      <c r="Z123" s="146"/>
      <c r="AA123" s="29" t="e">
        <f>[1]!nonzeroQtysOfList($F$14, $Q$14, InitialOrderTable2[[#This Row],[Name]], FilterSpecs!$A$7)</f>
        <v>#VALUE!</v>
      </c>
      <c r="AB123" s="29" t="e">
        <f>[1]!nonzeroQtysOfList($F$14, $Q$14, InitialOrderTable2['# Initial], FilterSpecs!$A$7)</f>
        <v>#VALUE!</v>
      </c>
      <c r="AC123" s="29" t="e">
        <f>[1]!nonzeroQtysOfList($F$14, $Q$14, InitialOrderTable2[SKU], FilterSpecs!$A$7)</f>
        <v>#VALUE!</v>
      </c>
      <c r="AJ123" s="146"/>
    </row>
    <row r="124" spans="1:36" s="153" customFormat="1" x14ac:dyDescent="0.25">
      <c r="A124" s="97" t="s">
        <v>887</v>
      </c>
      <c r="B124" s="97" t="s">
        <v>2014</v>
      </c>
      <c r="C124" s="150" t="s">
        <v>1884</v>
      </c>
      <c r="D124" s="151" t="str">
        <f>IF(MouserListTable[[#This Row],[Vendor]]=FilterSpecs!$A$8,MouserListTable[[#This Row],[Mouser SKU]], MouserListTable[[#This Row],[Supplier SKU]])</f>
        <v>485-1390</v>
      </c>
      <c r="E124" s="152">
        <f>MouserListTable[[#This Row],[Tot '#]]-MouserListTable[[#This Row],['# Initial]]</f>
        <v>0</v>
      </c>
      <c r="F124" s="152">
        <f>IF(AND(MouserListTable[[#This Row],[Tag]]&lt;&gt;FilterSpecs!$F$12, MouserListTable[[#This Row],[Tag]]&lt;&gt;FilterSpecs!$F$9), MouserListTable[[#This Row],['#/Unit]]*FilterSpecs!$B$3+MouserListTable[[#This Row],[Extra Initial]],0)</f>
        <v>0</v>
      </c>
      <c r="G124" s="150"/>
      <c r="H124" s="150"/>
      <c r="I124" s="150" t="s">
        <v>2269</v>
      </c>
      <c r="J124" s="150"/>
      <c r="K124" s="154">
        <v>0.95</v>
      </c>
      <c r="L124" s="153" t="s">
        <v>1896</v>
      </c>
      <c r="M124" s="150"/>
      <c r="N124" s="154">
        <f>MouserListTable[[#This Row],['# Initial]]*MouserListTable[[#This Row],[Price (USD)]]</f>
        <v>0</v>
      </c>
      <c r="O124" s="151" t="s">
        <v>2268</v>
      </c>
      <c r="P124" s="150">
        <f t="shared" si="1"/>
        <v>111</v>
      </c>
      <c r="Q124" s="150" t="s">
        <v>1884</v>
      </c>
      <c r="R12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485-1390</v>
      </c>
      <c r="S124" s="157" t="str">
        <f>HYPERLINK("https://www.mouser.com/ProductDetail/" &amp;MouserListTable[[#This Row],[Mouser SKU]])</f>
        <v>https://www.mouser.com/ProductDetail/485-1390</v>
      </c>
      <c r="T124" s="152">
        <v>0</v>
      </c>
      <c r="U124" s="152">
        <v>0</v>
      </c>
      <c r="V124" s="152">
        <v>0</v>
      </c>
      <c r="W124" s="152">
        <f>MouserListTable[[#This Row],['#/Unit]]*FilterSpecs!$C$3+MouserListTable[[#This Row],[Extra]]</f>
        <v>0</v>
      </c>
      <c r="X124" s="152">
        <f>IF(MouserListTable[[#This Row],[Tag]]=FilterSpecs!$F$7,MouserListTable[[#This Row],['#/Unit]]*MouserListTable[[#This Row],[Price (USD)]],0)</f>
        <v>0</v>
      </c>
      <c r="Y124" s="152">
        <f>MouserListTable[[#This Row],[Tot '#]]*MouserListTable[[#This Row],[Price (USD)]]</f>
        <v>0</v>
      </c>
      <c r="Z124" s="146"/>
      <c r="AA124" s="29" t="e">
        <f>[1]!nonzeroQtysOfList($F$14, $Q$14, InitialOrderTable2[[#This Row],[Name]], FilterSpecs!$A$7)</f>
        <v>#VALUE!</v>
      </c>
      <c r="AB124" s="29" t="e">
        <f>[1]!nonzeroQtysOfList($F$14, $Q$14, InitialOrderTable2['# Initial], FilterSpecs!$A$7)</f>
        <v>#VALUE!</v>
      </c>
      <c r="AC124" s="29" t="e">
        <f>[1]!nonzeroQtysOfList($F$14, $Q$14, InitialOrderTable2[SKU], FilterSpecs!$A$7)</f>
        <v>#VALUE!</v>
      </c>
      <c r="AJ124" s="146"/>
    </row>
    <row r="125" spans="1:36" s="153" customFormat="1" x14ac:dyDescent="0.25">
      <c r="A125" s="97" t="s">
        <v>887</v>
      </c>
      <c r="B125" s="97" t="s">
        <v>2014</v>
      </c>
      <c r="C125" s="150" t="s">
        <v>1884</v>
      </c>
      <c r="D125" s="151" t="str">
        <f>IF(MouserListTable[[#This Row],[Vendor]]=FilterSpecs!$A$8,MouserListTable[[#This Row],[Mouser SKU]], MouserListTable[[#This Row],[Supplier SKU]])</f>
        <v>485-1389</v>
      </c>
      <c r="E125" s="152">
        <f>MouserListTable[[#This Row],[Tot '#]]-MouserListTable[[#This Row],['# Initial]]</f>
        <v>0</v>
      </c>
      <c r="F125" s="152">
        <f>IF(AND(MouserListTable[[#This Row],[Tag]]&lt;&gt;FilterSpecs!$F$12, MouserListTable[[#This Row],[Tag]]&lt;&gt;FilterSpecs!$F$9), MouserListTable[[#This Row],['#/Unit]]*FilterSpecs!$B$3+MouserListTable[[#This Row],[Extra Initial]],0)</f>
        <v>0</v>
      </c>
      <c r="G125" s="150"/>
      <c r="H125" s="150"/>
      <c r="I125" s="150" t="s">
        <v>2271</v>
      </c>
      <c r="J125" s="150"/>
      <c r="K125" s="154">
        <v>0.95</v>
      </c>
      <c r="L125" s="153" t="s">
        <v>1896</v>
      </c>
      <c r="M125" s="150"/>
      <c r="N125" s="154">
        <f>MouserListTable[[#This Row],['# Initial]]*MouserListTable[[#This Row],[Price (USD)]]</f>
        <v>0</v>
      </c>
      <c r="O125" s="151" t="s">
        <v>2270</v>
      </c>
      <c r="P125" s="150">
        <f t="shared" si="1"/>
        <v>112</v>
      </c>
      <c r="Q125" s="150" t="s">
        <v>1884</v>
      </c>
      <c r="R12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485-1389</v>
      </c>
      <c r="S125" s="157" t="str">
        <f>HYPERLINK("https://www.mouser.com/ProductDetail/" &amp;MouserListTable[[#This Row],[Mouser SKU]])</f>
        <v>https://www.mouser.com/ProductDetail/485-1389</v>
      </c>
      <c r="T125" s="152">
        <v>0</v>
      </c>
      <c r="U125" s="152">
        <v>0</v>
      </c>
      <c r="V125" s="152">
        <v>0</v>
      </c>
      <c r="W125" s="152">
        <f>MouserListTable[[#This Row],['#/Unit]]*FilterSpecs!$C$3+MouserListTable[[#This Row],[Extra]]</f>
        <v>0</v>
      </c>
      <c r="X125" s="152">
        <f>IF(MouserListTable[[#This Row],[Tag]]=FilterSpecs!$F$7,MouserListTable[[#This Row],['#/Unit]]*MouserListTable[[#This Row],[Price (USD)]],0)</f>
        <v>0</v>
      </c>
      <c r="Y125" s="152">
        <f>MouserListTable[[#This Row],[Tot '#]]*MouserListTable[[#This Row],[Price (USD)]]</f>
        <v>0</v>
      </c>
      <c r="Z125" s="146"/>
      <c r="AA125" s="29" t="e">
        <f>[1]!nonzeroQtysOfList($F$14, $Q$14, InitialOrderTable2[[#This Row],[Name]], FilterSpecs!$A$7)</f>
        <v>#VALUE!</v>
      </c>
      <c r="AB125" s="29" t="e">
        <f>[1]!nonzeroQtysOfList($F$14, $Q$14, InitialOrderTable2['# Initial], FilterSpecs!$A$7)</f>
        <v>#VALUE!</v>
      </c>
      <c r="AC125" s="29" t="e">
        <f>[1]!nonzeroQtysOfList($F$14, $Q$14, InitialOrderTable2[SKU], FilterSpecs!$A$7)</f>
        <v>#VALUE!</v>
      </c>
      <c r="AJ125" s="146"/>
    </row>
    <row r="126" spans="1:36" s="153" customFormat="1" x14ac:dyDescent="0.25">
      <c r="A126" s="97" t="s">
        <v>887</v>
      </c>
      <c r="B126" s="97" t="s">
        <v>2014</v>
      </c>
      <c r="C126" s="150" t="s">
        <v>1884</v>
      </c>
      <c r="D126" s="151" t="str">
        <f>IF(MouserListTable[[#This Row],[Vendor]]=FilterSpecs!$A$8,MouserListTable[[#This Row],[Mouser SKU]], MouserListTable[[#This Row],[Supplier SKU]])</f>
        <v>485-1827</v>
      </c>
      <c r="E126" s="152">
        <f>MouserListTable[[#This Row],[Tot '#]]-MouserListTable[[#This Row],['# Initial]]</f>
        <v>0</v>
      </c>
      <c r="F126" s="152">
        <f>IF(AND(MouserListTable[[#This Row],[Tag]]&lt;&gt;FilterSpecs!$F$12, MouserListTable[[#This Row],[Tag]]&lt;&gt;FilterSpecs!$F$9), MouserListTable[[#This Row],['#/Unit]]*FilterSpecs!$B$3+MouserListTable[[#This Row],[Extra Initial]],0)</f>
        <v>0</v>
      </c>
      <c r="G126" s="150"/>
      <c r="H126" s="150"/>
      <c r="I126" s="150" t="s">
        <v>2273</v>
      </c>
      <c r="J126" s="150"/>
      <c r="K126" s="154">
        <v>0.95</v>
      </c>
      <c r="L126" s="153" t="s">
        <v>1896</v>
      </c>
      <c r="M126" s="150"/>
      <c r="N126" s="154">
        <f>MouserListTable[[#This Row],['# Initial]]*MouserListTable[[#This Row],[Price (USD)]]</f>
        <v>0</v>
      </c>
      <c r="O126" s="151" t="s">
        <v>2272</v>
      </c>
      <c r="P126" s="150">
        <f t="shared" si="1"/>
        <v>113</v>
      </c>
      <c r="Q126" s="150" t="s">
        <v>1884</v>
      </c>
      <c r="R12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485-1827</v>
      </c>
      <c r="S126" s="157" t="str">
        <f>HYPERLINK("https://www.mouser.com/ProductDetail/" &amp;MouserListTable[[#This Row],[Mouser SKU]])</f>
        <v>https://www.mouser.com/ProductDetail/485-1827</v>
      </c>
      <c r="T126" s="152">
        <v>0</v>
      </c>
      <c r="U126" s="152">
        <v>0</v>
      </c>
      <c r="V126" s="152">
        <v>0</v>
      </c>
      <c r="W126" s="152">
        <f>MouserListTable[[#This Row],['#/Unit]]*FilterSpecs!$C$3+MouserListTable[[#This Row],[Extra]]</f>
        <v>0</v>
      </c>
      <c r="X126" s="152">
        <f>IF(MouserListTable[[#This Row],[Tag]]=FilterSpecs!$F$7,MouserListTable[[#This Row],['#/Unit]]*MouserListTable[[#This Row],[Price (USD)]],0)</f>
        <v>0</v>
      </c>
      <c r="Y126" s="152">
        <f>MouserListTable[[#This Row],[Tot '#]]*MouserListTable[[#This Row],[Price (USD)]]</f>
        <v>0</v>
      </c>
      <c r="Z126" s="146"/>
      <c r="AA126" s="29" t="e">
        <f>[1]!nonzeroQtysOfList($F$14, $Q$14, InitialOrderTable2[[#This Row],[Name]], FilterSpecs!$A$7)</f>
        <v>#VALUE!</v>
      </c>
      <c r="AB126" s="29" t="e">
        <f>[1]!nonzeroQtysOfList($F$14, $Q$14, InitialOrderTable2['# Initial], FilterSpecs!$A$7)</f>
        <v>#VALUE!</v>
      </c>
      <c r="AC126" s="29" t="e">
        <f>[1]!nonzeroQtysOfList($F$14, $Q$14, InitialOrderTable2[SKU], FilterSpecs!$A$7)</f>
        <v>#VALUE!</v>
      </c>
      <c r="AJ126" s="146"/>
    </row>
    <row r="127" spans="1:36" s="153" customFormat="1" x14ac:dyDescent="0.25">
      <c r="A127" s="97" t="s">
        <v>887</v>
      </c>
      <c r="B127" s="97" t="s">
        <v>2014</v>
      </c>
      <c r="C127" s="150" t="s">
        <v>1884</v>
      </c>
      <c r="D127" s="151" t="str">
        <f>IF(MouserListTable[[#This Row],[Vendor]]=FilterSpecs!$A$8,MouserListTable[[#This Row],[Mouser SKU]], MouserListTable[[#This Row],[Supplier SKU]])</f>
        <v>485-1826</v>
      </c>
      <c r="E127" s="152">
        <f>MouserListTable[[#This Row],[Tot '#]]-MouserListTable[[#This Row],['# Initial]]</f>
        <v>0</v>
      </c>
      <c r="F127" s="152">
        <f>IF(AND(MouserListTable[[#This Row],[Tag]]&lt;&gt;FilterSpecs!$F$12, MouserListTable[[#This Row],[Tag]]&lt;&gt;FilterSpecs!$F$9), MouserListTable[[#This Row],['#/Unit]]*FilterSpecs!$B$3+MouserListTable[[#This Row],[Extra Initial]],0)</f>
        <v>0</v>
      </c>
      <c r="G127" s="150"/>
      <c r="H127" s="150"/>
      <c r="I127" s="150" t="s">
        <v>2275</v>
      </c>
      <c r="J127" s="150"/>
      <c r="K127" s="154">
        <v>0.95</v>
      </c>
      <c r="L127" s="153" t="s">
        <v>1896</v>
      </c>
      <c r="M127" s="150"/>
      <c r="N127" s="154">
        <f>MouserListTable[[#This Row],['# Initial]]*MouserListTable[[#This Row],[Price (USD)]]</f>
        <v>0</v>
      </c>
      <c r="O127" s="151" t="s">
        <v>2274</v>
      </c>
      <c r="P127" s="150">
        <f t="shared" si="1"/>
        <v>114</v>
      </c>
      <c r="Q127" s="150" t="s">
        <v>1884</v>
      </c>
      <c r="R12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485-1826</v>
      </c>
      <c r="S127" s="157" t="str">
        <f>HYPERLINK("https://www.mouser.com/ProductDetail/" &amp;MouserListTable[[#This Row],[Mouser SKU]])</f>
        <v>https://www.mouser.com/ProductDetail/485-1826</v>
      </c>
      <c r="T127" s="152">
        <v>0</v>
      </c>
      <c r="U127" s="152">
        <v>0</v>
      </c>
      <c r="V127" s="152">
        <v>0</v>
      </c>
      <c r="W127" s="152">
        <f>MouserListTable[[#This Row],['#/Unit]]*FilterSpecs!$C$3+MouserListTable[[#This Row],[Extra]]</f>
        <v>0</v>
      </c>
      <c r="X127" s="152">
        <f>IF(MouserListTable[[#This Row],[Tag]]=FilterSpecs!$F$7,MouserListTable[[#This Row],['#/Unit]]*MouserListTable[[#This Row],[Price (USD)]],0)</f>
        <v>0</v>
      </c>
      <c r="Y127" s="152">
        <f>MouserListTable[[#This Row],[Tot '#]]*MouserListTable[[#This Row],[Price (USD)]]</f>
        <v>0</v>
      </c>
      <c r="Z127" s="146"/>
      <c r="AA127" s="29" t="e">
        <f>[1]!nonzeroQtysOfList($F$14, $Q$14, InitialOrderTable2[[#This Row],[Name]], FilterSpecs!$A$7)</f>
        <v>#VALUE!</v>
      </c>
      <c r="AB127" s="29" t="e">
        <f>[1]!nonzeroQtysOfList($F$14, $Q$14, InitialOrderTable2['# Initial], FilterSpecs!$A$7)</f>
        <v>#VALUE!</v>
      </c>
      <c r="AC127" s="29" t="e">
        <f>[1]!nonzeroQtysOfList($F$14, $Q$14, InitialOrderTable2[SKU], FilterSpecs!$A$7)</f>
        <v>#VALUE!</v>
      </c>
      <c r="AJ127" s="146"/>
    </row>
    <row r="128" spans="1:36" s="153" customFormat="1" x14ac:dyDescent="0.25">
      <c r="A128" s="150" t="s">
        <v>887</v>
      </c>
      <c r="B128" s="150" t="s">
        <v>10</v>
      </c>
      <c r="C128" s="150" t="s">
        <v>5</v>
      </c>
      <c r="D128" s="151" t="str">
        <f>IF(MouserListTable[[#This Row],[Vendor]]=FilterSpecs!$A$8,MouserListTable[[#This Row],[Mouser SKU]], MouserListTable[[#This Row],[Supplier SKU]])</f>
        <v>474-SEN-00246</v>
      </c>
      <c r="E128" s="152">
        <f>MouserListTable[[#This Row],[Tot '#]]-MouserListTable[[#This Row],['# Initial]]</f>
        <v>0</v>
      </c>
      <c r="F128" s="152">
        <f>IF(AND(MouserListTable[[#This Row],[Tag]]&lt;&gt;FilterSpecs!$F$12, MouserListTable[[#This Row],[Tag]]&lt;&gt;FilterSpecs!$F$9), MouserListTable[[#This Row],['#/Unit]]*FilterSpecs!$B$3+MouserListTable[[#This Row],[Extra Initial]],0)</f>
        <v>0</v>
      </c>
      <c r="G128" s="150" t="s">
        <v>67</v>
      </c>
      <c r="H128" s="150" t="s">
        <v>68</v>
      </c>
      <c r="I128" s="150" t="s">
        <v>69</v>
      </c>
      <c r="J128" s="150">
        <v>1</v>
      </c>
      <c r="K128" s="154">
        <v>0.95</v>
      </c>
      <c r="L128" s="150" t="s">
        <v>1897</v>
      </c>
      <c r="M128" s="151"/>
      <c r="N128" s="154">
        <f>MouserListTable[[#This Row],['# Initial]]*MouserListTable[[#This Row],[Price (USD)]]</f>
        <v>0</v>
      </c>
      <c r="O128" s="151" t="s">
        <v>66</v>
      </c>
      <c r="P128" s="150">
        <f t="shared" si="1"/>
        <v>115</v>
      </c>
      <c r="Q128" s="150" t="s">
        <v>5</v>
      </c>
      <c r="R12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474-SEN-00246</v>
      </c>
      <c r="S128" s="157" t="str">
        <f>HYPERLINK("https://www.mouser.com/ProductDetail/" &amp;MouserListTable[[#This Row],[Mouser SKU]])</f>
        <v>https://www.mouser.com/ProductDetail/474-SEN-00246</v>
      </c>
      <c r="T128" s="152">
        <v>0</v>
      </c>
      <c r="U128" s="152">
        <v>0</v>
      </c>
      <c r="V128" s="152">
        <v>0</v>
      </c>
      <c r="W128" s="152">
        <f>MouserListTable[[#This Row],['#/Unit]]*FilterSpecs!$C$3+MouserListTable[[#This Row],[Extra]]</f>
        <v>0</v>
      </c>
      <c r="X128" s="152">
        <f>IF(MouserListTable[[#This Row],[Tag]]=FilterSpecs!$F$7,MouserListTable[[#This Row],['#/Unit]]*MouserListTable[[#This Row],[Price (USD)]],0)</f>
        <v>0</v>
      </c>
      <c r="Y128" s="152">
        <f>MouserListTable[[#This Row],[Tot '#]]*MouserListTable[[#This Row],[Price (USD)]]</f>
        <v>0</v>
      </c>
      <c r="Z128" s="146"/>
      <c r="AA128" s="29" t="e">
        <f>[1]!nonzeroQtysOfList($F$14, $Q$14, InitialOrderTable2[[#This Row],[Name]], FilterSpecs!$A$7)</f>
        <v>#VALUE!</v>
      </c>
      <c r="AB128" s="29" t="e">
        <f>[1]!nonzeroQtysOfList($F$14, $Q$14, InitialOrderTable2['# Initial], FilterSpecs!$A$7)</f>
        <v>#VALUE!</v>
      </c>
      <c r="AC128" s="29" t="e">
        <f>[1]!nonzeroQtysOfList($F$14, $Q$14, InitialOrderTable2[SKU], FilterSpecs!$A$7)</f>
        <v>#VALUE!</v>
      </c>
      <c r="AJ128" s="146"/>
    </row>
    <row r="129" spans="1:36" s="153" customFormat="1" x14ac:dyDescent="0.25">
      <c r="A129" s="150" t="s">
        <v>887</v>
      </c>
      <c r="B129" s="150" t="s">
        <v>10</v>
      </c>
      <c r="C129" s="150" t="s">
        <v>5</v>
      </c>
      <c r="D129" s="151" t="str">
        <f>IF(MouserListTable[[#This Row],[Vendor]]=FilterSpecs!$A$8,MouserListTable[[#This Row],[Mouser SKU]], MouserListTable[[#This Row],[Supplier SKU]])</f>
        <v>474-SEN-00241</v>
      </c>
      <c r="E129" s="152">
        <f>MouserListTable[[#This Row],[Tot '#]]-MouserListTable[[#This Row],['# Initial]]</f>
        <v>0</v>
      </c>
      <c r="F129" s="152">
        <f>IF(AND(MouserListTable[[#This Row],[Tag]]&lt;&gt;FilterSpecs!$F$12, MouserListTable[[#This Row],[Tag]]&lt;&gt;FilterSpecs!$F$9), MouserListTable[[#This Row],['#/Unit]]*FilterSpecs!$B$3+MouserListTable[[#This Row],[Extra Initial]],0)</f>
        <v>20</v>
      </c>
      <c r="G129" s="150" t="s">
        <v>71</v>
      </c>
      <c r="H129" s="150" t="s">
        <v>72</v>
      </c>
      <c r="I129" s="150" t="s">
        <v>73</v>
      </c>
      <c r="J129" s="150">
        <v>1</v>
      </c>
      <c r="K129" s="154">
        <v>1.95</v>
      </c>
      <c r="L129" s="150" t="s">
        <v>1897</v>
      </c>
      <c r="M129" s="151"/>
      <c r="N129" s="154">
        <f>MouserListTable[[#This Row],['# Initial]]*MouserListTable[[#This Row],[Price (USD)]]</f>
        <v>39</v>
      </c>
      <c r="O129" s="151" t="s">
        <v>70</v>
      </c>
      <c r="P129" s="150">
        <f t="shared" si="1"/>
        <v>116</v>
      </c>
      <c r="Q129" s="150" t="s">
        <v>5</v>
      </c>
      <c r="R12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474-SEN-00241</v>
      </c>
      <c r="S129" s="157" t="str">
        <f>HYPERLINK("https://www.mouser.com/ProductDetail/" &amp;MouserListTable[[#This Row],[Mouser SKU]])</f>
        <v>https://www.mouser.com/ProductDetail/474-SEN-00241</v>
      </c>
      <c r="T129" s="152">
        <v>4</v>
      </c>
      <c r="U129" s="152">
        <v>0</v>
      </c>
      <c r="V129" s="152">
        <v>0</v>
      </c>
      <c r="W129" s="152">
        <f>MouserListTable[[#This Row],['#/Unit]]*FilterSpecs!$C$3+MouserListTable[[#This Row],[Extra]]</f>
        <v>20</v>
      </c>
      <c r="X129" s="152">
        <f>IF(MouserListTable[[#This Row],[Tag]]=FilterSpecs!$F$7,MouserListTable[[#This Row],['#/Unit]]*MouserListTable[[#This Row],[Price (USD)]],0)</f>
        <v>7.8</v>
      </c>
      <c r="Y129" s="152">
        <f>MouserListTable[[#This Row],[Tot '#]]*MouserListTable[[#This Row],[Price (USD)]]</f>
        <v>39</v>
      </c>
      <c r="Z129" s="146"/>
      <c r="AA129" s="29" t="e">
        <f>[1]!nonzeroQtysOfList($F$14, $Q$14, InitialOrderTable2[[#This Row],[Name]], FilterSpecs!$A$7)</f>
        <v>#VALUE!</v>
      </c>
      <c r="AB129" s="29" t="e">
        <f>[1]!nonzeroQtysOfList($F$14, $Q$14, InitialOrderTable2['# Initial], FilterSpecs!$A$7)</f>
        <v>#VALUE!</v>
      </c>
      <c r="AC129" s="29" t="e">
        <f>[1]!nonzeroQtysOfList($F$14, $Q$14, InitialOrderTable2[SKU], FilterSpecs!$A$7)</f>
        <v>#VALUE!</v>
      </c>
      <c r="AJ129" s="146"/>
    </row>
    <row r="130" spans="1:36" s="153" customFormat="1" x14ac:dyDescent="0.25">
      <c r="A130" s="150" t="s">
        <v>887</v>
      </c>
      <c r="B130" s="150" t="s">
        <v>10</v>
      </c>
      <c r="C130" s="150" t="s">
        <v>5</v>
      </c>
      <c r="D130" s="151" t="str">
        <f>IF(MouserListTable[[#This Row],[Vendor]]=FilterSpecs!$A$8,MouserListTable[[#This Row],[Mouser SKU]], MouserListTable[[#This Row],[Supplier SKU]])</f>
        <v>474-SEN-13968</v>
      </c>
      <c r="E130" s="152">
        <f>MouserListTable[[#This Row],[Tot '#]]-MouserListTable[[#This Row],['# Initial]]</f>
        <v>0</v>
      </c>
      <c r="F130" s="152">
        <f>IF(AND(MouserListTable[[#This Row],[Tag]]&lt;&gt;FilterSpecs!$F$12, MouserListTable[[#This Row],[Tag]]&lt;&gt;FilterSpecs!$F$9), MouserListTable[[#This Row],['#/Unit]]*FilterSpecs!$B$3+MouserListTable[[#This Row],[Extra Initial]],0)</f>
        <v>5</v>
      </c>
      <c r="G130" s="150" t="s">
        <v>75</v>
      </c>
      <c r="H130" s="150" t="s">
        <v>76</v>
      </c>
      <c r="I130" s="150" t="s">
        <v>77</v>
      </c>
      <c r="J130" s="150"/>
      <c r="K130" s="154">
        <v>14.95</v>
      </c>
      <c r="L130" s="89" t="s">
        <v>1897</v>
      </c>
      <c r="M130" s="151"/>
      <c r="N130" s="154">
        <f>MouserListTable[[#This Row],['# Initial]]*MouserListTable[[#This Row],[Price (USD)]]</f>
        <v>74.75</v>
      </c>
      <c r="O130" s="151" t="s">
        <v>74</v>
      </c>
      <c r="P130" s="150">
        <f t="shared" si="1"/>
        <v>117</v>
      </c>
      <c r="Q130" s="150" t="s">
        <v>5</v>
      </c>
      <c r="R13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474-SEN-13968</v>
      </c>
      <c r="S130" s="157" t="str">
        <f>HYPERLINK("https://www.mouser.com/ProductDetail/" &amp;MouserListTable[[#This Row],[Mouser SKU]])</f>
        <v>https://www.mouser.com/ProductDetail/474-SEN-13968</v>
      </c>
      <c r="T130" s="152">
        <v>1</v>
      </c>
      <c r="U130" s="152">
        <v>0</v>
      </c>
      <c r="V130" s="152">
        <v>0</v>
      </c>
      <c r="W130" s="152">
        <f>MouserListTable[[#This Row],['#/Unit]]*FilterSpecs!$C$3+MouserListTable[[#This Row],[Extra]]</f>
        <v>5</v>
      </c>
      <c r="X130" s="152">
        <f>IF(MouserListTable[[#This Row],[Tag]]=FilterSpecs!$F$7,MouserListTable[[#This Row],['#/Unit]]*MouserListTable[[#This Row],[Price (USD)]],0)</f>
        <v>14.95</v>
      </c>
      <c r="Y130" s="152">
        <f>MouserListTable[[#This Row],[Tot '#]]*MouserListTable[[#This Row],[Price (USD)]]</f>
        <v>74.75</v>
      </c>
      <c r="Z130" s="146"/>
      <c r="AA130" s="29" t="e">
        <f>[1]!nonzeroQtysOfList($F$14, $Q$14, InitialOrderTable2[[#This Row],[Name]], FilterSpecs!$A$7)</f>
        <v>#VALUE!</v>
      </c>
      <c r="AB130" s="29" t="e">
        <f>[1]!nonzeroQtysOfList($F$14, $Q$14, InitialOrderTable2['# Initial], FilterSpecs!$A$7)</f>
        <v>#VALUE!</v>
      </c>
      <c r="AC130" s="29" t="e">
        <f>[1]!nonzeroQtysOfList($F$14, $Q$14, InitialOrderTable2[SKU], FilterSpecs!$A$7)</f>
        <v>#VALUE!</v>
      </c>
      <c r="AJ130" s="146"/>
    </row>
    <row r="131" spans="1:36" s="153" customFormat="1" x14ac:dyDescent="0.25">
      <c r="A131" s="150" t="s">
        <v>887</v>
      </c>
      <c r="B131" s="150" t="s">
        <v>10</v>
      </c>
      <c r="C131" s="150" t="s">
        <v>5</v>
      </c>
      <c r="D131" s="151" t="str">
        <f>IF(MouserListTable[[#This Row],[Vendor]]=FilterSpecs!$A$8,MouserListTable[[#This Row],[Mouser SKU]], MouserListTable[[#This Row],[Supplier SKU]])</f>
        <v>474-SEN-13959</v>
      </c>
      <c r="E131" s="152">
        <f>MouserListTable[[#This Row],[Tot '#]]-MouserListTable[[#This Row],['# Initial]]</f>
        <v>0</v>
      </c>
      <c r="F131" s="152">
        <f>IF(AND(MouserListTable[[#This Row],[Tag]]&lt;&gt;FilterSpecs!$F$12, MouserListTable[[#This Row],[Tag]]&lt;&gt;FilterSpecs!$F$9), MouserListTable[[#This Row],['#/Unit]]*FilterSpecs!$B$3+MouserListTable[[#This Row],[Extra Initial]],0)</f>
        <v>5</v>
      </c>
      <c r="G131" s="150" t="s">
        <v>79</v>
      </c>
      <c r="H131" s="150" t="s">
        <v>80</v>
      </c>
      <c r="I131" s="150" t="s">
        <v>81</v>
      </c>
      <c r="J131" s="150">
        <v>1</v>
      </c>
      <c r="K131" s="154">
        <v>3.95</v>
      </c>
      <c r="L131" s="150" t="s">
        <v>1897</v>
      </c>
      <c r="M131" s="151"/>
      <c r="N131" s="154">
        <f>MouserListTable[[#This Row],['# Initial]]*MouserListTable[[#This Row],[Price (USD)]]</f>
        <v>19.75</v>
      </c>
      <c r="O131" s="151" t="s">
        <v>78</v>
      </c>
      <c r="P131" s="150">
        <f t="shared" si="1"/>
        <v>118</v>
      </c>
      <c r="Q131" s="150" t="s">
        <v>5</v>
      </c>
      <c r="R13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474-SEN-13959</v>
      </c>
      <c r="S131" s="157" t="str">
        <f>HYPERLINK("https://www.mouser.com/ProductDetail/" &amp;MouserListTable[[#This Row],[Mouser SKU]])</f>
        <v>https://www.mouser.com/ProductDetail/474-SEN-13959</v>
      </c>
      <c r="T131" s="152">
        <v>1</v>
      </c>
      <c r="U131" s="152">
        <v>0</v>
      </c>
      <c r="V131" s="152">
        <v>0</v>
      </c>
      <c r="W131" s="152">
        <f>MouserListTable[[#This Row],['#/Unit]]*FilterSpecs!$C$3+MouserListTable[[#This Row],[Extra]]</f>
        <v>5</v>
      </c>
      <c r="X131" s="152">
        <f>IF(MouserListTable[[#This Row],[Tag]]=FilterSpecs!$F$7,MouserListTable[[#This Row],['#/Unit]]*MouserListTable[[#This Row],[Price (USD)]],0)</f>
        <v>3.95</v>
      </c>
      <c r="Y131" s="152">
        <f>MouserListTable[[#This Row],[Tot '#]]*MouserListTable[[#This Row],[Price (USD)]]</f>
        <v>19.75</v>
      </c>
      <c r="Z131" s="146"/>
      <c r="AA131" s="29" t="e">
        <f>[1]!nonzeroQtysOfList($F$14, $Q$14, InitialOrderTable2[[#This Row],[Name]], FilterSpecs!$A$7)</f>
        <v>#VALUE!</v>
      </c>
      <c r="AB131" s="29" t="e">
        <f>[1]!nonzeroQtysOfList($F$14, $Q$14, InitialOrderTable2['# Initial], FilterSpecs!$A$7)</f>
        <v>#VALUE!</v>
      </c>
      <c r="AC131" s="29" t="e">
        <f>[1]!nonzeroQtysOfList($F$14, $Q$14, InitialOrderTable2[SKU], FilterSpecs!$A$7)</f>
        <v>#VALUE!</v>
      </c>
      <c r="AJ131" s="146"/>
    </row>
    <row r="132" spans="1:36" s="153" customFormat="1" x14ac:dyDescent="0.25">
      <c r="A132" s="97" t="s">
        <v>887</v>
      </c>
      <c r="B132" s="97" t="s">
        <v>10</v>
      </c>
      <c r="C132" s="150" t="s">
        <v>5</v>
      </c>
      <c r="D132" s="151" t="str">
        <f>IF(MouserListTable[[#This Row],[Vendor]]=FilterSpecs!$A$8,MouserListTable[[#This Row],[Mouser SKU]], MouserListTable[[#This Row],[Supplier SKU]])</f>
        <v>474-SEN-12785</v>
      </c>
      <c r="E132" s="152">
        <f>MouserListTable[[#This Row],[Tot '#]]-MouserListTable[[#This Row],['# Initial]]</f>
        <v>0</v>
      </c>
      <c r="F132" s="152">
        <f>IF(AND(MouserListTable[[#This Row],[Tag]]&lt;&gt;FilterSpecs!$F$12, MouserListTable[[#This Row],[Tag]]&lt;&gt;FilterSpecs!$F$9), MouserListTable[[#This Row],['#/Unit]]*FilterSpecs!$B$3+MouserListTable[[#This Row],[Extra Initial]],0)</f>
        <v>0</v>
      </c>
      <c r="G132" s="150" t="s">
        <v>83</v>
      </c>
      <c r="H132" s="150" t="s">
        <v>84</v>
      </c>
      <c r="I132" s="150" t="s">
        <v>85</v>
      </c>
      <c r="J132" s="150">
        <v>1</v>
      </c>
      <c r="K132" s="154">
        <v>24.95</v>
      </c>
      <c r="L132" s="150" t="s">
        <v>1897</v>
      </c>
      <c r="N132" s="154">
        <f>MouserListTable[[#This Row],['# Initial]]*MouserListTable[[#This Row],[Price (USD)]]</f>
        <v>0</v>
      </c>
      <c r="O132" s="151" t="s">
        <v>82</v>
      </c>
      <c r="P132" s="150">
        <f t="shared" si="1"/>
        <v>119</v>
      </c>
      <c r="Q132" s="150" t="s">
        <v>5</v>
      </c>
      <c r="R13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474-SEN-12785</v>
      </c>
      <c r="S132" s="157" t="str">
        <f>HYPERLINK("https://www.mouser.com/ProductDetail/" &amp;MouserListTable[[#This Row],[Mouser SKU]])</f>
        <v>https://www.mouser.com/ProductDetail/474-SEN-12785</v>
      </c>
      <c r="T132" s="152">
        <v>0</v>
      </c>
      <c r="U132" s="152">
        <v>0</v>
      </c>
      <c r="V132" s="152">
        <v>0</v>
      </c>
      <c r="W132" s="152">
        <f>MouserListTable[[#This Row],['#/Unit]]*FilterSpecs!$C$3+MouserListTable[[#This Row],[Extra]]</f>
        <v>0</v>
      </c>
      <c r="X132" s="152">
        <f>IF(MouserListTable[[#This Row],[Tag]]=FilterSpecs!$F$7,MouserListTable[[#This Row],['#/Unit]]*MouserListTable[[#This Row],[Price (USD)]],0)</f>
        <v>0</v>
      </c>
      <c r="Y132" s="152">
        <f>MouserListTable[[#This Row],[Tot '#]]*MouserListTable[[#This Row],[Price (USD)]]</f>
        <v>0</v>
      </c>
      <c r="Z132" s="146"/>
      <c r="AA132" s="29" t="e">
        <f>[1]!nonzeroQtysOfList($F$14, $Q$14, InitialOrderTable2[[#This Row],[Name]], FilterSpecs!$A$7)</f>
        <v>#VALUE!</v>
      </c>
      <c r="AB132" s="29" t="e">
        <f>[1]!nonzeroQtysOfList($F$14, $Q$14, InitialOrderTable2['# Initial], FilterSpecs!$A$7)</f>
        <v>#VALUE!</v>
      </c>
      <c r="AC132" s="29" t="e">
        <f>[1]!nonzeroQtysOfList($F$14, $Q$14, InitialOrderTable2[SKU], FilterSpecs!$A$7)</f>
        <v>#VALUE!</v>
      </c>
      <c r="AJ132" s="146"/>
    </row>
    <row r="133" spans="1:36" s="153" customFormat="1" x14ac:dyDescent="0.25">
      <c r="A133" s="150" t="s">
        <v>887</v>
      </c>
      <c r="B133" s="150" t="s">
        <v>10</v>
      </c>
      <c r="C133" s="150" t="s">
        <v>5</v>
      </c>
      <c r="D133" s="151" t="str">
        <f>IF(MouserListTable[[#This Row],[Vendor]]=FilterSpecs!$A$8,MouserListTable[[#This Row],[Mouser SKU]], MouserListTable[[#This Row],[Supplier SKU]])</f>
        <v>474-SEN-13162</v>
      </c>
      <c r="E133" s="152">
        <f>MouserListTable[[#This Row],[Tot '#]]-MouserListTable[[#This Row],['# Initial]]</f>
        <v>0</v>
      </c>
      <c r="F133" s="152">
        <f>IF(AND(MouserListTable[[#This Row],[Tag]]&lt;&gt;FilterSpecs!$F$12, MouserListTable[[#This Row],[Tag]]&lt;&gt;FilterSpecs!$F$9), MouserListTable[[#This Row],['#/Unit]]*FilterSpecs!$B$3+MouserListTable[[#This Row],[Extra Initial]],0)</f>
        <v>0</v>
      </c>
      <c r="G133" s="150" t="s">
        <v>87</v>
      </c>
      <c r="H133" s="150" t="s">
        <v>88</v>
      </c>
      <c r="I133" s="150" t="s">
        <v>89</v>
      </c>
      <c r="J133" s="150"/>
      <c r="K133" s="154">
        <v>24.95</v>
      </c>
      <c r="L133" s="150" t="s">
        <v>1897</v>
      </c>
      <c r="M133" s="151"/>
      <c r="N133" s="154">
        <f>MouserListTable[[#This Row],['# Initial]]*MouserListTable[[#This Row],[Price (USD)]]</f>
        <v>0</v>
      </c>
      <c r="O133" s="151" t="s">
        <v>86</v>
      </c>
      <c r="P133" s="150">
        <f t="shared" si="1"/>
        <v>120</v>
      </c>
      <c r="Q133" s="150" t="s">
        <v>5</v>
      </c>
      <c r="R13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474-SEN-13162</v>
      </c>
      <c r="S133" s="157" t="str">
        <f>HYPERLINK("https://www.mouser.com/ProductDetail/" &amp;MouserListTable[[#This Row],[Mouser SKU]])</f>
        <v>https://www.mouser.com/ProductDetail/474-SEN-13162</v>
      </c>
      <c r="T133" s="152">
        <v>0</v>
      </c>
      <c r="U133" s="152">
        <v>0</v>
      </c>
      <c r="V133" s="152">
        <v>0</v>
      </c>
      <c r="W133" s="152">
        <f>MouserListTable[[#This Row],['#/Unit]]*FilterSpecs!$C$3+MouserListTable[[#This Row],[Extra]]</f>
        <v>0</v>
      </c>
      <c r="X133" s="152">
        <f>IF(MouserListTable[[#This Row],[Tag]]=FilterSpecs!$F$7,MouserListTable[[#This Row],['#/Unit]]*MouserListTable[[#This Row],[Price (USD)]],0)</f>
        <v>0</v>
      </c>
      <c r="Y133" s="152">
        <f>MouserListTable[[#This Row],[Tot '#]]*MouserListTable[[#This Row],[Price (USD)]]</f>
        <v>0</v>
      </c>
      <c r="Z133" s="146"/>
      <c r="AA133" s="29" t="e">
        <f>[1]!nonzeroQtysOfList($F$14, $Q$14, InitialOrderTable2[[#This Row],[Name]], FilterSpecs!$A$7)</f>
        <v>#VALUE!</v>
      </c>
      <c r="AB133" s="29" t="e">
        <f>[1]!nonzeroQtysOfList($F$14, $Q$14, InitialOrderTable2['# Initial], FilterSpecs!$A$7)</f>
        <v>#VALUE!</v>
      </c>
      <c r="AC133" s="29" t="e">
        <f>[1]!nonzeroQtysOfList($F$14, $Q$14, InitialOrderTable2[SKU], FilterSpecs!$A$7)</f>
        <v>#VALUE!</v>
      </c>
      <c r="AJ133" s="146"/>
    </row>
    <row r="134" spans="1:36" s="153" customFormat="1" x14ac:dyDescent="0.25">
      <c r="A134" s="97" t="s">
        <v>887</v>
      </c>
      <c r="B134" s="97" t="s">
        <v>10</v>
      </c>
      <c r="C134" s="150" t="s">
        <v>5</v>
      </c>
      <c r="D134" s="151" t="str">
        <f>IF(MouserListTable[[#This Row],[Vendor]]=FilterSpecs!$A$8,MouserListTable[[#This Row],[Mouser SKU]], MouserListTable[[#This Row],[Supplier SKU]])</f>
        <v>474-SEN-12787</v>
      </c>
      <c r="E134" s="152">
        <f>MouserListTable[[#This Row],[Tot '#]]-MouserListTable[[#This Row],['# Initial]]</f>
        <v>0</v>
      </c>
      <c r="F134" s="152">
        <f>IF(AND(MouserListTable[[#This Row],[Tag]]&lt;&gt;FilterSpecs!$F$12, MouserListTable[[#This Row],[Tag]]&lt;&gt;FilterSpecs!$F$9), MouserListTable[[#This Row],['#/Unit]]*FilterSpecs!$B$3+MouserListTable[[#This Row],[Extra Initial]],0)</f>
        <v>0</v>
      </c>
      <c r="G134" s="150" t="s">
        <v>91</v>
      </c>
      <c r="H134" s="150" t="s">
        <v>92</v>
      </c>
      <c r="I134" s="150" t="s">
        <v>93</v>
      </c>
      <c r="J134" s="150">
        <v>1</v>
      </c>
      <c r="K134" s="154">
        <v>14.95</v>
      </c>
      <c r="L134" s="150" t="s">
        <v>1897</v>
      </c>
      <c r="N134" s="154">
        <f>MouserListTable[[#This Row],['# Initial]]*MouserListTable[[#This Row],[Price (USD)]]</f>
        <v>0</v>
      </c>
      <c r="O134" s="151" t="s">
        <v>90</v>
      </c>
      <c r="P134" s="150">
        <f t="shared" si="1"/>
        <v>121</v>
      </c>
      <c r="Q134" s="150" t="s">
        <v>5</v>
      </c>
      <c r="R13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474-SEN-12787</v>
      </c>
      <c r="S134" s="157" t="str">
        <f>HYPERLINK("https://www.mouser.com/ProductDetail/" &amp;MouserListTable[[#This Row],[Mouser SKU]])</f>
        <v>https://www.mouser.com/ProductDetail/474-SEN-12787</v>
      </c>
      <c r="T134" s="152">
        <v>0</v>
      </c>
      <c r="U134" s="152">
        <v>0</v>
      </c>
      <c r="V134" s="152">
        <v>0</v>
      </c>
      <c r="W134" s="152">
        <f>MouserListTable[[#This Row],['#/Unit]]*FilterSpecs!$C$3+MouserListTable[[#This Row],[Extra]]</f>
        <v>0</v>
      </c>
      <c r="X134" s="152">
        <f>IF(MouserListTable[[#This Row],[Tag]]=FilterSpecs!$F$7,MouserListTable[[#This Row],['#/Unit]]*MouserListTable[[#This Row],[Price (USD)]],0)</f>
        <v>0</v>
      </c>
      <c r="Y134" s="152">
        <f>MouserListTable[[#This Row],[Tot '#]]*MouserListTable[[#This Row],[Price (USD)]]</f>
        <v>0</v>
      </c>
      <c r="Z134" s="146"/>
      <c r="AA134" s="29" t="e">
        <f>[1]!nonzeroQtysOfList($F$14, $Q$14, InitialOrderTable2[[#This Row],[Name]], FilterSpecs!$A$7)</f>
        <v>#VALUE!</v>
      </c>
      <c r="AB134" s="29" t="e">
        <f>[1]!nonzeroQtysOfList($F$14, $Q$14, InitialOrderTable2['# Initial], FilterSpecs!$A$7)</f>
        <v>#VALUE!</v>
      </c>
      <c r="AC134" s="29" t="e">
        <f>[1]!nonzeroQtysOfList($F$14, $Q$14, InitialOrderTable2[SKU], FilterSpecs!$A$7)</f>
        <v>#VALUE!</v>
      </c>
      <c r="AJ134" s="146"/>
    </row>
    <row r="135" spans="1:36" s="153" customFormat="1" x14ac:dyDescent="0.25">
      <c r="A135" s="150" t="s">
        <v>887</v>
      </c>
      <c r="B135" s="150" t="s">
        <v>10</v>
      </c>
      <c r="C135" s="150" t="s">
        <v>5</v>
      </c>
      <c r="D135" s="151" t="str">
        <f>IF(MouserListTable[[#This Row],[Vendor]]=FilterSpecs!$A$8,MouserListTable[[#This Row],[Mouser SKU]], MouserListTable[[#This Row],[Supplier SKU]])</f>
        <v>474-SPX-14343</v>
      </c>
      <c r="E135" s="152">
        <f>MouserListTable[[#This Row],[Tot '#]]-MouserListTable[[#This Row],['# Initial]]</f>
        <v>3</v>
      </c>
      <c r="F135" s="152">
        <f>IF(AND(MouserListTable[[#This Row],[Tag]]&lt;&gt;FilterSpecs!$F$12, MouserListTable[[#This Row],[Tag]]&lt;&gt;FilterSpecs!$F$9), MouserListTable[[#This Row],['#/Unit]]*FilterSpecs!$B$3+MouserListTable[[#This Row],[Extra Initial]],0)</f>
        <v>0</v>
      </c>
      <c r="G135" s="150" t="s">
        <v>95</v>
      </c>
      <c r="H135" s="150" t="s">
        <v>96</v>
      </c>
      <c r="I135" s="150" t="s">
        <v>97</v>
      </c>
      <c r="J135" s="150">
        <v>1</v>
      </c>
      <c r="K135" s="154">
        <v>19.95</v>
      </c>
      <c r="L135" s="150" t="s">
        <v>2461</v>
      </c>
      <c r="M135" s="151"/>
      <c r="N135" s="154">
        <f>MouserListTable[[#This Row],['# Initial]]*MouserListTable[[#This Row],[Price (USD)]]</f>
        <v>0</v>
      </c>
      <c r="O135" s="151" t="s">
        <v>94</v>
      </c>
      <c r="P135" s="150">
        <f t="shared" si="1"/>
        <v>122</v>
      </c>
      <c r="Q135" s="150" t="s">
        <v>5</v>
      </c>
      <c r="R13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474-SPX-14343</v>
      </c>
      <c r="S135" s="157" t="str">
        <f>HYPERLINK("https://www.mouser.com/ProductDetail/" &amp;MouserListTable[[#This Row],[Mouser SKU]])</f>
        <v>https://www.mouser.com/ProductDetail/474-SPX-14343</v>
      </c>
      <c r="T135" s="152">
        <v>0</v>
      </c>
      <c r="U135" s="152">
        <v>3</v>
      </c>
      <c r="V135" s="152">
        <v>0</v>
      </c>
      <c r="W135" s="152">
        <f>MouserListTable[[#This Row],['#/Unit]]*FilterSpecs!$C$3+MouserListTable[[#This Row],[Extra]]</f>
        <v>3</v>
      </c>
      <c r="X135" s="152">
        <f>IF(MouserListTable[[#This Row],[Tag]]=FilterSpecs!$F$7,MouserListTable[[#This Row],['#/Unit]]*MouserListTable[[#This Row],[Price (USD)]],0)</f>
        <v>0</v>
      </c>
      <c r="Y135" s="152">
        <f>MouserListTable[[#This Row],[Tot '#]]*MouserListTable[[#This Row],[Price (USD)]]</f>
        <v>59.849999999999994</v>
      </c>
      <c r="Z135" s="146"/>
      <c r="AA135" s="29" t="e">
        <f>[1]!nonzeroQtysOfList($F$14, $Q$14, InitialOrderTable2[[#This Row],[Name]], FilterSpecs!$A$7)</f>
        <v>#VALUE!</v>
      </c>
      <c r="AB135" s="29" t="e">
        <f>[1]!nonzeroQtysOfList($F$14, $Q$14, InitialOrderTable2['# Initial], FilterSpecs!$A$7)</f>
        <v>#VALUE!</v>
      </c>
      <c r="AC135" s="29" t="e">
        <f>[1]!nonzeroQtysOfList($F$14, $Q$14, InitialOrderTable2[SKU], FilterSpecs!$A$7)</f>
        <v>#VALUE!</v>
      </c>
      <c r="AJ135" s="146"/>
    </row>
    <row r="136" spans="1:36" s="153" customFormat="1" x14ac:dyDescent="0.25">
      <c r="A136" s="150" t="s">
        <v>887</v>
      </c>
      <c r="B136" s="150" t="s">
        <v>10</v>
      </c>
      <c r="C136" s="150" t="s">
        <v>1892</v>
      </c>
      <c r="D136" s="151" t="str">
        <f>IF(MouserListTable[[#This Row],[Vendor]]=FilterSpecs!$A$8,MouserListTable[[#This Row],[Mouser SKU]], MouserListTable[[#This Row],[Supplier SKU]])</f>
        <v>975-RFD77306</v>
      </c>
      <c r="E136" s="152">
        <f>MouserListTable[[#This Row],[Tot '#]]-MouserListTable[[#This Row],['# Initial]]</f>
        <v>0</v>
      </c>
      <c r="F136" s="152">
        <f>IF(AND(MouserListTable[[#This Row],[Tag]]&lt;&gt;FilterSpecs!$F$12, MouserListTable[[#This Row],[Tag]]&lt;&gt;FilterSpecs!$F$9), MouserListTable[[#This Row],['#/Unit]]*FilterSpecs!$B$3+MouserListTable[[#This Row],[Extra Initial]],0)</f>
        <v>5</v>
      </c>
      <c r="G136" s="150" t="s">
        <v>2560</v>
      </c>
      <c r="H136" s="150">
        <v>29.62</v>
      </c>
      <c r="I136" s="150" t="s">
        <v>2560</v>
      </c>
      <c r="J136" s="150"/>
      <c r="K136" s="154">
        <v>29.62</v>
      </c>
      <c r="L136" s="152" t="s">
        <v>1897</v>
      </c>
      <c r="M136" s="150"/>
      <c r="N136" s="154">
        <f>MouserListTable[[#This Row],['# Initial]]*MouserListTable[[#This Row],[Price (USD)]]</f>
        <v>148.1</v>
      </c>
      <c r="O136" s="120" t="s">
        <v>2561</v>
      </c>
      <c r="P136" s="150">
        <f t="shared" si="1"/>
        <v>123</v>
      </c>
      <c r="Q136" s="150" t="s">
        <v>1892</v>
      </c>
      <c r="R13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975-RFD77306</v>
      </c>
      <c r="S136" s="136" t="str">
        <f>HYPERLINK("https://www.mouser.com/ProductDetail/" &amp;MouserListTable[[#This Row],[Mouser SKU]])</f>
        <v>https://www.mouser.com/ProductDetail/975-RFD77306</v>
      </c>
      <c r="T136" s="152">
        <v>1</v>
      </c>
      <c r="U136" s="152">
        <v>0</v>
      </c>
      <c r="V136" s="152">
        <v>0</v>
      </c>
      <c r="W136" s="152">
        <f>MouserListTable[[#This Row],['#/Unit]]*FilterSpecs!$C$3+MouserListTable[[#This Row],[Extra]]</f>
        <v>5</v>
      </c>
      <c r="X136" s="152">
        <f>IF(MouserListTable[[#This Row],[Tag]]=FilterSpecs!$F$7,MouserListTable[[#This Row],['#/Unit]]*MouserListTable[[#This Row],[Price (USD)]],0)</f>
        <v>29.62</v>
      </c>
      <c r="Y136" s="152">
        <f>MouserListTable[[#This Row],[Tot '#]]*MouserListTable[[#This Row],[Price (USD)]]</f>
        <v>148.1</v>
      </c>
      <c r="Z136" s="146"/>
      <c r="AA136" s="29" t="e">
        <f>[1]!nonzeroQtysOfList($F$14, $Q$14, InitialOrderTable2[[#This Row],[Name]], FilterSpecs!$A$7)</f>
        <v>#VALUE!</v>
      </c>
      <c r="AB136" s="29" t="e">
        <f>[1]!nonzeroQtysOfList($F$14, $Q$14, InitialOrderTable2['# Initial], FilterSpecs!$A$7)</f>
        <v>#VALUE!</v>
      </c>
      <c r="AC136" s="29" t="e">
        <f>[1]!nonzeroQtysOfList($F$14, $Q$14, InitialOrderTable2[SKU], FilterSpecs!$A$7)</f>
        <v>#VALUE!</v>
      </c>
      <c r="AJ136" s="146"/>
    </row>
    <row r="137" spans="1:36" s="153" customFormat="1" x14ac:dyDescent="0.25">
      <c r="A137" s="97" t="s">
        <v>887</v>
      </c>
      <c r="B137" s="97" t="s">
        <v>10</v>
      </c>
      <c r="C137" s="150" t="s">
        <v>5</v>
      </c>
      <c r="D137" s="151" t="str">
        <f>IF(MouserListTable[[#This Row],[Vendor]]=FilterSpecs!$A$8,MouserListTable[[#This Row],[Mouser SKU]], MouserListTable[[#This Row],[Supplier SKU]])</f>
        <v>474-SEN-00242</v>
      </c>
      <c r="E137" s="152">
        <f>MouserListTable[[#This Row],[Tot '#]]-MouserListTable[[#This Row],['# Initial]]</f>
        <v>0</v>
      </c>
      <c r="F137" s="152">
        <f>IF(AND(MouserListTable[[#This Row],[Tag]]&lt;&gt;FilterSpecs!$F$12, MouserListTable[[#This Row],[Tag]]&lt;&gt;FilterSpecs!$F$9), MouserListTable[[#This Row],['#/Unit]]*FilterSpecs!$B$3+MouserListTable[[#This Row],[Extra Initial]],0)</f>
        <v>0</v>
      </c>
      <c r="G137" s="150" t="s">
        <v>99</v>
      </c>
      <c r="H137" s="150" t="s">
        <v>100</v>
      </c>
      <c r="I137" s="150" t="s">
        <v>101</v>
      </c>
      <c r="J137" s="150">
        <v>1</v>
      </c>
      <c r="K137" s="154">
        <v>13.95</v>
      </c>
      <c r="L137" s="150" t="s">
        <v>1897</v>
      </c>
      <c r="N137" s="154">
        <f>MouserListTable[[#This Row],['# Initial]]*MouserListTable[[#This Row],[Price (USD)]]</f>
        <v>0</v>
      </c>
      <c r="O137" s="151" t="s">
        <v>98</v>
      </c>
      <c r="P137" s="150">
        <f t="shared" si="1"/>
        <v>124</v>
      </c>
      <c r="Q137" s="150" t="s">
        <v>5</v>
      </c>
      <c r="R13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474-SEN-00242</v>
      </c>
      <c r="S137" s="157" t="str">
        <f>HYPERLINK("https://www.mouser.com/ProductDetail/" &amp;MouserListTable[[#This Row],[Mouser SKU]])</f>
        <v>https://www.mouser.com/ProductDetail/474-SEN-00242</v>
      </c>
      <c r="T137" s="152">
        <v>0</v>
      </c>
      <c r="U137" s="152">
        <v>0</v>
      </c>
      <c r="V137" s="152">
        <v>0</v>
      </c>
      <c r="W137" s="152">
        <f>MouserListTable[[#This Row],['#/Unit]]*FilterSpecs!$C$3+MouserListTable[[#This Row],[Extra]]</f>
        <v>0</v>
      </c>
      <c r="X137" s="152">
        <f>IF(MouserListTable[[#This Row],[Tag]]=FilterSpecs!$F$7,MouserListTable[[#This Row],['#/Unit]]*MouserListTable[[#This Row],[Price (USD)]],0)</f>
        <v>0</v>
      </c>
      <c r="Y137" s="152">
        <f>MouserListTable[[#This Row],[Tot '#]]*MouserListTable[[#This Row],[Price (USD)]]</f>
        <v>0</v>
      </c>
      <c r="Z137" s="146"/>
      <c r="AA137" s="29" t="e">
        <f>[1]!nonzeroQtysOfList($F$14, $Q$14, InitialOrderTable2[[#This Row],[Name]], FilterSpecs!$A$7)</f>
        <v>#VALUE!</v>
      </c>
      <c r="AB137" s="29" t="e">
        <f>[1]!nonzeroQtysOfList($F$14, $Q$14, InitialOrderTable2['# Initial], FilterSpecs!$A$7)</f>
        <v>#VALUE!</v>
      </c>
      <c r="AC137" s="29" t="e">
        <f>[1]!nonzeroQtysOfList($F$14, $Q$14, InitialOrderTable2[SKU], FilterSpecs!$A$7)</f>
        <v>#VALUE!</v>
      </c>
      <c r="AJ137" s="146"/>
    </row>
    <row r="138" spans="1:36" s="153" customFormat="1" x14ac:dyDescent="0.25">
      <c r="A138" s="97" t="s">
        <v>887</v>
      </c>
      <c r="B138" s="97" t="s">
        <v>10</v>
      </c>
      <c r="C138" s="150" t="s">
        <v>5</v>
      </c>
      <c r="D138" s="151" t="str">
        <f>IF(MouserListTable[[#This Row],[Vendor]]=FilterSpecs!$A$8,MouserListTable[[#This Row],[Mouser SKU]], MouserListTable[[#This Row],[Supplier SKU]])</f>
        <v>474-SEN-08733</v>
      </c>
      <c r="E138" s="152">
        <f>MouserListTable[[#This Row],[Tot '#]]-MouserListTable[[#This Row],['# Initial]]</f>
        <v>0</v>
      </c>
      <c r="F138" s="152">
        <f>IF(AND(MouserListTable[[#This Row],[Tag]]&lt;&gt;FilterSpecs!$F$12, MouserListTable[[#This Row],[Tag]]&lt;&gt;FilterSpecs!$F$9), MouserListTable[[#This Row],['#/Unit]]*FilterSpecs!$B$3+MouserListTable[[#This Row],[Extra Initial]],0)</f>
        <v>0</v>
      </c>
      <c r="G138" s="150" t="s">
        <v>1081</v>
      </c>
      <c r="H138" s="150" t="s">
        <v>1082</v>
      </c>
      <c r="I138" s="150" t="s">
        <v>1083</v>
      </c>
      <c r="J138" s="150">
        <v>1</v>
      </c>
      <c r="K138" s="154">
        <v>1.5</v>
      </c>
      <c r="L138" s="150" t="s">
        <v>1897</v>
      </c>
      <c r="N138" s="154">
        <f>MouserListTable[[#This Row],['# Initial]]*MouserListTable[[#This Row],[Price (USD)]]</f>
        <v>0</v>
      </c>
      <c r="O138" s="151" t="s">
        <v>1080</v>
      </c>
      <c r="P138" s="150">
        <f t="shared" si="1"/>
        <v>125</v>
      </c>
      <c r="Q138" s="150" t="s">
        <v>5</v>
      </c>
      <c r="R13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474-SEN-08733</v>
      </c>
      <c r="S138" s="157" t="str">
        <f>HYPERLINK("https://www.mouser.com/ProductDetail/" &amp;MouserListTable[[#This Row],[Mouser SKU]])</f>
        <v>https://www.mouser.com/ProductDetail/474-SEN-08733</v>
      </c>
      <c r="T138" s="152">
        <v>0</v>
      </c>
      <c r="U138" s="152">
        <v>0</v>
      </c>
      <c r="V138" s="152">
        <v>0</v>
      </c>
      <c r="W138" s="152">
        <f>MouserListTable[[#This Row],['#/Unit]]*FilterSpecs!$C$3+MouserListTable[[#This Row],[Extra]]</f>
        <v>0</v>
      </c>
      <c r="X138" s="152">
        <f>IF(MouserListTable[[#This Row],[Tag]]=FilterSpecs!$F$7,MouserListTable[[#This Row],['#/Unit]]*MouserListTable[[#This Row],[Price (USD)]],0)</f>
        <v>0</v>
      </c>
      <c r="Y138" s="152">
        <f>MouserListTable[[#This Row],[Tot '#]]*MouserListTable[[#This Row],[Price (USD)]]</f>
        <v>0</v>
      </c>
      <c r="Z138" s="146"/>
      <c r="AA138" s="29" t="e">
        <f>[1]!nonzeroQtysOfList($F$14, $Q$14, InitialOrderTable2[[#This Row],[Name]], FilterSpecs!$A$7)</f>
        <v>#VALUE!</v>
      </c>
      <c r="AB138" s="29" t="e">
        <f>[1]!nonzeroQtysOfList($F$14, $Q$14, InitialOrderTable2['# Initial], FilterSpecs!$A$7)</f>
        <v>#VALUE!</v>
      </c>
      <c r="AC138" s="29" t="e">
        <f>[1]!nonzeroQtysOfList($F$14, $Q$14, InitialOrderTable2[SKU], FilterSpecs!$A$7)</f>
        <v>#VALUE!</v>
      </c>
      <c r="AJ138" s="146"/>
    </row>
    <row r="139" spans="1:36" s="153" customFormat="1" x14ac:dyDescent="0.25">
      <c r="A139" s="150" t="s">
        <v>887</v>
      </c>
      <c r="B139" s="150" t="s">
        <v>10</v>
      </c>
      <c r="C139" s="150" t="s">
        <v>1884</v>
      </c>
      <c r="D139" s="151" t="str">
        <f>IF(MouserListTable[[#This Row],[Vendor]]=FilterSpecs!$A$8,MouserListTable[[#This Row],[Mouser SKU]], MouserListTable[[#This Row],[Supplier SKU]])</f>
        <v>485-3538</v>
      </c>
      <c r="E139" s="152">
        <f>MouserListTable[[#This Row],[Tot '#]]-MouserListTable[[#This Row],['# Initial]]</f>
        <v>0</v>
      </c>
      <c r="F139" s="152">
        <f>IF(AND(MouserListTable[[#This Row],[Tag]]&lt;&gt;FilterSpecs!$F$12, MouserListTable[[#This Row],[Tag]]&lt;&gt;FilterSpecs!$F$9), MouserListTable[[#This Row],['#/Unit]]*FilterSpecs!$B$3+MouserListTable[[#This Row],[Extra Initial]],0)</f>
        <v>0</v>
      </c>
      <c r="G139" s="150"/>
      <c r="H139" s="150"/>
      <c r="I139" s="150" t="s">
        <v>2293</v>
      </c>
      <c r="K139" s="118">
        <v>39.950000000000003</v>
      </c>
      <c r="L139" s="97" t="s">
        <v>1896</v>
      </c>
      <c r="N139" s="154">
        <f>MouserListTable[[#This Row],['# Initial]]*MouserListTable[[#This Row],[Price (USD)]]</f>
        <v>0</v>
      </c>
      <c r="O139" s="151" t="s">
        <v>2292</v>
      </c>
      <c r="P139" s="150">
        <f t="shared" si="1"/>
        <v>126</v>
      </c>
      <c r="Q139" s="150" t="s">
        <v>1884</v>
      </c>
      <c r="R13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485-3538</v>
      </c>
      <c r="S139" s="157" t="str">
        <f>HYPERLINK("https://www.mouser.com/ProductDetail/" &amp;MouserListTable[[#This Row],[Mouser SKU]])</f>
        <v>https://www.mouser.com/ProductDetail/485-3538</v>
      </c>
      <c r="T139" s="152">
        <v>0</v>
      </c>
      <c r="U139" s="152">
        <v>0</v>
      </c>
      <c r="V139" s="152">
        <v>0</v>
      </c>
      <c r="W139" s="152">
        <f>MouserListTable[[#This Row],['#/Unit]]*FilterSpecs!$C$3+MouserListTable[[#This Row],[Extra]]</f>
        <v>0</v>
      </c>
      <c r="X139" s="152">
        <f>IF(MouserListTable[[#This Row],[Tag]]=FilterSpecs!$F$7,MouserListTable[[#This Row],['#/Unit]]*MouserListTable[[#This Row],[Price (USD)]],0)</f>
        <v>0</v>
      </c>
      <c r="Y139" s="152">
        <f>MouserListTable[[#This Row],[Tot '#]]*MouserListTable[[#This Row],[Price (USD)]]</f>
        <v>0</v>
      </c>
      <c r="Z139" s="146"/>
      <c r="AA139" s="29" t="e">
        <f>[1]!nonzeroQtysOfList($F$14, $Q$14, InitialOrderTable2[[#This Row],[Name]], FilterSpecs!$A$7)</f>
        <v>#VALUE!</v>
      </c>
      <c r="AB139" s="29" t="e">
        <f>[1]!nonzeroQtysOfList($F$14, $Q$14, InitialOrderTable2['# Initial], FilterSpecs!$A$7)</f>
        <v>#VALUE!</v>
      </c>
      <c r="AC139" s="29" t="e">
        <f>[1]!nonzeroQtysOfList($F$14, $Q$14, InitialOrderTable2[SKU], FilterSpecs!$A$7)</f>
        <v>#VALUE!</v>
      </c>
      <c r="AJ139" s="146"/>
    </row>
    <row r="140" spans="1:36" s="153" customFormat="1" x14ac:dyDescent="0.25">
      <c r="A140" s="150" t="s">
        <v>887</v>
      </c>
      <c r="B140" s="150" t="s">
        <v>10</v>
      </c>
      <c r="C140" s="150" t="s">
        <v>1884</v>
      </c>
      <c r="D140" s="151" t="str">
        <f>IF(MouserListTable[[#This Row],[Vendor]]=FilterSpecs!$A$8,MouserListTable[[#This Row],[Mouser SKU]], MouserListTable[[#This Row],[Supplier SKU]])</f>
        <v>485-3317</v>
      </c>
      <c r="E140" s="152">
        <f>MouserListTable[[#This Row],[Tot '#]]-MouserListTable[[#This Row],['# Initial]]</f>
        <v>0</v>
      </c>
      <c r="F140" s="152">
        <f>IF(AND(MouserListTable[[#This Row],[Tag]]&lt;&gt;FilterSpecs!$F$12, MouserListTable[[#This Row],[Tag]]&lt;&gt;FilterSpecs!$F$9), MouserListTable[[#This Row],['#/Unit]]*FilterSpecs!$B$3+MouserListTable[[#This Row],[Extra Initial]],0)</f>
        <v>5</v>
      </c>
      <c r="G140" s="150"/>
      <c r="H140" s="150"/>
      <c r="I140" s="150" t="s">
        <v>2295</v>
      </c>
      <c r="K140" s="154">
        <v>14.95</v>
      </c>
      <c r="L140" s="150" t="s">
        <v>1897</v>
      </c>
      <c r="M140" s="151"/>
      <c r="N140" s="154">
        <f>MouserListTable[[#This Row],['# Initial]]*MouserListTable[[#This Row],[Price (USD)]]</f>
        <v>74.75</v>
      </c>
      <c r="O140" s="151" t="s">
        <v>2294</v>
      </c>
      <c r="P140" s="150">
        <f t="shared" si="1"/>
        <v>127</v>
      </c>
      <c r="Q140" s="150" t="s">
        <v>1884</v>
      </c>
      <c r="R14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485-3317</v>
      </c>
      <c r="S140" s="157" t="str">
        <f>HYPERLINK("https://www.mouser.com/ProductDetail/" &amp;MouserListTable[[#This Row],[Mouser SKU]])</f>
        <v>https://www.mouser.com/ProductDetail/485-3317</v>
      </c>
      <c r="T140" s="152">
        <v>1</v>
      </c>
      <c r="U140" s="152">
        <v>0</v>
      </c>
      <c r="V140" s="152">
        <v>0</v>
      </c>
      <c r="W140" s="152">
        <f>MouserListTable[[#This Row],['#/Unit]]*FilterSpecs!$C$3+MouserListTable[[#This Row],[Extra]]</f>
        <v>5</v>
      </c>
      <c r="X140" s="152">
        <f>IF(MouserListTable[[#This Row],[Tag]]=FilterSpecs!$F$7,MouserListTable[[#This Row],['#/Unit]]*MouserListTable[[#This Row],[Price (USD)]],0)</f>
        <v>14.95</v>
      </c>
      <c r="Y140" s="152">
        <f>MouserListTable[[#This Row],[Tot '#]]*MouserListTable[[#This Row],[Price (USD)]]</f>
        <v>74.75</v>
      </c>
      <c r="Z140" s="146"/>
      <c r="AA140" s="29" t="e">
        <f>[1]!nonzeroQtysOfList($F$14, $Q$14, InitialOrderTable2[[#This Row],[Name]], FilterSpecs!$A$7)</f>
        <v>#VALUE!</v>
      </c>
      <c r="AB140" s="29" t="e">
        <f>[1]!nonzeroQtysOfList($F$14, $Q$14, InitialOrderTable2['# Initial], FilterSpecs!$A$7)</f>
        <v>#VALUE!</v>
      </c>
      <c r="AC140" s="29" t="e">
        <f>[1]!nonzeroQtysOfList($F$14, $Q$14, InitialOrderTable2[SKU], FilterSpecs!$A$7)</f>
        <v>#VALUE!</v>
      </c>
      <c r="AJ140" s="146"/>
    </row>
    <row r="141" spans="1:36" s="153" customFormat="1" x14ac:dyDescent="0.25">
      <c r="A141" s="150" t="s">
        <v>887</v>
      </c>
      <c r="B141" s="150" t="s">
        <v>10</v>
      </c>
      <c r="C141" s="150" t="s">
        <v>1884</v>
      </c>
      <c r="D141" s="151" t="str">
        <f>IF(MouserListTable[[#This Row],[Vendor]]=FilterSpecs!$A$8,MouserListTable[[#This Row],[Mouser SKU]], MouserListTable[[#This Row],[Supplier SKU]])</f>
        <v>485-3316</v>
      </c>
      <c r="E141" s="152">
        <f>MouserListTable[[#This Row],[Tot '#]]-MouserListTable[[#This Row],['# Initial]]</f>
        <v>0</v>
      </c>
      <c r="F141" s="152">
        <f>IF(AND(MouserListTable[[#This Row],[Tag]]&lt;&gt;FilterSpecs!$F$12, MouserListTable[[#This Row],[Tag]]&lt;&gt;FilterSpecs!$F$9), MouserListTable[[#This Row],['#/Unit]]*FilterSpecs!$B$3+MouserListTable[[#This Row],[Extra Initial]],0)</f>
        <v>0</v>
      </c>
      <c r="G141" s="150"/>
      <c r="H141" s="150"/>
      <c r="I141" s="150" t="s">
        <v>2297</v>
      </c>
      <c r="K141" s="118">
        <v>13.95</v>
      </c>
      <c r="L141" s="97" t="s">
        <v>1896</v>
      </c>
      <c r="N141" s="154">
        <f>MouserListTable[[#This Row],['# Initial]]*MouserListTable[[#This Row],[Price (USD)]]</f>
        <v>0</v>
      </c>
      <c r="O141" s="151" t="s">
        <v>2296</v>
      </c>
      <c r="P141" s="150">
        <f t="shared" si="1"/>
        <v>128</v>
      </c>
      <c r="Q141" s="150" t="s">
        <v>1884</v>
      </c>
      <c r="R14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485-3316</v>
      </c>
      <c r="S141" s="157" t="str">
        <f>HYPERLINK("https://www.mouser.com/ProductDetail/" &amp;MouserListTable[[#This Row],[Mouser SKU]])</f>
        <v>https://www.mouser.com/ProductDetail/485-3316</v>
      </c>
      <c r="T141" s="152">
        <v>0</v>
      </c>
      <c r="U141" s="152">
        <v>0</v>
      </c>
      <c r="V141" s="152">
        <v>0</v>
      </c>
      <c r="W141" s="152">
        <f>MouserListTable[[#This Row],['#/Unit]]*FilterSpecs!$C$3+MouserListTable[[#This Row],[Extra]]</f>
        <v>0</v>
      </c>
      <c r="X141" s="152">
        <f>IF(MouserListTable[[#This Row],[Tag]]=FilterSpecs!$F$7,MouserListTable[[#This Row],['#/Unit]]*MouserListTable[[#This Row],[Price (USD)]],0)</f>
        <v>0</v>
      </c>
      <c r="Y141" s="152">
        <f>MouserListTable[[#This Row],[Tot '#]]*MouserListTable[[#This Row],[Price (USD)]]</f>
        <v>0</v>
      </c>
      <c r="Z141" s="146"/>
      <c r="AA141" s="29" t="e">
        <f>[1]!nonzeroQtysOfList($F$14, $Q$14, InitialOrderTable2[[#This Row],[Name]], FilterSpecs!$A$7)</f>
        <v>#VALUE!</v>
      </c>
      <c r="AB141" s="29" t="e">
        <f>[1]!nonzeroQtysOfList($F$14, $Q$14, InitialOrderTable2['# Initial], FilterSpecs!$A$7)</f>
        <v>#VALUE!</v>
      </c>
      <c r="AC141" s="29" t="e">
        <f>[1]!nonzeroQtysOfList($F$14, $Q$14, InitialOrderTable2[SKU], FilterSpecs!$A$7)</f>
        <v>#VALUE!</v>
      </c>
      <c r="AJ141" s="146"/>
    </row>
    <row r="142" spans="1:36" s="153" customFormat="1" x14ac:dyDescent="0.25">
      <c r="A142" s="150" t="s">
        <v>887</v>
      </c>
      <c r="B142" s="150" t="s">
        <v>10</v>
      </c>
      <c r="C142" s="150" t="s">
        <v>1884</v>
      </c>
      <c r="D142" s="151" t="str">
        <f>IF(MouserListTable[[#This Row],[Vendor]]=FilterSpecs!$A$8,MouserListTable[[#This Row],[Mouser SKU]], MouserListTable[[#This Row],[Supplier SKU]])</f>
        <v>485-1568</v>
      </c>
      <c r="E142" s="152">
        <f>MouserListTable[[#This Row],[Tot '#]]-MouserListTable[[#This Row],['# Initial]]</f>
        <v>0</v>
      </c>
      <c r="F142" s="152">
        <f>IF(AND(MouserListTable[[#This Row],[Tag]]&lt;&gt;FilterSpecs!$F$12, MouserListTable[[#This Row],[Tag]]&lt;&gt;FilterSpecs!$F$9), MouserListTable[[#This Row],['#/Unit]]*FilterSpecs!$B$3+MouserListTable[[#This Row],[Extra Initial]],0)</f>
        <v>0</v>
      </c>
      <c r="G142" s="150"/>
      <c r="H142" s="150"/>
      <c r="I142" s="150" t="s">
        <v>2299</v>
      </c>
      <c r="K142" s="118">
        <v>24.95</v>
      </c>
      <c r="L142" s="97" t="s">
        <v>1896</v>
      </c>
      <c r="N142" s="154">
        <f>MouserListTable[[#This Row],['# Initial]]*MouserListTable[[#This Row],[Price (USD)]]</f>
        <v>0</v>
      </c>
      <c r="O142" s="151" t="s">
        <v>2298</v>
      </c>
      <c r="P142" s="150">
        <f t="shared" ref="P142:P205" si="2">IF($P141="List #",1,$P141+1)</f>
        <v>129</v>
      </c>
      <c r="Q142" s="150" t="s">
        <v>1884</v>
      </c>
      <c r="R14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485-1568</v>
      </c>
      <c r="S142" s="157" t="str">
        <f>HYPERLINK("https://www.mouser.com/ProductDetail/" &amp;MouserListTable[[#This Row],[Mouser SKU]])</f>
        <v>https://www.mouser.com/ProductDetail/485-1568</v>
      </c>
      <c r="T142" s="152">
        <v>0</v>
      </c>
      <c r="U142" s="152">
        <v>0</v>
      </c>
      <c r="V142" s="152">
        <v>0</v>
      </c>
      <c r="W142" s="152">
        <f>MouserListTable[[#This Row],['#/Unit]]*FilterSpecs!$C$3+MouserListTable[[#This Row],[Extra]]</f>
        <v>0</v>
      </c>
      <c r="X142" s="152">
        <f>IF(MouserListTable[[#This Row],[Tag]]=FilterSpecs!$F$7,MouserListTable[[#This Row],['#/Unit]]*MouserListTable[[#This Row],[Price (USD)]],0)</f>
        <v>0</v>
      </c>
      <c r="Y142" s="152">
        <f>MouserListTable[[#This Row],[Tot '#]]*MouserListTable[[#This Row],[Price (USD)]]</f>
        <v>0</v>
      </c>
      <c r="Z142" s="146"/>
      <c r="AA142" s="29" t="e">
        <f>[1]!nonzeroQtysOfList($F$14, $Q$14, InitialOrderTable2[[#This Row],[Name]], FilterSpecs!$A$7)</f>
        <v>#VALUE!</v>
      </c>
      <c r="AB142" s="29" t="e">
        <f>[1]!nonzeroQtysOfList($F$14, $Q$14, InitialOrderTable2['# Initial], FilterSpecs!$A$7)</f>
        <v>#VALUE!</v>
      </c>
      <c r="AC142" s="29" t="e">
        <f>[1]!nonzeroQtysOfList($F$14, $Q$14, InitialOrderTable2[SKU], FilterSpecs!$A$7)</f>
        <v>#VALUE!</v>
      </c>
      <c r="AJ142" s="146"/>
    </row>
    <row r="143" spans="1:36" s="153" customFormat="1" x14ac:dyDescent="0.25">
      <c r="A143" s="150" t="s">
        <v>887</v>
      </c>
      <c r="B143" s="150" t="s">
        <v>10</v>
      </c>
      <c r="C143" s="150" t="s">
        <v>1884</v>
      </c>
      <c r="D143" s="151" t="str">
        <f>IF(MouserListTable[[#This Row],[Vendor]]=FilterSpecs!$A$8,MouserListTable[[#This Row],[Mouser SKU]], MouserListTable[[#This Row],[Supplier SKU]])</f>
        <v>485-164</v>
      </c>
      <c r="E143" s="152">
        <f>MouserListTable[[#This Row],[Tot '#]]-MouserListTable[[#This Row],['# Initial]]</f>
        <v>0</v>
      </c>
      <c r="F143" s="152">
        <f>IF(AND(MouserListTable[[#This Row],[Tag]]&lt;&gt;FilterSpecs!$F$12, MouserListTable[[#This Row],[Tag]]&lt;&gt;FilterSpecs!$F$9), MouserListTable[[#This Row],['#/Unit]]*FilterSpecs!$B$3+MouserListTable[[#This Row],[Extra Initial]],0)</f>
        <v>0</v>
      </c>
      <c r="G143" s="150"/>
      <c r="H143" s="150"/>
      <c r="I143" s="150" t="s">
        <v>2301</v>
      </c>
      <c r="K143" s="118">
        <v>14.95</v>
      </c>
      <c r="L143" s="97" t="s">
        <v>1896</v>
      </c>
      <c r="N143" s="154">
        <f>MouserListTable[[#This Row],['# Initial]]*MouserListTable[[#This Row],[Price (USD)]]</f>
        <v>0</v>
      </c>
      <c r="O143" s="151" t="s">
        <v>2300</v>
      </c>
      <c r="P143" s="150">
        <f t="shared" si="2"/>
        <v>130</v>
      </c>
      <c r="Q143" s="150" t="s">
        <v>1884</v>
      </c>
      <c r="R14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485-164</v>
      </c>
      <c r="S143" s="157" t="str">
        <f>HYPERLINK("https://www.mouser.com/ProductDetail/" &amp;MouserListTable[[#This Row],[Mouser SKU]])</f>
        <v>https://www.mouser.com/ProductDetail/485-164</v>
      </c>
      <c r="T143" s="152">
        <v>0</v>
      </c>
      <c r="U143" s="152">
        <v>0</v>
      </c>
      <c r="V143" s="152">
        <v>0</v>
      </c>
      <c r="W143" s="152">
        <f>MouserListTable[[#This Row],['#/Unit]]*FilterSpecs!$C$3+MouserListTable[[#This Row],[Extra]]</f>
        <v>0</v>
      </c>
      <c r="X143" s="152">
        <f>IF(MouserListTable[[#This Row],[Tag]]=FilterSpecs!$F$7,MouserListTable[[#This Row],['#/Unit]]*MouserListTable[[#This Row],[Price (USD)]],0)</f>
        <v>0</v>
      </c>
      <c r="Y143" s="152">
        <f>MouserListTable[[#This Row],[Tot '#]]*MouserListTable[[#This Row],[Price (USD)]]</f>
        <v>0</v>
      </c>
      <c r="Z143" s="146"/>
      <c r="AA143" s="29" t="e">
        <f>[1]!nonzeroQtysOfList($F$14, $Q$14, InitialOrderTable2[[#This Row],[Name]], FilterSpecs!$A$7)</f>
        <v>#VALUE!</v>
      </c>
      <c r="AB143" s="29" t="e">
        <f>[1]!nonzeroQtysOfList($F$14, $Q$14, InitialOrderTable2['# Initial], FilterSpecs!$A$7)</f>
        <v>#VALUE!</v>
      </c>
      <c r="AC143" s="29" t="e">
        <f>[1]!nonzeroQtysOfList($F$14, $Q$14, InitialOrderTable2[SKU], FilterSpecs!$A$7)</f>
        <v>#VALUE!</v>
      </c>
      <c r="AJ143" s="146"/>
    </row>
    <row r="144" spans="1:36" s="153" customFormat="1" x14ac:dyDescent="0.25">
      <c r="A144" s="150" t="s">
        <v>887</v>
      </c>
      <c r="B144" s="150" t="s">
        <v>10</v>
      </c>
      <c r="C144" s="150" t="s">
        <v>1884</v>
      </c>
      <c r="D144" s="151" t="str">
        <f>IF(MouserListTable[[#This Row],[Vendor]]=FilterSpecs!$A$8,MouserListTable[[#This Row],[Mouser SKU]], MouserListTable[[#This Row],[Supplier SKU]])</f>
        <v>485-1031</v>
      </c>
      <c r="E144" s="152">
        <f>MouserListTable[[#This Row],[Tot '#]]-MouserListTable[[#This Row],['# Initial]]</f>
        <v>0</v>
      </c>
      <c r="F144" s="152">
        <f>IF(AND(MouserListTable[[#This Row],[Tag]]&lt;&gt;FilterSpecs!$F$12, MouserListTable[[#This Row],[Tag]]&lt;&gt;FilterSpecs!$F$9), MouserListTable[[#This Row],['#/Unit]]*FilterSpecs!$B$3+MouserListTable[[#This Row],[Extra Initial]],0)</f>
        <v>0</v>
      </c>
      <c r="G144" s="150"/>
      <c r="H144" s="150"/>
      <c r="I144" s="150" t="s">
        <v>2303</v>
      </c>
      <c r="K144" s="118">
        <v>15.95</v>
      </c>
      <c r="L144" s="97" t="s">
        <v>1896</v>
      </c>
      <c r="N144" s="154">
        <f>MouserListTable[[#This Row],['# Initial]]*MouserListTable[[#This Row],[Price (USD)]]</f>
        <v>0</v>
      </c>
      <c r="O144" s="151" t="s">
        <v>2302</v>
      </c>
      <c r="P144" s="150">
        <f t="shared" si="2"/>
        <v>131</v>
      </c>
      <c r="Q144" s="150" t="s">
        <v>1884</v>
      </c>
      <c r="R14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485-1031</v>
      </c>
      <c r="S144" s="157" t="str">
        <f>HYPERLINK("https://www.mouser.com/ProductDetail/" &amp;MouserListTable[[#This Row],[Mouser SKU]])</f>
        <v>https://www.mouser.com/ProductDetail/485-1031</v>
      </c>
      <c r="T144" s="152">
        <v>0</v>
      </c>
      <c r="U144" s="152">
        <v>0</v>
      </c>
      <c r="V144" s="152">
        <v>0</v>
      </c>
      <c r="W144" s="152">
        <f>MouserListTable[[#This Row],['#/Unit]]*FilterSpecs!$C$3+MouserListTable[[#This Row],[Extra]]</f>
        <v>0</v>
      </c>
      <c r="X144" s="152">
        <f>IF(MouserListTable[[#This Row],[Tag]]=FilterSpecs!$F$7,MouserListTable[[#This Row],['#/Unit]]*MouserListTable[[#This Row],[Price (USD)]],0)</f>
        <v>0</v>
      </c>
      <c r="Y144" s="152">
        <f>MouserListTable[[#This Row],[Tot '#]]*MouserListTable[[#This Row],[Price (USD)]]</f>
        <v>0</v>
      </c>
      <c r="Z144" s="146"/>
      <c r="AA144" s="29" t="e">
        <f>[1]!nonzeroQtysOfList($F$14, $Q$14, InitialOrderTable2[[#This Row],[Name]], FilterSpecs!$A$7)</f>
        <v>#VALUE!</v>
      </c>
      <c r="AB144" s="29" t="e">
        <f>[1]!nonzeroQtysOfList($F$14, $Q$14, InitialOrderTable2['# Initial], FilterSpecs!$A$7)</f>
        <v>#VALUE!</v>
      </c>
      <c r="AC144" s="29" t="e">
        <f>[1]!nonzeroQtysOfList($F$14, $Q$14, InitialOrderTable2[SKU], FilterSpecs!$A$7)</f>
        <v>#VALUE!</v>
      </c>
      <c r="AJ144" s="146"/>
    </row>
    <row r="145" spans="1:36" s="153" customFormat="1" x14ac:dyDescent="0.25">
      <c r="A145" s="150" t="s">
        <v>887</v>
      </c>
      <c r="B145" s="150" t="s">
        <v>10</v>
      </c>
      <c r="C145" s="150" t="s">
        <v>2524</v>
      </c>
      <c r="D145" s="151" t="str">
        <f>IF(MouserListTable[[#This Row],[Vendor]]=FilterSpecs!$A$8,MouserListTable[[#This Row],[Mouser SKU]], MouserListTable[[#This Row],[Supplier SKU]])</f>
        <v>511-53L0-SATEL-I1</v>
      </c>
      <c r="E145" s="152">
        <f>MouserListTable[[#This Row],[Tot '#]]-MouserListTable[[#This Row],['# Initial]]</f>
        <v>0</v>
      </c>
      <c r="F145" s="152">
        <f>IF(AND(MouserListTable[[#This Row],[Tag]]&lt;&gt;FilterSpecs!$F$12, MouserListTable[[#This Row],[Tag]]&lt;&gt;FilterSpecs!$F$9), MouserListTable[[#This Row],['#/Unit]]*FilterSpecs!$B$3+MouserListTable[[#This Row],[Extra Initial]],0)</f>
        <v>5</v>
      </c>
      <c r="G145" s="150"/>
      <c r="H145" s="150"/>
      <c r="I145" s="150" t="s">
        <v>2523</v>
      </c>
      <c r="J145" s="150"/>
      <c r="K145" s="154">
        <v>18.5</v>
      </c>
      <c r="L145" s="152" t="s">
        <v>1897</v>
      </c>
      <c r="M145" s="150"/>
      <c r="N145" s="154">
        <f>MouserListTable[[#This Row],['# Initial]]*MouserListTable[[#This Row],[Price (USD)]]</f>
        <v>92.5</v>
      </c>
      <c r="O145" s="151" t="s">
        <v>2521</v>
      </c>
      <c r="P145" s="150">
        <f t="shared" si="2"/>
        <v>132</v>
      </c>
      <c r="Q145" s="150" t="s">
        <v>2524</v>
      </c>
      <c r="R14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511-53L0-SATEL-I1</v>
      </c>
      <c r="S145" s="157" t="str">
        <f>HYPERLINK("https://www.mouser.com/ProductDetail/" &amp;MouserListTable[[#This Row],[Mouser SKU]])</f>
        <v>https://www.mouser.com/ProductDetail/511-53L0-SATEL-I1</v>
      </c>
      <c r="T145" s="152">
        <v>1</v>
      </c>
      <c r="U145" s="152">
        <v>0</v>
      </c>
      <c r="V145" s="152">
        <v>0</v>
      </c>
      <c r="W145" s="152">
        <f>MouserListTable[[#This Row],['#/Unit]]*FilterSpecs!$C$3+MouserListTable[[#This Row],[Extra]]</f>
        <v>5</v>
      </c>
      <c r="X145" s="152">
        <f>IF(MouserListTable[[#This Row],[Tag]]=FilterSpecs!$F$7,MouserListTable[[#This Row],['#/Unit]]*MouserListTable[[#This Row],[Price (USD)]],0)</f>
        <v>18.5</v>
      </c>
      <c r="Y145" s="152">
        <f>MouserListTable[[#This Row],[Tot '#]]*MouserListTable[[#This Row],[Price (USD)]]</f>
        <v>92.5</v>
      </c>
      <c r="Z145" s="146"/>
      <c r="AA145" s="29" t="e">
        <f>[1]!nonzeroQtysOfList($F$14, $Q$14, InitialOrderTable2[[#This Row],[Name]], FilterSpecs!$A$7)</f>
        <v>#VALUE!</v>
      </c>
      <c r="AB145" s="29" t="e">
        <f>[1]!nonzeroQtysOfList($F$14, $Q$14, InitialOrderTable2['# Initial], FilterSpecs!$A$7)</f>
        <v>#VALUE!</v>
      </c>
      <c r="AC145" s="29" t="e">
        <f>[1]!nonzeroQtysOfList($F$14, $Q$14, InitialOrderTable2[SKU], FilterSpecs!$A$7)</f>
        <v>#VALUE!</v>
      </c>
      <c r="AJ145" s="146"/>
    </row>
    <row r="146" spans="1:36" s="153" customFormat="1" x14ac:dyDescent="0.25">
      <c r="A146" s="150" t="s">
        <v>887</v>
      </c>
      <c r="B146" s="150" t="s">
        <v>11</v>
      </c>
      <c r="C146" s="150" t="s">
        <v>5</v>
      </c>
      <c r="D146" s="151" t="str">
        <f>IF(MouserListTable[[#This Row],[Vendor]]=FilterSpecs!$A$8,MouserListTable[[#This Row],[Mouser SKU]], MouserListTable[[#This Row],[Supplier SKU]])</f>
        <v>474-SEN-09196</v>
      </c>
      <c r="E146" s="152">
        <f>MouserListTable[[#This Row],[Tot '#]]-MouserListTable[[#This Row],['# Initial]]</f>
        <v>0</v>
      </c>
      <c r="F146" s="152">
        <f>IF(AND(MouserListTable[[#This Row],[Tag]]&lt;&gt;FilterSpecs!$F$12, MouserListTable[[#This Row],[Tag]]&lt;&gt;FilterSpecs!$F$9), MouserListTable[[#This Row],['#/Unit]]*FilterSpecs!$B$3+MouserListTable[[#This Row],[Extra Initial]],0)</f>
        <v>5</v>
      </c>
      <c r="G146" s="150" t="s">
        <v>103</v>
      </c>
      <c r="H146" s="150" t="s">
        <v>104</v>
      </c>
      <c r="I146" s="150" t="s">
        <v>105</v>
      </c>
      <c r="J146" s="153">
        <v>1</v>
      </c>
      <c r="K146" s="154">
        <v>2.95</v>
      </c>
      <c r="L146" s="150" t="s">
        <v>1897</v>
      </c>
      <c r="M146" s="151"/>
      <c r="N146" s="154">
        <f>MouserListTable[[#This Row],['# Initial]]*MouserListTable[[#This Row],[Price (USD)]]</f>
        <v>14.75</v>
      </c>
      <c r="O146" s="151" t="s">
        <v>102</v>
      </c>
      <c r="P146" s="150">
        <f t="shared" si="2"/>
        <v>133</v>
      </c>
      <c r="Q146" s="150" t="s">
        <v>5</v>
      </c>
      <c r="R14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474-SEN-09196</v>
      </c>
      <c r="S146" s="157" t="str">
        <f>HYPERLINK("https://www.mouser.com/ProductDetail/" &amp;MouserListTable[[#This Row],[Mouser SKU]])</f>
        <v>https://www.mouser.com/ProductDetail/474-SEN-09196</v>
      </c>
      <c r="T146" s="152">
        <v>1</v>
      </c>
      <c r="U146" s="152">
        <v>0</v>
      </c>
      <c r="V146" s="152">
        <v>0</v>
      </c>
      <c r="W146" s="152">
        <f>MouserListTable[[#This Row],['#/Unit]]*FilterSpecs!$C$3+MouserListTable[[#This Row],[Extra]]</f>
        <v>5</v>
      </c>
      <c r="X146" s="152">
        <f>IF(MouserListTable[[#This Row],[Tag]]=FilterSpecs!$F$7,MouserListTable[[#This Row],['#/Unit]]*MouserListTable[[#This Row],[Price (USD)]],0)</f>
        <v>2.95</v>
      </c>
      <c r="Y146" s="152">
        <f>MouserListTable[[#This Row],[Tot '#]]*MouserListTable[[#This Row],[Price (USD)]]</f>
        <v>14.75</v>
      </c>
      <c r="Z146" s="146"/>
      <c r="AA146" s="29" t="e">
        <f>[1]!nonzeroQtysOfList($F$14, $Q$14, InitialOrderTable2[[#This Row],[Name]], FilterSpecs!$A$7)</f>
        <v>#VALUE!</v>
      </c>
      <c r="AB146" s="29" t="e">
        <f>[1]!nonzeroQtysOfList($F$14, $Q$14, InitialOrderTable2['# Initial], FilterSpecs!$A$7)</f>
        <v>#VALUE!</v>
      </c>
      <c r="AC146" s="29" t="e">
        <f>[1]!nonzeroQtysOfList($F$14, $Q$14, InitialOrderTable2[SKU], FilterSpecs!$A$7)</f>
        <v>#VALUE!</v>
      </c>
      <c r="AJ146" s="146"/>
    </row>
    <row r="147" spans="1:36" s="153" customFormat="1" x14ac:dyDescent="0.25">
      <c r="A147" s="150" t="s">
        <v>887</v>
      </c>
      <c r="B147" s="150" t="s">
        <v>11</v>
      </c>
      <c r="C147" s="150" t="s">
        <v>5</v>
      </c>
      <c r="D147" s="151" t="str">
        <f>IF(MouserListTable[[#This Row],[Vendor]]=FilterSpecs!$A$8,MouserListTable[[#This Row],[Mouser SKU]], MouserListTable[[#This Row],[Supplier SKU]])</f>
        <v>474-SEN-09197</v>
      </c>
      <c r="E147" s="152">
        <f>MouserListTable[[#This Row],[Tot '#]]-MouserListTable[[#This Row],['# Initial]]</f>
        <v>0</v>
      </c>
      <c r="F147" s="152">
        <f>IF(AND(MouserListTable[[#This Row],[Tag]]&lt;&gt;FilterSpecs!$F$12, MouserListTable[[#This Row],[Tag]]&lt;&gt;FilterSpecs!$F$9), MouserListTable[[#This Row],['#/Unit]]*FilterSpecs!$B$3+MouserListTable[[#This Row],[Extra Initial]],0)</f>
        <v>0</v>
      </c>
      <c r="G147" s="150" t="s">
        <v>1326</v>
      </c>
      <c r="H147" s="150" t="s">
        <v>1327</v>
      </c>
      <c r="I147" s="150" t="s">
        <v>1328</v>
      </c>
      <c r="J147" s="153">
        <v>1</v>
      </c>
      <c r="K147" s="118">
        <v>2.95</v>
      </c>
      <c r="L147" s="97" t="s">
        <v>1896</v>
      </c>
      <c r="N147" s="154">
        <f>MouserListTable[[#This Row],['# Initial]]*MouserListTable[[#This Row],[Price (USD)]]</f>
        <v>0</v>
      </c>
      <c r="O147" s="151" t="s">
        <v>1325</v>
      </c>
      <c r="P147" s="150">
        <f t="shared" si="2"/>
        <v>134</v>
      </c>
      <c r="Q147" s="150" t="s">
        <v>5</v>
      </c>
      <c r="R14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474-SEN-09197</v>
      </c>
      <c r="S147" s="157" t="str">
        <f>HYPERLINK("https://www.mouser.com/ProductDetail/" &amp;MouserListTable[[#This Row],[Mouser SKU]])</f>
        <v>https://www.mouser.com/ProductDetail/474-SEN-09197</v>
      </c>
      <c r="T147" s="152">
        <v>0</v>
      </c>
      <c r="U147" s="152">
        <v>0</v>
      </c>
      <c r="V147" s="152">
        <v>0</v>
      </c>
      <c r="W147" s="152">
        <f>MouserListTable[[#This Row],['#/Unit]]*FilterSpecs!$C$3+MouserListTable[[#This Row],[Extra]]</f>
        <v>0</v>
      </c>
      <c r="X147" s="152">
        <f>IF(MouserListTable[[#This Row],[Tag]]=FilterSpecs!$F$7,MouserListTable[[#This Row],['#/Unit]]*MouserListTable[[#This Row],[Price (USD)]],0)</f>
        <v>0</v>
      </c>
      <c r="Y147" s="152">
        <f>MouserListTable[[#This Row],[Tot '#]]*MouserListTable[[#This Row],[Price (USD)]]</f>
        <v>0</v>
      </c>
      <c r="Z147" s="146"/>
      <c r="AA147" s="29" t="e">
        <f>[1]!nonzeroQtysOfList($F$14, $Q$14, InitialOrderTable2[[#This Row],[Name]], FilterSpecs!$A$7)</f>
        <v>#VALUE!</v>
      </c>
      <c r="AB147" s="29" t="e">
        <f>[1]!nonzeroQtysOfList($F$14, $Q$14, InitialOrderTable2['# Initial], FilterSpecs!$A$7)</f>
        <v>#VALUE!</v>
      </c>
      <c r="AC147" s="29" t="e">
        <f>[1]!nonzeroQtysOfList($F$14, $Q$14, InitialOrderTable2[SKU], FilterSpecs!$A$7)</f>
        <v>#VALUE!</v>
      </c>
      <c r="AJ147" s="146"/>
    </row>
    <row r="148" spans="1:36" s="153" customFormat="1" x14ac:dyDescent="0.25">
      <c r="A148" s="150" t="s">
        <v>887</v>
      </c>
      <c r="B148" s="150" t="s">
        <v>11</v>
      </c>
      <c r="C148" s="150" t="s">
        <v>5</v>
      </c>
      <c r="D148" s="151" t="str">
        <f>IF(MouserListTable[[#This Row],[Vendor]]=FilterSpecs!$A$8,MouserListTable[[#This Row],[Mouser SKU]], MouserListTable[[#This Row],[Supplier SKU]])</f>
        <v>474-SEN-09198</v>
      </c>
      <c r="E148" s="152">
        <f>MouserListTable[[#This Row],[Tot '#]]-MouserListTable[[#This Row],['# Initial]]</f>
        <v>0</v>
      </c>
      <c r="F148" s="152">
        <f>IF(AND(MouserListTable[[#This Row],[Tag]]&lt;&gt;FilterSpecs!$F$12, MouserListTable[[#This Row],[Tag]]&lt;&gt;FilterSpecs!$F$9), MouserListTable[[#This Row],['#/Unit]]*FilterSpecs!$B$3+MouserListTable[[#This Row],[Extra Initial]],0)</f>
        <v>0</v>
      </c>
      <c r="G148" s="150" t="s">
        <v>1330</v>
      </c>
      <c r="H148" s="150" t="s">
        <v>1331</v>
      </c>
      <c r="I148" s="150" t="s">
        <v>1332</v>
      </c>
      <c r="J148" s="153">
        <v>1</v>
      </c>
      <c r="K148" s="118">
        <v>2.95</v>
      </c>
      <c r="L148" s="97" t="s">
        <v>1896</v>
      </c>
      <c r="N148" s="154">
        <f>MouserListTable[[#This Row],['# Initial]]*MouserListTable[[#This Row],[Price (USD)]]</f>
        <v>0</v>
      </c>
      <c r="O148" s="151" t="s">
        <v>1329</v>
      </c>
      <c r="P148" s="150">
        <f t="shared" si="2"/>
        <v>135</v>
      </c>
      <c r="Q148" s="150" t="s">
        <v>5</v>
      </c>
      <c r="R14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474-SEN-09198</v>
      </c>
      <c r="S148" s="157" t="str">
        <f>HYPERLINK("https://www.mouser.com/ProductDetail/" &amp;MouserListTable[[#This Row],[Mouser SKU]])</f>
        <v>https://www.mouser.com/ProductDetail/474-SEN-09198</v>
      </c>
      <c r="T148" s="152">
        <v>0</v>
      </c>
      <c r="U148" s="152">
        <v>0</v>
      </c>
      <c r="V148" s="152">
        <v>0</v>
      </c>
      <c r="W148" s="152">
        <f>MouserListTable[[#This Row],['#/Unit]]*FilterSpecs!$C$3+MouserListTable[[#This Row],[Extra]]</f>
        <v>0</v>
      </c>
      <c r="X148" s="152">
        <f>IF(MouserListTable[[#This Row],[Tag]]=FilterSpecs!$F$7,MouserListTable[[#This Row],['#/Unit]]*MouserListTable[[#This Row],[Price (USD)]],0)</f>
        <v>0</v>
      </c>
      <c r="Y148" s="152">
        <f>MouserListTable[[#This Row],[Tot '#]]*MouserListTable[[#This Row],[Price (USD)]]</f>
        <v>0</v>
      </c>
      <c r="Z148" s="146"/>
      <c r="AA148" s="29" t="e">
        <f>[1]!nonzeroQtysOfList($F$14, $Q$14, InitialOrderTable2[[#This Row],[Name]], FilterSpecs!$A$7)</f>
        <v>#VALUE!</v>
      </c>
      <c r="AB148" s="29" t="e">
        <f>[1]!nonzeroQtysOfList($F$14, $Q$14, InitialOrderTable2['# Initial], FilterSpecs!$A$7)</f>
        <v>#VALUE!</v>
      </c>
      <c r="AC148" s="29" t="e">
        <f>[1]!nonzeroQtysOfList($F$14, $Q$14, InitialOrderTable2[SKU], FilterSpecs!$A$7)</f>
        <v>#VALUE!</v>
      </c>
      <c r="AJ148" s="146"/>
    </row>
    <row r="149" spans="1:36" s="153" customFormat="1" x14ac:dyDescent="0.25">
      <c r="A149" s="150" t="s">
        <v>887</v>
      </c>
      <c r="B149" s="150" t="s">
        <v>11</v>
      </c>
      <c r="C149" s="150" t="s">
        <v>5</v>
      </c>
      <c r="D149" s="151" t="str">
        <f>IF(MouserListTable[[#This Row],[Vendor]]=FilterSpecs!$A$8,MouserListTable[[#This Row],[Mouser SKU]], MouserListTable[[#This Row],[Supplier SKU]])</f>
        <v>474-SEN-09199</v>
      </c>
      <c r="E149" s="152">
        <f>MouserListTable[[#This Row],[Tot '#]]-MouserListTable[[#This Row],['# Initial]]</f>
        <v>0</v>
      </c>
      <c r="F149" s="152">
        <f>IF(AND(MouserListTable[[#This Row],[Tag]]&lt;&gt;FilterSpecs!$F$12, MouserListTable[[#This Row],[Tag]]&lt;&gt;FilterSpecs!$F$9), MouserListTable[[#This Row],['#/Unit]]*FilterSpecs!$B$3+MouserListTable[[#This Row],[Extra Initial]],0)</f>
        <v>0</v>
      </c>
      <c r="G149" s="150" t="s">
        <v>1334</v>
      </c>
      <c r="H149" s="150" t="s">
        <v>1335</v>
      </c>
      <c r="I149" s="150" t="s">
        <v>1336</v>
      </c>
      <c r="J149" s="153">
        <v>1</v>
      </c>
      <c r="K149" s="118">
        <v>2.95</v>
      </c>
      <c r="L149" s="97" t="s">
        <v>1899</v>
      </c>
      <c r="N149" s="154">
        <f>MouserListTable[[#This Row],['# Initial]]*MouserListTable[[#This Row],[Price (USD)]]</f>
        <v>0</v>
      </c>
      <c r="O149" s="151" t="s">
        <v>1333</v>
      </c>
      <c r="P149" s="150">
        <f t="shared" si="2"/>
        <v>136</v>
      </c>
      <c r="Q149" s="150" t="s">
        <v>5</v>
      </c>
      <c r="R14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474-SEN-09199</v>
      </c>
      <c r="S149" s="157" t="str">
        <f>HYPERLINK("https://www.mouser.com/ProductDetail/" &amp;MouserListTable[[#This Row],[Mouser SKU]])</f>
        <v>https://www.mouser.com/ProductDetail/474-SEN-09199</v>
      </c>
      <c r="T149" s="152">
        <v>0</v>
      </c>
      <c r="U149" s="152">
        <v>0</v>
      </c>
      <c r="V149" s="152">
        <v>0</v>
      </c>
      <c r="W149" s="152">
        <f>MouserListTable[[#This Row],['#/Unit]]*FilterSpecs!$C$3+MouserListTable[[#This Row],[Extra]]</f>
        <v>0</v>
      </c>
      <c r="X149" s="152">
        <f>IF(MouserListTable[[#This Row],[Tag]]=FilterSpecs!$F$7,MouserListTable[[#This Row],['#/Unit]]*MouserListTable[[#This Row],[Price (USD)]],0)</f>
        <v>0</v>
      </c>
      <c r="Y149" s="152">
        <f>MouserListTable[[#This Row],[Tot '#]]*MouserListTable[[#This Row],[Price (USD)]]</f>
        <v>0</v>
      </c>
      <c r="Z149" s="146"/>
      <c r="AA149" s="29" t="e">
        <f>[1]!nonzeroQtysOfList($F$14, $Q$14, InitialOrderTable2[[#This Row],[Name]], FilterSpecs!$A$7)</f>
        <v>#VALUE!</v>
      </c>
      <c r="AB149" s="29" t="e">
        <f>[1]!nonzeroQtysOfList($F$14, $Q$14, InitialOrderTable2['# Initial], FilterSpecs!$A$7)</f>
        <v>#VALUE!</v>
      </c>
      <c r="AC149" s="29" t="e">
        <f>[1]!nonzeroQtysOfList($F$14, $Q$14, InitialOrderTable2[SKU], FilterSpecs!$A$7)</f>
        <v>#VALUE!</v>
      </c>
      <c r="AJ149" s="146"/>
    </row>
    <row r="150" spans="1:36" s="153" customFormat="1" x14ac:dyDescent="0.25">
      <c r="A150" s="150" t="s">
        <v>887</v>
      </c>
      <c r="B150" s="150" t="s">
        <v>11</v>
      </c>
      <c r="C150" s="150" t="s">
        <v>1884</v>
      </c>
      <c r="D150" s="151" t="str">
        <f>IF(MouserListTable[[#This Row],[Vendor]]=FilterSpecs!$A$8,MouserListTable[[#This Row],[Mouser SKU]], MouserListTable[[#This Row],[Supplier SKU]])</f>
        <v>485-1071</v>
      </c>
      <c r="E150" s="152">
        <f>MouserListTable[[#This Row],[Tot '#]]-MouserListTable[[#This Row],['# Initial]]</f>
        <v>0</v>
      </c>
      <c r="F150" s="152">
        <f>IF(AND(MouserListTable[[#This Row],[Tag]]&lt;&gt;FilterSpecs!$F$12, MouserListTable[[#This Row],[Tag]]&lt;&gt;FilterSpecs!$F$9), MouserListTable[[#This Row],['#/Unit]]*FilterSpecs!$B$3+MouserListTable[[#This Row],[Extra Initial]],0)</f>
        <v>0</v>
      </c>
      <c r="G150" s="150"/>
      <c r="H150" s="150"/>
      <c r="I150" s="150" t="s">
        <v>2307</v>
      </c>
      <c r="K150" s="118">
        <v>17.95</v>
      </c>
      <c r="L150" s="97" t="s">
        <v>1896</v>
      </c>
      <c r="N150" s="154">
        <f>MouserListTable[[#This Row],['# Initial]]*MouserListTable[[#This Row],[Price (USD)]]</f>
        <v>0</v>
      </c>
      <c r="O150" s="151" t="s">
        <v>2306</v>
      </c>
      <c r="P150" s="150">
        <f t="shared" si="2"/>
        <v>137</v>
      </c>
      <c r="Q150" s="150" t="s">
        <v>1884</v>
      </c>
      <c r="R15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485-1071</v>
      </c>
      <c r="S150" s="157" t="str">
        <f>HYPERLINK("https://www.mouser.com/ProductDetail/" &amp;MouserListTable[[#This Row],[Mouser SKU]])</f>
        <v>https://www.mouser.com/ProductDetail/485-1071</v>
      </c>
      <c r="T150" s="152">
        <v>0</v>
      </c>
      <c r="U150" s="152">
        <v>0</v>
      </c>
      <c r="V150" s="152">
        <v>0</v>
      </c>
      <c r="W150" s="152">
        <f>MouserListTable[[#This Row],['#/Unit]]*FilterSpecs!$C$3+MouserListTable[[#This Row],[Extra]]</f>
        <v>0</v>
      </c>
      <c r="X150" s="152">
        <f>IF(MouserListTable[[#This Row],[Tag]]=FilterSpecs!$F$7,MouserListTable[[#This Row],['#/Unit]]*MouserListTable[[#This Row],[Price (USD)]],0)</f>
        <v>0</v>
      </c>
      <c r="Y150" s="152">
        <f>MouserListTable[[#This Row],[Tot '#]]*MouserListTable[[#This Row],[Price (USD)]]</f>
        <v>0</v>
      </c>
      <c r="Z150" s="146"/>
      <c r="AA150" s="29" t="e">
        <f>[1]!nonzeroQtysOfList($F$14, $Q$14, InitialOrderTable2[[#This Row],[Name]], FilterSpecs!$A$7)</f>
        <v>#VALUE!</v>
      </c>
      <c r="AB150" s="29" t="e">
        <f>[1]!nonzeroQtysOfList($F$14, $Q$14, InitialOrderTable2['# Initial], FilterSpecs!$A$7)</f>
        <v>#VALUE!</v>
      </c>
      <c r="AC150" s="29" t="e">
        <f>[1]!nonzeroQtysOfList($F$14, $Q$14, InitialOrderTable2[SKU], FilterSpecs!$A$7)</f>
        <v>#VALUE!</v>
      </c>
      <c r="AJ150" s="146"/>
    </row>
    <row r="151" spans="1:36" s="104" customFormat="1" x14ac:dyDescent="0.25">
      <c r="A151" s="150" t="s">
        <v>887</v>
      </c>
      <c r="B151" s="150" t="s">
        <v>11</v>
      </c>
      <c r="C151" s="150" t="s">
        <v>5</v>
      </c>
      <c r="D151" s="151" t="str">
        <f>IF(MouserListTable[[#This Row],[Vendor]]=FilterSpecs!$A$8,MouserListTable[[#This Row],[Mouser SKU]], MouserListTable[[#This Row],[Supplier SKU]])</f>
        <v>474-SEN-09674</v>
      </c>
      <c r="E151" s="152">
        <f>MouserListTable[[#This Row],[Tot '#]]-MouserListTable[[#This Row],['# Initial]]</f>
        <v>0</v>
      </c>
      <c r="F151" s="152">
        <f>IF(AND(MouserListTable[[#This Row],[Tag]]&lt;&gt;FilterSpecs!$F$12, MouserListTable[[#This Row],[Tag]]&lt;&gt;FilterSpecs!$F$9), MouserListTable[[#This Row],['#/Unit]]*FilterSpecs!$B$3+MouserListTable[[#This Row],[Extra Initial]],0)</f>
        <v>0</v>
      </c>
      <c r="G151" s="150" t="s">
        <v>1417</v>
      </c>
      <c r="H151" s="150" t="s">
        <v>1418</v>
      </c>
      <c r="I151" s="150" t="s">
        <v>1419</v>
      </c>
      <c r="J151" s="153">
        <v>1</v>
      </c>
      <c r="K151" s="118">
        <v>20.95</v>
      </c>
      <c r="L151" s="97" t="s">
        <v>1896</v>
      </c>
      <c r="M151" s="153"/>
      <c r="N151" s="154">
        <f>MouserListTable[[#This Row],['# Initial]]*MouserListTable[[#This Row],[Price (USD)]]</f>
        <v>0</v>
      </c>
      <c r="O151" s="151" t="s">
        <v>1416</v>
      </c>
      <c r="P151" s="150">
        <f t="shared" si="2"/>
        <v>138</v>
      </c>
      <c r="Q151" s="150" t="s">
        <v>5</v>
      </c>
      <c r="R15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474-SEN-09674</v>
      </c>
      <c r="S151" s="157" t="str">
        <f>HYPERLINK("https://www.mouser.com/ProductDetail/" &amp;MouserListTable[[#This Row],[Mouser SKU]])</f>
        <v>https://www.mouser.com/ProductDetail/474-SEN-09674</v>
      </c>
      <c r="T151" s="152">
        <v>0</v>
      </c>
      <c r="U151" s="152">
        <v>0</v>
      </c>
      <c r="V151" s="152">
        <v>0</v>
      </c>
      <c r="W151" s="152">
        <f>MouserListTable[[#This Row],['#/Unit]]*FilterSpecs!$C$3+MouserListTable[[#This Row],[Extra]]</f>
        <v>0</v>
      </c>
      <c r="X151" s="152">
        <f>IF(MouserListTable[[#This Row],[Tag]]=FilterSpecs!$F$7,MouserListTable[[#This Row],['#/Unit]]*MouserListTable[[#This Row],[Price (USD)]],0)</f>
        <v>0</v>
      </c>
      <c r="Y151" s="152">
        <f>MouserListTable[[#This Row],[Tot '#]]*MouserListTable[[#This Row],[Price (USD)]]</f>
        <v>0</v>
      </c>
      <c r="Z151" s="146"/>
      <c r="AA151" s="29" t="e">
        <f>[1]!nonzeroQtysOfList($F$14, $Q$14, InitialOrderTable2[[#This Row],[Name]], FilterSpecs!$A$7)</f>
        <v>#VALUE!</v>
      </c>
      <c r="AB151" s="29" t="e">
        <f>[1]!nonzeroQtysOfList($F$14, $Q$14, InitialOrderTable2['# Initial], FilterSpecs!$A$7)</f>
        <v>#VALUE!</v>
      </c>
      <c r="AC151" s="29" t="e">
        <f>[1]!nonzeroQtysOfList($F$14, $Q$14, InitialOrderTable2[SKU], FilterSpecs!$A$7)</f>
        <v>#VALUE!</v>
      </c>
      <c r="AJ151" s="146"/>
    </row>
    <row r="152" spans="1:36" s="104" customFormat="1" x14ac:dyDescent="0.25">
      <c r="A152" s="97" t="s">
        <v>887</v>
      </c>
      <c r="B152" s="97" t="s">
        <v>11</v>
      </c>
      <c r="C152" s="150" t="s">
        <v>5</v>
      </c>
      <c r="D152" s="151" t="str">
        <f>IF(MouserListTable[[#This Row],[Vendor]]=FilterSpecs!$A$8,MouserListTable[[#This Row],[Mouser SKU]], MouserListTable[[#This Row],[Supplier SKU]])</f>
        <v>474-SEN-09673</v>
      </c>
      <c r="E152" s="152">
        <f>MouserListTable[[#This Row],[Tot '#]]-MouserListTable[[#This Row],['# Initial]]</f>
        <v>0</v>
      </c>
      <c r="F152" s="152">
        <f>IF(AND(MouserListTable[[#This Row],[Tag]]&lt;&gt;FilterSpecs!$F$12, MouserListTable[[#This Row],[Tag]]&lt;&gt;FilterSpecs!$F$9), MouserListTable[[#This Row],['#/Unit]]*FilterSpecs!$B$3+MouserListTable[[#This Row],[Extra Initial]],0)</f>
        <v>0</v>
      </c>
      <c r="G152" s="150" t="s">
        <v>1421</v>
      </c>
      <c r="H152" s="150" t="s">
        <v>1422</v>
      </c>
      <c r="I152" s="150" t="s">
        <v>1423</v>
      </c>
      <c r="J152" s="150">
        <v>1</v>
      </c>
      <c r="K152" s="154">
        <v>5.95</v>
      </c>
      <c r="L152" s="150" t="s">
        <v>1896</v>
      </c>
      <c r="M152" s="153"/>
      <c r="N152" s="154">
        <f>MouserListTable[[#This Row],['# Initial]]*MouserListTable[[#This Row],[Price (USD)]]</f>
        <v>0</v>
      </c>
      <c r="O152" s="151" t="s">
        <v>1420</v>
      </c>
      <c r="P152" s="150">
        <f t="shared" si="2"/>
        <v>139</v>
      </c>
      <c r="Q152" s="150" t="s">
        <v>5</v>
      </c>
      <c r="R15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474-SEN-09673</v>
      </c>
      <c r="S152" s="157" t="str">
        <f>HYPERLINK("https://www.mouser.com/ProductDetail/" &amp;MouserListTable[[#This Row],[Mouser SKU]])</f>
        <v>https://www.mouser.com/ProductDetail/474-SEN-09673</v>
      </c>
      <c r="T152" s="152">
        <v>0</v>
      </c>
      <c r="U152" s="152">
        <v>0</v>
      </c>
      <c r="V152" s="152">
        <v>0</v>
      </c>
      <c r="W152" s="152">
        <f>MouserListTable[[#This Row],['#/Unit]]*FilterSpecs!$C$3+MouserListTable[[#This Row],[Extra]]</f>
        <v>0</v>
      </c>
      <c r="X152" s="152">
        <f>IF(MouserListTable[[#This Row],[Tag]]=FilterSpecs!$F$7,MouserListTable[[#This Row],['#/Unit]]*MouserListTable[[#This Row],[Price (USD)]],0)</f>
        <v>0</v>
      </c>
      <c r="Y152" s="152">
        <f>MouserListTable[[#This Row],[Tot '#]]*MouserListTable[[#This Row],[Price (USD)]]</f>
        <v>0</v>
      </c>
      <c r="Z152" s="146"/>
      <c r="AA152" s="29" t="e">
        <f>[1]!nonzeroQtysOfList($F$14, $Q$14, InitialOrderTable2[[#This Row],[Name]], FilterSpecs!$A$7)</f>
        <v>#VALUE!</v>
      </c>
      <c r="AB152" s="29" t="e">
        <f>[1]!nonzeroQtysOfList($F$14, $Q$14, InitialOrderTable2['# Initial], FilterSpecs!$A$7)</f>
        <v>#VALUE!</v>
      </c>
      <c r="AC152" s="29" t="e">
        <f>[1]!nonzeroQtysOfList($F$14, $Q$14, InitialOrderTable2[SKU], FilterSpecs!$A$7)</f>
        <v>#VALUE!</v>
      </c>
      <c r="AJ152" s="146"/>
    </row>
    <row r="153" spans="1:36" s="104" customFormat="1" x14ac:dyDescent="0.25">
      <c r="A153" s="97" t="s">
        <v>887</v>
      </c>
      <c r="B153" s="97" t="s">
        <v>11</v>
      </c>
      <c r="C153" s="150" t="s">
        <v>5</v>
      </c>
      <c r="D153" s="151" t="str">
        <f>IF(MouserListTable[[#This Row],[Vendor]]=FilterSpecs!$A$8,MouserListTable[[#This Row],[Mouser SKU]], MouserListTable[[#This Row],[Supplier SKU]])</f>
        <v>474-SEN-09376</v>
      </c>
      <c r="E153" s="152">
        <f>MouserListTable[[#This Row],[Tot '#]]-MouserListTable[[#This Row],['# Initial]]</f>
        <v>0</v>
      </c>
      <c r="F153" s="152">
        <f>IF(AND(MouserListTable[[#This Row],[Tag]]&lt;&gt;FilterSpecs!$F$12, MouserListTable[[#This Row],[Tag]]&lt;&gt;FilterSpecs!$F$9), MouserListTable[[#This Row],['#/Unit]]*FilterSpecs!$B$3+MouserListTable[[#This Row],[Extra Initial]],0)</f>
        <v>0</v>
      </c>
      <c r="G153" s="150" t="s">
        <v>669</v>
      </c>
      <c r="H153" s="150" t="s">
        <v>670</v>
      </c>
      <c r="I153" s="150" t="s">
        <v>671</v>
      </c>
      <c r="J153" s="150">
        <v>1</v>
      </c>
      <c r="K153" s="154">
        <v>9.9499999999999993</v>
      </c>
      <c r="L153" s="150" t="s">
        <v>1896</v>
      </c>
      <c r="M153" s="153"/>
      <c r="N153" s="154">
        <f>MouserListTable[[#This Row],['# Initial]]*MouserListTable[[#This Row],[Price (USD)]]</f>
        <v>0</v>
      </c>
      <c r="O153" s="151" t="s">
        <v>668</v>
      </c>
      <c r="P153" s="150">
        <f t="shared" si="2"/>
        <v>140</v>
      </c>
      <c r="Q153" s="150" t="s">
        <v>5</v>
      </c>
      <c r="R15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474-SEN-09376</v>
      </c>
      <c r="S153" s="157" t="str">
        <f>HYPERLINK("https://www.mouser.com/ProductDetail/" &amp;MouserListTable[[#This Row],[Mouser SKU]])</f>
        <v>https://www.mouser.com/ProductDetail/474-SEN-09376</v>
      </c>
      <c r="T153" s="152">
        <v>0</v>
      </c>
      <c r="U153" s="152">
        <v>0</v>
      </c>
      <c r="V153" s="152">
        <v>0</v>
      </c>
      <c r="W153" s="152">
        <f>MouserListTable[[#This Row],['#/Unit]]*FilterSpecs!$C$3+MouserListTable[[#This Row],[Extra]]</f>
        <v>0</v>
      </c>
      <c r="X153" s="152">
        <f>IF(MouserListTable[[#This Row],[Tag]]=FilterSpecs!$F$7,MouserListTable[[#This Row],['#/Unit]]*MouserListTable[[#This Row],[Price (USD)]],0)</f>
        <v>0</v>
      </c>
      <c r="Y153" s="152">
        <f>MouserListTable[[#This Row],[Tot '#]]*MouserListTable[[#This Row],[Price (USD)]]</f>
        <v>0</v>
      </c>
      <c r="Z153" s="146"/>
      <c r="AA153" s="29" t="e">
        <f>[1]!nonzeroQtysOfList($F$14, $Q$14, InitialOrderTable2[[#This Row],[Name]], FilterSpecs!$A$7)</f>
        <v>#VALUE!</v>
      </c>
      <c r="AB153" s="29" t="e">
        <f>[1]!nonzeroQtysOfList($F$14, $Q$14, InitialOrderTable2['# Initial], FilterSpecs!$A$7)</f>
        <v>#VALUE!</v>
      </c>
      <c r="AC153" s="29" t="e">
        <f>[1]!nonzeroQtysOfList($F$14, $Q$14, InitialOrderTable2[SKU], FilterSpecs!$A$7)</f>
        <v>#VALUE!</v>
      </c>
      <c r="AJ153" s="146"/>
    </row>
    <row r="154" spans="1:36" s="104" customFormat="1" x14ac:dyDescent="0.25">
      <c r="A154" s="150" t="s">
        <v>887</v>
      </c>
      <c r="B154" s="150" t="s">
        <v>11</v>
      </c>
      <c r="C154" s="150" t="s">
        <v>1884</v>
      </c>
      <c r="D154" s="151" t="str">
        <f>IF(MouserListTable[[#This Row],[Vendor]]=FilterSpecs!$A$8,MouserListTable[[#This Row],[Mouser SKU]], MouserListTable[[#This Row],[Supplier SKU]])</f>
        <v>485-1075</v>
      </c>
      <c r="E154" s="152">
        <f>MouserListTable[[#This Row],[Tot '#]]-MouserListTable[[#This Row],['# Initial]]</f>
        <v>4</v>
      </c>
      <c r="F154" s="152">
        <f>IF(AND(MouserListTable[[#This Row],[Tag]]&lt;&gt;FilterSpecs!$F$12, MouserListTable[[#This Row],[Tag]]&lt;&gt;FilterSpecs!$F$9), MouserListTable[[#This Row],['#/Unit]]*FilterSpecs!$B$3+MouserListTable[[#This Row],[Extra Initial]],0)</f>
        <v>0</v>
      </c>
      <c r="G154" s="150"/>
      <c r="H154" s="150"/>
      <c r="I154" s="150" t="s">
        <v>2313</v>
      </c>
      <c r="J154" s="150"/>
      <c r="K154" s="154">
        <v>7.95</v>
      </c>
      <c r="L154" s="150" t="s">
        <v>1896</v>
      </c>
      <c r="M154" s="151"/>
      <c r="N154" s="154">
        <f>MouserListTable[[#This Row],['# Initial]]*MouserListTable[[#This Row],[Price (USD)]]</f>
        <v>0</v>
      </c>
      <c r="O154" s="151" t="s">
        <v>2312</v>
      </c>
      <c r="P154" s="150">
        <f t="shared" si="2"/>
        <v>141</v>
      </c>
      <c r="Q154" s="150" t="s">
        <v>1884</v>
      </c>
      <c r="R15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485-1075</v>
      </c>
      <c r="S154" s="157" t="str">
        <f>HYPERLINK("https://www.mouser.com/ProductDetail/" &amp;MouserListTable[[#This Row],[Mouser SKU]])</f>
        <v>https://www.mouser.com/ProductDetail/485-1075</v>
      </c>
      <c r="T154" s="152">
        <v>0</v>
      </c>
      <c r="U154" s="152">
        <v>4</v>
      </c>
      <c r="V154" s="152">
        <v>0</v>
      </c>
      <c r="W154" s="152">
        <f>MouserListTable[[#This Row],['#/Unit]]*FilterSpecs!$C$3+MouserListTable[[#This Row],[Extra]]</f>
        <v>4</v>
      </c>
      <c r="X154" s="152">
        <f>IF(MouserListTable[[#This Row],[Tag]]=FilterSpecs!$F$7,MouserListTable[[#This Row],['#/Unit]]*MouserListTable[[#This Row],[Price (USD)]],0)</f>
        <v>0</v>
      </c>
      <c r="Y154" s="152">
        <f>MouserListTable[[#This Row],[Tot '#]]*MouserListTable[[#This Row],[Price (USD)]]</f>
        <v>31.8</v>
      </c>
      <c r="Z154" s="146"/>
      <c r="AA154" s="29" t="e">
        <f>[1]!nonzeroQtysOfList($F$14, $Q$14, InitialOrderTable2[[#This Row],[Name]], FilterSpecs!$A$7)</f>
        <v>#VALUE!</v>
      </c>
      <c r="AB154" s="29" t="e">
        <f>[1]!nonzeroQtysOfList($F$14, $Q$14, InitialOrderTable2['# Initial], FilterSpecs!$A$7)</f>
        <v>#VALUE!</v>
      </c>
      <c r="AC154" s="29" t="e">
        <f>[1]!nonzeroQtysOfList($F$14, $Q$14, InitialOrderTable2[SKU], FilterSpecs!$A$7)</f>
        <v>#VALUE!</v>
      </c>
      <c r="AJ154" s="146"/>
    </row>
    <row r="155" spans="1:36" s="104" customFormat="1" x14ac:dyDescent="0.25">
      <c r="A155" s="97" t="s">
        <v>887</v>
      </c>
      <c r="B155" s="97" t="s">
        <v>11</v>
      </c>
      <c r="C155" s="150" t="s">
        <v>5</v>
      </c>
      <c r="D155" s="151" t="str">
        <f>IF(MouserListTable[[#This Row],[Vendor]]=FilterSpecs!$A$8,MouserListTable[[#This Row],[Mouser SKU]], MouserListTable[[#This Row],[Supplier SKU]])</f>
        <v>474-SEN-09375</v>
      </c>
      <c r="E155" s="152">
        <f>MouserListTable[[#This Row],[Tot '#]]-MouserListTable[[#This Row],['# Initial]]</f>
        <v>0</v>
      </c>
      <c r="F155" s="152">
        <f>IF(AND(MouserListTable[[#This Row],[Tag]]&lt;&gt;FilterSpecs!$F$12, MouserListTable[[#This Row],[Tag]]&lt;&gt;FilterSpecs!$F$9), MouserListTable[[#This Row],['#/Unit]]*FilterSpecs!$B$3+MouserListTable[[#This Row],[Extra Initial]],0)</f>
        <v>0</v>
      </c>
      <c r="G155" s="150" t="s">
        <v>1409</v>
      </c>
      <c r="H155" s="150" t="s">
        <v>1410</v>
      </c>
      <c r="I155" s="150" t="s">
        <v>1411</v>
      </c>
      <c r="J155" s="150">
        <v>1</v>
      </c>
      <c r="K155" s="154">
        <v>6.95</v>
      </c>
      <c r="L155" s="150" t="s">
        <v>1896</v>
      </c>
      <c r="M155" s="153"/>
      <c r="N155" s="154">
        <f>MouserListTable[[#This Row],['# Initial]]*MouserListTable[[#This Row],[Price (USD)]]</f>
        <v>0</v>
      </c>
      <c r="O155" s="151" t="s">
        <v>1408</v>
      </c>
      <c r="P155" s="150">
        <f t="shared" si="2"/>
        <v>142</v>
      </c>
      <c r="Q155" s="150" t="s">
        <v>5</v>
      </c>
      <c r="R15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474-SEN-09375</v>
      </c>
      <c r="S155" s="157" t="str">
        <f>HYPERLINK("https://www.mouser.com/ProductDetail/" &amp;MouserListTable[[#This Row],[Mouser SKU]])</f>
        <v>https://www.mouser.com/ProductDetail/474-SEN-09375</v>
      </c>
      <c r="T155" s="152">
        <v>0</v>
      </c>
      <c r="U155" s="152">
        <v>0</v>
      </c>
      <c r="V155" s="152">
        <v>0</v>
      </c>
      <c r="W155" s="152">
        <f>MouserListTable[[#This Row],['#/Unit]]*FilterSpecs!$C$3+MouserListTable[[#This Row],[Extra]]</f>
        <v>0</v>
      </c>
      <c r="X155" s="152">
        <f>IF(MouserListTable[[#This Row],[Tag]]=FilterSpecs!$F$7,MouserListTable[[#This Row],['#/Unit]]*MouserListTable[[#This Row],[Price (USD)]],0)</f>
        <v>0</v>
      </c>
      <c r="Y155" s="152">
        <f>MouserListTable[[#This Row],[Tot '#]]*MouserListTable[[#This Row],[Price (USD)]]</f>
        <v>0</v>
      </c>
      <c r="Z155" s="146"/>
      <c r="AA155" s="29" t="e">
        <f>[1]!nonzeroQtysOfList($F$14, $Q$14, InitialOrderTable2[[#This Row],[Name]], FilterSpecs!$A$7)</f>
        <v>#VALUE!</v>
      </c>
      <c r="AB155" s="29" t="e">
        <f>[1]!nonzeroQtysOfList($F$14, $Q$14, InitialOrderTable2['# Initial], FilterSpecs!$A$7)</f>
        <v>#VALUE!</v>
      </c>
      <c r="AC155" s="29" t="e">
        <f>[1]!nonzeroQtysOfList($F$14, $Q$14, InitialOrderTable2[SKU], FilterSpecs!$A$7)</f>
        <v>#VALUE!</v>
      </c>
      <c r="AJ155" s="146"/>
    </row>
    <row r="156" spans="1:36" s="104" customFormat="1" x14ac:dyDescent="0.25">
      <c r="A156" s="97" t="s">
        <v>887</v>
      </c>
      <c r="B156" s="97" t="s">
        <v>11</v>
      </c>
      <c r="C156" s="150" t="s">
        <v>5</v>
      </c>
      <c r="D156" s="151" t="str">
        <f>IF(MouserListTable[[#This Row],[Vendor]]=FilterSpecs!$A$8,MouserListTable[[#This Row],[Mouser SKU]], MouserListTable[[#This Row],[Supplier SKU]])</f>
        <v>474-SEN-08606</v>
      </c>
      <c r="E156" s="152">
        <f>MouserListTable[[#This Row],[Tot '#]]-MouserListTable[[#This Row],['# Initial]]</f>
        <v>0</v>
      </c>
      <c r="F156" s="152">
        <f>IF(AND(MouserListTable[[#This Row],[Tag]]&lt;&gt;FilterSpecs!$F$12, MouserListTable[[#This Row],[Tag]]&lt;&gt;FilterSpecs!$F$9), MouserListTable[[#This Row],['#/Unit]]*FilterSpecs!$B$3+MouserListTable[[#This Row],[Extra Initial]],0)</f>
        <v>0</v>
      </c>
      <c r="G156" s="150" t="s">
        <v>1413</v>
      </c>
      <c r="H156" s="150" t="s">
        <v>1414</v>
      </c>
      <c r="I156" s="150" t="s">
        <v>1415</v>
      </c>
      <c r="J156" s="150">
        <v>1</v>
      </c>
      <c r="K156" s="154">
        <v>12.95</v>
      </c>
      <c r="L156" s="150" t="s">
        <v>1896</v>
      </c>
      <c r="M156" s="153"/>
      <c r="N156" s="154">
        <f>MouserListTable[[#This Row],['# Initial]]*MouserListTable[[#This Row],[Price (USD)]]</f>
        <v>0</v>
      </c>
      <c r="O156" s="151" t="s">
        <v>1412</v>
      </c>
      <c r="P156" s="150">
        <f t="shared" si="2"/>
        <v>143</v>
      </c>
      <c r="Q156" s="150" t="s">
        <v>5</v>
      </c>
      <c r="R15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474-SEN-08606</v>
      </c>
      <c r="S156" s="157" t="str">
        <f>HYPERLINK("https://www.mouser.com/ProductDetail/" &amp;MouserListTable[[#This Row],[Mouser SKU]])</f>
        <v>https://www.mouser.com/ProductDetail/474-SEN-08606</v>
      </c>
      <c r="T156" s="152">
        <v>0</v>
      </c>
      <c r="U156" s="152">
        <v>0</v>
      </c>
      <c r="V156" s="152">
        <v>0</v>
      </c>
      <c r="W156" s="152">
        <f>MouserListTable[[#This Row],['#/Unit]]*FilterSpecs!$C$3+MouserListTable[[#This Row],[Extra]]</f>
        <v>0</v>
      </c>
      <c r="X156" s="152">
        <f>IF(MouserListTable[[#This Row],[Tag]]=FilterSpecs!$F$7,MouserListTable[[#This Row],['#/Unit]]*MouserListTable[[#This Row],[Price (USD)]],0)</f>
        <v>0</v>
      </c>
      <c r="Y156" s="152">
        <f>MouserListTable[[#This Row],[Tot '#]]*MouserListTable[[#This Row],[Price (USD)]]</f>
        <v>0</v>
      </c>
      <c r="Z156" s="146"/>
      <c r="AA156" s="29" t="e">
        <f>[1]!nonzeroQtysOfList($F$14, $Q$14, InitialOrderTable2[[#This Row],[Name]], FilterSpecs!$A$7)</f>
        <v>#VALUE!</v>
      </c>
      <c r="AB156" s="29" t="e">
        <f>[1]!nonzeroQtysOfList($F$14, $Q$14, InitialOrderTable2['# Initial], FilterSpecs!$A$7)</f>
        <v>#VALUE!</v>
      </c>
      <c r="AC156" s="29" t="e">
        <f>[1]!nonzeroQtysOfList($F$14, $Q$14, InitialOrderTable2[SKU], FilterSpecs!$A$7)</f>
        <v>#VALUE!</v>
      </c>
      <c r="AJ156" s="146"/>
    </row>
    <row r="157" spans="1:36" s="104" customFormat="1" x14ac:dyDescent="0.25">
      <c r="A157" s="97" t="s">
        <v>887</v>
      </c>
      <c r="B157" s="97" t="s">
        <v>11</v>
      </c>
      <c r="C157" s="150" t="s">
        <v>5</v>
      </c>
      <c r="D157" s="151" t="str">
        <f>IF(MouserListTable[[#This Row],[Vendor]]=FilterSpecs!$A$8,MouserListTable[[#This Row],[Mouser SKU]], MouserListTable[[#This Row],[Supplier SKU]])</f>
        <v>474-SEN-10293</v>
      </c>
      <c r="E157" s="152">
        <f>MouserListTable[[#This Row],[Tot '#]]-MouserListTable[[#This Row],['# Initial]]</f>
        <v>0</v>
      </c>
      <c r="F157" s="152">
        <f>IF(AND(MouserListTable[[#This Row],[Tag]]&lt;&gt;FilterSpecs!$F$12, MouserListTable[[#This Row],[Tag]]&lt;&gt;FilterSpecs!$F$9), MouserListTable[[#This Row],['#/Unit]]*FilterSpecs!$B$3+MouserListTable[[#This Row],[Extra Initial]],0)</f>
        <v>0</v>
      </c>
      <c r="G157" s="150" t="s">
        <v>713</v>
      </c>
      <c r="H157" s="150" t="s">
        <v>714</v>
      </c>
      <c r="I157" s="150" t="s">
        <v>715</v>
      </c>
      <c r="J157" s="150">
        <v>1</v>
      </c>
      <c r="K157" s="154">
        <v>1.5</v>
      </c>
      <c r="L157" s="150" t="s">
        <v>1899</v>
      </c>
      <c r="M157" s="153"/>
      <c r="N157" s="154">
        <f>MouserListTable[[#This Row],['# Initial]]*MouserListTable[[#This Row],[Price (USD)]]</f>
        <v>0</v>
      </c>
      <c r="O157" s="151" t="s">
        <v>712</v>
      </c>
      <c r="P157" s="150">
        <f t="shared" si="2"/>
        <v>144</v>
      </c>
      <c r="Q157" s="150" t="s">
        <v>5</v>
      </c>
      <c r="R15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474-SEN-10293</v>
      </c>
      <c r="S157" s="157" t="str">
        <f>HYPERLINK("https://www.mouser.com/ProductDetail/" &amp;MouserListTable[[#This Row],[Mouser SKU]])</f>
        <v>https://www.mouser.com/ProductDetail/474-SEN-10293</v>
      </c>
      <c r="T157" s="152">
        <v>0</v>
      </c>
      <c r="U157" s="152">
        <v>0</v>
      </c>
      <c r="V157" s="152">
        <v>0</v>
      </c>
      <c r="W157" s="152">
        <f>MouserListTable[[#This Row],['#/Unit]]*FilterSpecs!$C$3+MouserListTable[[#This Row],[Extra]]</f>
        <v>0</v>
      </c>
      <c r="X157" s="152">
        <f>IF(MouserListTable[[#This Row],[Tag]]=FilterSpecs!$F$7,MouserListTable[[#This Row],['#/Unit]]*MouserListTable[[#This Row],[Price (USD)]],0)</f>
        <v>0</v>
      </c>
      <c r="Y157" s="152">
        <f>MouserListTable[[#This Row],[Tot '#]]*MouserListTable[[#This Row],[Price (USD)]]</f>
        <v>0</v>
      </c>
      <c r="Z157" s="146"/>
      <c r="AA157" s="29" t="e">
        <f>[1]!nonzeroQtysOfList($F$14, $Q$14, InitialOrderTable2[[#This Row],[Name]], FilterSpecs!$A$7)</f>
        <v>#VALUE!</v>
      </c>
      <c r="AB157" s="29" t="e">
        <f>[1]!nonzeroQtysOfList($F$14, $Q$14, InitialOrderTable2['# Initial], FilterSpecs!$A$7)</f>
        <v>#VALUE!</v>
      </c>
      <c r="AC157" s="29" t="e">
        <f>[1]!nonzeroQtysOfList($F$14, $Q$14, InitialOrderTable2[SKU], FilterSpecs!$A$7)</f>
        <v>#VALUE!</v>
      </c>
      <c r="AJ157" s="146"/>
    </row>
    <row r="158" spans="1:36" s="104" customFormat="1" x14ac:dyDescent="0.25">
      <c r="A158" s="97" t="s">
        <v>887</v>
      </c>
      <c r="B158" s="97" t="s">
        <v>11</v>
      </c>
      <c r="C158" s="150" t="s">
        <v>1884</v>
      </c>
      <c r="D158" s="151" t="str">
        <f>IF(MouserListTable[[#This Row],[Vendor]]=FilterSpecs!$A$8,MouserListTable[[#This Row],[Mouser SKU]], MouserListTable[[#This Row],[Supplier SKU]])</f>
        <v>485-1739</v>
      </c>
      <c r="E158" s="152">
        <f>MouserListTable[[#This Row],[Tot '#]]-MouserListTable[[#This Row],['# Initial]]</f>
        <v>0</v>
      </c>
      <c r="F158" s="152">
        <f>IF(AND(MouserListTable[[#This Row],[Tag]]&lt;&gt;FilterSpecs!$F$12, MouserListTable[[#This Row],[Tag]]&lt;&gt;FilterSpecs!$F$9), MouserListTable[[#This Row],['#/Unit]]*FilterSpecs!$B$3+MouserListTable[[#This Row],[Extra Initial]],0)</f>
        <v>0</v>
      </c>
      <c r="G158" s="150"/>
      <c r="H158" s="150"/>
      <c r="I158" s="150" t="s">
        <v>2309</v>
      </c>
      <c r="J158" s="150"/>
      <c r="K158" s="154">
        <v>0.95</v>
      </c>
      <c r="L158" s="150" t="s">
        <v>1896</v>
      </c>
      <c r="M158" s="153"/>
      <c r="N158" s="154">
        <f>MouserListTable[[#This Row],['# Initial]]*MouserListTable[[#This Row],[Price (USD)]]</f>
        <v>0</v>
      </c>
      <c r="O158" s="151" t="s">
        <v>2308</v>
      </c>
      <c r="P158" s="150">
        <f t="shared" si="2"/>
        <v>145</v>
      </c>
      <c r="Q158" s="150" t="s">
        <v>1884</v>
      </c>
      <c r="R15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485-1739</v>
      </c>
      <c r="S158" s="157" t="str">
        <f>HYPERLINK("https://www.mouser.com/ProductDetail/" &amp;MouserListTable[[#This Row],[Mouser SKU]])</f>
        <v>https://www.mouser.com/ProductDetail/485-1739</v>
      </c>
      <c r="T158" s="152">
        <v>0</v>
      </c>
      <c r="U158" s="152">
        <v>0</v>
      </c>
      <c r="V158" s="152">
        <v>0</v>
      </c>
      <c r="W158" s="152">
        <f>MouserListTable[[#This Row],['#/Unit]]*FilterSpecs!$C$3+MouserListTable[[#This Row],[Extra]]</f>
        <v>0</v>
      </c>
      <c r="X158" s="152">
        <f>IF(MouserListTable[[#This Row],[Tag]]=FilterSpecs!$F$7,MouserListTable[[#This Row],['#/Unit]]*MouserListTable[[#This Row],[Price (USD)]],0)</f>
        <v>0</v>
      </c>
      <c r="Y158" s="152">
        <f>MouserListTable[[#This Row],[Tot '#]]*MouserListTable[[#This Row],[Price (USD)]]</f>
        <v>0</v>
      </c>
      <c r="Z158" s="146"/>
      <c r="AA158" s="29" t="e">
        <f>[1]!nonzeroQtysOfList($F$14, $Q$14, InitialOrderTable2[[#This Row],[Name]], FilterSpecs!$A$7)</f>
        <v>#VALUE!</v>
      </c>
      <c r="AB158" s="29" t="e">
        <f>[1]!nonzeroQtysOfList($F$14, $Q$14, InitialOrderTable2['# Initial], FilterSpecs!$A$7)</f>
        <v>#VALUE!</v>
      </c>
      <c r="AC158" s="29" t="e">
        <f>[1]!nonzeroQtysOfList($F$14, $Q$14, InitialOrderTable2[SKU], FilterSpecs!$A$7)</f>
        <v>#VALUE!</v>
      </c>
      <c r="AJ158" s="146"/>
    </row>
    <row r="159" spans="1:36" s="104" customFormat="1" x14ac:dyDescent="0.25">
      <c r="A159" s="150" t="s">
        <v>887</v>
      </c>
      <c r="B159" s="150" t="s">
        <v>11</v>
      </c>
      <c r="C159" s="150" t="s">
        <v>5</v>
      </c>
      <c r="D159" s="151" t="str">
        <f>IF(MouserListTable[[#This Row],[Vendor]]=FilterSpecs!$A$8,MouserListTable[[#This Row],[Mouser SKU]], MouserListTable[[#This Row],[Supplier SKU]])</f>
        <v>474-SEN-10289</v>
      </c>
      <c r="E159" s="152">
        <f>MouserListTable[[#This Row],[Tot '#]]-MouserListTable[[#This Row],['# Initial]]</f>
        <v>0</v>
      </c>
      <c r="F159" s="152">
        <f>IF(AND(MouserListTable[[#This Row],[Tag]]&lt;&gt;FilterSpecs!$F$12, MouserListTable[[#This Row],[Tag]]&lt;&gt;FilterSpecs!$F$9), MouserListTable[[#This Row],['#/Unit]]*FilterSpecs!$B$3+MouserListTable[[#This Row],[Extra Initial]],0)</f>
        <v>5</v>
      </c>
      <c r="G159" s="150" t="s">
        <v>283</v>
      </c>
      <c r="H159" s="150" t="s">
        <v>284</v>
      </c>
      <c r="I159" s="150" t="s">
        <v>285</v>
      </c>
      <c r="J159" s="150">
        <v>1</v>
      </c>
      <c r="K159" s="154">
        <v>1.95</v>
      </c>
      <c r="L159" s="150" t="s">
        <v>1897</v>
      </c>
      <c r="M159" s="151"/>
      <c r="N159" s="154">
        <f>MouserListTable[[#This Row],['# Initial]]*MouserListTable[[#This Row],[Price (USD)]]</f>
        <v>9.75</v>
      </c>
      <c r="O159" s="151" t="s">
        <v>282</v>
      </c>
      <c r="P159" s="150">
        <f t="shared" si="2"/>
        <v>146</v>
      </c>
      <c r="Q159" s="150" t="s">
        <v>5</v>
      </c>
      <c r="R15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474-SEN-10289</v>
      </c>
      <c r="S159" s="157" t="str">
        <f>HYPERLINK("https://www.mouser.com/ProductDetail/" &amp;MouserListTable[[#This Row],[Mouser SKU]])</f>
        <v>https://www.mouser.com/ProductDetail/474-SEN-10289</v>
      </c>
      <c r="T159" s="152">
        <v>1</v>
      </c>
      <c r="U159" s="152">
        <v>0</v>
      </c>
      <c r="V159" s="152">
        <v>0</v>
      </c>
      <c r="W159" s="152">
        <f>MouserListTable[[#This Row],['#/Unit]]*FilterSpecs!$C$3+MouserListTable[[#This Row],[Extra]]</f>
        <v>5</v>
      </c>
      <c r="X159" s="152">
        <f>IF(MouserListTable[[#This Row],[Tag]]=FilterSpecs!$F$7,MouserListTable[[#This Row],['#/Unit]]*MouserListTable[[#This Row],[Price (USD)]],0)</f>
        <v>1.95</v>
      </c>
      <c r="Y159" s="152">
        <f>MouserListTable[[#This Row],[Tot '#]]*MouserListTable[[#This Row],[Price (USD)]]</f>
        <v>9.75</v>
      </c>
      <c r="Z159" s="146"/>
      <c r="AA159" s="29" t="e">
        <f>[1]!nonzeroQtysOfList($F$14, $Q$14, InitialOrderTable2[[#This Row],[Name]], FilterSpecs!$A$7)</f>
        <v>#VALUE!</v>
      </c>
      <c r="AB159" s="29" t="e">
        <f>[1]!nonzeroQtysOfList($F$14, $Q$14, InitialOrderTable2['# Initial], FilterSpecs!$A$7)</f>
        <v>#VALUE!</v>
      </c>
      <c r="AC159" s="29" t="e">
        <f>[1]!nonzeroQtysOfList($F$14, $Q$14, InitialOrderTable2[SKU], FilterSpecs!$A$7)</f>
        <v>#VALUE!</v>
      </c>
      <c r="AJ159" s="146"/>
    </row>
    <row r="160" spans="1:36" s="104" customFormat="1" x14ac:dyDescent="0.25">
      <c r="A160" s="97" t="s">
        <v>887</v>
      </c>
      <c r="B160" s="97" t="s">
        <v>11</v>
      </c>
      <c r="C160" s="150" t="s">
        <v>1884</v>
      </c>
      <c r="D160" s="151" t="str">
        <f>IF(MouserListTable[[#This Row],[Vendor]]=FilterSpecs!$A$8,MouserListTable[[#This Row],[Mouser SKU]], MouserListTable[[#This Row],[Supplier SKU]])</f>
        <v>485-1917</v>
      </c>
      <c r="E160" s="152">
        <f>MouserListTable[[#This Row],[Tot '#]]-MouserListTable[[#This Row],['# Initial]]</f>
        <v>0</v>
      </c>
      <c r="F160" s="152">
        <f>IF(AND(MouserListTable[[#This Row],[Tag]]&lt;&gt;FilterSpecs!$F$12, MouserListTable[[#This Row],[Tag]]&lt;&gt;FilterSpecs!$F$9), MouserListTable[[#This Row],['#/Unit]]*FilterSpecs!$B$3+MouserListTable[[#This Row],[Extra Initial]],0)</f>
        <v>0</v>
      </c>
      <c r="G160" s="150"/>
      <c r="H160" s="150"/>
      <c r="I160" s="150" t="s">
        <v>2305</v>
      </c>
      <c r="J160" s="150"/>
      <c r="K160" s="154">
        <v>18</v>
      </c>
      <c r="L160" s="150" t="s">
        <v>1896</v>
      </c>
      <c r="M160" s="153"/>
      <c r="N160" s="154">
        <f>MouserListTable[[#This Row],['# Initial]]*MouserListTable[[#This Row],[Price (USD)]]</f>
        <v>0</v>
      </c>
      <c r="O160" s="151" t="s">
        <v>2304</v>
      </c>
      <c r="P160" s="150">
        <f t="shared" si="2"/>
        <v>147</v>
      </c>
      <c r="Q160" s="150" t="s">
        <v>1884</v>
      </c>
      <c r="R16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485-1917</v>
      </c>
      <c r="S160" s="157" t="str">
        <f>HYPERLINK("https://www.mouser.com/ProductDetail/" &amp;MouserListTable[[#This Row],[Mouser SKU]])</f>
        <v>https://www.mouser.com/ProductDetail/485-1917</v>
      </c>
      <c r="T160" s="152">
        <v>0</v>
      </c>
      <c r="U160" s="152">
        <v>0</v>
      </c>
      <c r="V160" s="152">
        <v>0</v>
      </c>
      <c r="W160" s="152">
        <f>MouserListTable[[#This Row],['#/Unit]]*FilterSpecs!$C$3+MouserListTable[[#This Row],[Extra]]</f>
        <v>0</v>
      </c>
      <c r="X160" s="152">
        <f>IF(MouserListTable[[#This Row],[Tag]]=FilterSpecs!$F$7,MouserListTable[[#This Row],['#/Unit]]*MouserListTable[[#This Row],[Price (USD)]],0)</f>
        <v>0</v>
      </c>
      <c r="Y160" s="152">
        <f>MouserListTable[[#This Row],[Tot '#]]*MouserListTable[[#This Row],[Price (USD)]]</f>
        <v>0</v>
      </c>
      <c r="Z160" s="146"/>
      <c r="AA160" s="29" t="e">
        <f>[1]!nonzeroQtysOfList($F$14, $Q$14, InitialOrderTable2[[#This Row],[Name]], FilterSpecs!$A$7)</f>
        <v>#VALUE!</v>
      </c>
      <c r="AB160" s="29" t="e">
        <f>[1]!nonzeroQtysOfList($F$14, $Q$14, InitialOrderTable2['# Initial], FilterSpecs!$A$7)</f>
        <v>#VALUE!</v>
      </c>
      <c r="AC160" s="29" t="e">
        <f>[1]!nonzeroQtysOfList($F$14, $Q$14, InitialOrderTable2[SKU], FilterSpecs!$A$7)</f>
        <v>#VALUE!</v>
      </c>
      <c r="AJ160" s="146"/>
    </row>
    <row r="161" spans="1:36" s="104" customFormat="1" x14ac:dyDescent="0.25">
      <c r="A161" s="97" t="s">
        <v>887</v>
      </c>
      <c r="B161" s="97" t="s">
        <v>11</v>
      </c>
      <c r="C161" s="150" t="s">
        <v>1884</v>
      </c>
      <c r="D161" s="151" t="str">
        <f>IF(MouserListTable[[#This Row],[Vendor]]=FilterSpecs!$A$8,MouserListTable[[#This Row],[Mouser SKU]], MouserListTable[[#This Row],[Supplier SKU]])</f>
        <v>485-1361</v>
      </c>
      <c r="E161" s="152">
        <f>MouserListTable[[#This Row],[Tot '#]]-MouserListTable[[#This Row],['# Initial]]</f>
        <v>0</v>
      </c>
      <c r="F161" s="152">
        <f>IF(AND(MouserListTable[[#This Row],[Tag]]&lt;&gt;FilterSpecs!$F$12, MouserListTable[[#This Row],[Tag]]&lt;&gt;FilterSpecs!$F$9), MouserListTable[[#This Row],['#/Unit]]*FilterSpecs!$B$3+MouserListTable[[#This Row],[Extra Initial]],0)</f>
        <v>1</v>
      </c>
      <c r="G161" s="150"/>
      <c r="H161" s="150"/>
      <c r="I161" s="150" t="s">
        <v>2311</v>
      </c>
      <c r="J161" s="150"/>
      <c r="K161" s="154">
        <v>3.95</v>
      </c>
      <c r="L161" s="150" t="s">
        <v>1896</v>
      </c>
      <c r="M161" s="151"/>
      <c r="N161" s="154">
        <f>MouserListTable[[#This Row],['# Initial]]*MouserListTable[[#This Row],[Price (USD)]]</f>
        <v>3.95</v>
      </c>
      <c r="O161" s="151" t="s">
        <v>2310</v>
      </c>
      <c r="P161" s="150">
        <f t="shared" si="2"/>
        <v>148</v>
      </c>
      <c r="Q161" s="150" t="s">
        <v>1884</v>
      </c>
      <c r="R16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485-1361</v>
      </c>
      <c r="S161" s="157" t="str">
        <f>HYPERLINK("https://www.mouser.com/ProductDetail/" &amp;MouserListTable[[#This Row],[Mouser SKU]])</f>
        <v>https://www.mouser.com/ProductDetail/485-1361</v>
      </c>
      <c r="T161" s="152">
        <v>0</v>
      </c>
      <c r="U161" s="152">
        <v>1</v>
      </c>
      <c r="V161" s="152">
        <v>1</v>
      </c>
      <c r="W161" s="152">
        <f>MouserListTable[[#This Row],['#/Unit]]*FilterSpecs!$C$3+MouserListTable[[#This Row],[Extra]]</f>
        <v>1</v>
      </c>
      <c r="X161" s="152">
        <f>IF(MouserListTable[[#This Row],[Tag]]=FilterSpecs!$F$7,MouserListTable[[#This Row],['#/Unit]]*MouserListTable[[#This Row],[Price (USD)]],0)</f>
        <v>0</v>
      </c>
      <c r="Y161" s="152">
        <f>MouserListTable[[#This Row],[Tot '#]]*MouserListTable[[#This Row],[Price (USD)]]</f>
        <v>3.95</v>
      </c>
      <c r="Z161" s="146"/>
      <c r="AA161" s="29" t="e">
        <f>[1]!nonzeroQtysOfList($F$14, $Q$14, InitialOrderTable2[[#This Row],[Name]], FilterSpecs!$A$7)</f>
        <v>#VALUE!</v>
      </c>
      <c r="AB161" s="29" t="e">
        <f>[1]!nonzeroQtysOfList($F$14, $Q$14, InitialOrderTable2['# Initial], FilterSpecs!$A$7)</f>
        <v>#VALUE!</v>
      </c>
      <c r="AC161" s="29" t="e">
        <f>[1]!nonzeroQtysOfList($F$14, $Q$14, InitialOrderTable2[SKU], FilterSpecs!$A$7)</f>
        <v>#VALUE!</v>
      </c>
      <c r="AJ161" s="146"/>
    </row>
    <row r="162" spans="1:36" s="104" customFormat="1" x14ac:dyDescent="0.25">
      <c r="A162" s="97" t="s">
        <v>887</v>
      </c>
      <c r="B162" s="97" t="s">
        <v>11</v>
      </c>
      <c r="C162" s="150" t="s">
        <v>5</v>
      </c>
      <c r="D162" s="151" t="str">
        <f>IF(MouserListTable[[#This Row],[Vendor]]=FilterSpecs!$A$8,MouserListTable[[#This Row],[Mouser SKU]], MouserListTable[[#This Row],[Supplier SKU]])</f>
        <v>474-COM-14111</v>
      </c>
      <c r="E162" s="152">
        <f>MouserListTable[[#This Row],[Tot '#]]-MouserListTable[[#This Row],['# Initial]]</f>
        <v>0</v>
      </c>
      <c r="F162" s="152">
        <f>IF(AND(MouserListTable[[#This Row],[Tag]]&lt;&gt;FilterSpecs!$F$12, MouserListTable[[#This Row],[Tag]]&lt;&gt;FilterSpecs!$F$9), MouserListTable[[#This Row],['#/Unit]]*FilterSpecs!$B$3+MouserListTable[[#This Row],[Extra Initial]],0)</f>
        <v>2</v>
      </c>
      <c r="G162" s="150" t="s">
        <v>107</v>
      </c>
      <c r="H162" s="150" t="s">
        <v>108</v>
      </c>
      <c r="I162" s="150" t="s">
        <v>109</v>
      </c>
      <c r="J162" s="150">
        <v>1</v>
      </c>
      <c r="K162" s="154">
        <v>25</v>
      </c>
      <c r="L162" s="150" t="s">
        <v>1896</v>
      </c>
      <c r="M162" s="151"/>
      <c r="N162" s="154">
        <f>MouserListTable[[#This Row],['# Initial]]*MouserListTable[[#This Row],[Price (USD)]]</f>
        <v>50</v>
      </c>
      <c r="O162" s="151" t="s">
        <v>106</v>
      </c>
      <c r="P162" s="150">
        <f t="shared" si="2"/>
        <v>149</v>
      </c>
      <c r="Q162" s="150" t="s">
        <v>5</v>
      </c>
      <c r="R16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474-COM-14111</v>
      </c>
      <c r="S162" s="157" t="str">
        <f>HYPERLINK("https://www.mouser.com/ProductDetail/" &amp;MouserListTable[[#This Row],[Mouser SKU]])</f>
        <v>https://www.mouser.com/ProductDetail/474-COM-14111</v>
      </c>
      <c r="T162" s="152">
        <v>0</v>
      </c>
      <c r="U162" s="152">
        <v>2</v>
      </c>
      <c r="V162" s="152">
        <v>2</v>
      </c>
      <c r="W162" s="152">
        <f>MouserListTable[[#This Row],['#/Unit]]*FilterSpecs!$C$3+MouserListTable[[#This Row],[Extra]]</f>
        <v>2</v>
      </c>
      <c r="X162" s="152">
        <f>IF(MouserListTable[[#This Row],[Tag]]=FilterSpecs!$F$7,MouserListTable[[#This Row],['#/Unit]]*MouserListTable[[#This Row],[Price (USD)]],0)</f>
        <v>0</v>
      </c>
      <c r="Y162" s="152">
        <f>MouserListTable[[#This Row],[Tot '#]]*MouserListTable[[#This Row],[Price (USD)]]</f>
        <v>50</v>
      </c>
      <c r="Z162" s="146"/>
      <c r="AA162" s="29" t="e">
        <f>[1]!nonzeroQtysOfList($F$14, $Q$14, InitialOrderTable2[[#This Row],[Name]], FilterSpecs!$A$7)</f>
        <v>#VALUE!</v>
      </c>
      <c r="AB162" s="29" t="e">
        <f>[1]!nonzeroQtysOfList($F$14, $Q$14, InitialOrderTable2['# Initial], FilterSpecs!$A$7)</f>
        <v>#VALUE!</v>
      </c>
      <c r="AC162" s="29" t="e">
        <f>[1]!nonzeroQtysOfList($F$14, $Q$14, InitialOrderTable2[SKU], FilterSpecs!$A$7)</f>
        <v>#VALUE!</v>
      </c>
      <c r="AJ162" s="146"/>
    </row>
    <row r="163" spans="1:36" s="104" customFormat="1" x14ac:dyDescent="0.25">
      <c r="A163" s="97" t="s">
        <v>887</v>
      </c>
      <c r="B163" s="97" t="s">
        <v>11</v>
      </c>
      <c r="C163" s="150" t="s">
        <v>1884</v>
      </c>
      <c r="D163" s="151" t="str">
        <f>IF(MouserListTable[[#This Row],[Vendor]]=FilterSpecs!$A$8,MouserListTable[[#This Row],[Mouser SKU]], MouserListTable[[#This Row],[Supplier SKU]])</f>
        <v>485-1168</v>
      </c>
      <c r="E163" s="152">
        <f>MouserListTable[[#This Row],[Tot '#]]-MouserListTable[[#This Row],['# Initial]]</f>
        <v>0</v>
      </c>
      <c r="F163" s="152">
        <f>IF(AND(MouserListTable[[#This Row],[Tag]]&lt;&gt;FilterSpecs!$F$12, MouserListTable[[#This Row],[Tag]]&lt;&gt;FilterSpecs!$F$9), MouserListTable[[#This Row],['#/Unit]]*FilterSpecs!$B$3+MouserListTable[[#This Row],[Extra Initial]],0)</f>
        <v>1</v>
      </c>
      <c r="G163" s="150"/>
      <c r="H163" s="150"/>
      <c r="I163" s="150" t="s">
        <v>2315</v>
      </c>
      <c r="J163" s="150"/>
      <c r="K163" s="154">
        <v>4.95</v>
      </c>
      <c r="L163" s="150" t="s">
        <v>1896</v>
      </c>
      <c r="M163" s="151"/>
      <c r="N163" s="154">
        <f>MouserListTable[[#This Row],['# Initial]]*MouserListTable[[#This Row],[Price (USD)]]</f>
        <v>4.95</v>
      </c>
      <c r="O163" s="151" t="s">
        <v>2314</v>
      </c>
      <c r="P163" s="150">
        <f t="shared" si="2"/>
        <v>150</v>
      </c>
      <c r="Q163" s="150" t="s">
        <v>1884</v>
      </c>
      <c r="R16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485-1168</v>
      </c>
      <c r="S163" s="157" t="str">
        <f>HYPERLINK("https://www.mouser.com/ProductDetail/" &amp;MouserListTable[[#This Row],[Mouser SKU]])</f>
        <v>https://www.mouser.com/ProductDetail/485-1168</v>
      </c>
      <c r="T163" s="152">
        <v>0</v>
      </c>
      <c r="U163" s="152">
        <v>1</v>
      </c>
      <c r="V163" s="152">
        <v>1</v>
      </c>
      <c r="W163" s="152">
        <f>MouserListTable[[#This Row],['#/Unit]]*FilterSpecs!$C$3+MouserListTable[[#This Row],[Extra]]</f>
        <v>1</v>
      </c>
      <c r="X163" s="152">
        <f>IF(MouserListTable[[#This Row],[Tag]]=FilterSpecs!$F$7,MouserListTable[[#This Row],['#/Unit]]*MouserListTable[[#This Row],[Price (USD)]],0)</f>
        <v>0</v>
      </c>
      <c r="Y163" s="152">
        <f>MouserListTable[[#This Row],[Tot '#]]*MouserListTable[[#This Row],[Price (USD)]]</f>
        <v>4.95</v>
      </c>
      <c r="Z163" s="146"/>
      <c r="AA163" s="29" t="e">
        <f>[1]!nonzeroQtysOfList($F$14, $Q$14, InitialOrderTable2[[#This Row],[Name]], FilterSpecs!$A$7)</f>
        <v>#VALUE!</v>
      </c>
      <c r="AB163" s="29" t="e">
        <f>[1]!nonzeroQtysOfList($F$14, $Q$14, InitialOrderTable2['# Initial], FilterSpecs!$A$7)</f>
        <v>#VALUE!</v>
      </c>
      <c r="AC163" s="29" t="e">
        <f>[1]!nonzeroQtysOfList($F$14, $Q$14, InitialOrderTable2[SKU], FilterSpecs!$A$7)</f>
        <v>#VALUE!</v>
      </c>
      <c r="AJ163" s="146"/>
    </row>
    <row r="164" spans="1:36" s="104" customFormat="1" x14ac:dyDescent="0.25">
      <c r="A164" s="97" t="s">
        <v>887</v>
      </c>
      <c r="B164" s="97" t="s">
        <v>11</v>
      </c>
      <c r="C164" s="150" t="s">
        <v>5</v>
      </c>
      <c r="D164" s="151" t="str">
        <f>IF(MouserListTable[[#This Row],[Vendor]]=FilterSpecs!$A$8,MouserListTable[[#This Row],[Mouser SKU]], MouserListTable[[#This Row],[Supplier SKU]])</f>
        <v>474-SEN-12041</v>
      </c>
      <c r="E164" s="152">
        <f>MouserListTable[[#This Row],[Tot '#]]-MouserListTable[[#This Row],['# Initial]]</f>
        <v>0</v>
      </c>
      <c r="F164" s="152">
        <f>IF(AND(MouserListTable[[#This Row],[Tag]]&lt;&gt;FilterSpecs!$F$12, MouserListTable[[#This Row],[Tag]]&lt;&gt;FilterSpecs!$F$9), MouserListTable[[#This Row],['#/Unit]]*FilterSpecs!$B$3+MouserListTable[[#This Row],[Extra Initial]],0)</f>
        <v>0</v>
      </c>
      <c r="G164" s="150" t="s">
        <v>1205</v>
      </c>
      <c r="H164" s="150" t="s">
        <v>1206</v>
      </c>
      <c r="I164" s="150" t="s">
        <v>1207</v>
      </c>
      <c r="J164" s="147">
        <v>5.95</v>
      </c>
      <c r="K164" s="150">
        <v>5.95</v>
      </c>
      <c r="L164" s="150" t="s">
        <v>1896</v>
      </c>
      <c r="M164" s="150"/>
      <c r="N164" s="154">
        <f>MouserListTable[[#This Row],['# Initial]]*MouserListTable[[#This Row],[Price (USD)]]</f>
        <v>0</v>
      </c>
      <c r="O164" s="150" t="s">
        <v>1204</v>
      </c>
      <c r="P164" s="150">
        <f t="shared" si="2"/>
        <v>151</v>
      </c>
      <c r="Q164" s="150" t="s">
        <v>5</v>
      </c>
      <c r="R16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474-SEN-12041</v>
      </c>
      <c r="S164" s="157" t="str">
        <f>HYPERLINK("https://www.mouser.com/ProductDetail/" &amp;MouserListTable[[#This Row],[Mouser SKU]])</f>
        <v>https://www.mouser.com/ProductDetail/474-SEN-12041</v>
      </c>
      <c r="T164" s="146"/>
      <c r="U164" s="146"/>
      <c r="V164" s="146"/>
      <c r="W164" s="146"/>
      <c r="X164" s="146"/>
      <c r="Y164" s="146"/>
      <c r="Z164" s="146"/>
      <c r="AA164" s="29" t="e">
        <f>[1]!nonzeroQtysOfList($F$14, $Q$14, InitialOrderTable2[[#This Row],[Name]], FilterSpecs!$A$7)</f>
        <v>#VALUE!</v>
      </c>
      <c r="AB164" s="29" t="e">
        <f>[1]!nonzeroQtysOfList($F$14, $Q$14, InitialOrderTable2['# Initial], FilterSpecs!$A$7)</f>
        <v>#VALUE!</v>
      </c>
      <c r="AC164" s="29" t="e">
        <f>[1]!nonzeroQtysOfList($F$14, $Q$14, InitialOrderTable2[SKU], FilterSpecs!$A$7)</f>
        <v>#VALUE!</v>
      </c>
      <c r="AJ164" s="146"/>
    </row>
    <row r="165" spans="1:36" s="153" customFormat="1" x14ac:dyDescent="0.25">
      <c r="A165" s="97" t="s">
        <v>887</v>
      </c>
      <c r="B165" s="97" t="s">
        <v>11</v>
      </c>
      <c r="C165" s="150" t="s">
        <v>5</v>
      </c>
      <c r="D165" s="151" t="str">
        <f>IF(MouserListTable[[#This Row],[Vendor]]=FilterSpecs!$A$8,MouserListTable[[#This Row],[Mouser SKU]], MouserListTable[[#This Row],[Supplier SKU]])</f>
        <v>474-PRT-13144</v>
      </c>
      <c r="E165" s="152">
        <f>MouserListTable[[#This Row],[Tot '#]]-MouserListTable[[#This Row],['# Initial]]</f>
        <v>0</v>
      </c>
      <c r="F165" s="152">
        <f>IF(AND(MouserListTable[[#This Row],[Tag]]&lt;&gt;FilterSpecs!$F$12, MouserListTable[[#This Row],[Tag]]&lt;&gt;FilterSpecs!$F$9), MouserListTable[[#This Row],['#/Unit]]*FilterSpecs!$B$3+MouserListTable[[#This Row],[Extra Initial]],0)</f>
        <v>0</v>
      </c>
      <c r="G165" s="150" t="s">
        <v>1209</v>
      </c>
      <c r="H165" s="150" t="s">
        <v>1210</v>
      </c>
      <c r="I165" s="150" t="s">
        <v>1211</v>
      </c>
      <c r="J165" s="147">
        <v>14.95</v>
      </c>
      <c r="K165" s="150">
        <v>14.95</v>
      </c>
      <c r="L165" s="150" t="s">
        <v>1896</v>
      </c>
      <c r="M165" s="150"/>
      <c r="N165" s="154">
        <f>MouserListTable[[#This Row],['# Initial]]*MouserListTable[[#This Row],[Price (USD)]]</f>
        <v>0</v>
      </c>
      <c r="O165" s="150" t="s">
        <v>1208</v>
      </c>
      <c r="P165" s="150">
        <f t="shared" si="2"/>
        <v>152</v>
      </c>
      <c r="Q165" s="150" t="s">
        <v>5</v>
      </c>
      <c r="R16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474-PRT-13144</v>
      </c>
      <c r="S165" s="157" t="str">
        <f>HYPERLINK("https://www.mouser.com/ProductDetail/" &amp;MouserListTable[[#This Row],[Mouser SKU]])</f>
        <v>https://www.mouser.com/ProductDetail/474-PRT-13144</v>
      </c>
      <c r="T165" s="146"/>
      <c r="U165" s="146"/>
      <c r="V165" s="146"/>
      <c r="W165" s="146"/>
      <c r="X165" s="146"/>
      <c r="Y165" s="146"/>
      <c r="Z165" s="146"/>
      <c r="AA165" s="29" t="e">
        <f>[1]!nonzeroQtysOfList($F$14, $Q$14, InitialOrderTable2[[#This Row],[Name]], FilterSpecs!$A$7)</f>
        <v>#VALUE!</v>
      </c>
      <c r="AB165" s="29" t="e">
        <f>[1]!nonzeroQtysOfList($F$14, $Q$14, InitialOrderTable2['# Initial], FilterSpecs!$A$7)</f>
        <v>#VALUE!</v>
      </c>
      <c r="AC165" s="29" t="e">
        <f>[1]!nonzeroQtysOfList($F$14, $Q$14, InitialOrderTable2[SKU], FilterSpecs!$A$7)</f>
        <v>#VALUE!</v>
      </c>
      <c r="AJ165" s="146"/>
    </row>
    <row r="166" spans="1:36" s="153" customFormat="1" x14ac:dyDescent="0.25">
      <c r="A166" s="97" t="s">
        <v>887</v>
      </c>
      <c r="B166" s="97" t="s">
        <v>11</v>
      </c>
      <c r="C166" s="150" t="s">
        <v>5</v>
      </c>
      <c r="D166" s="151" t="str">
        <f>IF(MouserListTable[[#This Row],[Vendor]]=FilterSpecs!$A$8,MouserListTable[[#This Row],[Mouser SKU]], MouserListTable[[#This Row],[Supplier SKU]])</f>
        <v>474-DEV-13298</v>
      </c>
      <c r="E166" s="152">
        <f>MouserListTable[[#This Row],[Tot '#]]-MouserListTable[[#This Row],['# Initial]]</f>
        <v>0</v>
      </c>
      <c r="F166" s="152">
        <f>IF(AND(MouserListTable[[#This Row],[Tag]]&lt;&gt;FilterSpecs!$F$12, MouserListTable[[#This Row],[Tag]]&lt;&gt;FilterSpecs!$F$9), MouserListTable[[#This Row],['#/Unit]]*FilterSpecs!$B$3+MouserListTable[[#This Row],[Extra Initial]],0)</f>
        <v>0</v>
      </c>
      <c r="G166" s="150" t="s">
        <v>1213</v>
      </c>
      <c r="H166" s="150" t="s">
        <v>1214</v>
      </c>
      <c r="I166" s="150" t="s">
        <v>1215</v>
      </c>
      <c r="J166" s="147">
        <v>89.95</v>
      </c>
      <c r="K166" s="150">
        <v>89.95</v>
      </c>
      <c r="L166" s="150" t="s">
        <v>1896</v>
      </c>
      <c r="M166" s="150"/>
      <c r="N166" s="154">
        <f>MouserListTable[[#This Row],['# Initial]]*MouserListTable[[#This Row],[Price (USD)]]</f>
        <v>0</v>
      </c>
      <c r="O166" s="150" t="s">
        <v>1212</v>
      </c>
      <c r="P166" s="150">
        <f t="shared" si="2"/>
        <v>153</v>
      </c>
      <c r="Q166" s="150" t="s">
        <v>5</v>
      </c>
      <c r="R16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474-DEV-13298</v>
      </c>
      <c r="S166" s="157" t="str">
        <f>HYPERLINK("https://www.mouser.com/ProductDetail/" &amp;MouserListTable[[#This Row],[Mouser SKU]])</f>
        <v>https://www.mouser.com/ProductDetail/474-DEV-13298</v>
      </c>
      <c r="T166" s="146"/>
      <c r="U166" s="146"/>
      <c r="V166" s="146"/>
      <c r="W166" s="146"/>
      <c r="X166" s="146"/>
      <c r="Y166" s="146"/>
      <c r="Z166" s="146"/>
      <c r="AA166" s="29" t="e">
        <f>[1]!nonzeroQtysOfList($F$14, $Q$14, InitialOrderTable2[[#This Row],[Name]], FilterSpecs!$A$7)</f>
        <v>#VALUE!</v>
      </c>
      <c r="AB166" s="29" t="e">
        <f>[1]!nonzeroQtysOfList($F$14, $Q$14, InitialOrderTable2['# Initial], FilterSpecs!$A$7)</f>
        <v>#VALUE!</v>
      </c>
      <c r="AC166" s="29" t="e">
        <f>[1]!nonzeroQtysOfList($F$14, $Q$14, InitialOrderTable2[SKU], FilterSpecs!$A$7)</f>
        <v>#VALUE!</v>
      </c>
      <c r="AJ166" s="146"/>
    </row>
    <row r="167" spans="1:36" s="153" customFormat="1" x14ac:dyDescent="0.25">
      <c r="A167" s="150" t="s">
        <v>887</v>
      </c>
      <c r="B167" s="150" t="s">
        <v>2008</v>
      </c>
      <c r="C167" s="150" t="s">
        <v>5</v>
      </c>
      <c r="D167" s="151" t="str">
        <f>IF(MouserListTable[[#This Row],[Vendor]]=FilterSpecs!$A$8,MouserListTable[[#This Row],[Mouser SKU]], MouserListTable[[#This Row],[Supplier SKU]])</f>
        <v>474-DEV-13293</v>
      </c>
      <c r="E167" s="152">
        <f>MouserListTable[[#This Row],[Tot '#]]-MouserListTable[[#This Row],['# Initial]]</f>
        <v>0</v>
      </c>
      <c r="F167" s="152">
        <f>IF(AND(MouserListTable[[#This Row],[Tag]]&lt;&gt;FilterSpecs!$F$12, MouserListTable[[#This Row],[Tag]]&lt;&gt;FilterSpecs!$F$9), MouserListTable[[#This Row],['#/Unit]]*FilterSpecs!$B$3+MouserListTable[[#This Row],[Extra Initial]],0)</f>
        <v>0</v>
      </c>
      <c r="G167" s="150" t="s">
        <v>111</v>
      </c>
      <c r="H167" s="150" t="s">
        <v>112</v>
      </c>
      <c r="I167" s="150" t="s">
        <v>113</v>
      </c>
      <c r="J167" s="150">
        <v>1</v>
      </c>
      <c r="K167" s="154">
        <v>12.95</v>
      </c>
      <c r="L167" s="150" t="s">
        <v>2461</v>
      </c>
      <c r="M167" s="151"/>
      <c r="N167" s="154">
        <f>MouserListTable[[#This Row],['# Initial]]*MouserListTable[[#This Row],[Price (USD)]]</f>
        <v>0</v>
      </c>
      <c r="O167" s="151" t="s">
        <v>110</v>
      </c>
      <c r="P167" s="150">
        <f t="shared" si="2"/>
        <v>154</v>
      </c>
      <c r="Q167" s="150" t="s">
        <v>5</v>
      </c>
      <c r="R16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474-DEV-13293</v>
      </c>
      <c r="S167" s="157" t="str">
        <f>HYPERLINK("https://www.mouser.com/ProductDetail/" &amp;MouserListTable[[#This Row],[Mouser SKU]])</f>
        <v>https://www.mouser.com/ProductDetail/474-DEV-13293</v>
      </c>
      <c r="T167" s="152">
        <v>0</v>
      </c>
      <c r="U167" s="152">
        <v>0</v>
      </c>
      <c r="V167" s="152">
        <v>0</v>
      </c>
      <c r="W167" s="152">
        <f>MouserListTable[[#This Row],['#/Unit]]*FilterSpecs!$C$3+MouserListTable[[#This Row],[Extra]]</f>
        <v>0</v>
      </c>
      <c r="X167" s="152">
        <f>IF(MouserListTable[[#This Row],[Tag]]=FilterSpecs!$F$7,MouserListTable[[#This Row],['#/Unit]]*MouserListTable[[#This Row],[Price (USD)]],0)</f>
        <v>0</v>
      </c>
      <c r="Y167" s="152">
        <f>MouserListTable[[#This Row],[Tot '#]]*MouserListTable[[#This Row],[Price (USD)]]</f>
        <v>0</v>
      </c>
      <c r="Z167" s="146"/>
      <c r="AA167" s="29" t="e">
        <f>[1]!nonzeroQtysOfList($F$14, $Q$14, InitialOrderTable2[[#This Row],[Name]], FilterSpecs!$A$7)</f>
        <v>#VALUE!</v>
      </c>
      <c r="AB167" s="29" t="e">
        <f>[1]!nonzeroQtysOfList($F$14, $Q$14, InitialOrderTable2['# Initial], FilterSpecs!$A$7)</f>
        <v>#VALUE!</v>
      </c>
      <c r="AC167" s="29" t="e">
        <f>[1]!nonzeroQtysOfList($F$14, $Q$14, InitialOrderTable2[SKU], FilterSpecs!$A$7)</f>
        <v>#VALUE!</v>
      </c>
      <c r="AJ167" s="146"/>
    </row>
    <row r="168" spans="1:36" s="153" customFormat="1" x14ac:dyDescent="0.25">
      <c r="A168" s="150" t="s">
        <v>887</v>
      </c>
      <c r="B168" s="150" t="s">
        <v>2008</v>
      </c>
      <c r="C168" s="150" t="s">
        <v>1884</v>
      </c>
      <c r="D168" s="120" t="str">
        <f>IF(MouserListTable[[#This Row],[Vendor]]=FilterSpecs!$A$8,MouserListTable[[#This Row],[Mouser SKU]], MouserListTable[[#This Row],[Supplier SKU]])</f>
        <v>485-716</v>
      </c>
      <c r="E168" s="152">
        <f>MouserListTable[[#This Row],[Tot '#]]-MouserListTable[[#This Row],['# Initial]]</f>
        <v>0</v>
      </c>
      <c r="F168" s="152">
        <f>IF(AND(MouserListTable[[#This Row],[Tag]]&lt;&gt;FilterSpecs!$F$12, MouserListTable[[#This Row],[Tag]]&lt;&gt;FilterSpecs!$F$9), MouserListTable[[#This Row],['#/Unit]]*FilterSpecs!$B$3+MouserListTable[[#This Row],[Extra Initial]],0)</f>
        <v>5</v>
      </c>
      <c r="G168" s="150"/>
      <c r="H168" s="150"/>
      <c r="I168" s="150" t="s">
        <v>2550</v>
      </c>
      <c r="J168" s="150"/>
      <c r="K168" s="154">
        <v>23.95</v>
      </c>
      <c r="L168" s="152" t="s">
        <v>1897</v>
      </c>
      <c r="M168" s="150"/>
      <c r="N168" s="154">
        <f>MouserListTable[[#This Row],['# Initial]]*MouserListTable[[#This Row],[Price (USD)]]</f>
        <v>119.75</v>
      </c>
      <c r="O168" s="151">
        <v>716</v>
      </c>
      <c r="P168" s="150">
        <f t="shared" si="2"/>
        <v>155</v>
      </c>
      <c r="Q168" s="150" t="s">
        <v>1884</v>
      </c>
      <c r="R16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485-716</v>
      </c>
      <c r="S168" s="157" t="str">
        <f>HYPERLINK("https://www.mouser.com/ProductDetail/" &amp;MouserListTable[[#This Row],[Mouser SKU]])</f>
        <v>https://www.mouser.com/ProductDetail/485-716</v>
      </c>
      <c r="T168" s="152">
        <v>1</v>
      </c>
      <c r="U168" s="152">
        <v>0</v>
      </c>
      <c r="V168" s="152">
        <v>0</v>
      </c>
      <c r="W168" s="152">
        <f>MouserListTable[[#This Row],['#/Unit]]*FilterSpecs!$C$3+MouserListTable[[#This Row],[Extra]]</f>
        <v>5</v>
      </c>
      <c r="X168" s="152">
        <f>IF(MouserListTable[[#This Row],[Tag]]=FilterSpecs!$F$7,MouserListTable[[#This Row],['#/Unit]]*MouserListTable[[#This Row],[Price (USD)]],0)</f>
        <v>23.95</v>
      </c>
      <c r="Y168" s="152">
        <f>MouserListTable[[#This Row],[Tot '#]]*MouserListTable[[#This Row],[Price (USD)]]</f>
        <v>119.75</v>
      </c>
      <c r="Z168" s="146"/>
      <c r="AA168" s="29" t="e">
        <f>[1]!nonzeroQtysOfList($F$14, $Q$14, InitialOrderTable2[[#This Row],[Name]], FilterSpecs!$A$7)</f>
        <v>#VALUE!</v>
      </c>
      <c r="AB168" s="29" t="e">
        <f>[1]!nonzeroQtysOfList($F$14, $Q$14, InitialOrderTable2['# Initial], FilterSpecs!$A$7)</f>
        <v>#VALUE!</v>
      </c>
      <c r="AC168" s="29" t="e">
        <f>[1]!nonzeroQtysOfList($F$14, $Q$14, InitialOrderTable2[SKU], FilterSpecs!$A$7)</f>
        <v>#VALUE!</v>
      </c>
      <c r="AJ168" s="146"/>
    </row>
    <row r="169" spans="1:36" s="153" customFormat="1" x14ac:dyDescent="0.25">
      <c r="A169" s="150" t="s">
        <v>887</v>
      </c>
      <c r="B169" s="150" t="s">
        <v>2008</v>
      </c>
      <c r="C169" s="150" t="s">
        <v>1884</v>
      </c>
      <c r="D169" s="120" t="str">
        <f>IF(MouserListTable[[#This Row],[Vendor]]=FilterSpecs!$A$8,MouserListTable[[#This Row],[Mouser SKU]], MouserListTable[[#This Row],[Supplier SKU]])</f>
        <v>485-772</v>
      </c>
      <c r="E169" s="152">
        <f>MouserListTable[[#This Row],[Tot '#]]-MouserListTable[[#This Row],['# Initial]]</f>
        <v>0</v>
      </c>
      <c r="F169" s="152">
        <f>IF(AND(MouserListTable[[#This Row],[Tag]]&lt;&gt;FilterSpecs!$F$12, MouserListTable[[#This Row],[Tag]]&lt;&gt;FilterSpecs!$F$9), MouserListTable[[#This Row],['#/Unit]]*FilterSpecs!$B$3+MouserListTable[[#This Row],[Extra Initial]],0)</f>
        <v>0</v>
      </c>
      <c r="G169" s="150"/>
      <c r="H169" s="150"/>
      <c r="I169" s="150" t="s">
        <v>2551</v>
      </c>
      <c r="J169" s="150"/>
      <c r="K169" s="154">
        <v>19.95</v>
      </c>
      <c r="L169" s="152" t="s">
        <v>1897</v>
      </c>
      <c r="M169" s="150"/>
      <c r="N169" s="154">
        <f>MouserListTable[[#This Row],['# Initial]]*MouserListTable[[#This Row],[Price (USD)]]</f>
        <v>0</v>
      </c>
      <c r="O169" s="151">
        <v>772</v>
      </c>
      <c r="P169" s="150">
        <f t="shared" si="2"/>
        <v>156</v>
      </c>
      <c r="Q169" s="150" t="s">
        <v>1884</v>
      </c>
      <c r="R16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485-772</v>
      </c>
      <c r="S169" s="157" t="str">
        <f>HYPERLINK("https://www.mouser.com/ProductDetail/" &amp;MouserListTable[[#This Row],[Mouser SKU]])</f>
        <v>https://www.mouser.com/ProductDetail/485-772</v>
      </c>
      <c r="T169" s="152">
        <v>0</v>
      </c>
      <c r="U169" s="152">
        <v>0</v>
      </c>
      <c r="V169" s="152">
        <v>0</v>
      </c>
      <c r="W169" s="152">
        <f>MouserListTable[[#This Row],['#/Unit]]*FilterSpecs!$C$3+MouserListTable[[#This Row],[Extra]]</f>
        <v>0</v>
      </c>
      <c r="X169" s="152">
        <f>IF(MouserListTable[[#This Row],[Tag]]=FilterSpecs!$F$7,MouserListTable[[#This Row],['#/Unit]]*MouserListTable[[#This Row],[Price (USD)]],0)</f>
        <v>0</v>
      </c>
      <c r="Y169" s="152">
        <f>MouserListTable[[#This Row],[Tot '#]]*MouserListTable[[#This Row],[Price (USD)]]</f>
        <v>0</v>
      </c>
      <c r="Z169" s="146"/>
      <c r="AA169" s="29" t="e">
        <f>[1]!nonzeroQtysOfList($F$14, $Q$14, InitialOrderTable2[[#This Row],[Name]], FilterSpecs!$A$7)</f>
        <v>#VALUE!</v>
      </c>
      <c r="AB169" s="29" t="e">
        <f>[1]!nonzeroQtysOfList($F$14, $Q$14, InitialOrderTable2['# Initial], FilterSpecs!$A$7)</f>
        <v>#VALUE!</v>
      </c>
      <c r="AC169" s="29" t="e">
        <f>[1]!nonzeroQtysOfList($F$14, $Q$14, InitialOrderTable2[SKU], FilterSpecs!$A$7)</f>
        <v>#VALUE!</v>
      </c>
      <c r="AJ169" s="146"/>
    </row>
    <row r="170" spans="1:36" s="153" customFormat="1" x14ac:dyDescent="0.25">
      <c r="A170" s="150" t="s">
        <v>887</v>
      </c>
      <c r="B170" s="150" t="s">
        <v>2008</v>
      </c>
      <c r="C170" s="150" t="s">
        <v>5</v>
      </c>
      <c r="D170" s="151" t="str">
        <f>IF(MouserListTable[[#This Row],[Vendor]]=FilterSpecs!$A$8,MouserListTable[[#This Row],[Mouser SKU]], MouserListTable[[#This Row],[Supplier SKU]])</f>
        <v>474-LCD-00710</v>
      </c>
      <c r="E170" s="152">
        <f>MouserListTable[[#This Row],[Tot '#]]-MouserListTable[[#This Row],['# Initial]]</f>
        <v>1</v>
      </c>
      <c r="F170" s="152">
        <f>IF(AND(MouserListTable[[#This Row],[Tag]]&lt;&gt;FilterSpecs!$F$12, MouserListTable[[#This Row],[Tag]]&lt;&gt;FilterSpecs!$F$9), MouserListTable[[#This Row],['#/Unit]]*FilterSpecs!$B$3+MouserListTable[[#This Row],[Extra Initial]],0)</f>
        <v>0</v>
      </c>
      <c r="G170" s="150" t="s">
        <v>1170</v>
      </c>
      <c r="H170" s="150" t="s">
        <v>1171</v>
      </c>
      <c r="I170" s="150" t="s">
        <v>1172</v>
      </c>
      <c r="J170" s="150">
        <v>1</v>
      </c>
      <c r="K170" s="154">
        <v>19.95</v>
      </c>
      <c r="L170" s="150" t="s">
        <v>1896</v>
      </c>
      <c r="M170" s="151"/>
      <c r="N170" s="154">
        <f>MouserListTable[[#This Row],['# Initial]]*MouserListTable[[#This Row],[Price (USD)]]</f>
        <v>0</v>
      </c>
      <c r="O170" s="151" t="s">
        <v>1169</v>
      </c>
      <c r="P170" s="150">
        <f t="shared" si="2"/>
        <v>157</v>
      </c>
      <c r="Q170" s="150" t="s">
        <v>5</v>
      </c>
      <c r="R17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474-LCD-00710</v>
      </c>
      <c r="S170" s="157" t="str">
        <f>HYPERLINK("https://www.mouser.com/ProductDetail/" &amp;MouserListTable[[#This Row],[Mouser SKU]])</f>
        <v>https://www.mouser.com/ProductDetail/474-LCD-00710</v>
      </c>
      <c r="T170" s="152">
        <v>0</v>
      </c>
      <c r="U170" s="152">
        <v>1</v>
      </c>
      <c r="V170" s="152">
        <v>0</v>
      </c>
      <c r="W170" s="152">
        <f>MouserListTable[[#This Row],['#/Unit]]*FilterSpecs!$C$3+MouserListTable[[#This Row],[Extra]]</f>
        <v>1</v>
      </c>
      <c r="X170" s="152">
        <f>IF(MouserListTable[[#This Row],[Tag]]=FilterSpecs!$F$7,MouserListTable[[#This Row],['#/Unit]]*MouserListTable[[#This Row],[Price (USD)]],0)</f>
        <v>0</v>
      </c>
      <c r="Y170" s="152">
        <f>MouserListTable[[#This Row],[Tot '#]]*MouserListTable[[#This Row],[Price (USD)]]</f>
        <v>19.95</v>
      </c>
      <c r="Z170" s="146"/>
      <c r="AA170" s="29" t="e">
        <f>[1]!nonzeroQtysOfList($F$14, $Q$14, InitialOrderTable2[[#This Row],[Name]], FilterSpecs!$A$7)</f>
        <v>#VALUE!</v>
      </c>
      <c r="AB170" s="29" t="e">
        <f>[1]!nonzeroQtysOfList($F$14, $Q$14, InitialOrderTable2['# Initial], FilterSpecs!$A$7)</f>
        <v>#VALUE!</v>
      </c>
      <c r="AC170" s="29" t="e">
        <f>[1]!nonzeroQtysOfList($F$14, $Q$14, InitialOrderTable2[SKU], FilterSpecs!$A$7)</f>
        <v>#VALUE!</v>
      </c>
      <c r="AJ170" s="146"/>
    </row>
    <row r="171" spans="1:36" s="153" customFormat="1" x14ac:dyDescent="0.25">
      <c r="A171" s="97" t="s">
        <v>887</v>
      </c>
      <c r="B171" s="97" t="s">
        <v>2008</v>
      </c>
      <c r="C171" s="150" t="s">
        <v>5</v>
      </c>
      <c r="D171" s="151" t="str">
        <f>IF(MouserListTable[[#This Row],[Vendor]]=FilterSpecs!$A$8,MouserListTable[[#This Row],[Mouser SKU]], MouserListTable[[#This Row],[Supplier SKU]])</f>
        <v>474-LCD-09568</v>
      </c>
      <c r="E171" s="152">
        <f>MouserListTable[[#This Row],[Tot '#]]-MouserListTable[[#This Row],['# Initial]]</f>
        <v>0</v>
      </c>
      <c r="F171" s="152">
        <f>IF(AND(MouserListTable[[#This Row],[Tag]]&lt;&gt;FilterSpecs!$F$12, MouserListTable[[#This Row],[Tag]]&lt;&gt;FilterSpecs!$F$9), MouserListTable[[#This Row],['#/Unit]]*FilterSpecs!$B$3+MouserListTable[[#This Row],[Extra Initial]],0)</f>
        <v>0</v>
      </c>
      <c r="G171" s="150" t="s">
        <v>1510</v>
      </c>
      <c r="H171" s="150" t="s">
        <v>1511</v>
      </c>
      <c r="I171" s="150" t="s">
        <v>1512</v>
      </c>
      <c r="J171" s="150">
        <v>1</v>
      </c>
      <c r="K171" s="154">
        <v>29.95</v>
      </c>
      <c r="L171" s="150" t="s">
        <v>1896</v>
      </c>
      <c r="N171" s="154">
        <f>MouserListTable[[#This Row],['# Initial]]*MouserListTable[[#This Row],[Price (USD)]]</f>
        <v>0</v>
      </c>
      <c r="O171" s="151" t="s">
        <v>1509</v>
      </c>
      <c r="P171" s="150">
        <f t="shared" si="2"/>
        <v>158</v>
      </c>
      <c r="Q171" s="150" t="s">
        <v>5</v>
      </c>
      <c r="R17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474-LCD-09568</v>
      </c>
      <c r="S171" s="157" t="str">
        <f>HYPERLINK("https://www.mouser.com/ProductDetail/" &amp;MouserListTable[[#This Row],[Mouser SKU]])</f>
        <v>https://www.mouser.com/ProductDetail/474-LCD-09568</v>
      </c>
      <c r="T171" s="152">
        <v>0</v>
      </c>
      <c r="U171" s="152">
        <v>0</v>
      </c>
      <c r="V171" s="152">
        <v>0</v>
      </c>
      <c r="W171" s="152">
        <f>MouserListTable[[#This Row],['#/Unit]]*FilterSpecs!$C$3+MouserListTable[[#This Row],[Extra]]</f>
        <v>0</v>
      </c>
      <c r="X171" s="152">
        <f>IF(MouserListTable[[#This Row],[Tag]]=FilterSpecs!$F$7,MouserListTable[[#This Row],['#/Unit]]*MouserListTable[[#This Row],[Price (USD)]],0)</f>
        <v>0</v>
      </c>
      <c r="Y171" s="152">
        <f>MouserListTable[[#This Row],[Tot '#]]*MouserListTable[[#This Row],[Price (USD)]]</f>
        <v>0</v>
      </c>
      <c r="Z171" s="146"/>
      <c r="AA171" s="29" t="e">
        <f>[1]!nonzeroQtysOfList($F$14, $Q$14, InitialOrderTable2[[#This Row],[Name]], FilterSpecs!$A$7)</f>
        <v>#VALUE!</v>
      </c>
      <c r="AB171" s="29" t="e">
        <f>[1]!nonzeroQtysOfList($F$14, $Q$14, InitialOrderTable2['# Initial], FilterSpecs!$A$7)</f>
        <v>#VALUE!</v>
      </c>
      <c r="AC171" s="29" t="e">
        <f>[1]!nonzeroQtysOfList($F$14, $Q$14, InitialOrderTable2[SKU], FilterSpecs!$A$7)</f>
        <v>#VALUE!</v>
      </c>
      <c r="AJ171" s="146"/>
    </row>
    <row r="172" spans="1:36" s="153" customFormat="1" x14ac:dyDescent="0.25">
      <c r="A172" s="150" t="s">
        <v>887</v>
      </c>
      <c r="B172" s="150" t="s">
        <v>2008</v>
      </c>
      <c r="C172" s="150" t="s">
        <v>1884</v>
      </c>
      <c r="D172" s="151" t="str">
        <f>IF(MouserListTable[[#This Row],[Vendor]]=FilterSpecs!$A$8,MouserListTable[[#This Row],[Mouser SKU]], MouserListTable[[#This Row],[Supplier SKU]])</f>
        <v>485-198</v>
      </c>
      <c r="E172" s="152">
        <f>MouserListTable[[#This Row],[Tot '#]]-MouserListTable[[#This Row],['# Initial]]</f>
        <v>0</v>
      </c>
      <c r="F172" s="152">
        <f>IF(AND(MouserListTable[[#This Row],[Tag]]&lt;&gt;FilterSpecs!$F$12, MouserListTable[[#This Row],[Tag]]&lt;&gt;FilterSpecs!$F$9), MouserListTable[[#This Row],['#/Unit]]*FilterSpecs!$B$3+MouserListTable[[#This Row],[Extra Initial]],0)</f>
        <v>0</v>
      </c>
      <c r="G172" s="150"/>
      <c r="H172" s="150"/>
      <c r="I172" s="150" t="s">
        <v>2049</v>
      </c>
      <c r="K172" s="118">
        <v>17.95</v>
      </c>
      <c r="L172" s="97" t="s">
        <v>1896</v>
      </c>
      <c r="N172" s="154">
        <f>MouserListTable[[#This Row],['# Initial]]*MouserListTable[[#This Row],[Price (USD)]]</f>
        <v>0</v>
      </c>
      <c r="O172" s="151" t="s">
        <v>2050</v>
      </c>
      <c r="P172" s="150">
        <f t="shared" si="2"/>
        <v>159</v>
      </c>
      <c r="Q172" s="150" t="s">
        <v>1884</v>
      </c>
      <c r="R17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485-198</v>
      </c>
      <c r="S172" s="157" t="str">
        <f>HYPERLINK("https://www.mouser.com/ProductDetail/" &amp;MouserListTable[[#This Row],[Mouser SKU]])</f>
        <v>https://www.mouser.com/ProductDetail/485-198</v>
      </c>
      <c r="T172" s="152">
        <v>0</v>
      </c>
      <c r="U172" s="152">
        <v>0</v>
      </c>
      <c r="V172" s="152">
        <v>0</v>
      </c>
      <c r="W172" s="152">
        <f>MouserListTable[[#This Row],['#/Unit]]*FilterSpecs!$C$3+MouserListTable[[#This Row],[Extra]]</f>
        <v>0</v>
      </c>
      <c r="X172" s="152">
        <f>IF(MouserListTable[[#This Row],[Tag]]=FilterSpecs!$F$7,MouserListTable[[#This Row],['#/Unit]]*MouserListTable[[#This Row],[Price (USD)]],0)</f>
        <v>0</v>
      </c>
      <c r="Y172" s="152">
        <f>MouserListTable[[#This Row],[Tot '#]]*MouserListTable[[#This Row],[Price (USD)]]</f>
        <v>0</v>
      </c>
      <c r="Z172" s="146"/>
      <c r="AA172" s="29" t="e">
        <f>[1]!nonzeroQtysOfList($F$14, $Q$14, InitialOrderTable2[[#This Row],[Name]], FilterSpecs!$A$7)</f>
        <v>#VALUE!</v>
      </c>
      <c r="AB172" s="29" t="e">
        <f>[1]!nonzeroQtysOfList($F$14, $Q$14, InitialOrderTable2['# Initial], FilterSpecs!$A$7)</f>
        <v>#VALUE!</v>
      </c>
      <c r="AC172" s="29" t="e">
        <f>[1]!nonzeroQtysOfList($F$14, $Q$14, InitialOrderTable2[SKU], FilterSpecs!$A$7)</f>
        <v>#VALUE!</v>
      </c>
      <c r="AJ172" s="146"/>
    </row>
    <row r="173" spans="1:36" s="153" customFormat="1" x14ac:dyDescent="0.25">
      <c r="A173" s="150" t="s">
        <v>887</v>
      </c>
      <c r="B173" s="150" t="s">
        <v>2008</v>
      </c>
      <c r="C173" s="150" t="s">
        <v>1884</v>
      </c>
      <c r="D173" s="151" t="str">
        <f>IF(MouserListTable[[#This Row],[Vendor]]=FilterSpecs!$A$8,MouserListTable[[#This Row],[Mouser SKU]], MouserListTable[[#This Row],[Supplier SKU]])</f>
        <v>485-3330</v>
      </c>
      <c r="E173" s="152">
        <f>MouserListTable[[#This Row],[Tot '#]]-MouserListTable[[#This Row],['# Initial]]</f>
        <v>0</v>
      </c>
      <c r="F173" s="152">
        <f>IF(AND(MouserListTable[[#This Row],[Tag]]&lt;&gt;FilterSpecs!$F$12, MouserListTable[[#This Row],[Tag]]&lt;&gt;FilterSpecs!$F$9), MouserListTable[[#This Row],['#/Unit]]*FilterSpecs!$B$3+MouserListTable[[#This Row],[Extra Initial]],0)</f>
        <v>0</v>
      </c>
      <c r="G173" s="150"/>
      <c r="H173" s="150"/>
      <c r="I173" s="150" t="s">
        <v>2317</v>
      </c>
      <c r="K173" s="118">
        <v>7.5</v>
      </c>
      <c r="L173" s="97" t="s">
        <v>1896</v>
      </c>
      <c r="N173" s="154">
        <f>MouserListTable[[#This Row],['# Initial]]*MouserListTable[[#This Row],[Price (USD)]]</f>
        <v>0</v>
      </c>
      <c r="O173" s="151" t="s">
        <v>2316</v>
      </c>
      <c r="P173" s="150">
        <f t="shared" si="2"/>
        <v>160</v>
      </c>
      <c r="Q173" s="150" t="s">
        <v>1884</v>
      </c>
      <c r="R17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485-3330</v>
      </c>
      <c r="S173" s="157" t="str">
        <f>HYPERLINK("https://www.mouser.com/ProductDetail/" &amp;MouserListTable[[#This Row],[Mouser SKU]])</f>
        <v>https://www.mouser.com/ProductDetail/485-3330</v>
      </c>
      <c r="T173" s="152">
        <v>0</v>
      </c>
      <c r="U173" s="152">
        <v>0</v>
      </c>
      <c r="V173" s="152">
        <v>0</v>
      </c>
      <c r="W173" s="152">
        <f>MouserListTable[[#This Row],['#/Unit]]*FilterSpecs!$C$3+MouserListTable[[#This Row],[Extra]]</f>
        <v>0</v>
      </c>
      <c r="X173" s="152">
        <f>IF(MouserListTable[[#This Row],[Tag]]=FilterSpecs!$F$7,MouserListTable[[#This Row],['#/Unit]]*MouserListTable[[#This Row],[Price (USD)]],0)</f>
        <v>0</v>
      </c>
      <c r="Y173" s="152">
        <f>MouserListTable[[#This Row],[Tot '#]]*MouserListTable[[#This Row],[Price (USD)]]</f>
        <v>0</v>
      </c>
      <c r="Z173" s="146"/>
      <c r="AA173" s="29" t="e">
        <f>[1]!nonzeroQtysOfList($F$14, $Q$14, InitialOrderTable2[[#This Row],[Name]], FilterSpecs!$A$7)</f>
        <v>#VALUE!</v>
      </c>
      <c r="AB173" s="29" t="e">
        <f>[1]!nonzeroQtysOfList($F$14, $Q$14, InitialOrderTable2['# Initial], FilterSpecs!$A$7)</f>
        <v>#VALUE!</v>
      </c>
      <c r="AC173" s="29" t="e">
        <f>[1]!nonzeroQtysOfList($F$14, $Q$14, InitialOrderTable2[SKU], FilterSpecs!$A$7)</f>
        <v>#VALUE!</v>
      </c>
      <c r="AJ173" s="146"/>
    </row>
    <row r="174" spans="1:36" s="153" customFormat="1" x14ac:dyDescent="0.25">
      <c r="A174" s="150" t="s">
        <v>887</v>
      </c>
      <c r="B174" s="150" t="s">
        <v>2008</v>
      </c>
      <c r="C174" s="150" t="s">
        <v>1884</v>
      </c>
      <c r="D174" s="151" t="str">
        <f>IF(MouserListTable[[#This Row],[Vendor]]=FilterSpecs!$A$8,MouserListTable[[#This Row],[Mouser SKU]], MouserListTable[[#This Row],[Supplier SKU]])</f>
        <v>485-1332</v>
      </c>
      <c r="E174" s="152">
        <f>MouserListTable[[#This Row],[Tot '#]]-MouserListTable[[#This Row],['# Initial]]</f>
        <v>0</v>
      </c>
      <c r="F174" s="152">
        <f>IF(AND(MouserListTable[[#This Row],[Tag]]&lt;&gt;FilterSpecs!$F$12, MouserListTable[[#This Row],[Tag]]&lt;&gt;FilterSpecs!$F$9), MouserListTable[[#This Row],['#/Unit]]*FilterSpecs!$B$3+MouserListTable[[#This Row],[Extra Initial]],0)</f>
        <v>0</v>
      </c>
      <c r="G174" s="150"/>
      <c r="H174" s="150"/>
      <c r="I174" s="150" t="s">
        <v>2347</v>
      </c>
      <c r="K174" s="154">
        <v>2.95</v>
      </c>
      <c r="L174" s="150" t="s">
        <v>1896</v>
      </c>
      <c r="M174" s="151"/>
      <c r="N174" s="154">
        <f>MouserListTable[[#This Row],['# Initial]]*MouserListTable[[#This Row],[Price (USD)]]</f>
        <v>0</v>
      </c>
      <c r="O174" s="151" t="s">
        <v>2346</v>
      </c>
      <c r="P174" s="150">
        <f t="shared" si="2"/>
        <v>161</v>
      </c>
      <c r="Q174" s="150" t="s">
        <v>1884</v>
      </c>
      <c r="R17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485-1332</v>
      </c>
      <c r="S174" s="157" t="str">
        <f>HYPERLINK("https://www.mouser.com/ProductDetail/" &amp;MouserListTable[[#This Row],[Mouser SKU]])</f>
        <v>https://www.mouser.com/ProductDetail/485-1332</v>
      </c>
      <c r="T174" s="152">
        <v>0</v>
      </c>
      <c r="U174" s="152">
        <v>0</v>
      </c>
      <c r="V174" s="152">
        <v>0</v>
      </c>
      <c r="W174" s="152">
        <f>MouserListTable[[#This Row],['#/Unit]]*FilterSpecs!$C$3+MouserListTable[[#This Row],[Extra]]</f>
        <v>0</v>
      </c>
      <c r="X174" s="152">
        <f>IF(MouserListTable[[#This Row],[Tag]]=FilterSpecs!$F$7,MouserListTable[[#This Row],['#/Unit]]*MouserListTable[[#This Row],[Price (USD)]],0)</f>
        <v>0</v>
      </c>
      <c r="Y174" s="152">
        <f>MouserListTable[[#This Row],[Tot '#]]*MouserListTable[[#This Row],[Price (USD)]]</f>
        <v>0</v>
      </c>
      <c r="Z174" s="146"/>
      <c r="AA174" s="29" t="e">
        <f>[1]!nonzeroQtysOfList($F$14, $Q$14, InitialOrderTable2[[#This Row],[Name]], FilterSpecs!$A$7)</f>
        <v>#VALUE!</v>
      </c>
      <c r="AB174" s="29" t="e">
        <f>[1]!nonzeroQtysOfList($F$14, $Q$14, InitialOrderTable2['# Initial], FilterSpecs!$A$7)</f>
        <v>#VALUE!</v>
      </c>
      <c r="AC174" s="29" t="e">
        <f>[1]!nonzeroQtysOfList($F$14, $Q$14, InitialOrderTable2[SKU], FilterSpecs!$A$7)</f>
        <v>#VALUE!</v>
      </c>
      <c r="AJ174" s="146"/>
    </row>
    <row r="175" spans="1:36" s="153" customFormat="1" x14ac:dyDescent="0.25">
      <c r="A175" s="150" t="s">
        <v>887</v>
      </c>
      <c r="B175" s="150" t="s">
        <v>2008</v>
      </c>
      <c r="C175" s="150" t="s">
        <v>1884</v>
      </c>
      <c r="D175" s="151" t="str">
        <f>IF(MouserListTable[[#This Row],[Vendor]]=FilterSpecs!$A$8,MouserListTable[[#This Row],[Mouser SKU]], MouserListTable[[#This Row],[Supplier SKU]])</f>
        <v>485-419</v>
      </c>
      <c r="E175" s="152">
        <f>MouserListTable[[#This Row],[Tot '#]]-MouserListTable[[#This Row],['# Initial]]</f>
        <v>0</v>
      </c>
      <c r="F175" s="152">
        <f>IF(AND(MouserListTable[[#This Row],[Tag]]&lt;&gt;FilterSpecs!$F$12, MouserListTable[[#This Row],[Tag]]&lt;&gt;FilterSpecs!$F$9), MouserListTable[[#This Row],['#/Unit]]*FilterSpecs!$B$3+MouserListTable[[#This Row],[Extra Initial]],0)</f>
        <v>5</v>
      </c>
      <c r="G175" s="150"/>
      <c r="H175" s="150"/>
      <c r="I175" s="150" t="s">
        <v>2349</v>
      </c>
      <c r="K175" s="154">
        <v>3.95</v>
      </c>
      <c r="L175" s="150" t="s">
        <v>1897</v>
      </c>
      <c r="M175" s="151"/>
      <c r="N175" s="154">
        <f>MouserListTable[[#This Row],['# Initial]]*MouserListTable[[#This Row],[Price (USD)]]</f>
        <v>19.75</v>
      </c>
      <c r="O175" s="151" t="s">
        <v>2348</v>
      </c>
      <c r="P175" s="150">
        <f t="shared" si="2"/>
        <v>162</v>
      </c>
      <c r="Q175" s="150" t="s">
        <v>1884</v>
      </c>
      <c r="R17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485-419</v>
      </c>
      <c r="S175" s="157" t="str">
        <f>HYPERLINK("https://www.mouser.com/ProductDetail/" &amp;MouserListTable[[#This Row],[Mouser SKU]])</f>
        <v>https://www.mouser.com/ProductDetail/485-419</v>
      </c>
      <c r="T175" s="152">
        <v>1</v>
      </c>
      <c r="U175" s="152">
        <v>0</v>
      </c>
      <c r="V175" s="152">
        <v>0</v>
      </c>
      <c r="W175" s="152">
        <f>MouserListTable[[#This Row],['#/Unit]]*FilterSpecs!$C$3+MouserListTable[[#This Row],[Extra]]</f>
        <v>5</v>
      </c>
      <c r="X175" s="152">
        <f>IF(MouserListTable[[#This Row],[Tag]]=FilterSpecs!$F$7,MouserListTable[[#This Row],['#/Unit]]*MouserListTable[[#This Row],[Price (USD)]],0)</f>
        <v>3.95</v>
      </c>
      <c r="Y175" s="152">
        <f>MouserListTable[[#This Row],[Tot '#]]*MouserListTable[[#This Row],[Price (USD)]]</f>
        <v>19.75</v>
      </c>
      <c r="Z175" s="146"/>
      <c r="AA175" s="29" t="e">
        <f>[1]!nonzeroQtysOfList($F$14, $Q$14, InitialOrderTable2[[#This Row],[Name]], FilterSpecs!$A$7)</f>
        <v>#VALUE!</v>
      </c>
      <c r="AB175" s="29" t="e">
        <f>[1]!nonzeroQtysOfList($F$14, $Q$14, InitialOrderTable2['# Initial], FilterSpecs!$A$7)</f>
        <v>#VALUE!</v>
      </c>
      <c r="AC175" s="29" t="e">
        <f>[1]!nonzeroQtysOfList($F$14, $Q$14, InitialOrderTable2[SKU], FilterSpecs!$A$7)</f>
        <v>#VALUE!</v>
      </c>
      <c r="AJ175" s="146"/>
    </row>
    <row r="176" spans="1:36" s="153" customFormat="1" x14ac:dyDescent="0.25">
      <c r="A176" s="150" t="s">
        <v>887</v>
      </c>
      <c r="B176" s="150" t="s">
        <v>2008</v>
      </c>
      <c r="C176" s="150" t="s">
        <v>5</v>
      </c>
      <c r="D176" s="151" t="str">
        <f>IF(MouserListTable[[#This Row],[Vendor]]=FilterSpecs!$A$8,MouserListTable[[#This Row],[Mouser SKU]], MouserListTable[[#This Row],[Supplier SKU]])</f>
        <v>474-DEV-11649</v>
      </c>
      <c r="E176" s="152">
        <f>MouserListTable[[#This Row],[Tot '#]]-MouserListTable[[#This Row],['# Initial]]</f>
        <v>0</v>
      </c>
      <c r="F176" s="152">
        <f>IF(AND(MouserListTable[[#This Row],[Tag]]&lt;&gt;FilterSpecs!$F$12, MouserListTable[[#This Row],[Tag]]&lt;&gt;FilterSpecs!$F$9), MouserListTable[[#This Row],['#/Unit]]*FilterSpecs!$B$3+MouserListTable[[#This Row],[Extra Initial]],0)</f>
        <v>0</v>
      </c>
      <c r="G176" s="150" t="s">
        <v>1782</v>
      </c>
      <c r="H176" s="150" t="s">
        <v>1783</v>
      </c>
      <c r="I176" s="150" t="s">
        <v>1784</v>
      </c>
      <c r="J176" s="153">
        <v>29.95</v>
      </c>
      <c r="K176" s="154">
        <v>29.95</v>
      </c>
      <c r="L176" s="150" t="s">
        <v>2464</v>
      </c>
      <c r="M176" s="151"/>
      <c r="N176" s="154">
        <f>MouserListTable[[#This Row],['# Initial]]*MouserListTable[[#This Row],[Price (USD)]]</f>
        <v>0</v>
      </c>
      <c r="O176" s="151" t="s">
        <v>1781</v>
      </c>
      <c r="P176" s="150">
        <f t="shared" si="2"/>
        <v>163</v>
      </c>
      <c r="Q176" s="150" t="s">
        <v>5</v>
      </c>
      <c r="R17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474-DEV-11649</v>
      </c>
      <c r="S176" s="157" t="str">
        <f>HYPERLINK("https://www.mouser.com/ProductDetail/" &amp;MouserListTable[[#This Row],[Mouser SKU]])</f>
        <v>https://www.mouser.com/ProductDetail/474-DEV-11649</v>
      </c>
      <c r="T176" s="152">
        <v>0</v>
      </c>
      <c r="U176" s="152">
        <v>0</v>
      </c>
      <c r="V176" s="152">
        <v>0</v>
      </c>
      <c r="W176" s="152">
        <f>MouserListTable[[#This Row],['#/Unit]]*FilterSpecs!$C$3+MouserListTable[[#This Row],[Extra]]</f>
        <v>0</v>
      </c>
      <c r="X176" s="152">
        <f>IF(MouserListTable[[#This Row],[Tag]]=FilterSpecs!$F$7,MouserListTable[[#This Row],['#/Unit]]*MouserListTable[[#This Row],[Price (USD)]],0)</f>
        <v>0</v>
      </c>
      <c r="Y176" s="152">
        <f>MouserListTable[[#This Row],[Tot '#]]*MouserListTable[[#This Row],[Price (USD)]]</f>
        <v>0</v>
      </c>
      <c r="Z176" s="146"/>
      <c r="AA176" s="29" t="e">
        <f>[1]!nonzeroQtysOfList($F$14, $Q$14, InitialOrderTable2[[#This Row],[Name]], FilterSpecs!$A$7)</f>
        <v>#VALUE!</v>
      </c>
      <c r="AB176" s="29" t="e">
        <f>[1]!nonzeroQtysOfList($F$14, $Q$14, InitialOrderTable2['# Initial], FilterSpecs!$A$7)</f>
        <v>#VALUE!</v>
      </c>
      <c r="AC176" s="29" t="e">
        <f>[1]!nonzeroQtysOfList($F$14, $Q$14, InitialOrderTable2[SKU], FilterSpecs!$A$7)</f>
        <v>#VALUE!</v>
      </c>
      <c r="AJ176" s="146"/>
    </row>
    <row r="177" spans="1:36" s="153" customFormat="1" x14ac:dyDescent="0.25">
      <c r="A177" s="150" t="s">
        <v>887</v>
      </c>
      <c r="B177" s="150" t="s">
        <v>891</v>
      </c>
      <c r="C177" s="150" t="s">
        <v>5</v>
      </c>
      <c r="D177" s="151" t="str">
        <f>IF(MouserListTable[[#This Row],[Vendor]]=FilterSpecs!$A$8,MouserListTable[[#This Row],[Mouser SKU]], MouserListTable[[#This Row],[Supplier SKU]])</f>
        <v>474-SEN-14348</v>
      </c>
      <c r="E177" s="152">
        <f>MouserListTable[[#This Row],[Tot '#]]-MouserListTable[[#This Row],['# Initial]]</f>
        <v>1</v>
      </c>
      <c r="F177" s="152">
        <f>IF(AND(MouserListTable[[#This Row],[Tag]]&lt;&gt;FilterSpecs!$F$12, MouserListTable[[#This Row],[Tag]]&lt;&gt;FilterSpecs!$F$9), MouserListTable[[#This Row],['#/Unit]]*FilterSpecs!$B$3+MouserListTable[[#This Row],[Extra Initial]],0)</f>
        <v>0</v>
      </c>
      <c r="G177" s="150" t="s">
        <v>677</v>
      </c>
      <c r="H177" s="150" t="s">
        <v>678</v>
      </c>
      <c r="I177" s="150" t="s">
        <v>679</v>
      </c>
      <c r="J177" s="150">
        <v>1</v>
      </c>
      <c r="K177" s="154">
        <v>34.950000000000003</v>
      </c>
      <c r="L177" s="150" t="s">
        <v>1896</v>
      </c>
      <c r="M177" s="151"/>
      <c r="N177" s="154">
        <f>MouserListTable[[#This Row],['# Initial]]*MouserListTable[[#This Row],[Price (USD)]]</f>
        <v>0</v>
      </c>
      <c r="O177" s="151" t="s">
        <v>676</v>
      </c>
      <c r="P177" s="150">
        <f t="shared" si="2"/>
        <v>164</v>
      </c>
      <c r="Q177" s="150" t="s">
        <v>5</v>
      </c>
      <c r="R17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474-SEN-14348</v>
      </c>
      <c r="S177" s="157" t="str">
        <f>HYPERLINK("https://www.mouser.com/ProductDetail/" &amp;MouserListTable[[#This Row],[Mouser SKU]])</f>
        <v>https://www.mouser.com/ProductDetail/474-SEN-14348</v>
      </c>
      <c r="T177" s="152">
        <v>0</v>
      </c>
      <c r="U177" s="152">
        <v>1</v>
      </c>
      <c r="V177" s="152">
        <v>0</v>
      </c>
      <c r="W177" s="152">
        <f>MouserListTable[[#This Row],['#/Unit]]*FilterSpecs!$C$3+MouserListTable[[#This Row],[Extra]]</f>
        <v>1</v>
      </c>
      <c r="X177" s="152">
        <f>IF(MouserListTable[[#This Row],[Tag]]=FilterSpecs!$F$7,MouserListTable[[#This Row],['#/Unit]]*MouserListTable[[#This Row],[Price (USD)]],0)</f>
        <v>0</v>
      </c>
      <c r="Y177" s="152">
        <f>MouserListTable[[#This Row],[Tot '#]]*MouserListTable[[#This Row],[Price (USD)]]</f>
        <v>34.950000000000003</v>
      </c>
      <c r="Z177" s="146"/>
      <c r="AA177" s="29" t="e">
        <f>[1]!nonzeroQtysOfList($F$14, $Q$14, InitialOrderTable2[[#This Row],[Name]], FilterSpecs!$A$7)</f>
        <v>#VALUE!</v>
      </c>
      <c r="AB177" s="29" t="e">
        <f>[1]!nonzeroQtysOfList($F$14, $Q$14, InitialOrderTable2['# Initial], FilterSpecs!$A$7)</f>
        <v>#VALUE!</v>
      </c>
      <c r="AC177" s="29" t="e">
        <f>[1]!nonzeroQtysOfList($F$14, $Q$14, InitialOrderTable2[SKU], FilterSpecs!$A$7)</f>
        <v>#VALUE!</v>
      </c>
      <c r="AJ177" s="146"/>
    </row>
    <row r="178" spans="1:36" s="153" customFormat="1" x14ac:dyDescent="0.25">
      <c r="A178" s="150" t="s">
        <v>887</v>
      </c>
      <c r="B178" s="150" t="s">
        <v>891</v>
      </c>
      <c r="C178" s="150" t="s">
        <v>5</v>
      </c>
      <c r="D178" s="151" t="str">
        <f>IF(MouserListTable[[#This Row],[Vendor]]=FilterSpecs!$A$8,MouserListTable[[#This Row],[Mouser SKU]], MouserListTable[[#This Row],[Supplier SKU]])</f>
        <v>474-SEN-14045</v>
      </c>
      <c r="E178" s="152">
        <f>MouserListTable[[#This Row],[Tot '#]]-MouserListTable[[#This Row],['# Initial]]</f>
        <v>1</v>
      </c>
      <c r="F178" s="152">
        <f>IF(AND(MouserListTable[[#This Row],[Tag]]&lt;&gt;FilterSpecs!$F$12, MouserListTable[[#This Row],[Tag]]&lt;&gt;FilterSpecs!$F$9), MouserListTable[[#This Row],['#/Unit]]*FilterSpecs!$B$3+MouserListTable[[#This Row],[Extra Initial]],0)</f>
        <v>0</v>
      </c>
      <c r="G178" s="150" t="s">
        <v>681</v>
      </c>
      <c r="H178" s="150" t="s">
        <v>682</v>
      </c>
      <c r="I178" s="150" t="s">
        <v>683</v>
      </c>
      <c r="J178" s="150"/>
      <c r="K178" s="154">
        <v>12.95</v>
      </c>
      <c r="L178" s="150" t="s">
        <v>1896</v>
      </c>
      <c r="M178" s="151"/>
      <c r="N178" s="154">
        <f>MouserListTable[[#This Row],['# Initial]]*MouserListTable[[#This Row],[Price (USD)]]</f>
        <v>0</v>
      </c>
      <c r="O178" s="151" t="s">
        <v>680</v>
      </c>
      <c r="P178" s="150">
        <f t="shared" si="2"/>
        <v>165</v>
      </c>
      <c r="Q178" s="150" t="s">
        <v>5</v>
      </c>
      <c r="R17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474-SEN-14045</v>
      </c>
      <c r="S178" s="157" t="str">
        <f>HYPERLINK("https://www.mouser.com/ProductDetail/" &amp;MouserListTable[[#This Row],[Mouser SKU]])</f>
        <v>https://www.mouser.com/ProductDetail/474-SEN-14045</v>
      </c>
      <c r="T178" s="152">
        <v>0</v>
      </c>
      <c r="U178" s="152">
        <v>1</v>
      </c>
      <c r="V178" s="152">
        <v>0</v>
      </c>
      <c r="W178" s="152">
        <f>MouserListTable[[#This Row],['#/Unit]]*FilterSpecs!$C$3+MouserListTable[[#This Row],[Extra]]</f>
        <v>1</v>
      </c>
      <c r="X178" s="152">
        <f>IF(MouserListTable[[#This Row],[Tag]]=FilterSpecs!$F$7,MouserListTable[[#This Row],['#/Unit]]*MouserListTable[[#This Row],[Price (USD)]],0)</f>
        <v>0</v>
      </c>
      <c r="Y178" s="152">
        <f>MouserListTable[[#This Row],[Tot '#]]*MouserListTable[[#This Row],[Price (USD)]]</f>
        <v>12.95</v>
      </c>
      <c r="Z178" s="146"/>
      <c r="AA178" s="29" t="e">
        <f>[1]!nonzeroQtysOfList($F$14, $Q$14, InitialOrderTable2[[#This Row],[Name]], FilterSpecs!$A$7)</f>
        <v>#VALUE!</v>
      </c>
      <c r="AB178" s="29" t="e">
        <f>[1]!nonzeroQtysOfList($F$14, $Q$14, InitialOrderTable2['# Initial], FilterSpecs!$A$7)</f>
        <v>#VALUE!</v>
      </c>
      <c r="AC178" s="29" t="e">
        <f>[1]!nonzeroQtysOfList($F$14, $Q$14, InitialOrderTable2[SKU], FilterSpecs!$A$7)</f>
        <v>#VALUE!</v>
      </c>
      <c r="AJ178" s="146"/>
    </row>
    <row r="179" spans="1:36" s="153" customFormat="1" x14ac:dyDescent="0.25">
      <c r="A179" s="150" t="s">
        <v>887</v>
      </c>
      <c r="B179" s="150" t="s">
        <v>891</v>
      </c>
      <c r="C179" s="150" t="s">
        <v>5</v>
      </c>
      <c r="D179" s="151" t="str">
        <f>IF(MouserListTable[[#This Row],[Vendor]]=FilterSpecs!$A$8,MouserListTable[[#This Row],[Mouser SKU]], MouserListTable[[#This Row],[Supplier SKU]])</f>
        <v>474-BOB-08891</v>
      </c>
      <c r="E179" s="152">
        <f>MouserListTable[[#This Row],[Tot '#]]-MouserListTable[[#This Row],['# Initial]]</f>
        <v>1</v>
      </c>
      <c r="F179" s="152">
        <f>IF(AND(MouserListTable[[#This Row],[Tag]]&lt;&gt;FilterSpecs!$F$12, MouserListTable[[#This Row],[Tag]]&lt;&gt;FilterSpecs!$F$9), MouserListTable[[#This Row],['#/Unit]]*FilterSpecs!$B$3+MouserListTable[[#This Row],[Extra Initial]],0)</f>
        <v>0</v>
      </c>
      <c r="G179" s="150" t="s">
        <v>685</v>
      </c>
      <c r="H179" s="150" t="s">
        <v>686</v>
      </c>
      <c r="I179" s="150" t="s">
        <v>687</v>
      </c>
      <c r="J179" s="150">
        <v>1</v>
      </c>
      <c r="K179" s="154">
        <v>0.95</v>
      </c>
      <c r="L179" s="150" t="s">
        <v>1896</v>
      </c>
      <c r="M179" s="151"/>
      <c r="N179" s="154">
        <f>MouserListTable[[#This Row],['# Initial]]*MouserListTable[[#This Row],[Price (USD)]]</f>
        <v>0</v>
      </c>
      <c r="O179" s="151" t="s">
        <v>684</v>
      </c>
      <c r="P179" s="150">
        <f t="shared" si="2"/>
        <v>166</v>
      </c>
      <c r="Q179" s="150" t="s">
        <v>5</v>
      </c>
      <c r="R17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474-BOB-08891</v>
      </c>
      <c r="S179" s="157" t="str">
        <f>HYPERLINK("https://www.mouser.com/ProductDetail/" &amp;MouserListTable[[#This Row],[Mouser SKU]])</f>
        <v>https://www.mouser.com/ProductDetail/474-BOB-08891</v>
      </c>
      <c r="T179" s="152">
        <v>0</v>
      </c>
      <c r="U179" s="152">
        <v>1</v>
      </c>
      <c r="V179" s="152">
        <v>0</v>
      </c>
      <c r="W179" s="152">
        <f>MouserListTable[[#This Row],['#/Unit]]*FilterSpecs!$C$3+MouserListTable[[#This Row],[Extra]]</f>
        <v>1</v>
      </c>
      <c r="X179" s="152">
        <f>IF(MouserListTable[[#This Row],[Tag]]=FilterSpecs!$F$7,MouserListTable[[#This Row],['#/Unit]]*MouserListTable[[#This Row],[Price (USD)]],0)</f>
        <v>0</v>
      </c>
      <c r="Y179" s="152">
        <f>MouserListTable[[#This Row],[Tot '#]]*MouserListTable[[#This Row],[Price (USD)]]</f>
        <v>0.95</v>
      </c>
      <c r="Z179" s="146"/>
      <c r="AA179" s="29" t="e">
        <f>[1]!nonzeroQtysOfList($F$14, $Q$14, InitialOrderTable2[[#This Row],[Name]], FilterSpecs!$A$7)</f>
        <v>#VALUE!</v>
      </c>
      <c r="AB179" s="29" t="e">
        <f>[1]!nonzeroQtysOfList($F$14, $Q$14, InitialOrderTable2['# Initial], FilterSpecs!$A$7)</f>
        <v>#VALUE!</v>
      </c>
      <c r="AC179" s="29" t="e">
        <f>[1]!nonzeroQtysOfList($F$14, $Q$14, InitialOrderTable2[SKU], FilterSpecs!$A$7)</f>
        <v>#VALUE!</v>
      </c>
      <c r="AJ179" s="146"/>
    </row>
    <row r="180" spans="1:36" s="153" customFormat="1" x14ac:dyDescent="0.25">
      <c r="A180" s="150" t="s">
        <v>887</v>
      </c>
      <c r="B180" s="150" t="s">
        <v>891</v>
      </c>
      <c r="C180" s="150" t="s">
        <v>5</v>
      </c>
      <c r="D180" s="151" t="str">
        <f>IF(MouserListTable[[#This Row],[Vendor]]=FilterSpecs!$A$8,MouserListTable[[#This Row],[Mouser SKU]], MouserListTable[[#This Row],[Supplier SKU]])</f>
        <v>474-SEN-09403</v>
      </c>
      <c r="E180" s="152">
        <f>MouserListTable[[#This Row],[Tot '#]]-MouserListTable[[#This Row],['# Initial]]</f>
        <v>1</v>
      </c>
      <c r="F180" s="152">
        <f>IF(AND(MouserListTable[[#This Row],[Tag]]&lt;&gt;FilterSpecs!$F$12, MouserListTable[[#This Row],[Tag]]&lt;&gt;FilterSpecs!$F$9), MouserListTable[[#This Row],['#/Unit]]*FilterSpecs!$B$3+MouserListTable[[#This Row],[Extra Initial]],0)</f>
        <v>0</v>
      </c>
      <c r="G180" s="150" t="s">
        <v>689</v>
      </c>
      <c r="H180" s="150" t="s">
        <v>690</v>
      </c>
      <c r="I180" s="150" t="s">
        <v>691</v>
      </c>
      <c r="J180" s="150">
        <v>1</v>
      </c>
      <c r="K180" s="154">
        <v>7.25</v>
      </c>
      <c r="L180" s="150" t="s">
        <v>1896</v>
      </c>
      <c r="M180" s="151"/>
      <c r="N180" s="154">
        <f>MouserListTable[[#This Row],['# Initial]]*MouserListTable[[#This Row],[Price (USD)]]</f>
        <v>0</v>
      </c>
      <c r="O180" s="151" t="s">
        <v>688</v>
      </c>
      <c r="P180" s="150">
        <f t="shared" si="2"/>
        <v>167</v>
      </c>
      <c r="Q180" s="150" t="s">
        <v>5</v>
      </c>
      <c r="R18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474-SEN-09403</v>
      </c>
      <c r="S180" s="157" t="str">
        <f>HYPERLINK("https://www.mouser.com/ProductDetail/" &amp;MouserListTable[[#This Row],[Mouser SKU]])</f>
        <v>https://www.mouser.com/ProductDetail/474-SEN-09403</v>
      </c>
      <c r="T180" s="152">
        <v>0</v>
      </c>
      <c r="U180" s="152">
        <v>1</v>
      </c>
      <c r="V180" s="152">
        <v>0</v>
      </c>
      <c r="W180" s="152">
        <f>MouserListTable[[#This Row],['#/Unit]]*FilterSpecs!$C$3+MouserListTable[[#This Row],[Extra]]</f>
        <v>1</v>
      </c>
      <c r="X180" s="152">
        <f>IF(MouserListTable[[#This Row],[Tag]]=FilterSpecs!$F$7,MouserListTable[[#This Row],['#/Unit]]*MouserListTable[[#This Row],[Price (USD)]],0)</f>
        <v>0</v>
      </c>
      <c r="Y180" s="152">
        <f>MouserListTable[[#This Row],[Tot '#]]*MouserListTable[[#This Row],[Price (USD)]]</f>
        <v>7.25</v>
      </c>
      <c r="Z180" s="146"/>
      <c r="AA180" s="153" t="str">
        <f>InitialOrderTable2[[#This Row],[SKU]]</f>
        <v>474-SEN-09403</v>
      </c>
      <c r="AB180" s="153">
        <f>VALUE(InitialOrderTable2[[#This Row],['# Initial]])</f>
        <v>0</v>
      </c>
    </row>
    <row r="181" spans="1:36" s="153" customFormat="1" x14ac:dyDescent="0.25">
      <c r="A181" s="97" t="s">
        <v>887</v>
      </c>
      <c r="B181" s="97" t="s">
        <v>891</v>
      </c>
      <c r="C181" s="150" t="s">
        <v>5</v>
      </c>
      <c r="D181" s="151" t="str">
        <f>IF(MouserListTable[[#This Row],[Vendor]]=FilterSpecs!$A$8,MouserListTable[[#This Row],[Mouser SKU]], MouserListTable[[#This Row],[Supplier SKU]])</f>
        <v>474-SEN-12055</v>
      </c>
      <c r="E181" s="152">
        <f>MouserListTable[[#This Row],[Tot '#]]-MouserListTable[[#This Row],['# Initial]]</f>
        <v>0</v>
      </c>
      <c r="F181" s="152">
        <f>IF(AND(MouserListTable[[#This Row],[Tag]]&lt;&gt;FilterSpecs!$F$12, MouserListTable[[#This Row],[Tag]]&lt;&gt;FilterSpecs!$F$9), MouserListTable[[#This Row],['#/Unit]]*FilterSpecs!$B$3+MouserListTable[[#This Row],[Extra Initial]],0)</f>
        <v>0</v>
      </c>
      <c r="G181" s="150" t="s">
        <v>821</v>
      </c>
      <c r="H181" s="150" t="s">
        <v>822</v>
      </c>
      <c r="I181" s="150" t="s">
        <v>205</v>
      </c>
      <c r="J181" s="150">
        <v>1</v>
      </c>
      <c r="K181" s="154">
        <v>5.95</v>
      </c>
      <c r="L181" s="150" t="s">
        <v>2461</v>
      </c>
      <c r="N181" s="154">
        <f>MouserListTable[[#This Row],['# Initial]]*MouserListTable[[#This Row],[Price (USD)]]</f>
        <v>0</v>
      </c>
      <c r="O181" s="151" t="s">
        <v>820</v>
      </c>
      <c r="P181" s="150">
        <f t="shared" si="2"/>
        <v>168</v>
      </c>
      <c r="Q181" s="150" t="s">
        <v>5</v>
      </c>
      <c r="R18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474-SEN-12055</v>
      </c>
      <c r="S181" s="157" t="str">
        <f>HYPERLINK("https://www.mouser.com/ProductDetail/" &amp;MouserListTable[[#This Row],[Mouser SKU]])</f>
        <v>https://www.mouser.com/ProductDetail/474-SEN-12055</v>
      </c>
      <c r="T181" s="152">
        <v>0</v>
      </c>
      <c r="U181" s="152">
        <v>0</v>
      </c>
      <c r="V181" s="152">
        <v>0</v>
      </c>
      <c r="W181" s="152">
        <f>MouserListTable[[#This Row],['#/Unit]]*FilterSpecs!$C$3+MouserListTable[[#This Row],[Extra]]</f>
        <v>0</v>
      </c>
      <c r="X181" s="152">
        <f>IF(MouserListTable[[#This Row],[Tag]]=FilterSpecs!$F$7,MouserListTable[[#This Row],['#/Unit]]*MouserListTable[[#This Row],[Price (USD)]],0)</f>
        <v>0</v>
      </c>
      <c r="Y181" s="152">
        <f>MouserListTable[[#This Row],[Tot '#]]*MouserListTable[[#This Row],[Price (USD)]]</f>
        <v>0</v>
      </c>
      <c r="Z181" s="146"/>
      <c r="AA181" s="153" t="str">
        <f>InitialOrderTable2[[#This Row],[SKU]]</f>
        <v>474-SEN-12055</v>
      </c>
      <c r="AB181" s="153">
        <f>VALUE(InitialOrderTable2[[#This Row],['# Initial]])</f>
        <v>0</v>
      </c>
    </row>
    <row r="182" spans="1:36" s="153" customFormat="1" x14ac:dyDescent="0.25">
      <c r="A182" s="150" t="s">
        <v>887</v>
      </c>
      <c r="B182" s="150" t="s">
        <v>891</v>
      </c>
      <c r="C182" s="150" t="s">
        <v>5</v>
      </c>
      <c r="D182" s="151" t="str">
        <f>IF(MouserListTable[[#This Row],[Vendor]]=FilterSpecs!$A$8,MouserListTable[[#This Row],[Mouser SKU]], MouserListTable[[#This Row],[Supplier SKU]])</f>
        <v>474-BOB-08688</v>
      </c>
      <c r="E182" s="152">
        <f>MouserListTable[[#This Row],[Tot '#]]-MouserListTable[[#This Row],['# Initial]]</f>
        <v>2</v>
      </c>
      <c r="F182" s="152">
        <f>IF(AND(MouserListTable[[#This Row],[Tag]]&lt;&gt;FilterSpecs!$F$12, MouserListTable[[#This Row],[Tag]]&lt;&gt;FilterSpecs!$F$9), MouserListTable[[#This Row],['#/Unit]]*FilterSpecs!$B$3+MouserListTable[[#This Row],[Extra Initial]],0)</f>
        <v>0</v>
      </c>
      <c r="G182" s="150" t="s">
        <v>824</v>
      </c>
      <c r="H182" s="150" t="s">
        <v>825</v>
      </c>
      <c r="I182" s="150" t="s">
        <v>213</v>
      </c>
      <c r="J182" s="150">
        <v>1</v>
      </c>
      <c r="K182" s="154">
        <v>3.95</v>
      </c>
      <c r="L182" s="150" t="s">
        <v>1896</v>
      </c>
      <c r="M182" s="151"/>
      <c r="N182" s="154">
        <f>MouserListTable[[#This Row],['# Initial]]*MouserListTable[[#This Row],[Price (USD)]]</f>
        <v>0</v>
      </c>
      <c r="O182" s="151" t="s">
        <v>823</v>
      </c>
      <c r="P182" s="150">
        <f t="shared" si="2"/>
        <v>169</v>
      </c>
      <c r="Q182" s="150" t="s">
        <v>5</v>
      </c>
      <c r="R18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474-BOB-08688</v>
      </c>
      <c r="S182" s="157" t="str">
        <f>HYPERLINK("https://www.mouser.com/ProductDetail/" &amp;MouserListTable[[#This Row],[Mouser SKU]])</f>
        <v>https://www.mouser.com/ProductDetail/474-BOB-08688</v>
      </c>
      <c r="T182" s="152">
        <v>0</v>
      </c>
      <c r="U182" s="152">
        <v>2</v>
      </c>
      <c r="V182" s="152">
        <v>0</v>
      </c>
      <c r="W182" s="152">
        <f>MouserListTable[[#This Row],['#/Unit]]*FilterSpecs!$C$3+MouserListTable[[#This Row],[Extra]]</f>
        <v>2</v>
      </c>
      <c r="X182" s="152">
        <f>IF(MouserListTable[[#This Row],[Tag]]=FilterSpecs!$F$7,MouserListTable[[#This Row],['#/Unit]]*MouserListTable[[#This Row],[Price (USD)]],0)</f>
        <v>0</v>
      </c>
      <c r="Y182" s="152">
        <f>MouserListTable[[#This Row],[Tot '#]]*MouserListTable[[#This Row],[Price (USD)]]</f>
        <v>7.9</v>
      </c>
      <c r="Z182" s="146"/>
      <c r="AA182" s="153" t="str">
        <f>InitialOrderTable2[[#This Row],[SKU]]</f>
        <v>474-BOB-08688</v>
      </c>
      <c r="AB182" s="153">
        <f>VALUE(InitialOrderTable2[[#This Row],['# Initial]])</f>
        <v>0</v>
      </c>
    </row>
    <row r="183" spans="1:36" s="153" customFormat="1" x14ac:dyDescent="0.25">
      <c r="A183" s="150" t="s">
        <v>887</v>
      </c>
      <c r="B183" s="150" t="s">
        <v>9</v>
      </c>
      <c r="C183" s="150" t="s">
        <v>5</v>
      </c>
      <c r="D183" s="151" t="str">
        <f>IF(MouserListTable[[#This Row],[Vendor]]=FilterSpecs!$A$8,MouserListTable[[#This Row],[Mouser SKU]], MouserListTable[[#This Row],[Supplier SKU]])</f>
        <v>474-WRL-13677</v>
      </c>
      <c r="E183" s="152">
        <f>MouserListTable[[#This Row],[Tot '#]]-MouserListTable[[#This Row],['# Initial]]</f>
        <v>3</v>
      </c>
      <c r="F183" s="152">
        <f>IF(AND(MouserListTable[[#This Row],[Tag]]&lt;&gt;FilterSpecs!$F$12, MouserListTable[[#This Row],[Tag]]&lt;&gt;FilterSpecs!$F$9), MouserListTable[[#This Row],['#/Unit]]*FilterSpecs!$B$3+MouserListTable[[#This Row],[Extra Initial]],0)</f>
        <v>0</v>
      </c>
      <c r="G183" s="150" t="s">
        <v>250</v>
      </c>
      <c r="H183" s="150" t="s">
        <v>251</v>
      </c>
      <c r="I183" s="150" t="s">
        <v>252</v>
      </c>
      <c r="J183" s="150">
        <v>1</v>
      </c>
      <c r="K183" s="154">
        <v>14.95</v>
      </c>
      <c r="L183" s="150" t="s">
        <v>1896</v>
      </c>
      <c r="M183" s="151"/>
      <c r="N183" s="154">
        <f>MouserListTable[[#This Row],['# Initial]]*MouserListTable[[#This Row],[Price (USD)]]</f>
        <v>0</v>
      </c>
      <c r="O183" s="151" t="s">
        <v>249</v>
      </c>
      <c r="P183" s="150">
        <f t="shared" si="2"/>
        <v>170</v>
      </c>
      <c r="Q183" s="150" t="s">
        <v>5</v>
      </c>
      <c r="R18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474-WRL-13677</v>
      </c>
      <c r="S183" s="157" t="str">
        <f>HYPERLINK("https://www.mouser.com/ProductDetail/" &amp;MouserListTable[[#This Row],[Mouser SKU]])</f>
        <v>https://www.mouser.com/ProductDetail/474-WRL-13677</v>
      </c>
      <c r="T183" s="152">
        <v>0</v>
      </c>
      <c r="U183" s="152">
        <v>3</v>
      </c>
      <c r="V183" s="152">
        <v>0</v>
      </c>
      <c r="W183" s="152">
        <f>MouserListTable[[#This Row],['#/Unit]]*FilterSpecs!$C$3+MouserListTable[[#This Row],[Extra]]</f>
        <v>3</v>
      </c>
      <c r="X183" s="152">
        <f>IF(MouserListTable[[#This Row],[Tag]]=FilterSpecs!$F$7,MouserListTable[[#This Row],['#/Unit]]*MouserListTable[[#This Row],[Price (USD)]],0)</f>
        <v>0</v>
      </c>
      <c r="Y183" s="152">
        <f>MouserListTable[[#This Row],[Tot '#]]*MouserListTable[[#This Row],[Price (USD)]]</f>
        <v>44.849999999999994</v>
      </c>
      <c r="Z183" s="146"/>
      <c r="AA183" s="153" t="str">
        <f>InitialOrderTable2[[#This Row],[SKU]]</f>
        <v>474-WRL-13677</v>
      </c>
      <c r="AB183" s="153">
        <f>VALUE(InitialOrderTable2[[#This Row],['# Initial]])</f>
        <v>0</v>
      </c>
    </row>
    <row r="184" spans="1:36" s="153" customFormat="1" x14ac:dyDescent="0.25">
      <c r="A184" s="97" t="s">
        <v>887</v>
      </c>
      <c r="B184" s="150" t="s">
        <v>9</v>
      </c>
      <c r="C184" s="150" t="s">
        <v>5</v>
      </c>
      <c r="D184" s="151" t="str">
        <f>IF(MouserListTable[[#This Row],[Vendor]]=FilterSpecs!$A$8,MouserListTable[[#This Row],[Mouser SKU]], MouserListTable[[#This Row],[Supplier SKU]])</f>
        <v>474-WRL-13678</v>
      </c>
      <c r="E184" s="152">
        <f>MouserListTable[[#This Row],[Tot '#]]-MouserListTable[[#This Row],['# Initial]]</f>
        <v>0</v>
      </c>
      <c r="F184" s="152">
        <f>IF(AND(MouserListTable[[#This Row],[Tag]]&lt;&gt;FilterSpecs!$F$12, MouserListTable[[#This Row],[Tag]]&lt;&gt;FilterSpecs!$F$9), MouserListTable[[#This Row],['#/Unit]]*FilterSpecs!$B$3+MouserListTable[[#This Row],[Extra Initial]],0)</f>
        <v>0</v>
      </c>
      <c r="G184" s="150" t="s">
        <v>254</v>
      </c>
      <c r="H184" s="150" t="s">
        <v>255</v>
      </c>
      <c r="I184" s="150" t="s">
        <v>256</v>
      </c>
      <c r="J184" s="150">
        <v>1</v>
      </c>
      <c r="K184" s="154">
        <v>6.95</v>
      </c>
      <c r="L184" s="150" t="s">
        <v>1899</v>
      </c>
      <c r="N184" s="154">
        <f>MouserListTable[[#This Row],['# Initial]]*MouserListTable[[#This Row],[Price (USD)]]</f>
        <v>0</v>
      </c>
      <c r="O184" s="151" t="s">
        <v>253</v>
      </c>
      <c r="P184" s="150">
        <f t="shared" si="2"/>
        <v>171</v>
      </c>
      <c r="Q184" s="150" t="s">
        <v>5</v>
      </c>
      <c r="R18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474-WRL-13678</v>
      </c>
      <c r="S184" s="157" t="str">
        <f>HYPERLINK("https://www.mouser.com/ProductDetail/" &amp;MouserListTable[[#This Row],[Mouser SKU]])</f>
        <v>https://www.mouser.com/ProductDetail/474-WRL-13678</v>
      </c>
      <c r="T184" s="152">
        <v>0</v>
      </c>
      <c r="U184" s="152">
        <v>0</v>
      </c>
      <c r="V184" s="152">
        <v>0</v>
      </c>
      <c r="W184" s="152">
        <f>MouserListTable[[#This Row],['#/Unit]]*FilterSpecs!$C$3+MouserListTable[[#This Row],[Extra]]</f>
        <v>0</v>
      </c>
      <c r="X184" s="152">
        <f>IF(MouserListTable[[#This Row],[Tag]]=FilterSpecs!$F$7,MouserListTable[[#This Row],['#/Unit]]*MouserListTable[[#This Row],[Price (USD)]],0)</f>
        <v>0</v>
      </c>
      <c r="Y184" s="152">
        <f>MouserListTable[[#This Row],[Tot '#]]*MouserListTable[[#This Row],[Price (USD)]]</f>
        <v>0</v>
      </c>
      <c r="Z184" s="146"/>
      <c r="AA184" s="153" t="str">
        <f>InitialOrderTable2[[#This Row],[SKU]]</f>
        <v>474-WRL-13678</v>
      </c>
      <c r="AB184" s="153">
        <f>VALUE(InitialOrderTable2[[#This Row],['# Initial]])</f>
        <v>0</v>
      </c>
    </row>
    <row r="185" spans="1:36" s="153" customFormat="1" x14ac:dyDescent="0.25">
      <c r="A185" s="97" t="s">
        <v>887</v>
      </c>
      <c r="B185" s="150" t="s">
        <v>9</v>
      </c>
      <c r="C185" s="150" t="s">
        <v>2543</v>
      </c>
      <c r="D185" s="120" t="str">
        <f>IF(MouserListTable[[#This Row],[Vendor]]=FilterSpecs!$A$8,MouserListTable[[#This Row],[Mouser SKU]], MouserListTable[[#This Row],[Supplier SKU]])</f>
        <v>409-OPT-UP-WF-002</v>
      </c>
      <c r="E185" s="152">
        <f>MouserListTable[[#This Row],[Tot '#]]-MouserListTable[[#This Row],['# Initial]]</f>
        <v>0</v>
      </c>
      <c r="F185" s="152">
        <f>IF(AND(MouserListTable[[#This Row],[Tag]]&lt;&gt;FilterSpecs!$F$12, MouserListTable[[#This Row],[Tag]]&lt;&gt;FilterSpecs!$F$9), MouserListTable[[#This Row],['#/Unit]]*FilterSpecs!$B$3+MouserListTable[[#This Row],[Extra Initial]],0)</f>
        <v>0</v>
      </c>
      <c r="G185" s="150"/>
      <c r="H185" s="150"/>
      <c r="I185" s="150" t="s">
        <v>2542</v>
      </c>
      <c r="J185" s="150"/>
      <c r="K185" s="154">
        <v>9.99</v>
      </c>
      <c r="L185" s="152" t="s">
        <v>1896</v>
      </c>
      <c r="M185" s="150" t="s">
        <v>2546</v>
      </c>
      <c r="N185" s="154">
        <f>MouserListTable[[#This Row],['# Initial]]*MouserListTable[[#This Row],[Price (USD)]]</f>
        <v>0</v>
      </c>
      <c r="O185" s="151" t="s">
        <v>2544</v>
      </c>
      <c r="P185" s="150">
        <f t="shared" si="2"/>
        <v>172</v>
      </c>
      <c r="Q185" s="150" t="s">
        <v>2543</v>
      </c>
      <c r="R18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409-OPT-UP-WF-002</v>
      </c>
      <c r="S185" s="157" t="str">
        <f>HYPERLINK("https://www.mouser.com/ProductDetail/" &amp;MouserListTable[[#This Row],[Mouser SKU]])</f>
        <v>https://www.mouser.com/ProductDetail/409-OPT-UP-WF-002</v>
      </c>
      <c r="T185" s="152">
        <v>0</v>
      </c>
      <c r="U185" s="152">
        <v>0</v>
      </c>
      <c r="V185" s="152">
        <v>0</v>
      </c>
      <c r="W185" s="152">
        <f>MouserListTable[[#This Row],['#/Unit]]*FilterSpecs!$C$3+MouserListTable[[#This Row],[Extra]]</f>
        <v>0</v>
      </c>
      <c r="X185" s="152">
        <f>IF(MouserListTable[[#This Row],[Tag]]=FilterSpecs!$F$7,MouserListTable[[#This Row],['#/Unit]]*MouserListTable[[#This Row],[Price (USD)]],0)</f>
        <v>0</v>
      </c>
      <c r="Y185" s="152">
        <f>MouserListTable[[#This Row],[Tot '#]]*MouserListTable[[#This Row],[Price (USD)]]</f>
        <v>0</v>
      </c>
      <c r="Z185" s="146"/>
      <c r="AA185" s="153" t="str">
        <f>InitialOrderTable2[[#This Row],[SKU]]</f>
        <v>409-OPT-UP-WF-002</v>
      </c>
      <c r="AB185" s="153">
        <f>VALUE(InitialOrderTable2[[#This Row],['# Initial]])</f>
        <v>0</v>
      </c>
    </row>
    <row r="186" spans="1:36" s="153" customFormat="1" x14ac:dyDescent="0.25">
      <c r="A186" s="97" t="s">
        <v>887</v>
      </c>
      <c r="B186" s="97" t="s">
        <v>9</v>
      </c>
      <c r="C186" s="150" t="s">
        <v>1884</v>
      </c>
      <c r="D186" s="120" t="str">
        <f>IF(MouserListTable[[#This Row],[Vendor]]=FilterSpecs!$A$8,MouserListTable[[#This Row],[Mouser SKU]], MouserListTable[[#This Row],[Supplier SKU]])</f>
        <v>485-2810</v>
      </c>
      <c r="E186" s="152">
        <f>MouserListTable[[#This Row],[Tot '#]]-MouserListTable[[#This Row],['# Initial]]</f>
        <v>0</v>
      </c>
      <c r="F186" s="152">
        <f>IF(AND(MouserListTable[[#This Row],[Tag]]&lt;&gt;FilterSpecs!$F$12, MouserListTable[[#This Row],[Tag]]&lt;&gt;FilterSpecs!$F$9), MouserListTable[[#This Row],['#/Unit]]*FilterSpecs!$B$3+MouserListTable[[#This Row],[Extra Initial]],0)</f>
        <v>0</v>
      </c>
      <c r="G186" s="150"/>
      <c r="H186" s="150"/>
      <c r="I186" s="150" t="s">
        <v>2540</v>
      </c>
      <c r="J186" s="150"/>
      <c r="K186" s="154">
        <v>11.99</v>
      </c>
      <c r="L186" s="152" t="s">
        <v>1896</v>
      </c>
      <c r="M186" s="150" t="s">
        <v>2547</v>
      </c>
      <c r="N186" s="154">
        <f>MouserListTable[[#This Row],['# Initial]]*MouserListTable[[#This Row],[Price (USD)]]</f>
        <v>0</v>
      </c>
      <c r="O186" s="151">
        <v>2810</v>
      </c>
      <c r="P186" s="150">
        <f t="shared" si="2"/>
        <v>173</v>
      </c>
      <c r="Q186" s="150" t="s">
        <v>1884</v>
      </c>
      <c r="R18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485-2810</v>
      </c>
      <c r="S186" s="157" t="str">
        <f>HYPERLINK("https://www.mouser.com/ProductDetail/" &amp;MouserListTable[[#This Row],[Mouser SKU]])</f>
        <v>https://www.mouser.com/ProductDetail/485-2810</v>
      </c>
      <c r="T186" s="152">
        <v>0</v>
      </c>
      <c r="U186" s="152">
        <v>0</v>
      </c>
      <c r="V186" s="152">
        <v>0</v>
      </c>
      <c r="W186" s="152">
        <f>MouserListTable[[#This Row],['#/Unit]]*FilterSpecs!$C$3+MouserListTable[[#This Row],[Extra]]</f>
        <v>0</v>
      </c>
      <c r="X186" s="152">
        <f>IF(MouserListTable[[#This Row],[Tag]]=FilterSpecs!$F$7,MouserListTable[[#This Row],['#/Unit]]*MouserListTable[[#This Row],[Price (USD)]],0)</f>
        <v>0</v>
      </c>
      <c r="Y186" s="152">
        <f>MouserListTable[[#This Row],[Tot '#]]*MouserListTable[[#This Row],[Price (USD)]]</f>
        <v>0</v>
      </c>
      <c r="Z186" s="146"/>
      <c r="AA186" s="153" t="str">
        <f>InitialOrderTable2[[#This Row],[SKU]]</f>
        <v>485-2810</v>
      </c>
      <c r="AB186" s="153">
        <f>VALUE(InitialOrderTable2[[#This Row],['# Initial]])</f>
        <v>0</v>
      </c>
    </row>
    <row r="187" spans="1:36" s="153" customFormat="1" x14ac:dyDescent="0.25">
      <c r="A187" s="97" t="s">
        <v>887</v>
      </c>
      <c r="B187" s="97" t="s">
        <v>9</v>
      </c>
      <c r="C187" s="150" t="s">
        <v>1884</v>
      </c>
      <c r="D187" s="120" t="str">
        <f>IF(MouserListTable[[#This Row],[Vendor]]=FilterSpecs!$A$8,MouserListTable[[#This Row],[Mouser SKU]], MouserListTable[[#This Row],[Supplier SKU]])</f>
        <v>485-2649</v>
      </c>
      <c r="E187" s="152">
        <f>MouserListTable[[#This Row],[Tot '#]]-MouserListTable[[#This Row],['# Initial]]</f>
        <v>0</v>
      </c>
      <c r="F187" s="152">
        <f>IF(AND(MouserListTable[[#This Row],[Tag]]&lt;&gt;FilterSpecs!$F$12, MouserListTable[[#This Row],[Tag]]&lt;&gt;FilterSpecs!$F$9), MouserListTable[[#This Row],['#/Unit]]*FilterSpecs!$B$3+MouserListTable[[#This Row],[Extra Initial]],0)</f>
        <v>5</v>
      </c>
      <c r="G187" s="150"/>
      <c r="H187" s="150"/>
      <c r="I187" s="150" t="s">
        <v>2541</v>
      </c>
      <c r="J187" s="150"/>
      <c r="K187" s="154">
        <v>19.95</v>
      </c>
      <c r="L187" s="152" t="s">
        <v>1897</v>
      </c>
      <c r="M187" s="150" t="s">
        <v>2548</v>
      </c>
      <c r="N187" s="154">
        <f>MouserListTable[[#This Row],['# Initial]]*MouserListTable[[#This Row],[Price (USD)]]</f>
        <v>99.75</v>
      </c>
      <c r="O187" s="151">
        <v>2649</v>
      </c>
      <c r="P187" s="150">
        <f t="shared" si="2"/>
        <v>174</v>
      </c>
      <c r="Q187" s="150" t="s">
        <v>1884</v>
      </c>
      <c r="R18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485-2649</v>
      </c>
      <c r="S187" s="157" t="str">
        <f>HYPERLINK("https://www.mouser.com/ProductDetail/" &amp;MouserListTable[[#This Row],[Mouser SKU]])</f>
        <v>https://www.mouser.com/ProductDetail/485-2649</v>
      </c>
      <c r="T187" s="152">
        <v>1</v>
      </c>
      <c r="U187" s="152">
        <v>0</v>
      </c>
      <c r="V187" s="152">
        <v>0</v>
      </c>
      <c r="W187" s="152">
        <f>MouserListTable[[#This Row],['#/Unit]]*FilterSpecs!$C$3+MouserListTable[[#This Row],[Extra]]</f>
        <v>5</v>
      </c>
      <c r="X187" s="152">
        <f>IF(MouserListTable[[#This Row],[Tag]]=FilterSpecs!$F$7,MouserListTable[[#This Row],['#/Unit]]*MouserListTable[[#This Row],[Price (USD)]],0)</f>
        <v>19.95</v>
      </c>
      <c r="Y187" s="152">
        <f>MouserListTable[[#This Row],[Tot '#]]*MouserListTable[[#This Row],[Price (USD)]]</f>
        <v>99.75</v>
      </c>
      <c r="Z187" s="146"/>
      <c r="AA187" s="153" t="str">
        <f>InitialOrderTable2[[#This Row],[SKU]]</f>
        <v>485-2649</v>
      </c>
      <c r="AB187" s="153">
        <f>VALUE(InitialOrderTable2[[#This Row],['# Initial]])</f>
        <v>5</v>
      </c>
    </row>
    <row r="188" spans="1:36" s="153" customFormat="1" x14ac:dyDescent="0.25">
      <c r="A188" s="97" t="s">
        <v>887</v>
      </c>
      <c r="B188" s="97" t="s">
        <v>9</v>
      </c>
      <c r="C188" s="150" t="s">
        <v>5</v>
      </c>
      <c r="D188" s="151" t="str">
        <f>IF(MouserListTable[[#This Row],[Vendor]]=FilterSpecs!$A$8,MouserListTable[[#This Row],[Mouser SKU]], MouserListTable[[#This Row],[Supplier SKU]])</f>
        <v>474-WRL-12579</v>
      </c>
      <c r="E188" s="152">
        <f>MouserListTable[[#This Row],[Tot '#]]-MouserListTable[[#This Row],['# Initial]]</f>
        <v>0</v>
      </c>
      <c r="F188" s="152">
        <f>IF(AND(MouserListTable[[#This Row],[Tag]]&lt;&gt;FilterSpecs!$F$12, MouserListTable[[#This Row],[Tag]]&lt;&gt;FilterSpecs!$F$9), MouserListTable[[#This Row],['#/Unit]]*FilterSpecs!$B$3+MouserListTable[[#This Row],[Extra Initial]],0)</f>
        <v>0</v>
      </c>
      <c r="G188" s="150" t="s">
        <v>2504</v>
      </c>
      <c r="H188" s="150" t="s">
        <v>2505</v>
      </c>
      <c r="I188" s="150" t="s">
        <v>2506</v>
      </c>
      <c r="J188" s="151">
        <v>1</v>
      </c>
      <c r="K188" s="154">
        <v>34.950000000000003</v>
      </c>
      <c r="L188" s="150" t="s">
        <v>1896</v>
      </c>
      <c r="M188" s="150"/>
      <c r="N188" s="154">
        <f>MouserListTable[[#This Row],['# Initial]]*MouserListTable[[#This Row],[Price (USD)]]</f>
        <v>0</v>
      </c>
      <c r="O188" s="151" t="s">
        <v>2503</v>
      </c>
      <c r="P188" s="150">
        <f t="shared" si="2"/>
        <v>175</v>
      </c>
      <c r="Q188" s="150" t="s">
        <v>5</v>
      </c>
      <c r="R18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474-WRL-12579</v>
      </c>
      <c r="S188" s="157" t="str">
        <f>HYPERLINK("https://www.mouser.com/ProductDetail/" &amp;MouserListTable[[#This Row],[Mouser SKU]])</f>
        <v>https://www.mouser.com/ProductDetail/474-WRL-12579</v>
      </c>
      <c r="T188" s="152">
        <v>0</v>
      </c>
      <c r="U188" s="152">
        <v>0</v>
      </c>
      <c r="V188" s="152">
        <v>0</v>
      </c>
      <c r="W188" s="152">
        <f>MouserListTable[[#This Row],['#/Unit]]*FilterSpecs!$C$3+MouserListTable[[#This Row],[Extra]]</f>
        <v>0</v>
      </c>
      <c r="X188" s="152">
        <f>IF(MouserListTable[[#This Row],[Tag]]=FilterSpecs!$F$7,MouserListTable[[#This Row],['#/Unit]]*MouserListTable[[#This Row],[Price (USD)]],0)</f>
        <v>0</v>
      </c>
      <c r="Y188" s="152">
        <f>MouserListTable[[#This Row],[Tot '#]]*MouserListTable[[#This Row],[Price (USD)]]</f>
        <v>0</v>
      </c>
      <c r="Z188" s="146"/>
      <c r="AA188" s="153" t="str">
        <f>InitialOrderTable2[[#This Row],[SKU]]</f>
        <v>474-WRL-12579</v>
      </c>
      <c r="AB188" s="153">
        <f>VALUE(InitialOrderTable2[[#This Row],['# Initial]])</f>
        <v>0</v>
      </c>
    </row>
    <row r="189" spans="1:36" s="153" customFormat="1" x14ac:dyDescent="0.25">
      <c r="A189" s="97" t="s">
        <v>887</v>
      </c>
      <c r="B189" s="97" t="s">
        <v>9</v>
      </c>
      <c r="C189" s="150" t="s">
        <v>5</v>
      </c>
      <c r="D189" s="151" t="str">
        <f>IF(MouserListTable[[#This Row],[Vendor]]=FilterSpecs!$A$8,MouserListTable[[#This Row],[Mouser SKU]], MouserListTable[[#This Row],[Supplier SKU]])</f>
        <v>474-WRL-11048</v>
      </c>
      <c r="E189" s="152">
        <f>MouserListTable[[#This Row],[Tot '#]]-MouserListTable[[#This Row],['# Initial]]</f>
        <v>0</v>
      </c>
      <c r="F189" s="152">
        <f>IF(AND(MouserListTable[[#This Row],[Tag]]&lt;&gt;FilterSpecs!$F$12, MouserListTable[[#This Row],[Tag]]&lt;&gt;FilterSpecs!$F$9), MouserListTable[[#This Row],['#/Unit]]*FilterSpecs!$B$3+MouserListTable[[#This Row],[Extra Initial]],0)</f>
        <v>0</v>
      </c>
      <c r="G189" s="150" t="s">
        <v>2508</v>
      </c>
      <c r="H189" s="150" t="s">
        <v>2509</v>
      </c>
      <c r="I189" s="150" t="s">
        <v>2510</v>
      </c>
      <c r="J189" s="151">
        <v>1</v>
      </c>
      <c r="K189" s="154">
        <v>34.950000000000003</v>
      </c>
      <c r="L189" s="150" t="s">
        <v>1896</v>
      </c>
      <c r="M189" s="150"/>
      <c r="N189" s="154">
        <f>MouserListTable[[#This Row],['# Initial]]*MouserListTable[[#This Row],[Price (USD)]]</f>
        <v>0</v>
      </c>
      <c r="O189" s="151" t="s">
        <v>2507</v>
      </c>
      <c r="P189" s="150">
        <f t="shared" si="2"/>
        <v>176</v>
      </c>
      <c r="Q189" s="150" t="s">
        <v>5</v>
      </c>
      <c r="R18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474-WRL-11048</v>
      </c>
      <c r="S189" s="157" t="str">
        <f>HYPERLINK("https://www.mouser.com/ProductDetail/" &amp;MouserListTable[[#This Row],[Mouser SKU]])</f>
        <v>https://www.mouser.com/ProductDetail/474-WRL-11048</v>
      </c>
      <c r="T189" s="152">
        <v>0</v>
      </c>
      <c r="U189" s="152">
        <v>0</v>
      </c>
      <c r="V189" s="152">
        <v>0</v>
      </c>
      <c r="W189" s="152">
        <f>MouserListTable[[#This Row],['#/Unit]]*FilterSpecs!$C$3+MouserListTable[[#This Row],[Extra]]</f>
        <v>0</v>
      </c>
      <c r="X189" s="152">
        <f>IF(MouserListTable[[#This Row],[Tag]]=FilterSpecs!$F$7,MouserListTable[[#This Row],['#/Unit]]*MouserListTable[[#This Row],[Price (USD)]],0)</f>
        <v>0</v>
      </c>
      <c r="Y189" s="152">
        <f>MouserListTable[[#This Row],[Tot '#]]*MouserListTable[[#This Row],[Price (USD)]]</f>
        <v>0</v>
      </c>
      <c r="Z189" s="146"/>
      <c r="AA189" s="153" t="str">
        <f>InitialOrderTable2[[#This Row],[SKU]]</f>
        <v>474-WRL-11048</v>
      </c>
      <c r="AB189" s="153">
        <f>VALUE(InitialOrderTable2[[#This Row],['# Initial]])</f>
        <v>0</v>
      </c>
    </row>
    <row r="190" spans="1:36" s="153" customFormat="1" x14ac:dyDescent="0.25">
      <c r="A190" s="150" t="s">
        <v>887</v>
      </c>
      <c r="B190" s="150" t="s">
        <v>9</v>
      </c>
      <c r="C190" s="150" t="s">
        <v>5</v>
      </c>
      <c r="D190" s="151" t="str">
        <f>IF(MouserListTable[[#This Row],[Vendor]]=FilterSpecs!$A$8,MouserListTable[[#This Row],[Mouser SKU]], MouserListTable[[#This Row],[Supplier SKU]])</f>
        <v>474-WRL-11320</v>
      </c>
      <c r="E190" s="152">
        <f>MouserListTable[[#This Row],[Tot '#]]-MouserListTable[[#This Row],['# Initial]]</f>
        <v>0</v>
      </c>
      <c r="F190" s="152">
        <f>IF(AND(MouserListTable[[#This Row],[Tag]]&lt;&gt;FilterSpecs!$F$12, MouserListTable[[#This Row],[Tag]]&lt;&gt;FilterSpecs!$F$9), MouserListTable[[#This Row],['#/Unit]]*FilterSpecs!$B$3+MouserListTable[[#This Row],[Extra Initial]],0)</f>
        <v>5</v>
      </c>
      <c r="G190" s="150" t="s">
        <v>2512</v>
      </c>
      <c r="H190" s="150" t="s">
        <v>2513</v>
      </c>
      <c r="I190" s="150" t="s">
        <v>2514</v>
      </c>
      <c r="J190" s="151"/>
      <c r="K190" s="154">
        <v>5</v>
      </c>
      <c r="L190" s="150" t="s">
        <v>1897</v>
      </c>
      <c r="M190" s="151"/>
      <c r="N190" s="154">
        <f>MouserListTable[[#This Row],['# Initial]]*MouserListTable[[#This Row],[Price (USD)]]</f>
        <v>25</v>
      </c>
      <c r="O190" s="151" t="s">
        <v>2511</v>
      </c>
      <c r="P190" s="150">
        <f t="shared" si="2"/>
        <v>177</v>
      </c>
      <c r="Q190" s="150" t="s">
        <v>5</v>
      </c>
      <c r="R19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474-WRL-11320</v>
      </c>
      <c r="S190" s="157" t="str">
        <f>HYPERLINK("https://www.mouser.com/ProductDetail/" &amp;MouserListTable[[#This Row],[Mouser SKU]])</f>
        <v>https://www.mouser.com/ProductDetail/474-WRL-11320</v>
      </c>
      <c r="T190" s="152">
        <v>1</v>
      </c>
      <c r="U190" s="152">
        <v>0</v>
      </c>
      <c r="V190" s="152">
        <v>0</v>
      </c>
      <c r="W190" s="152">
        <f>MouserListTable[[#This Row],['#/Unit]]*FilterSpecs!$C$3+MouserListTable[[#This Row],[Extra]]</f>
        <v>5</v>
      </c>
      <c r="X190" s="152">
        <f>IF(MouserListTable[[#This Row],[Tag]]=FilterSpecs!$F$7,MouserListTable[[#This Row],['#/Unit]]*MouserListTable[[#This Row],[Price (USD)]],0)</f>
        <v>5</v>
      </c>
      <c r="Y190" s="152">
        <f>MouserListTable[[#This Row],[Tot '#]]*MouserListTable[[#This Row],[Price (USD)]]</f>
        <v>25</v>
      </c>
      <c r="Z190" s="146"/>
    </row>
    <row r="191" spans="1:36" s="153" customFormat="1" x14ac:dyDescent="0.25">
      <c r="A191" s="150" t="s">
        <v>887</v>
      </c>
      <c r="B191" s="150" t="s">
        <v>9</v>
      </c>
      <c r="C191" s="150" t="s">
        <v>5</v>
      </c>
      <c r="D191" s="151" t="str">
        <f>IF(MouserListTable[[#This Row],[Vendor]]=FilterSpecs!$A$8,MouserListTable[[#This Row],[Mouser SKU]], MouserListTable[[#This Row],[Supplier SKU]])</f>
        <v>474-WRL-13287</v>
      </c>
      <c r="E191" s="152">
        <f>MouserListTable[[#This Row],[Tot '#]]-MouserListTable[[#This Row],['# Initial]]</f>
        <v>0</v>
      </c>
      <c r="F191" s="152">
        <f>IF(AND(MouserListTable[[#This Row],[Tag]]&lt;&gt;FilterSpecs!$F$12, MouserListTable[[#This Row],[Tag]]&lt;&gt;FilterSpecs!$F$9), MouserListTable[[#This Row],['#/Unit]]*FilterSpecs!$B$3+MouserListTable[[#This Row],[Extra Initial]],0)</f>
        <v>5</v>
      </c>
      <c r="G191" s="150" t="s">
        <v>2516</v>
      </c>
      <c r="H191" s="150" t="s">
        <v>2517</v>
      </c>
      <c r="I191" s="150" t="s">
        <v>2518</v>
      </c>
      <c r="J191" s="151">
        <v>1</v>
      </c>
      <c r="K191" s="154">
        <v>14.95</v>
      </c>
      <c r="L191" s="150" t="s">
        <v>1897</v>
      </c>
      <c r="M191" s="151"/>
      <c r="N191" s="154">
        <f>MouserListTable[[#This Row],['# Initial]]*MouserListTable[[#This Row],[Price (USD)]]</f>
        <v>74.75</v>
      </c>
      <c r="O191" s="151" t="s">
        <v>2515</v>
      </c>
      <c r="P191" s="150">
        <f t="shared" si="2"/>
        <v>178</v>
      </c>
      <c r="Q191" s="150" t="s">
        <v>5</v>
      </c>
      <c r="R19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474-WRL-13287</v>
      </c>
      <c r="S191" s="157" t="str">
        <f>HYPERLINK("https://www.mouser.com/ProductDetail/" &amp;MouserListTable[[#This Row],[Mouser SKU]])</f>
        <v>https://www.mouser.com/ProductDetail/474-WRL-13287</v>
      </c>
      <c r="T191" s="152">
        <v>1</v>
      </c>
      <c r="U191" s="152">
        <v>0</v>
      </c>
      <c r="V191" s="152">
        <v>0</v>
      </c>
      <c r="W191" s="152">
        <f>MouserListTable[[#This Row],['#/Unit]]*FilterSpecs!$C$3+MouserListTable[[#This Row],[Extra]]</f>
        <v>5</v>
      </c>
      <c r="X191" s="152">
        <f>IF(MouserListTable[[#This Row],[Tag]]=FilterSpecs!$F$7,MouserListTable[[#This Row],['#/Unit]]*MouserListTable[[#This Row],[Price (USD)]],0)</f>
        <v>14.95</v>
      </c>
      <c r="Y191" s="152">
        <f>MouserListTable[[#This Row],[Tot '#]]*MouserListTable[[#This Row],[Price (USD)]]</f>
        <v>74.75</v>
      </c>
      <c r="Z191" s="146"/>
      <c r="AA191" s="153" t="str">
        <f>InitialOrderTable2[[#This Row],[SKU]]</f>
        <v>474-WRL-13287</v>
      </c>
      <c r="AB191" s="153">
        <f>VALUE(InitialOrderTable2[[#This Row],['# Initial]])</f>
        <v>5</v>
      </c>
    </row>
    <row r="192" spans="1:36" s="153" customFormat="1" x14ac:dyDescent="0.25">
      <c r="A192" s="150" t="s">
        <v>888</v>
      </c>
      <c r="B192" s="150" t="s">
        <v>1592</v>
      </c>
      <c r="C192" s="150" t="s">
        <v>5</v>
      </c>
      <c r="D192" s="151" t="str">
        <f>IF(MouserListTable[[#This Row],[Vendor]]=FilterSpecs!$A$8,MouserListTable[[#This Row],[Mouser SKU]], MouserListTable[[#This Row],[Supplier SKU]])</f>
        <v>474-KIT-11591</v>
      </c>
      <c r="E192" s="152">
        <f>MouserListTable[[#This Row],[Tot '#]]-MouserListTable[[#This Row],['# Initial]]</f>
        <v>1</v>
      </c>
      <c r="F192" s="152">
        <f>IF(AND(MouserListTable[[#This Row],[Tag]]&lt;&gt;FilterSpecs!$F$12, MouserListTable[[#This Row],[Tag]]&lt;&gt;FilterSpecs!$F$9), MouserListTable[[#This Row],['#/Unit]]*FilterSpecs!$B$3+MouserListTable[[#This Row],[Extra Initial]],0)</f>
        <v>0</v>
      </c>
      <c r="G192" s="150" t="s">
        <v>1534</v>
      </c>
      <c r="H192" s="150" t="s">
        <v>1535</v>
      </c>
      <c r="I192" s="150" t="s">
        <v>1536</v>
      </c>
      <c r="J192" s="150">
        <v>1</v>
      </c>
      <c r="K192" s="154">
        <v>9.9499999999999993</v>
      </c>
      <c r="L192" s="150" t="s">
        <v>2461</v>
      </c>
      <c r="M192" s="151"/>
      <c r="N192" s="154">
        <f>MouserListTable[[#This Row],['# Initial]]*MouserListTable[[#This Row],[Price (USD)]]</f>
        <v>0</v>
      </c>
      <c r="O192" s="151" t="s">
        <v>1533</v>
      </c>
      <c r="P192" s="150">
        <f t="shared" si="2"/>
        <v>179</v>
      </c>
      <c r="Q192" s="150" t="s">
        <v>5</v>
      </c>
      <c r="R19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474-KIT-11591</v>
      </c>
      <c r="S192" s="157" t="str">
        <f>HYPERLINK("https://www.mouser.com/ProductDetail/" &amp;MouserListTable[[#This Row],[Mouser SKU]])</f>
        <v>https://www.mouser.com/ProductDetail/474-KIT-11591</v>
      </c>
      <c r="T192" s="152">
        <v>0</v>
      </c>
      <c r="U192" s="152">
        <v>1</v>
      </c>
      <c r="V192" s="152">
        <v>0</v>
      </c>
      <c r="W192" s="152">
        <f>MouserListTable[[#This Row],['#/Unit]]*FilterSpecs!$C$3+MouserListTable[[#This Row],[Extra]]</f>
        <v>1</v>
      </c>
      <c r="X192" s="152">
        <f>IF(MouserListTable[[#This Row],[Tag]]=FilterSpecs!$F$7,MouserListTable[[#This Row],['#/Unit]]*MouserListTable[[#This Row],[Price (USD)]],0)</f>
        <v>0</v>
      </c>
      <c r="Y192" s="152">
        <f>MouserListTable[[#This Row],[Tot '#]]*MouserListTable[[#This Row],[Price (USD)]]</f>
        <v>9.9499999999999993</v>
      </c>
      <c r="Z192" s="146"/>
      <c r="AA192" s="153" t="str">
        <f>InitialOrderTable2[[#This Row],[SKU]]</f>
        <v>474-KIT-11591</v>
      </c>
      <c r="AB192" s="153">
        <f>VALUE(InitialOrderTable2[[#This Row],['# Initial]])</f>
        <v>0</v>
      </c>
    </row>
    <row r="193" spans="1:28" s="153" customFormat="1" x14ac:dyDescent="0.25">
      <c r="A193" s="150" t="s">
        <v>888</v>
      </c>
      <c r="B193" s="150" t="s">
        <v>1592</v>
      </c>
      <c r="C193" s="150" t="s">
        <v>5</v>
      </c>
      <c r="D193" s="151" t="str">
        <f>IF(MouserListTable[[#This Row],[Vendor]]=FilterSpecs!$A$8,MouserListTable[[#This Row],[Mouser SKU]], MouserListTable[[#This Row],[Supplier SKU]])</f>
        <v>474-DEV-09215</v>
      </c>
      <c r="E193" s="152">
        <f>MouserListTable[[#This Row],[Tot '#]]-MouserListTable[[#This Row],['# Initial]]</f>
        <v>1</v>
      </c>
      <c r="F193" s="152">
        <f>IF(AND(MouserListTable[[#This Row],[Tag]]&lt;&gt;FilterSpecs!$F$12, MouserListTable[[#This Row],[Tag]]&lt;&gt;FilterSpecs!$F$9), MouserListTable[[#This Row],['#/Unit]]*FilterSpecs!$B$3+MouserListTable[[#This Row],[Extra Initial]],0)</f>
        <v>0</v>
      </c>
      <c r="G193" s="150" t="s">
        <v>1530</v>
      </c>
      <c r="H193" s="150" t="s">
        <v>1531</v>
      </c>
      <c r="I193" s="150" t="s">
        <v>1532</v>
      </c>
      <c r="J193" s="150">
        <v>1</v>
      </c>
      <c r="K193" s="154">
        <v>1.95</v>
      </c>
      <c r="L193" s="150" t="s">
        <v>1896</v>
      </c>
      <c r="M193" s="151"/>
      <c r="N193" s="154">
        <f>MouserListTable[[#This Row],['# Initial]]*MouserListTable[[#This Row],[Price (USD)]]</f>
        <v>0</v>
      </c>
      <c r="O193" s="151" t="s">
        <v>1529</v>
      </c>
      <c r="P193" s="150">
        <f t="shared" si="2"/>
        <v>180</v>
      </c>
      <c r="Q193" s="150" t="s">
        <v>5</v>
      </c>
      <c r="R19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474-DEV-09215</v>
      </c>
      <c r="S193" s="157" t="str">
        <f>HYPERLINK("https://www.mouser.com/ProductDetail/" &amp;MouserListTable[[#This Row],[Mouser SKU]])</f>
        <v>https://www.mouser.com/ProductDetail/474-DEV-09215</v>
      </c>
      <c r="T193" s="152">
        <v>0</v>
      </c>
      <c r="U193" s="152">
        <v>1</v>
      </c>
      <c r="V193" s="152">
        <v>0</v>
      </c>
      <c r="W193" s="152">
        <f>MouserListTable[[#This Row],['#/Unit]]*FilterSpecs!$C$3+MouserListTable[[#This Row],[Extra]]</f>
        <v>1</v>
      </c>
      <c r="X193" s="152">
        <f>IF(MouserListTable[[#This Row],[Tag]]=FilterSpecs!$F$7,MouserListTable[[#This Row],['#/Unit]]*MouserListTable[[#This Row],[Price (USD)]],0)</f>
        <v>0</v>
      </c>
      <c r="Y193" s="152">
        <f>MouserListTable[[#This Row],[Tot '#]]*MouserListTable[[#This Row],[Price (USD)]]</f>
        <v>1.95</v>
      </c>
      <c r="Z193" s="146"/>
      <c r="AA193" s="153" t="str">
        <f>InitialOrderTable2[[#This Row],[SKU]]</f>
        <v>474-DEV-09215</v>
      </c>
      <c r="AB193" s="153">
        <f>VALUE(InitialOrderTable2[[#This Row],['# Initial]])</f>
        <v>0</v>
      </c>
    </row>
    <row r="194" spans="1:28" s="153" customFormat="1" x14ac:dyDescent="0.25">
      <c r="A194" s="150" t="s">
        <v>888</v>
      </c>
      <c r="B194" s="150" t="s">
        <v>12</v>
      </c>
      <c r="C194" s="150" t="s">
        <v>5</v>
      </c>
      <c r="D194" s="151" t="str">
        <f>IF(MouserListTable[[#This Row],[Vendor]]=FilterSpecs!$A$8,MouserListTable[[#This Row],[Mouser SKU]], MouserListTable[[#This Row],[Supplier SKU]])</f>
        <v>474-BOB-12009</v>
      </c>
      <c r="E194" s="152">
        <f>MouserListTable[[#This Row],[Tot '#]]-MouserListTable[[#This Row],['# Initial]]</f>
        <v>0</v>
      </c>
      <c r="F194" s="152">
        <f>IF(AND(MouserListTable[[#This Row],[Tag]]&lt;&gt;FilterSpecs!$F$12, MouserListTable[[#This Row],[Tag]]&lt;&gt;FilterSpecs!$F$9), MouserListTable[[#This Row],['#/Unit]]*FilterSpecs!$B$3+MouserListTable[[#This Row],[Extra Initial]],0)</f>
        <v>15</v>
      </c>
      <c r="G194" s="150" t="s">
        <v>258</v>
      </c>
      <c r="H194" s="150" t="s">
        <v>259</v>
      </c>
      <c r="I194" s="150" t="s">
        <v>260</v>
      </c>
      <c r="J194" s="150">
        <v>1</v>
      </c>
      <c r="K194" s="154">
        <v>2.95</v>
      </c>
      <c r="L194" s="150" t="s">
        <v>1897</v>
      </c>
      <c r="M194" s="150"/>
      <c r="N194" s="154">
        <f>MouserListTable[[#This Row],['# Initial]]*MouserListTable[[#This Row],[Price (USD)]]</f>
        <v>44.25</v>
      </c>
      <c r="O194" s="151" t="s">
        <v>257</v>
      </c>
      <c r="P194" s="150">
        <f t="shared" si="2"/>
        <v>181</v>
      </c>
      <c r="Q194" s="150" t="s">
        <v>5</v>
      </c>
      <c r="R19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474-BOB-12009</v>
      </c>
      <c r="S194" s="157" t="str">
        <f>HYPERLINK("https://www.mouser.com/ProductDetail/" &amp;MouserListTable[[#This Row],[Mouser SKU]])</f>
        <v>https://www.mouser.com/ProductDetail/474-BOB-12009</v>
      </c>
      <c r="T194" s="152">
        <v>3</v>
      </c>
      <c r="U194" s="152">
        <v>0</v>
      </c>
      <c r="V194" s="152">
        <v>0</v>
      </c>
      <c r="W194" s="152">
        <f>MouserListTable[[#This Row],['#/Unit]]*FilterSpecs!$C$3+MouserListTable[[#This Row],[Extra]]</f>
        <v>15</v>
      </c>
      <c r="X194" s="152">
        <f>IF(MouserListTable[[#This Row],[Tag]]=FilterSpecs!$F$7,MouserListTable[[#This Row],['#/Unit]]*MouserListTable[[#This Row],[Price (USD)]],0)</f>
        <v>8.8500000000000014</v>
      </c>
      <c r="Y194" s="152">
        <f>MouserListTable[[#This Row],[Tot '#]]*MouserListTable[[#This Row],[Price (USD)]]</f>
        <v>44.25</v>
      </c>
      <c r="Z194" s="146"/>
      <c r="AA194" s="153" t="str">
        <f>InitialOrderTable2[[#This Row],[SKU]]</f>
        <v>474-BOB-12009</v>
      </c>
      <c r="AB194" s="153">
        <f>VALUE(InitialOrderTable2[[#This Row],['# Initial]])</f>
        <v>15</v>
      </c>
    </row>
    <row r="195" spans="1:28" s="153" customFormat="1" x14ac:dyDescent="0.25">
      <c r="A195" s="150" t="s">
        <v>888</v>
      </c>
      <c r="B195" s="150" t="s">
        <v>12</v>
      </c>
      <c r="C195" s="150" t="s">
        <v>5</v>
      </c>
      <c r="D195" s="151" t="str">
        <f>IF(MouserListTable[[#This Row],[Vendor]]=FilterSpecs!$A$8,MouserListTable[[#This Row],[Mouser SKU]], MouserListTable[[#This Row],[Supplier SKU]])</f>
        <v>474-BOB-11955</v>
      </c>
      <c r="E195" s="152">
        <f>MouserListTable[[#This Row],[Tot '#]]-MouserListTable[[#This Row],['# Initial]]</f>
        <v>0</v>
      </c>
      <c r="F195" s="152">
        <f>IF(AND(MouserListTable[[#This Row],[Tag]]&lt;&gt;FilterSpecs!$F$12, MouserListTable[[#This Row],[Tag]]&lt;&gt;FilterSpecs!$F$9), MouserListTable[[#This Row],['#/Unit]]*FilterSpecs!$B$3+MouserListTable[[#This Row],[Extra Initial]],0)</f>
        <v>5</v>
      </c>
      <c r="G195" s="150" t="s">
        <v>287</v>
      </c>
      <c r="H195" s="150" t="s">
        <v>288</v>
      </c>
      <c r="I195" s="150" t="s">
        <v>289</v>
      </c>
      <c r="J195" s="150">
        <v>1</v>
      </c>
      <c r="K195" s="154">
        <v>6.95</v>
      </c>
      <c r="L195" s="150" t="s">
        <v>1897</v>
      </c>
      <c r="M195" s="150"/>
      <c r="N195" s="154">
        <f>MouserListTable[[#This Row],['# Initial]]*MouserListTable[[#This Row],[Price (USD)]]</f>
        <v>34.75</v>
      </c>
      <c r="O195" s="151" t="s">
        <v>286</v>
      </c>
      <c r="P195" s="150">
        <f t="shared" si="2"/>
        <v>182</v>
      </c>
      <c r="Q195" s="150" t="s">
        <v>5</v>
      </c>
      <c r="R19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474-BOB-11955</v>
      </c>
      <c r="S195" s="157" t="str">
        <f>HYPERLINK("https://www.mouser.com/ProductDetail/" &amp;MouserListTable[[#This Row],[Mouser SKU]])</f>
        <v>https://www.mouser.com/ProductDetail/474-BOB-11955</v>
      </c>
      <c r="T195" s="152">
        <v>1</v>
      </c>
      <c r="U195" s="152">
        <v>0</v>
      </c>
      <c r="V195" s="152">
        <v>0</v>
      </c>
      <c r="W195" s="152">
        <f>MouserListTable[[#This Row],['#/Unit]]*FilterSpecs!$C$3+MouserListTable[[#This Row],[Extra]]</f>
        <v>5</v>
      </c>
      <c r="X195" s="152">
        <f>IF(MouserListTable[[#This Row],[Tag]]=FilterSpecs!$F$7,MouserListTable[[#This Row],['#/Unit]]*MouserListTable[[#This Row],[Price (USD)]],0)</f>
        <v>6.95</v>
      </c>
      <c r="Y195" s="152">
        <f>MouserListTable[[#This Row],[Tot '#]]*MouserListTable[[#This Row],[Price (USD)]]</f>
        <v>34.75</v>
      </c>
      <c r="Z195" s="146"/>
      <c r="AA195" s="153" t="str">
        <f>InitialOrderTable2[[#This Row],[SKU]]</f>
        <v>474-BOB-11955</v>
      </c>
      <c r="AB195" s="153">
        <f>VALUE(InitialOrderTable2[[#This Row],['# Initial]])</f>
        <v>5</v>
      </c>
    </row>
    <row r="196" spans="1:28" s="104" customFormat="1" x14ac:dyDescent="0.25">
      <c r="A196" s="150" t="s">
        <v>888</v>
      </c>
      <c r="B196" s="150" t="s">
        <v>12</v>
      </c>
      <c r="C196" s="150" t="s">
        <v>5</v>
      </c>
      <c r="D196" s="151" t="str">
        <f>IF(MouserListTable[[#This Row],[Vendor]]=FilterSpecs!$A$8,MouserListTable[[#This Row],[Mouser SKU]], MouserListTable[[#This Row],[Supplier SKU]])</f>
        <v>474-BOB-11771</v>
      </c>
      <c r="E196" s="152">
        <f>MouserListTable[[#This Row],[Tot '#]]-MouserListTable[[#This Row],['# Initial]]</f>
        <v>0</v>
      </c>
      <c r="F196" s="152">
        <f>IF(AND(MouserListTable[[#This Row],[Tag]]&lt;&gt;FilterSpecs!$F$12, MouserListTable[[#This Row],[Tag]]&lt;&gt;FilterSpecs!$F$9), MouserListTable[[#This Row],['#/Unit]]*FilterSpecs!$B$3+MouserListTable[[#This Row],[Extra Initial]],0)</f>
        <v>5</v>
      </c>
      <c r="G196" s="150" t="s">
        <v>291</v>
      </c>
      <c r="H196" s="150" t="s">
        <v>292</v>
      </c>
      <c r="I196" s="150" t="s">
        <v>209</v>
      </c>
      <c r="J196" s="150">
        <v>1</v>
      </c>
      <c r="K196" s="154">
        <v>3.95</v>
      </c>
      <c r="L196" s="150" t="s">
        <v>1897</v>
      </c>
      <c r="M196" s="150"/>
      <c r="N196" s="154">
        <f>MouserListTable[[#This Row],['# Initial]]*MouserListTable[[#This Row],[Price (USD)]]</f>
        <v>19.75</v>
      </c>
      <c r="O196" s="151" t="s">
        <v>290</v>
      </c>
      <c r="P196" s="150">
        <f t="shared" si="2"/>
        <v>183</v>
      </c>
      <c r="Q196" s="150" t="s">
        <v>5</v>
      </c>
      <c r="R19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474-BOB-11771</v>
      </c>
      <c r="S196" s="157" t="str">
        <f>HYPERLINK("https://www.mouser.com/ProductDetail/" &amp;MouserListTable[[#This Row],[Mouser SKU]])</f>
        <v>https://www.mouser.com/ProductDetail/474-BOB-11771</v>
      </c>
      <c r="T196" s="152">
        <v>1</v>
      </c>
      <c r="U196" s="152">
        <v>0</v>
      </c>
      <c r="V196" s="152">
        <v>0</v>
      </c>
      <c r="W196" s="152">
        <f>MouserListTable[[#This Row],['#/Unit]]*FilterSpecs!$C$3+MouserListTable[[#This Row],[Extra]]</f>
        <v>5</v>
      </c>
      <c r="X196" s="152">
        <f>IF(MouserListTable[[#This Row],[Tag]]=FilterSpecs!$F$7,MouserListTable[[#This Row],['#/Unit]]*MouserListTable[[#This Row],[Price (USD)]],0)</f>
        <v>3.95</v>
      </c>
      <c r="Y196" s="152">
        <f>MouserListTable[[#This Row],[Tot '#]]*MouserListTable[[#This Row],[Price (USD)]]</f>
        <v>19.75</v>
      </c>
      <c r="Z196" s="146"/>
      <c r="AA196" s="153" t="str">
        <f>InitialOrderTable2[[#This Row],[SKU]]</f>
        <v>474-BOB-11771</v>
      </c>
      <c r="AB196" s="153">
        <f>VALUE(InitialOrderTable2[[#This Row],['# Initial]])</f>
        <v>5</v>
      </c>
    </row>
    <row r="197" spans="1:28" s="104" customFormat="1" x14ac:dyDescent="0.25">
      <c r="A197" s="150" t="s">
        <v>888</v>
      </c>
      <c r="B197" s="150" t="s">
        <v>12</v>
      </c>
      <c r="C197" s="150" t="s">
        <v>5</v>
      </c>
      <c r="D197" s="151" t="str">
        <f>IF(MouserListTable[[#This Row],[Vendor]]=FilterSpecs!$A$8,MouserListTable[[#This Row],[Mouser SKU]], MouserListTable[[#This Row],[Supplier SKU]])</f>
        <v>474-BOB-12918</v>
      </c>
      <c r="E197" s="152">
        <f>MouserListTable[[#This Row],[Tot '#]]-MouserListTable[[#This Row],['# Initial]]</f>
        <v>0</v>
      </c>
      <c r="F197" s="152">
        <f>IF(AND(MouserListTable[[#This Row],[Tag]]&lt;&gt;FilterSpecs!$F$12, MouserListTable[[#This Row],[Tag]]&lt;&gt;FilterSpecs!$F$9), MouserListTable[[#This Row],['#/Unit]]*FilterSpecs!$B$3+MouserListTable[[#This Row],[Extra Initial]],0)</f>
        <v>5</v>
      </c>
      <c r="G197" s="150" t="s">
        <v>338</v>
      </c>
      <c r="H197" s="150" t="s">
        <v>339</v>
      </c>
      <c r="I197" s="150" t="s">
        <v>206</v>
      </c>
      <c r="J197" s="150">
        <v>1</v>
      </c>
      <c r="K197" s="154">
        <v>4.95</v>
      </c>
      <c r="L197" s="150" t="s">
        <v>1897</v>
      </c>
      <c r="M197" s="150"/>
      <c r="N197" s="154">
        <f>MouserListTable[[#This Row],['# Initial]]*MouserListTable[[#This Row],[Price (USD)]]</f>
        <v>24.75</v>
      </c>
      <c r="O197" s="151" t="s">
        <v>337</v>
      </c>
      <c r="P197" s="150">
        <f t="shared" si="2"/>
        <v>184</v>
      </c>
      <c r="Q197" s="150" t="s">
        <v>5</v>
      </c>
      <c r="R19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474-BOB-12918</v>
      </c>
      <c r="S197" s="157" t="str">
        <f>HYPERLINK("https://www.mouser.com/ProductDetail/" &amp;MouserListTable[[#This Row],[Mouser SKU]])</f>
        <v>https://www.mouser.com/ProductDetail/474-BOB-12918</v>
      </c>
      <c r="T197" s="152">
        <v>1</v>
      </c>
      <c r="U197" s="152">
        <v>0</v>
      </c>
      <c r="V197" s="152">
        <v>0</v>
      </c>
      <c r="W197" s="152">
        <f>MouserListTable[[#This Row],['#/Unit]]*FilterSpecs!$C$3+MouserListTable[[#This Row],[Extra]]</f>
        <v>5</v>
      </c>
      <c r="X197" s="152">
        <f>IF(MouserListTable[[#This Row],[Tag]]=FilterSpecs!$F$7,MouserListTable[[#This Row],['#/Unit]]*MouserListTable[[#This Row],[Price (USD)]],0)</f>
        <v>4.95</v>
      </c>
      <c r="Y197" s="152">
        <f>MouserListTable[[#This Row],[Tot '#]]*MouserListTable[[#This Row],[Price (USD)]]</f>
        <v>24.75</v>
      </c>
      <c r="Z197" s="146"/>
      <c r="AA197" s="153" t="str">
        <f>InitialOrderTable2[[#This Row],[SKU]]</f>
        <v>474-BOB-12918</v>
      </c>
      <c r="AB197" s="153">
        <f>VALUE(InitialOrderTable2[[#This Row],['# Initial]])</f>
        <v>5</v>
      </c>
    </row>
    <row r="198" spans="1:28" s="104" customFormat="1" x14ac:dyDescent="0.25">
      <c r="A198" s="97" t="s">
        <v>888</v>
      </c>
      <c r="B198" s="97" t="s">
        <v>12</v>
      </c>
      <c r="C198" s="150" t="s">
        <v>1884</v>
      </c>
      <c r="D198" s="151" t="str">
        <f>IF(MouserListTable[[#This Row],[Vendor]]=FilterSpecs!$A$8,MouserListTable[[#This Row],[Mouser SKU]], MouserListTable[[#This Row],[Supplier SKU]])</f>
        <v>485-935</v>
      </c>
      <c r="E198" s="152">
        <f>MouserListTable[[#This Row],[Tot '#]]-MouserListTable[[#This Row],['# Initial]]</f>
        <v>0</v>
      </c>
      <c r="F198" s="152">
        <f>IF(AND(MouserListTable[[#This Row],[Tag]]&lt;&gt;FilterSpecs!$F$12, MouserListTable[[#This Row],[Tag]]&lt;&gt;FilterSpecs!$F$9), MouserListTable[[#This Row],['#/Unit]]*FilterSpecs!$B$3+MouserListTable[[#This Row],[Extra Initial]],0)</f>
        <v>0</v>
      </c>
      <c r="G198" s="150"/>
      <c r="H198" s="150"/>
      <c r="I198" s="150" t="s">
        <v>2131</v>
      </c>
      <c r="J198" s="153"/>
      <c r="K198" s="118">
        <v>4.95</v>
      </c>
      <c r="L198" s="153" t="s">
        <v>1896</v>
      </c>
      <c r="M198" s="153"/>
      <c r="N198" s="154">
        <f>MouserListTable[[#This Row],['# Initial]]*MouserListTable[[#This Row],[Price (USD)]]</f>
        <v>0</v>
      </c>
      <c r="O198" s="151" t="s">
        <v>2130</v>
      </c>
      <c r="P198" s="150">
        <f t="shared" si="2"/>
        <v>185</v>
      </c>
      <c r="Q198" s="150" t="s">
        <v>1884</v>
      </c>
      <c r="R19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485-935</v>
      </c>
      <c r="S198" s="157" t="str">
        <f>HYPERLINK("https://www.mouser.com/ProductDetail/" &amp;MouserListTable[[#This Row],[Mouser SKU]])</f>
        <v>https://www.mouser.com/ProductDetail/485-935</v>
      </c>
      <c r="T198" s="152">
        <v>0</v>
      </c>
      <c r="U198" s="152">
        <v>0</v>
      </c>
      <c r="V198" s="152">
        <v>0</v>
      </c>
      <c r="W198" s="152">
        <f>MouserListTable[[#This Row],['#/Unit]]*FilterSpecs!$C$3+MouserListTable[[#This Row],[Extra]]</f>
        <v>0</v>
      </c>
      <c r="X198" s="152">
        <f>IF(MouserListTable[[#This Row],[Tag]]=FilterSpecs!$F$7,MouserListTable[[#This Row],['#/Unit]]*MouserListTable[[#This Row],[Price (USD)]],0)</f>
        <v>0</v>
      </c>
      <c r="Y198" s="152">
        <f>MouserListTable[[#This Row],[Tot '#]]*MouserListTable[[#This Row],[Price (USD)]]</f>
        <v>0</v>
      </c>
      <c r="Z198" s="146"/>
      <c r="AA198" s="153" t="str">
        <f>InitialOrderTable2[[#This Row],[SKU]]</f>
        <v>485-935</v>
      </c>
      <c r="AB198" s="153">
        <f>VALUE(InitialOrderTable2[[#This Row],['# Initial]])</f>
        <v>0</v>
      </c>
    </row>
    <row r="199" spans="1:28" s="104" customFormat="1" x14ac:dyDescent="0.25">
      <c r="A199" s="150" t="s">
        <v>888</v>
      </c>
      <c r="B199" s="97" t="s">
        <v>12</v>
      </c>
      <c r="C199" s="150" t="s">
        <v>1884</v>
      </c>
      <c r="D199" s="151" t="str">
        <f>IF(MouserListTable[[#This Row],[Vendor]]=FilterSpecs!$A$8,MouserListTable[[#This Row],[Mouser SKU]], MouserListTable[[#This Row],[Supplier SKU]])</f>
        <v>485-1895</v>
      </c>
      <c r="E199" s="152">
        <f>MouserListTable[[#This Row],[Tot '#]]-MouserListTable[[#This Row],['# Initial]]</f>
        <v>0</v>
      </c>
      <c r="F199" s="152">
        <f>IF(AND(MouserListTable[[#This Row],[Tag]]&lt;&gt;FilterSpecs!$F$12, MouserListTable[[#This Row],[Tag]]&lt;&gt;FilterSpecs!$F$9), MouserListTable[[#This Row],['#/Unit]]*FilterSpecs!$B$3+MouserListTable[[#This Row],[Extra Initial]],0)</f>
        <v>0</v>
      </c>
      <c r="G199" s="150"/>
      <c r="H199" s="150"/>
      <c r="I199" s="150" t="s">
        <v>2331</v>
      </c>
      <c r="J199" s="153"/>
      <c r="K199" s="118">
        <v>9.9499999999999993</v>
      </c>
      <c r="L199" s="97" t="s">
        <v>1896</v>
      </c>
      <c r="M199" s="153"/>
      <c r="N199" s="154">
        <f>MouserListTable[[#This Row],['# Initial]]*MouserListTable[[#This Row],[Price (USD)]]</f>
        <v>0</v>
      </c>
      <c r="O199" s="151" t="s">
        <v>2330</v>
      </c>
      <c r="P199" s="150">
        <f t="shared" si="2"/>
        <v>186</v>
      </c>
      <c r="Q199" s="150" t="s">
        <v>1884</v>
      </c>
      <c r="R19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485-1895</v>
      </c>
      <c r="S199" s="157" t="str">
        <f>HYPERLINK("https://www.mouser.com/ProductDetail/" &amp;MouserListTable[[#This Row],[Mouser SKU]])</f>
        <v>https://www.mouser.com/ProductDetail/485-1895</v>
      </c>
      <c r="T199" s="152">
        <v>0</v>
      </c>
      <c r="U199" s="152">
        <v>0</v>
      </c>
      <c r="V199" s="152">
        <v>0</v>
      </c>
      <c r="W199" s="152">
        <f>MouserListTable[[#This Row],['#/Unit]]*FilterSpecs!$C$3+MouserListTable[[#This Row],[Extra]]</f>
        <v>0</v>
      </c>
      <c r="X199" s="152">
        <f>IF(MouserListTable[[#This Row],[Tag]]=FilterSpecs!$F$7,MouserListTable[[#This Row],['#/Unit]]*MouserListTable[[#This Row],[Price (USD)]],0)</f>
        <v>0</v>
      </c>
      <c r="Y199" s="152">
        <f>MouserListTable[[#This Row],[Tot '#]]*MouserListTable[[#This Row],[Price (USD)]]</f>
        <v>0</v>
      </c>
      <c r="Z199" s="146"/>
      <c r="AA199" s="153" t="str">
        <f>InitialOrderTable2[[#This Row],[SKU]]</f>
        <v>485-1895</v>
      </c>
      <c r="AB199" s="153">
        <f>VALUE(InitialOrderTable2[[#This Row],['# Initial]])</f>
        <v>0</v>
      </c>
    </row>
    <row r="200" spans="1:28" x14ac:dyDescent="0.25">
      <c r="A200" s="150" t="s">
        <v>888</v>
      </c>
      <c r="B200" s="97" t="s">
        <v>12</v>
      </c>
      <c r="C200" s="150" t="s">
        <v>1884</v>
      </c>
      <c r="D200" s="151" t="str">
        <f>IF(MouserListTable[[#This Row],[Vendor]]=FilterSpecs!$A$8,MouserListTable[[#This Row],[Mouser SKU]], MouserListTable[[#This Row],[Supplier SKU]])</f>
        <v>485-1897</v>
      </c>
      <c r="E200" s="152">
        <f>MouserListTable[[#This Row],[Tot '#]]-MouserListTable[[#This Row],['# Initial]]</f>
        <v>0</v>
      </c>
      <c r="F200" s="152">
        <f>IF(AND(MouserListTable[[#This Row],[Tag]]&lt;&gt;FilterSpecs!$F$12, MouserListTable[[#This Row],[Tag]]&lt;&gt;FilterSpecs!$F$9), MouserListTable[[#This Row],['#/Unit]]*FilterSpecs!$B$3+MouserListTable[[#This Row],[Extra Initial]],0)</f>
        <v>0</v>
      </c>
      <c r="G200" s="150"/>
      <c r="H200" s="150"/>
      <c r="I200" s="150" t="s">
        <v>2333</v>
      </c>
      <c r="J200" s="153"/>
      <c r="K200" s="118">
        <v>5.95</v>
      </c>
      <c r="L200" s="97" t="s">
        <v>1896</v>
      </c>
      <c r="M200" s="153"/>
      <c r="N200" s="154">
        <f>MouserListTable[[#This Row],['# Initial]]*MouserListTable[[#This Row],[Price (USD)]]</f>
        <v>0</v>
      </c>
      <c r="O200" s="151" t="s">
        <v>2332</v>
      </c>
      <c r="P200" s="150">
        <f t="shared" si="2"/>
        <v>187</v>
      </c>
      <c r="Q200" s="150" t="s">
        <v>1884</v>
      </c>
      <c r="R20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485-1897</v>
      </c>
      <c r="S200" s="157" t="str">
        <f>HYPERLINK("https://www.mouser.com/ProductDetail/" &amp;MouserListTable[[#This Row],[Mouser SKU]])</f>
        <v>https://www.mouser.com/ProductDetail/485-1897</v>
      </c>
      <c r="T200" s="152">
        <v>0</v>
      </c>
      <c r="U200" s="152">
        <v>0</v>
      </c>
      <c r="V200" s="152">
        <v>0</v>
      </c>
      <c r="W200" s="152">
        <f>MouserListTable[[#This Row],['#/Unit]]*FilterSpecs!$C$3+MouserListTable[[#This Row],[Extra]]</f>
        <v>0</v>
      </c>
      <c r="X200" s="152">
        <f>IF(MouserListTable[[#This Row],[Tag]]=FilterSpecs!$F$7,MouserListTable[[#This Row],['#/Unit]]*MouserListTable[[#This Row],[Price (USD)]],0)</f>
        <v>0</v>
      </c>
      <c r="Y200" s="152">
        <f>MouserListTable[[#This Row],[Tot '#]]*MouserListTable[[#This Row],[Price (USD)]]</f>
        <v>0</v>
      </c>
      <c r="Z200" s="132"/>
      <c r="AA200" s="153" t="str">
        <f>InitialOrderTable2[[#This Row],[SKU]]</f>
        <v>485-1897</v>
      </c>
      <c r="AB200" s="153" t="s">
        <v>2573</v>
      </c>
    </row>
    <row r="201" spans="1:28" x14ac:dyDescent="0.25">
      <c r="A201" s="150" t="s">
        <v>888</v>
      </c>
      <c r="B201" s="97" t="s">
        <v>12</v>
      </c>
      <c r="C201" s="150" t="s">
        <v>5</v>
      </c>
      <c r="D201" s="151" t="str">
        <f>IF(MouserListTable[[#This Row],[Vendor]]=FilterSpecs!$A$8,MouserListTable[[#This Row],[Mouser SKU]], MouserListTable[[#This Row],[Supplier SKU]])</f>
        <v>474-BOB-00717</v>
      </c>
      <c r="E201" s="152">
        <f>MouserListTable[[#This Row],[Tot '#]]-MouserListTable[[#This Row],['# Initial]]</f>
        <v>0</v>
      </c>
      <c r="F201" s="152">
        <f>IF(AND(MouserListTable[[#This Row],[Tag]]&lt;&gt;FilterSpecs!$F$12, MouserListTable[[#This Row],[Tag]]&lt;&gt;FilterSpecs!$F$9), MouserListTable[[#This Row],['#/Unit]]*FilterSpecs!$B$3+MouserListTable[[#This Row],[Extra Initial]],0)</f>
        <v>0</v>
      </c>
      <c r="G201" s="150" t="s">
        <v>1269</v>
      </c>
      <c r="H201" s="150" t="s">
        <v>1270</v>
      </c>
      <c r="I201" s="150" t="s">
        <v>1271</v>
      </c>
      <c r="J201" s="153">
        <v>1</v>
      </c>
      <c r="K201" s="118">
        <v>0.95</v>
      </c>
      <c r="L201" s="97" t="s">
        <v>1896</v>
      </c>
      <c r="M201" s="153"/>
      <c r="N201" s="154">
        <f>MouserListTable[[#This Row],['# Initial]]*MouserListTable[[#This Row],[Price (USD)]]</f>
        <v>0</v>
      </c>
      <c r="O201" s="151" t="s">
        <v>1268</v>
      </c>
      <c r="P201" s="150">
        <f t="shared" si="2"/>
        <v>188</v>
      </c>
      <c r="Q201" s="150" t="s">
        <v>5</v>
      </c>
      <c r="R20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474-BOB-00717</v>
      </c>
      <c r="S201" s="157" t="str">
        <f>HYPERLINK("https://www.mouser.com/ProductDetail/" &amp;MouserListTable[[#This Row],[Mouser SKU]])</f>
        <v>https://www.mouser.com/ProductDetail/474-BOB-00717</v>
      </c>
      <c r="T201" s="152">
        <v>0</v>
      </c>
      <c r="U201" s="152">
        <v>0</v>
      </c>
      <c r="V201" s="152">
        <v>0</v>
      </c>
      <c r="W201" s="152">
        <f>MouserListTable[[#This Row],['#/Unit]]*FilterSpecs!$C$3+MouserListTable[[#This Row],[Extra]]</f>
        <v>0</v>
      </c>
      <c r="X201" s="152">
        <f>IF(MouserListTable[[#This Row],[Tag]]=FilterSpecs!$F$7,MouserListTable[[#This Row],['#/Unit]]*MouserListTable[[#This Row],[Price (USD)]],0)</f>
        <v>0</v>
      </c>
      <c r="Y201" s="152">
        <f>MouserListTable[[#This Row],[Tot '#]]*MouserListTable[[#This Row],[Price (USD)]]</f>
        <v>0</v>
      </c>
      <c r="AA201" s="132"/>
      <c r="AB201" s="153"/>
    </row>
    <row r="202" spans="1:28" x14ac:dyDescent="0.25">
      <c r="A202" s="150" t="s">
        <v>888</v>
      </c>
      <c r="B202" s="97" t="s">
        <v>12</v>
      </c>
      <c r="C202" s="150" t="s">
        <v>5</v>
      </c>
      <c r="D202" s="151" t="str">
        <f>IF(MouserListTable[[#This Row],[Vendor]]=FilterSpecs!$A$8,MouserListTable[[#This Row],[Mouser SKU]], MouserListTable[[#This Row],[Supplier SKU]])</f>
        <v>474-BOB-13655</v>
      </c>
      <c r="E202" s="152">
        <f>MouserListTable[[#This Row],[Tot '#]]-MouserListTable[[#This Row],['# Initial]]</f>
        <v>0</v>
      </c>
      <c r="F202" s="152">
        <f>IF(AND(MouserListTable[[#This Row],[Tag]]&lt;&gt;FilterSpecs!$F$12, MouserListTable[[#This Row],[Tag]]&lt;&gt;FilterSpecs!$F$9), MouserListTable[[#This Row],['#/Unit]]*FilterSpecs!$B$3+MouserListTable[[#This Row],[Extra Initial]],0)</f>
        <v>0</v>
      </c>
      <c r="G202" s="150" t="s">
        <v>1445</v>
      </c>
      <c r="H202" s="150" t="s">
        <v>1446</v>
      </c>
      <c r="I202" s="150" t="s">
        <v>1447</v>
      </c>
      <c r="J202" s="153">
        <v>1</v>
      </c>
      <c r="K202" s="118">
        <v>2.95</v>
      </c>
      <c r="L202" s="97" t="s">
        <v>1896</v>
      </c>
      <c r="M202" s="153"/>
      <c r="N202" s="154">
        <f>MouserListTable[[#This Row],['# Initial]]*MouserListTable[[#This Row],[Price (USD)]]</f>
        <v>0</v>
      </c>
      <c r="O202" s="151" t="s">
        <v>1444</v>
      </c>
      <c r="P202" s="150">
        <f t="shared" si="2"/>
        <v>189</v>
      </c>
      <c r="Q202" s="150" t="s">
        <v>5</v>
      </c>
      <c r="R20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474-BOB-13655</v>
      </c>
      <c r="S202" s="157" t="str">
        <f>HYPERLINK("https://www.mouser.com/ProductDetail/" &amp;MouserListTable[[#This Row],[Mouser SKU]])</f>
        <v>https://www.mouser.com/ProductDetail/474-BOB-13655</v>
      </c>
      <c r="T202" s="152">
        <v>0</v>
      </c>
      <c r="U202" s="152">
        <v>0</v>
      </c>
      <c r="V202" s="152">
        <v>0</v>
      </c>
      <c r="W202" s="152">
        <f>MouserListTable[[#This Row],['#/Unit]]*FilterSpecs!$C$3+MouserListTable[[#This Row],[Extra]]</f>
        <v>0</v>
      </c>
      <c r="X202" s="152">
        <f>IF(MouserListTable[[#This Row],[Tag]]=FilterSpecs!$F$7,MouserListTable[[#This Row],['#/Unit]]*MouserListTable[[#This Row],[Price (USD)]],0)</f>
        <v>0</v>
      </c>
      <c r="Y202" s="152">
        <f>MouserListTable[[#This Row],[Tot '#]]*MouserListTable[[#This Row],[Price (USD)]]</f>
        <v>0</v>
      </c>
      <c r="AA202" s="132"/>
      <c r="AB202" s="153"/>
    </row>
    <row r="203" spans="1:28" x14ac:dyDescent="0.25">
      <c r="A203" s="150" t="s">
        <v>888</v>
      </c>
      <c r="B203" s="97" t="s">
        <v>12</v>
      </c>
      <c r="C203" s="150" t="s">
        <v>5</v>
      </c>
      <c r="D203" s="151" t="str">
        <f>IF(MouserListTable[[#This Row],[Vendor]]=FilterSpecs!$A$8,MouserListTable[[#This Row],[Mouser SKU]], MouserListTable[[#This Row],[Supplier SKU]])</f>
        <v>474-BOB-00497</v>
      </c>
      <c r="E203" s="152">
        <f>MouserListTable[[#This Row],[Tot '#]]-MouserListTable[[#This Row],['# Initial]]</f>
        <v>0</v>
      </c>
      <c r="F203" s="152">
        <f>IF(AND(MouserListTable[[#This Row],[Tag]]&lt;&gt;FilterSpecs!$F$12, MouserListTable[[#This Row],[Tag]]&lt;&gt;FilterSpecs!$F$9), MouserListTable[[#This Row],['#/Unit]]*FilterSpecs!$B$3+MouserListTable[[#This Row],[Extra Initial]],0)</f>
        <v>0</v>
      </c>
      <c r="G203" s="150" t="s">
        <v>1457</v>
      </c>
      <c r="H203" s="150" t="s">
        <v>1458</v>
      </c>
      <c r="I203" s="150" t="s">
        <v>1459</v>
      </c>
      <c r="J203" s="153">
        <v>1</v>
      </c>
      <c r="K203" s="118">
        <v>2.95</v>
      </c>
      <c r="L203" s="97" t="s">
        <v>1896</v>
      </c>
      <c r="M203" s="153"/>
      <c r="N203" s="154">
        <f>MouserListTable[[#This Row],['# Initial]]*MouserListTable[[#This Row],[Price (USD)]]</f>
        <v>0</v>
      </c>
      <c r="O203" s="151" t="s">
        <v>1456</v>
      </c>
      <c r="P203" s="150">
        <f t="shared" si="2"/>
        <v>190</v>
      </c>
      <c r="Q203" s="150" t="s">
        <v>5</v>
      </c>
      <c r="R20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474-BOB-00497</v>
      </c>
      <c r="S203" s="157" t="str">
        <f>HYPERLINK("https://www.mouser.com/ProductDetail/" &amp;MouserListTable[[#This Row],[Mouser SKU]])</f>
        <v>https://www.mouser.com/ProductDetail/474-BOB-00497</v>
      </c>
      <c r="T203" s="152">
        <v>0</v>
      </c>
      <c r="U203" s="152">
        <v>0</v>
      </c>
      <c r="V203" s="152">
        <v>0</v>
      </c>
      <c r="W203" s="152">
        <f>MouserListTable[[#This Row],['#/Unit]]*FilterSpecs!$C$3+MouserListTable[[#This Row],[Extra]]</f>
        <v>0</v>
      </c>
      <c r="X203" s="152">
        <f>IF(MouserListTable[[#This Row],[Tag]]=FilterSpecs!$F$7,MouserListTable[[#This Row],['#/Unit]]*MouserListTable[[#This Row],[Price (USD)]],0)</f>
        <v>0</v>
      </c>
      <c r="Y203" s="152">
        <f>MouserListTable[[#This Row],[Tot '#]]*MouserListTable[[#This Row],[Price (USD)]]</f>
        <v>0</v>
      </c>
      <c r="AA203" s="132"/>
      <c r="AB203" s="153"/>
    </row>
    <row r="204" spans="1:28" x14ac:dyDescent="0.25">
      <c r="A204" s="150" t="s">
        <v>888</v>
      </c>
      <c r="B204" s="97" t="s">
        <v>12</v>
      </c>
      <c r="C204" s="150" t="s">
        <v>5</v>
      </c>
      <c r="D204" s="151" t="str">
        <f>IF(MouserListTable[[#This Row],[Vendor]]=FilterSpecs!$A$8,MouserListTable[[#This Row],[Mouser SKU]], MouserListTable[[#This Row],[Supplier SKU]])</f>
        <v>474-BOB-13994</v>
      </c>
      <c r="E204" s="152">
        <f>MouserListTable[[#This Row],[Tot '#]]-MouserListTable[[#This Row],['# Initial]]</f>
        <v>0</v>
      </c>
      <c r="F204" s="152">
        <f>IF(AND(MouserListTable[[#This Row],[Tag]]&lt;&gt;FilterSpecs!$F$12, MouserListTable[[#This Row],[Tag]]&lt;&gt;FilterSpecs!$F$9), MouserListTable[[#This Row],['#/Unit]]*FilterSpecs!$B$3+MouserListTable[[#This Row],[Extra Initial]],0)</f>
        <v>0</v>
      </c>
      <c r="G204" s="150" t="s">
        <v>1453</v>
      </c>
      <c r="H204" s="150" t="s">
        <v>1454</v>
      </c>
      <c r="I204" s="150" t="s">
        <v>1455</v>
      </c>
      <c r="J204" s="153">
        <v>1</v>
      </c>
      <c r="K204" s="118">
        <v>2.95</v>
      </c>
      <c r="L204" s="97" t="s">
        <v>1896</v>
      </c>
      <c r="M204" s="153"/>
      <c r="N204" s="154">
        <f>MouserListTable[[#This Row],['# Initial]]*MouserListTable[[#This Row],[Price (USD)]]</f>
        <v>0</v>
      </c>
      <c r="O204" s="151" t="s">
        <v>1452</v>
      </c>
      <c r="P204" s="150">
        <f t="shared" si="2"/>
        <v>191</v>
      </c>
      <c r="Q204" s="150" t="s">
        <v>5</v>
      </c>
      <c r="R20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474-BOB-13994</v>
      </c>
      <c r="S204" s="157" t="str">
        <f>HYPERLINK("https://www.mouser.com/ProductDetail/" &amp;MouserListTable[[#This Row],[Mouser SKU]])</f>
        <v>https://www.mouser.com/ProductDetail/474-BOB-13994</v>
      </c>
      <c r="T204" s="152">
        <v>0</v>
      </c>
      <c r="U204" s="152">
        <v>0</v>
      </c>
      <c r="V204" s="152">
        <v>0</v>
      </c>
      <c r="W204" s="152">
        <f>MouserListTable[[#This Row],['#/Unit]]*FilterSpecs!$C$3+MouserListTable[[#This Row],[Extra]]</f>
        <v>0</v>
      </c>
      <c r="X204" s="152">
        <f>IF(MouserListTable[[#This Row],[Tag]]=FilterSpecs!$F$7,MouserListTable[[#This Row],['#/Unit]]*MouserListTable[[#This Row],[Price (USD)]],0)</f>
        <v>0</v>
      </c>
      <c r="Y204" s="152">
        <f>MouserListTable[[#This Row],[Tot '#]]*MouserListTable[[#This Row],[Price (USD)]]</f>
        <v>0</v>
      </c>
      <c r="AA204" s="132"/>
      <c r="AB204" s="153"/>
    </row>
    <row r="205" spans="1:28" x14ac:dyDescent="0.25">
      <c r="A205" s="150" t="s">
        <v>888</v>
      </c>
      <c r="B205" s="97" t="s">
        <v>12</v>
      </c>
      <c r="C205" s="150" t="s">
        <v>5</v>
      </c>
      <c r="D205" s="151" t="str">
        <f>IF(MouserListTable[[#This Row],[Vendor]]=FilterSpecs!$A$8,MouserListTable[[#This Row],[Mouser SKU]], MouserListTable[[#This Row],[Supplier SKU]])</f>
        <v>474-BOB-00495</v>
      </c>
      <c r="E205" s="152">
        <f>MouserListTable[[#This Row],[Tot '#]]-MouserListTable[[#This Row],['# Initial]]</f>
        <v>0</v>
      </c>
      <c r="F205" s="152">
        <f>IF(AND(MouserListTable[[#This Row],[Tag]]&lt;&gt;FilterSpecs!$F$12, MouserListTable[[#This Row],[Tag]]&lt;&gt;FilterSpecs!$F$9), MouserListTable[[#This Row],['#/Unit]]*FilterSpecs!$B$3+MouserListTable[[#This Row],[Extra Initial]],0)</f>
        <v>0</v>
      </c>
      <c r="G205" s="150" t="s">
        <v>1449</v>
      </c>
      <c r="H205" s="150" t="s">
        <v>1450</v>
      </c>
      <c r="I205" s="150" t="s">
        <v>1451</v>
      </c>
      <c r="J205" s="153">
        <v>1</v>
      </c>
      <c r="K205" s="118">
        <v>3.95</v>
      </c>
      <c r="L205" s="97" t="s">
        <v>1896</v>
      </c>
      <c r="M205" s="153"/>
      <c r="N205" s="154">
        <f>MouserListTable[[#This Row],['# Initial]]*MouserListTable[[#This Row],[Price (USD)]]</f>
        <v>0</v>
      </c>
      <c r="O205" s="151" t="s">
        <v>1448</v>
      </c>
      <c r="P205" s="150">
        <f t="shared" si="2"/>
        <v>192</v>
      </c>
      <c r="Q205" s="150" t="s">
        <v>5</v>
      </c>
      <c r="R20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474-BOB-00495</v>
      </c>
      <c r="S205" s="157" t="str">
        <f>HYPERLINK("https://www.mouser.com/ProductDetail/" &amp;MouserListTable[[#This Row],[Mouser SKU]])</f>
        <v>https://www.mouser.com/ProductDetail/474-BOB-00495</v>
      </c>
      <c r="T205" s="152">
        <v>0</v>
      </c>
      <c r="U205" s="152">
        <v>0</v>
      </c>
      <c r="V205" s="152">
        <v>0</v>
      </c>
      <c r="W205" s="152">
        <f>MouserListTable[[#This Row],['#/Unit]]*FilterSpecs!$C$3+MouserListTable[[#This Row],[Extra]]</f>
        <v>0</v>
      </c>
      <c r="X205" s="152">
        <f>IF(MouserListTable[[#This Row],[Tag]]=FilterSpecs!$F$7,MouserListTable[[#This Row],['#/Unit]]*MouserListTable[[#This Row],[Price (USD)]],0)</f>
        <v>0</v>
      </c>
      <c r="Y205" s="152">
        <f>MouserListTable[[#This Row],[Tot '#]]*MouserListTable[[#This Row],[Price (USD)]]</f>
        <v>0</v>
      </c>
      <c r="AA205" s="132"/>
      <c r="AB205" s="153"/>
    </row>
    <row r="206" spans="1:28" x14ac:dyDescent="0.25">
      <c r="A206" s="150" t="s">
        <v>888</v>
      </c>
      <c r="B206" s="97" t="s">
        <v>12</v>
      </c>
      <c r="C206" s="150" t="s">
        <v>5</v>
      </c>
      <c r="D206" s="151" t="str">
        <f>IF(MouserListTable[[#This Row],[Vendor]]=FilterSpecs!$A$8,MouserListTable[[#This Row],[Mouser SKU]], MouserListTable[[#This Row],[Supplier SKU]])</f>
        <v>474-BOB-00499</v>
      </c>
      <c r="E206" s="152">
        <f>MouserListTable[[#This Row],[Tot '#]]-MouserListTable[[#This Row],['# Initial]]</f>
        <v>0</v>
      </c>
      <c r="F206" s="152">
        <f>IF(AND(MouserListTable[[#This Row],[Tag]]&lt;&gt;FilterSpecs!$F$12, MouserListTable[[#This Row],[Tag]]&lt;&gt;FilterSpecs!$F$9), MouserListTable[[#This Row],['#/Unit]]*FilterSpecs!$B$3+MouserListTable[[#This Row],[Extra Initial]],0)</f>
        <v>0</v>
      </c>
      <c r="G206" s="150" t="s">
        <v>1473</v>
      </c>
      <c r="H206" s="150" t="s">
        <v>1474</v>
      </c>
      <c r="I206" s="150" t="s">
        <v>1475</v>
      </c>
      <c r="J206" s="153">
        <v>1</v>
      </c>
      <c r="K206" s="118">
        <v>3.95</v>
      </c>
      <c r="L206" s="97" t="s">
        <v>1896</v>
      </c>
      <c r="M206" s="153"/>
      <c r="N206" s="154">
        <f>MouserListTable[[#This Row],['# Initial]]*MouserListTable[[#This Row],[Price (USD)]]</f>
        <v>0</v>
      </c>
      <c r="O206" s="151" t="s">
        <v>1472</v>
      </c>
      <c r="P206" s="150">
        <f t="shared" ref="P206:P269" si="3">IF($P205="List #",1,$P205+1)</f>
        <v>193</v>
      </c>
      <c r="Q206" s="150" t="s">
        <v>5</v>
      </c>
      <c r="R20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474-BOB-00499</v>
      </c>
      <c r="S206" s="157" t="str">
        <f>HYPERLINK("https://www.mouser.com/ProductDetail/" &amp;MouserListTable[[#This Row],[Mouser SKU]])</f>
        <v>https://www.mouser.com/ProductDetail/474-BOB-00499</v>
      </c>
      <c r="T206" s="152">
        <v>0</v>
      </c>
      <c r="U206" s="152">
        <v>0</v>
      </c>
      <c r="V206" s="152">
        <v>0</v>
      </c>
      <c r="W206" s="152">
        <f>MouserListTable[[#This Row],['#/Unit]]*FilterSpecs!$C$3+MouserListTable[[#This Row],[Extra]]</f>
        <v>0</v>
      </c>
      <c r="X206" s="152">
        <f>IF(MouserListTable[[#This Row],[Tag]]=FilterSpecs!$F$7,MouserListTable[[#This Row],['#/Unit]]*MouserListTable[[#This Row],[Price (USD)]],0)</f>
        <v>0</v>
      </c>
      <c r="Y206" s="152">
        <f>MouserListTable[[#This Row],[Tot '#]]*MouserListTable[[#This Row],[Price (USD)]]</f>
        <v>0</v>
      </c>
      <c r="AA206" s="132"/>
      <c r="AB206" s="153"/>
    </row>
    <row r="207" spans="1:28" x14ac:dyDescent="0.25">
      <c r="A207" s="150" t="s">
        <v>888</v>
      </c>
      <c r="B207" s="97" t="s">
        <v>12</v>
      </c>
      <c r="C207" s="150" t="s">
        <v>5</v>
      </c>
      <c r="D207" s="151" t="str">
        <f>IF(MouserListTable[[#This Row],[Vendor]]=FilterSpecs!$A$8,MouserListTable[[#This Row],[Mouser SKU]], MouserListTable[[#This Row],[Supplier SKU]])</f>
        <v>474-BOB-00496</v>
      </c>
      <c r="E207" s="152">
        <f>MouserListTable[[#This Row],[Tot '#]]-MouserListTable[[#This Row],['# Initial]]</f>
        <v>0</v>
      </c>
      <c r="F207" s="152">
        <f>IF(AND(MouserListTable[[#This Row],[Tag]]&lt;&gt;FilterSpecs!$F$12, MouserListTable[[#This Row],[Tag]]&lt;&gt;FilterSpecs!$F$9), MouserListTable[[#This Row],['#/Unit]]*FilterSpecs!$B$3+MouserListTable[[#This Row],[Extra Initial]],0)</f>
        <v>0</v>
      </c>
      <c r="G207" s="150" t="s">
        <v>1465</v>
      </c>
      <c r="H207" s="150" t="s">
        <v>1466</v>
      </c>
      <c r="I207" s="150" t="s">
        <v>1467</v>
      </c>
      <c r="J207" s="153">
        <v>1</v>
      </c>
      <c r="K207" s="118">
        <v>3.95</v>
      </c>
      <c r="L207" s="97" t="s">
        <v>1896</v>
      </c>
      <c r="M207" s="153"/>
      <c r="N207" s="154">
        <f>MouserListTable[[#This Row],['# Initial]]*MouserListTable[[#This Row],[Price (USD)]]</f>
        <v>0</v>
      </c>
      <c r="O207" s="151" t="s">
        <v>1464</v>
      </c>
      <c r="P207" s="150">
        <f t="shared" si="3"/>
        <v>194</v>
      </c>
      <c r="Q207" s="150" t="s">
        <v>5</v>
      </c>
      <c r="R20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474-BOB-00496</v>
      </c>
      <c r="S207" s="157" t="str">
        <f>HYPERLINK("https://www.mouser.com/ProductDetail/" &amp;MouserListTable[[#This Row],[Mouser SKU]])</f>
        <v>https://www.mouser.com/ProductDetail/474-BOB-00496</v>
      </c>
      <c r="T207" s="152">
        <v>0</v>
      </c>
      <c r="U207" s="152">
        <v>0</v>
      </c>
      <c r="V207" s="152">
        <v>0</v>
      </c>
      <c r="W207" s="152">
        <f>MouserListTable[[#This Row],['#/Unit]]*FilterSpecs!$C$3+MouserListTable[[#This Row],[Extra]]</f>
        <v>0</v>
      </c>
      <c r="X207" s="152">
        <f>IF(MouserListTable[[#This Row],[Tag]]=FilterSpecs!$F$7,MouserListTable[[#This Row],['#/Unit]]*MouserListTable[[#This Row],[Price (USD)]],0)</f>
        <v>0</v>
      </c>
      <c r="Y207" s="152">
        <f>MouserListTable[[#This Row],[Tot '#]]*MouserListTable[[#This Row],[Price (USD)]]</f>
        <v>0</v>
      </c>
      <c r="AA207" s="132"/>
      <c r="AB207" s="153"/>
    </row>
    <row r="208" spans="1:28" x14ac:dyDescent="0.25">
      <c r="A208" s="150" t="s">
        <v>888</v>
      </c>
      <c r="B208" s="97" t="s">
        <v>12</v>
      </c>
      <c r="C208" s="150" t="s">
        <v>5</v>
      </c>
      <c r="D208" s="151" t="str">
        <f>IF(MouserListTable[[#This Row],[Vendor]]=FilterSpecs!$A$8,MouserListTable[[#This Row],[Mouser SKU]], MouserListTable[[#This Row],[Supplier SKU]])</f>
        <v>474-BOB-00500</v>
      </c>
      <c r="E208" s="152">
        <f>MouserListTable[[#This Row],[Tot '#]]-MouserListTable[[#This Row],['# Initial]]</f>
        <v>0</v>
      </c>
      <c r="F208" s="152">
        <f>IF(AND(MouserListTable[[#This Row],[Tag]]&lt;&gt;FilterSpecs!$F$12, MouserListTable[[#This Row],[Tag]]&lt;&gt;FilterSpecs!$F$9), MouserListTable[[#This Row],['#/Unit]]*FilterSpecs!$B$3+MouserListTable[[#This Row],[Extra Initial]],0)</f>
        <v>0</v>
      </c>
      <c r="G208" s="150" t="s">
        <v>1461</v>
      </c>
      <c r="H208" s="150" t="s">
        <v>1462</v>
      </c>
      <c r="I208" s="150" t="s">
        <v>1463</v>
      </c>
      <c r="J208" s="153">
        <v>1</v>
      </c>
      <c r="K208" s="118">
        <v>3.95</v>
      </c>
      <c r="L208" s="97" t="s">
        <v>1896</v>
      </c>
      <c r="M208" s="153"/>
      <c r="N208" s="154">
        <f>MouserListTable[[#This Row],['# Initial]]*MouserListTable[[#This Row],[Price (USD)]]</f>
        <v>0</v>
      </c>
      <c r="O208" s="151" t="s">
        <v>1460</v>
      </c>
      <c r="P208" s="150">
        <f t="shared" si="3"/>
        <v>195</v>
      </c>
      <c r="Q208" s="150" t="s">
        <v>5</v>
      </c>
      <c r="R20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474-BOB-00500</v>
      </c>
      <c r="S208" s="157" t="str">
        <f>HYPERLINK("https://www.mouser.com/ProductDetail/" &amp;MouserListTable[[#This Row],[Mouser SKU]])</f>
        <v>https://www.mouser.com/ProductDetail/474-BOB-00500</v>
      </c>
      <c r="T208" s="152">
        <v>0</v>
      </c>
      <c r="U208" s="152">
        <v>0</v>
      </c>
      <c r="V208" s="152">
        <v>0</v>
      </c>
      <c r="W208" s="152">
        <f>MouserListTable[[#This Row],['#/Unit]]*FilterSpecs!$C$3+MouserListTable[[#This Row],[Extra]]</f>
        <v>0</v>
      </c>
      <c r="X208" s="152">
        <f>IF(MouserListTable[[#This Row],[Tag]]=FilterSpecs!$F$7,MouserListTable[[#This Row],['#/Unit]]*MouserListTable[[#This Row],[Price (USD)]],0)</f>
        <v>0</v>
      </c>
      <c r="Y208" s="152">
        <f>MouserListTable[[#This Row],[Tot '#]]*MouserListTable[[#This Row],[Price (USD)]]</f>
        <v>0</v>
      </c>
      <c r="AA208" s="132"/>
      <c r="AB208" s="153"/>
    </row>
    <row r="209" spans="1:28" x14ac:dyDescent="0.25">
      <c r="A209" s="150" t="s">
        <v>888</v>
      </c>
      <c r="B209" s="150" t="s">
        <v>892</v>
      </c>
      <c r="C209" s="150" t="s">
        <v>5</v>
      </c>
      <c r="D209" s="151" t="str">
        <f>IF(MouserListTable[[#This Row],[Vendor]]=FilterSpecs!$A$8,MouserListTable[[#This Row],[Mouser SKU]], MouserListTable[[#This Row],[Supplier SKU]])</f>
        <v>474-PRT-14425</v>
      </c>
      <c r="E209" s="152">
        <f>MouserListTable[[#This Row],[Tot '#]]-MouserListTable[[#This Row],['# Initial]]</f>
        <v>0</v>
      </c>
      <c r="F209" s="152">
        <f>IF(AND(MouserListTable[[#This Row],[Tag]]&lt;&gt;FilterSpecs!$F$12, MouserListTable[[#This Row],[Tag]]&lt;&gt;FilterSpecs!$F$9), MouserListTable[[#This Row],['#/Unit]]*FilterSpecs!$B$3+MouserListTable[[#This Row],[Extra Initial]],0)</f>
        <v>0</v>
      </c>
      <c r="G209" s="150" t="s">
        <v>230</v>
      </c>
      <c r="H209" s="150" t="s">
        <v>231</v>
      </c>
      <c r="I209" s="150" t="s">
        <v>232</v>
      </c>
      <c r="J209" s="150"/>
      <c r="K209" s="154">
        <v>1.5</v>
      </c>
      <c r="L209" s="150" t="s">
        <v>1897</v>
      </c>
      <c r="M209" s="150"/>
      <c r="N209" s="154">
        <f>MouserListTable[[#This Row],['# Initial]]*MouserListTable[[#This Row],[Price (USD)]]</f>
        <v>0</v>
      </c>
      <c r="O209" s="151" t="s">
        <v>229</v>
      </c>
      <c r="P209" s="150">
        <f t="shared" si="3"/>
        <v>196</v>
      </c>
      <c r="Q209" s="150" t="s">
        <v>5</v>
      </c>
      <c r="R20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474-PRT-14425</v>
      </c>
      <c r="S209" s="157" t="str">
        <f>HYPERLINK("https://www.mouser.com/ProductDetail/" &amp;MouserListTable[[#This Row],[Mouser SKU]])</f>
        <v>https://www.mouser.com/ProductDetail/474-PRT-14425</v>
      </c>
      <c r="T209" s="152">
        <v>0</v>
      </c>
      <c r="U209" s="152">
        <v>0</v>
      </c>
      <c r="V209" s="152">
        <v>0</v>
      </c>
      <c r="W209" s="152">
        <f>MouserListTable[[#This Row],['#/Unit]]*FilterSpecs!$C$3+MouserListTable[[#This Row],[Extra]]</f>
        <v>0</v>
      </c>
      <c r="X209" s="152">
        <f>IF(MouserListTable[[#This Row],[Tag]]=FilterSpecs!$F$7,MouserListTable[[#This Row],['#/Unit]]*MouserListTable[[#This Row],[Price (USD)]],0)</f>
        <v>0</v>
      </c>
      <c r="Y209" s="152">
        <f>MouserListTable[[#This Row],[Tot '#]]*MouserListTable[[#This Row],[Price (USD)]]</f>
        <v>0</v>
      </c>
      <c r="AA209" s="132"/>
      <c r="AB209" s="153"/>
    </row>
    <row r="210" spans="1:28" x14ac:dyDescent="0.25">
      <c r="A210" s="150" t="s">
        <v>888</v>
      </c>
      <c r="B210" s="150" t="s">
        <v>892</v>
      </c>
      <c r="C210" s="150" t="s">
        <v>5</v>
      </c>
      <c r="D210" s="151" t="str">
        <f>IF(MouserListTable[[#This Row],[Vendor]]=FilterSpecs!$A$8,MouserListTable[[#This Row],[Mouser SKU]], MouserListTable[[#This Row],[Supplier SKU]])</f>
        <v>474-SPX-14291</v>
      </c>
      <c r="E210" s="152">
        <f>MouserListTable[[#This Row],[Tot '#]]-MouserListTable[[#This Row],['# Initial]]</f>
        <v>1</v>
      </c>
      <c r="F210" s="152">
        <f>IF(AND(MouserListTable[[#This Row],[Tag]]&lt;&gt;FilterSpecs!$F$12, MouserListTable[[#This Row],[Tag]]&lt;&gt;FilterSpecs!$F$9), MouserListTable[[#This Row],['#/Unit]]*FilterSpecs!$B$3+MouserListTable[[#This Row],[Extra Initial]],0)</f>
        <v>0</v>
      </c>
      <c r="G210" s="150" t="s">
        <v>234</v>
      </c>
      <c r="H210" s="150" t="s">
        <v>235</v>
      </c>
      <c r="I210" s="150" t="s">
        <v>236</v>
      </c>
      <c r="J210" s="150">
        <v>1</v>
      </c>
      <c r="K210" s="154">
        <v>14.95</v>
      </c>
      <c r="L210" s="150" t="s">
        <v>1898</v>
      </c>
      <c r="M210" s="150"/>
      <c r="N210" s="154">
        <f>MouserListTable[[#This Row],['# Initial]]*MouserListTable[[#This Row],[Price (USD)]]</f>
        <v>0</v>
      </c>
      <c r="O210" s="151" t="s">
        <v>233</v>
      </c>
      <c r="P210" s="150">
        <f t="shared" si="3"/>
        <v>197</v>
      </c>
      <c r="Q210" s="150" t="s">
        <v>5</v>
      </c>
      <c r="R21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474-SPX-14291</v>
      </c>
      <c r="S210" s="157" t="str">
        <f>HYPERLINK("https://www.mouser.com/ProductDetail/" &amp;MouserListTable[[#This Row],[Mouser SKU]])</f>
        <v>https://www.mouser.com/ProductDetail/474-SPX-14291</v>
      </c>
      <c r="T210" s="152">
        <v>0</v>
      </c>
      <c r="U210" s="152">
        <v>1</v>
      </c>
      <c r="V210" s="152">
        <v>0</v>
      </c>
      <c r="W210" s="152">
        <f>MouserListTable[[#This Row],['#/Unit]]*FilterSpecs!$C$3+MouserListTable[[#This Row],[Extra]]</f>
        <v>1</v>
      </c>
      <c r="X210" s="152">
        <f>IF(MouserListTable[[#This Row],[Tag]]=FilterSpecs!$F$7,MouserListTable[[#This Row],['#/Unit]]*MouserListTable[[#This Row],[Price (USD)]],0)</f>
        <v>0</v>
      </c>
      <c r="Y210" s="152">
        <f>MouserListTable[[#This Row],[Tot '#]]*MouserListTable[[#This Row],[Price (USD)]]</f>
        <v>14.95</v>
      </c>
      <c r="AA210" s="132"/>
      <c r="AB210" s="153"/>
    </row>
    <row r="211" spans="1:28" x14ac:dyDescent="0.25">
      <c r="A211" s="97" t="s">
        <v>888</v>
      </c>
      <c r="B211" s="97" t="s">
        <v>892</v>
      </c>
      <c r="C211" s="150" t="s">
        <v>5</v>
      </c>
      <c r="D211" s="151" t="str">
        <f>IF(MouserListTable[[#This Row],[Vendor]]=FilterSpecs!$A$8,MouserListTable[[#This Row],[Mouser SKU]], MouserListTable[[#This Row],[Supplier SKU]])</f>
        <v>474-SPX-14286</v>
      </c>
      <c r="E211" s="152">
        <f>MouserListTable[[#This Row],[Tot '#]]-MouserListTable[[#This Row],['# Initial]]</f>
        <v>0</v>
      </c>
      <c r="F211" s="152">
        <f>IF(AND(MouserListTable[[#This Row],[Tag]]&lt;&gt;FilterSpecs!$F$12, MouserListTable[[#This Row],[Tag]]&lt;&gt;FilterSpecs!$F$9), MouserListTable[[#This Row],['#/Unit]]*FilterSpecs!$B$3+MouserListTable[[#This Row],[Extra Initial]],0)</f>
        <v>0</v>
      </c>
      <c r="G211" s="150" t="s">
        <v>357</v>
      </c>
      <c r="H211" s="150" t="s">
        <v>358</v>
      </c>
      <c r="I211" s="150" t="s">
        <v>359</v>
      </c>
      <c r="J211" s="150">
        <v>1</v>
      </c>
      <c r="K211" s="154">
        <v>2.95</v>
      </c>
      <c r="L211" s="150" t="s">
        <v>2461</v>
      </c>
      <c r="M211" s="150"/>
      <c r="N211" s="154">
        <f>MouserListTable[[#This Row],['# Initial]]*MouserListTable[[#This Row],[Price (USD)]]</f>
        <v>0</v>
      </c>
      <c r="O211" s="151" t="s">
        <v>356</v>
      </c>
      <c r="P211" s="150">
        <f t="shared" si="3"/>
        <v>198</v>
      </c>
      <c r="Q211" s="150" t="s">
        <v>5</v>
      </c>
      <c r="R21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474-SPX-14286</v>
      </c>
      <c r="S211" s="157" t="str">
        <f>HYPERLINK("https://www.mouser.com/ProductDetail/" &amp;MouserListTable[[#This Row],[Mouser SKU]])</f>
        <v>https://www.mouser.com/ProductDetail/474-SPX-14286</v>
      </c>
      <c r="T211" s="152">
        <v>0</v>
      </c>
      <c r="U211" s="152">
        <v>0</v>
      </c>
      <c r="V211" s="152">
        <v>0</v>
      </c>
      <c r="W211" s="152">
        <f>MouserListTable[[#This Row],['#/Unit]]*FilterSpecs!$C$3+MouserListTable[[#This Row],[Extra]]</f>
        <v>0</v>
      </c>
      <c r="X211" s="152">
        <f>IF(MouserListTable[[#This Row],[Tag]]=FilterSpecs!$F$7,MouserListTable[[#This Row],['#/Unit]]*MouserListTable[[#This Row],[Price (USD)]],0)</f>
        <v>0</v>
      </c>
      <c r="Y211" s="152">
        <f>MouserListTable[[#This Row],[Tot '#]]*MouserListTable[[#This Row],[Price (USD)]]</f>
        <v>0</v>
      </c>
      <c r="AA211" s="132"/>
      <c r="AB211" s="153"/>
    </row>
    <row r="212" spans="1:28" x14ac:dyDescent="0.25">
      <c r="A212" s="97" t="s">
        <v>888</v>
      </c>
      <c r="B212" s="97" t="s">
        <v>892</v>
      </c>
      <c r="C212" s="150" t="s">
        <v>5</v>
      </c>
      <c r="D212" s="151" t="str">
        <f>IF(MouserListTable[[#This Row],[Vendor]]=FilterSpecs!$A$8,MouserListTable[[#This Row],[Mouser SKU]], MouserListTable[[#This Row],[Supplier SKU]])</f>
        <v>474-SPX-14257</v>
      </c>
      <c r="E212" s="152">
        <f>MouserListTable[[#This Row],[Tot '#]]-MouserListTable[[#This Row],['# Initial]]</f>
        <v>0</v>
      </c>
      <c r="F212" s="152">
        <f>IF(AND(MouserListTable[[#This Row],[Tag]]&lt;&gt;FilterSpecs!$F$12, MouserListTable[[#This Row],[Tag]]&lt;&gt;FilterSpecs!$F$9), MouserListTable[[#This Row],['#/Unit]]*FilterSpecs!$B$3+MouserListTable[[#This Row],[Extra Initial]],0)</f>
        <v>0</v>
      </c>
      <c r="G212" s="150" t="s">
        <v>1174</v>
      </c>
      <c r="H212" s="150" t="s">
        <v>1175</v>
      </c>
      <c r="I212" s="150" t="s">
        <v>1176</v>
      </c>
      <c r="J212" s="150">
        <v>1</v>
      </c>
      <c r="K212" s="154">
        <v>9.9499999999999993</v>
      </c>
      <c r="L212" s="150" t="s">
        <v>2461</v>
      </c>
      <c r="M212" s="153"/>
      <c r="N212" s="154">
        <f>MouserListTable[[#This Row],['# Initial]]*MouserListTable[[#This Row],[Price (USD)]]</f>
        <v>0</v>
      </c>
      <c r="O212" s="151" t="s">
        <v>1173</v>
      </c>
      <c r="P212" s="150">
        <f t="shared" si="3"/>
        <v>199</v>
      </c>
      <c r="Q212" s="150" t="s">
        <v>5</v>
      </c>
      <c r="R21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474-SPX-14257</v>
      </c>
      <c r="S212" s="157" t="str">
        <f>HYPERLINK("https://www.mouser.com/ProductDetail/" &amp;MouserListTable[[#This Row],[Mouser SKU]])</f>
        <v>https://www.mouser.com/ProductDetail/474-SPX-14257</v>
      </c>
      <c r="T212" s="152">
        <v>0</v>
      </c>
      <c r="U212" s="152">
        <v>0</v>
      </c>
      <c r="V212" s="152">
        <v>0</v>
      </c>
      <c r="W212" s="152">
        <f>MouserListTable[[#This Row],['#/Unit]]*FilterSpecs!$C$3+MouserListTable[[#This Row],[Extra]]</f>
        <v>0</v>
      </c>
      <c r="X212" s="152">
        <f>IF(MouserListTable[[#This Row],[Tag]]=FilterSpecs!$F$7,MouserListTable[[#This Row],['#/Unit]]*MouserListTable[[#This Row],[Price (USD)]],0)</f>
        <v>0</v>
      </c>
      <c r="Y212" s="152">
        <f>MouserListTable[[#This Row],[Tot '#]]*MouserListTable[[#This Row],[Price (USD)]]</f>
        <v>0</v>
      </c>
      <c r="AA212" s="132"/>
      <c r="AB212" s="153"/>
    </row>
    <row r="213" spans="1:28" x14ac:dyDescent="0.25">
      <c r="A213" s="150" t="s">
        <v>888</v>
      </c>
      <c r="B213" s="150" t="s">
        <v>892</v>
      </c>
      <c r="C213" s="150" t="s">
        <v>5</v>
      </c>
      <c r="D213" s="151" t="str">
        <f>IF(MouserListTable[[#This Row],[Vendor]]=FilterSpecs!$A$8,MouserListTable[[#This Row],[Mouser SKU]], MouserListTable[[#This Row],[Supplier SKU]])</f>
        <v>474-SPX-14293</v>
      </c>
      <c r="E213" s="152">
        <f>MouserListTable[[#This Row],[Tot '#]]-MouserListTable[[#This Row],['# Initial]]</f>
        <v>1</v>
      </c>
      <c r="F213" s="152">
        <f>IF(AND(MouserListTable[[#This Row],[Tag]]&lt;&gt;FilterSpecs!$F$12, MouserListTable[[#This Row],[Tag]]&lt;&gt;FilterSpecs!$F$9), MouserListTable[[#This Row],['#/Unit]]*FilterSpecs!$B$3+MouserListTable[[#This Row],[Extra Initial]],0)</f>
        <v>0</v>
      </c>
      <c r="G213" s="150" t="s">
        <v>1178</v>
      </c>
      <c r="H213" s="150" t="s">
        <v>1179</v>
      </c>
      <c r="I213" s="150" t="s">
        <v>1180</v>
      </c>
      <c r="J213" s="150">
        <v>1</v>
      </c>
      <c r="K213" s="154">
        <v>14.95</v>
      </c>
      <c r="L213" s="150" t="s">
        <v>1898</v>
      </c>
      <c r="M213" s="151"/>
      <c r="N213" s="154">
        <f>MouserListTable[[#This Row],['# Initial]]*MouserListTable[[#This Row],[Price (USD)]]</f>
        <v>0</v>
      </c>
      <c r="O213" s="151" t="s">
        <v>1177</v>
      </c>
      <c r="P213" s="150">
        <f t="shared" si="3"/>
        <v>200</v>
      </c>
      <c r="Q213" s="150" t="s">
        <v>5</v>
      </c>
      <c r="R21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474-SPX-14293</v>
      </c>
      <c r="S213" s="157" t="str">
        <f>HYPERLINK("https://www.mouser.com/ProductDetail/" &amp;MouserListTable[[#This Row],[Mouser SKU]])</f>
        <v>https://www.mouser.com/ProductDetail/474-SPX-14293</v>
      </c>
      <c r="T213" s="152">
        <v>0</v>
      </c>
      <c r="U213" s="152">
        <v>1</v>
      </c>
      <c r="V213" s="152">
        <v>0</v>
      </c>
      <c r="W213" s="152">
        <f>MouserListTable[[#This Row],['#/Unit]]*FilterSpecs!$C$3+MouserListTable[[#This Row],[Extra]]</f>
        <v>1</v>
      </c>
      <c r="X213" s="152">
        <f>IF(MouserListTable[[#This Row],[Tag]]=FilterSpecs!$F$7,MouserListTable[[#This Row],['#/Unit]]*MouserListTable[[#This Row],[Price (USD)]],0)</f>
        <v>0</v>
      </c>
      <c r="Y213" s="152">
        <f>MouserListTable[[#This Row],[Tot '#]]*MouserListTable[[#This Row],[Price (USD)]]</f>
        <v>14.95</v>
      </c>
      <c r="AA213" s="132"/>
      <c r="AB213" s="153"/>
    </row>
    <row r="214" spans="1:28" s="104" customFormat="1" x14ac:dyDescent="0.25">
      <c r="A214" s="97" t="s">
        <v>888</v>
      </c>
      <c r="B214" s="97" t="s">
        <v>892</v>
      </c>
      <c r="C214" s="150" t="s">
        <v>5</v>
      </c>
      <c r="D214" s="151" t="str">
        <f>IF(MouserListTable[[#This Row],[Vendor]]=FilterSpecs!$A$8,MouserListTable[[#This Row],[Mouser SKU]], MouserListTable[[#This Row],[Supplier SKU]])</f>
        <v>474-SPX-14289</v>
      </c>
      <c r="E214" s="152">
        <f>MouserListTable[[#This Row],[Tot '#]]-MouserListTable[[#This Row],['# Initial]]</f>
        <v>0</v>
      </c>
      <c r="F214" s="152">
        <f>IF(AND(MouserListTable[[#This Row],[Tag]]&lt;&gt;FilterSpecs!$F$12, MouserListTable[[#This Row],[Tag]]&lt;&gt;FilterSpecs!$F$9), MouserListTable[[#This Row],['#/Unit]]*FilterSpecs!$B$3+MouserListTable[[#This Row],[Extra Initial]],0)</f>
        <v>0</v>
      </c>
      <c r="G214" s="150" t="s">
        <v>1814</v>
      </c>
      <c r="H214" s="150" t="s">
        <v>1815</v>
      </c>
      <c r="I214" s="150" t="s">
        <v>1816</v>
      </c>
      <c r="J214" s="150">
        <v>1</v>
      </c>
      <c r="K214" s="154">
        <v>39.950000000000003</v>
      </c>
      <c r="L214" s="150" t="s">
        <v>2461</v>
      </c>
      <c r="M214" s="153"/>
      <c r="N214" s="154">
        <f>MouserListTable[[#This Row],['# Initial]]*MouserListTable[[#This Row],[Price (USD)]]</f>
        <v>0</v>
      </c>
      <c r="O214" s="151" t="s">
        <v>1813</v>
      </c>
      <c r="P214" s="150">
        <f t="shared" si="3"/>
        <v>201</v>
      </c>
      <c r="Q214" s="150" t="s">
        <v>5</v>
      </c>
      <c r="R21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474-SPX-14289</v>
      </c>
      <c r="S214" s="157" t="str">
        <f>HYPERLINK("https://www.mouser.com/ProductDetail/" &amp;MouserListTable[[#This Row],[Mouser SKU]])</f>
        <v>https://www.mouser.com/ProductDetail/474-SPX-14289</v>
      </c>
      <c r="T214" s="152">
        <v>0</v>
      </c>
      <c r="U214" s="152">
        <v>0</v>
      </c>
      <c r="V214" s="152">
        <v>0</v>
      </c>
      <c r="W214" s="152">
        <f>MouserListTable[[#This Row],['#/Unit]]*FilterSpecs!$C$3+MouserListTable[[#This Row],[Extra]]</f>
        <v>0</v>
      </c>
      <c r="X214" s="152">
        <f>IF(MouserListTable[[#This Row],[Tag]]=FilterSpecs!$F$7,MouserListTable[[#This Row],['#/Unit]]*MouserListTable[[#This Row],[Price (USD)]],0)</f>
        <v>0</v>
      </c>
      <c r="Y214" s="152">
        <f>MouserListTable[[#This Row],[Tot '#]]*MouserListTable[[#This Row],[Price (USD)]]</f>
        <v>0</v>
      </c>
      <c r="AA214" s="132"/>
      <c r="AB214" s="153"/>
    </row>
    <row r="215" spans="1:28" s="63" customFormat="1" x14ac:dyDescent="0.25">
      <c r="A215" s="97" t="s">
        <v>888</v>
      </c>
      <c r="B215" s="97" t="s">
        <v>892</v>
      </c>
      <c r="C215" s="150" t="s">
        <v>5</v>
      </c>
      <c r="D215" s="151" t="str">
        <f>IF(MouserListTable[[#This Row],[Vendor]]=FilterSpecs!$A$8,MouserListTable[[#This Row],[Mouser SKU]], MouserListTable[[#This Row],[Supplier SKU]])</f>
        <v>474-SPX-14269</v>
      </c>
      <c r="E215" s="152">
        <f>MouserListTable[[#This Row],[Tot '#]]-MouserListTable[[#This Row],['# Initial]]</f>
        <v>0</v>
      </c>
      <c r="F215" s="152">
        <f>IF(AND(MouserListTable[[#This Row],[Tag]]&lt;&gt;FilterSpecs!$F$12, MouserListTable[[#This Row],[Tag]]&lt;&gt;FilterSpecs!$F$9), MouserListTable[[#This Row],['#/Unit]]*FilterSpecs!$B$3+MouserListTable[[#This Row],[Extra Initial]],0)</f>
        <v>0</v>
      </c>
      <c r="G215" s="150" t="s">
        <v>1774</v>
      </c>
      <c r="H215" s="150" t="s">
        <v>1775</v>
      </c>
      <c r="I215" s="150" t="s">
        <v>1776</v>
      </c>
      <c r="J215" s="150">
        <v>1</v>
      </c>
      <c r="K215" s="154">
        <v>14.95</v>
      </c>
      <c r="L215" s="150" t="s">
        <v>2461</v>
      </c>
      <c r="M215" s="153"/>
      <c r="N215" s="154">
        <f>MouserListTable[[#This Row],['# Initial]]*MouserListTable[[#This Row],[Price (USD)]]</f>
        <v>0</v>
      </c>
      <c r="O215" s="151" t="s">
        <v>1773</v>
      </c>
      <c r="P215" s="150">
        <f t="shared" si="3"/>
        <v>202</v>
      </c>
      <c r="Q215" s="150" t="s">
        <v>5</v>
      </c>
      <c r="R21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474-SPX-14269</v>
      </c>
      <c r="S215" s="157" t="str">
        <f>HYPERLINK("https://www.mouser.com/ProductDetail/" &amp;MouserListTable[[#This Row],[Mouser SKU]])</f>
        <v>https://www.mouser.com/ProductDetail/474-SPX-14269</v>
      </c>
      <c r="T215" s="152">
        <v>0</v>
      </c>
      <c r="U215" s="152">
        <v>0</v>
      </c>
      <c r="V215" s="152">
        <v>0</v>
      </c>
      <c r="W215" s="152">
        <f>MouserListTable[[#This Row],['#/Unit]]*FilterSpecs!$C$3+MouserListTable[[#This Row],[Extra]]</f>
        <v>0</v>
      </c>
      <c r="X215" s="152">
        <f>IF(MouserListTable[[#This Row],[Tag]]=FilterSpecs!$F$7,MouserListTable[[#This Row],['#/Unit]]*MouserListTable[[#This Row],[Price (USD)]],0)</f>
        <v>0</v>
      </c>
      <c r="Y215" s="152">
        <f>MouserListTable[[#This Row],[Tot '#]]*MouserListTable[[#This Row],[Price (USD)]]</f>
        <v>0</v>
      </c>
      <c r="AA215" s="132"/>
      <c r="AB215" s="153"/>
    </row>
    <row r="216" spans="1:28" s="63" customFormat="1" x14ac:dyDescent="0.25">
      <c r="A216" s="150" t="s">
        <v>888</v>
      </c>
      <c r="B216" s="150" t="s">
        <v>892</v>
      </c>
      <c r="C216" s="150" t="s">
        <v>5</v>
      </c>
      <c r="D216" s="151" t="str">
        <f>IF(MouserListTable[[#This Row],[Vendor]]=FilterSpecs!$A$8,MouserListTable[[#This Row],[Mouser SKU]], MouserListTable[[#This Row],[Supplier SKU]])</f>
        <v>474-PRT-14426</v>
      </c>
      <c r="E216" s="152">
        <f>MouserListTable[[#This Row],[Tot '#]]-MouserListTable[[#This Row],['# Initial]]</f>
        <v>0</v>
      </c>
      <c r="F216" s="152">
        <f>IF(AND(MouserListTable[[#This Row],[Tag]]&lt;&gt;FilterSpecs!$F$12, MouserListTable[[#This Row],[Tag]]&lt;&gt;FilterSpecs!$F$9), MouserListTable[[#This Row],['#/Unit]]*FilterSpecs!$B$3+MouserListTable[[#This Row],[Extra Initial]],0)</f>
        <v>0</v>
      </c>
      <c r="G216" s="150" t="s">
        <v>266</v>
      </c>
      <c r="H216" s="150" t="s">
        <v>267</v>
      </c>
      <c r="I216" s="150" t="s">
        <v>268</v>
      </c>
      <c r="J216" s="150"/>
      <c r="K216" s="154">
        <v>0.95</v>
      </c>
      <c r="L216" s="150" t="s">
        <v>1897</v>
      </c>
      <c r="M216" s="150"/>
      <c r="N216" s="154">
        <f>MouserListTable[[#This Row],['# Initial]]*MouserListTable[[#This Row],[Price (USD)]]</f>
        <v>0</v>
      </c>
      <c r="O216" s="151" t="s">
        <v>265</v>
      </c>
      <c r="P216" s="150">
        <f t="shared" si="3"/>
        <v>203</v>
      </c>
      <c r="Q216" s="150" t="s">
        <v>5</v>
      </c>
      <c r="R21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474-PRT-14426</v>
      </c>
      <c r="S216" s="157" t="str">
        <f>HYPERLINK("https://www.mouser.com/ProductDetail/" &amp;MouserListTable[[#This Row],[Mouser SKU]])</f>
        <v>https://www.mouser.com/ProductDetail/474-PRT-14426</v>
      </c>
      <c r="T216" s="152">
        <v>0</v>
      </c>
      <c r="U216" s="152">
        <v>0</v>
      </c>
      <c r="V216" s="152">
        <v>0</v>
      </c>
      <c r="W216" s="152">
        <f>MouserListTable[[#This Row],['#/Unit]]*FilterSpecs!$C$3+MouserListTable[[#This Row],[Extra]]</f>
        <v>0</v>
      </c>
      <c r="X216" s="152">
        <f>IF(MouserListTable[[#This Row],[Tag]]=FilterSpecs!$F$7,MouserListTable[[#This Row],['#/Unit]]*MouserListTable[[#This Row],[Price (USD)]],0)</f>
        <v>0</v>
      </c>
      <c r="Y216" s="152">
        <f>MouserListTable[[#This Row],[Tot '#]]*MouserListTable[[#This Row],[Price (USD)]]</f>
        <v>0</v>
      </c>
      <c r="AA216" s="132"/>
      <c r="AB216" s="153"/>
    </row>
    <row r="217" spans="1:28" s="63" customFormat="1" x14ac:dyDescent="0.25">
      <c r="A217" s="150" t="s">
        <v>888</v>
      </c>
      <c r="B217" s="150" t="s">
        <v>892</v>
      </c>
      <c r="C217" s="150" t="s">
        <v>5</v>
      </c>
      <c r="D217" s="151" t="str">
        <f>IF(MouserListTable[[#This Row],[Vendor]]=FilterSpecs!$A$8,MouserListTable[[#This Row],[Mouser SKU]], MouserListTable[[#This Row],[Supplier SKU]])</f>
        <v>474-PRT-14427</v>
      </c>
      <c r="E217" s="152">
        <f>MouserListTable[[#This Row],[Tot '#]]-MouserListTable[[#This Row],['# Initial]]</f>
        <v>0</v>
      </c>
      <c r="F217" s="152">
        <f>IF(AND(MouserListTable[[#This Row],[Tag]]&lt;&gt;FilterSpecs!$F$12, MouserListTable[[#This Row],[Tag]]&lt;&gt;FilterSpecs!$F$9), MouserListTable[[#This Row],['#/Unit]]*FilterSpecs!$B$3+MouserListTable[[#This Row],[Extra Initial]],0)</f>
        <v>0</v>
      </c>
      <c r="G217" s="150" t="s">
        <v>270</v>
      </c>
      <c r="H217" s="150" t="s">
        <v>271</v>
      </c>
      <c r="I217" s="150" t="s">
        <v>272</v>
      </c>
      <c r="J217" s="150"/>
      <c r="K217" s="154">
        <v>1.5</v>
      </c>
      <c r="L217" s="150" t="s">
        <v>1897</v>
      </c>
      <c r="M217" s="150"/>
      <c r="N217" s="154">
        <f>MouserListTable[[#This Row],['# Initial]]*MouserListTable[[#This Row],[Price (USD)]]</f>
        <v>0</v>
      </c>
      <c r="O217" s="151" t="s">
        <v>269</v>
      </c>
      <c r="P217" s="150">
        <f t="shared" si="3"/>
        <v>204</v>
      </c>
      <c r="Q217" s="150" t="s">
        <v>5</v>
      </c>
      <c r="R21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474-PRT-14427</v>
      </c>
      <c r="S217" s="157" t="str">
        <f>HYPERLINK("https://www.mouser.com/ProductDetail/" &amp;MouserListTable[[#This Row],[Mouser SKU]])</f>
        <v>https://www.mouser.com/ProductDetail/474-PRT-14427</v>
      </c>
      <c r="T217" s="152">
        <v>0</v>
      </c>
      <c r="U217" s="152">
        <v>0</v>
      </c>
      <c r="V217" s="152">
        <v>0</v>
      </c>
      <c r="W217" s="152">
        <f>MouserListTable[[#This Row],['#/Unit]]*FilterSpecs!$C$3+MouserListTable[[#This Row],[Extra]]</f>
        <v>0</v>
      </c>
      <c r="X217" s="152">
        <f>IF(MouserListTable[[#This Row],[Tag]]=FilterSpecs!$F$7,MouserListTable[[#This Row],['#/Unit]]*MouserListTable[[#This Row],[Price (USD)]],0)</f>
        <v>0</v>
      </c>
      <c r="Y217" s="152">
        <f>MouserListTable[[#This Row],[Tot '#]]*MouserListTable[[#This Row],[Price (USD)]]</f>
        <v>0</v>
      </c>
      <c r="AA217" s="132"/>
      <c r="AB217" s="153"/>
    </row>
    <row r="218" spans="1:28" s="63" customFormat="1" x14ac:dyDescent="0.25">
      <c r="A218" s="150" t="s">
        <v>888</v>
      </c>
      <c r="B218" s="150" t="s">
        <v>892</v>
      </c>
      <c r="C218" s="150" t="s">
        <v>5</v>
      </c>
      <c r="D218" s="151" t="str">
        <f>IF(MouserListTable[[#This Row],[Vendor]]=FilterSpecs!$A$8,MouserListTable[[#This Row],[Mouser SKU]], MouserListTable[[#This Row],[Supplier SKU]])</f>
        <v>474-PRT-14428</v>
      </c>
      <c r="E218" s="152">
        <f>MouserListTable[[#This Row],[Tot '#]]-MouserListTable[[#This Row],['# Initial]]</f>
        <v>0</v>
      </c>
      <c r="F218" s="152">
        <f>IF(AND(MouserListTable[[#This Row],[Tag]]&lt;&gt;FilterSpecs!$F$12, MouserListTable[[#This Row],[Tag]]&lt;&gt;FilterSpecs!$F$9), MouserListTable[[#This Row],['#/Unit]]*FilterSpecs!$B$3+MouserListTable[[#This Row],[Extra Initial]],0)</f>
        <v>0</v>
      </c>
      <c r="G218" s="150" t="s">
        <v>262</v>
      </c>
      <c r="H218" s="150" t="s">
        <v>263</v>
      </c>
      <c r="I218" s="150" t="s">
        <v>264</v>
      </c>
      <c r="J218" s="150"/>
      <c r="K218" s="154">
        <v>1.5</v>
      </c>
      <c r="L218" s="150" t="s">
        <v>1897</v>
      </c>
      <c r="M218" s="150"/>
      <c r="N218" s="154">
        <f>MouserListTable[[#This Row],['# Initial]]*MouserListTable[[#This Row],[Price (USD)]]</f>
        <v>0</v>
      </c>
      <c r="O218" s="151" t="s">
        <v>261</v>
      </c>
      <c r="P218" s="150">
        <f t="shared" si="3"/>
        <v>205</v>
      </c>
      <c r="Q218" s="150" t="s">
        <v>5</v>
      </c>
      <c r="R21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474-PRT-14428</v>
      </c>
      <c r="S218" s="157" t="str">
        <f>HYPERLINK("https://www.mouser.com/ProductDetail/" &amp;MouserListTable[[#This Row],[Mouser SKU]])</f>
        <v>https://www.mouser.com/ProductDetail/474-PRT-14428</v>
      </c>
      <c r="T218" s="152">
        <v>0</v>
      </c>
      <c r="U218" s="152">
        <v>0</v>
      </c>
      <c r="V218" s="152">
        <v>0</v>
      </c>
      <c r="W218" s="152">
        <f>MouserListTable[[#This Row],['#/Unit]]*FilterSpecs!$C$3+MouserListTable[[#This Row],[Extra]]</f>
        <v>0</v>
      </c>
      <c r="X218" s="152">
        <f>IF(MouserListTable[[#This Row],[Tag]]=FilterSpecs!$F$7,MouserListTable[[#This Row],['#/Unit]]*MouserListTable[[#This Row],[Price (USD)]],0)</f>
        <v>0</v>
      </c>
      <c r="Y218" s="152">
        <f>MouserListTable[[#This Row],[Tot '#]]*MouserListTable[[#This Row],[Price (USD)]]</f>
        <v>0</v>
      </c>
    </row>
    <row r="219" spans="1:28" s="151" customFormat="1" x14ac:dyDescent="0.25">
      <c r="A219" s="150" t="s">
        <v>888</v>
      </c>
      <c r="B219" s="150" t="s">
        <v>892</v>
      </c>
      <c r="C219" s="150" t="s">
        <v>5</v>
      </c>
      <c r="D219" s="151" t="str">
        <f>IF(MouserListTable[[#This Row],[Vendor]]=FilterSpecs!$A$8,MouserListTable[[#This Row],[Mouser SKU]], MouserListTable[[#This Row],[Supplier SKU]])</f>
        <v>474-PRT-14429</v>
      </c>
      <c r="E219" s="152">
        <f>MouserListTable[[#This Row],[Tot '#]]-MouserListTable[[#This Row],['# Initial]]</f>
        <v>1</v>
      </c>
      <c r="F219" s="152">
        <f>IF(AND(MouserListTable[[#This Row],[Tag]]&lt;&gt;FilterSpecs!$F$12, MouserListTable[[#This Row],[Tag]]&lt;&gt;FilterSpecs!$F$9), MouserListTable[[#This Row],['#/Unit]]*FilterSpecs!$B$3+MouserListTable[[#This Row],[Extra Initial]],0)</f>
        <v>0</v>
      </c>
      <c r="G219" s="150" t="s">
        <v>1810</v>
      </c>
      <c r="H219" s="150" t="s">
        <v>1811</v>
      </c>
      <c r="I219" s="150" t="s">
        <v>1812</v>
      </c>
      <c r="J219" s="150"/>
      <c r="K219" s="154">
        <v>1.95</v>
      </c>
      <c r="L219" s="150" t="s">
        <v>1896</v>
      </c>
      <c r="N219" s="154">
        <f>MouserListTable[[#This Row],['# Initial]]*MouserListTable[[#This Row],[Price (USD)]]</f>
        <v>0</v>
      </c>
      <c r="O219" s="151" t="s">
        <v>1809</v>
      </c>
      <c r="P219" s="150">
        <f t="shared" si="3"/>
        <v>206</v>
      </c>
      <c r="Q219" s="150" t="s">
        <v>5</v>
      </c>
      <c r="R21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474-PRT-14429</v>
      </c>
      <c r="S219" s="157" t="str">
        <f>HYPERLINK("https://www.mouser.com/ProductDetail/" &amp;MouserListTable[[#This Row],[Mouser SKU]])</f>
        <v>https://www.mouser.com/ProductDetail/474-PRT-14429</v>
      </c>
      <c r="T219" s="152">
        <v>0</v>
      </c>
      <c r="U219" s="152">
        <v>1</v>
      </c>
      <c r="V219" s="152">
        <v>0</v>
      </c>
      <c r="W219" s="152">
        <f>MouserListTable[[#This Row],['#/Unit]]*FilterSpecs!$C$3+MouserListTable[[#This Row],[Extra]]</f>
        <v>1</v>
      </c>
      <c r="X219" s="152">
        <f>IF(MouserListTable[[#This Row],[Tag]]=FilterSpecs!$F$7,MouserListTable[[#This Row],['#/Unit]]*MouserListTable[[#This Row],[Price (USD)]],0)</f>
        <v>0</v>
      </c>
      <c r="Y219" s="152">
        <f>MouserListTable[[#This Row],[Tot '#]]*MouserListTable[[#This Row],[Price (USD)]]</f>
        <v>1.95</v>
      </c>
    </row>
    <row r="220" spans="1:28" s="151" customFormat="1" x14ac:dyDescent="0.25">
      <c r="A220" s="150" t="s">
        <v>888</v>
      </c>
      <c r="B220" s="150" t="s">
        <v>892</v>
      </c>
      <c r="C220" s="150" t="s">
        <v>5</v>
      </c>
      <c r="D220" s="151" t="str">
        <f>IF(MouserListTable[[#This Row],[Vendor]]=FilterSpecs!$A$8,MouserListTable[[#This Row],[Mouser SKU]], MouserListTable[[#This Row],[Supplier SKU]])</f>
        <v>474-SPX-14323</v>
      </c>
      <c r="E220" s="152">
        <f>MouserListTable[[#This Row],[Tot '#]]-MouserListTable[[#This Row],['# Initial]]</f>
        <v>2</v>
      </c>
      <c r="F220" s="152">
        <f>IF(AND(MouserListTable[[#This Row],[Tag]]&lt;&gt;FilterSpecs!$F$12, MouserListTable[[#This Row],[Tag]]&lt;&gt;FilterSpecs!$F$9), MouserListTable[[#This Row],['#/Unit]]*FilterSpecs!$B$3+MouserListTable[[#This Row],[Extra Initial]],0)</f>
        <v>0</v>
      </c>
      <c r="G220" s="150" t="s">
        <v>729</v>
      </c>
      <c r="H220" s="150" t="s">
        <v>730</v>
      </c>
      <c r="I220" s="150" t="s">
        <v>731</v>
      </c>
      <c r="J220" s="150"/>
      <c r="K220" s="154">
        <v>2.95</v>
      </c>
      <c r="L220" s="150" t="s">
        <v>2461</v>
      </c>
      <c r="M220" s="150"/>
      <c r="N220" s="154">
        <f>MouserListTable[[#This Row],['# Initial]]*MouserListTable[[#This Row],[Price (USD)]]</f>
        <v>0</v>
      </c>
      <c r="O220" s="151" t="s">
        <v>728</v>
      </c>
      <c r="P220" s="150">
        <f t="shared" si="3"/>
        <v>207</v>
      </c>
      <c r="Q220" s="150" t="s">
        <v>5</v>
      </c>
      <c r="R22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474-SPX-14323</v>
      </c>
      <c r="S220" s="157" t="str">
        <f>HYPERLINK("https://www.mouser.com/ProductDetail/" &amp;MouserListTable[[#This Row],[Mouser SKU]])</f>
        <v>https://www.mouser.com/ProductDetail/474-SPX-14323</v>
      </c>
      <c r="T220" s="152">
        <v>0</v>
      </c>
      <c r="U220" s="152">
        <v>2</v>
      </c>
      <c r="V220" s="152">
        <v>0</v>
      </c>
      <c r="W220" s="152">
        <f>MouserListTable[[#This Row],['#/Unit]]*FilterSpecs!$C$3+MouserListTable[[#This Row],[Extra]]</f>
        <v>2</v>
      </c>
      <c r="X220" s="152">
        <f>IF(MouserListTable[[#This Row],[Tag]]=FilterSpecs!$F$7,MouserListTable[[#This Row],['#/Unit]]*MouserListTable[[#This Row],[Price (USD)]],0)</f>
        <v>0</v>
      </c>
      <c r="Y220" s="152">
        <f>MouserListTable[[#This Row],[Tot '#]]*MouserListTable[[#This Row],[Price (USD)]]</f>
        <v>5.9</v>
      </c>
    </row>
    <row r="221" spans="1:28" s="151" customFormat="1" x14ac:dyDescent="0.25">
      <c r="A221" s="150" t="s">
        <v>888</v>
      </c>
      <c r="B221" s="150" t="s">
        <v>892</v>
      </c>
      <c r="C221" s="150" t="s">
        <v>5</v>
      </c>
      <c r="D221" s="151" t="str">
        <f>IF(MouserListTable[[#This Row],[Vendor]]=FilterSpecs!$A$8,MouserListTable[[#This Row],[Mouser SKU]], MouserListTable[[#This Row],[Supplier SKU]])</f>
        <v>474-SPX-14324</v>
      </c>
      <c r="E221" s="152">
        <f>MouserListTable[[#This Row],[Tot '#]]-MouserListTable[[#This Row],['# Initial]]</f>
        <v>1</v>
      </c>
      <c r="F221" s="152">
        <f>IF(AND(MouserListTable[[#This Row],[Tag]]&lt;&gt;FilterSpecs!$F$12, MouserListTable[[#This Row],[Tag]]&lt;&gt;FilterSpecs!$F$9), MouserListTable[[#This Row],['#/Unit]]*FilterSpecs!$B$3+MouserListTable[[#This Row],[Extra Initial]],0)</f>
        <v>0</v>
      </c>
      <c r="G221" s="150" t="s">
        <v>1794</v>
      </c>
      <c r="H221" s="150" t="s">
        <v>1795</v>
      </c>
      <c r="I221" s="150" t="s">
        <v>1796</v>
      </c>
      <c r="J221" s="150"/>
      <c r="K221" s="154">
        <v>2.95</v>
      </c>
      <c r="L221" s="150" t="s">
        <v>1896</v>
      </c>
      <c r="N221" s="154">
        <f>MouserListTable[[#This Row],['# Initial]]*MouserListTable[[#This Row],[Price (USD)]]</f>
        <v>0</v>
      </c>
      <c r="O221" s="151" t="s">
        <v>1793</v>
      </c>
      <c r="P221" s="150">
        <f t="shared" si="3"/>
        <v>208</v>
      </c>
      <c r="Q221" s="150" t="s">
        <v>5</v>
      </c>
      <c r="R22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474-SPX-14324</v>
      </c>
      <c r="S221" s="157" t="str">
        <f>HYPERLINK("https://www.mouser.com/ProductDetail/" &amp;MouserListTable[[#This Row],[Mouser SKU]])</f>
        <v>https://www.mouser.com/ProductDetail/474-SPX-14324</v>
      </c>
      <c r="T221" s="152">
        <v>0</v>
      </c>
      <c r="U221" s="152">
        <v>1</v>
      </c>
      <c r="V221" s="152">
        <v>0</v>
      </c>
      <c r="W221" s="152">
        <f>MouserListTable[[#This Row],['#/Unit]]*FilterSpecs!$C$3+MouserListTable[[#This Row],[Extra]]</f>
        <v>1</v>
      </c>
      <c r="X221" s="152">
        <f>IF(MouserListTable[[#This Row],[Tag]]=FilterSpecs!$F$7,MouserListTable[[#This Row],['#/Unit]]*MouserListTable[[#This Row],[Price (USD)]],0)</f>
        <v>0</v>
      </c>
      <c r="Y221" s="152">
        <f>MouserListTable[[#This Row],[Tot '#]]*MouserListTable[[#This Row],[Price (USD)]]</f>
        <v>2.95</v>
      </c>
    </row>
    <row r="222" spans="1:28" s="151" customFormat="1" x14ac:dyDescent="0.25">
      <c r="A222" s="150" t="s">
        <v>888</v>
      </c>
      <c r="B222" s="150" t="s">
        <v>1593</v>
      </c>
      <c r="C222" s="150" t="s">
        <v>5</v>
      </c>
      <c r="D222" s="151" t="str">
        <f>IF(MouserListTable[[#This Row],[Vendor]]=FilterSpecs!$A$8,MouserListTable[[#This Row],[Mouser SKU]], MouserListTable[[#This Row],[Supplier SKU]])</f>
        <v>474-DEV-11723</v>
      </c>
      <c r="E222" s="152">
        <f>MouserListTable[[#This Row],[Tot '#]]-MouserListTable[[#This Row],['# Initial]]</f>
        <v>1</v>
      </c>
      <c r="F222" s="152">
        <f>IF(AND(MouserListTable[[#This Row],[Tag]]&lt;&gt;FilterSpecs!$F$12, MouserListTable[[#This Row],[Tag]]&lt;&gt;FilterSpecs!$F$9), MouserListTable[[#This Row],['#/Unit]]*FilterSpecs!$B$3+MouserListTable[[#This Row],[Extra Initial]],0)</f>
        <v>0</v>
      </c>
      <c r="G222" s="150" t="s">
        <v>1097</v>
      </c>
      <c r="H222" s="150" t="s">
        <v>1098</v>
      </c>
      <c r="I222" s="150" t="s">
        <v>1099</v>
      </c>
      <c r="J222" s="150"/>
      <c r="K222" s="154">
        <v>24.95</v>
      </c>
      <c r="L222" s="150" t="s">
        <v>1896</v>
      </c>
      <c r="N222" s="154">
        <f>MouserListTable[[#This Row],['# Initial]]*MouserListTable[[#This Row],[Price (USD)]]</f>
        <v>0</v>
      </c>
      <c r="O222" s="151" t="s">
        <v>1096</v>
      </c>
      <c r="P222" s="150">
        <f t="shared" si="3"/>
        <v>209</v>
      </c>
      <c r="Q222" s="150" t="s">
        <v>5</v>
      </c>
      <c r="R22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474-DEV-11723</v>
      </c>
      <c r="S222" s="157" t="str">
        <f>HYPERLINK("https://www.mouser.com/ProductDetail/" &amp;MouserListTable[[#This Row],[Mouser SKU]])</f>
        <v>https://www.mouser.com/ProductDetail/474-DEV-11723</v>
      </c>
      <c r="T222" s="152">
        <v>0</v>
      </c>
      <c r="U222" s="152">
        <v>1</v>
      </c>
      <c r="V222" s="152">
        <v>0</v>
      </c>
      <c r="W222" s="152">
        <f>MouserListTable[[#This Row],['#/Unit]]*FilterSpecs!$C$3+MouserListTable[[#This Row],[Extra]]</f>
        <v>1</v>
      </c>
      <c r="X222" s="152">
        <f>IF(MouserListTable[[#This Row],[Tag]]=FilterSpecs!$F$7,MouserListTable[[#This Row],['#/Unit]]*MouserListTable[[#This Row],[Price (USD)]],0)</f>
        <v>0</v>
      </c>
      <c r="Y222" s="152">
        <f>MouserListTable[[#This Row],[Tot '#]]*MouserListTable[[#This Row],[Price (USD)]]</f>
        <v>24.95</v>
      </c>
    </row>
    <row r="223" spans="1:28" s="151" customFormat="1" x14ac:dyDescent="0.25">
      <c r="A223" s="150" t="s">
        <v>888</v>
      </c>
      <c r="B223" s="150" t="s">
        <v>1593</v>
      </c>
      <c r="C223" s="150" t="s">
        <v>5</v>
      </c>
      <c r="D223" s="151" t="str">
        <f>IF(MouserListTable[[#This Row],[Vendor]]=FilterSpecs!$A$8,MouserListTable[[#This Row],[Mouser SKU]], MouserListTable[[#This Row],[Supplier SKU]])</f>
        <v>474-BOB-09056</v>
      </c>
      <c r="E223" s="152">
        <f>MouserListTable[[#This Row],[Tot '#]]-MouserListTable[[#This Row],['# Initial]]</f>
        <v>1</v>
      </c>
      <c r="F223" s="152">
        <f>IF(AND(MouserListTable[[#This Row],[Tag]]&lt;&gt;FilterSpecs!$F$12, MouserListTable[[#This Row],[Tag]]&lt;&gt;FilterSpecs!$F$9), MouserListTable[[#This Row],['#/Unit]]*FilterSpecs!$B$3+MouserListTable[[#This Row],[Extra Initial]],0)</f>
        <v>5</v>
      </c>
      <c r="G223" s="150" t="s">
        <v>487</v>
      </c>
      <c r="H223" s="150" t="s">
        <v>488</v>
      </c>
      <c r="I223" s="150" t="s">
        <v>211</v>
      </c>
      <c r="J223" s="150">
        <v>1</v>
      </c>
      <c r="K223" s="154">
        <v>4.95</v>
      </c>
      <c r="L223" s="150" t="s">
        <v>1897</v>
      </c>
      <c r="M223" s="150"/>
      <c r="N223" s="154">
        <f>MouserListTable[[#This Row],['# Initial]]*MouserListTable[[#This Row],[Price (USD)]]</f>
        <v>24.75</v>
      </c>
      <c r="O223" s="151" t="s">
        <v>486</v>
      </c>
      <c r="P223" s="150">
        <f t="shared" si="3"/>
        <v>210</v>
      </c>
      <c r="Q223" s="150" t="s">
        <v>5</v>
      </c>
      <c r="R22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474-BOB-09056</v>
      </c>
      <c r="S223" s="157" t="str">
        <f>HYPERLINK("https://www.mouser.com/ProductDetail/" &amp;MouserListTable[[#This Row],[Mouser SKU]])</f>
        <v>https://www.mouser.com/ProductDetail/474-BOB-09056</v>
      </c>
      <c r="T223" s="152">
        <v>1</v>
      </c>
      <c r="U223" s="152">
        <v>1</v>
      </c>
      <c r="V223" s="152">
        <v>0</v>
      </c>
      <c r="W223" s="152">
        <f>MouserListTable[[#This Row],['#/Unit]]*FilterSpecs!$C$3+MouserListTable[[#This Row],[Extra]]</f>
        <v>6</v>
      </c>
      <c r="X223" s="152">
        <f>IF(MouserListTable[[#This Row],[Tag]]=FilterSpecs!$F$7,MouserListTable[[#This Row],['#/Unit]]*MouserListTable[[#This Row],[Price (USD)]],0)</f>
        <v>4.95</v>
      </c>
      <c r="Y223" s="152">
        <f>MouserListTable[[#This Row],[Tot '#]]*MouserListTable[[#This Row],[Price (USD)]]</f>
        <v>29.700000000000003</v>
      </c>
    </row>
    <row r="224" spans="1:28" s="63" customFormat="1" x14ac:dyDescent="0.25">
      <c r="A224" s="150" t="s">
        <v>888</v>
      </c>
      <c r="B224" s="150" t="s">
        <v>1593</v>
      </c>
      <c r="C224" s="150" t="s">
        <v>1884</v>
      </c>
      <c r="D224" s="151" t="str">
        <f>IF(MouserListTable[[#This Row],[Vendor]]=FilterSpecs!$A$8,MouserListTable[[#This Row],[Mouser SKU]], MouserListTable[[#This Row],[Supplier SKU]])</f>
        <v>485-2717</v>
      </c>
      <c r="E224" s="152">
        <f>MouserListTable[[#This Row],[Tot '#]]-MouserListTable[[#This Row],['# Initial]]</f>
        <v>0</v>
      </c>
      <c r="F224" s="152">
        <f>IF(AND(MouserListTable[[#This Row],[Tag]]&lt;&gt;FilterSpecs!$F$12, MouserListTable[[#This Row],[Tag]]&lt;&gt;FilterSpecs!$F$9), MouserListTable[[#This Row],['#/Unit]]*FilterSpecs!$B$3+MouserListTable[[#This Row],[Extra Initial]],0)</f>
        <v>0</v>
      </c>
      <c r="G224" s="150"/>
      <c r="H224" s="150"/>
      <c r="I224" s="150" t="s">
        <v>2339</v>
      </c>
      <c r="J224" s="153"/>
      <c r="K224" s="118">
        <v>6.95</v>
      </c>
      <c r="L224" s="97" t="s">
        <v>1896</v>
      </c>
      <c r="M224" s="153"/>
      <c r="N224" s="154">
        <f>MouserListTable[[#This Row],['# Initial]]*MouserListTable[[#This Row],[Price (USD)]]</f>
        <v>0</v>
      </c>
      <c r="O224" s="151" t="s">
        <v>2338</v>
      </c>
      <c r="P224" s="150">
        <f t="shared" si="3"/>
        <v>211</v>
      </c>
      <c r="Q224" s="150" t="s">
        <v>1884</v>
      </c>
      <c r="R22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485-2717</v>
      </c>
      <c r="S224" s="157" t="str">
        <f>HYPERLINK("https://www.mouser.com/ProductDetail/" &amp;MouserListTable[[#This Row],[Mouser SKU]])</f>
        <v>https://www.mouser.com/ProductDetail/485-2717</v>
      </c>
      <c r="T224" s="152">
        <v>0</v>
      </c>
      <c r="U224" s="152">
        <v>0</v>
      </c>
      <c r="V224" s="152">
        <v>0</v>
      </c>
      <c r="W224" s="152">
        <f>MouserListTable[[#This Row],['#/Unit]]*FilterSpecs!$C$3+MouserListTable[[#This Row],[Extra]]</f>
        <v>0</v>
      </c>
      <c r="X224" s="152">
        <f>IF(MouserListTable[[#This Row],[Tag]]=FilterSpecs!$F$7,MouserListTable[[#This Row],['#/Unit]]*MouserListTable[[#This Row],[Price (USD)]],0)</f>
        <v>0</v>
      </c>
      <c r="Y224" s="152">
        <f>MouserListTable[[#This Row],[Tot '#]]*MouserListTable[[#This Row],[Price (USD)]]</f>
        <v>0</v>
      </c>
    </row>
    <row r="225" spans="1:25" s="109" customFormat="1" x14ac:dyDescent="0.25">
      <c r="A225" s="150" t="s">
        <v>888</v>
      </c>
      <c r="B225" s="150" t="s">
        <v>1593</v>
      </c>
      <c r="C225" s="150" t="s">
        <v>5</v>
      </c>
      <c r="D225" s="151" t="str">
        <f>IF(MouserListTable[[#This Row],[Vendor]]=FilterSpecs!$A$8,MouserListTable[[#This Row],[Mouser SKU]], MouserListTable[[#This Row],[Supplier SKU]])</f>
        <v>474-BOB-09118</v>
      </c>
      <c r="E225" s="152">
        <f>MouserListTable[[#This Row],[Tot '#]]-MouserListTable[[#This Row],['# Initial]]</f>
        <v>3</v>
      </c>
      <c r="F225" s="152">
        <f>IF(AND(MouserListTable[[#This Row],[Tag]]&lt;&gt;FilterSpecs!$F$12, MouserListTable[[#This Row],[Tag]]&lt;&gt;FilterSpecs!$F$9), MouserListTable[[#This Row],['#/Unit]]*FilterSpecs!$B$3+MouserListTable[[#This Row],[Extra Initial]],0)</f>
        <v>5</v>
      </c>
      <c r="G225" s="150" t="s">
        <v>490</v>
      </c>
      <c r="H225" s="150" t="s">
        <v>491</v>
      </c>
      <c r="I225" s="150" t="s">
        <v>207</v>
      </c>
      <c r="J225" s="150">
        <v>1</v>
      </c>
      <c r="K225" s="154">
        <v>4.95</v>
      </c>
      <c r="L225" s="150" t="s">
        <v>1897</v>
      </c>
      <c r="M225" s="150"/>
      <c r="N225" s="154">
        <f>MouserListTable[[#This Row],['# Initial]]*MouserListTable[[#This Row],[Price (USD)]]</f>
        <v>24.75</v>
      </c>
      <c r="O225" s="151" t="s">
        <v>489</v>
      </c>
      <c r="P225" s="150">
        <f t="shared" si="3"/>
        <v>212</v>
      </c>
      <c r="Q225" s="150" t="s">
        <v>5</v>
      </c>
      <c r="R22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474-BOB-09118</v>
      </c>
      <c r="S225" s="157" t="str">
        <f>HYPERLINK("https://www.mouser.com/ProductDetail/" &amp;MouserListTable[[#This Row],[Mouser SKU]])</f>
        <v>https://www.mouser.com/ProductDetail/474-BOB-09118</v>
      </c>
      <c r="T225" s="152">
        <v>1</v>
      </c>
      <c r="U225" s="152">
        <v>3</v>
      </c>
      <c r="V225" s="152">
        <v>0</v>
      </c>
      <c r="W225" s="152">
        <f>MouserListTable[[#This Row],['#/Unit]]*FilterSpecs!$C$3+MouserListTable[[#This Row],[Extra]]</f>
        <v>8</v>
      </c>
      <c r="X225" s="152">
        <f>IF(MouserListTable[[#This Row],[Tag]]=FilterSpecs!$F$7,MouserListTable[[#This Row],['#/Unit]]*MouserListTable[[#This Row],[Price (USD)]],0)</f>
        <v>4.95</v>
      </c>
      <c r="Y225" s="152">
        <f>MouserListTable[[#This Row],[Tot '#]]*MouserListTable[[#This Row],[Price (USD)]]</f>
        <v>39.6</v>
      </c>
    </row>
    <row r="226" spans="1:25" s="63" customFormat="1" x14ac:dyDescent="0.25">
      <c r="A226" s="150" t="s">
        <v>888</v>
      </c>
      <c r="B226" s="150" t="s">
        <v>1593</v>
      </c>
      <c r="C226" s="150" t="s">
        <v>1884</v>
      </c>
      <c r="D226" s="151" t="str">
        <f>IF(MouserListTable[[#This Row],[Vendor]]=FilterSpecs!$A$8,MouserListTable[[#This Row],[Mouser SKU]], MouserListTable[[#This Row],[Supplier SKU]])</f>
        <v>485-1085</v>
      </c>
      <c r="E226" s="152">
        <f>MouserListTable[[#This Row],[Tot '#]]-MouserListTable[[#This Row],['# Initial]]</f>
        <v>0</v>
      </c>
      <c r="F226" s="152">
        <f>IF(AND(MouserListTable[[#This Row],[Tag]]&lt;&gt;FilterSpecs!$F$12, MouserListTable[[#This Row],[Tag]]&lt;&gt;FilterSpecs!$F$9), MouserListTable[[#This Row],['#/Unit]]*FilterSpecs!$B$3+MouserListTable[[#This Row],[Extra Initial]],0)</f>
        <v>0</v>
      </c>
      <c r="G226" s="150"/>
      <c r="H226" s="150"/>
      <c r="I226" s="150" t="s">
        <v>2335</v>
      </c>
      <c r="J226" s="153"/>
      <c r="K226" s="118">
        <v>14.95</v>
      </c>
      <c r="L226" s="97" t="s">
        <v>1896</v>
      </c>
      <c r="M226" s="153"/>
      <c r="N226" s="154">
        <f>MouserListTable[[#This Row],['# Initial]]*MouserListTable[[#This Row],[Price (USD)]]</f>
        <v>0</v>
      </c>
      <c r="O226" s="151" t="s">
        <v>2334</v>
      </c>
      <c r="P226" s="150">
        <f t="shared" si="3"/>
        <v>213</v>
      </c>
      <c r="Q226" s="150" t="s">
        <v>1884</v>
      </c>
      <c r="R22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485-1085</v>
      </c>
      <c r="S226" s="157" t="str">
        <f>HYPERLINK("https://www.mouser.com/ProductDetail/" &amp;MouserListTable[[#This Row],[Mouser SKU]])</f>
        <v>https://www.mouser.com/ProductDetail/485-1085</v>
      </c>
      <c r="T226" s="152">
        <v>0</v>
      </c>
      <c r="U226" s="152">
        <v>0</v>
      </c>
      <c r="V226" s="152">
        <v>0</v>
      </c>
      <c r="W226" s="152">
        <f>MouserListTable[[#This Row],['#/Unit]]*FilterSpecs!$C$3+MouserListTable[[#This Row],[Extra]]</f>
        <v>0</v>
      </c>
      <c r="X226" s="152">
        <f>IF(MouserListTable[[#This Row],[Tag]]=FilterSpecs!$F$7,MouserListTable[[#This Row],['#/Unit]]*MouserListTable[[#This Row],[Price (USD)]],0)</f>
        <v>0</v>
      </c>
      <c r="Y226" s="152">
        <f>MouserListTable[[#This Row],[Tot '#]]*MouserListTable[[#This Row],[Price (USD)]]</f>
        <v>0</v>
      </c>
    </row>
    <row r="227" spans="1:25" s="63" customFormat="1" x14ac:dyDescent="0.25">
      <c r="A227" s="150" t="s">
        <v>888</v>
      </c>
      <c r="B227" s="150" t="s">
        <v>1593</v>
      </c>
      <c r="C227" s="150" t="s">
        <v>1884</v>
      </c>
      <c r="D227" s="151" t="str">
        <f>IF(MouserListTable[[#This Row],[Vendor]]=FilterSpecs!$A$8,MouserListTable[[#This Row],[Mouser SKU]], MouserListTable[[#This Row],[Supplier SKU]])</f>
        <v>485-856</v>
      </c>
      <c r="E227" s="152">
        <f>MouserListTable[[#This Row],[Tot '#]]-MouserListTable[[#This Row],['# Initial]]</f>
        <v>0</v>
      </c>
      <c r="F227" s="152">
        <f>IF(AND(MouserListTable[[#This Row],[Tag]]&lt;&gt;FilterSpecs!$F$12, MouserListTable[[#This Row],[Tag]]&lt;&gt;FilterSpecs!$F$9), MouserListTable[[#This Row],['#/Unit]]*FilterSpecs!$B$3+MouserListTable[[#This Row],[Extra Initial]],0)</f>
        <v>0</v>
      </c>
      <c r="G227" s="150"/>
      <c r="H227" s="150"/>
      <c r="I227" s="150" t="s">
        <v>2337</v>
      </c>
      <c r="J227" s="153"/>
      <c r="K227" s="118">
        <v>3.75</v>
      </c>
      <c r="L227" s="97" t="s">
        <v>1896</v>
      </c>
      <c r="M227" s="153"/>
      <c r="N227" s="154">
        <f>MouserListTable[[#This Row],['# Initial]]*MouserListTable[[#This Row],[Price (USD)]]</f>
        <v>0</v>
      </c>
      <c r="O227" s="151" t="s">
        <v>2336</v>
      </c>
      <c r="P227" s="150">
        <f t="shared" si="3"/>
        <v>214</v>
      </c>
      <c r="Q227" s="150" t="s">
        <v>1884</v>
      </c>
      <c r="R22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485-856</v>
      </c>
      <c r="S227" s="157" t="str">
        <f>HYPERLINK("https://www.mouser.com/ProductDetail/" &amp;MouserListTable[[#This Row],[Mouser SKU]])</f>
        <v>https://www.mouser.com/ProductDetail/485-856</v>
      </c>
      <c r="T227" s="152">
        <v>0</v>
      </c>
      <c r="U227" s="152">
        <v>0</v>
      </c>
      <c r="V227" s="152">
        <v>0</v>
      </c>
      <c r="W227" s="152">
        <f>MouserListTable[[#This Row],['#/Unit]]*FilterSpecs!$C$3+MouserListTable[[#This Row],[Extra]]</f>
        <v>0</v>
      </c>
      <c r="X227" s="152">
        <f>IF(MouserListTable[[#This Row],[Tag]]=FilterSpecs!$F$7,MouserListTable[[#This Row],['#/Unit]]*MouserListTable[[#This Row],[Price (USD)]],0)</f>
        <v>0</v>
      </c>
      <c r="Y227" s="152">
        <f>MouserListTable[[#This Row],[Tot '#]]*MouserListTable[[#This Row],[Price (USD)]]</f>
        <v>0</v>
      </c>
    </row>
    <row r="228" spans="1:25" s="63" customFormat="1" x14ac:dyDescent="0.25">
      <c r="A228" s="97" t="s">
        <v>888</v>
      </c>
      <c r="B228" s="97" t="s">
        <v>2017</v>
      </c>
      <c r="C228" s="150" t="s">
        <v>5</v>
      </c>
      <c r="D228" s="151" t="str">
        <f>IF(MouserListTable[[#This Row],[Vendor]]=FilterSpecs!$A$8,MouserListTable[[#This Row],[Mouser SKU]], MouserListTable[[#This Row],[Supplier SKU]])</f>
        <v>474-CAB-11604</v>
      </c>
      <c r="E228" s="152">
        <f>MouserListTable[[#This Row],[Tot '#]]-MouserListTable[[#This Row],['# Initial]]</f>
        <v>0</v>
      </c>
      <c r="F228" s="152">
        <f>IF(AND(MouserListTable[[#This Row],[Tag]]&lt;&gt;FilterSpecs!$F$12, MouserListTable[[#This Row],[Tag]]&lt;&gt;FilterSpecs!$F$9), MouserListTable[[#This Row],['#/Unit]]*FilterSpecs!$B$3+MouserListTable[[#This Row],[Extra Initial]],0)</f>
        <v>0</v>
      </c>
      <c r="G228" s="150" t="s">
        <v>1490</v>
      </c>
      <c r="H228" s="150" t="s">
        <v>1491</v>
      </c>
      <c r="I228" s="150" t="s">
        <v>1492</v>
      </c>
      <c r="J228" s="150">
        <v>1</v>
      </c>
      <c r="K228" s="154">
        <v>2.95</v>
      </c>
      <c r="L228" s="150" t="s">
        <v>1896</v>
      </c>
      <c r="M228" s="153"/>
      <c r="N228" s="154">
        <f>MouserListTable[[#This Row],['# Initial]]*MouserListTable[[#This Row],[Price (USD)]]</f>
        <v>0</v>
      </c>
      <c r="O228" s="151" t="s">
        <v>1489</v>
      </c>
      <c r="P228" s="150">
        <f t="shared" si="3"/>
        <v>215</v>
      </c>
      <c r="Q228" s="150" t="s">
        <v>5</v>
      </c>
      <c r="R22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474-CAB-11604</v>
      </c>
      <c r="S228" s="157" t="str">
        <f>HYPERLINK("https://www.mouser.com/ProductDetail/" &amp;MouserListTable[[#This Row],[Mouser SKU]])</f>
        <v>https://www.mouser.com/ProductDetail/474-CAB-11604</v>
      </c>
      <c r="T228" s="152">
        <v>0</v>
      </c>
      <c r="U228" s="152">
        <v>0</v>
      </c>
      <c r="V228" s="152">
        <v>0</v>
      </c>
      <c r="W228" s="152">
        <f>MouserListTable[[#This Row],['#/Unit]]*FilterSpecs!$C$3+MouserListTable[[#This Row],[Extra]]</f>
        <v>0</v>
      </c>
      <c r="X228" s="152">
        <f>IF(MouserListTable[[#This Row],[Tag]]=FilterSpecs!$F$7,MouserListTable[[#This Row],['#/Unit]]*MouserListTable[[#This Row],[Price (USD)]],0)</f>
        <v>0</v>
      </c>
      <c r="Y228" s="152">
        <f>MouserListTable[[#This Row],[Tot '#]]*MouserListTable[[#This Row],[Price (USD)]]</f>
        <v>0</v>
      </c>
    </row>
    <row r="229" spans="1:25" s="80" customFormat="1" x14ac:dyDescent="0.25">
      <c r="A229" s="97" t="s">
        <v>888</v>
      </c>
      <c r="B229" s="97" t="s">
        <v>2017</v>
      </c>
      <c r="C229" s="150" t="s">
        <v>5</v>
      </c>
      <c r="D229" s="151" t="str">
        <f>IF(MouserListTable[[#This Row],[Vendor]]=FilterSpecs!$A$8,MouserListTable[[#This Row],[Mouser SKU]], MouserListTable[[#This Row],[Supplier SKU]])</f>
        <v>474-CAB-14276</v>
      </c>
      <c r="E229" s="152">
        <f>MouserListTable[[#This Row],[Tot '#]]-MouserListTable[[#This Row],['# Initial]]</f>
        <v>0</v>
      </c>
      <c r="F229" s="152">
        <f>IF(AND(MouserListTable[[#This Row],[Tag]]&lt;&gt;FilterSpecs!$F$12, MouserListTable[[#This Row],[Tag]]&lt;&gt;FilterSpecs!$F$9), MouserListTable[[#This Row],['#/Unit]]*FilterSpecs!$B$3+MouserListTable[[#This Row],[Extra Initial]],0)</f>
        <v>0</v>
      </c>
      <c r="G229" s="150" t="s">
        <v>1502</v>
      </c>
      <c r="H229" s="150" t="s">
        <v>1503</v>
      </c>
      <c r="I229" s="150" t="s">
        <v>1504</v>
      </c>
      <c r="J229" s="150"/>
      <c r="K229" s="154">
        <v>2.95</v>
      </c>
      <c r="L229" s="150" t="s">
        <v>1896</v>
      </c>
      <c r="M229" s="153"/>
      <c r="N229" s="154">
        <f>MouserListTable[[#This Row],['# Initial]]*MouserListTable[[#This Row],[Price (USD)]]</f>
        <v>0</v>
      </c>
      <c r="O229" s="151" t="s">
        <v>1501</v>
      </c>
      <c r="P229" s="150">
        <f t="shared" si="3"/>
        <v>216</v>
      </c>
      <c r="Q229" s="150" t="s">
        <v>5</v>
      </c>
      <c r="R22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474-CAB-14276</v>
      </c>
      <c r="S229" s="157" t="str">
        <f>HYPERLINK("https://www.mouser.com/ProductDetail/" &amp;MouserListTable[[#This Row],[Mouser SKU]])</f>
        <v>https://www.mouser.com/ProductDetail/474-CAB-14276</v>
      </c>
      <c r="T229" s="152">
        <v>0</v>
      </c>
      <c r="U229" s="152">
        <v>0</v>
      </c>
      <c r="V229" s="152">
        <v>0</v>
      </c>
      <c r="W229" s="152">
        <f>MouserListTable[[#This Row],['#/Unit]]*FilterSpecs!$C$3+MouserListTable[[#This Row],[Extra]]</f>
        <v>0</v>
      </c>
      <c r="X229" s="152">
        <f>IF(MouserListTable[[#This Row],[Tag]]=FilterSpecs!$F$7,MouserListTable[[#This Row],['#/Unit]]*MouserListTable[[#This Row],[Price (USD)]],0)</f>
        <v>0</v>
      </c>
      <c r="Y229" s="152">
        <f>MouserListTable[[#This Row],[Tot '#]]*MouserListTable[[#This Row],[Price (USD)]]</f>
        <v>0</v>
      </c>
    </row>
    <row r="230" spans="1:25" x14ac:dyDescent="0.25">
      <c r="A230" s="97" t="s">
        <v>888</v>
      </c>
      <c r="B230" s="97" t="s">
        <v>2017</v>
      </c>
      <c r="C230" s="150" t="s">
        <v>1884</v>
      </c>
      <c r="D230" s="151" t="str">
        <f>IF(MouserListTable[[#This Row],[Vendor]]=FilterSpecs!$A$8,MouserListTable[[#This Row],[Mouser SKU]], MouserListTable[[#This Row],[Supplier SKU]])</f>
        <v>485-1099</v>
      </c>
      <c r="E230" s="152">
        <f>MouserListTable[[#This Row],[Tot '#]]-MouserListTable[[#This Row],['# Initial]]</f>
        <v>0</v>
      </c>
      <c r="F230" s="152">
        <f>IF(AND(MouserListTable[[#This Row],[Tag]]&lt;&gt;FilterSpecs!$F$12, MouserListTable[[#This Row],[Tag]]&lt;&gt;FilterSpecs!$F$9), MouserListTable[[#This Row],['#/Unit]]*FilterSpecs!$B$3+MouserListTable[[#This Row],[Extra Initial]],0)</f>
        <v>0</v>
      </c>
      <c r="G230" s="150"/>
      <c r="H230" s="150"/>
      <c r="I230" s="150" t="s">
        <v>2345</v>
      </c>
      <c r="J230" s="150"/>
      <c r="K230" s="154">
        <v>2.5</v>
      </c>
      <c r="L230" s="150" t="s">
        <v>1896</v>
      </c>
      <c r="M230" s="153"/>
      <c r="N230" s="154">
        <f>MouserListTable[[#This Row],['# Initial]]*MouserListTable[[#This Row],[Price (USD)]]</f>
        <v>0</v>
      </c>
      <c r="O230" s="151" t="s">
        <v>2344</v>
      </c>
      <c r="P230" s="150">
        <f t="shared" si="3"/>
        <v>217</v>
      </c>
      <c r="Q230" s="150" t="s">
        <v>1884</v>
      </c>
      <c r="R23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485-1099</v>
      </c>
      <c r="S230" s="157" t="str">
        <f>HYPERLINK("https://www.mouser.com/ProductDetail/" &amp;MouserListTable[[#This Row],[Mouser SKU]])</f>
        <v>https://www.mouser.com/ProductDetail/485-1099</v>
      </c>
      <c r="T230" s="152">
        <v>0</v>
      </c>
      <c r="U230" s="152">
        <v>0</v>
      </c>
      <c r="V230" s="152">
        <v>0</v>
      </c>
      <c r="W230" s="152">
        <f>MouserListTable[[#This Row],['#/Unit]]*FilterSpecs!$C$3+MouserListTable[[#This Row],[Extra]]</f>
        <v>0</v>
      </c>
      <c r="X230" s="152">
        <f>IF(MouserListTable[[#This Row],[Tag]]=FilterSpecs!$F$7,MouserListTable[[#This Row],['#/Unit]]*MouserListTable[[#This Row],[Price (USD)]],0)</f>
        <v>0</v>
      </c>
      <c r="Y230" s="152">
        <f>MouserListTable[[#This Row],[Tot '#]]*MouserListTable[[#This Row],[Price (USD)]]</f>
        <v>0</v>
      </c>
    </row>
    <row r="231" spans="1:25" x14ac:dyDescent="0.25">
      <c r="A231" s="150" t="s">
        <v>888</v>
      </c>
      <c r="B231" s="150" t="s">
        <v>2017</v>
      </c>
      <c r="C231" s="150" t="s">
        <v>1884</v>
      </c>
      <c r="D231" s="151" t="str">
        <f>IF(MouserListTable[[#This Row],[Vendor]]=FilterSpecs!$A$8,MouserListTable[[#This Row],[Mouser SKU]], MouserListTable[[#This Row],[Supplier SKU]])</f>
        <v>485-2910</v>
      </c>
      <c r="E231" s="152">
        <f>MouserListTable[[#This Row],[Tot '#]]-MouserListTable[[#This Row],['# Initial]]</f>
        <v>0</v>
      </c>
      <c r="F231" s="152">
        <f>IF(AND(MouserListTable[[#This Row],[Tag]]&lt;&gt;FilterSpecs!$F$12, MouserListTable[[#This Row],[Tag]]&lt;&gt;FilterSpecs!$F$9), MouserListTable[[#This Row],['#/Unit]]*FilterSpecs!$B$3+MouserListTable[[#This Row],[Extra Initial]],0)</f>
        <v>5</v>
      </c>
      <c r="G231" s="150"/>
      <c r="H231" s="150"/>
      <c r="I231" s="150" t="s">
        <v>2341</v>
      </c>
      <c r="J231" s="150"/>
      <c r="K231" s="154">
        <v>2.95</v>
      </c>
      <c r="L231" s="150" t="s">
        <v>1897</v>
      </c>
      <c r="M231" s="151"/>
      <c r="N231" s="154">
        <f>MouserListTable[[#This Row],['# Initial]]*MouserListTable[[#This Row],[Price (USD)]]</f>
        <v>14.75</v>
      </c>
      <c r="O231" s="151" t="s">
        <v>2340</v>
      </c>
      <c r="P231" s="150">
        <f t="shared" si="3"/>
        <v>218</v>
      </c>
      <c r="Q231" s="150" t="s">
        <v>1884</v>
      </c>
      <c r="R23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485-2910</v>
      </c>
      <c r="S231" s="157" t="str">
        <f>HYPERLINK("https://www.mouser.com/ProductDetail/" &amp;MouserListTable[[#This Row],[Mouser SKU]])</f>
        <v>https://www.mouser.com/ProductDetail/485-2910</v>
      </c>
      <c r="T231" s="152">
        <v>1</v>
      </c>
      <c r="U231" s="152">
        <v>0</v>
      </c>
      <c r="V231" s="152">
        <v>0</v>
      </c>
      <c r="W231" s="152">
        <f>MouserListTable[[#This Row],['#/Unit]]*FilterSpecs!$C$3+MouserListTable[[#This Row],[Extra]]</f>
        <v>5</v>
      </c>
      <c r="X231" s="152">
        <f>IF(MouserListTable[[#This Row],[Tag]]=FilterSpecs!$F$7,MouserListTable[[#This Row],['#/Unit]]*MouserListTable[[#This Row],[Price (USD)]],0)</f>
        <v>2.95</v>
      </c>
      <c r="Y231" s="152">
        <f>MouserListTable[[#This Row],[Tot '#]]*MouserListTable[[#This Row],[Price (USD)]]</f>
        <v>14.75</v>
      </c>
    </row>
    <row r="232" spans="1:25" x14ac:dyDescent="0.25">
      <c r="A232" s="150" t="s">
        <v>888</v>
      </c>
      <c r="B232" s="150" t="s">
        <v>2017</v>
      </c>
      <c r="C232" s="150" t="s">
        <v>5</v>
      </c>
      <c r="D232" s="151" t="str">
        <f>IF(MouserListTable[[#This Row],[Vendor]]=FilterSpecs!$A$8,MouserListTable[[#This Row],[Mouser SKU]], MouserListTable[[#This Row],[Supplier SKU]])</f>
        <v>474-CAB-12977</v>
      </c>
      <c r="E232" s="152">
        <f>MouserListTable[[#This Row],[Tot '#]]-MouserListTable[[#This Row],['# Initial]]</f>
        <v>1</v>
      </c>
      <c r="F232" s="152">
        <f>IF(AND(MouserListTable[[#This Row],[Tag]]&lt;&gt;FilterSpecs!$F$12, MouserListTable[[#This Row],[Tag]]&lt;&gt;FilterSpecs!$F$9), MouserListTable[[#This Row],['#/Unit]]*FilterSpecs!$B$3+MouserListTable[[#This Row],[Extra Initial]],0)</f>
        <v>0</v>
      </c>
      <c r="G232" s="150" t="s">
        <v>238</v>
      </c>
      <c r="H232" s="150" t="s">
        <v>239</v>
      </c>
      <c r="I232" s="150" t="s">
        <v>240</v>
      </c>
      <c r="J232" s="150"/>
      <c r="K232" s="154">
        <v>9.9499999999999993</v>
      </c>
      <c r="L232" s="150" t="s">
        <v>1896</v>
      </c>
      <c r="M232" s="150"/>
      <c r="N232" s="154">
        <f>MouserListTable[[#This Row],['# Initial]]*MouserListTable[[#This Row],[Price (USD)]]</f>
        <v>0</v>
      </c>
      <c r="O232" s="151" t="s">
        <v>237</v>
      </c>
      <c r="P232" s="150">
        <f t="shared" si="3"/>
        <v>219</v>
      </c>
      <c r="Q232" s="150" t="s">
        <v>5</v>
      </c>
      <c r="R23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474-CAB-12977</v>
      </c>
      <c r="S232" s="157" t="str">
        <f>HYPERLINK("https://www.mouser.com/ProductDetail/" &amp;MouserListTable[[#This Row],[Mouser SKU]])</f>
        <v>https://www.mouser.com/ProductDetail/474-CAB-12977</v>
      </c>
      <c r="T232" s="152">
        <v>0</v>
      </c>
      <c r="U232" s="152">
        <v>1</v>
      </c>
      <c r="V232" s="152">
        <v>0</v>
      </c>
      <c r="W232" s="152">
        <f>MouserListTable[[#This Row],['#/Unit]]*FilterSpecs!$C$3+MouserListTable[[#This Row],[Extra]]</f>
        <v>1</v>
      </c>
      <c r="X232" s="152">
        <f>IF(MouserListTable[[#This Row],[Tag]]=FilterSpecs!$F$7,MouserListTable[[#This Row],['#/Unit]]*MouserListTable[[#This Row],[Price (USD)]],0)</f>
        <v>0</v>
      </c>
      <c r="Y232" s="152">
        <f>MouserListTable[[#This Row],[Tot '#]]*MouserListTable[[#This Row],[Price (USD)]]</f>
        <v>9.9499999999999993</v>
      </c>
    </row>
    <row r="233" spans="1:25" x14ac:dyDescent="0.25">
      <c r="A233" s="150" t="s">
        <v>888</v>
      </c>
      <c r="B233" s="150" t="s">
        <v>2017</v>
      </c>
      <c r="C233" s="150" t="s">
        <v>1884</v>
      </c>
      <c r="D233" s="151" t="str">
        <f>IF(MouserListTable[[#This Row],[Vendor]]=FilterSpecs!$A$8,MouserListTable[[#This Row],[Mouser SKU]], MouserListTable[[#This Row],[Supplier SKU]])</f>
        <v>485-1620</v>
      </c>
      <c r="E233" s="152">
        <f>MouserListTable[[#This Row],[Tot '#]]-MouserListTable[[#This Row],['# Initial]]</f>
        <v>0</v>
      </c>
      <c r="F233" s="152">
        <f>IF(AND(MouserListTable[[#This Row],[Tag]]&lt;&gt;FilterSpecs!$F$12, MouserListTable[[#This Row],[Tag]]&lt;&gt;FilterSpecs!$F$9), MouserListTable[[#This Row],['#/Unit]]*FilterSpecs!$B$3+MouserListTable[[#This Row],[Extra Initial]],0)</f>
        <v>0</v>
      </c>
      <c r="G233" s="150"/>
      <c r="H233" s="150"/>
      <c r="I233" s="150" t="s">
        <v>2343</v>
      </c>
      <c r="J233" s="153"/>
      <c r="K233" s="118">
        <v>2.95</v>
      </c>
      <c r="L233" s="97" t="s">
        <v>1896</v>
      </c>
      <c r="M233" s="153"/>
      <c r="N233" s="154">
        <f>MouserListTable[[#This Row],['# Initial]]*MouserListTable[[#This Row],[Price (USD)]]</f>
        <v>0</v>
      </c>
      <c r="O233" s="151" t="s">
        <v>2342</v>
      </c>
      <c r="P233" s="150">
        <f t="shared" si="3"/>
        <v>220</v>
      </c>
      <c r="Q233" s="150" t="s">
        <v>1884</v>
      </c>
      <c r="R23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485-1620</v>
      </c>
      <c r="S233" s="157" t="str">
        <f>HYPERLINK("https://www.mouser.com/ProductDetail/" &amp;MouserListTable[[#This Row],[Mouser SKU]])</f>
        <v>https://www.mouser.com/ProductDetail/485-1620</v>
      </c>
      <c r="T233" s="152">
        <v>0</v>
      </c>
      <c r="U233" s="152">
        <v>0</v>
      </c>
      <c r="V233" s="152">
        <v>0</v>
      </c>
      <c r="W233" s="152">
        <f>MouserListTable[[#This Row],['#/Unit]]*FilterSpecs!$C$3+MouserListTable[[#This Row],[Extra]]</f>
        <v>0</v>
      </c>
      <c r="X233" s="152">
        <f>IF(MouserListTable[[#This Row],[Tag]]=FilterSpecs!$F$7,MouserListTable[[#This Row],['#/Unit]]*MouserListTable[[#This Row],[Price (USD)]],0)</f>
        <v>0</v>
      </c>
      <c r="Y233" s="152">
        <f>MouserListTable[[#This Row],[Tot '#]]*MouserListTable[[#This Row],[Price (USD)]]</f>
        <v>0</v>
      </c>
    </row>
    <row r="234" spans="1:25" x14ac:dyDescent="0.25">
      <c r="A234" s="150" t="s">
        <v>888</v>
      </c>
      <c r="B234" s="150" t="s">
        <v>2017</v>
      </c>
      <c r="C234" s="150" t="s">
        <v>5</v>
      </c>
      <c r="D234" s="151" t="str">
        <f>IF(MouserListTable[[#This Row],[Vendor]]=FilterSpecs!$A$8,MouserListTable[[#This Row],[Mouser SKU]], MouserListTable[[#This Row],[Supplier SKU]])</f>
        <v>474-CAB-12016</v>
      </c>
      <c r="E234" s="152">
        <f>MouserListTable[[#This Row],[Tot '#]]-MouserListTable[[#This Row],['# Initial]]</f>
        <v>0</v>
      </c>
      <c r="F234" s="152">
        <f>IF(AND(MouserListTable[[#This Row],[Tag]]&lt;&gt;FilterSpecs!$F$12, MouserListTable[[#This Row],[Tag]]&lt;&gt;FilterSpecs!$F$9), MouserListTable[[#This Row],['#/Unit]]*FilterSpecs!$B$3+MouserListTable[[#This Row],[Extra Initial]],0)</f>
        <v>1</v>
      </c>
      <c r="G234" s="150" t="s">
        <v>246</v>
      </c>
      <c r="H234" s="150" t="s">
        <v>247</v>
      </c>
      <c r="I234" s="150" t="s">
        <v>248</v>
      </c>
      <c r="J234" s="153"/>
      <c r="K234" s="154">
        <v>6.97</v>
      </c>
      <c r="L234" s="150" t="s">
        <v>1896</v>
      </c>
      <c r="M234" s="151"/>
      <c r="N234" s="154">
        <f>MouserListTable[[#This Row],['# Initial]]*MouserListTable[[#This Row],[Price (USD)]]</f>
        <v>6.97</v>
      </c>
      <c r="O234" s="151" t="s">
        <v>245</v>
      </c>
      <c r="P234" s="150">
        <f t="shared" si="3"/>
        <v>221</v>
      </c>
      <c r="Q234" s="150" t="s">
        <v>5</v>
      </c>
      <c r="R23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474-CAB-12016</v>
      </c>
      <c r="S234" s="157" t="str">
        <f>HYPERLINK("https://www.mouser.com/ProductDetail/" &amp;MouserListTable[[#This Row],[Mouser SKU]])</f>
        <v>https://www.mouser.com/ProductDetail/474-CAB-12016</v>
      </c>
      <c r="T234" s="152">
        <v>0</v>
      </c>
      <c r="U234" s="152">
        <v>1</v>
      </c>
      <c r="V234" s="152">
        <v>1</v>
      </c>
      <c r="W234" s="152">
        <f>MouserListTable[[#This Row],['#/Unit]]*FilterSpecs!$C$3+MouserListTable[[#This Row],[Extra]]</f>
        <v>1</v>
      </c>
      <c r="X234" s="152">
        <f>IF(MouserListTable[[#This Row],[Tag]]=FilterSpecs!$F$7,MouserListTable[[#This Row],['#/Unit]]*MouserListTable[[#This Row],[Price (USD)]],0)</f>
        <v>0</v>
      </c>
      <c r="Y234" s="152">
        <f>MouserListTable[[#This Row],[Tot '#]]*MouserListTable[[#This Row],[Price (USD)]]</f>
        <v>6.97</v>
      </c>
    </row>
    <row r="235" spans="1:25" x14ac:dyDescent="0.25">
      <c r="A235" s="150" t="s">
        <v>888</v>
      </c>
      <c r="B235" s="150" t="s">
        <v>1590</v>
      </c>
      <c r="C235" s="150" t="s">
        <v>5</v>
      </c>
      <c r="D235" s="151" t="str">
        <f>IF(MouserListTable[[#This Row],[Vendor]]=FilterSpecs!$A$8,MouserListTable[[#This Row],[Mouser SKU]], MouserListTable[[#This Row],[Supplier SKU]])</f>
        <v>474-DEV-14050</v>
      </c>
      <c r="E235" s="152">
        <f>MouserListTable[[#This Row],[Tot '#]]-MouserListTable[[#This Row],['# Initial]]</f>
        <v>0</v>
      </c>
      <c r="F235" s="152">
        <f>IF(AND(MouserListTable[[#This Row],[Tag]]&lt;&gt;FilterSpecs!$F$12, MouserListTable[[#This Row],[Tag]]&lt;&gt;FilterSpecs!$F$9), MouserListTable[[#This Row],['#/Unit]]*FilterSpecs!$B$3+MouserListTable[[#This Row],[Extra Initial]],0)</f>
        <v>5</v>
      </c>
      <c r="G235" s="150" t="s">
        <v>274</v>
      </c>
      <c r="H235" s="150" t="s">
        <v>275</v>
      </c>
      <c r="I235" s="150" t="s">
        <v>217</v>
      </c>
      <c r="J235" s="150"/>
      <c r="K235" s="154">
        <v>7.95</v>
      </c>
      <c r="L235" s="150" t="s">
        <v>1897</v>
      </c>
      <c r="M235" s="150"/>
      <c r="N235" s="154">
        <f>MouserListTable[[#This Row],['# Initial]]*MouserListTable[[#This Row],[Price (USD)]]</f>
        <v>39.75</v>
      </c>
      <c r="O235" s="151" t="s">
        <v>273</v>
      </c>
      <c r="P235" s="150">
        <f t="shared" si="3"/>
        <v>222</v>
      </c>
      <c r="Q235" s="150" t="s">
        <v>5</v>
      </c>
      <c r="R23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474-DEV-14050</v>
      </c>
      <c r="S235" s="157" t="str">
        <f>HYPERLINK("https://www.mouser.com/ProductDetail/" &amp;MouserListTable[[#This Row],[Mouser SKU]])</f>
        <v>https://www.mouser.com/ProductDetail/474-DEV-14050</v>
      </c>
      <c r="T235" s="152">
        <v>1</v>
      </c>
      <c r="U235" s="152">
        <v>0</v>
      </c>
      <c r="V235" s="152">
        <v>0</v>
      </c>
      <c r="W235" s="152">
        <f>MouserListTable[[#This Row],['#/Unit]]*FilterSpecs!$C$3+MouserListTable[[#This Row],[Extra]]</f>
        <v>5</v>
      </c>
      <c r="X235" s="152">
        <f>IF(MouserListTable[[#This Row],[Tag]]=FilterSpecs!$F$7,MouserListTable[[#This Row],['#/Unit]]*MouserListTable[[#This Row],[Price (USD)]],0)</f>
        <v>7.95</v>
      </c>
      <c r="Y235" s="152">
        <f>MouserListTable[[#This Row],[Tot '#]]*MouserListTable[[#This Row],[Price (USD)]]</f>
        <v>39.75</v>
      </c>
    </row>
    <row r="236" spans="1:25" x14ac:dyDescent="0.25">
      <c r="A236" s="150" t="s">
        <v>888</v>
      </c>
      <c r="B236" s="150" t="s">
        <v>1590</v>
      </c>
      <c r="C236" s="150" t="s">
        <v>5</v>
      </c>
      <c r="D236" s="151" t="str">
        <f>IF(MouserListTable[[#This Row],[Vendor]]=FilterSpecs!$A$8,MouserListTable[[#This Row],[Mouser SKU]], MouserListTable[[#This Row],[Supplier SKU]])</f>
        <v>474-BOB-13830</v>
      </c>
      <c r="E236" s="152">
        <f>MouserListTable[[#This Row],[Tot '#]]-MouserListTable[[#This Row],['# Initial]]</f>
        <v>0</v>
      </c>
      <c r="F236" s="152">
        <f>IF(AND(MouserListTable[[#This Row],[Tag]]&lt;&gt;FilterSpecs!$F$12, MouserListTable[[#This Row],[Tag]]&lt;&gt;FilterSpecs!$F$9), MouserListTable[[#This Row],['#/Unit]]*FilterSpecs!$B$3+MouserListTable[[#This Row],[Extra Initial]],0)</f>
        <v>5</v>
      </c>
      <c r="G236" s="150" t="s">
        <v>277</v>
      </c>
      <c r="H236" s="150" t="s">
        <v>278</v>
      </c>
      <c r="I236" s="150" t="s">
        <v>203</v>
      </c>
      <c r="J236" s="150">
        <v>1</v>
      </c>
      <c r="K236" s="154">
        <v>12.95</v>
      </c>
      <c r="L236" s="150" t="s">
        <v>1897</v>
      </c>
      <c r="M236" s="150"/>
      <c r="N236" s="154">
        <f>MouserListTable[[#This Row],['# Initial]]*MouserListTable[[#This Row],[Price (USD)]]</f>
        <v>64.75</v>
      </c>
      <c r="O236" s="151" t="s">
        <v>276</v>
      </c>
      <c r="P236" s="150">
        <f t="shared" si="3"/>
        <v>223</v>
      </c>
      <c r="Q236" s="150" t="s">
        <v>5</v>
      </c>
      <c r="R23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474-BOB-13830</v>
      </c>
      <c r="S236" s="157" t="str">
        <f>HYPERLINK("https://www.mouser.com/ProductDetail/" &amp;MouserListTable[[#This Row],[Mouser SKU]])</f>
        <v>https://www.mouser.com/ProductDetail/474-BOB-13830</v>
      </c>
      <c r="T236" s="152">
        <v>1</v>
      </c>
      <c r="U236" s="152">
        <v>0</v>
      </c>
      <c r="V236" s="152">
        <v>0</v>
      </c>
      <c r="W236" s="152">
        <f>MouserListTable[[#This Row],['#/Unit]]*FilterSpecs!$C$3+MouserListTable[[#This Row],[Extra]]</f>
        <v>5</v>
      </c>
      <c r="X236" s="152">
        <f>IF(MouserListTable[[#This Row],[Tag]]=FilterSpecs!$F$7,MouserListTable[[#This Row],['#/Unit]]*MouserListTable[[#This Row],[Price (USD)]],0)</f>
        <v>12.95</v>
      </c>
      <c r="Y236" s="152">
        <f>MouserListTable[[#This Row],[Tot '#]]*MouserListTable[[#This Row],[Price (USD)]]</f>
        <v>64.75</v>
      </c>
    </row>
    <row r="237" spans="1:25" x14ac:dyDescent="0.25">
      <c r="A237" s="97" t="s">
        <v>888</v>
      </c>
      <c r="B237" s="97" t="s">
        <v>1590</v>
      </c>
      <c r="C237" s="150" t="s">
        <v>5</v>
      </c>
      <c r="D237" s="151" t="str">
        <f>IF(MouserListTable[[#This Row],[Vendor]]=FilterSpecs!$A$8,MouserListTable[[#This Row],[Mouser SKU]], MouserListTable[[#This Row],[Supplier SKU]])</f>
        <v>474-BOB-12731</v>
      </c>
      <c r="E237" s="152">
        <f>MouserListTable[[#This Row],[Tot '#]]-MouserListTable[[#This Row],['# Initial]]</f>
        <v>0</v>
      </c>
      <c r="F237" s="152">
        <f>IF(AND(MouserListTable[[#This Row],[Tag]]&lt;&gt;FilterSpecs!$F$12, MouserListTable[[#This Row],[Tag]]&lt;&gt;FilterSpecs!$F$9), MouserListTable[[#This Row],['#/Unit]]*FilterSpecs!$B$3+MouserListTable[[#This Row],[Extra Initial]],0)</f>
        <v>0</v>
      </c>
      <c r="G237" s="150" t="s">
        <v>922</v>
      </c>
      <c r="H237" s="150" t="s">
        <v>923</v>
      </c>
      <c r="I237" s="150" t="s">
        <v>924</v>
      </c>
      <c r="J237" s="150">
        <v>1</v>
      </c>
      <c r="K237" s="154">
        <v>14.95</v>
      </c>
      <c r="L237" s="150" t="s">
        <v>1896</v>
      </c>
      <c r="M237" s="150"/>
      <c r="N237" s="154">
        <f>MouserListTable[[#This Row],['# Initial]]*MouserListTable[[#This Row],[Price (USD)]]</f>
        <v>0</v>
      </c>
      <c r="O237" s="151" t="s">
        <v>921</v>
      </c>
      <c r="P237" s="150">
        <f t="shared" si="3"/>
        <v>224</v>
      </c>
      <c r="Q237" s="150" t="s">
        <v>5</v>
      </c>
      <c r="R23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474-BOB-12731</v>
      </c>
      <c r="S237" s="157" t="str">
        <f>HYPERLINK("https://www.mouser.com/ProductDetail/" &amp;MouserListTable[[#This Row],[Mouser SKU]])</f>
        <v>https://www.mouser.com/ProductDetail/474-BOB-12731</v>
      </c>
      <c r="T237" s="152">
        <v>0</v>
      </c>
      <c r="U237" s="152">
        <v>0</v>
      </c>
      <c r="V237" s="152">
        <v>0</v>
      </c>
      <c r="W237" s="152">
        <f>MouserListTable[[#This Row],['#/Unit]]*FilterSpecs!$C$3+MouserListTable[[#This Row],[Extra]]</f>
        <v>0</v>
      </c>
      <c r="X237" s="152">
        <f>IF(MouserListTable[[#This Row],[Tag]]=FilterSpecs!$F$7,MouserListTable[[#This Row],['#/Unit]]*MouserListTable[[#This Row],[Price (USD)]],0)</f>
        <v>0</v>
      </c>
      <c r="Y237" s="152">
        <f>MouserListTable[[#This Row],[Tot '#]]*MouserListTable[[#This Row],[Price (USD)]]</f>
        <v>0</v>
      </c>
    </row>
    <row r="238" spans="1:25" x14ac:dyDescent="0.25">
      <c r="A238" s="150" t="s">
        <v>888</v>
      </c>
      <c r="B238" s="150" t="s">
        <v>1590</v>
      </c>
      <c r="C238" s="150" t="s">
        <v>5</v>
      </c>
      <c r="D238" s="151" t="str">
        <f>IF(MouserListTable[[#This Row],[Vendor]]=FilterSpecs!$A$8,MouserListTable[[#This Row],[Mouser SKU]], MouserListTable[[#This Row],[Supplier SKU]])</f>
        <v>474-BOB-13263</v>
      </c>
      <c r="E238" s="152">
        <f>MouserListTable[[#This Row],[Tot '#]]-MouserListTable[[#This Row],['# Initial]]</f>
        <v>0</v>
      </c>
      <c r="F238" s="152">
        <f>IF(AND(MouserListTable[[#This Row],[Tag]]&lt;&gt;FilterSpecs!$F$12, MouserListTable[[#This Row],[Tag]]&lt;&gt;FilterSpecs!$F$9), MouserListTable[[#This Row],['#/Unit]]*FilterSpecs!$B$3+MouserListTable[[#This Row],[Extra Initial]],0)</f>
        <v>1</v>
      </c>
      <c r="G238" s="150" t="s">
        <v>1008</v>
      </c>
      <c r="H238" s="150" t="s">
        <v>1009</v>
      </c>
      <c r="I238" s="150" t="s">
        <v>1010</v>
      </c>
      <c r="J238" s="150">
        <v>1</v>
      </c>
      <c r="K238" s="154">
        <v>11.95</v>
      </c>
      <c r="L238" s="150" t="s">
        <v>1896</v>
      </c>
      <c r="M238" s="150"/>
      <c r="N238" s="154">
        <f>MouserListTable[[#This Row],['# Initial]]*MouserListTable[[#This Row],[Price (USD)]]</f>
        <v>11.95</v>
      </c>
      <c r="O238" s="151" t="s">
        <v>1007</v>
      </c>
      <c r="P238" s="150">
        <f t="shared" si="3"/>
        <v>225</v>
      </c>
      <c r="Q238" s="150" t="s">
        <v>5</v>
      </c>
      <c r="R23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474-BOB-13263</v>
      </c>
      <c r="S238" s="157" t="str">
        <f>HYPERLINK("https://www.mouser.com/ProductDetail/" &amp;MouserListTable[[#This Row],[Mouser SKU]])</f>
        <v>https://www.mouser.com/ProductDetail/474-BOB-13263</v>
      </c>
      <c r="T238" s="152">
        <v>0</v>
      </c>
      <c r="U238" s="152">
        <v>1</v>
      </c>
      <c r="V238" s="152">
        <v>1</v>
      </c>
      <c r="W238" s="152">
        <f>MouserListTable[[#This Row],['#/Unit]]*FilterSpecs!$C$3+MouserListTable[[#This Row],[Extra]]</f>
        <v>1</v>
      </c>
      <c r="X238" s="152">
        <f>IF(MouserListTable[[#This Row],[Tag]]=FilterSpecs!$F$7,MouserListTable[[#This Row],['#/Unit]]*MouserListTable[[#This Row],[Price (USD)]],0)</f>
        <v>0</v>
      </c>
      <c r="Y238" s="152">
        <f>MouserListTable[[#This Row],[Tot '#]]*MouserListTable[[#This Row],[Price (USD)]]</f>
        <v>11.95</v>
      </c>
    </row>
    <row r="239" spans="1:25" x14ac:dyDescent="0.25">
      <c r="A239" s="150" t="s">
        <v>888</v>
      </c>
      <c r="B239" s="150" t="s">
        <v>1590</v>
      </c>
      <c r="C239" s="150" t="s">
        <v>5</v>
      </c>
      <c r="D239" s="151" t="str">
        <f>IF(MouserListTable[[#This Row],[Vendor]]=FilterSpecs!$A$8,MouserListTable[[#This Row],[Mouser SKU]], MouserListTable[[#This Row],[Supplier SKU]])</f>
        <v>474-DEV-12935</v>
      </c>
      <c r="E239" s="152">
        <f>MouserListTable[[#This Row],[Tot '#]]-MouserListTable[[#This Row],['# Initial]]</f>
        <v>0</v>
      </c>
      <c r="F239" s="152">
        <f>IF(AND(MouserListTable[[#This Row],[Tag]]&lt;&gt;FilterSpecs!$F$12, MouserListTable[[#This Row],[Tag]]&lt;&gt;FilterSpecs!$F$9), MouserListTable[[#This Row],['#/Unit]]*FilterSpecs!$B$3+MouserListTable[[#This Row],[Extra Initial]],0)</f>
        <v>1</v>
      </c>
      <c r="G239" s="150" t="s">
        <v>1012</v>
      </c>
      <c r="H239" s="150" t="s">
        <v>1013</v>
      </c>
      <c r="I239" s="150" t="s">
        <v>1014</v>
      </c>
      <c r="J239" s="150">
        <v>1</v>
      </c>
      <c r="K239" s="154">
        <v>19.95</v>
      </c>
      <c r="L239" s="150" t="s">
        <v>1896</v>
      </c>
      <c r="M239" s="150"/>
      <c r="N239" s="154">
        <f>MouserListTable[[#This Row],['# Initial]]*MouserListTable[[#This Row],[Price (USD)]]</f>
        <v>19.95</v>
      </c>
      <c r="O239" s="151" t="s">
        <v>1011</v>
      </c>
      <c r="P239" s="150">
        <f t="shared" si="3"/>
        <v>226</v>
      </c>
      <c r="Q239" s="150" t="s">
        <v>5</v>
      </c>
      <c r="R23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474-DEV-12935</v>
      </c>
      <c r="S239" s="157" t="str">
        <f>HYPERLINK("https://www.mouser.com/ProductDetail/" &amp;MouserListTable[[#This Row],[Mouser SKU]])</f>
        <v>https://www.mouser.com/ProductDetail/474-DEV-12935</v>
      </c>
      <c r="T239" s="152">
        <v>0</v>
      </c>
      <c r="U239" s="152">
        <v>1</v>
      </c>
      <c r="V239" s="152">
        <v>1</v>
      </c>
      <c r="W239" s="152">
        <f>MouserListTable[[#This Row],['#/Unit]]*FilterSpecs!$C$3+MouserListTable[[#This Row],[Extra]]</f>
        <v>1</v>
      </c>
      <c r="X239" s="152">
        <f>IF(MouserListTable[[#This Row],[Tag]]=FilterSpecs!$F$7,MouserListTable[[#This Row],['#/Unit]]*MouserListTable[[#This Row],[Price (USD)]],0)</f>
        <v>0</v>
      </c>
      <c r="Y239" s="152">
        <f>MouserListTable[[#This Row],[Tot '#]]*MouserListTable[[#This Row],[Price (USD)]]</f>
        <v>19.95</v>
      </c>
    </row>
    <row r="240" spans="1:25" x14ac:dyDescent="0.25">
      <c r="A240" s="150" t="s">
        <v>1058</v>
      </c>
      <c r="B240" s="150" t="s">
        <v>1589</v>
      </c>
      <c r="C240" s="150" t="s">
        <v>5</v>
      </c>
      <c r="D240" s="151" t="str">
        <f>IF(MouserListTable[[#This Row],[Vendor]]=FilterSpecs!$A$8,MouserListTable[[#This Row],[Mouser SKU]], MouserListTable[[#This Row],[Supplier SKU]])</f>
        <v>474-PRT-12885</v>
      </c>
      <c r="E240" s="152">
        <f>MouserListTable[[#This Row],[Tot '#]]-MouserListTable[[#This Row],['# Initial]]</f>
        <v>1</v>
      </c>
      <c r="F240" s="152">
        <f>IF(AND(MouserListTable[[#This Row],[Tag]]&lt;&gt;FilterSpecs!$F$12, MouserListTable[[#This Row],[Tag]]&lt;&gt;FilterSpecs!$F$9), MouserListTable[[#This Row],['#/Unit]]*FilterSpecs!$B$3+MouserListTable[[#This Row],[Extra Initial]],0)</f>
        <v>0</v>
      </c>
      <c r="G240" s="150" t="s">
        <v>1514</v>
      </c>
      <c r="H240" s="150" t="s">
        <v>1515</v>
      </c>
      <c r="I240" s="150" t="s">
        <v>1516</v>
      </c>
      <c r="J240" s="150">
        <v>1</v>
      </c>
      <c r="K240" s="154">
        <v>24.95</v>
      </c>
      <c r="L240" s="150" t="s">
        <v>1900</v>
      </c>
      <c r="M240" s="151"/>
      <c r="N240" s="154">
        <f>MouserListTable[[#This Row],['# Initial]]*MouserListTable[[#This Row],[Price (USD)]]</f>
        <v>0</v>
      </c>
      <c r="O240" s="151" t="s">
        <v>1513</v>
      </c>
      <c r="P240" s="150">
        <f t="shared" si="3"/>
        <v>227</v>
      </c>
      <c r="Q240" s="150" t="s">
        <v>5</v>
      </c>
      <c r="R24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474-PRT-12885</v>
      </c>
      <c r="S240" s="157" t="str">
        <f>HYPERLINK("https://www.mouser.com/ProductDetail/" &amp;MouserListTable[[#This Row],[Mouser SKU]])</f>
        <v>https://www.mouser.com/ProductDetail/474-PRT-12885</v>
      </c>
      <c r="T240" s="152">
        <v>0</v>
      </c>
      <c r="U240" s="152">
        <v>1</v>
      </c>
      <c r="V240" s="152">
        <v>0</v>
      </c>
      <c r="W240" s="152">
        <f>MouserListTable[[#This Row],['#/Unit]]*FilterSpecs!$C$3+MouserListTable[[#This Row],[Extra]]</f>
        <v>1</v>
      </c>
      <c r="X240" s="152">
        <f>IF(MouserListTable[[#This Row],[Tag]]=FilterSpecs!$F$7,MouserListTable[[#This Row],['#/Unit]]*MouserListTable[[#This Row],[Price (USD)]],0)</f>
        <v>0</v>
      </c>
      <c r="Y240" s="152">
        <f>MouserListTable[[#This Row],[Tot '#]]*MouserListTable[[#This Row],[Price (USD)]]</f>
        <v>24.95</v>
      </c>
    </row>
    <row r="241" spans="1:25" x14ac:dyDescent="0.25">
      <c r="A241" s="150" t="s">
        <v>1058</v>
      </c>
      <c r="B241" s="150" t="s">
        <v>1005</v>
      </c>
      <c r="C241" s="150" t="s">
        <v>5</v>
      </c>
      <c r="D241" s="151" t="str">
        <f>IF(MouserListTable[[#This Row],[Vendor]]=FilterSpecs!$A$8,MouserListTable[[#This Row],[Mouser SKU]], MouserListTable[[#This Row],[Supplier SKU]])</f>
        <v>474-GPS-00177</v>
      </c>
      <c r="E241" s="152">
        <f>MouserListTable[[#This Row],[Tot '#]]-MouserListTable[[#This Row],['# Initial]]</f>
        <v>1</v>
      </c>
      <c r="F241" s="152">
        <f>IF(AND(MouserListTable[[#This Row],[Tag]]&lt;&gt;FilterSpecs!$F$12, MouserListTable[[#This Row],[Tag]]&lt;&gt;FilterSpecs!$F$9), MouserListTable[[#This Row],['#/Unit]]*FilterSpecs!$B$3+MouserListTable[[#This Row],[Extra Initial]],0)</f>
        <v>0</v>
      </c>
      <c r="G241" s="150" t="s">
        <v>942</v>
      </c>
      <c r="H241" s="150" t="s">
        <v>943</v>
      </c>
      <c r="I241" s="150" t="s">
        <v>944</v>
      </c>
      <c r="J241" s="150"/>
      <c r="K241" s="154">
        <v>11.95</v>
      </c>
      <c r="L241" s="150" t="s">
        <v>1900</v>
      </c>
      <c r="M241" s="150" t="s">
        <v>1052</v>
      </c>
      <c r="N241" s="154">
        <f>MouserListTable[[#This Row],['# Initial]]*MouserListTable[[#This Row],[Price (USD)]]</f>
        <v>0</v>
      </c>
      <c r="O241" s="151" t="s">
        <v>941</v>
      </c>
      <c r="P241" s="150">
        <f t="shared" si="3"/>
        <v>228</v>
      </c>
      <c r="Q241" s="150" t="s">
        <v>5</v>
      </c>
      <c r="R24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474-GPS-00177</v>
      </c>
      <c r="S241" s="157" t="str">
        <f>HYPERLINK("https://www.mouser.com/ProductDetail/" &amp;MouserListTable[[#This Row],[Mouser SKU]])</f>
        <v>https://www.mouser.com/ProductDetail/474-GPS-00177</v>
      </c>
      <c r="T241" s="152">
        <v>0</v>
      </c>
      <c r="U241" s="152">
        <v>1</v>
      </c>
      <c r="V241" s="152">
        <v>0</v>
      </c>
      <c r="W241" s="152">
        <f>MouserListTable[[#This Row],['#/Unit]]*FilterSpecs!$C$3+MouserListTable[[#This Row],[Extra]]</f>
        <v>1</v>
      </c>
      <c r="X241" s="152">
        <f>IF(MouserListTable[[#This Row],[Tag]]=FilterSpecs!$F$7,MouserListTable[[#This Row],['#/Unit]]*MouserListTable[[#This Row],[Price (USD)]],0)</f>
        <v>0</v>
      </c>
      <c r="Y241" s="152">
        <f>MouserListTable[[#This Row],[Tot '#]]*MouserListTable[[#This Row],[Price (USD)]]</f>
        <v>11.95</v>
      </c>
    </row>
    <row r="242" spans="1:25" x14ac:dyDescent="0.25">
      <c r="A242" s="150" t="s">
        <v>1058</v>
      </c>
      <c r="B242" s="150" t="s">
        <v>1005</v>
      </c>
      <c r="C242" s="150" t="s">
        <v>5</v>
      </c>
      <c r="D242" s="151" t="str">
        <f>IF(MouserListTable[[#This Row],[Vendor]]=FilterSpecs!$A$8,MouserListTable[[#This Row],[Mouser SKU]], MouserListTable[[#This Row],[Supplier SKU]])</f>
        <v>474-SPX-14416</v>
      </c>
      <c r="E242" s="152">
        <f>MouserListTable[[#This Row],[Tot '#]]-MouserListTable[[#This Row],['# Initial]]</f>
        <v>1</v>
      </c>
      <c r="F242" s="152">
        <f>IF(AND(MouserListTable[[#This Row],[Tag]]&lt;&gt;FilterSpecs!$F$12, MouserListTable[[#This Row],[Tag]]&lt;&gt;FilterSpecs!$F$9), MouserListTable[[#This Row],['#/Unit]]*FilterSpecs!$B$3+MouserListTable[[#This Row],[Extra Initial]],0)</f>
        <v>0</v>
      </c>
      <c r="G242" s="150" t="s">
        <v>962</v>
      </c>
      <c r="H242" s="150" t="s">
        <v>963</v>
      </c>
      <c r="I242" s="150" t="s">
        <v>964</v>
      </c>
      <c r="J242" s="150">
        <v>1</v>
      </c>
      <c r="K242" s="154">
        <v>49.95</v>
      </c>
      <c r="L242" s="150" t="s">
        <v>1900</v>
      </c>
      <c r="M242" s="150" t="s">
        <v>1045</v>
      </c>
      <c r="N242" s="154">
        <f>MouserListTable[[#This Row],['# Initial]]*MouserListTable[[#This Row],[Price (USD)]]</f>
        <v>0</v>
      </c>
      <c r="O242" s="151" t="s">
        <v>961</v>
      </c>
      <c r="P242" s="150">
        <f t="shared" si="3"/>
        <v>229</v>
      </c>
      <c r="Q242" s="150" t="s">
        <v>5</v>
      </c>
      <c r="R24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474-SPX-14416</v>
      </c>
      <c r="S242" s="157" t="str">
        <f>HYPERLINK("https://www.mouser.com/ProductDetail/" &amp;MouserListTable[[#This Row],[Mouser SKU]])</f>
        <v>https://www.mouser.com/ProductDetail/474-SPX-14416</v>
      </c>
      <c r="T242" s="152">
        <v>0</v>
      </c>
      <c r="U242" s="152">
        <v>1</v>
      </c>
      <c r="V242" s="152">
        <v>0</v>
      </c>
      <c r="W242" s="152">
        <f>MouserListTable[[#This Row],['#/Unit]]*FilterSpecs!$C$3+MouserListTable[[#This Row],[Extra]]</f>
        <v>1</v>
      </c>
      <c r="X242" s="152">
        <f>IF(MouserListTable[[#This Row],[Tag]]=FilterSpecs!$F$7,MouserListTable[[#This Row],['#/Unit]]*MouserListTable[[#This Row],[Price (USD)]],0)</f>
        <v>0</v>
      </c>
      <c r="Y242" s="152">
        <f>MouserListTable[[#This Row],[Tot '#]]*MouserListTable[[#This Row],[Price (USD)]]</f>
        <v>49.95</v>
      </c>
    </row>
    <row r="243" spans="1:25" x14ac:dyDescent="0.25">
      <c r="A243" s="97" t="s">
        <v>1058</v>
      </c>
      <c r="B243" s="115" t="s">
        <v>1005</v>
      </c>
      <c r="C243" s="112" t="s">
        <v>5</v>
      </c>
      <c r="D243" s="151" t="str">
        <f>IF(MouserListTable[[#This Row],[Vendor]]=FilterSpecs!$A$8,MouserListTable[[#This Row],[Mouser SKU]], MouserListTable[[#This Row],[Supplier SKU]])</f>
        <v>474-GPS-13750</v>
      </c>
      <c r="E243" s="152">
        <f>MouserListTable[[#This Row],[Tot '#]]-MouserListTable[[#This Row],['# Initial]]</f>
        <v>0</v>
      </c>
      <c r="F243" s="152">
        <f>IF(AND(MouserListTable[[#This Row],[Tag]]&lt;&gt;FilterSpecs!$F$12, MouserListTable[[#This Row],[Tag]]&lt;&gt;FilterSpecs!$F$9), MouserListTable[[#This Row],['#/Unit]]*FilterSpecs!$B$3+MouserListTable[[#This Row],[Extra Initial]],0)</f>
        <v>0</v>
      </c>
      <c r="G243" s="150" t="s">
        <v>982</v>
      </c>
      <c r="H243" s="150" t="s">
        <v>983</v>
      </c>
      <c r="I243" s="150" t="s">
        <v>984</v>
      </c>
      <c r="J243" s="150">
        <v>1</v>
      </c>
      <c r="K243" s="154">
        <v>44.95</v>
      </c>
      <c r="L243" s="150" t="s">
        <v>1900</v>
      </c>
      <c r="M243" s="150" t="s">
        <v>1046</v>
      </c>
      <c r="N243" s="154">
        <f>MouserListTable[[#This Row],['# Initial]]*MouserListTable[[#This Row],[Price (USD)]]</f>
        <v>0</v>
      </c>
      <c r="O243" s="151" t="s">
        <v>981</v>
      </c>
      <c r="P243" s="150">
        <f t="shared" si="3"/>
        <v>230</v>
      </c>
      <c r="Q243" s="112" t="s">
        <v>5</v>
      </c>
      <c r="R24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474-GPS-13750</v>
      </c>
      <c r="S243" s="157" t="str">
        <f>HYPERLINK("https://www.mouser.com/ProductDetail/" &amp;MouserListTable[[#This Row],[Mouser SKU]])</f>
        <v>https://www.mouser.com/ProductDetail/474-GPS-13750</v>
      </c>
      <c r="T243" s="152">
        <v>0</v>
      </c>
      <c r="U243" s="152">
        <v>0</v>
      </c>
      <c r="V243" s="152">
        <v>0</v>
      </c>
      <c r="W243" s="152">
        <f>MouserListTable[[#This Row],['#/Unit]]*FilterSpecs!$C$3+MouserListTable[[#This Row],[Extra]]</f>
        <v>0</v>
      </c>
      <c r="X243" s="152">
        <f>IF(MouserListTable[[#This Row],[Tag]]=FilterSpecs!$F$7,MouserListTable[[#This Row],['#/Unit]]*MouserListTable[[#This Row],[Price (USD)]],0)</f>
        <v>0</v>
      </c>
      <c r="Y243" s="152">
        <f>MouserListTable[[#This Row],[Tot '#]]*MouserListTable[[#This Row],[Price (USD)]]</f>
        <v>0</v>
      </c>
    </row>
    <row r="244" spans="1:25" x14ac:dyDescent="0.25">
      <c r="A244" s="150" t="s">
        <v>1058</v>
      </c>
      <c r="B244" s="150" t="s">
        <v>1005</v>
      </c>
      <c r="C244" s="150" t="s">
        <v>5</v>
      </c>
      <c r="D244" s="151" t="str">
        <f>IF(MouserListTable[[#This Row],[Vendor]]=FilterSpecs!$A$8,MouserListTable[[#This Row],[Mouser SKU]], MouserListTable[[#This Row],[Supplier SKU]])</f>
        <v>474-GPS-10920</v>
      </c>
      <c r="E244" s="152">
        <f>MouserListTable[[#This Row],[Tot '#]]-MouserListTable[[#This Row],['# Initial]]</f>
        <v>1</v>
      </c>
      <c r="F244" s="152">
        <f>IF(AND(MouserListTable[[#This Row],[Tag]]&lt;&gt;FilterSpecs!$F$12, MouserListTable[[#This Row],[Tag]]&lt;&gt;FilterSpecs!$F$9), MouserListTable[[#This Row],['#/Unit]]*FilterSpecs!$B$3+MouserListTable[[#This Row],[Extra Initial]],0)</f>
        <v>0</v>
      </c>
      <c r="G244" s="150" t="s">
        <v>946</v>
      </c>
      <c r="H244" s="150" t="s">
        <v>947</v>
      </c>
      <c r="I244" s="150" t="s">
        <v>948</v>
      </c>
      <c r="J244" s="150">
        <v>1</v>
      </c>
      <c r="K244" s="154">
        <v>59.95</v>
      </c>
      <c r="L244" s="150" t="s">
        <v>1900</v>
      </c>
      <c r="M244" s="150" t="s">
        <v>1046</v>
      </c>
      <c r="N244" s="154">
        <f>MouserListTable[[#This Row],['# Initial]]*MouserListTable[[#This Row],[Price (USD)]]</f>
        <v>0</v>
      </c>
      <c r="O244" s="151" t="s">
        <v>945</v>
      </c>
      <c r="P244" s="150">
        <f t="shared" si="3"/>
        <v>231</v>
      </c>
      <c r="Q244" s="150" t="s">
        <v>5</v>
      </c>
      <c r="R24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474-GPS-10920</v>
      </c>
      <c r="S244" s="157" t="str">
        <f>HYPERLINK("https://www.mouser.com/ProductDetail/" &amp;MouserListTable[[#This Row],[Mouser SKU]])</f>
        <v>https://www.mouser.com/ProductDetail/474-GPS-10920</v>
      </c>
      <c r="T244" s="152">
        <v>0</v>
      </c>
      <c r="U244" s="152">
        <v>1</v>
      </c>
      <c r="V244" s="152">
        <v>0</v>
      </c>
      <c r="W244" s="152">
        <f>MouserListTable[[#This Row],['#/Unit]]*FilterSpecs!$C$3+MouserListTable[[#This Row],[Extra]]</f>
        <v>1</v>
      </c>
      <c r="X244" s="152">
        <f>IF(MouserListTable[[#This Row],[Tag]]=FilterSpecs!$F$7,MouserListTable[[#This Row],['#/Unit]]*MouserListTable[[#This Row],[Price (USD)]],0)</f>
        <v>0</v>
      </c>
      <c r="Y244" s="152">
        <f>MouserListTable[[#This Row],[Tot '#]]*MouserListTable[[#This Row],[Price (USD)]]</f>
        <v>59.95</v>
      </c>
    </row>
    <row r="245" spans="1:25" x14ac:dyDescent="0.25">
      <c r="A245" s="150" t="s">
        <v>1058</v>
      </c>
      <c r="B245" s="150" t="s">
        <v>1005</v>
      </c>
      <c r="C245" s="150" t="s">
        <v>1884</v>
      </c>
      <c r="D245" s="151" t="str">
        <f>IF(MouserListTable[[#This Row],[Vendor]]=FilterSpecs!$A$8,MouserListTable[[#This Row],[Mouser SKU]], MouserListTable[[#This Row],[Supplier SKU]])</f>
        <v>485-1272</v>
      </c>
      <c r="E245" s="152">
        <f>MouserListTable[[#This Row],[Tot '#]]-MouserListTable[[#This Row],['# Initial]]</f>
        <v>0</v>
      </c>
      <c r="F245" s="152">
        <f>IF(AND(MouserListTable[[#This Row],[Tag]]&lt;&gt;FilterSpecs!$F$12, MouserListTable[[#This Row],[Tag]]&lt;&gt;FilterSpecs!$F$9), MouserListTable[[#This Row],['#/Unit]]*FilterSpecs!$B$3+MouserListTable[[#This Row],[Extra Initial]],0)</f>
        <v>0</v>
      </c>
      <c r="G245" s="150"/>
      <c r="H245" s="150"/>
      <c r="I245" s="150" t="s">
        <v>2070</v>
      </c>
      <c r="J245" s="150"/>
      <c r="K245" s="154">
        <v>44.95</v>
      </c>
      <c r="L245" s="150" t="s">
        <v>1896</v>
      </c>
      <c r="M245" s="153"/>
      <c r="N245" s="154">
        <f>MouserListTable[[#This Row],['# Initial]]*MouserListTable[[#This Row],[Price (USD)]]</f>
        <v>0</v>
      </c>
      <c r="O245" s="151" t="s">
        <v>2069</v>
      </c>
      <c r="P245" s="150">
        <f t="shared" si="3"/>
        <v>232</v>
      </c>
      <c r="Q245" s="150" t="s">
        <v>1884</v>
      </c>
      <c r="R24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485-1272</v>
      </c>
      <c r="S245" s="157" t="str">
        <f>HYPERLINK("https://www.mouser.com/ProductDetail/" &amp;MouserListTable[[#This Row],[Mouser SKU]])</f>
        <v>https://www.mouser.com/ProductDetail/485-1272</v>
      </c>
      <c r="T245" s="152">
        <v>0</v>
      </c>
      <c r="U245" s="152">
        <v>0</v>
      </c>
      <c r="V245" s="152">
        <v>0</v>
      </c>
      <c r="W245" s="152">
        <f>MouserListTable[[#This Row],['#/Unit]]*FilterSpecs!$C$3+MouserListTable[[#This Row],[Extra]]</f>
        <v>0</v>
      </c>
      <c r="X245" s="152">
        <f>IF(MouserListTable[[#This Row],[Tag]]=FilterSpecs!$F$7,MouserListTable[[#This Row],['#/Unit]]*MouserListTable[[#This Row],[Price (USD)]],0)</f>
        <v>0</v>
      </c>
      <c r="Y245" s="152">
        <f>MouserListTable[[#This Row],[Tot '#]]*MouserListTable[[#This Row],[Price (USD)]]</f>
        <v>0</v>
      </c>
    </row>
    <row r="246" spans="1:25" x14ac:dyDescent="0.25">
      <c r="A246" s="150" t="s">
        <v>1058</v>
      </c>
      <c r="B246" s="150" t="s">
        <v>2040</v>
      </c>
      <c r="C246" s="150" t="s">
        <v>1884</v>
      </c>
      <c r="D246" s="151" t="str">
        <f>IF(MouserListTable[[#This Row],[Vendor]]=FilterSpecs!$A$8,MouserListTable[[#This Row],[Mouser SKU]], MouserListTable[[#This Row],[Supplier SKU]])</f>
        <v>485-2468</v>
      </c>
      <c r="E246" s="152">
        <f>MouserListTable[[#This Row],[Tot '#]]-MouserListTable[[#This Row],['# Initial]]</f>
        <v>1</v>
      </c>
      <c r="F246" s="152">
        <f>IF(AND(MouserListTable[[#This Row],[Tag]]&lt;&gt;FilterSpecs!$F$12, MouserListTable[[#This Row],[Tag]]&lt;&gt;FilterSpecs!$F$9), MouserListTable[[#This Row],['#/Unit]]*FilterSpecs!$B$3+MouserListTable[[#This Row],[Extra Initial]],0)</f>
        <v>0</v>
      </c>
      <c r="G246" s="150"/>
      <c r="H246" s="150"/>
      <c r="I246" s="150" t="s">
        <v>2047</v>
      </c>
      <c r="J246" s="150"/>
      <c r="K246" s="154">
        <v>39.950000000000003</v>
      </c>
      <c r="L246" s="150" t="s">
        <v>1896</v>
      </c>
      <c r="M246" s="151"/>
      <c r="N246" s="154">
        <f>MouserListTable[[#This Row],['# Initial]]*MouserListTable[[#This Row],[Price (USD)]]</f>
        <v>0</v>
      </c>
      <c r="O246" s="151" t="s">
        <v>2048</v>
      </c>
      <c r="P246" s="150">
        <f t="shared" si="3"/>
        <v>233</v>
      </c>
      <c r="Q246" s="150" t="s">
        <v>1884</v>
      </c>
      <c r="R24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485-2468</v>
      </c>
      <c r="S246" s="157" t="str">
        <f>HYPERLINK("https://www.mouser.com/ProductDetail/" &amp;MouserListTable[[#This Row],[Mouser SKU]])</f>
        <v>https://www.mouser.com/ProductDetail/485-2468</v>
      </c>
      <c r="T246" s="152">
        <v>0</v>
      </c>
      <c r="U246" s="152">
        <v>1</v>
      </c>
      <c r="V246" s="152">
        <v>0</v>
      </c>
      <c r="W246" s="152">
        <f>MouserListTable[[#This Row],['#/Unit]]*FilterSpecs!$C$3+MouserListTable[[#This Row],[Extra]]</f>
        <v>1</v>
      </c>
      <c r="X246" s="152">
        <f>IF(MouserListTable[[#This Row],[Tag]]=FilterSpecs!$F$7,MouserListTable[[#This Row],['#/Unit]]*MouserListTable[[#This Row],[Price (USD)]],0)</f>
        <v>0</v>
      </c>
      <c r="Y246" s="152">
        <f>MouserListTable[[#This Row],[Tot '#]]*MouserListTable[[#This Row],[Price (USD)]]</f>
        <v>39.950000000000003</v>
      </c>
    </row>
    <row r="247" spans="1:25" x14ac:dyDescent="0.25">
      <c r="A247" s="150" t="s">
        <v>1058</v>
      </c>
      <c r="B247" s="150" t="s">
        <v>2040</v>
      </c>
      <c r="C247" s="150" t="s">
        <v>1884</v>
      </c>
      <c r="D247" s="151" t="str">
        <f>IF(MouserListTable[[#This Row],[Vendor]]=FilterSpecs!$A$8,MouserListTable[[#This Row],[Mouser SKU]], MouserListTable[[#This Row],[Supplier SKU]])</f>
        <v>485-2505</v>
      </c>
      <c r="E247" s="152">
        <f>MouserListTable[[#This Row],[Tot '#]]-MouserListTable[[#This Row],['# Initial]]</f>
        <v>1</v>
      </c>
      <c r="F247" s="152">
        <f>IF(AND(MouserListTable[[#This Row],[Tag]]&lt;&gt;FilterSpecs!$F$12, MouserListTable[[#This Row],[Tag]]&lt;&gt;FilterSpecs!$F$9), MouserListTable[[#This Row],['#/Unit]]*FilterSpecs!$B$3+MouserListTable[[#This Row],[Extra Initial]],0)</f>
        <v>0</v>
      </c>
      <c r="G247" s="150"/>
      <c r="H247" s="150"/>
      <c r="I247" s="150" t="s">
        <v>2045</v>
      </c>
      <c r="J247" s="153"/>
      <c r="K247" s="154">
        <v>9</v>
      </c>
      <c r="L247" s="150" t="s">
        <v>1896</v>
      </c>
      <c r="M247" s="151"/>
      <c r="N247" s="154">
        <f>MouserListTable[[#This Row],['# Initial]]*MouserListTable[[#This Row],[Price (USD)]]</f>
        <v>0</v>
      </c>
      <c r="O247" s="151" t="s">
        <v>2046</v>
      </c>
      <c r="P247" s="150">
        <f t="shared" si="3"/>
        <v>234</v>
      </c>
      <c r="Q247" s="150" t="s">
        <v>1884</v>
      </c>
      <c r="R24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485-2505</v>
      </c>
      <c r="S247" s="157" t="str">
        <f>HYPERLINK("https://www.mouser.com/ProductDetail/" &amp;MouserListTable[[#This Row],[Mouser SKU]])</f>
        <v>https://www.mouser.com/ProductDetail/485-2505</v>
      </c>
      <c r="T247" s="152">
        <v>0</v>
      </c>
      <c r="U247" s="152">
        <v>1</v>
      </c>
      <c r="V247" s="152">
        <v>0</v>
      </c>
      <c r="W247" s="152">
        <f>MouserListTable[[#This Row],['#/Unit]]*FilterSpecs!$C$3+MouserListTable[[#This Row],[Extra]]</f>
        <v>1</v>
      </c>
      <c r="X247" s="152">
        <f>IF(MouserListTable[[#This Row],[Tag]]=FilterSpecs!$F$7,MouserListTable[[#This Row],['#/Unit]]*MouserListTable[[#This Row],[Price (USD)]],0)</f>
        <v>0</v>
      </c>
      <c r="Y247" s="152">
        <f>MouserListTable[[#This Row],[Tot '#]]*MouserListTable[[#This Row],[Price (USD)]]</f>
        <v>9</v>
      </c>
    </row>
    <row r="248" spans="1:25" x14ac:dyDescent="0.25">
      <c r="A248" s="150" t="s">
        <v>1058</v>
      </c>
      <c r="B248" s="150" t="s">
        <v>2040</v>
      </c>
      <c r="C248" s="150" t="s">
        <v>1884</v>
      </c>
      <c r="D248" s="151" t="str">
        <f>IF(MouserListTable[[#This Row],[Vendor]]=FilterSpecs!$A$8,MouserListTable[[#This Row],[Mouser SKU]], MouserListTable[[#This Row],[Supplier SKU]])</f>
        <v>485-1991</v>
      </c>
      <c r="E248" s="152">
        <f>MouserListTable[[#This Row],[Tot '#]]-MouserListTable[[#This Row],['# Initial]]</f>
        <v>1</v>
      </c>
      <c r="F248" s="152">
        <f>IF(AND(MouserListTable[[#This Row],[Tag]]&lt;&gt;FilterSpecs!$F$12, MouserListTable[[#This Row],[Tag]]&lt;&gt;FilterSpecs!$F$9), MouserListTable[[#This Row],['#/Unit]]*FilterSpecs!$B$3+MouserListTable[[#This Row],[Extra Initial]],0)</f>
        <v>0</v>
      </c>
      <c r="G248" s="150"/>
      <c r="H248" s="150"/>
      <c r="I248" s="150" t="s">
        <v>2043</v>
      </c>
      <c r="J248" s="153"/>
      <c r="K248" s="154">
        <v>2.95</v>
      </c>
      <c r="L248" s="150" t="s">
        <v>1896</v>
      </c>
      <c r="M248" s="151"/>
      <c r="N248" s="154">
        <f>MouserListTable[[#This Row],['# Initial]]*MouserListTable[[#This Row],[Price (USD)]]</f>
        <v>0</v>
      </c>
      <c r="O248" s="151" t="s">
        <v>2044</v>
      </c>
      <c r="P248" s="150">
        <f t="shared" si="3"/>
        <v>235</v>
      </c>
      <c r="Q248" s="150" t="s">
        <v>1884</v>
      </c>
      <c r="R24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485-1991</v>
      </c>
      <c r="S248" s="157" t="str">
        <f>HYPERLINK("https://www.mouser.com/ProductDetail/" &amp;MouserListTable[[#This Row],[Mouser SKU]])</f>
        <v>https://www.mouser.com/ProductDetail/485-1991</v>
      </c>
      <c r="T248" s="152">
        <v>0</v>
      </c>
      <c r="U248" s="152">
        <v>1</v>
      </c>
      <c r="V248" s="152">
        <v>0</v>
      </c>
      <c r="W248" s="152">
        <f>MouserListTable[[#This Row],['#/Unit]]*FilterSpecs!$C$3+MouserListTable[[#This Row],[Extra]]</f>
        <v>1</v>
      </c>
      <c r="X248" s="152">
        <f>IF(MouserListTable[[#This Row],[Tag]]=FilterSpecs!$F$7,MouserListTable[[#This Row],['#/Unit]]*MouserListTable[[#This Row],[Price (USD)]],0)</f>
        <v>0</v>
      </c>
      <c r="Y248" s="152">
        <f>MouserListTable[[#This Row],[Tot '#]]*MouserListTable[[#This Row],[Price (USD)]]</f>
        <v>2.95</v>
      </c>
    </row>
    <row r="249" spans="1:25" x14ac:dyDescent="0.25">
      <c r="A249" s="150" t="s">
        <v>1058</v>
      </c>
      <c r="B249" s="150" t="s">
        <v>1426</v>
      </c>
      <c r="C249" s="150" t="s">
        <v>5</v>
      </c>
      <c r="D249" s="151" t="str">
        <f>IF(MouserListTable[[#This Row],[Vendor]]=FilterSpecs!$A$8,MouserListTable[[#This Row],[Mouser SKU]], MouserListTable[[#This Row],[Supplier SKU]])</f>
        <v>474-SEN-12916</v>
      </c>
      <c r="E249" s="152">
        <f>MouserListTable[[#This Row],[Tot '#]]-MouserListTable[[#This Row],['# Initial]]</f>
        <v>1</v>
      </c>
      <c r="F249" s="152">
        <f>IF(AND(MouserListTable[[#This Row],[Tag]]&lt;&gt;FilterSpecs!$F$12, MouserListTable[[#This Row],[Tag]]&lt;&gt;FilterSpecs!$F$9), MouserListTable[[#This Row],['#/Unit]]*FilterSpecs!$B$3+MouserListTable[[#This Row],[Extra Initial]],0)</f>
        <v>0</v>
      </c>
      <c r="G249" s="150" t="s">
        <v>1393</v>
      </c>
      <c r="H249" s="150" t="s">
        <v>1394</v>
      </c>
      <c r="I249" s="150" t="s">
        <v>1395</v>
      </c>
      <c r="J249" s="150"/>
      <c r="K249" s="154">
        <v>149.94999999999999</v>
      </c>
      <c r="L249" s="150" t="s">
        <v>1900</v>
      </c>
      <c r="M249" s="151"/>
      <c r="N249" s="154">
        <f>MouserListTable[[#This Row],['# Initial]]*MouserListTable[[#This Row],[Price (USD)]]</f>
        <v>0</v>
      </c>
      <c r="O249" s="151" t="s">
        <v>1392</v>
      </c>
      <c r="P249" s="150">
        <f t="shared" si="3"/>
        <v>236</v>
      </c>
      <c r="Q249" s="150" t="s">
        <v>5</v>
      </c>
      <c r="R24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474-SEN-12916</v>
      </c>
      <c r="S249" s="157" t="str">
        <f>HYPERLINK("https://www.mouser.com/ProductDetail/" &amp;MouserListTable[[#This Row],[Mouser SKU]])</f>
        <v>https://www.mouser.com/ProductDetail/474-SEN-12916</v>
      </c>
      <c r="T249" s="152">
        <v>0</v>
      </c>
      <c r="U249" s="152">
        <v>1</v>
      </c>
      <c r="V249" s="152">
        <v>0</v>
      </c>
      <c r="W249" s="152">
        <f>MouserListTable[[#This Row],['#/Unit]]*FilterSpecs!$C$3+MouserListTable[[#This Row],[Extra]]</f>
        <v>1</v>
      </c>
      <c r="X249" s="152">
        <f>IF(MouserListTable[[#This Row],[Tag]]=FilterSpecs!$F$7,MouserListTable[[#This Row],['#/Unit]]*MouserListTable[[#This Row],[Price (USD)]],0)</f>
        <v>0</v>
      </c>
      <c r="Y249" s="152">
        <f>MouserListTable[[#This Row],[Tot '#]]*MouserListTable[[#This Row],[Price (USD)]]</f>
        <v>149.94999999999999</v>
      </c>
    </row>
    <row r="250" spans="1:25" x14ac:dyDescent="0.25">
      <c r="A250" s="150" t="s">
        <v>1058</v>
      </c>
      <c r="B250" s="112" t="s">
        <v>1006</v>
      </c>
      <c r="C250" s="112" t="s">
        <v>5</v>
      </c>
      <c r="D250" s="151" t="str">
        <f>IF(MouserListTable[[#This Row],[Vendor]]=FilterSpecs!$A$8,MouserListTable[[#This Row],[Mouser SKU]], MouserListTable[[#This Row],[Supplier SKU]])</f>
        <v>474-CAB-14043</v>
      </c>
      <c r="E250" s="152">
        <f>MouserListTable[[#This Row],[Tot '#]]-MouserListTable[[#This Row],['# Initial]]</f>
        <v>1</v>
      </c>
      <c r="F250" s="152">
        <f>IF(AND(MouserListTable[[#This Row],[Tag]]&lt;&gt;FilterSpecs!$F$12, MouserListTable[[#This Row],[Tag]]&lt;&gt;FilterSpecs!$F$9), MouserListTable[[#This Row],['#/Unit]]*FilterSpecs!$B$3+MouserListTable[[#This Row],[Extra Initial]],0)</f>
        <v>0</v>
      </c>
      <c r="G250" s="150" t="s">
        <v>950</v>
      </c>
      <c r="H250" s="150" t="s">
        <v>951</v>
      </c>
      <c r="I250" s="150" t="s">
        <v>952</v>
      </c>
      <c r="J250" s="150">
        <v>1</v>
      </c>
      <c r="K250" s="154">
        <v>4.95</v>
      </c>
      <c r="L250" s="150" t="s">
        <v>2461</v>
      </c>
      <c r="M250" s="150" t="s">
        <v>1054</v>
      </c>
      <c r="N250" s="154">
        <f>MouserListTable[[#This Row],['# Initial]]*MouserListTable[[#This Row],[Price (USD)]]</f>
        <v>0</v>
      </c>
      <c r="O250" s="151" t="s">
        <v>949</v>
      </c>
      <c r="P250" s="150">
        <f t="shared" si="3"/>
        <v>237</v>
      </c>
      <c r="Q250" s="112" t="s">
        <v>5</v>
      </c>
      <c r="R25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474-CAB-14043</v>
      </c>
      <c r="S250" s="157" t="str">
        <f>HYPERLINK("https://www.mouser.com/ProductDetail/" &amp;MouserListTable[[#This Row],[Mouser SKU]])</f>
        <v>https://www.mouser.com/ProductDetail/474-CAB-14043</v>
      </c>
      <c r="T250" s="152">
        <v>0</v>
      </c>
      <c r="U250" s="152">
        <v>1</v>
      </c>
      <c r="V250" s="152">
        <v>0</v>
      </c>
      <c r="W250" s="152">
        <f>MouserListTable[[#This Row],['#/Unit]]*FilterSpecs!$C$3+MouserListTable[[#This Row],[Extra]]</f>
        <v>1</v>
      </c>
      <c r="X250" s="152">
        <f>IF(MouserListTable[[#This Row],[Tag]]=FilterSpecs!$F$7,MouserListTable[[#This Row],['#/Unit]]*MouserListTable[[#This Row],[Price (USD)]],0)</f>
        <v>0</v>
      </c>
      <c r="Y250" s="152">
        <f>MouserListTable[[#This Row],[Tot '#]]*MouserListTable[[#This Row],[Price (USD)]]</f>
        <v>4.95</v>
      </c>
    </row>
    <row r="251" spans="1:25" x14ac:dyDescent="0.25">
      <c r="A251" s="150" t="s">
        <v>1058</v>
      </c>
      <c r="B251" s="112" t="s">
        <v>1006</v>
      </c>
      <c r="C251" s="112" t="s">
        <v>5</v>
      </c>
      <c r="D251" s="151" t="str">
        <f>IF(MouserListTable[[#This Row],[Vendor]]=FilterSpecs!$A$8,MouserListTable[[#This Row],[Mouser SKU]], MouserListTable[[#This Row],[Supplier SKU]])</f>
        <v>474-SEN-14117</v>
      </c>
      <c r="E251" s="152">
        <f>MouserListTable[[#This Row],[Tot '#]]-MouserListTable[[#This Row],['# Initial]]</f>
        <v>1</v>
      </c>
      <c r="F251" s="152">
        <f>IF(AND(MouserListTable[[#This Row],[Tag]]&lt;&gt;FilterSpecs!$F$12, MouserListTable[[#This Row],[Tag]]&lt;&gt;FilterSpecs!$F$9), MouserListTable[[#This Row],['#/Unit]]*FilterSpecs!$B$3+MouserListTable[[#This Row],[Extra Initial]],0)</f>
        <v>0</v>
      </c>
      <c r="G251" s="150" t="s">
        <v>966</v>
      </c>
      <c r="H251" s="150" t="s">
        <v>967</v>
      </c>
      <c r="I251" s="150" t="s">
        <v>968</v>
      </c>
      <c r="J251" s="150">
        <v>1</v>
      </c>
      <c r="K251" s="154">
        <v>349</v>
      </c>
      <c r="L251" s="150" t="s">
        <v>1900</v>
      </c>
      <c r="M251" s="150" t="s">
        <v>1047</v>
      </c>
      <c r="N251" s="154">
        <f>MouserListTable[[#This Row],['# Initial]]*MouserListTable[[#This Row],[Price (USD)]]</f>
        <v>0</v>
      </c>
      <c r="O251" s="151" t="s">
        <v>965</v>
      </c>
      <c r="P251" s="150">
        <f t="shared" si="3"/>
        <v>238</v>
      </c>
      <c r="Q251" s="112" t="s">
        <v>5</v>
      </c>
      <c r="R25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474-SEN-14117</v>
      </c>
      <c r="S251" s="157" t="str">
        <f>HYPERLINK("https://www.mouser.com/ProductDetail/" &amp;MouserListTable[[#This Row],[Mouser SKU]])</f>
        <v>https://www.mouser.com/ProductDetail/474-SEN-14117</v>
      </c>
      <c r="T251" s="152">
        <v>0</v>
      </c>
      <c r="U251" s="152">
        <v>1</v>
      </c>
      <c r="V251" s="152">
        <v>0</v>
      </c>
      <c r="W251" s="152">
        <f>MouserListTable[[#This Row],['#/Unit]]*FilterSpecs!$C$3+MouserListTable[[#This Row],[Extra]]</f>
        <v>1</v>
      </c>
      <c r="X251" s="152">
        <f>IF(MouserListTable[[#This Row],[Tag]]=FilterSpecs!$F$7,MouserListTable[[#This Row],['#/Unit]]*MouserListTable[[#This Row],[Price (USD)]],0)</f>
        <v>0</v>
      </c>
      <c r="Y251" s="152">
        <f>MouserListTable[[#This Row],[Tot '#]]*MouserListTable[[#This Row],[Price (USD)]]</f>
        <v>349</v>
      </c>
    </row>
    <row r="252" spans="1:25" x14ac:dyDescent="0.25">
      <c r="A252" s="150" t="s">
        <v>1058</v>
      </c>
      <c r="B252" s="112" t="s">
        <v>1006</v>
      </c>
      <c r="C252" s="112" t="s">
        <v>5</v>
      </c>
      <c r="D252" s="151" t="str">
        <f>IF(MouserListTable[[#This Row],[Vendor]]=FilterSpecs!$A$8,MouserListTable[[#This Row],[Mouser SKU]], MouserListTable[[#This Row],[Supplier SKU]])</f>
        <v>474-ROB-13064</v>
      </c>
      <c r="E252" s="152">
        <f>MouserListTable[[#This Row],[Tot '#]]-MouserListTable[[#This Row],['# Initial]]</f>
        <v>1</v>
      </c>
      <c r="F252" s="152">
        <f>IF(AND(MouserListTable[[#This Row],[Tag]]&lt;&gt;FilterSpecs!$F$12, MouserListTable[[#This Row],[Tag]]&lt;&gt;FilterSpecs!$F$9), MouserListTable[[#This Row],['#/Unit]]*FilterSpecs!$B$3+MouserListTable[[#This Row],[Extra Initial]],0)</f>
        <v>0</v>
      </c>
      <c r="G252" s="150" t="s">
        <v>1026</v>
      </c>
      <c r="H252" s="150" t="s">
        <v>1025</v>
      </c>
      <c r="I252" s="150" t="s">
        <v>1023</v>
      </c>
      <c r="J252" s="150">
        <v>1</v>
      </c>
      <c r="K252" s="154">
        <v>14.95</v>
      </c>
      <c r="L252" s="150" t="s">
        <v>1900</v>
      </c>
      <c r="M252" s="150" t="s">
        <v>1053</v>
      </c>
      <c r="N252" s="154">
        <f>MouserListTable[[#This Row],['# Initial]]*MouserListTable[[#This Row],[Price (USD)]]</f>
        <v>0</v>
      </c>
      <c r="O252" s="151" t="s">
        <v>1024</v>
      </c>
      <c r="P252" s="150">
        <f t="shared" si="3"/>
        <v>239</v>
      </c>
      <c r="Q252" s="112" t="s">
        <v>5</v>
      </c>
      <c r="R25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474-ROB-13064</v>
      </c>
      <c r="S252" s="157" t="str">
        <f>HYPERLINK("https://www.mouser.com/ProductDetail/" &amp;MouserListTable[[#This Row],[Mouser SKU]])</f>
        <v>https://www.mouser.com/ProductDetail/474-ROB-13064</v>
      </c>
      <c r="T252" s="152">
        <v>0</v>
      </c>
      <c r="U252" s="152">
        <v>1</v>
      </c>
      <c r="V252" s="152">
        <v>0</v>
      </c>
      <c r="W252" s="152">
        <f>MouserListTable[[#This Row],['#/Unit]]*FilterSpecs!$C$3+MouserListTable[[#This Row],[Extra]]</f>
        <v>1</v>
      </c>
      <c r="X252" s="152">
        <f>IF(MouserListTable[[#This Row],[Tag]]=FilterSpecs!$F$7,MouserListTable[[#This Row],['#/Unit]]*MouserListTable[[#This Row],[Price (USD)]],0)</f>
        <v>0</v>
      </c>
      <c r="Y252" s="152">
        <f>MouserListTable[[#This Row],[Tot '#]]*MouserListTable[[#This Row],[Price (USD)]]</f>
        <v>14.95</v>
      </c>
    </row>
    <row r="253" spans="1:25" x14ac:dyDescent="0.25">
      <c r="A253" s="150" t="s">
        <v>1058</v>
      </c>
      <c r="B253" s="150" t="s">
        <v>985</v>
      </c>
      <c r="C253" s="150" t="s">
        <v>5</v>
      </c>
      <c r="D253" s="151" t="str">
        <f>IF(MouserListTable[[#This Row],[Vendor]]=FilterSpecs!$A$8,MouserListTable[[#This Row],[Mouser SKU]], MouserListTable[[#This Row],[Supplier SKU]])</f>
        <v>474-SEN-13284</v>
      </c>
      <c r="E253" s="152">
        <f>MouserListTable[[#This Row],[Tot '#]]-MouserListTable[[#This Row],['# Initial]]</f>
        <v>1</v>
      </c>
      <c r="F253" s="152">
        <f>IF(AND(MouserListTable[[#This Row],[Tag]]&lt;&gt;FilterSpecs!$F$12, MouserListTable[[#This Row],[Tag]]&lt;&gt;FilterSpecs!$F$9), MouserListTable[[#This Row],['#/Unit]]*FilterSpecs!$B$3+MouserListTable[[#This Row],[Extra Initial]],0)</f>
        <v>0</v>
      </c>
      <c r="G253" s="150" t="s">
        <v>910</v>
      </c>
      <c r="H253" s="150" t="s">
        <v>911</v>
      </c>
      <c r="I253" s="150" t="s">
        <v>912</v>
      </c>
      <c r="J253" s="150">
        <v>1</v>
      </c>
      <c r="K253" s="154">
        <v>24.95</v>
      </c>
      <c r="L253" s="150" t="s">
        <v>1900</v>
      </c>
      <c r="M253" s="150" t="s">
        <v>1048</v>
      </c>
      <c r="N253" s="154">
        <f>MouserListTable[[#This Row],['# Initial]]*MouserListTable[[#This Row],[Price (USD)]]</f>
        <v>0</v>
      </c>
      <c r="O253" s="151" t="s">
        <v>909</v>
      </c>
      <c r="P253" s="150">
        <f t="shared" si="3"/>
        <v>240</v>
      </c>
      <c r="Q253" s="150" t="s">
        <v>5</v>
      </c>
      <c r="R25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474-SEN-13284</v>
      </c>
      <c r="S253" s="157" t="str">
        <f>HYPERLINK("https://www.mouser.com/ProductDetail/" &amp;MouserListTable[[#This Row],[Mouser SKU]])</f>
        <v>https://www.mouser.com/ProductDetail/474-SEN-13284</v>
      </c>
      <c r="T253" s="152">
        <v>0</v>
      </c>
      <c r="U253" s="152">
        <v>1</v>
      </c>
      <c r="V253" s="152">
        <v>0</v>
      </c>
      <c r="W253" s="152">
        <f>MouserListTable[[#This Row],['#/Unit]]*FilterSpecs!$C$3+MouserListTable[[#This Row],[Extra]]</f>
        <v>1</v>
      </c>
      <c r="X253" s="152">
        <f>IF(MouserListTable[[#This Row],[Tag]]=FilterSpecs!$F$7,MouserListTable[[#This Row],['#/Unit]]*MouserListTable[[#This Row],[Price (USD)]],0)</f>
        <v>0</v>
      </c>
      <c r="Y253" s="152">
        <f>MouserListTable[[#This Row],[Tot '#]]*MouserListTable[[#This Row],[Price (USD)]]</f>
        <v>24.95</v>
      </c>
    </row>
    <row r="254" spans="1:25" x14ac:dyDescent="0.25">
      <c r="A254" s="150" t="s">
        <v>1058</v>
      </c>
      <c r="B254" s="150" t="s">
        <v>985</v>
      </c>
      <c r="C254" s="150" t="s">
        <v>5</v>
      </c>
      <c r="D254" s="151" t="str">
        <f>IF(MouserListTable[[#This Row],[Vendor]]=FilterSpecs!$A$8,MouserListTable[[#This Row],[Mouser SKU]], MouserListTable[[#This Row],[Supplier SKU]])</f>
        <v>474-SEN-13762</v>
      </c>
      <c r="E254" s="152">
        <f>MouserListTable[[#This Row],[Tot '#]]-MouserListTable[[#This Row],['# Initial]]</f>
        <v>1</v>
      </c>
      <c r="F254" s="152">
        <f>IF(AND(MouserListTable[[#This Row],[Tag]]&lt;&gt;FilterSpecs!$F$12, MouserListTable[[#This Row],[Tag]]&lt;&gt;FilterSpecs!$F$9), MouserListTable[[#This Row],['#/Unit]]*FilterSpecs!$B$3+MouserListTable[[#This Row],[Extra Initial]],0)</f>
        <v>0</v>
      </c>
      <c r="G254" s="150" t="s">
        <v>914</v>
      </c>
      <c r="H254" s="150" t="s">
        <v>915</v>
      </c>
      <c r="I254" s="150" t="s">
        <v>916</v>
      </c>
      <c r="J254" s="150">
        <v>1</v>
      </c>
      <c r="K254" s="154">
        <v>14.95</v>
      </c>
      <c r="L254" s="150" t="s">
        <v>1900</v>
      </c>
      <c r="M254" s="150" t="s">
        <v>1048</v>
      </c>
      <c r="N254" s="154">
        <f>MouserListTable[[#This Row],['# Initial]]*MouserListTable[[#This Row],[Price (USD)]]</f>
        <v>0</v>
      </c>
      <c r="O254" s="151" t="s">
        <v>913</v>
      </c>
      <c r="P254" s="150">
        <f t="shared" si="3"/>
        <v>241</v>
      </c>
      <c r="Q254" s="150" t="s">
        <v>5</v>
      </c>
      <c r="R25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474-SEN-13762</v>
      </c>
      <c r="S254" s="157" t="str">
        <f>HYPERLINK("https://www.mouser.com/ProductDetail/" &amp;MouserListTable[[#This Row],[Mouser SKU]])</f>
        <v>https://www.mouser.com/ProductDetail/474-SEN-13762</v>
      </c>
      <c r="T254" s="152">
        <v>0</v>
      </c>
      <c r="U254" s="152">
        <v>1</v>
      </c>
      <c r="V254" s="152">
        <v>0</v>
      </c>
      <c r="W254" s="152">
        <f>MouserListTable[[#This Row],['#/Unit]]*FilterSpecs!$C$3+MouserListTable[[#This Row],[Extra]]</f>
        <v>1</v>
      </c>
      <c r="X254" s="152">
        <f>IF(MouserListTable[[#This Row],[Tag]]=FilterSpecs!$F$7,MouserListTable[[#This Row],['#/Unit]]*MouserListTable[[#This Row],[Price (USD)]],0)</f>
        <v>0</v>
      </c>
      <c r="Y254" s="152">
        <f>MouserListTable[[#This Row],[Tot '#]]*MouserListTable[[#This Row],[Price (USD)]]</f>
        <v>14.95</v>
      </c>
    </row>
    <row r="255" spans="1:25" x14ac:dyDescent="0.25">
      <c r="A255" s="97" t="s">
        <v>1058</v>
      </c>
      <c r="B255" s="115" t="s">
        <v>2005</v>
      </c>
      <c r="C255" s="112" t="s">
        <v>5</v>
      </c>
      <c r="D255" s="151" t="str">
        <f>IF(MouserListTable[[#This Row],[Vendor]]=FilterSpecs!$A$8,MouserListTable[[#This Row],[Mouser SKU]], MouserListTable[[#This Row],[Supplier SKU]])</f>
        <v>474-LCD-12725</v>
      </c>
      <c r="E255" s="152">
        <f>MouserListTable[[#This Row],[Tot '#]]-MouserListTable[[#This Row],['# Initial]]</f>
        <v>0</v>
      </c>
      <c r="F255" s="152">
        <f>IF(AND(MouserListTable[[#This Row],[Tag]]&lt;&gt;FilterSpecs!$F$12, MouserListTable[[#This Row],[Tag]]&lt;&gt;FilterSpecs!$F$9), MouserListTable[[#This Row],['#/Unit]]*FilterSpecs!$B$3+MouserListTable[[#This Row],[Extra Initial]],0)</f>
        <v>0</v>
      </c>
      <c r="G255" s="150" t="s">
        <v>978</v>
      </c>
      <c r="H255" s="150" t="s">
        <v>979</v>
      </c>
      <c r="I255" s="150" t="s">
        <v>980</v>
      </c>
      <c r="J255" s="150">
        <v>1</v>
      </c>
      <c r="K255" s="154">
        <v>179.95</v>
      </c>
      <c r="L255" s="150" t="s">
        <v>1900</v>
      </c>
      <c r="M255" s="150" t="s">
        <v>1049</v>
      </c>
      <c r="N255" s="154">
        <f>MouserListTable[[#This Row],['# Initial]]*MouserListTable[[#This Row],[Price (USD)]]</f>
        <v>0</v>
      </c>
      <c r="O255" s="151" t="s">
        <v>977</v>
      </c>
      <c r="P255" s="150">
        <f t="shared" si="3"/>
        <v>242</v>
      </c>
      <c r="Q255" s="112" t="s">
        <v>5</v>
      </c>
      <c r="R25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474-LCD-12725</v>
      </c>
      <c r="S255" s="157" t="str">
        <f>HYPERLINK("https://www.mouser.com/ProductDetail/" &amp;MouserListTable[[#This Row],[Mouser SKU]])</f>
        <v>https://www.mouser.com/ProductDetail/474-LCD-12725</v>
      </c>
      <c r="T255" s="152">
        <v>0</v>
      </c>
      <c r="U255" s="152">
        <v>0</v>
      </c>
      <c r="V255" s="152">
        <v>0</v>
      </c>
      <c r="W255" s="152">
        <f>MouserListTable[[#This Row],['#/Unit]]*FilterSpecs!$C$3+MouserListTable[[#This Row],[Extra]]</f>
        <v>0</v>
      </c>
      <c r="X255" s="152">
        <f>IF(MouserListTable[[#This Row],[Tag]]=FilterSpecs!$F$7,MouserListTable[[#This Row],['#/Unit]]*MouserListTable[[#This Row],[Price (USD)]],0)</f>
        <v>0</v>
      </c>
      <c r="Y255" s="152">
        <f>MouserListTable[[#This Row],[Tot '#]]*MouserListTable[[#This Row],[Price (USD)]]</f>
        <v>0</v>
      </c>
    </row>
    <row r="256" spans="1:25" x14ac:dyDescent="0.25">
      <c r="A256" s="150" t="s">
        <v>1058</v>
      </c>
      <c r="B256" s="112" t="s">
        <v>2005</v>
      </c>
      <c r="C256" s="112" t="s">
        <v>5</v>
      </c>
      <c r="D256" s="151" t="str">
        <f>IF(MouserListTable[[#This Row],[Vendor]]=FilterSpecs!$A$8,MouserListTable[[#This Row],[Mouser SKU]], MouserListTable[[#This Row],[Supplier SKU]])</f>
        <v>474-LCD-11741</v>
      </c>
      <c r="E256" s="152">
        <f>MouserListTable[[#This Row],[Tot '#]]-MouserListTable[[#This Row],['# Initial]]</f>
        <v>1</v>
      </c>
      <c r="F256" s="152">
        <f>IF(AND(MouserListTable[[#This Row],[Tag]]&lt;&gt;FilterSpecs!$F$12, MouserListTable[[#This Row],[Tag]]&lt;&gt;FilterSpecs!$F$9), MouserListTable[[#This Row],['#/Unit]]*FilterSpecs!$B$3+MouserListTable[[#This Row],[Extra Initial]],0)</f>
        <v>0</v>
      </c>
      <c r="G256" s="150" t="s">
        <v>1770</v>
      </c>
      <c r="H256" s="150" t="s">
        <v>1771</v>
      </c>
      <c r="I256" s="150" t="s">
        <v>1772</v>
      </c>
      <c r="J256" s="150"/>
      <c r="K256" s="154">
        <v>84.95</v>
      </c>
      <c r="L256" s="150" t="s">
        <v>1900</v>
      </c>
      <c r="M256" s="151"/>
      <c r="N256" s="154">
        <f>MouserListTable[[#This Row],['# Initial]]*MouserListTable[[#This Row],[Price (USD)]]</f>
        <v>0</v>
      </c>
      <c r="O256" s="151" t="s">
        <v>1769</v>
      </c>
      <c r="P256" s="150">
        <f t="shared" si="3"/>
        <v>243</v>
      </c>
      <c r="Q256" s="112" t="s">
        <v>5</v>
      </c>
      <c r="R25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474-LCD-11741</v>
      </c>
      <c r="S256" s="157" t="str">
        <f>HYPERLINK("https://www.mouser.com/ProductDetail/" &amp;MouserListTable[[#This Row],[Mouser SKU]])</f>
        <v>https://www.mouser.com/ProductDetail/474-LCD-11741</v>
      </c>
      <c r="T256" s="152">
        <v>0</v>
      </c>
      <c r="U256" s="152">
        <v>1</v>
      </c>
      <c r="V256" s="152">
        <v>0</v>
      </c>
      <c r="W256" s="152">
        <f>MouserListTable[[#This Row],['#/Unit]]*FilterSpecs!$C$3+MouserListTable[[#This Row],[Extra]]</f>
        <v>1</v>
      </c>
      <c r="X256" s="152">
        <f>IF(MouserListTable[[#This Row],[Tag]]=FilterSpecs!$F$7,MouserListTable[[#This Row],['#/Unit]]*MouserListTable[[#This Row],[Price (USD)]],0)</f>
        <v>0</v>
      </c>
      <c r="Y256" s="152">
        <f>MouserListTable[[#This Row],[Tot '#]]*MouserListTable[[#This Row],[Price (USD)]]</f>
        <v>84.95</v>
      </c>
    </row>
    <row r="257" spans="1:25" x14ac:dyDescent="0.25">
      <c r="A257" s="97" t="s">
        <v>1058</v>
      </c>
      <c r="B257" s="115" t="s">
        <v>2005</v>
      </c>
      <c r="C257" s="112" t="s">
        <v>5</v>
      </c>
      <c r="D257" s="151" t="str">
        <f>IF(MouserListTable[[#This Row],[Vendor]]=FilterSpecs!$A$8,MouserListTable[[#This Row],[Mouser SKU]], MouserListTable[[#This Row],[Supplier SKU]])</f>
        <v>474-LCD-11677</v>
      </c>
      <c r="E257" s="152">
        <f>MouserListTable[[#This Row],[Tot '#]]-MouserListTable[[#This Row],['# Initial]]</f>
        <v>0</v>
      </c>
      <c r="F257" s="152">
        <f>IF(AND(MouserListTable[[#This Row],[Tag]]&lt;&gt;FilterSpecs!$F$12, MouserListTable[[#This Row],[Tag]]&lt;&gt;FilterSpecs!$F$9), MouserListTable[[#This Row],['#/Unit]]*FilterSpecs!$B$3+MouserListTable[[#This Row],[Extra Initial]],0)</f>
        <v>0</v>
      </c>
      <c r="G257" s="150" t="s">
        <v>1734</v>
      </c>
      <c r="H257" s="150" t="s">
        <v>1735</v>
      </c>
      <c r="I257" s="150" t="s">
        <v>1736</v>
      </c>
      <c r="J257" s="150">
        <v>1</v>
      </c>
      <c r="K257" s="154">
        <v>84.95</v>
      </c>
      <c r="L257" s="150" t="s">
        <v>1900</v>
      </c>
      <c r="M257" s="153"/>
      <c r="N257" s="154">
        <f>MouserListTable[[#This Row],['# Initial]]*MouserListTable[[#This Row],[Price (USD)]]</f>
        <v>0</v>
      </c>
      <c r="O257" s="151" t="s">
        <v>1733</v>
      </c>
      <c r="P257" s="150">
        <f t="shared" si="3"/>
        <v>244</v>
      </c>
      <c r="Q257" s="112" t="s">
        <v>5</v>
      </c>
      <c r="R25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474-LCD-11677</v>
      </c>
      <c r="S257" s="157" t="str">
        <f>HYPERLINK("https://www.mouser.com/ProductDetail/" &amp;MouserListTable[[#This Row],[Mouser SKU]])</f>
        <v>https://www.mouser.com/ProductDetail/474-LCD-11677</v>
      </c>
      <c r="T257" s="152">
        <v>0</v>
      </c>
      <c r="U257" s="152">
        <v>0</v>
      </c>
      <c r="V257" s="152">
        <v>0</v>
      </c>
      <c r="W257" s="152">
        <f>MouserListTable[[#This Row],['#/Unit]]*FilterSpecs!$C$3+MouserListTable[[#This Row],[Extra]]</f>
        <v>0</v>
      </c>
      <c r="X257" s="152">
        <f>IF(MouserListTable[[#This Row],[Tag]]=FilterSpecs!$F$7,MouserListTable[[#This Row],['#/Unit]]*MouserListTable[[#This Row],[Price (USD)]],0)</f>
        <v>0</v>
      </c>
      <c r="Y257" s="152">
        <f>MouserListTable[[#This Row],[Tot '#]]*MouserListTable[[#This Row],[Price (USD)]]</f>
        <v>0</v>
      </c>
    </row>
    <row r="258" spans="1:25" x14ac:dyDescent="0.25">
      <c r="A258" s="97" t="s">
        <v>1058</v>
      </c>
      <c r="B258" s="115" t="s">
        <v>2005</v>
      </c>
      <c r="C258" s="112" t="s">
        <v>1884</v>
      </c>
      <c r="D258" s="151" t="str">
        <f>IF(MouserListTable[[#This Row],[Vendor]]=FilterSpecs!$A$8,MouserListTable[[#This Row],[Mouser SKU]], MouserListTable[[#This Row],[Supplier SKU]])</f>
        <v>485-2090</v>
      </c>
      <c r="E258" s="152">
        <f>MouserListTable[[#This Row],[Tot '#]]-MouserListTable[[#This Row],['# Initial]]</f>
        <v>0</v>
      </c>
      <c r="F258" s="152">
        <f>IF(AND(MouserListTable[[#This Row],[Tag]]&lt;&gt;FilterSpecs!$F$12, MouserListTable[[#This Row],[Tag]]&lt;&gt;FilterSpecs!$F$9), MouserListTable[[#This Row],['#/Unit]]*FilterSpecs!$B$3+MouserListTable[[#This Row],[Extra Initial]],0)</f>
        <v>0</v>
      </c>
      <c r="G258" s="150"/>
      <c r="H258" s="150"/>
      <c r="I258" s="150" t="s">
        <v>2072</v>
      </c>
      <c r="J258" s="150"/>
      <c r="K258" s="154">
        <v>39.950000000000003</v>
      </c>
      <c r="L258" s="150" t="s">
        <v>1896</v>
      </c>
      <c r="M258" s="153"/>
      <c r="N258" s="154">
        <f>MouserListTable[[#This Row],['# Initial]]*MouserListTable[[#This Row],[Price (USD)]]</f>
        <v>0</v>
      </c>
      <c r="O258" s="151" t="s">
        <v>2071</v>
      </c>
      <c r="P258" s="150">
        <f t="shared" si="3"/>
        <v>245</v>
      </c>
      <c r="Q258" s="112" t="s">
        <v>1884</v>
      </c>
      <c r="R25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485-2090</v>
      </c>
      <c r="S258" s="157" t="str">
        <f>HYPERLINK("https://www.mouser.com/ProductDetail/" &amp;MouserListTable[[#This Row],[Mouser SKU]])</f>
        <v>https://www.mouser.com/ProductDetail/485-2090</v>
      </c>
      <c r="T258" s="152">
        <v>0</v>
      </c>
      <c r="U258" s="152">
        <v>0</v>
      </c>
      <c r="V258" s="152">
        <v>0</v>
      </c>
      <c r="W258" s="152">
        <f>MouserListTable[[#This Row],['#/Unit]]*FilterSpecs!$C$3+MouserListTable[[#This Row],[Extra]]</f>
        <v>0</v>
      </c>
      <c r="X258" s="152">
        <f>IF(MouserListTable[[#This Row],[Tag]]=FilterSpecs!$F$7,MouserListTable[[#This Row],['#/Unit]]*MouserListTable[[#This Row],[Price (USD)]],0)</f>
        <v>0</v>
      </c>
      <c r="Y258" s="152">
        <f>MouserListTable[[#This Row],[Tot '#]]*MouserListTable[[#This Row],[Price (USD)]]</f>
        <v>0</v>
      </c>
    </row>
    <row r="259" spans="1:25" x14ac:dyDescent="0.25">
      <c r="A259" s="150" t="s">
        <v>1058</v>
      </c>
      <c r="B259" s="115" t="s">
        <v>2005</v>
      </c>
      <c r="C259" s="150" t="s">
        <v>1884</v>
      </c>
      <c r="D259" s="151" t="str">
        <f>IF(MouserListTable[[#This Row],[Vendor]]=FilterSpecs!$A$8,MouserListTable[[#This Row],[Mouser SKU]], MouserListTable[[#This Row],[Supplier SKU]])</f>
        <v>485-1947</v>
      </c>
      <c r="E259" s="152">
        <f>MouserListTable[[#This Row],[Tot '#]]-MouserListTable[[#This Row],['# Initial]]</f>
        <v>0</v>
      </c>
      <c r="F259" s="152">
        <f>IF(AND(MouserListTable[[#This Row],[Tag]]&lt;&gt;FilterSpecs!$F$12, MouserListTable[[#This Row],[Tag]]&lt;&gt;FilterSpecs!$F$9), MouserListTable[[#This Row],['#/Unit]]*FilterSpecs!$B$3+MouserListTable[[#This Row],[Extra Initial]],0)</f>
        <v>0</v>
      </c>
      <c r="G259" s="150"/>
      <c r="H259" s="150"/>
      <c r="I259" s="150" t="s">
        <v>2074</v>
      </c>
      <c r="J259" s="153"/>
      <c r="K259" s="118">
        <v>44.95</v>
      </c>
      <c r="L259" s="97" t="s">
        <v>1896</v>
      </c>
      <c r="M259" s="153"/>
      <c r="N259" s="154">
        <f>MouserListTable[[#This Row],['# Initial]]*MouserListTable[[#This Row],[Price (USD)]]</f>
        <v>0</v>
      </c>
      <c r="O259" s="151" t="s">
        <v>2073</v>
      </c>
      <c r="P259" s="150">
        <f t="shared" si="3"/>
        <v>246</v>
      </c>
      <c r="Q259" s="150" t="s">
        <v>1884</v>
      </c>
      <c r="R25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485-1947</v>
      </c>
      <c r="S259" s="157" t="str">
        <f>HYPERLINK("https://www.mouser.com/ProductDetail/" &amp;MouserListTable[[#This Row],[Mouser SKU]])</f>
        <v>https://www.mouser.com/ProductDetail/485-1947</v>
      </c>
      <c r="T259" s="152">
        <v>0</v>
      </c>
      <c r="U259" s="152">
        <v>0</v>
      </c>
      <c r="V259" s="152">
        <v>0</v>
      </c>
      <c r="W259" s="152">
        <f>MouserListTable[[#This Row],['#/Unit]]*FilterSpecs!$C$3+MouserListTable[[#This Row],[Extra]]</f>
        <v>0</v>
      </c>
      <c r="X259" s="152">
        <f>IF(MouserListTable[[#This Row],[Tag]]=FilterSpecs!$F$7,MouserListTable[[#This Row],['#/Unit]]*MouserListTable[[#This Row],[Price (USD)]],0)</f>
        <v>0</v>
      </c>
      <c r="Y259" s="152">
        <f>MouserListTable[[#This Row],[Tot '#]]*MouserListTable[[#This Row],[Price (USD)]]</f>
        <v>0</v>
      </c>
    </row>
    <row r="260" spans="1:25" x14ac:dyDescent="0.25">
      <c r="A260" s="150" t="s">
        <v>1058</v>
      </c>
      <c r="B260" s="112" t="s">
        <v>2005</v>
      </c>
      <c r="C260" s="150" t="s">
        <v>5</v>
      </c>
      <c r="D260" s="151" t="str">
        <f>IF(MouserListTable[[#This Row],[Vendor]]=FilterSpecs!$A$8,MouserListTable[[#This Row],[Mouser SKU]], MouserListTable[[#This Row],[Supplier SKU]])</f>
        <v>474-DEV-11814</v>
      </c>
      <c r="E260" s="152">
        <f>MouserListTable[[#This Row],[Tot '#]]-MouserListTable[[#This Row],['# Initial]]</f>
        <v>1</v>
      </c>
      <c r="F260" s="152">
        <f>IF(AND(MouserListTable[[#This Row],[Tag]]&lt;&gt;FilterSpecs!$F$12, MouserListTable[[#This Row],[Tag]]&lt;&gt;FilterSpecs!$F$9), MouserListTable[[#This Row],['#/Unit]]*FilterSpecs!$B$3+MouserListTable[[#This Row],[Extra Initial]],0)</f>
        <v>0</v>
      </c>
      <c r="G260" s="150" t="s">
        <v>1730</v>
      </c>
      <c r="H260" s="150" t="s">
        <v>1731</v>
      </c>
      <c r="I260" s="150" t="s">
        <v>1732</v>
      </c>
      <c r="J260" s="153">
        <v>1</v>
      </c>
      <c r="K260" s="154">
        <v>24.95</v>
      </c>
      <c r="L260" s="150" t="s">
        <v>1900</v>
      </c>
      <c r="M260" s="151"/>
      <c r="N260" s="154">
        <f>MouserListTable[[#This Row],['# Initial]]*MouserListTable[[#This Row],[Price (USD)]]</f>
        <v>0</v>
      </c>
      <c r="O260" s="151" t="s">
        <v>1729</v>
      </c>
      <c r="P260" s="150">
        <f t="shared" si="3"/>
        <v>247</v>
      </c>
      <c r="Q260" s="150" t="s">
        <v>5</v>
      </c>
      <c r="R26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474-DEV-11814</v>
      </c>
      <c r="S260" s="157" t="str">
        <f>HYPERLINK("https://www.mouser.com/ProductDetail/" &amp;MouserListTable[[#This Row],[Mouser SKU]])</f>
        <v>https://www.mouser.com/ProductDetail/474-DEV-11814</v>
      </c>
      <c r="T260" s="152">
        <v>0</v>
      </c>
      <c r="U260" s="152">
        <v>1</v>
      </c>
      <c r="V260" s="152">
        <v>0</v>
      </c>
      <c r="W260" s="152">
        <f>MouserListTable[[#This Row],['#/Unit]]*FilterSpecs!$C$3+MouserListTable[[#This Row],[Extra]]</f>
        <v>1</v>
      </c>
      <c r="X260" s="152">
        <f>IF(MouserListTable[[#This Row],[Tag]]=FilterSpecs!$F$7,MouserListTable[[#This Row],['#/Unit]]*MouserListTable[[#This Row],[Price (USD)]],0)</f>
        <v>0</v>
      </c>
      <c r="Y260" s="152">
        <f>MouserListTable[[#This Row],[Tot '#]]*MouserListTable[[#This Row],[Price (USD)]]</f>
        <v>24.95</v>
      </c>
    </row>
    <row r="261" spans="1:25" x14ac:dyDescent="0.25">
      <c r="A261" s="150" t="s">
        <v>1058</v>
      </c>
      <c r="B261" s="112" t="s">
        <v>1059</v>
      </c>
      <c r="C261" s="112" t="s">
        <v>5</v>
      </c>
      <c r="D261" s="151" t="str">
        <f>IF(MouserListTable[[#This Row],[Vendor]]=FilterSpecs!$A$8,MouserListTable[[#This Row],[Mouser SKU]], MouserListTable[[#This Row],[Supplier SKU]])</f>
        <v>474-DEV-14022</v>
      </c>
      <c r="E261" s="152">
        <f>MouserListTable[[#This Row],[Tot '#]]-MouserListTable[[#This Row],['# Initial]]</f>
        <v>1</v>
      </c>
      <c r="F261" s="152">
        <f>IF(AND(MouserListTable[[#This Row],[Tag]]&lt;&gt;FilterSpecs!$F$12, MouserListTable[[#This Row],[Tag]]&lt;&gt;FilterSpecs!$F$9), MouserListTable[[#This Row],['#/Unit]]*FilterSpecs!$B$3+MouserListTable[[#This Row],[Extra Initial]],0)</f>
        <v>0</v>
      </c>
      <c r="G261" s="150" t="s">
        <v>974</v>
      </c>
      <c r="H261" s="150" t="s">
        <v>975</v>
      </c>
      <c r="I261" s="150" t="s">
        <v>976</v>
      </c>
      <c r="J261" s="150"/>
      <c r="K261" s="154">
        <v>209.95</v>
      </c>
      <c r="L261" s="150" t="s">
        <v>1900</v>
      </c>
      <c r="M261" s="150" t="s">
        <v>1051</v>
      </c>
      <c r="N261" s="154">
        <f>MouserListTable[[#This Row],['# Initial]]*MouserListTable[[#This Row],[Price (USD)]]</f>
        <v>0</v>
      </c>
      <c r="O261" s="151" t="s">
        <v>973</v>
      </c>
      <c r="P261" s="150">
        <f t="shared" si="3"/>
        <v>248</v>
      </c>
      <c r="Q261" s="112" t="s">
        <v>5</v>
      </c>
      <c r="R26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474-DEV-14022</v>
      </c>
      <c r="S261" s="157" t="str">
        <f>HYPERLINK("https://www.mouser.com/ProductDetail/" &amp;MouserListTable[[#This Row],[Mouser SKU]])</f>
        <v>https://www.mouser.com/ProductDetail/474-DEV-14022</v>
      </c>
      <c r="T261" s="152">
        <v>0</v>
      </c>
      <c r="U261" s="152">
        <v>1</v>
      </c>
      <c r="V261" s="152">
        <v>0</v>
      </c>
      <c r="W261" s="152">
        <f>MouserListTable[[#This Row],['#/Unit]]*FilterSpecs!$C$3+MouserListTable[[#This Row],[Extra]]</f>
        <v>1</v>
      </c>
      <c r="X261" s="152">
        <f>IF(MouserListTable[[#This Row],[Tag]]=FilterSpecs!$F$7,MouserListTable[[#This Row],['#/Unit]]*MouserListTable[[#This Row],[Price (USD)]],0)</f>
        <v>0</v>
      </c>
      <c r="Y261" s="152">
        <f>MouserListTable[[#This Row],[Tot '#]]*MouserListTable[[#This Row],[Price (USD)]]</f>
        <v>209.95</v>
      </c>
    </row>
    <row r="262" spans="1:25" x14ac:dyDescent="0.25">
      <c r="A262" s="150" t="s">
        <v>1058</v>
      </c>
      <c r="B262" s="112" t="s">
        <v>1424</v>
      </c>
      <c r="C262" s="112" t="s">
        <v>5</v>
      </c>
      <c r="D262" s="151" t="str">
        <f>IF(MouserListTable[[#This Row],[Vendor]]=FilterSpecs!$A$8,MouserListTable[[#This Row],[Mouser SKU]], MouserListTable[[#This Row],[Supplier SKU]])</f>
        <v>474-COM-13316</v>
      </c>
      <c r="E262" s="152">
        <f>MouserListTable[[#This Row],[Tot '#]]-MouserListTable[[#This Row],['# Initial]]</f>
        <v>1</v>
      </c>
      <c r="F262" s="152">
        <f>IF(AND(MouserListTable[[#This Row],[Tag]]&lt;&gt;FilterSpecs!$F$12, MouserListTable[[#This Row],[Tag]]&lt;&gt;FilterSpecs!$F$9), MouserListTable[[#This Row],['#/Unit]]*FilterSpecs!$B$3+MouserListTable[[#This Row],[Extra Initial]],0)</f>
        <v>0</v>
      </c>
      <c r="G262" s="150" t="s">
        <v>970</v>
      </c>
      <c r="H262" s="150" t="s">
        <v>971</v>
      </c>
      <c r="I262" s="150" t="s">
        <v>972</v>
      </c>
      <c r="J262" s="150">
        <v>1</v>
      </c>
      <c r="K262" s="154">
        <v>49.95</v>
      </c>
      <c r="L262" s="150" t="s">
        <v>1896</v>
      </c>
      <c r="M262" s="150" t="s">
        <v>1050</v>
      </c>
      <c r="N262" s="154">
        <f>MouserListTable[[#This Row],['# Initial]]*MouserListTable[[#This Row],[Price (USD)]]</f>
        <v>0</v>
      </c>
      <c r="O262" s="151" t="s">
        <v>969</v>
      </c>
      <c r="P262" s="150">
        <f t="shared" si="3"/>
        <v>249</v>
      </c>
      <c r="Q262" s="112" t="s">
        <v>5</v>
      </c>
      <c r="R26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474-COM-13316</v>
      </c>
      <c r="S262" s="157" t="str">
        <f>HYPERLINK("https://www.mouser.com/ProductDetail/" &amp;MouserListTable[[#This Row],[Mouser SKU]])</f>
        <v>https://www.mouser.com/ProductDetail/474-COM-13316</v>
      </c>
      <c r="T262" s="152">
        <v>0</v>
      </c>
      <c r="U262" s="152">
        <v>1</v>
      </c>
      <c r="V262" s="152">
        <v>0</v>
      </c>
      <c r="W262" s="152">
        <f>MouserListTable[[#This Row],['#/Unit]]*FilterSpecs!$C$3+MouserListTable[[#This Row],[Extra]]</f>
        <v>1</v>
      </c>
      <c r="X262" s="152">
        <f>IF(MouserListTable[[#This Row],[Tag]]=FilterSpecs!$F$7,MouserListTable[[#This Row],['#/Unit]]*MouserListTable[[#This Row],[Price (USD)]],0)</f>
        <v>0</v>
      </c>
      <c r="Y262" s="152">
        <f>MouserListTable[[#This Row],[Tot '#]]*MouserListTable[[#This Row],[Price (USD)]]</f>
        <v>49.95</v>
      </c>
    </row>
    <row r="263" spans="1:25" x14ac:dyDescent="0.25">
      <c r="A263" s="150" t="s">
        <v>1058</v>
      </c>
      <c r="B263" s="150" t="s">
        <v>2000</v>
      </c>
      <c r="C263" s="150" t="s">
        <v>1884</v>
      </c>
      <c r="D263" s="151" t="str">
        <f>IF(MouserListTable[[#This Row],[Vendor]]=FilterSpecs!$A$8,MouserListTable[[#This Row],[Mouser SKU]], MouserListTable[[#This Row],[Supplier SKU]])</f>
        <v>485-1407</v>
      </c>
      <c r="E263" s="152">
        <f>MouserListTable[[#This Row],[Tot '#]]-MouserListTable[[#This Row],['# Initial]]</f>
        <v>0</v>
      </c>
      <c r="F263" s="152">
        <f>IF(AND(MouserListTable[[#This Row],[Tag]]&lt;&gt;FilterSpecs!$F$12, MouserListTable[[#This Row],[Tag]]&lt;&gt;FilterSpecs!$F$9), MouserListTable[[#This Row],['#/Unit]]*FilterSpecs!$B$3+MouserListTable[[#This Row],[Extra Initial]],0)</f>
        <v>0</v>
      </c>
      <c r="G263" s="150"/>
      <c r="H263" s="150"/>
      <c r="I263" s="150" t="s">
        <v>2323</v>
      </c>
      <c r="J263" s="153"/>
      <c r="K263" s="118">
        <v>9.9499999999999993</v>
      </c>
      <c r="L263" s="97" t="s">
        <v>1896</v>
      </c>
      <c r="M263" s="153"/>
      <c r="N263" s="154">
        <f>MouserListTable[[#This Row],['# Initial]]*MouserListTable[[#This Row],[Price (USD)]]</f>
        <v>0</v>
      </c>
      <c r="O263" s="151" t="s">
        <v>2322</v>
      </c>
      <c r="P263" s="150">
        <f t="shared" si="3"/>
        <v>250</v>
      </c>
      <c r="Q263" s="150" t="s">
        <v>1884</v>
      </c>
      <c r="R26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485-1407</v>
      </c>
      <c r="S263" s="157" t="str">
        <f>HYPERLINK("https://www.mouser.com/ProductDetail/" &amp;MouserListTable[[#This Row],[Mouser SKU]])</f>
        <v>https://www.mouser.com/ProductDetail/485-1407</v>
      </c>
      <c r="T263" s="152">
        <v>0</v>
      </c>
      <c r="U263" s="152">
        <v>0</v>
      </c>
      <c r="V263" s="152">
        <v>0</v>
      </c>
      <c r="W263" s="152">
        <f>MouserListTable[[#This Row],['#/Unit]]*FilterSpecs!$C$3+MouserListTable[[#This Row],[Extra]]</f>
        <v>0</v>
      </c>
      <c r="X263" s="152">
        <f>IF(MouserListTable[[#This Row],[Tag]]=FilterSpecs!$F$7,MouserListTable[[#This Row],['#/Unit]]*MouserListTable[[#This Row],[Price (USD)]],0)</f>
        <v>0</v>
      </c>
      <c r="Y263" s="152">
        <f>MouserListTable[[#This Row],[Tot '#]]*MouserListTable[[#This Row],[Price (USD)]]</f>
        <v>0</v>
      </c>
    </row>
    <row r="264" spans="1:25" x14ac:dyDescent="0.25">
      <c r="A264" s="150" t="s">
        <v>1058</v>
      </c>
      <c r="B264" s="150" t="s">
        <v>2000</v>
      </c>
      <c r="C264" s="150" t="s">
        <v>1884</v>
      </c>
      <c r="D264" s="151" t="str">
        <f>IF(MouserListTable[[#This Row],[Vendor]]=FilterSpecs!$A$8,MouserListTable[[#This Row],[Mouser SKU]], MouserListTable[[#This Row],[Supplier SKU]])</f>
        <v>485-2116</v>
      </c>
      <c r="E264" s="152">
        <f>MouserListTable[[#This Row],[Tot '#]]-MouserListTable[[#This Row],['# Initial]]</f>
        <v>0</v>
      </c>
      <c r="F264" s="152">
        <f>IF(AND(MouserListTable[[#This Row],[Tag]]&lt;&gt;FilterSpecs!$F$12, MouserListTable[[#This Row],[Tag]]&lt;&gt;FilterSpecs!$F$9), MouserListTable[[#This Row],['#/Unit]]*FilterSpecs!$B$3+MouserListTable[[#This Row],[Extra Initial]],0)</f>
        <v>0</v>
      </c>
      <c r="G264" s="150"/>
      <c r="H264" s="150"/>
      <c r="I264" s="150" t="s">
        <v>2325</v>
      </c>
      <c r="J264" s="153"/>
      <c r="K264" s="118">
        <v>24.95</v>
      </c>
      <c r="L264" s="97" t="s">
        <v>1896</v>
      </c>
      <c r="M264" s="153"/>
      <c r="N264" s="154">
        <f>MouserListTable[[#This Row],['# Initial]]*MouserListTable[[#This Row],[Price (USD)]]</f>
        <v>0</v>
      </c>
      <c r="O264" s="151" t="s">
        <v>2324</v>
      </c>
      <c r="P264" s="150">
        <f t="shared" si="3"/>
        <v>251</v>
      </c>
      <c r="Q264" s="150" t="s">
        <v>1884</v>
      </c>
      <c r="R26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485-2116</v>
      </c>
      <c r="S264" s="157" t="str">
        <f>HYPERLINK("https://www.mouser.com/ProductDetail/" &amp;MouserListTable[[#This Row],[Mouser SKU]])</f>
        <v>https://www.mouser.com/ProductDetail/485-2116</v>
      </c>
      <c r="T264" s="152">
        <v>0</v>
      </c>
      <c r="U264" s="152">
        <v>0</v>
      </c>
      <c r="V264" s="152">
        <v>0</v>
      </c>
      <c r="W264" s="152">
        <f>MouserListTable[[#This Row],['#/Unit]]*FilterSpecs!$C$3+MouserListTable[[#This Row],[Extra]]</f>
        <v>0</v>
      </c>
      <c r="X264" s="152">
        <f>IF(MouserListTable[[#This Row],[Tag]]=FilterSpecs!$F$7,MouserListTable[[#This Row],['#/Unit]]*MouserListTable[[#This Row],[Price (USD)]],0)</f>
        <v>0</v>
      </c>
      <c r="Y264" s="152">
        <f>MouserListTable[[#This Row],[Tot '#]]*MouserListTable[[#This Row],[Price (USD)]]</f>
        <v>0</v>
      </c>
    </row>
    <row r="265" spans="1:25" x14ac:dyDescent="0.25">
      <c r="A265" s="150" t="s">
        <v>1058</v>
      </c>
      <c r="B265" s="150" t="s">
        <v>2000</v>
      </c>
      <c r="C265" s="150" t="s">
        <v>1884</v>
      </c>
      <c r="D265" s="151" t="str">
        <f>IF(MouserListTable[[#This Row],[Vendor]]=FilterSpecs!$A$8,MouserListTable[[#This Row],[Mouser SKU]], MouserListTable[[#This Row],[Supplier SKU]])</f>
        <v>485-2162</v>
      </c>
      <c r="E265" s="152">
        <f>MouserListTable[[#This Row],[Tot '#]]-MouserListTable[[#This Row],['# Initial]]</f>
        <v>0</v>
      </c>
      <c r="F265" s="152">
        <f>IF(AND(MouserListTable[[#This Row],[Tag]]&lt;&gt;FilterSpecs!$F$12, MouserListTable[[#This Row],[Tag]]&lt;&gt;FilterSpecs!$F$9), MouserListTable[[#This Row],['#/Unit]]*FilterSpecs!$B$3+MouserListTable[[#This Row],[Extra Initial]],0)</f>
        <v>0</v>
      </c>
      <c r="G265" s="150"/>
      <c r="H265" s="150"/>
      <c r="I265" s="150" t="s">
        <v>2327</v>
      </c>
      <c r="J265" s="153"/>
      <c r="K265" s="118">
        <v>26.95</v>
      </c>
      <c r="L265" s="97" t="s">
        <v>1899</v>
      </c>
      <c r="M265" s="153"/>
      <c r="N265" s="154">
        <f>MouserListTable[[#This Row],['# Initial]]*MouserListTable[[#This Row],[Price (USD)]]</f>
        <v>0</v>
      </c>
      <c r="O265" s="151" t="s">
        <v>2326</v>
      </c>
      <c r="P265" s="150">
        <f t="shared" si="3"/>
        <v>252</v>
      </c>
      <c r="Q265" s="150" t="s">
        <v>1884</v>
      </c>
      <c r="R26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485-2162</v>
      </c>
      <c r="S265" s="157" t="str">
        <f>HYPERLINK("https://www.mouser.com/ProductDetail/" &amp;MouserListTable[[#This Row],[Mouser SKU]])</f>
        <v>https://www.mouser.com/ProductDetail/485-2162</v>
      </c>
      <c r="T265" s="152">
        <v>0</v>
      </c>
      <c r="U265" s="152">
        <v>0</v>
      </c>
      <c r="V265" s="152">
        <v>0</v>
      </c>
      <c r="W265" s="152">
        <f>MouserListTable[[#This Row],['#/Unit]]*FilterSpecs!$C$3+MouserListTable[[#This Row],[Extra]]</f>
        <v>0</v>
      </c>
      <c r="X265" s="152">
        <f>IF(MouserListTable[[#This Row],[Tag]]=FilterSpecs!$F$7,MouserListTable[[#This Row],['#/Unit]]*MouserListTable[[#This Row],[Price (USD)]],0)</f>
        <v>0</v>
      </c>
      <c r="Y265" s="152">
        <f>MouserListTable[[#This Row],[Tot '#]]*MouserListTable[[#This Row],[Price (USD)]]</f>
        <v>0</v>
      </c>
    </row>
    <row r="266" spans="1:25" x14ac:dyDescent="0.25">
      <c r="A266" s="150" t="s">
        <v>1058</v>
      </c>
      <c r="B266" s="150" t="s">
        <v>2000</v>
      </c>
      <c r="C266" s="150" t="s">
        <v>1884</v>
      </c>
      <c r="D266" s="151" t="str">
        <f>IF(MouserListTable[[#This Row],[Vendor]]=FilterSpecs!$A$8,MouserListTable[[#This Row],[Mouser SKU]], MouserListTable[[#This Row],[Supplier SKU]])</f>
        <v>485-1901</v>
      </c>
      <c r="E266" s="152">
        <f>MouserListTable[[#This Row],[Tot '#]]-MouserListTable[[#This Row],['# Initial]]</f>
        <v>0</v>
      </c>
      <c r="F266" s="152">
        <f>IF(AND(MouserListTable[[#This Row],[Tag]]&lt;&gt;FilterSpecs!$F$12, MouserListTable[[#This Row],[Tag]]&lt;&gt;FilterSpecs!$F$9), MouserListTable[[#This Row],['#/Unit]]*FilterSpecs!$B$3+MouserListTable[[#This Row],[Extra Initial]],0)</f>
        <v>0</v>
      </c>
      <c r="G266" s="150"/>
      <c r="H266" s="150"/>
      <c r="I266" s="150" t="s">
        <v>2329</v>
      </c>
      <c r="J266" s="153"/>
      <c r="K266" s="118">
        <v>14.95</v>
      </c>
      <c r="L266" s="97" t="s">
        <v>1896</v>
      </c>
      <c r="M266" s="153"/>
      <c r="N266" s="154">
        <f>MouserListTable[[#This Row],['# Initial]]*MouserListTable[[#This Row],[Price (USD)]]</f>
        <v>0</v>
      </c>
      <c r="O266" s="151" t="s">
        <v>2328</v>
      </c>
      <c r="P266" s="150">
        <f t="shared" si="3"/>
        <v>253</v>
      </c>
      <c r="Q266" s="150" t="s">
        <v>1884</v>
      </c>
      <c r="R26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485-1901</v>
      </c>
      <c r="S266" s="157" t="str">
        <f>HYPERLINK("https://www.mouser.com/ProductDetail/" &amp;MouserListTable[[#This Row],[Mouser SKU]])</f>
        <v>https://www.mouser.com/ProductDetail/485-1901</v>
      </c>
      <c r="T266" s="152">
        <v>0</v>
      </c>
      <c r="U266" s="152">
        <v>0</v>
      </c>
      <c r="V266" s="152">
        <v>0</v>
      </c>
      <c r="W266" s="152">
        <f>MouserListTable[[#This Row],['#/Unit]]*FilterSpecs!$C$3+MouserListTable[[#This Row],[Extra]]</f>
        <v>0</v>
      </c>
      <c r="X266" s="152">
        <f>IF(MouserListTable[[#This Row],[Tag]]=FilterSpecs!$F$7,MouserListTable[[#This Row],['#/Unit]]*MouserListTable[[#This Row],[Price (USD)]],0)</f>
        <v>0</v>
      </c>
      <c r="Y266" s="152">
        <f>MouserListTable[[#This Row],[Tot '#]]*MouserListTable[[#This Row],[Price (USD)]]</f>
        <v>0</v>
      </c>
    </row>
    <row r="267" spans="1:25" x14ac:dyDescent="0.25">
      <c r="A267" s="150" t="s">
        <v>1038</v>
      </c>
      <c r="B267" s="150" t="s">
        <v>1057</v>
      </c>
      <c r="C267" s="150" t="s">
        <v>5</v>
      </c>
      <c r="D267" s="151" t="str">
        <f>IF(MouserListTable[[#This Row],[Vendor]]=FilterSpecs!$A$8,MouserListTable[[#This Row],[Mouser SKU]], MouserListTable[[#This Row],[Supplier SKU]])</f>
        <v>474-DEV-14135</v>
      </c>
      <c r="E267" s="152">
        <f>MouserListTable[[#This Row],[Tot '#]]-MouserListTable[[#This Row],['# Initial]]</f>
        <v>1</v>
      </c>
      <c r="F267" s="152">
        <f>IF(AND(MouserListTable[[#This Row],[Tag]]&lt;&gt;FilterSpecs!$F$12, MouserListTable[[#This Row],[Tag]]&lt;&gt;FilterSpecs!$F$9), MouserListTable[[#This Row],['#/Unit]]*FilterSpecs!$B$3+MouserListTable[[#This Row],[Extra Initial]],0)</f>
        <v>0</v>
      </c>
      <c r="G267" s="150" t="s">
        <v>353</v>
      </c>
      <c r="H267" s="150" t="s">
        <v>354</v>
      </c>
      <c r="I267" s="150" t="s">
        <v>355</v>
      </c>
      <c r="J267" s="150">
        <v>1</v>
      </c>
      <c r="K267" s="154">
        <v>94.95</v>
      </c>
      <c r="L267" s="150" t="s">
        <v>2461</v>
      </c>
      <c r="M267" s="150" t="s">
        <v>1043</v>
      </c>
      <c r="N267" s="154">
        <f>MouserListTable[[#This Row],['# Initial]]*MouserListTable[[#This Row],[Price (USD)]]</f>
        <v>0</v>
      </c>
      <c r="O267" s="151" t="s">
        <v>352</v>
      </c>
      <c r="P267" s="150">
        <f t="shared" si="3"/>
        <v>254</v>
      </c>
      <c r="Q267" s="150" t="s">
        <v>5</v>
      </c>
      <c r="R26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474-DEV-14135</v>
      </c>
      <c r="S267" s="157" t="str">
        <f>HYPERLINK("https://www.mouser.com/ProductDetail/" &amp;MouserListTable[[#This Row],[Mouser SKU]])</f>
        <v>https://www.mouser.com/ProductDetail/474-DEV-14135</v>
      </c>
      <c r="T267" s="152">
        <v>0</v>
      </c>
      <c r="U267" s="152">
        <v>1</v>
      </c>
      <c r="V267" s="152">
        <v>0</v>
      </c>
      <c r="W267" s="152">
        <f>MouserListTable[[#This Row],['#/Unit]]*FilterSpecs!$C$3+MouserListTable[[#This Row],[Extra]]</f>
        <v>1</v>
      </c>
      <c r="X267" s="152">
        <f>IF(MouserListTable[[#This Row],[Tag]]=FilterSpecs!$F$7,MouserListTable[[#This Row],['#/Unit]]*MouserListTable[[#This Row],[Price (USD)]],0)</f>
        <v>0</v>
      </c>
      <c r="Y267" s="152">
        <f>MouserListTable[[#This Row],[Tot '#]]*MouserListTable[[#This Row],[Price (USD)]]</f>
        <v>94.95</v>
      </c>
    </row>
    <row r="268" spans="1:25" x14ac:dyDescent="0.25">
      <c r="A268" s="150" t="s">
        <v>1038</v>
      </c>
      <c r="B268" s="150" t="s">
        <v>1396</v>
      </c>
      <c r="C268" s="150" t="s">
        <v>5</v>
      </c>
      <c r="D268" s="151" t="str">
        <f>IF(MouserListTable[[#This Row],[Vendor]]=FilterSpecs!$A$8,MouserListTable[[#This Row],[Mouser SKU]], MouserListTable[[#This Row],[Supplier SKU]])</f>
        <v>474-DEV-14162</v>
      </c>
      <c r="E268" s="152">
        <f>MouserListTable[[#This Row],[Tot '#]]-MouserListTable[[#This Row],['# Initial]]</f>
        <v>1</v>
      </c>
      <c r="F268" s="152">
        <f>IF(AND(MouserListTable[[#This Row],[Tag]]&lt;&gt;FilterSpecs!$F$12, MouserListTable[[#This Row],[Tag]]&lt;&gt;FilterSpecs!$F$9), MouserListTable[[#This Row],['#/Unit]]*FilterSpecs!$B$3+MouserListTable[[#This Row],[Extra Initial]],0)</f>
        <v>0</v>
      </c>
      <c r="G268" s="150" t="s">
        <v>1318</v>
      </c>
      <c r="H268" s="150" t="s">
        <v>1319</v>
      </c>
      <c r="I268" s="150" t="s">
        <v>1320</v>
      </c>
      <c r="J268" s="150">
        <v>1</v>
      </c>
      <c r="K268" s="154">
        <v>69.95</v>
      </c>
      <c r="L268" s="150" t="s">
        <v>1900</v>
      </c>
      <c r="M268" s="150" t="s">
        <v>1337</v>
      </c>
      <c r="N268" s="154">
        <f>MouserListTable[[#This Row],['# Initial]]*MouserListTable[[#This Row],[Price (USD)]]</f>
        <v>0</v>
      </c>
      <c r="O268" s="151" t="s">
        <v>1317</v>
      </c>
      <c r="P268" s="150">
        <f t="shared" si="3"/>
        <v>255</v>
      </c>
      <c r="Q268" s="150" t="s">
        <v>5</v>
      </c>
      <c r="R26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474-DEV-14162</v>
      </c>
      <c r="S268" s="157" t="str">
        <f>HYPERLINK("https://www.mouser.com/ProductDetail/" &amp;MouserListTable[[#This Row],[Mouser SKU]])</f>
        <v>https://www.mouser.com/ProductDetail/474-DEV-14162</v>
      </c>
      <c r="T268" s="152">
        <v>0</v>
      </c>
      <c r="U268" s="152">
        <v>1</v>
      </c>
      <c r="V268" s="152">
        <v>0</v>
      </c>
      <c r="W268" s="152">
        <f>MouserListTable[[#This Row],['#/Unit]]*FilterSpecs!$C$3+MouserListTable[[#This Row],[Extra]]</f>
        <v>1</v>
      </c>
      <c r="X268" s="152">
        <f>IF(MouserListTable[[#This Row],[Tag]]=FilterSpecs!$F$7,MouserListTable[[#This Row],['#/Unit]]*MouserListTable[[#This Row],[Price (USD)]],0)</f>
        <v>0</v>
      </c>
      <c r="Y268" s="152">
        <f>MouserListTable[[#This Row],[Tot '#]]*MouserListTable[[#This Row],[Price (USD)]]</f>
        <v>69.95</v>
      </c>
    </row>
    <row r="269" spans="1:25" x14ac:dyDescent="0.25">
      <c r="A269" s="97" t="s">
        <v>1038</v>
      </c>
      <c r="B269" s="97" t="s">
        <v>1396</v>
      </c>
      <c r="C269" s="150" t="s">
        <v>5</v>
      </c>
      <c r="D269" s="151" t="str">
        <f>IF(MouserListTable[[#This Row],[Vendor]]=FilterSpecs!$A$8,MouserListTable[[#This Row],[Mouser SKU]], MouserListTable[[#This Row],[Supplier SKU]])</f>
        <v>474-DEV-12774</v>
      </c>
      <c r="E269" s="152">
        <f>MouserListTable[[#This Row],[Tot '#]]-MouserListTable[[#This Row],['# Initial]]</f>
        <v>0</v>
      </c>
      <c r="F269" s="152">
        <f>IF(AND(MouserListTable[[#This Row],[Tag]]&lt;&gt;FilterSpecs!$F$12, MouserListTable[[#This Row],[Tag]]&lt;&gt;FilterSpecs!$F$9), MouserListTable[[#This Row],['#/Unit]]*FilterSpecs!$B$3+MouserListTable[[#This Row],[Extra Initial]],0)</f>
        <v>0</v>
      </c>
      <c r="G269" s="150" t="s">
        <v>1306</v>
      </c>
      <c r="H269" s="150" t="s">
        <v>1307</v>
      </c>
      <c r="I269" s="150" t="s">
        <v>1308</v>
      </c>
      <c r="J269" s="150"/>
      <c r="K269" s="154">
        <v>9.9499999999999993</v>
      </c>
      <c r="L269" s="150" t="s">
        <v>1900</v>
      </c>
      <c r="M269" s="150" t="s">
        <v>1337</v>
      </c>
      <c r="N269" s="154">
        <f>MouserListTable[[#This Row],['# Initial]]*MouserListTable[[#This Row],[Price (USD)]]</f>
        <v>0</v>
      </c>
      <c r="O269" s="151" t="s">
        <v>1305</v>
      </c>
      <c r="P269" s="150">
        <f t="shared" si="3"/>
        <v>256</v>
      </c>
      <c r="Q269" s="150" t="s">
        <v>5</v>
      </c>
      <c r="R26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474-DEV-12774</v>
      </c>
      <c r="S269" s="157" t="str">
        <f>HYPERLINK("https://www.mouser.com/ProductDetail/" &amp;MouserListTable[[#This Row],[Mouser SKU]])</f>
        <v>https://www.mouser.com/ProductDetail/474-DEV-12774</v>
      </c>
      <c r="T269" s="152">
        <v>0</v>
      </c>
      <c r="U269" s="152">
        <v>0</v>
      </c>
      <c r="V269" s="152">
        <v>0</v>
      </c>
      <c r="W269" s="152">
        <f>MouserListTable[[#This Row],['#/Unit]]*FilterSpecs!$C$3+MouserListTable[[#This Row],[Extra]]</f>
        <v>0</v>
      </c>
      <c r="X269" s="152">
        <f>IF(MouserListTable[[#This Row],[Tag]]=FilterSpecs!$F$7,MouserListTable[[#This Row],['#/Unit]]*MouserListTable[[#This Row],[Price (USD)]],0)</f>
        <v>0</v>
      </c>
      <c r="Y269" s="152">
        <f>MouserListTable[[#This Row],[Tot '#]]*MouserListTable[[#This Row],[Price (USD)]]</f>
        <v>0</v>
      </c>
    </row>
    <row r="270" spans="1:25" x14ac:dyDescent="0.25">
      <c r="A270" s="97" t="s">
        <v>1038</v>
      </c>
      <c r="B270" s="97" t="s">
        <v>1396</v>
      </c>
      <c r="C270" s="150" t="s">
        <v>5</v>
      </c>
      <c r="D270" s="151" t="str">
        <f>IF(MouserListTable[[#This Row],[Vendor]]=FilterSpecs!$A$8,MouserListTable[[#This Row],[Mouser SKU]], MouserListTable[[#This Row],[Supplier SKU]])</f>
        <v>474-DEV-12086</v>
      </c>
      <c r="E270" s="152">
        <f>MouserListTable[[#This Row],[Tot '#]]-MouserListTable[[#This Row],['# Initial]]</f>
        <v>0</v>
      </c>
      <c r="F270" s="152">
        <f>IF(AND(MouserListTable[[#This Row],[Tag]]&lt;&gt;FilterSpecs!$F$12, MouserListTable[[#This Row],[Tag]]&lt;&gt;FilterSpecs!$F$9), MouserListTable[[#This Row],['#/Unit]]*FilterSpecs!$B$3+MouserListTable[[#This Row],[Extra Initial]],0)</f>
        <v>0</v>
      </c>
      <c r="G270" s="150" t="s">
        <v>1310</v>
      </c>
      <c r="H270" s="150" t="s">
        <v>1311</v>
      </c>
      <c r="I270" s="150" t="s">
        <v>1312</v>
      </c>
      <c r="J270" s="150">
        <v>1</v>
      </c>
      <c r="K270" s="154">
        <v>99.95</v>
      </c>
      <c r="L270" s="150" t="s">
        <v>1900</v>
      </c>
      <c r="M270" s="150" t="s">
        <v>1337</v>
      </c>
      <c r="N270" s="154">
        <f>MouserListTable[[#This Row],['# Initial]]*MouserListTable[[#This Row],[Price (USD)]]</f>
        <v>0</v>
      </c>
      <c r="O270" s="151" t="s">
        <v>1309</v>
      </c>
      <c r="P270" s="150">
        <f t="shared" ref="P270:P333" si="4">IF($P269="List #",1,$P269+1)</f>
        <v>257</v>
      </c>
      <c r="Q270" s="150" t="s">
        <v>5</v>
      </c>
      <c r="R27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474-DEV-12086</v>
      </c>
      <c r="S270" s="157" t="str">
        <f>HYPERLINK("https://www.mouser.com/ProductDetail/" &amp;MouserListTable[[#This Row],[Mouser SKU]])</f>
        <v>https://www.mouser.com/ProductDetail/474-DEV-12086</v>
      </c>
      <c r="T270" s="152">
        <v>0</v>
      </c>
      <c r="U270" s="152">
        <v>0</v>
      </c>
      <c r="V270" s="152">
        <v>0</v>
      </c>
      <c r="W270" s="152">
        <f>MouserListTable[[#This Row],['#/Unit]]*FilterSpecs!$C$3+MouserListTable[[#This Row],[Extra]]</f>
        <v>0</v>
      </c>
      <c r="X270" s="152">
        <f>IF(MouserListTable[[#This Row],[Tag]]=FilterSpecs!$F$7,MouserListTable[[#This Row],['#/Unit]]*MouserListTable[[#This Row],[Price (USD)]],0)</f>
        <v>0</v>
      </c>
      <c r="Y270" s="152">
        <f>MouserListTable[[#This Row],[Tot '#]]*MouserListTable[[#This Row],[Price (USD)]]</f>
        <v>0</v>
      </c>
    </row>
    <row r="271" spans="1:25" x14ac:dyDescent="0.25">
      <c r="A271" s="97" t="s">
        <v>1038</v>
      </c>
      <c r="B271" s="97" t="s">
        <v>1396</v>
      </c>
      <c r="C271" s="150" t="s">
        <v>5</v>
      </c>
      <c r="D271" s="151" t="str">
        <f>IF(MouserListTable[[#This Row],[Vendor]]=FilterSpecs!$A$8,MouserListTable[[#This Row],[Mouser SKU]], MouserListTable[[#This Row],[Supplier SKU]])</f>
        <v>474-DEV-12085</v>
      </c>
      <c r="E271" s="152">
        <f>MouserListTable[[#This Row],[Tot '#]]-MouserListTable[[#This Row],['# Initial]]</f>
        <v>0</v>
      </c>
      <c r="F271" s="152">
        <f>IF(AND(MouserListTable[[#This Row],[Tag]]&lt;&gt;FilterSpecs!$F$12, MouserListTable[[#This Row],[Tag]]&lt;&gt;FilterSpecs!$F$9), MouserListTable[[#This Row],['#/Unit]]*FilterSpecs!$B$3+MouserListTable[[#This Row],[Extra Initial]],0)</f>
        <v>0</v>
      </c>
      <c r="G271" s="150" t="s">
        <v>1314</v>
      </c>
      <c r="H271" s="150" t="s">
        <v>1315</v>
      </c>
      <c r="I271" s="150" t="s">
        <v>1316</v>
      </c>
      <c r="J271" s="150">
        <v>1</v>
      </c>
      <c r="K271" s="154">
        <v>65.95</v>
      </c>
      <c r="L271" s="150" t="s">
        <v>1900</v>
      </c>
      <c r="M271" s="150" t="s">
        <v>1337</v>
      </c>
      <c r="N271" s="154">
        <f>MouserListTable[[#This Row],['# Initial]]*MouserListTable[[#This Row],[Price (USD)]]</f>
        <v>0</v>
      </c>
      <c r="O271" s="151" t="s">
        <v>1313</v>
      </c>
      <c r="P271" s="150">
        <f t="shared" si="4"/>
        <v>258</v>
      </c>
      <c r="Q271" s="150" t="s">
        <v>5</v>
      </c>
      <c r="R27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474-DEV-12085</v>
      </c>
      <c r="S271" s="157" t="str">
        <f>HYPERLINK("https://www.mouser.com/ProductDetail/" &amp;MouserListTable[[#This Row],[Mouser SKU]])</f>
        <v>https://www.mouser.com/ProductDetail/474-DEV-12085</v>
      </c>
      <c r="T271" s="152">
        <v>0</v>
      </c>
      <c r="U271" s="152">
        <v>0</v>
      </c>
      <c r="V271" s="152">
        <v>0</v>
      </c>
      <c r="W271" s="152">
        <f>MouserListTable[[#This Row],['#/Unit]]*FilterSpecs!$C$3+MouserListTable[[#This Row],[Extra]]</f>
        <v>0</v>
      </c>
      <c r="X271" s="152">
        <f>IF(MouserListTable[[#This Row],[Tag]]=FilterSpecs!$F$7,MouserListTable[[#This Row],['#/Unit]]*MouserListTable[[#This Row],[Price (USD)]],0)</f>
        <v>0</v>
      </c>
      <c r="Y271" s="152">
        <f>MouserListTable[[#This Row],[Tot '#]]*MouserListTable[[#This Row],[Price (USD)]]</f>
        <v>0</v>
      </c>
    </row>
    <row r="272" spans="1:25" x14ac:dyDescent="0.25">
      <c r="A272" s="97" t="s">
        <v>1038</v>
      </c>
      <c r="B272" s="97" t="s">
        <v>1396</v>
      </c>
      <c r="C272" s="150" t="s">
        <v>5</v>
      </c>
      <c r="D272" s="151" t="str">
        <f>IF(MouserListTable[[#This Row],[Vendor]]=FilterSpecs!$A$8,MouserListTable[[#This Row],[Mouser SKU]], MouserListTable[[#This Row],[Supplier SKU]])</f>
        <v>474-PRT-12842</v>
      </c>
      <c r="E272" s="152">
        <f>MouserListTable[[#This Row],[Tot '#]]-MouserListTable[[#This Row],['# Initial]]</f>
        <v>0</v>
      </c>
      <c r="F272" s="152">
        <f>IF(AND(MouserListTable[[#This Row],[Tag]]&lt;&gt;FilterSpecs!$F$12, MouserListTable[[#This Row],[Tag]]&lt;&gt;FilterSpecs!$F$9), MouserListTable[[#This Row],['#/Unit]]*FilterSpecs!$B$3+MouserListTable[[#This Row],[Extra Initial]],0)</f>
        <v>0</v>
      </c>
      <c r="G272" s="150" t="s">
        <v>1302</v>
      </c>
      <c r="H272" s="150" t="s">
        <v>1303</v>
      </c>
      <c r="I272" s="150" t="s">
        <v>1304</v>
      </c>
      <c r="J272" s="150"/>
      <c r="K272" s="154">
        <v>7.95</v>
      </c>
      <c r="L272" s="150" t="s">
        <v>1900</v>
      </c>
      <c r="M272" s="150" t="s">
        <v>1337</v>
      </c>
      <c r="N272" s="154">
        <f>MouserListTable[[#This Row],['# Initial]]*MouserListTable[[#This Row],[Price (USD)]]</f>
        <v>0</v>
      </c>
      <c r="O272" s="151" t="s">
        <v>1301</v>
      </c>
      <c r="P272" s="150">
        <f t="shared" si="4"/>
        <v>259</v>
      </c>
      <c r="Q272" s="150" t="s">
        <v>5</v>
      </c>
      <c r="R27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474-PRT-12842</v>
      </c>
      <c r="S272" s="157" t="str">
        <f>HYPERLINK("https://www.mouser.com/ProductDetail/" &amp;MouserListTable[[#This Row],[Mouser SKU]])</f>
        <v>https://www.mouser.com/ProductDetail/474-PRT-12842</v>
      </c>
      <c r="T272" s="152">
        <v>0</v>
      </c>
      <c r="U272" s="152">
        <v>0</v>
      </c>
      <c r="V272" s="152">
        <v>0</v>
      </c>
      <c r="W272" s="152">
        <f>MouserListTable[[#This Row],['#/Unit]]*FilterSpecs!$C$3+MouserListTable[[#This Row],[Extra]]</f>
        <v>0</v>
      </c>
      <c r="X272" s="152">
        <f>IF(MouserListTable[[#This Row],[Tag]]=FilterSpecs!$F$7,MouserListTable[[#This Row],['#/Unit]]*MouserListTable[[#This Row],[Price (USD)]],0)</f>
        <v>0</v>
      </c>
      <c r="Y272" s="152">
        <f>MouserListTable[[#This Row],[Tot '#]]*MouserListTable[[#This Row],[Price (USD)]]</f>
        <v>0</v>
      </c>
    </row>
    <row r="273" spans="1:25" x14ac:dyDescent="0.25">
      <c r="A273" s="150" t="s">
        <v>1038</v>
      </c>
      <c r="B273" s="150" t="s">
        <v>1396</v>
      </c>
      <c r="C273" s="150" t="s">
        <v>1884</v>
      </c>
      <c r="D273" s="151" t="str">
        <f>IF(MouserListTable[[#This Row],[Vendor]]=FilterSpecs!$A$8,MouserListTable[[#This Row],[Mouser SKU]], MouserListTable[[#This Row],[Supplier SKU]])</f>
        <v>485-3396</v>
      </c>
      <c r="E273" s="152">
        <f>MouserListTable[[#This Row],[Tot '#]]-MouserListTable[[#This Row],['# Initial]]</f>
        <v>1</v>
      </c>
      <c r="F273" s="152">
        <f>IF(AND(MouserListTable[[#This Row],[Tag]]&lt;&gt;FilterSpecs!$F$12, MouserListTable[[#This Row],[Tag]]&lt;&gt;FilterSpecs!$F$9), MouserListTable[[#This Row],['#/Unit]]*FilterSpecs!$B$3+MouserListTable[[#This Row],[Extra Initial]],0)</f>
        <v>0</v>
      </c>
      <c r="G273" s="150"/>
      <c r="H273" s="150"/>
      <c r="I273" s="150" t="s">
        <v>2351</v>
      </c>
      <c r="J273" s="153"/>
      <c r="K273" s="154">
        <v>49.95</v>
      </c>
      <c r="L273" s="150" t="s">
        <v>1900</v>
      </c>
      <c r="M273" s="151"/>
      <c r="N273" s="154">
        <f>MouserListTable[[#This Row],['# Initial]]*MouserListTable[[#This Row],[Price (USD)]]</f>
        <v>0</v>
      </c>
      <c r="O273" s="151" t="s">
        <v>2350</v>
      </c>
      <c r="P273" s="150">
        <f t="shared" si="4"/>
        <v>260</v>
      </c>
      <c r="Q273" s="150" t="s">
        <v>1884</v>
      </c>
      <c r="R27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485-3396</v>
      </c>
      <c r="S273" s="157" t="str">
        <f>HYPERLINK("https://www.mouser.com/ProductDetail/" &amp;MouserListTable[[#This Row],[Mouser SKU]])</f>
        <v>https://www.mouser.com/ProductDetail/485-3396</v>
      </c>
      <c r="T273" s="152">
        <v>0</v>
      </c>
      <c r="U273" s="152">
        <v>1</v>
      </c>
      <c r="V273" s="152">
        <v>0</v>
      </c>
      <c r="W273" s="152">
        <f>MouserListTable[[#This Row],['#/Unit]]*FilterSpecs!$C$3+MouserListTable[[#This Row],[Extra]]</f>
        <v>1</v>
      </c>
      <c r="X273" s="152">
        <f>IF(MouserListTable[[#This Row],[Tag]]=FilterSpecs!$F$7,MouserListTable[[#This Row],['#/Unit]]*MouserListTable[[#This Row],[Price (USD)]],0)</f>
        <v>0</v>
      </c>
      <c r="Y273" s="152">
        <f>MouserListTable[[#This Row],[Tot '#]]*MouserListTable[[#This Row],[Price (USD)]]</f>
        <v>49.95</v>
      </c>
    </row>
    <row r="274" spans="1:25" x14ac:dyDescent="0.25">
      <c r="A274" s="150" t="s">
        <v>1038</v>
      </c>
      <c r="B274" s="150" t="s">
        <v>1396</v>
      </c>
      <c r="C274" s="150" t="s">
        <v>1884</v>
      </c>
      <c r="D274" s="151" t="str">
        <f>IF(MouserListTable[[#This Row],[Vendor]]=FilterSpecs!$A$8,MouserListTable[[#This Row],[Mouser SKU]], MouserListTable[[#This Row],[Supplier SKU]])</f>
        <v>485-1555</v>
      </c>
      <c r="E274" s="152">
        <f>MouserListTable[[#This Row],[Tot '#]]-MouserListTable[[#This Row],['# Initial]]</f>
        <v>0</v>
      </c>
      <c r="F274" s="152">
        <f>IF(AND(MouserListTable[[#This Row],[Tag]]&lt;&gt;FilterSpecs!$F$12, MouserListTable[[#This Row],[Tag]]&lt;&gt;FilterSpecs!$F$9), MouserListTable[[#This Row],['#/Unit]]*FilterSpecs!$B$3+MouserListTable[[#This Row],[Extra Initial]],0)</f>
        <v>0</v>
      </c>
      <c r="G274" s="150"/>
      <c r="H274" s="150"/>
      <c r="I274" s="150" t="s">
        <v>2353</v>
      </c>
      <c r="J274" s="153"/>
      <c r="K274" s="118">
        <v>9.9499999999999993</v>
      </c>
      <c r="L274" s="97" t="s">
        <v>1900</v>
      </c>
      <c r="M274" s="153"/>
      <c r="N274" s="154">
        <f>MouserListTable[[#This Row],['# Initial]]*MouserListTable[[#This Row],[Price (USD)]]</f>
        <v>0</v>
      </c>
      <c r="O274" s="151" t="s">
        <v>2352</v>
      </c>
      <c r="P274" s="150">
        <f t="shared" si="4"/>
        <v>261</v>
      </c>
      <c r="Q274" s="150" t="s">
        <v>1884</v>
      </c>
      <c r="R27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485-1555</v>
      </c>
      <c r="S274" s="157" t="str">
        <f>HYPERLINK("https://www.mouser.com/ProductDetail/" &amp;MouserListTable[[#This Row],[Mouser SKU]])</f>
        <v>https://www.mouser.com/ProductDetail/485-1555</v>
      </c>
      <c r="T274" s="152">
        <v>0</v>
      </c>
      <c r="U274" s="152">
        <v>0</v>
      </c>
      <c r="V274" s="152">
        <v>0</v>
      </c>
      <c r="W274" s="152">
        <f>MouserListTable[[#This Row],['#/Unit]]*FilterSpecs!$C$3+MouserListTable[[#This Row],[Extra]]</f>
        <v>0</v>
      </c>
      <c r="X274" s="152">
        <f>IF(MouserListTable[[#This Row],[Tag]]=FilterSpecs!$F$7,MouserListTable[[#This Row],['#/Unit]]*MouserListTable[[#This Row],[Price (USD)]],0)</f>
        <v>0</v>
      </c>
      <c r="Y274" s="152">
        <f>MouserListTable[[#This Row],[Tot '#]]*MouserListTable[[#This Row],[Price (USD)]]</f>
        <v>0</v>
      </c>
    </row>
    <row r="275" spans="1:25" x14ac:dyDescent="0.25">
      <c r="A275" s="150" t="s">
        <v>1038</v>
      </c>
      <c r="B275" s="150" t="s">
        <v>1396</v>
      </c>
      <c r="C275" s="150" t="s">
        <v>1884</v>
      </c>
      <c r="D275" s="151" t="str">
        <f>IF(MouserListTable[[#This Row],[Vendor]]=FilterSpecs!$A$8,MouserListTable[[#This Row],[Mouser SKU]], MouserListTable[[#This Row],[Supplier SKU]])</f>
        <v>485-699</v>
      </c>
      <c r="E275" s="152">
        <f>MouserListTable[[#This Row],[Tot '#]]-MouserListTable[[#This Row],['# Initial]]</f>
        <v>0</v>
      </c>
      <c r="F275" s="152">
        <f>IF(AND(MouserListTable[[#This Row],[Tag]]&lt;&gt;FilterSpecs!$F$12, MouserListTable[[#This Row],[Tag]]&lt;&gt;FilterSpecs!$F$9), MouserListTable[[#This Row],['#/Unit]]*FilterSpecs!$B$3+MouserListTable[[#This Row],[Extra Initial]],0)</f>
        <v>0</v>
      </c>
      <c r="G275" s="150"/>
      <c r="H275" s="150"/>
      <c r="I275" s="150" t="s">
        <v>2355</v>
      </c>
      <c r="J275" s="153"/>
      <c r="K275" s="118">
        <v>19.95</v>
      </c>
      <c r="L275" s="97" t="s">
        <v>1900</v>
      </c>
      <c r="M275" s="153"/>
      <c r="N275" s="154">
        <f>MouserListTable[[#This Row],['# Initial]]*MouserListTable[[#This Row],[Price (USD)]]</f>
        <v>0</v>
      </c>
      <c r="O275" s="151" t="s">
        <v>2354</v>
      </c>
      <c r="P275" s="150">
        <f t="shared" si="4"/>
        <v>262</v>
      </c>
      <c r="Q275" s="150" t="s">
        <v>1884</v>
      </c>
      <c r="R27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485-699</v>
      </c>
      <c r="S275" s="157" t="str">
        <f>HYPERLINK("https://www.mouser.com/ProductDetail/" &amp;MouserListTable[[#This Row],[Mouser SKU]])</f>
        <v>https://www.mouser.com/ProductDetail/485-699</v>
      </c>
      <c r="T275" s="152">
        <v>0</v>
      </c>
      <c r="U275" s="152">
        <v>0</v>
      </c>
      <c r="V275" s="152">
        <v>0</v>
      </c>
      <c r="W275" s="152">
        <f>MouserListTable[[#This Row],['#/Unit]]*FilterSpecs!$C$3+MouserListTable[[#This Row],[Extra]]</f>
        <v>0</v>
      </c>
      <c r="X275" s="152">
        <f>IF(MouserListTable[[#This Row],[Tag]]=FilterSpecs!$F$7,MouserListTable[[#This Row],['#/Unit]]*MouserListTable[[#This Row],[Price (USD)]],0)</f>
        <v>0</v>
      </c>
      <c r="Y275" s="152">
        <f>MouserListTable[[#This Row],[Tot '#]]*MouserListTable[[#This Row],[Price (USD)]]</f>
        <v>0</v>
      </c>
    </row>
    <row r="276" spans="1:25" x14ac:dyDescent="0.25">
      <c r="A276" s="150" t="s">
        <v>1038</v>
      </c>
      <c r="B276" s="150" t="s">
        <v>1396</v>
      </c>
      <c r="C276" s="150" t="s">
        <v>1884</v>
      </c>
      <c r="D276" s="151" t="str">
        <f>IF(MouserListTable[[#This Row],[Vendor]]=FilterSpecs!$A$8,MouserListTable[[#This Row],[Mouser SKU]], MouserListTable[[#This Row],[Supplier SKU]])</f>
        <v>485-572</v>
      </c>
      <c r="E276" s="152">
        <f>MouserListTable[[#This Row],[Tot '#]]-MouserListTable[[#This Row],['# Initial]]</f>
        <v>1</v>
      </c>
      <c r="F276" s="152">
        <f>IF(AND(MouserListTable[[#This Row],[Tag]]&lt;&gt;FilterSpecs!$F$12, MouserListTable[[#This Row],[Tag]]&lt;&gt;FilterSpecs!$F$9), MouserListTable[[#This Row],['#/Unit]]*FilterSpecs!$B$3+MouserListTable[[#This Row],[Extra Initial]],0)</f>
        <v>0</v>
      </c>
      <c r="G276" s="150"/>
      <c r="H276" s="150"/>
      <c r="I276" s="150" t="s">
        <v>2357</v>
      </c>
      <c r="J276" s="153"/>
      <c r="K276" s="154">
        <v>9.9499999999999993</v>
      </c>
      <c r="L276" s="150" t="s">
        <v>1900</v>
      </c>
      <c r="M276" s="151"/>
      <c r="N276" s="154">
        <f>MouserListTable[[#This Row],['# Initial]]*MouserListTable[[#This Row],[Price (USD)]]</f>
        <v>0</v>
      </c>
      <c r="O276" s="151" t="s">
        <v>2356</v>
      </c>
      <c r="P276" s="150">
        <f t="shared" si="4"/>
        <v>263</v>
      </c>
      <c r="Q276" s="150" t="s">
        <v>1884</v>
      </c>
      <c r="R27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485-572</v>
      </c>
      <c r="S276" s="157" t="str">
        <f>HYPERLINK("https://www.mouser.com/ProductDetail/" &amp;MouserListTable[[#This Row],[Mouser SKU]])</f>
        <v>https://www.mouser.com/ProductDetail/485-572</v>
      </c>
      <c r="T276" s="152">
        <v>0</v>
      </c>
      <c r="U276" s="152">
        <v>1</v>
      </c>
      <c r="V276" s="152">
        <v>0</v>
      </c>
      <c r="W276" s="152">
        <f>MouserListTable[[#This Row],['#/Unit]]*FilterSpecs!$C$3+MouserListTable[[#This Row],[Extra]]</f>
        <v>1</v>
      </c>
      <c r="X276" s="152">
        <f>IF(MouserListTable[[#This Row],[Tag]]=FilterSpecs!$F$7,MouserListTable[[#This Row],['#/Unit]]*MouserListTable[[#This Row],[Price (USD)]],0)</f>
        <v>0</v>
      </c>
      <c r="Y276" s="152">
        <f>MouserListTable[[#This Row],[Tot '#]]*MouserListTable[[#This Row],[Price (USD)]]</f>
        <v>9.9499999999999993</v>
      </c>
    </row>
    <row r="277" spans="1:25" x14ac:dyDescent="0.25">
      <c r="A277" s="150" t="s">
        <v>1038</v>
      </c>
      <c r="B277" s="150" t="s">
        <v>1396</v>
      </c>
      <c r="C277" s="150" t="s">
        <v>1884</v>
      </c>
      <c r="D277" s="151" t="str">
        <f>IF(MouserListTable[[#This Row],[Vendor]]=FilterSpecs!$A$8,MouserListTable[[#This Row],[Mouser SKU]], MouserListTable[[#This Row],[Supplier SKU]])</f>
        <v>485-702</v>
      </c>
      <c r="E277" s="152">
        <f>MouserListTable[[#This Row],[Tot '#]]-MouserListTable[[#This Row],['# Initial]]</f>
        <v>0</v>
      </c>
      <c r="F277" s="152">
        <f>IF(AND(MouserListTable[[#This Row],[Tag]]&lt;&gt;FilterSpecs!$F$12, MouserListTable[[#This Row],[Tag]]&lt;&gt;FilterSpecs!$F$9), MouserListTable[[#This Row],['#/Unit]]*FilterSpecs!$B$3+MouserListTable[[#This Row],[Extra Initial]],0)</f>
        <v>0</v>
      </c>
      <c r="G277" s="150"/>
      <c r="H277" s="150"/>
      <c r="I277" s="150" t="s">
        <v>2359</v>
      </c>
      <c r="J277" s="153"/>
      <c r="K277" s="118">
        <v>7.95</v>
      </c>
      <c r="L277" s="97" t="s">
        <v>1900</v>
      </c>
      <c r="M277" s="153"/>
      <c r="N277" s="154">
        <f>MouserListTable[[#This Row],['# Initial]]*MouserListTable[[#This Row],[Price (USD)]]</f>
        <v>0</v>
      </c>
      <c r="O277" s="151" t="s">
        <v>2358</v>
      </c>
      <c r="P277" s="150">
        <f t="shared" si="4"/>
        <v>264</v>
      </c>
      <c r="Q277" s="150" t="s">
        <v>1884</v>
      </c>
      <c r="R27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485-702</v>
      </c>
      <c r="S277" s="157" t="str">
        <f>HYPERLINK("https://www.mouser.com/ProductDetail/" &amp;MouserListTable[[#This Row],[Mouser SKU]])</f>
        <v>https://www.mouser.com/ProductDetail/485-702</v>
      </c>
      <c r="T277" s="152">
        <v>0</v>
      </c>
      <c r="U277" s="152">
        <v>0</v>
      </c>
      <c r="V277" s="152">
        <v>0</v>
      </c>
      <c r="W277" s="152">
        <f>MouserListTable[[#This Row],['#/Unit]]*FilterSpecs!$C$3+MouserListTable[[#This Row],[Extra]]</f>
        <v>0</v>
      </c>
      <c r="X277" s="152">
        <f>IF(MouserListTable[[#This Row],[Tag]]=FilterSpecs!$F$7,MouserListTable[[#This Row],['#/Unit]]*MouserListTable[[#This Row],[Price (USD)]],0)</f>
        <v>0</v>
      </c>
      <c r="Y277" s="152">
        <f>MouserListTable[[#This Row],[Tot '#]]*MouserListTable[[#This Row],[Price (USD)]]</f>
        <v>0</v>
      </c>
    </row>
    <row r="278" spans="1:25" x14ac:dyDescent="0.25">
      <c r="A278" s="150" t="s">
        <v>1038</v>
      </c>
      <c r="B278" s="150" t="s">
        <v>1396</v>
      </c>
      <c r="C278" s="150" t="s">
        <v>1884</v>
      </c>
      <c r="D278" s="151" t="str">
        <f>IF(MouserListTable[[#This Row],[Vendor]]=FilterSpecs!$A$8,MouserListTable[[#This Row],[Mouser SKU]], MouserListTable[[#This Row],[Supplier SKU]])</f>
        <v>485-2627</v>
      </c>
      <c r="E278" s="152">
        <f>MouserListTable[[#This Row],[Tot '#]]-MouserListTable[[#This Row],['# Initial]]</f>
        <v>1</v>
      </c>
      <c r="F278" s="152">
        <f>IF(AND(MouserListTable[[#This Row],[Tag]]&lt;&gt;FilterSpecs!$F$12, MouserListTable[[#This Row],[Tag]]&lt;&gt;FilterSpecs!$F$9), MouserListTable[[#This Row],['#/Unit]]*FilterSpecs!$B$3+MouserListTable[[#This Row],[Extra Initial]],0)</f>
        <v>0</v>
      </c>
      <c r="G278" s="150"/>
      <c r="H278" s="150"/>
      <c r="I278" s="150" t="s">
        <v>2361</v>
      </c>
      <c r="J278" s="153"/>
      <c r="K278" s="154">
        <v>39.950000000000003</v>
      </c>
      <c r="L278" s="150" t="s">
        <v>1900</v>
      </c>
      <c r="M278" s="151"/>
      <c r="N278" s="154">
        <f>MouserListTable[[#This Row],['# Initial]]*MouserListTable[[#This Row],[Price (USD)]]</f>
        <v>0</v>
      </c>
      <c r="O278" s="151" t="s">
        <v>2360</v>
      </c>
      <c r="P278" s="150">
        <f t="shared" si="4"/>
        <v>265</v>
      </c>
      <c r="Q278" s="150" t="s">
        <v>1884</v>
      </c>
      <c r="R27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485-2627</v>
      </c>
      <c r="S278" s="157" t="str">
        <f>HYPERLINK("https://www.mouser.com/ProductDetail/" &amp;MouserListTable[[#This Row],[Mouser SKU]])</f>
        <v>https://www.mouser.com/ProductDetail/485-2627</v>
      </c>
      <c r="T278" s="152">
        <v>0</v>
      </c>
      <c r="U278" s="152">
        <v>1</v>
      </c>
      <c r="V278" s="152">
        <v>0</v>
      </c>
      <c r="W278" s="152">
        <f>MouserListTable[[#This Row],['#/Unit]]*FilterSpecs!$C$3+MouserListTable[[#This Row],[Extra]]</f>
        <v>1</v>
      </c>
      <c r="X278" s="152">
        <f>IF(MouserListTable[[#This Row],[Tag]]=FilterSpecs!$F$7,MouserListTable[[#This Row],['#/Unit]]*MouserListTable[[#This Row],[Price (USD)]],0)</f>
        <v>0</v>
      </c>
      <c r="Y278" s="152">
        <f>MouserListTable[[#This Row],[Tot '#]]*MouserListTable[[#This Row],[Price (USD)]]</f>
        <v>39.950000000000003</v>
      </c>
    </row>
    <row r="279" spans="1:25" x14ac:dyDescent="0.25">
      <c r="A279" s="150" t="s">
        <v>1038</v>
      </c>
      <c r="B279" s="150" t="s">
        <v>1396</v>
      </c>
      <c r="C279" s="150" t="s">
        <v>1884</v>
      </c>
      <c r="D279" s="151" t="str">
        <f>IF(MouserListTable[[#This Row],[Vendor]]=FilterSpecs!$A$8,MouserListTable[[#This Row],[Mouser SKU]], MouserListTable[[#This Row],[Supplier SKU]])</f>
        <v>485-2628</v>
      </c>
      <c r="E279" s="152">
        <f>MouserListTable[[#This Row],[Tot '#]]-MouserListTable[[#This Row],['# Initial]]</f>
        <v>0</v>
      </c>
      <c r="F279" s="152">
        <f>IF(AND(MouserListTable[[#This Row],[Tag]]&lt;&gt;FilterSpecs!$F$12, MouserListTable[[#This Row],[Tag]]&lt;&gt;FilterSpecs!$F$9), MouserListTable[[#This Row],['#/Unit]]*FilterSpecs!$B$3+MouserListTable[[#This Row],[Extra Initial]],0)</f>
        <v>0</v>
      </c>
      <c r="G279" s="150"/>
      <c r="H279" s="150"/>
      <c r="I279" s="150" t="s">
        <v>2363</v>
      </c>
      <c r="J279" s="153"/>
      <c r="K279" s="118">
        <v>39.950000000000003</v>
      </c>
      <c r="L279" s="97" t="s">
        <v>1900</v>
      </c>
      <c r="M279" s="153"/>
      <c r="N279" s="154">
        <f>MouserListTable[[#This Row],['# Initial]]*MouserListTable[[#This Row],[Price (USD)]]</f>
        <v>0</v>
      </c>
      <c r="O279" s="151" t="s">
        <v>2362</v>
      </c>
      <c r="P279" s="150">
        <f t="shared" si="4"/>
        <v>266</v>
      </c>
      <c r="Q279" s="150" t="s">
        <v>1884</v>
      </c>
      <c r="R27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485-2628</v>
      </c>
      <c r="S279" s="157" t="str">
        <f>HYPERLINK("https://www.mouser.com/ProductDetail/" &amp;MouserListTable[[#This Row],[Mouser SKU]])</f>
        <v>https://www.mouser.com/ProductDetail/485-2628</v>
      </c>
      <c r="T279" s="152">
        <v>0</v>
      </c>
      <c r="U279" s="152">
        <v>0</v>
      </c>
      <c r="V279" s="152">
        <v>0</v>
      </c>
      <c r="W279" s="152">
        <f>MouserListTable[[#This Row],['#/Unit]]*FilterSpecs!$C$3+MouserListTable[[#This Row],[Extra]]</f>
        <v>0</v>
      </c>
      <c r="X279" s="152">
        <f>IF(MouserListTable[[#This Row],[Tag]]=FilterSpecs!$F$7,MouserListTable[[#This Row],['#/Unit]]*MouserListTable[[#This Row],[Price (USD)]],0)</f>
        <v>0</v>
      </c>
      <c r="Y279" s="152">
        <f>MouserListTable[[#This Row],[Tot '#]]*MouserListTable[[#This Row],[Price (USD)]]</f>
        <v>0</v>
      </c>
    </row>
    <row r="280" spans="1:25" x14ac:dyDescent="0.25">
      <c r="A280" s="150" t="s">
        <v>1038</v>
      </c>
      <c r="B280" s="150" t="s">
        <v>1396</v>
      </c>
      <c r="C280" s="150" t="s">
        <v>1884</v>
      </c>
      <c r="D280" s="151" t="str">
        <f>IF(MouserListTable[[#This Row],[Vendor]]=FilterSpecs!$A$8,MouserListTable[[#This Row],[Mouser SKU]], MouserListTable[[#This Row],[Supplier SKU]])</f>
        <v>485-1810</v>
      </c>
      <c r="E280" s="152">
        <f>MouserListTable[[#This Row],[Tot '#]]-MouserListTable[[#This Row],['# Initial]]</f>
        <v>0</v>
      </c>
      <c r="F280" s="152">
        <f>IF(AND(MouserListTable[[#This Row],[Tag]]&lt;&gt;FilterSpecs!$F$12, MouserListTable[[#This Row],[Tag]]&lt;&gt;FilterSpecs!$F$9), MouserListTable[[#This Row],['#/Unit]]*FilterSpecs!$B$3+MouserListTable[[#This Row],[Extra Initial]],0)</f>
        <v>0</v>
      </c>
      <c r="G280" s="150"/>
      <c r="H280" s="150"/>
      <c r="I280" s="150" t="s">
        <v>2365</v>
      </c>
      <c r="J280" s="153"/>
      <c r="K280" s="118">
        <v>49.95</v>
      </c>
      <c r="L280" s="97" t="s">
        <v>1900</v>
      </c>
      <c r="M280" s="153"/>
      <c r="N280" s="154">
        <f>MouserListTable[[#This Row],['# Initial]]*MouserListTable[[#This Row],[Price (USD)]]</f>
        <v>0</v>
      </c>
      <c r="O280" s="151" t="s">
        <v>2364</v>
      </c>
      <c r="P280" s="150">
        <f t="shared" si="4"/>
        <v>267</v>
      </c>
      <c r="Q280" s="150" t="s">
        <v>1884</v>
      </c>
      <c r="R28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485-1810</v>
      </c>
      <c r="S280" s="157" t="str">
        <f>HYPERLINK("https://www.mouser.com/ProductDetail/" &amp;MouserListTable[[#This Row],[Mouser SKU]])</f>
        <v>https://www.mouser.com/ProductDetail/485-1810</v>
      </c>
      <c r="T280" s="152">
        <v>0</v>
      </c>
      <c r="U280" s="152">
        <v>0</v>
      </c>
      <c r="V280" s="152">
        <v>0</v>
      </c>
      <c r="W280" s="152">
        <f>MouserListTable[[#This Row],['#/Unit]]*FilterSpecs!$C$3+MouserListTable[[#This Row],[Extra]]</f>
        <v>0</v>
      </c>
      <c r="X280" s="152">
        <f>IF(MouserListTable[[#This Row],[Tag]]=FilterSpecs!$F$7,MouserListTable[[#This Row],['#/Unit]]*MouserListTable[[#This Row],[Price (USD)]],0)</f>
        <v>0</v>
      </c>
      <c r="Y280" s="152">
        <f>MouserListTable[[#This Row],[Tot '#]]*MouserListTable[[#This Row],[Price (USD)]]</f>
        <v>0</v>
      </c>
    </row>
    <row r="281" spans="1:25" x14ac:dyDescent="0.25">
      <c r="A281" s="150" t="s">
        <v>1038</v>
      </c>
      <c r="B281" s="150" t="s">
        <v>1034</v>
      </c>
      <c r="C281" s="150" t="s">
        <v>5</v>
      </c>
      <c r="D281" s="151" t="str">
        <f>IF(MouserListTable[[#This Row],[Vendor]]=FilterSpecs!$A$8,MouserListTable[[#This Row],[Mouser SKU]], MouserListTable[[#This Row],[Supplier SKU]])</f>
        <v>474-DEV-09564</v>
      </c>
      <c r="E281" s="152">
        <f>MouserListTable[[#This Row],[Tot '#]]-MouserListTable[[#This Row],['# Initial]]</f>
        <v>1</v>
      </c>
      <c r="F281" s="152">
        <f>IF(AND(MouserListTable[[#This Row],[Tag]]&lt;&gt;FilterSpecs!$F$12, MouserListTable[[#This Row],[Tag]]&lt;&gt;FilterSpecs!$F$9), MouserListTable[[#This Row],['#/Unit]]*FilterSpecs!$B$3+MouserListTable[[#This Row],[Extra Initial]],0)</f>
        <v>0</v>
      </c>
      <c r="G281" s="150" t="s">
        <v>334</v>
      </c>
      <c r="H281" s="150" t="s">
        <v>335</v>
      </c>
      <c r="I281" s="150" t="s">
        <v>336</v>
      </c>
      <c r="J281" s="150">
        <v>1</v>
      </c>
      <c r="K281" s="154">
        <v>54.95</v>
      </c>
      <c r="L281" s="150" t="s">
        <v>1900</v>
      </c>
      <c r="M281" s="150" t="s">
        <v>1037</v>
      </c>
      <c r="N281" s="154">
        <f>MouserListTable[[#This Row],['# Initial]]*MouserListTable[[#This Row],[Price (USD)]]</f>
        <v>0</v>
      </c>
      <c r="O281" s="151" t="s">
        <v>333</v>
      </c>
      <c r="P281" s="150">
        <f t="shared" si="4"/>
        <v>268</v>
      </c>
      <c r="Q281" s="150" t="s">
        <v>5</v>
      </c>
      <c r="R28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474-DEV-09564</v>
      </c>
      <c r="S281" s="157" t="str">
        <f>HYPERLINK("https://www.mouser.com/ProductDetail/" &amp;MouserListTable[[#This Row],[Mouser SKU]])</f>
        <v>https://www.mouser.com/ProductDetail/474-DEV-09564</v>
      </c>
      <c r="T281" s="152">
        <v>0</v>
      </c>
      <c r="U281" s="152">
        <v>1</v>
      </c>
      <c r="V281" s="152">
        <v>0</v>
      </c>
      <c r="W281" s="152">
        <f>MouserListTable[[#This Row],['#/Unit]]*FilterSpecs!$C$3+MouserListTable[[#This Row],[Extra]]</f>
        <v>1</v>
      </c>
      <c r="X281" s="152">
        <f>IF(MouserListTable[[#This Row],[Tag]]=FilterSpecs!$F$7,MouserListTable[[#This Row],['#/Unit]]*MouserListTable[[#This Row],[Price (USD)]],0)</f>
        <v>0</v>
      </c>
      <c r="Y281" s="152">
        <f>MouserListTable[[#This Row],[Tot '#]]*MouserListTable[[#This Row],[Price (USD)]]</f>
        <v>54.95</v>
      </c>
    </row>
    <row r="282" spans="1:25" x14ac:dyDescent="0.25">
      <c r="A282" s="97" t="s">
        <v>1038</v>
      </c>
      <c r="B282" s="97" t="s">
        <v>1034</v>
      </c>
      <c r="C282" s="150" t="s">
        <v>5</v>
      </c>
      <c r="D282" s="151" t="str">
        <f>IF(MouserListTable[[#This Row],[Vendor]]=FilterSpecs!$A$8,MouserListTable[[#This Row],[Mouser SKU]], MouserListTable[[#This Row],[Supplier SKU]])</f>
        <v>474-DEV-11695</v>
      </c>
      <c r="E282" s="152">
        <f>MouserListTable[[#This Row],[Tot '#]]-MouserListTable[[#This Row],['# Initial]]</f>
        <v>0</v>
      </c>
      <c r="F282" s="152">
        <f>IF(AND(MouserListTable[[#This Row],[Tag]]&lt;&gt;FilterSpecs!$F$12, MouserListTable[[#This Row],[Tag]]&lt;&gt;FilterSpecs!$F$9), MouserListTable[[#This Row],['#/Unit]]*FilterSpecs!$B$3+MouserListTable[[#This Row],[Extra Initial]],0)</f>
        <v>0</v>
      </c>
      <c r="G282" s="150" t="s">
        <v>330</v>
      </c>
      <c r="H282" s="150" t="s">
        <v>331</v>
      </c>
      <c r="I282" s="150" t="s">
        <v>332</v>
      </c>
      <c r="J282" s="150"/>
      <c r="K282" s="154">
        <v>59.95</v>
      </c>
      <c r="L282" s="150" t="s">
        <v>1899</v>
      </c>
      <c r="M282" s="150" t="s">
        <v>1037</v>
      </c>
      <c r="N282" s="154">
        <f>MouserListTable[[#This Row],['# Initial]]*MouserListTable[[#This Row],[Price (USD)]]</f>
        <v>0</v>
      </c>
      <c r="O282" s="151" t="s">
        <v>329</v>
      </c>
      <c r="P282" s="150">
        <f t="shared" si="4"/>
        <v>269</v>
      </c>
      <c r="Q282" s="150" t="s">
        <v>5</v>
      </c>
      <c r="R28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474-DEV-11695</v>
      </c>
      <c r="S282" s="157" t="str">
        <f>HYPERLINK("https://www.mouser.com/ProductDetail/" &amp;MouserListTable[[#This Row],[Mouser SKU]])</f>
        <v>https://www.mouser.com/ProductDetail/474-DEV-11695</v>
      </c>
      <c r="T282" s="152">
        <v>0</v>
      </c>
      <c r="U282" s="152">
        <v>0</v>
      </c>
      <c r="V282" s="152">
        <v>0</v>
      </c>
      <c r="W282" s="152">
        <f>MouserListTable[[#This Row],['#/Unit]]*FilterSpecs!$C$3+MouserListTable[[#This Row],[Extra]]</f>
        <v>0</v>
      </c>
      <c r="X282" s="152">
        <f>IF(MouserListTable[[#This Row],[Tag]]=FilterSpecs!$F$7,MouserListTable[[#This Row],['#/Unit]]*MouserListTable[[#This Row],[Price (USD)]],0)</f>
        <v>0</v>
      </c>
      <c r="Y282" s="152">
        <f>MouserListTable[[#This Row],[Tot '#]]*MouserListTable[[#This Row],[Price (USD)]]</f>
        <v>0</v>
      </c>
    </row>
    <row r="283" spans="1:25" x14ac:dyDescent="0.25">
      <c r="A283" s="150" t="s">
        <v>1038</v>
      </c>
      <c r="B283" s="150" t="s">
        <v>1035</v>
      </c>
      <c r="C283" s="150" t="s">
        <v>5</v>
      </c>
      <c r="D283" s="151" t="str">
        <f>IF(MouserListTable[[#This Row],[Vendor]]=FilterSpecs!$A$8,MouserListTable[[#This Row],[Mouser SKU]], MouserListTable[[#This Row],[Supplier SKU]])</f>
        <v>474-DEV-13097</v>
      </c>
      <c r="E283" s="152">
        <f>MouserListTable[[#This Row],[Tot '#]]-MouserListTable[[#This Row],['# Initial]]</f>
        <v>1</v>
      </c>
      <c r="F283" s="152">
        <f>IF(AND(MouserListTable[[#This Row],[Tag]]&lt;&gt;FilterSpecs!$F$12, MouserListTable[[#This Row],[Tag]]&lt;&gt;FilterSpecs!$F$9), MouserListTable[[#This Row],['#/Unit]]*FilterSpecs!$B$3+MouserListTable[[#This Row],[Extra Initial]],0)</f>
        <v>0</v>
      </c>
      <c r="G283" s="150" t="s">
        <v>294</v>
      </c>
      <c r="H283" s="150" t="s">
        <v>295</v>
      </c>
      <c r="I283" s="150" t="s">
        <v>296</v>
      </c>
      <c r="J283" s="150">
        <v>1</v>
      </c>
      <c r="K283" s="154">
        <v>99.95</v>
      </c>
      <c r="L283" s="150" t="s">
        <v>1900</v>
      </c>
      <c r="M283" s="150" t="s">
        <v>1042</v>
      </c>
      <c r="N283" s="154">
        <f>MouserListTable[[#This Row],['# Initial]]*MouserListTable[[#This Row],[Price (USD)]]</f>
        <v>0</v>
      </c>
      <c r="O283" s="151" t="s">
        <v>293</v>
      </c>
      <c r="P283" s="150">
        <f t="shared" si="4"/>
        <v>270</v>
      </c>
      <c r="Q283" s="150" t="s">
        <v>5</v>
      </c>
      <c r="R28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474-DEV-13097</v>
      </c>
      <c r="S283" s="157" t="str">
        <f>HYPERLINK("https://www.mouser.com/ProductDetail/" &amp;MouserListTable[[#This Row],[Mouser SKU]])</f>
        <v>https://www.mouser.com/ProductDetail/474-DEV-13097</v>
      </c>
      <c r="T283" s="152">
        <v>0</v>
      </c>
      <c r="U283" s="152">
        <v>1</v>
      </c>
      <c r="V283" s="152">
        <v>0</v>
      </c>
      <c r="W283" s="152">
        <f>MouserListTable[[#This Row],['#/Unit]]*FilterSpecs!$C$3+MouserListTable[[#This Row],[Extra]]</f>
        <v>1</v>
      </c>
      <c r="X283" s="152">
        <f>IF(MouserListTable[[#This Row],[Tag]]=FilterSpecs!$F$7,MouserListTable[[#This Row],['#/Unit]]*MouserListTable[[#This Row],[Price (USD)]],0)</f>
        <v>0</v>
      </c>
      <c r="Y283" s="152">
        <f>MouserListTable[[#This Row],[Tot '#]]*MouserListTable[[#This Row],[Price (USD)]]</f>
        <v>99.95</v>
      </c>
    </row>
    <row r="284" spans="1:25" x14ac:dyDescent="0.25">
      <c r="A284" s="150" t="s">
        <v>1038</v>
      </c>
      <c r="B284" s="150" t="s">
        <v>1035</v>
      </c>
      <c r="C284" s="150" t="s">
        <v>5</v>
      </c>
      <c r="D284" s="151" t="str">
        <f>IF(MouserListTable[[#This Row],[Vendor]]=FilterSpecs!$A$8,MouserListTable[[#This Row],[Mouser SKU]], MouserListTable[[#This Row],[Supplier SKU]])</f>
        <v>474-DEV-13045</v>
      </c>
      <c r="E284" s="152">
        <f>MouserListTable[[#This Row],[Tot '#]]-MouserListTable[[#This Row],['# Initial]]</f>
        <v>1</v>
      </c>
      <c r="F284" s="152">
        <f>IF(AND(MouserListTable[[#This Row],[Tag]]&lt;&gt;FilterSpecs!$F$12, MouserListTable[[#This Row],[Tag]]&lt;&gt;FilterSpecs!$F$9), MouserListTable[[#This Row],['#/Unit]]*FilterSpecs!$B$3+MouserListTable[[#This Row],[Extra Initial]],0)</f>
        <v>0</v>
      </c>
      <c r="G284" s="150" t="s">
        <v>314</v>
      </c>
      <c r="H284" s="150" t="s">
        <v>315</v>
      </c>
      <c r="I284" s="150" t="s">
        <v>316</v>
      </c>
      <c r="J284" s="150">
        <v>1</v>
      </c>
      <c r="K284" s="154">
        <v>19.95</v>
      </c>
      <c r="L284" s="150" t="s">
        <v>1900</v>
      </c>
      <c r="M284" s="150" t="s">
        <v>1042</v>
      </c>
      <c r="N284" s="154">
        <f>MouserListTable[[#This Row],['# Initial]]*MouserListTable[[#This Row],[Price (USD)]]</f>
        <v>0</v>
      </c>
      <c r="O284" s="151" t="s">
        <v>313</v>
      </c>
      <c r="P284" s="150">
        <f t="shared" si="4"/>
        <v>271</v>
      </c>
      <c r="Q284" s="150" t="s">
        <v>5</v>
      </c>
      <c r="R28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474-DEV-13045</v>
      </c>
      <c r="S284" s="157" t="str">
        <f>HYPERLINK("https://www.mouser.com/ProductDetail/" &amp;MouserListTable[[#This Row],[Mouser SKU]])</f>
        <v>https://www.mouser.com/ProductDetail/474-DEV-13045</v>
      </c>
      <c r="T284" s="152">
        <v>0</v>
      </c>
      <c r="U284" s="152">
        <v>1</v>
      </c>
      <c r="V284" s="152">
        <v>0</v>
      </c>
      <c r="W284" s="152">
        <f>MouserListTable[[#This Row],['#/Unit]]*FilterSpecs!$C$3+MouserListTable[[#This Row],[Extra]]</f>
        <v>1</v>
      </c>
      <c r="X284" s="152">
        <f>IF(MouserListTable[[#This Row],[Tag]]=FilterSpecs!$F$7,MouserListTable[[#This Row],['#/Unit]]*MouserListTable[[#This Row],[Price (USD)]],0)</f>
        <v>0</v>
      </c>
      <c r="Y284" s="152">
        <f>MouserListTable[[#This Row],[Tot '#]]*MouserListTable[[#This Row],[Price (USD)]]</f>
        <v>19.95</v>
      </c>
    </row>
    <row r="285" spans="1:25" x14ac:dyDescent="0.25">
      <c r="A285" s="150" t="s">
        <v>1038</v>
      </c>
      <c r="B285" s="150" t="s">
        <v>1035</v>
      </c>
      <c r="C285" s="150" t="s">
        <v>5</v>
      </c>
      <c r="D285" s="151" t="str">
        <f>IF(MouserListTable[[#This Row],[Vendor]]=FilterSpecs!$A$8,MouserListTable[[#This Row],[Mouser SKU]], MouserListTable[[#This Row],[Supplier SKU]])</f>
        <v>474-DEV-13038</v>
      </c>
      <c r="E285" s="152">
        <f>MouserListTable[[#This Row],[Tot '#]]-MouserListTable[[#This Row],['# Initial]]</f>
        <v>1</v>
      </c>
      <c r="F285" s="152">
        <f>IF(AND(MouserListTable[[#This Row],[Tag]]&lt;&gt;FilterSpecs!$F$12, MouserListTable[[#This Row],[Tag]]&lt;&gt;FilterSpecs!$F$9), MouserListTable[[#This Row],['#/Unit]]*FilterSpecs!$B$3+MouserListTable[[#This Row],[Extra Initial]],0)</f>
        <v>0</v>
      </c>
      <c r="G285" s="150" t="s">
        <v>302</v>
      </c>
      <c r="H285" s="150" t="s">
        <v>303</v>
      </c>
      <c r="I285" s="150" t="s">
        <v>304</v>
      </c>
      <c r="J285" s="150">
        <v>1</v>
      </c>
      <c r="K285" s="154">
        <v>9.9499999999999993</v>
      </c>
      <c r="L285" s="150" t="s">
        <v>1900</v>
      </c>
      <c r="M285" s="150" t="s">
        <v>1042</v>
      </c>
      <c r="N285" s="154">
        <f>MouserListTable[[#This Row],['# Initial]]*MouserListTable[[#This Row],[Price (USD)]]</f>
        <v>0</v>
      </c>
      <c r="O285" s="151" t="s">
        <v>301</v>
      </c>
      <c r="P285" s="150">
        <f t="shared" si="4"/>
        <v>272</v>
      </c>
      <c r="Q285" s="150" t="s">
        <v>5</v>
      </c>
      <c r="R28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474-DEV-13038</v>
      </c>
      <c r="S285" s="157" t="str">
        <f>HYPERLINK("https://www.mouser.com/ProductDetail/" &amp;MouserListTable[[#This Row],[Mouser SKU]])</f>
        <v>https://www.mouser.com/ProductDetail/474-DEV-13038</v>
      </c>
      <c r="T285" s="152">
        <v>0</v>
      </c>
      <c r="U285" s="152">
        <v>1</v>
      </c>
      <c r="V285" s="152">
        <v>0</v>
      </c>
      <c r="W285" s="152">
        <f>MouserListTable[[#This Row],['#/Unit]]*FilterSpecs!$C$3+MouserListTable[[#This Row],[Extra]]</f>
        <v>1</v>
      </c>
      <c r="X285" s="152">
        <f>IF(MouserListTable[[#This Row],[Tag]]=FilterSpecs!$F$7,MouserListTable[[#This Row],['#/Unit]]*MouserListTable[[#This Row],[Price (USD)]],0)</f>
        <v>0</v>
      </c>
      <c r="Y285" s="152">
        <f>MouserListTable[[#This Row],[Tot '#]]*MouserListTable[[#This Row],[Price (USD)]]</f>
        <v>9.9499999999999993</v>
      </c>
    </row>
    <row r="286" spans="1:25" x14ac:dyDescent="0.25">
      <c r="A286" s="150" t="s">
        <v>1038</v>
      </c>
      <c r="B286" s="150" t="s">
        <v>1035</v>
      </c>
      <c r="C286" s="150" t="s">
        <v>5</v>
      </c>
      <c r="D286" s="151" t="str">
        <f>IF(MouserListTable[[#This Row],[Vendor]]=FilterSpecs!$A$8,MouserListTable[[#This Row],[Mouser SKU]], MouserListTable[[#This Row],[Supplier SKU]])</f>
        <v>474-DEV-13034</v>
      </c>
      <c r="E286" s="152">
        <f>MouserListTable[[#This Row],[Tot '#]]-MouserListTable[[#This Row],['# Initial]]</f>
        <v>1</v>
      </c>
      <c r="F286" s="152">
        <f>IF(AND(MouserListTable[[#This Row],[Tag]]&lt;&gt;FilterSpecs!$F$12, MouserListTable[[#This Row],[Tag]]&lt;&gt;FilterSpecs!$F$9), MouserListTable[[#This Row],['#/Unit]]*FilterSpecs!$B$3+MouserListTable[[#This Row],[Extra Initial]],0)</f>
        <v>0</v>
      </c>
      <c r="G286" s="150" t="s">
        <v>306</v>
      </c>
      <c r="H286" s="150" t="s">
        <v>307</v>
      </c>
      <c r="I286" s="150" t="s">
        <v>308</v>
      </c>
      <c r="J286" s="150">
        <v>1</v>
      </c>
      <c r="K286" s="154">
        <v>9.9499999999999993</v>
      </c>
      <c r="L286" s="150" t="s">
        <v>1900</v>
      </c>
      <c r="M286" s="150" t="s">
        <v>1042</v>
      </c>
      <c r="N286" s="154">
        <f>MouserListTable[[#This Row],['# Initial]]*MouserListTable[[#This Row],[Price (USD)]]</f>
        <v>0</v>
      </c>
      <c r="O286" s="151" t="s">
        <v>305</v>
      </c>
      <c r="P286" s="150">
        <f t="shared" si="4"/>
        <v>273</v>
      </c>
      <c r="Q286" s="150" t="s">
        <v>5</v>
      </c>
      <c r="R28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474-DEV-13034</v>
      </c>
      <c r="S286" s="157" t="str">
        <f>HYPERLINK("https://www.mouser.com/ProductDetail/" &amp;MouserListTable[[#This Row],[Mouser SKU]])</f>
        <v>https://www.mouser.com/ProductDetail/474-DEV-13034</v>
      </c>
      <c r="T286" s="152">
        <v>0</v>
      </c>
      <c r="U286" s="152">
        <v>1</v>
      </c>
      <c r="V286" s="152">
        <v>0</v>
      </c>
      <c r="W286" s="152">
        <f>MouserListTable[[#This Row],['#/Unit]]*FilterSpecs!$C$3+MouserListTable[[#This Row],[Extra]]</f>
        <v>1</v>
      </c>
      <c r="X286" s="152">
        <f>IF(MouserListTable[[#This Row],[Tag]]=FilterSpecs!$F$7,MouserListTable[[#This Row],['#/Unit]]*MouserListTable[[#This Row],[Price (USD)]],0)</f>
        <v>0</v>
      </c>
      <c r="Y286" s="152">
        <f>MouserListTable[[#This Row],[Tot '#]]*MouserListTable[[#This Row],[Price (USD)]]</f>
        <v>9.9499999999999993</v>
      </c>
    </row>
    <row r="287" spans="1:25" x14ac:dyDescent="0.25">
      <c r="A287" s="150" t="s">
        <v>1038</v>
      </c>
      <c r="B287" s="150" t="s">
        <v>1035</v>
      </c>
      <c r="C287" s="150" t="s">
        <v>5</v>
      </c>
      <c r="D287" s="151" t="str">
        <f>IF(MouserListTable[[#This Row],[Vendor]]=FilterSpecs!$A$8,MouserListTable[[#This Row],[Mouser SKU]], MouserListTable[[#This Row],[Supplier SKU]])</f>
        <v>474-DEV-13041</v>
      </c>
      <c r="E287" s="152">
        <f>MouserListTable[[#This Row],[Tot '#]]-MouserListTable[[#This Row],['# Initial]]</f>
        <v>1</v>
      </c>
      <c r="F287" s="152">
        <f>IF(AND(MouserListTable[[#This Row],[Tag]]&lt;&gt;FilterSpecs!$F$12, MouserListTable[[#This Row],[Tag]]&lt;&gt;FilterSpecs!$F$9), MouserListTable[[#This Row],['#/Unit]]*FilterSpecs!$B$3+MouserListTable[[#This Row],[Extra Initial]],0)</f>
        <v>0</v>
      </c>
      <c r="G287" s="150" t="s">
        <v>310</v>
      </c>
      <c r="H287" s="150" t="s">
        <v>311</v>
      </c>
      <c r="I287" s="150" t="s">
        <v>312</v>
      </c>
      <c r="J287" s="150">
        <v>1</v>
      </c>
      <c r="K287" s="154">
        <v>9.9499999999999993</v>
      </c>
      <c r="L287" s="150" t="s">
        <v>1900</v>
      </c>
      <c r="M287" s="150" t="s">
        <v>1042</v>
      </c>
      <c r="N287" s="154">
        <f>MouserListTable[[#This Row],['# Initial]]*MouserListTable[[#This Row],[Price (USD)]]</f>
        <v>0</v>
      </c>
      <c r="O287" s="151" t="s">
        <v>309</v>
      </c>
      <c r="P287" s="150">
        <f t="shared" si="4"/>
        <v>274</v>
      </c>
      <c r="Q287" s="150" t="s">
        <v>5</v>
      </c>
      <c r="R28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474-DEV-13041</v>
      </c>
      <c r="S287" s="157" t="str">
        <f>HYPERLINK("https://www.mouser.com/ProductDetail/" &amp;MouserListTable[[#This Row],[Mouser SKU]])</f>
        <v>https://www.mouser.com/ProductDetail/474-DEV-13041</v>
      </c>
      <c r="T287" s="152">
        <v>0</v>
      </c>
      <c r="U287" s="152">
        <v>1</v>
      </c>
      <c r="V287" s="152">
        <v>0</v>
      </c>
      <c r="W287" s="152">
        <f>MouserListTable[[#This Row],['#/Unit]]*FilterSpecs!$C$3+MouserListTable[[#This Row],[Extra]]</f>
        <v>1</v>
      </c>
      <c r="X287" s="152">
        <f>IF(MouserListTable[[#This Row],[Tag]]=FilterSpecs!$F$7,MouserListTable[[#This Row],['#/Unit]]*MouserListTable[[#This Row],[Price (USD)]],0)</f>
        <v>0</v>
      </c>
      <c r="Y287" s="152">
        <f>MouserListTable[[#This Row],[Tot '#]]*MouserListTable[[#This Row],[Price (USD)]]</f>
        <v>9.9499999999999993</v>
      </c>
    </row>
    <row r="288" spans="1:25" x14ac:dyDescent="0.25">
      <c r="A288" s="150" t="s">
        <v>1038</v>
      </c>
      <c r="B288" s="150" t="s">
        <v>1035</v>
      </c>
      <c r="C288" s="150" t="s">
        <v>5</v>
      </c>
      <c r="D288" s="151" t="str">
        <f>IF(MouserListTable[[#This Row],[Vendor]]=FilterSpecs!$A$8,MouserListTable[[#This Row],[Mouser SKU]], MouserListTable[[#This Row],[Supplier SKU]])</f>
        <v>474-DEV-13727</v>
      </c>
      <c r="E288" s="152">
        <f>MouserListTable[[#This Row],[Tot '#]]-MouserListTable[[#This Row],['# Initial]]</f>
        <v>1</v>
      </c>
      <c r="F288" s="152">
        <f>IF(AND(MouserListTable[[#This Row],[Tag]]&lt;&gt;FilterSpecs!$F$12, MouserListTable[[#This Row],[Tag]]&lt;&gt;FilterSpecs!$F$9), MouserListTable[[#This Row],['#/Unit]]*FilterSpecs!$B$3+MouserListTable[[#This Row],[Extra Initial]],0)</f>
        <v>0</v>
      </c>
      <c r="G288" s="150" t="s">
        <v>298</v>
      </c>
      <c r="H288" s="150" t="s">
        <v>299</v>
      </c>
      <c r="I288" s="150" t="s">
        <v>300</v>
      </c>
      <c r="J288" s="150">
        <v>1</v>
      </c>
      <c r="K288" s="154">
        <v>9.9499999999999993</v>
      </c>
      <c r="L288" s="150" t="s">
        <v>1900</v>
      </c>
      <c r="M288" s="150" t="s">
        <v>1042</v>
      </c>
      <c r="N288" s="154">
        <f>MouserListTable[[#This Row],['# Initial]]*MouserListTable[[#This Row],[Price (USD)]]</f>
        <v>0</v>
      </c>
      <c r="O288" s="151" t="s">
        <v>297</v>
      </c>
      <c r="P288" s="150">
        <f t="shared" si="4"/>
        <v>275</v>
      </c>
      <c r="Q288" s="150" t="s">
        <v>5</v>
      </c>
      <c r="R28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474-DEV-13727</v>
      </c>
      <c r="S288" s="157" t="str">
        <f>HYPERLINK("https://www.mouser.com/ProductDetail/" &amp;MouserListTable[[#This Row],[Mouser SKU]])</f>
        <v>https://www.mouser.com/ProductDetail/474-DEV-13727</v>
      </c>
      <c r="T288" s="152">
        <v>0</v>
      </c>
      <c r="U288" s="152">
        <v>1</v>
      </c>
      <c r="V288" s="152">
        <v>0</v>
      </c>
      <c r="W288" s="152">
        <f>MouserListTable[[#This Row],['#/Unit]]*FilterSpecs!$C$3+MouserListTable[[#This Row],[Extra]]</f>
        <v>1</v>
      </c>
      <c r="X288" s="152">
        <f>IF(MouserListTable[[#This Row],[Tag]]=FilterSpecs!$F$7,MouserListTable[[#This Row],['#/Unit]]*MouserListTable[[#This Row],[Price (USD)]],0)</f>
        <v>0</v>
      </c>
      <c r="Y288" s="152">
        <f>MouserListTable[[#This Row],[Tot '#]]*MouserListTable[[#This Row],[Price (USD)]]</f>
        <v>9.9499999999999993</v>
      </c>
    </row>
    <row r="289" spans="1:25" x14ac:dyDescent="0.25">
      <c r="A289" s="150" t="s">
        <v>1038</v>
      </c>
      <c r="B289" s="150" t="s">
        <v>1035</v>
      </c>
      <c r="C289" s="150" t="s">
        <v>5</v>
      </c>
      <c r="D289" s="151" t="str">
        <f>IF(MouserListTable[[#This Row],[Vendor]]=FilterSpecs!$A$8,MouserListTable[[#This Row],[Mouser SKU]], MouserListTable[[#This Row],[Supplier SKU]])</f>
        <v>474-DEV-13035</v>
      </c>
      <c r="E289" s="152">
        <f>MouserListTable[[#This Row],[Tot '#]]-MouserListTable[[#This Row],['# Initial]]</f>
        <v>1</v>
      </c>
      <c r="F289" s="152">
        <f>IF(AND(MouserListTable[[#This Row],[Tag]]&lt;&gt;FilterSpecs!$F$12, MouserListTable[[#This Row],[Tag]]&lt;&gt;FilterSpecs!$F$9), MouserListTable[[#This Row],['#/Unit]]*FilterSpecs!$B$3+MouserListTable[[#This Row],[Extra Initial]],0)</f>
        <v>0</v>
      </c>
      <c r="G289" s="150" t="s">
        <v>1117</v>
      </c>
      <c r="H289" s="150" t="s">
        <v>1118</v>
      </c>
      <c r="I289" s="150" t="s">
        <v>1119</v>
      </c>
      <c r="J289" s="150">
        <v>1</v>
      </c>
      <c r="K289" s="154">
        <v>14.95</v>
      </c>
      <c r="L289" s="150" t="s">
        <v>1900</v>
      </c>
      <c r="M289" s="150" t="s">
        <v>1042</v>
      </c>
      <c r="N289" s="154">
        <f>MouserListTable[[#This Row],['# Initial]]*MouserListTable[[#This Row],[Price (USD)]]</f>
        <v>0</v>
      </c>
      <c r="O289" s="151" t="s">
        <v>1116</v>
      </c>
      <c r="P289" s="150">
        <f t="shared" si="4"/>
        <v>276</v>
      </c>
      <c r="Q289" s="150" t="s">
        <v>5</v>
      </c>
      <c r="R28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474-DEV-13035</v>
      </c>
      <c r="S289" s="157" t="str">
        <f>HYPERLINK("https://www.mouser.com/ProductDetail/" &amp;MouserListTable[[#This Row],[Mouser SKU]])</f>
        <v>https://www.mouser.com/ProductDetail/474-DEV-13035</v>
      </c>
      <c r="T289" s="152">
        <v>0</v>
      </c>
      <c r="U289" s="152">
        <v>1</v>
      </c>
      <c r="V289" s="152">
        <v>0</v>
      </c>
      <c r="W289" s="152">
        <f>MouserListTable[[#This Row],['#/Unit]]*FilterSpecs!$C$3+MouserListTable[[#This Row],[Extra]]</f>
        <v>1</v>
      </c>
      <c r="X289" s="152">
        <f>IF(MouserListTable[[#This Row],[Tag]]=FilterSpecs!$F$7,MouserListTable[[#This Row],['#/Unit]]*MouserListTable[[#This Row],[Price (USD)]],0)</f>
        <v>0</v>
      </c>
      <c r="Y289" s="152">
        <f>MouserListTable[[#This Row],[Tot '#]]*MouserListTable[[#This Row],[Price (USD)]]</f>
        <v>14.95</v>
      </c>
    </row>
    <row r="290" spans="1:25" x14ac:dyDescent="0.25">
      <c r="A290" s="150" t="s">
        <v>1038</v>
      </c>
      <c r="B290" s="150" t="s">
        <v>1035</v>
      </c>
      <c r="C290" s="150" t="s">
        <v>5</v>
      </c>
      <c r="D290" s="151" t="str">
        <f>IF(MouserListTable[[#This Row],[Vendor]]=FilterSpecs!$A$8,MouserListTable[[#This Row],[Mouser SKU]], MouserListTable[[#This Row],[Supplier SKU]])</f>
        <v>474-DEV-13770</v>
      </c>
      <c r="E290" s="152">
        <f>MouserListTable[[#This Row],[Tot '#]]-MouserListTable[[#This Row],['# Initial]]</f>
        <v>1</v>
      </c>
      <c r="F290" s="152">
        <f>IF(AND(MouserListTable[[#This Row],[Tag]]&lt;&gt;FilterSpecs!$F$12, MouserListTable[[#This Row],[Tag]]&lt;&gt;FilterSpecs!$F$9), MouserListTable[[#This Row],['#/Unit]]*FilterSpecs!$B$3+MouserListTable[[#This Row],[Extra Initial]],0)</f>
        <v>0</v>
      </c>
      <c r="G290" s="150" t="s">
        <v>1137</v>
      </c>
      <c r="H290" s="150" t="s">
        <v>1138</v>
      </c>
      <c r="I290" s="150" t="s">
        <v>1139</v>
      </c>
      <c r="J290" s="150">
        <v>1</v>
      </c>
      <c r="K290" s="154">
        <v>9.9499999999999993</v>
      </c>
      <c r="L290" s="150" t="s">
        <v>1900</v>
      </c>
      <c r="M290" s="150" t="s">
        <v>1042</v>
      </c>
      <c r="N290" s="154">
        <f>MouserListTable[[#This Row],['# Initial]]*MouserListTable[[#This Row],[Price (USD)]]</f>
        <v>0</v>
      </c>
      <c r="O290" s="151" t="s">
        <v>1136</v>
      </c>
      <c r="P290" s="150">
        <f t="shared" si="4"/>
        <v>277</v>
      </c>
      <c r="Q290" s="150" t="s">
        <v>5</v>
      </c>
      <c r="R29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474-DEV-13770</v>
      </c>
      <c r="S290" s="157" t="str">
        <f>HYPERLINK("https://www.mouser.com/ProductDetail/" &amp;MouserListTable[[#This Row],[Mouser SKU]])</f>
        <v>https://www.mouser.com/ProductDetail/474-DEV-13770</v>
      </c>
      <c r="T290" s="152">
        <v>0</v>
      </c>
      <c r="U290" s="152">
        <v>1</v>
      </c>
      <c r="V290" s="152">
        <v>0</v>
      </c>
      <c r="W290" s="152">
        <f>MouserListTable[[#This Row],['#/Unit]]*FilterSpecs!$C$3+MouserListTable[[#This Row],[Extra]]</f>
        <v>1</v>
      </c>
      <c r="X290" s="152">
        <f>IF(MouserListTable[[#This Row],[Tag]]=FilterSpecs!$F$7,MouserListTable[[#This Row],['#/Unit]]*MouserListTable[[#This Row],[Price (USD)]],0)</f>
        <v>0</v>
      </c>
      <c r="Y290" s="152">
        <f>MouserListTable[[#This Row],[Tot '#]]*MouserListTable[[#This Row],[Price (USD)]]</f>
        <v>9.9499999999999993</v>
      </c>
    </row>
    <row r="291" spans="1:25" x14ac:dyDescent="0.25">
      <c r="A291" s="150" t="s">
        <v>1038</v>
      </c>
      <c r="B291" s="150" t="s">
        <v>1035</v>
      </c>
      <c r="C291" s="150" t="s">
        <v>5</v>
      </c>
      <c r="D291" s="151" t="str">
        <f>IF(MouserListTable[[#This Row],[Vendor]]=FilterSpecs!$A$8,MouserListTable[[#This Row],[Mouser SKU]], MouserListTable[[#This Row],[Supplier SKU]])</f>
        <v>474-COM-13187</v>
      </c>
      <c r="E291" s="152">
        <f>MouserListTable[[#This Row],[Tot '#]]-MouserListTable[[#This Row],['# Initial]]</f>
        <v>4</v>
      </c>
      <c r="F291" s="152">
        <f>IF(AND(MouserListTable[[#This Row],[Tag]]&lt;&gt;FilterSpecs!$F$12, MouserListTable[[#This Row],[Tag]]&lt;&gt;FilterSpecs!$F$9), MouserListTable[[#This Row],['#/Unit]]*FilterSpecs!$B$3+MouserListTable[[#This Row],[Extra Initial]],0)</f>
        <v>0</v>
      </c>
      <c r="G291" s="150" t="s">
        <v>793</v>
      </c>
      <c r="H291" s="150" t="s">
        <v>794</v>
      </c>
      <c r="I291" s="150" t="s">
        <v>795</v>
      </c>
      <c r="J291" s="150">
        <v>1</v>
      </c>
      <c r="K291" s="154">
        <v>2.95</v>
      </c>
      <c r="L291" s="150" t="s">
        <v>1900</v>
      </c>
      <c r="M291" s="150" t="s">
        <v>1042</v>
      </c>
      <c r="N291" s="154">
        <f>MouserListTable[[#This Row],['# Initial]]*MouserListTable[[#This Row],[Price (USD)]]</f>
        <v>0</v>
      </c>
      <c r="O291" s="151" t="s">
        <v>792</v>
      </c>
      <c r="P291" s="150">
        <f t="shared" si="4"/>
        <v>278</v>
      </c>
      <c r="Q291" s="150" t="s">
        <v>5</v>
      </c>
      <c r="R29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474-COM-13187</v>
      </c>
      <c r="S291" s="157" t="str">
        <f>HYPERLINK("https://www.mouser.com/ProductDetail/" &amp;MouserListTable[[#This Row],[Mouser SKU]])</f>
        <v>https://www.mouser.com/ProductDetail/474-COM-13187</v>
      </c>
      <c r="T291" s="152">
        <v>0</v>
      </c>
      <c r="U291" s="152">
        <v>4</v>
      </c>
      <c r="V291" s="152">
        <v>0</v>
      </c>
      <c r="W291" s="152">
        <f>MouserListTable[[#This Row],['#/Unit]]*FilterSpecs!$C$3+MouserListTable[[#This Row],[Extra]]</f>
        <v>4</v>
      </c>
      <c r="X291" s="152">
        <f>IF(MouserListTable[[#This Row],[Tag]]=FilterSpecs!$F$7,MouserListTable[[#This Row],['#/Unit]]*MouserListTable[[#This Row],[Price (USD)]],0)</f>
        <v>0</v>
      </c>
      <c r="Y291" s="152">
        <f>MouserListTable[[#This Row],[Tot '#]]*MouserListTable[[#This Row],[Price (USD)]]</f>
        <v>11.8</v>
      </c>
    </row>
    <row r="292" spans="1:25" ht="17.25" x14ac:dyDescent="0.25">
      <c r="A292" s="150" t="s">
        <v>1038</v>
      </c>
      <c r="B292" s="150" t="s">
        <v>2530</v>
      </c>
      <c r="C292" s="150" t="s">
        <v>5</v>
      </c>
      <c r="D292" s="151" t="str">
        <f>IF(MouserListTable[[#This Row],[Vendor]]=FilterSpecs!$A$8,MouserListTable[[#This Row],[Mouser SKU]], MouserListTable[[#This Row],[Supplier SKU]])</f>
        <v>474-DEV-14438</v>
      </c>
      <c r="E292" s="152">
        <f>MouserListTable[[#This Row],[Tot '#]]-MouserListTable[[#This Row],['# Initial]]</f>
        <v>1</v>
      </c>
      <c r="F292" s="152">
        <f>IF(AND(MouserListTable[[#This Row],[Tag]]&lt;&gt;FilterSpecs!$F$12, MouserListTable[[#This Row],[Tag]]&lt;&gt;FilterSpecs!$F$9), MouserListTable[[#This Row],['#/Unit]]*FilterSpecs!$B$3+MouserListTable[[#This Row],[Extra Initial]],0)</f>
        <v>0</v>
      </c>
      <c r="G292" s="150" t="s">
        <v>1161</v>
      </c>
      <c r="H292" s="150" t="s">
        <v>1162</v>
      </c>
      <c r="I292" s="150" t="s">
        <v>1163</v>
      </c>
      <c r="J292" s="150"/>
      <c r="K292" s="154">
        <v>20</v>
      </c>
      <c r="L292" s="150" t="s">
        <v>1900</v>
      </c>
      <c r="M292" s="116" t="s">
        <v>1040</v>
      </c>
      <c r="N292" s="154">
        <f>MouserListTable[[#This Row],['# Initial]]*MouserListTable[[#This Row],[Price (USD)]]</f>
        <v>0</v>
      </c>
      <c r="O292" s="151" t="s">
        <v>1160</v>
      </c>
      <c r="P292" s="150">
        <f t="shared" si="4"/>
        <v>279</v>
      </c>
      <c r="Q292" s="150" t="s">
        <v>5</v>
      </c>
      <c r="R29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474-DEV-14438</v>
      </c>
      <c r="S292" s="157" t="str">
        <f>HYPERLINK("https://www.mouser.com/ProductDetail/" &amp;MouserListTable[[#This Row],[Mouser SKU]])</f>
        <v>https://www.mouser.com/ProductDetail/474-DEV-14438</v>
      </c>
      <c r="T292" s="152">
        <v>0</v>
      </c>
      <c r="U292" s="152">
        <v>1</v>
      </c>
      <c r="V292" s="152">
        <v>0</v>
      </c>
      <c r="W292" s="152">
        <f>MouserListTable[[#This Row],['#/Unit]]*FilterSpecs!$C$3+MouserListTable[[#This Row],[Extra]]</f>
        <v>1</v>
      </c>
      <c r="X292" s="152">
        <f>IF(MouserListTable[[#This Row],[Tag]]=FilterSpecs!$F$7,MouserListTable[[#This Row],['#/Unit]]*MouserListTable[[#This Row],[Price (USD)]],0)</f>
        <v>0</v>
      </c>
      <c r="Y292" s="152">
        <f>MouserListTable[[#This Row],[Tot '#]]*MouserListTable[[#This Row],[Price (USD)]]</f>
        <v>20</v>
      </c>
    </row>
    <row r="293" spans="1:25" ht="17.25" x14ac:dyDescent="0.25">
      <c r="A293" s="150" t="s">
        <v>1038</v>
      </c>
      <c r="B293" s="150" t="s">
        <v>2530</v>
      </c>
      <c r="C293" s="150" t="s">
        <v>5</v>
      </c>
      <c r="D293" s="151" t="str">
        <f>IF(MouserListTable[[#This Row],[Vendor]]=FilterSpecs!$A$8,MouserListTable[[#This Row],[Mouser SKU]], MouserListTable[[#This Row],[Supplier SKU]])</f>
        <v>474-DEV-14431</v>
      </c>
      <c r="E293" s="152">
        <f>MouserListTable[[#This Row],[Tot '#]]-MouserListTable[[#This Row],['# Initial]]</f>
        <v>1</v>
      </c>
      <c r="F293" s="152">
        <f>IF(AND(MouserListTable[[#This Row],[Tag]]&lt;&gt;FilterSpecs!$F$12, MouserListTable[[#This Row],[Tag]]&lt;&gt;FilterSpecs!$F$9), MouserListTable[[#This Row],['#/Unit]]*FilterSpecs!$B$3+MouserListTable[[#This Row],[Extra Initial]],0)</f>
        <v>0</v>
      </c>
      <c r="G293" s="150" t="s">
        <v>1141</v>
      </c>
      <c r="H293" s="150" t="s">
        <v>1142</v>
      </c>
      <c r="I293" s="150" t="s">
        <v>1143</v>
      </c>
      <c r="J293" s="150"/>
      <c r="K293" s="154">
        <v>9</v>
      </c>
      <c r="L293" s="150" t="s">
        <v>1900</v>
      </c>
      <c r="M293" s="116" t="s">
        <v>1040</v>
      </c>
      <c r="N293" s="154">
        <f>MouserListTable[[#This Row],['# Initial]]*MouserListTable[[#This Row],[Price (USD)]]</f>
        <v>0</v>
      </c>
      <c r="O293" s="151" t="s">
        <v>1140</v>
      </c>
      <c r="P293" s="150">
        <f t="shared" si="4"/>
        <v>280</v>
      </c>
      <c r="Q293" s="150" t="s">
        <v>5</v>
      </c>
      <c r="R29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474-DEV-14431</v>
      </c>
      <c r="S293" s="157" t="str">
        <f>HYPERLINK("https://www.mouser.com/ProductDetail/" &amp;MouserListTable[[#This Row],[Mouser SKU]])</f>
        <v>https://www.mouser.com/ProductDetail/474-DEV-14431</v>
      </c>
      <c r="T293" s="152">
        <v>0</v>
      </c>
      <c r="U293" s="152">
        <v>1</v>
      </c>
      <c r="V293" s="152">
        <v>0</v>
      </c>
      <c r="W293" s="152">
        <f>MouserListTable[[#This Row],['#/Unit]]*FilterSpecs!$C$3+MouserListTable[[#This Row],[Extra]]</f>
        <v>1</v>
      </c>
      <c r="X293" s="152">
        <f>IF(MouserListTable[[#This Row],[Tag]]=FilterSpecs!$F$7,MouserListTable[[#This Row],['#/Unit]]*MouserListTable[[#This Row],[Price (USD)]],0)</f>
        <v>0</v>
      </c>
      <c r="Y293" s="152">
        <f>MouserListTable[[#This Row],[Tot '#]]*MouserListTable[[#This Row],[Price (USD)]]</f>
        <v>9</v>
      </c>
    </row>
    <row r="294" spans="1:25" ht="17.25" x14ac:dyDescent="0.25">
      <c r="A294" s="150" t="s">
        <v>1038</v>
      </c>
      <c r="B294" s="150" t="s">
        <v>2530</v>
      </c>
      <c r="C294" s="150" t="s">
        <v>5</v>
      </c>
      <c r="D294" s="151" t="str">
        <f>IF(MouserListTable[[#This Row],[Vendor]]=FilterSpecs!$A$8,MouserListTable[[#This Row],[Mouser SKU]], MouserListTable[[#This Row],[Supplier SKU]])</f>
        <v>474-DEV-14443</v>
      </c>
      <c r="E294" s="152">
        <f>MouserListTable[[#This Row],[Tot '#]]-MouserListTable[[#This Row],['# Initial]]</f>
        <v>1</v>
      </c>
      <c r="F294" s="152">
        <f>IF(AND(MouserListTable[[#This Row],[Tag]]&lt;&gt;FilterSpecs!$F$12, MouserListTable[[#This Row],[Tag]]&lt;&gt;FilterSpecs!$F$9), MouserListTable[[#This Row],['#/Unit]]*FilterSpecs!$B$3+MouserListTable[[#This Row],[Extra Initial]],0)</f>
        <v>0</v>
      </c>
      <c r="G294" s="150" t="s">
        <v>1145</v>
      </c>
      <c r="H294" s="150" t="s">
        <v>1146</v>
      </c>
      <c r="I294" s="150" t="s">
        <v>1147</v>
      </c>
      <c r="J294" s="150"/>
      <c r="K294" s="154">
        <v>5</v>
      </c>
      <c r="L294" s="150" t="s">
        <v>1900</v>
      </c>
      <c r="M294" s="116" t="s">
        <v>1040</v>
      </c>
      <c r="N294" s="154">
        <f>MouserListTable[[#This Row],['# Initial]]*MouserListTable[[#This Row],[Price (USD)]]</f>
        <v>0</v>
      </c>
      <c r="O294" s="151" t="s">
        <v>1144</v>
      </c>
      <c r="P294" s="150">
        <f t="shared" si="4"/>
        <v>281</v>
      </c>
      <c r="Q294" s="150" t="s">
        <v>5</v>
      </c>
      <c r="R29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474-DEV-14443</v>
      </c>
      <c r="S294" s="157" t="str">
        <f>HYPERLINK("https://www.mouser.com/ProductDetail/" &amp;MouserListTable[[#This Row],[Mouser SKU]])</f>
        <v>https://www.mouser.com/ProductDetail/474-DEV-14443</v>
      </c>
      <c r="T294" s="152">
        <v>0</v>
      </c>
      <c r="U294" s="152">
        <v>1</v>
      </c>
      <c r="V294" s="152">
        <v>0</v>
      </c>
      <c r="W294" s="152">
        <f>MouserListTable[[#This Row],['#/Unit]]*FilterSpecs!$C$3+MouserListTable[[#This Row],[Extra]]</f>
        <v>1</v>
      </c>
      <c r="X294" s="152">
        <f>IF(MouserListTable[[#This Row],[Tag]]=FilterSpecs!$F$7,MouserListTable[[#This Row],['#/Unit]]*MouserListTable[[#This Row],[Price (USD)]],0)</f>
        <v>0</v>
      </c>
      <c r="Y294" s="152">
        <f>MouserListTable[[#This Row],[Tot '#]]*MouserListTable[[#This Row],[Price (USD)]]</f>
        <v>5</v>
      </c>
    </row>
    <row r="295" spans="1:25" ht="17.25" x14ac:dyDescent="0.25">
      <c r="A295" s="150" t="s">
        <v>1038</v>
      </c>
      <c r="B295" s="150" t="s">
        <v>2530</v>
      </c>
      <c r="C295" s="150" t="s">
        <v>5</v>
      </c>
      <c r="D295" s="151" t="str">
        <f>IF(MouserListTable[[#This Row],[Vendor]]=FilterSpecs!$A$8,MouserListTable[[#This Row],[Mouser SKU]], MouserListTable[[#This Row],[Supplier SKU]])</f>
        <v>474-DEV-14442</v>
      </c>
      <c r="E295" s="152">
        <f>MouserListTable[[#This Row],[Tot '#]]-MouserListTable[[#This Row],['# Initial]]</f>
        <v>1</v>
      </c>
      <c r="F295" s="152">
        <f>IF(AND(MouserListTable[[#This Row],[Tag]]&lt;&gt;FilterSpecs!$F$12, MouserListTable[[#This Row],[Tag]]&lt;&gt;FilterSpecs!$F$9), MouserListTable[[#This Row],['#/Unit]]*FilterSpecs!$B$3+MouserListTable[[#This Row],[Extra Initial]],0)</f>
        <v>0</v>
      </c>
      <c r="G295" s="150" t="s">
        <v>1153</v>
      </c>
      <c r="H295" s="150" t="s">
        <v>1154</v>
      </c>
      <c r="I295" s="150" t="s">
        <v>1155</v>
      </c>
      <c r="J295" s="150"/>
      <c r="K295" s="154">
        <v>15</v>
      </c>
      <c r="L295" s="150" t="s">
        <v>1900</v>
      </c>
      <c r="M295" s="116" t="s">
        <v>1040</v>
      </c>
      <c r="N295" s="154">
        <f>MouserListTable[[#This Row],['# Initial]]*MouserListTable[[#This Row],[Price (USD)]]</f>
        <v>0</v>
      </c>
      <c r="O295" s="151" t="s">
        <v>1152</v>
      </c>
      <c r="P295" s="150">
        <f t="shared" si="4"/>
        <v>282</v>
      </c>
      <c r="Q295" s="150" t="s">
        <v>5</v>
      </c>
      <c r="R29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474-DEV-14442</v>
      </c>
      <c r="S295" s="157" t="str">
        <f>HYPERLINK("https://www.mouser.com/ProductDetail/" &amp;MouserListTable[[#This Row],[Mouser SKU]])</f>
        <v>https://www.mouser.com/ProductDetail/474-DEV-14442</v>
      </c>
      <c r="T295" s="152">
        <v>0</v>
      </c>
      <c r="U295" s="152">
        <v>1</v>
      </c>
      <c r="V295" s="152">
        <v>0</v>
      </c>
      <c r="W295" s="152">
        <f>MouserListTable[[#This Row],['#/Unit]]*FilterSpecs!$C$3+MouserListTable[[#This Row],[Extra]]</f>
        <v>1</v>
      </c>
      <c r="X295" s="152">
        <f>IF(MouserListTable[[#This Row],[Tag]]=FilterSpecs!$F$7,MouserListTable[[#This Row],['#/Unit]]*MouserListTable[[#This Row],[Price (USD)]],0)</f>
        <v>0</v>
      </c>
      <c r="Y295" s="152">
        <f>MouserListTable[[#This Row],[Tot '#]]*MouserListTable[[#This Row],[Price (USD)]]</f>
        <v>15</v>
      </c>
    </row>
    <row r="296" spans="1:25" ht="17.25" x14ac:dyDescent="0.25">
      <c r="A296" s="150" t="s">
        <v>1038</v>
      </c>
      <c r="B296" s="150" t="s">
        <v>2530</v>
      </c>
      <c r="C296" s="150" t="s">
        <v>5</v>
      </c>
      <c r="D296" s="151" t="str">
        <f>IF(MouserListTable[[#This Row],[Vendor]]=FilterSpecs!$A$8,MouserListTable[[#This Row],[Mouser SKU]], MouserListTable[[#This Row],[Supplier SKU]])</f>
        <v>474-DEV-14441</v>
      </c>
      <c r="E296" s="152">
        <f>MouserListTable[[#This Row],[Tot '#]]-MouserListTable[[#This Row],['# Initial]]</f>
        <v>1</v>
      </c>
      <c r="F296" s="152">
        <f>IF(AND(MouserListTable[[#This Row],[Tag]]&lt;&gt;FilterSpecs!$F$12, MouserListTable[[#This Row],[Tag]]&lt;&gt;FilterSpecs!$F$9), MouserListTable[[#This Row],['#/Unit]]*FilterSpecs!$B$3+MouserListTable[[#This Row],[Extra Initial]],0)</f>
        <v>0</v>
      </c>
      <c r="G296" s="150" t="s">
        <v>1157</v>
      </c>
      <c r="H296" s="150" t="s">
        <v>1158</v>
      </c>
      <c r="I296" s="150" t="s">
        <v>1159</v>
      </c>
      <c r="J296" s="150"/>
      <c r="K296" s="154">
        <v>15</v>
      </c>
      <c r="L296" s="150" t="s">
        <v>1900</v>
      </c>
      <c r="M296" s="116" t="s">
        <v>1040</v>
      </c>
      <c r="N296" s="154">
        <f>MouserListTable[[#This Row],['# Initial]]*MouserListTable[[#This Row],[Price (USD)]]</f>
        <v>0</v>
      </c>
      <c r="O296" s="151" t="s">
        <v>1156</v>
      </c>
      <c r="P296" s="150">
        <f t="shared" si="4"/>
        <v>283</v>
      </c>
      <c r="Q296" s="150" t="s">
        <v>5</v>
      </c>
      <c r="R29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474-DEV-14441</v>
      </c>
      <c r="S296" s="157" t="str">
        <f>HYPERLINK("https://www.mouser.com/ProductDetail/" &amp;MouserListTable[[#This Row],[Mouser SKU]])</f>
        <v>https://www.mouser.com/ProductDetail/474-DEV-14441</v>
      </c>
      <c r="T296" s="152">
        <v>0</v>
      </c>
      <c r="U296" s="152">
        <v>1</v>
      </c>
      <c r="V296" s="152">
        <v>0</v>
      </c>
      <c r="W296" s="152">
        <f>MouserListTable[[#This Row],['#/Unit]]*FilterSpecs!$C$3+MouserListTable[[#This Row],[Extra]]</f>
        <v>1</v>
      </c>
      <c r="X296" s="152">
        <f>IF(MouserListTable[[#This Row],[Tag]]=FilterSpecs!$F$7,MouserListTable[[#This Row],['#/Unit]]*MouserListTable[[#This Row],[Price (USD)]],0)</f>
        <v>0</v>
      </c>
      <c r="Y296" s="152">
        <f>MouserListTable[[#This Row],[Tot '#]]*MouserListTable[[#This Row],[Price (USD)]]</f>
        <v>15</v>
      </c>
    </row>
    <row r="297" spans="1:25" x14ac:dyDescent="0.25">
      <c r="A297" s="150" t="s">
        <v>1038</v>
      </c>
      <c r="B297" s="150" t="s">
        <v>1168</v>
      </c>
      <c r="C297" s="150" t="s">
        <v>5</v>
      </c>
      <c r="D297" s="151" t="str">
        <f>IF(MouserListTable[[#This Row],[Vendor]]=FilterSpecs!$A$8,MouserListTable[[#This Row],[Mouser SKU]], MouserListTable[[#This Row],[Supplier SKU]])</f>
        <v>474-DEV-14437</v>
      </c>
      <c r="E297" s="152">
        <f>MouserListTable[[#This Row],[Tot '#]]-MouserListTable[[#This Row],['# Initial]]</f>
        <v>1</v>
      </c>
      <c r="F297" s="152">
        <f>IF(AND(MouserListTable[[#This Row],[Tag]]&lt;&gt;FilterSpecs!$F$12, MouserListTable[[#This Row],[Tag]]&lt;&gt;FilterSpecs!$F$9), MouserListTable[[#This Row],['#/Unit]]*FilterSpecs!$B$3+MouserListTable[[#This Row],[Extra Initial]],0)</f>
        <v>0</v>
      </c>
      <c r="G297" s="150" t="s">
        <v>2412</v>
      </c>
      <c r="H297" s="150" t="s">
        <v>2413</v>
      </c>
      <c r="I297" s="150" t="s">
        <v>2414</v>
      </c>
      <c r="J297" s="150"/>
      <c r="K297" s="154">
        <v>15</v>
      </c>
      <c r="L297" s="150" t="s">
        <v>1900</v>
      </c>
      <c r="M297" s="150" t="s">
        <v>1040</v>
      </c>
      <c r="N297" s="154">
        <f>MouserListTable[[#This Row],['# Initial]]*MouserListTable[[#This Row],[Price (USD)]]</f>
        <v>0</v>
      </c>
      <c r="O297" s="151" t="s">
        <v>2411</v>
      </c>
      <c r="P297" s="150">
        <f t="shared" si="4"/>
        <v>284</v>
      </c>
      <c r="Q297" s="150" t="s">
        <v>5</v>
      </c>
      <c r="R29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474-DEV-14437</v>
      </c>
      <c r="S297" s="157" t="str">
        <f>HYPERLINK("https://www.mouser.com/ProductDetail/" &amp;MouserListTable[[#This Row],[Mouser SKU]])</f>
        <v>https://www.mouser.com/ProductDetail/474-DEV-14437</v>
      </c>
      <c r="T297" s="152">
        <v>0</v>
      </c>
      <c r="U297" s="152">
        <v>1</v>
      </c>
      <c r="V297" s="152">
        <v>0</v>
      </c>
      <c r="W297" s="152">
        <f>MouserListTable[[#This Row],['#/Unit]]*FilterSpecs!$C$3+MouserListTable[[#This Row],[Extra]]</f>
        <v>1</v>
      </c>
      <c r="X297" s="152">
        <f>IF(MouserListTable[[#This Row],[Tag]]=FilterSpecs!$F$7,MouserListTable[[#This Row],['#/Unit]]*MouserListTable[[#This Row],[Price (USD)]],0)</f>
        <v>0</v>
      </c>
      <c r="Y297" s="152">
        <f>MouserListTable[[#This Row],[Tot '#]]*MouserListTable[[#This Row],[Price (USD)]]</f>
        <v>15</v>
      </c>
    </row>
    <row r="298" spans="1:25" x14ac:dyDescent="0.25">
      <c r="A298" s="150" t="s">
        <v>1038</v>
      </c>
      <c r="B298" s="150" t="s">
        <v>1168</v>
      </c>
      <c r="C298" s="150" t="s">
        <v>5</v>
      </c>
      <c r="D298" s="151" t="str">
        <f>IF(MouserListTable[[#This Row],[Vendor]]=FilterSpecs!$A$8,MouserListTable[[#This Row],[Mouser SKU]], MouserListTable[[#This Row],[Supplier SKU]])</f>
        <v>474-DEV-14436</v>
      </c>
      <c r="E298" s="152">
        <f>MouserListTable[[#This Row],[Tot '#]]-MouserListTable[[#This Row],['# Initial]]</f>
        <v>1</v>
      </c>
      <c r="F298" s="152">
        <f>IF(AND(MouserListTable[[#This Row],[Tag]]&lt;&gt;FilterSpecs!$F$12, MouserListTable[[#This Row],[Tag]]&lt;&gt;FilterSpecs!$F$9), MouserListTable[[#This Row],['#/Unit]]*FilterSpecs!$B$3+MouserListTable[[#This Row],[Extra Initial]],0)</f>
        <v>0</v>
      </c>
      <c r="G298" s="150" t="s">
        <v>2416</v>
      </c>
      <c r="H298" s="150" t="s">
        <v>2417</v>
      </c>
      <c r="I298" s="150" t="s">
        <v>2418</v>
      </c>
      <c r="J298" s="150"/>
      <c r="K298" s="154">
        <v>10</v>
      </c>
      <c r="L298" s="150" t="s">
        <v>1900</v>
      </c>
      <c r="M298" s="150" t="s">
        <v>1040</v>
      </c>
      <c r="N298" s="154">
        <f>MouserListTable[[#This Row],['# Initial]]*MouserListTable[[#This Row],[Price (USD)]]</f>
        <v>0</v>
      </c>
      <c r="O298" s="151" t="s">
        <v>2415</v>
      </c>
      <c r="P298" s="150">
        <f t="shared" si="4"/>
        <v>285</v>
      </c>
      <c r="Q298" s="150" t="s">
        <v>5</v>
      </c>
      <c r="R29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474-DEV-14436</v>
      </c>
      <c r="S298" s="157" t="str">
        <f>HYPERLINK("https://www.mouser.com/ProductDetail/" &amp;MouserListTable[[#This Row],[Mouser SKU]])</f>
        <v>https://www.mouser.com/ProductDetail/474-DEV-14436</v>
      </c>
      <c r="T298" s="152">
        <v>0</v>
      </c>
      <c r="U298" s="152">
        <v>1</v>
      </c>
      <c r="V298" s="152">
        <v>0</v>
      </c>
      <c r="W298" s="152">
        <f>MouserListTable[[#This Row],['#/Unit]]*FilterSpecs!$C$3+MouserListTable[[#This Row],[Extra]]</f>
        <v>1</v>
      </c>
      <c r="X298" s="152">
        <f>IF(MouserListTable[[#This Row],[Tag]]=FilterSpecs!$F$7,MouserListTable[[#This Row],['#/Unit]]*MouserListTable[[#This Row],[Price (USD)]],0)</f>
        <v>0</v>
      </c>
      <c r="Y298" s="152">
        <f>MouserListTable[[#This Row],[Tot '#]]*MouserListTable[[#This Row],[Price (USD)]]</f>
        <v>10</v>
      </c>
    </row>
    <row r="299" spans="1:25" ht="17.25" x14ac:dyDescent="0.25">
      <c r="A299" s="150" t="s">
        <v>1039</v>
      </c>
      <c r="B299" s="150" t="s">
        <v>2531</v>
      </c>
      <c r="C299" s="150" t="s">
        <v>5</v>
      </c>
      <c r="D299" s="151" t="str">
        <f>IF(MouserListTable[[#This Row],[Vendor]]=FilterSpecs!$A$8,MouserListTable[[#This Row],[Mouser SKU]], MouserListTable[[#This Row],[Supplier SKU]])</f>
        <v>474-DEV-14439</v>
      </c>
      <c r="E299" s="152">
        <f>MouserListTable[[#This Row],[Tot '#]]-MouserListTable[[#This Row],['# Initial]]</f>
        <v>1</v>
      </c>
      <c r="F299" s="152">
        <f>IF(AND(MouserListTable[[#This Row],[Tag]]&lt;&gt;FilterSpecs!$F$12, MouserListTable[[#This Row],[Tag]]&lt;&gt;FilterSpecs!$F$9), MouserListTable[[#This Row],['#/Unit]]*FilterSpecs!$B$3+MouserListTable[[#This Row],[Extra Initial]],0)</f>
        <v>0</v>
      </c>
      <c r="G299" s="150" t="s">
        <v>1065</v>
      </c>
      <c r="H299" s="150" t="s">
        <v>1066</v>
      </c>
      <c r="I299" s="150" t="s">
        <v>1067</v>
      </c>
      <c r="J299" s="150"/>
      <c r="K299" s="154">
        <v>15</v>
      </c>
      <c r="L299" s="150" t="s">
        <v>1900</v>
      </c>
      <c r="M299" s="116" t="s">
        <v>1040</v>
      </c>
      <c r="N299" s="154">
        <f>MouserListTable[[#This Row],['# Initial]]*MouserListTable[[#This Row],[Price (USD)]]</f>
        <v>0</v>
      </c>
      <c r="O299" s="151" t="s">
        <v>1064</v>
      </c>
      <c r="P299" s="150">
        <f t="shared" si="4"/>
        <v>286</v>
      </c>
      <c r="Q299" s="150" t="s">
        <v>5</v>
      </c>
      <c r="R29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474-DEV-14439</v>
      </c>
      <c r="S299" s="157" t="str">
        <f>HYPERLINK("https://www.mouser.com/ProductDetail/" &amp;MouserListTable[[#This Row],[Mouser SKU]])</f>
        <v>https://www.mouser.com/ProductDetail/474-DEV-14439</v>
      </c>
      <c r="T299" s="152">
        <v>0</v>
      </c>
      <c r="U299" s="152">
        <v>1</v>
      </c>
      <c r="V299" s="152">
        <v>0</v>
      </c>
      <c r="W299" s="152">
        <f>MouserListTable[[#This Row],['#/Unit]]*FilterSpecs!$C$3+MouserListTable[[#This Row],[Extra]]</f>
        <v>1</v>
      </c>
      <c r="X299" s="152">
        <f>IF(MouserListTable[[#This Row],[Tag]]=FilterSpecs!$F$7,MouserListTable[[#This Row],['#/Unit]]*MouserListTable[[#This Row],[Price (USD)]],0)</f>
        <v>0</v>
      </c>
      <c r="Y299" s="152">
        <f>MouserListTable[[#This Row],[Tot '#]]*MouserListTable[[#This Row],[Price (USD)]]</f>
        <v>15</v>
      </c>
    </row>
    <row r="300" spans="1:25" ht="17.25" x14ac:dyDescent="0.25">
      <c r="A300" s="150" t="s">
        <v>1039</v>
      </c>
      <c r="B300" s="150" t="s">
        <v>2531</v>
      </c>
      <c r="C300" s="150" t="s">
        <v>5</v>
      </c>
      <c r="D300" s="151" t="str">
        <f>IF(MouserListTable[[#This Row],[Vendor]]=FilterSpecs!$A$8,MouserListTable[[#This Row],[Mouser SKU]], MouserListTable[[#This Row],[Supplier SKU]])</f>
        <v>474-DEV-14431</v>
      </c>
      <c r="E300" s="152">
        <f>MouserListTable[[#This Row],[Tot '#]]-MouserListTable[[#This Row],['# Initial]]</f>
        <v>1</v>
      </c>
      <c r="F300" s="152">
        <f>IF(AND(MouserListTable[[#This Row],[Tag]]&lt;&gt;FilterSpecs!$F$12, MouserListTable[[#This Row],[Tag]]&lt;&gt;FilterSpecs!$F$9), MouserListTable[[#This Row],['#/Unit]]*FilterSpecs!$B$3+MouserListTable[[#This Row],[Extra Initial]],0)</f>
        <v>0</v>
      </c>
      <c r="G300" s="150" t="s">
        <v>1141</v>
      </c>
      <c r="H300" s="150" t="s">
        <v>1142</v>
      </c>
      <c r="I300" s="150" t="s">
        <v>1143</v>
      </c>
      <c r="J300" s="150"/>
      <c r="K300" s="154">
        <v>9</v>
      </c>
      <c r="L300" s="150" t="s">
        <v>1900</v>
      </c>
      <c r="M300" s="116" t="s">
        <v>1040</v>
      </c>
      <c r="N300" s="154">
        <f>MouserListTable[[#This Row],['# Initial]]*MouserListTable[[#This Row],[Price (USD)]]</f>
        <v>0</v>
      </c>
      <c r="O300" s="151" t="s">
        <v>1140</v>
      </c>
      <c r="P300" s="150">
        <f t="shared" si="4"/>
        <v>287</v>
      </c>
      <c r="Q300" s="150" t="s">
        <v>5</v>
      </c>
      <c r="R30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474-DEV-14431</v>
      </c>
      <c r="S300" s="157" t="str">
        <f>HYPERLINK("https://www.mouser.com/ProductDetail/" &amp;MouserListTable[[#This Row],[Mouser SKU]])</f>
        <v>https://www.mouser.com/ProductDetail/474-DEV-14431</v>
      </c>
      <c r="T300" s="152">
        <v>0</v>
      </c>
      <c r="U300" s="152">
        <v>1</v>
      </c>
      <c r="V300" s="152">
        <v>0</v>
      </c>
      <c r="W300" s="152">
        <f>MouserListTable[[#This Row],['#/Unit]]*FilterSpecs!$C$3+MouserListTable[[#This Row],[Extra]]</f>
        <v>1</v>
      </c>
      <c r="X300" s="152">
        <f>IF(MouserListTable[[#This Row],[Tag]]=FilterSpecs!$F$7,MouserListTable[[#This Row],['#/Unit]]*MouserListTable[[#This Row],[Price (USD)]],0)</f>
        <v>0</v>
      </c>
      <c r="Y300" s="152">
        <f>MouserListTable[[#This Row],[Tot '#]]*MouserListTable[[#This Row],[Price (USD)]]</f>
        <v>9</v>
      </c>
    </row>
    <row r="301" spans="1:25" ht="17.25" x14ac:dyDescent="0.25">
      <c r="A301" s="150" t="s">
        <v>1039</v>
      </c>
      <c r="B301" s="150" t="s">
        <v>2531</v>
      </c>
      <c r="C301" s="150" t="s">
        <v>5</v>
      </c>
      <c r="D301" s="151" t="str">
        <f>IF(MouserListTable[[#This Row],[Vendor]]=FilterSpecs!$A$8,MouserListTable[[#This Row],[Mouser SKU]], MouserListTable[[#This Row],[Supplier SKU]])</f>
        <v>474-DEV-14446</v>
      </c>
      <c r="E301" s="152">
        <f>MouserListTable[[#This Row],[Tot '#]]-MouserListTable[[#This Row],['# Initial]]</f>
        <v>1</v>
      </c>
      <c r="F301" s="152">
        <f>IF(AND(MouserListTable[[#This Row],[Tag]]&lt;&gt;FilterSpecs!$F$12, MouserListTable[[#This Row],[Tag]]&lt;&gt;FilterSpecs!$F$9), MouserListTable[[#This Row],['#/Unit]]*FilterSpecs!$B$3+MouserListTable[[#This Row],[Extra Initial]],0)</f>
        <v>0</v>
      </c>
      <c r="G301" s="150" t="s">
        <v>1149</v>
      </c>
      <c r="H301" s="150" t="s">
        <v>1150</v>
      </c>
      <c r="I301" s="150" t="s">
        <v>1151</v>
      </c>
      <c r="J301" s="150"/>
      <c r="K301" s="154">
        <v>30</v>
      </c>
      <c r="L301" s="150" t="s">
        <v>1900</v>
      </c>
      <c r="M301" s="116" t="s">
        <v>1040</v>
      </c>
      <c r="N301" s="154">
        <f>MouserListTable[[#This Row],['# Initial]]*MouserListTable[[#This Row],[Price (USD)]]</f>
        <v>0</v>
      </c>
      <c r="O301" s="151" t="s">
        <v>1148</v>
      </c>
      <c r="P301" s="150">
        <f t="shared" si="4"/>
        <v>288</v>
      </c>
      <c r="Q301" s="150" t="s">
        <v>5</v>
      </c>
      <c r="R30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474-DEV-14446</v>
      </c>
      <c r="S301" s="157" t="str">
        <f>HYPERLINK("https://www.mouser.com/ProductDetail/" &amp;MouserListTable[[#This Row],[Mouser SKU]])</f>
        <v>https://www.mouser.com/ProductDetail/474-DEV-14446</v>
      </c>
      <c r="T301" s="152">
        <v>0</v>
      </c>
      <c r="U301" s="152">
        <v>1</v>
      </c>
      <c r="V301" s="152">
        <v>0</v>
      </c>
      <c r="W301" s="152">
        <f>MouserListTable[[#This Row],['#/Unit]]*FilterSpecs!$C$3+MouserListTable[[#This Row],[Extra]]</f>
        <v>1</v>
      </c>
      <c r="X301" s="152">
        <f>IF(MouserListTable[[#This Row],[Tag]]=FilterSpecs!$F$7,MouserListTable[[#This Row],['#/Unit]]*MouserListTable[[#This Row],[Price (USD)]],0)</f>
        <v>0</v>
      </c>
      <c r="Y301" s="152">
        <f>MouserListTable[[#This Row],[Tot '#]]*MouserListTable[[#This Row],[Price (USD)]]</f>
        <v>30</v>
      </c>
    </row>
    <row r="302" spans="1:25" ht="17.25" x14ac:dyDescent="0.25">
      <c r="A302" s="150" t="s">
        <v>1039</v>
      </c>
      <c r="B302" s="150" t="s">
        <v>2531</v>
      </c>
      <c r="C302" s="150" t="s">
        <v>5</v>
      </c>
      <c r="D302" s="151" t="str">
        <f>IF(MouserListTable[[#This Row],[Vendor]]=FilterSpecs!$A$8,MouserListTable[[#This Row],[Mouser SKU]], MouserListTable[[#This Row],[Supplier SKU]])</f>
        <v>474-DEV-14443</v>
      </c>
      <c r="E302" s="152">
        <f>MouserListTable[[#This Row],[Tot '#]]-MouserListTable[[#This Row],['# Initial]]</f>
        <v>1</v>
      </c>
      <c r="F302" s="152">
        <f>IF(AND(MouserListTable[[#This Row],[Tag]]&lt;&gt;FilterSpecs!$F$12, MouserListTable[[#This Row],[Tag]]&lt;&gt;FilterSpecs!$F$9), MouserListTable[[#This Row],['#/Unit]]*FilterSpecs!$B$3+MouserListTable[[#This Row],[Extra Initial]],0)</f>
        <v>0</v>
      </c>
      <c r="G302" s="150" t="s">
        <v>1145</v>
      </c>
      <c r="H302" s="150" t="s">
        <v>1146</v>
      </c>
      <c r="I302" s="150" t="s">
        <v>1147</v>
      </c>
      <c r="J302" s="150"/>
      <c r="K302" s="154">
        <v>5</v>
      </c>
      <c r="L302" s="150" t="s">
        <v>1900</v>
      </c>
      <c r="M302" s="116" t="s">
        <v>1040</v>
      </c>
      <c r="N302" s="154">
        <f>MouserListTable[[#This Row],['# Initial]]*MouserListTable[[#This Row],[Price (USD)]]</f>
        <v>0</v>
      </c>
      <c r="O302" s="151" t="s">
        <v>1144</v>
      </c>
      <c r="P302" s="150">
        <f t="shared" si="4"/>
        <v>289</v>
      </c>
      <c r="Q302" s="150" t="s">
        <v>5</v>
      </c>
      <c r="R30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474-DEV-14443</v>
      </c>
      <c r="S302" s="157" t="str">
        <f>HYPERLINK("https://www.mouser.com/ProductDetail/" &amp;MouserListTable[[#This Row],[Mouser SKU]])</f>
        <v>https://www.mouser.com/ProductDetail/474-DEV-14443</v>
      </c>
      <c r="T302" s="152">
        <v>0</v>
      </c>
      <c r="U302" s="152">
        <v>1</v>
      </c>
      <c r="V302" s="152">
        <v>0</v>
      </c>
      <c r="W302" s="152">
        <f>MouserListTable[[#This Row],['#/Unit]]*FilterSpecs!$C$3+MouserListTable[[#This Row],[Extra]]</f>
        <v>1</v>
      </c>
      <c r="X302" s="152">
        <f>IF(MouserListTable[[#This Row],[Tag]]=FilterSpecs!$F$7,MouserListTable[[#This Row],['#/Unit]]*MouserListTable[[#This Row],[Price (USD)]],0)</f>
        <v>0</v>
      </c>
      <c r="Y302" s="152">
        <f>MouserListTable[[#This Row],[Tot '#]]*MouserListTable[[#This Row],[Price (USD)]]</f>
        <v>5</v>
      </c>
    </row>
    <row r="303" spans="1:25" ht="17.25" x14ac:dyDescent="0.25">
      <c r="A303" s="150" t="s">
        <v>1039</v>
      </c>
      <c r="B303" s="150" t="s">
        <v>2531</v>
      </c>
      <c r="C303" s="150" t="s">
        <v>5</v>
      </c>
      <c r="D303" s="151" t="str">
        <f>IF(MouserListTable[[#This Row],[Vendor]]=FilterSpecs!$A$8,MouserListTable[[#This Row],[Mouser SKU]], MouserListTable[[#This Row],[Supplier SKU]])</f>
        <v>474-DEV-14442</v>
      </c>
      <c r="E303" s="152">
        <f>MouserListTable[[#This Row],[Tot '#]]-MouserListTable[[#This Row],['# Initial]]</f>
        <v>1</v>
      </c>
      <c r="F303" s="152">
        <f>IF(AND(MouserListTable[[#This Row],[Tag]]&lt;&gt;FilterSpecs!$F$12, MouserListTable[[#This Row],[Tag]]&lt;&gt;FilterSpecs!$F$9), MouserListTable[[#This Row],['#/Unit]]*FilterSpecs!$B$3+MouserListTable[[#This Row],[Extra Initial]],0)</f>
        <v>0</v>
      </c>
      <c r="G303" s="150" t="s">
        <v>1153</v>
      </c>
      <c r="H303" s="150" t="s">
        <v>1154</v>
      </c>
      <c r="I303" s="150" t="s">
        <v>1155</v>
      </c>
      <c r="J303" s="150"/>
      <c r="K303" s="154">
        <v>15</v>
      </c>
      <c r="L303" s="150" t="s">
        <v>1900</v>
      </c>
      <c r="M303" s="116" t="s">
        <v>1040</v>
      </c>
      <c r="N303" s="154">
        <f>MouserListTable[[#This Row],['# Initial]]*MouserListTable[[#This Row],[Price (USD)]]</f>
        <v>0</v>
      </c>
      <c r="O303" s="151" t="s">
        <v>1152</v>
      </c>
      <c r="P303" s="150">
        <f t="shared" si="4"/>
        <v>290</v>
      </c>
      <c r="Q303" s="150" t="s">
        <v>5</v>
      </c>
      <c r="R30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474-DEV-14442</v>
      </c>
      <c r="S303" s="157" t="str">
        <f>HYPERLINK("https://www.mouser.com/ProductDetail/" &amp;MouserListTable[[#This Row],[Mouser SKU]])</f>
        <v>https://www.mouser.com/ProductDetail/474-DEV-14442</v>
      </c>
      <c r="T303" s="152">
        <v>0</v>
      </c>
      <c r="U303" s="152">
        <v>1</v>
      </c>
      <c r="V303" s="152">
        <v>0</v>
      </c>
      <c r="W303" s="152">
        <f>MouserListTable[[#This Row],['#/Unit]]*FilterSpecs!$C$3+MouserListTable[[#This Row],[Extra]]</f>
        <v>1</v>
      </c>
      <c r="X303" s="152">
        <f>IF(MouserListTable[[#This Row],[Tag]]=FilterSpecs!$F$7,MouserListTable[[#This Row],['#/Unit]]*MouserListTable[[#This Row],[Price (USD)]],0)</f>
        <v>0</v>
      </c>
      <c r="Y303" s="152">
        <f>MouserListTable[[#This Row],[Tot '#]]*MouserListTable[[#This Row],[Price (USD)]]</f>
        <v>15</v>
      </c>
    </row>
    <row r="304" spans="1:25" x14ac:dyDescent="0.25">
      <c r="A304" s="150" t="s">
        <v>1039</v>
      </c>
      <c r="B304" s="150" t="s">
        <v>1056</v>
      </c>
      <c r="C304" s="150" t="s">
        <v>5</v>
      </c>
      <c r="D304" s="151" t="str">
        <f>IF(MouserListTable[[#This Row],[Vendor]]=FilterSpecs!$A$8,MouserListTable[[#This Row],[Mouser SKU]], MouserListTable[[#This Row],[Supplier SKU]])</f>
        <v>474-WRL-14280</v>
      </c>
      <c r="E304" s="152">
        <f>MouserListTable[[#This Row],[Tot '#]]-MouserListTable[[#This Row],['# Initial]]</f>
        <v>1</v>
      </c>
      <c r="F304" s="152">
        <f>IF(AND(MouserListTable[[#This Row],[Tag]]&lt;&gt;FilterSpecs!$F$12, MouserListTable[[#This Row],[Tag]]&lt;&gt;FilterSpecs!$F$9), MouserListTable[[#This Row],['#/Unit]]*FilterSpecs!$B$3+MouserListTable[[#This Row],[Extra Initial]],0)</f>
        <v>0</v>
      </c>
      <c r="G304" s="150" t="s">
        <v>345</v>
      </c>
      <c r="H304" s="150" t="s">
        <v>346</v>
      </c>
      <c r="I304" s="150" t="s">
        <v>347</v>
      </c>
      <c r="J304" s="150"/>
      <c r="K304" s="154">
        <v>24.95</v>
      </c>
      <c r="L304" s="150" t="s">
        <v>1900</v>
      </c>
      <c r="M304" s="150" t="s">
        <v>1041</v>
      </c>
      <c r="N304" s="154">
        <f>MouserListTable[[#This Row],['# Initial]]*MouserListTable[[#This Row],[Price (USD)]]</f>
        <v>0</v>
      </c>
      <c r="O304" s="151" t="s">
        <v>344</v>
      </c>
      <c r="P304" s="150">
        <f t="shared" si="4"/>
        <v>291</v>
      </c>
      <c r="Q304" s="150" t="s">
        <v>5</v>
      </c>
      <c r="R30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474-WRL-14280</v>
      </c>
      <c r="S304" s="157" t="str">
        <f>HYPERLINK("https://www.mouser.com/ProductDetail/" &amp;MouserListTable[[#This Row],[Mouser SKU]])</f>
        <v>https://www.mouser.com/ProductDetail/474-WRL-14280</v>
      </c>
      <c r="T304" s="152">
        <v>0</v>
      </c>
      <c r="U304" s="152">
        <v>1</v>
      </c>
      <c r="V304" s="152">
        <v>0</v>
      </c>
      <c r="W304" s="152">
        <f>MouserListTable[[#This Row],['#/Unit]]*FilterSpecs!$C$3+MouserListTable[[#This Row],[Extra]]</f>
        <v>1</v>
      </c>
      <c r="X304" s="152">
        <f>IF(MouserListTable[[#This Row],[Tag]]=FilterSpecs!$F$7,MouserListTable[[#This Row],['#/Unit]]*MouserListTable[[#This Row],[Price (USD)]],0)</f>
        <v>0</v>
      </c>
      <c r="Y304" s="152">
        <f>MouserListTable[[#This Row],[Tot '#]]*MouserListTable[[#This Row],[Price (USD)]]</f>
        <v>24.95</v>
      </c>
    </row>
    <row r="305" spans="1:25" x14ac:dyDescent="0.25">
      <c r="A305" s="150" t="s">
        <v>1039</v>
      </c>
      <c r="B305" s="150" t="s">
        <v>1604</v>
      </c>
      <c r="C305" s="150" t="s">
        <v>5</v>
      </c>
      <c r="D305" s="151" t="str">
        <f>IF(MouserListTable[[#This Row],[Vendor]]=FilterSpecs!$A$8,MouserListTable[[#This Row],[Mouser SKU]], MouserListTable[[#This Row],[Supplier SKU]])</f>
        <v>474-DEV-13613</v>
      </c>
      <c r="E305" s="152">
        <f>MouserListTable[[#This Row],[Tot '#]]-MouserListTable[[#This Row],['# Initial]]</f>
        <v>1</v>
      </c>
      <c r="F305" s="152">
        <f>IF(AND(MouserListTable[[#This Row],[Tag]]&lt;&gt;FilterSpecs!$F$12, MouserListTable[[#This Row],[Tag]]&lt;&gt;FilterSpecs!$F$9), MouserListTable[[#This Row],['#/Unit]]*FilterSpecs!$B$3+MouserListTable[[#This Row],[Extra Initial]],0)</f>
        <v>0</v>
      </c>
      <c r="G305" s="150" t="s">
        <v>349</v>
      </c>
      <c r="H305" s="150" t="s">
        <v>350</v>
      </c>
      <c r="I305" s="150" t="s">
        <v>351</v>
      </c>
      <c r="J305" s="150">
        <v>1</v>
      </c>
      <c r="K305" s="154">
        <v>39.950000000000003</v>
      </c>
      <c r="L305" s="150" t="s">
        <v>1900</v>
      </c>
      <c r="M305" s="150" t="s">
        <v>1036</v>
      </c>
      <c r="N305" s="154">
        <f>MouserListTable[[#This Row],['# Initial]]*MouserListTable[[#This Row],[Price (USD)]]</f>
        <v>0</v>
      </c>
      <c r="O305" s="151" t="s">
        <v>348</v>
      </c>
      <c r="P305" s="150">
        <f t="shared" si="4"/>
        <v>292</v>
      </c>
      <c r="Q305" s="150" t="s">
        <v>5</v>
      </c>
      <c r="R30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474-DEV-13613</v>
      </c>
      <c r="S305" s="157" t="str">
        <f>HYPERLINK("https://www.mouser.com/ProductDetail/" &amp;MouserListTable[[#This Row],[Mouser SKU]])</f>
        <v>https://www.mouser.com/ProductDetail/474-DEV-13613</v>
      </c>
      <c r="T305" s="152">
        <v>0</v>
      </c>
      <c r="U305" s="152">
        <v>1</v>
      </c>
      <c r="V305" s="152">
        <v>0</v>
      </c>
      <c r="W305" s="152">
        <f>MouserListTable[[#This Row],['#/Unit]]*FilterSpecs!$C$3+MouserListTable[[#This Row],[Extra]]</f>
        <v>1</v>
      </c>
      <c r="X305" s="152">
        <f>IF(MouserListTable[[#This Row],[Tag]]=FilterSpecs!$F$7,MouserListTable[[#This Row],['#/Unit]]*MouserListTable[[#This Row],[Price (USD)]],0)</f>
        <v>0</v>
      </c>
      <c r="Y305" s="152">
        <f>MouserListTable[[#This Row],[Tot '#]]*MouserListTable[[#This Row],[Price (USD)]]</f>
        <v>39.950000000000003</v>
      </c>
    </row>
    <row r="306" spans="1:25" x14ac:dyDescent="0.25">
      <c r="A306" s="150" t="s">
        <v>1039</v>
      </c>
      <c r="B306" s="150" t="s">
        <v>1055</v>
      </c>
      <c r="C306" s="150" t="s">
        <v>5</v>
      </c>
      <c r="D306" s="151" t="str">
        <f>IF(MouserListTable[[#This Row],[Vendor]]=FilterSpecs!$A$8,MouserListTable[[#This Row],[Mouser SKU]], MouserListTable[[#This Row],[Supplier SKU]])</f>
        <v>474-DEV-12923</v>
      </c>
      <c r="E306" s="152">
        <f>MouserListTable[[#This Row],[Tot '#]]-MouserListTable[[#This Row],['# Initial]]</f>
        <v>1</v>
      </c>
      <c r="F306" s="152">
        <f>IF(AND(MouserListTable[[#This Row],[Tag]]&lt;&gt;FilterSpecs!$F$12, MouserListTable[[#This Row],[Tag]]&lt;&gt;FilterSpecs!$F$9), MouserListTable[[#This Row],['#/Unit]]*FilterSpecs!$B$3+MouserListTable[[#This Row],[Extra Initial]],0)</f>
        <v>0</v>
      </c>
      <c r="G306" s="150" t="s">
        <v>318</v>
      </c>
      <c r="H306" s="150" t="s">
        <v>319</v>
      </c>
      <c r="I306" s="150" t="s">
        <v>320</v>
      </c>
      <c r="J306" s="150">
        <v>1</v>
      </c>
      <c r="K306" s="154">
        <v>39.950000000000003</v>
      </c>
      <c r="L306" s="150" t="s">
        <v>1900</v>
      </c>
      <c r="M306" s="150" t="s">
        <v>1044</v>
      </c>
      <c r="N306" s="154">
        <f>MouserListTable[[#This Row],['# Initial]]*MouserListTable[[#This Row],[Price (USD)]]</f>
        <v>0</v>
      </c>
      <c r="O306" s="151" t="s">
        <v>317</v>
      </c>
      <c r="P306" s="150">
        <f t="shared" si="4"/>
        <v>293</v>
      </c>
      <c r="Q306" s="150" t="s">
        <v>5</v>
      </c>
      <c r="R30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474-DEV-12923</v>
      </c>
      <c r="S306" s="157" t="str">
        <f>HYPERLINK("https://www.mouser.com/ProductDetail/" &amp;MouserListTable[[#This Row],[Mouser SKU]])</f>
        <v>https://www.mouser.com/ProductDetail/474-DEV-12923</v>
      </c>
      <c r="T306" s="152">
        <v>0</v>
      </c>
      <c r="U306" s="152">
        <v>1</v>
      </c>
      <c r="V306" s="152">
        <v>0</v>
      </c>
      <c r="W306" s="152">
        <f>MouserListTable[[#This Row],['#/Unit]]*FilterSpecs!$C$3+MouserListTable[[#This Row],[Extra]]</f>
        <v>1</v>
      </c>
      <c r="X306" s="152">
        <f>IF(MouserListTable[[#This Row],[Tag]]=FilterSpecs!$F$7,MouserListTable[[#This Row],['#/Unit]]*MouserListTable[[#This Row],[Price (USD)]],0)</f>
        <v>0</v>
      </c>
      <c r="Y306" s="152">
        <f>MouserListTable[[#This Row],[Tot '#]]*MouserListTable[[#This Row],[Price (USD)]]</f>
        <v>39.950000000000003</v>
      </c>
    </row>
    <row r="307" spans="1:25" x14ac:dyDescent="0.25">
      <c r="A307" s="150" t="s">
        <v>1039</v>
      </c>
      <c r="B307" s="150" t="s">
        <v>1055</v>
      </c>
      <c r="C307" s="150" t="s">
        <v>5</v>
      </c>
      <c r="D307" s="151" t="str">
        <f>IF(MouserListTable[[#This Row],[Vendor]]=FilterSpecs!$A$8,MouserListTable[[#This Row],[Mouser SKU]], MouserListTable[[#This Row],[Supplier SKU]])</f>
        <v>474-DEV-12924</v>
      </c>
      <c r="E307" s="152">
        <f>MouserListTable[[#This Row],[Tot '#]]-MouserListTable[[#This Row],['# Initial]]</f>
        <v>1</v>
      </c>
      <c r="F307" s="152">
        <f>IF(AND(MouserListTable[[#This Row],[Tag]]&lt;&gt;FilterSpecs!$F$12, MouserListTable[[#This Row],[Tag]]&lt;&gt;FilterSpecs!$F$9), MouserListTable[[#This Row],['#/Unit]]*FilterSpecs!$B$3+MouserListTable[[#This Row],[Extra Initial]],0)</f>
        <v>0</v>
      </c>
      <c r="G307" s="150" t="s">
        <v>322</v>
      </c>
      <c r="H307" s="150" t="s">
        <v>323</v>
      </c>
      <c r="I307" s="150" t="s">
        <v>324</v>
      </c>
      <c r="J307" s="150">
        <v>1</v>
      </c>
      <c r="K307" s="154">
        <v>14.95</v>
      </c>
      <c r="L307" s="150" t="s">
        <v>1900</v>
      </c>
      <c r="M307" s="150" t="s">
        <v>1044</v>
      </c>
      <c r="N307" s="154">
        <f>MouserListTable[[#This Row],['# Initial]]*MouserListTable[[#This Row],[Price (USD)]]</f>
        <v>0</v>
      </c>
      <c r="O307" s="151" t="s">
        <v>321</v>
      </c>
      <c r="P307" s="150">
        <f t="shared" si="4"/>
        <v>294</v>
      </c>
      <c r="Q307" s="150" t="s">
        <v>5</v>
      </c>
      <c r="R30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474-DEV-12924</v>
      </c>
      <c r="S307" s="157" t="str">
        <f>HYPERLINK("https://www.mouser.com/ProductDetail/" &amp;MouserListTable[[#This Row],[Mouser SKU]])</f>
        <v>https://www.mouser.com/ProductDetail/474-DEV-12924</v>
      </c>
      <c r="T307" s="152">
        <v>0</v>
      </c>
      <c r="U307" s="152">
        <v>1</v>
      </c>
      <c r="V307" s="152">
        <v>0</v>
      </c>
      <c r="W307" s="152">
        <f>MouserListTable[[#This Row],['#/Unit]]*FilterSpecs!$C$3+MouserListTable[[#This Row],[Extra]]</f>
        <v>1</v>
      </c>
      <c r="X307" s="152">
        <f>IF(MouserListTable[[#This Row],[Tag]]=FilterSpecs!$F$7,MouserListTable[[#This Row],['#/Unit]]*MouserListTable[[#This Row],[Price (USD)]],0)</f>
        <v>0</v>
      </c>
      <c r="Y307" s="152">
        <f>MouserListTable[[#This Row],[Tot '#]]*MouserListTable[[#This Row],[Price (USD)]]</f>
        <v>14.95</v>
      </c>
    </row>
    <row r="308" spans="1:25" x14ac:dyDescent="0.25">
      <c r="A308" s="150" t="s">
        <v>889</v>
      </c>
      <c r="B308" s="150" t="s">
        <v>986</v>
      </c>
      <c r="C308" s="150" t="s">
        <v>5</v>
      </c>
      <c r="D308" s="151" t="str">
        <f>IF(MouserListTable[[#This Row],[Vendor]]=FilterSpecs!$A$8,MouserListTable[[#This Row],[Mouser SKU]], MouserListTable[[#This Row],[Supplier SKU]])</f>
        <v>474-PRT-12614</v>
      </c>
      <c r="E308" s="152">
        <f>MouserListTable[[#This Row],[Tot '#]]-MouserListTable[[#This Row],['# Initial]]</f>
        <v>1</v>
      </c>
      <c r="F308" s="152">
        <f>IF(AND(MouserListTable[[#This Row],[Tag]]&lt;&gt;FilterSpecs!$F$12, MouserListTable[[#This Row],[Tag]]&lt;&gt;FilterSpecs!$F$9), MouserListTable[[#This Row],['#/Unit]]*FilterSpecs!$B$3+MouserListTable[[#This Row],[Extra Initial]],0)</f>
        <v>0</v>
      </c>
      <c r="G308" s="150" t="s">
        <v>781</v>
      </c>
      <c r="H308" s="150" t="s">
        <v>782</v>
      </c>
      <c r="I308" s="150" t="s">
        <v>783</v>
      </c>
      <c r="J308" s="150"/>
      <c r="K308" s="154">
        <v>19.95</v>
      </c>
      <c r="L308" s="150" t="s">
        <v>1896</v>
      </c>
      <c r="M308" s="151"/>
      <c r="N308" s="154">
        <f>MouserListTable[[#This Row],['# Initial]]*MouserListTable[[#This Row],[Price (USD)]]</f>
        <v>0</v>
      </c>
      <c r="O308" s="151" t="s">
        <v>780</v>
      </c>
      <c r="P308" s="150">
        <f t="shared" si="4"/>
        <v>295</v>
      </c>
      <c r="Q308" s="150" t="s">
        <v>5</v>
      </c>
      <c r="R30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474-PRT-12614</v>
      </c>
      <c r="S308" s="157" t="str">
        <f>HYPERLINK("https://www.mouser.com/ProductDetail/" &amp;MouserListTable[[#This Row],[Mouser SKU]])</f>
        <v>https://www.mouser.com/ProductDetail/474-PRT-12614</v>
      </c>
      <c r="T308" s="152">
        <v>0</v>
      </c>
      <c r="U308" s="152">
        <v>1</v>
      </c>
      <c r="V308" s="152">
        <v>0</v>
      </c>
      <c r="W308" s="152">
        <f>MouserListTable[[#This Row],['#/Unit]]*FilterSpecs!$C$3+MouserListTable[[#This Row],[Extra]]</f>
        <v>1</v>
      </c>
      <c r="X308" s="152">
        <f>IF(MouserListTable[[#This Row],[Tag]]=FilterSpecs!$F$7,MouserListTable[[#This Row],['#/Unit]]*MouserListTable[[#This Row],[Price (USD)]],0)</f>
        <v>0</v>
      </c>
      <c r="Y308" s="152">
        <f>MouserListTable[[#This Row],[Tot '#]]*MouserListTable[[#This Row],[Price (USD)]]</f>
        <v>19.95</v>
      </c>
    </row>
    <row r="309" spans="1:25" x14ac:dyDescent="0.25">
      <c r="A309" s="97" t="s">
        <v>889</v>
      </c>
      <c r="B309" s="97" t="s">
        <v>986</v>
      </c>
      <c r="C309" s="150" t="s">
        <v>5</v>
      </c>
      <c r="D309" s="151" t="str">
        <f>IF(MouserListTable[[#This Row],[Vendor]]=FilterSpecs!$A$8,MouserListTable[[#This Row],[Mouser SKU]], MouserListTable[[#This Row],[Supplier SKU]])</f>
        <v>474-PRT-12044</v>
      </c>
      <c r="E309" s="152">
        <f>MouserListTable[[#This Row],[Tot '#]]-MouserListTable[[#This Row],['# Initial]]</f>
        <v>0</v>
      </c>
      <c r="F309" s="152">
        <f>IF(AND(MouserListTable[[#This Row],[Tag]]&lt;&gt;FilterSpecs!$F$12, MouserListTable[[#This Row],[Tag]]&lt;&gt;FilterSpecs!$F$9), MouserListTable[[#This Row],['#/Unit]]*FilterSpecs!$B$3+MouserListTable[[#This Row],[Extra Initial]],0)</f>
        <v>0</v>
      </c>
      <c r="G309" s="150" t="s">
        <v>1089</v>
      </c>
      <c r="H309" s="150" t="s">
        <v>1090</v>
      </c>
      <c r="I309" s="150" t="s">
        <v>1091</v>
      </c>
      <c r="J309" s="150">
        <v>1</v>
      </c>
      <c r="K309" s="154">
        <v>3.95</v>
      </c>
      <c r="L309" s="150" t="s">
        <v>1896</v>
      </c>
      <c r="M309" s="150" t="s">
        <v>1296</v>
      </c>
      <c r="N309" s="154">
        <f>MouserListTable[[#This Row],['# Initial]]*MouserListTable[[#This Row],[Price (USD)]]</f>
        <v>0</v>
      </c>
      <c r="O309" s="151" t="s">
        <v>1088</v>
      </c>
      <c r="P309" s="150">
        <f t="shared" si="4"/>
        <v>296</v>
      </c>
      <c r="Q309" s="150" t="s">
        <v>5</v>
      </c>
      <c r="R30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474-PRT-12044</v>
      </c>
      <c r="S309" s="157" t="str">
        <f>HYPERLINK("https://www.mouser.com/ProductDetail/" &amp;MouserListTable[[#This Row],[Mouser SKU]])</f>
        <v>https://www.mouser.com/ProductDetail/474-PRT-12044</v>
      </c>
      <c r="T309" s="152">
        <v>0</v>
      </c>
      <c r="U309" s="152">
        <v>0</v>
      </c>
      <c r="V309" s="152">
        <v>0</v>
      </c>
      <c r="W309" s="152">
        <f>MouserListTable[[#This Row],['#/Unit]]*FilterSpecs!$C$3+MouserListTable[[#This Row],[Extra]]</f>
        <v>0</v>
      </c>
      <c r="X309" s="152">
        <f>IF(MouserListTable[[#This Row],[Tag]]=FilterSpecs!$F$7,MouserListTable[[#This Row],['#/Unit]]*MouserListTable[[#This Row],[Price (USD)]],0)</f>
        <v>0</v>
      </c>
      <c r="Y309" s="152">
        <f>MouserListTable[[#This Row],[Tot '#]]*MouserListTable[[#This Row],[Price (USD)]]</f>
        <v>0</v>
      </c>
    </row>
    <row r="310" spans="1:25" x14ac:dyDescent="0.25">
      <c r="A310" s="150" t="s">
        <v>889</v>
      </c>
      <c r="B310" s="150" t="s">
        <v>986</v>
      </c>
      <c r="C310" s="150" t="s">
        <v>5</v>
      </c>
      <c r="D310" s="151" t="str">
        <f>IF(MouserListTable[[#This Row],[Vendor]]=FilterSpecs!$A$8,MouserListTable[[#This Row],[Mouser SKU]], MouserListTable[[#This Row],[Supplier SKU]])</f>
        <v>474-PRT-12047</v>
      </c>
      <c r="E310" s="152">
        <f>MouserListTable[[#This Row],[Tot '#]]-MouserListTable[[#This Row],['# Initial]]</f>
        <v>0</v>
      </c>
      <c r="F310" s="152">
        <f>IF(AND(MouserListTable[[#This Row],[Tag]]&lt;&gt;FilterSpecs!$F$12, MouserListTable[[#This Row],[Tag]]&lt;&gt;FilterSpecs!$F$9), MouserListTable[[#This Row],['#/Unit]]*FilterSpecs!$B$3+MouserListTable[[#This Row],[Extra Initial]],0)</f>
        <v>20</v>
      </c>
      <c r="G310" s="150" t="s">
        <v>1298</v>
      </c>
      <c r="H310" s="150" t="s">
        <v>1299</v>
      </c>
      <c r="I310" s="150" t="s">
        <v>1300</v>
      </c>
      <c r="J310" s="150">
        <v>1</v>
      </c>
      <c r="K310" s="154">
        <v>3.95</v>
      </c>
      <c r="L310" s="150" t="s">
        <v>1897</v>
      </c>
      <c r="M310" s="150" t="s">
        <v>1296</v>
      </c>
      <c r="N310" s="154">
        <f>MouserListTable[[#This Row],['# Initial]]*MouserListTable[[#This Row],[Price (USD)]]</f>
        <v>79</v>
      </c>
      <c r="O310" s="151" t="s">
        <v>1297</v>
      </c>
      <c r="P310" s="150">
        <f t="shared" si="4"/>
        <v>297</v>
      </c>
      <c r="Q310" s="150" t="s">
        <v>5</v>
      </c>
      <c r="R31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474-PRT-12047</v>
      </c>
      <c r="S310" s="157" t="str">
        <f>HYPERLINK("https://www.mouser.com/ProductDetail/" &amp;MouserListTable[[#This Row],[Mouser SKU]])</f>
        <v>https://www.mouser.com/ProductDetail/474-PRT-12047</v>
      </c>
      <c r="T310" s="152">
        <v>4</v>
      </c>
      <c r="U310" s="152">
        <v>0</v>
      </c>
      <c r="V310" s="152">
        <v>0</v>
      </c>
      <c r="W310" s="152">
        <f>MouserListTable[[#This Row],['#/Unit]]*FilterSpecs!$C$3+MouserListTable[[#This Row],[Extra]]</f>
        <v>20</v>
      </c>
      <c r="X310" s="152">
        <f>IF(MouserListTable[[#This Row],[Tag]]=FilterSpecs!$F$7,MouserListTable[[#This Row],['#/Unit]]*MouserListTable[[#This Row],[Price (USD)]],0)</f>
        <v>15.8</v>
      </c>
      <c r="Y310" s="152">
        <f>MouserListTable[[#This Row],[Tot '#]]*MouserListTable[[#This Row],[Price (USD)]]</f>
        <v>79</v>
      </c>
    </row>
    <row r="311" spans="1:25" x14ac:dyDescent="0.25">
      <c r="A311" s="150" t="s">
        <v>889</v>
      </c>
      <c r="B311" s="150" t="s">
        <v>986</v>
      </c>
      <c r="C311" s="150" t="s">
        <v>1884</v>
      </c>
      <c r="D311" s="151" t="str">
        <f>IF(MouserListTable[[#This Row],[Vendor]]=FilterSpecs!$A$8,MouserListTable[[#This Row],[Mouser SKU]], MouserListTable[[#This Row],[Supplier SKU]])</f>
        <v>485-65</v>
      </c>
      <c r="E311" s="152">
        <f>MouserListTable[[#This Row],[Tot '#]]-MouserListTable[[#This Row],['# Initial]]</f>
        <v>0</v>
      </c>
      <c r="F311" s="152">
        <f>IF(AND(MouserListTable[[#This Row],[Tag]]&lt;&gt;FilterSpecs!$F$12, MouserListTable[[#This Row],[Tag]]&lt;&gt;FilterSpecs!$F$9), MouserListTable[[#This Row],['#/Unit]]*FilterSpecs!$B$3+MouserListTable[[#This Row],[Extra Initial]],0)</f>
        <v>0</v>
      </c>
      <c r="G311" s="150"/>
      <c r="H311" s="150"/>
      <c r="I311" s="150" t="s">
        <v>2090</v>
      </c>
      <c r="J311" s="153"/>
      <c r="K311" s="118">
        <v>4</v>
      </c>
      <c r="L311" s="97" t="s">
        <v>1896</v>
      </c>
      <c r="M311" s="153"/>
      <c r="N311" s="154">
        <f>MouserListTable[[#This Row],['# Initial]]*MouserListTable[[#This Row],[Price (USD)]]</f>
        <v>0</v>
      </c>
      <c r="O311" s="151" t="s">
        <v>2089</v>
      </c>
      <c r="P311" s="150">
        <f t="shared" si="4"/>
        <v>298</v>
      </c>
      <c r="Q311" s="150" t="s">
        <v>1884</v>
      </c>
      <c r="R31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485-65</v>
      </c>
      <c r="S311" s="157" t="str">
        <f>HYPERLINK("https://www.mouser.com/ProductDetail/" &amp;MouserListTable[[#This Row],[Mouser SKU]])</f>
        <v>https://www.mouser.com/ProductDetail/485-65</v>
      </c>
      <c r="T311" s="152">
        <v>0</v>
      </c>
      <c r="U311" s="152">
        <v>0</v>
      </c>
      <c r="V311" s="152">
        <v>0</v>
      </c>
      <c r="W311" s="152">
        <f>MouserListTable[[#This Row],['#/Unit]]*FilterSpecs!$C$3+MouserListTable[[#This Row],[Extra]]</f>
        <v>0</v>
      </c>
      <c r="X311" s="152">
        <f>IF(MouserListTable[[#This Row],[Tag]]=FilterSpecs!$F$7,MouserListTable[[#This Row],['#/Unit]]*MouserListTable[[#This Row],[Price (USD)]],0)</f>
        <v>0</v>
      </c>
      <c r="Y311" s="152">
        <f>MouserListTable[[#This Row],[Tot '#]]*MouserListTable[[#This Row],[Price (USD)]]</f>
        <v>0</v>
      </c>
    </row>
    <row r="312" spans="1:25" x14ac:dyDescent="0.25">
      <c r="A312" s="150" t="s">
        <v>889</v>
      </c>
      <c r="B312" s="150" t="s">
        <v>986</v>
      </c>
      <c r="C312" s="150" t="s">
        <v>5</v>
      </c>
      <c r="D312" s="151" t="str">
        <f>IF(MouserListTable[[#This Row],[Vendor]]=FilterSpecs!$A$8,MouserListTable[[#This Row],[Mouser SKU]], MouserListTable[[#This Row],[Supplier SKU]])</f>
        <v>474-PRT-12699</v>
      </c>
      <c r="E312" s="152">
        <f>MouserListTable[[#This Row],[Tot '#]]-MouserListTable[[#This Row],['# Initial]]</f>
        <v>0</v>
      </c>
      <c r="F312" s="152">
        <f>IF(AND(MouserListTable[[#This Row],[Tag]]&lt;&gt;FilterSpecs!$F$12, MouserListTable[[#This Row],[Tag]]&lt;&gt;FilterSpecs!$F$9), MouserListTable[[#This Row],['#/Unit]]*FilterSpecs!$B$3+MouserListTable[[#This Row],[Extra Initial]],0)</f>
        <v>10</v>
      </c>
      <c r="G312" s="150" t="s">
        <v>926</v>
      </c>
      <c r="H312" s="150" t="s">
        <v>927</v>
      </c>
      <c r="I312" s="150" t="s">
        <v>928</v>
      </c>
      <c r="J312" s="150">
        <v>1</v>
      </c>
      <c r="K312" s="154">
        <v>8.9499999999999993</v>
      </c>
      <c r="L312" s="150" t="s">
        <v>1897</v>
      </c>
      <c r="M312" s="151"/>
      <c r="N312" s="154">
        <f>MouserListTable[[#This Row],['# Initial]]*MouserListTable[[#This Row],[Price (USD)]]</f>
        <v>89.5</v>
      </c>
      <c r="O312" s="151" t="s">
        <v>925</v>
      </c>
      <c r="P312" s="150">
        <f t="shared" si="4"/>
        <v>299</v>
      </c>
      <c r="Q312" s="150" t="s">
        <v>5</v>
      </c>
      <c r="R31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474-PRT-12699</v>
      </c>
      <c r="S312" s="157" t="str">
        <f>HYPERLINK("https://www.mouser.com/ProductDetail/" &amp;MouserListTable[[#This Row],[Mouser SKU]])</f>
        <v>https://www.mouser.com/ProductDetail/474-PRT-12699</v>
      </c>
      <c r="T312" s="152">
        <v>2</v>
      </c>
      <c r="U312" s="152">
        <v>0</v>
      </c>
      <c r="V312" s="152">
        <v>0</v>
      </c>
      <c r="W312" s="152">
        <f>MouserListTable[[#This Row],['#/Unit]]*FilterSpecs!$C$3+MouserListTable[[#This Row],[Extra]]</f>
        <v>10</v>
      </c>
      <c r="X312" s="152">
        <f>IF(MouserListTable[[#This Row],[Tag]]=FilterSpecs!$F$7,MouserListTable[[#This Row],['#/Unit]]*MouserListTable[[#This Row],[Price (USD)]],0)</f>
        <v>17.899999999999999</v>
      </c>
      <c r="Y312" s="152">
        <f>MouserListTable[[#This Row],[Tot '#]]*MouserListTable[[#This Row],[Price (USD)]]</f>
        <v>89.5</v>
      </c>
    </row>
    <row r="313" spans="1:25" x14ac:dyDescent="0.25">
      <c r="A313" s="150" t="s">
        <v>889</v>
      </c>
      <c r="B313" s="150" t="s">
        <v>986</v>
      </c>
      <c r="C313" s="150" t="s">
        <v>5</v>
      </c>
      <c r="D313" s="151" t="str">
        <f>IF(MouserListTable[[#This Row],[Vendor]]=FilterSpecs!$A$8,MouserListTable[[#This Row],[Mouser SKU]], MouserListTable[[#This Row],[Supplier SKU]])</f>
        <v>474-PRT-12070</v>
      </c>
      <c r="E313" s="152">
        <f>MouserListTable[[#This Row],[Tot '#]]-MouserListTable[[#This Row],['# Initial]]</f>
        <v>1</v>
      </c>
      <c r="F313" s="152">
        <f>IF(AND(MouserListTable[[#This Row],[Tag]]&lt;&gt;FilterSpecs!$F$12, MouserListTable[[#This Row],[Tag]]&lt;&gt;FilterSpecs!$F$9), MouserListTable[[#This Row],['#/Unit]]*FilterSpecs!$B$3+MouserListTable[[#This Row],[Extra Initial]],0)</f>
        <v>0</v>
      </c>
      <c r="G313" s="150" t="s">
        <v>1826</v>
      </c>
      <c r="H313" s="150" t="s">
        <v>1827</v>
      </c>
      <c r="I313" s="150" t="s">
        <v>1828</v>
      </c>
      <c r="J313" s="150">
        <v>1</v>
      </c>
      <c r="K313" s="154">
        <v>4.95</v>
      </c>
      <c r="L313" s="150" t="s">
        <v>1896</v>
      </c>
      <c r="M313" s="151"/>
      <c r="N313" s="154">
        <f>MouserListTable[[#This Row],['# Initial]]*MouserListTable[[#This Row],[Price (USD)]]</f>
        <v>0</v>
      </c>
      <c r="O313" s="151" t="s">
        <v>1825</v>
      </c>
      <c r="P313" s="150">
        <f t="shared" si="4"/>
        <v>300</v>
      </c>
      <c r="Q313" s="150" t="s">
        <v>5</v>
      </c>
      <c r="R31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474-PRT-12070</v>
      </c>
      <c r="S313" s="157" t="str">
        <f>HYPERLINK("https://www.mouser.com/ProductDetail/" &amp;MouserListTable[[#This Row],[Mouser SKU]])</f>
        <v>https://www.mouser.com/ProductDetail/474-PRT-12070</v>
      </c>
      <c r="T313" s="152">
        <v>0</v>
      </c>
      <c r="U313" s="152">
        <v>1</v>
      </c>
      <c r="V313" s="152">
        <v>0</v>
      </c>
      <c r="W313" s="152">
        <f>MouserListTable[[#This Row],['#/Unit]]*FilterSpecs!$C$3+MouserListTable[[#This Row],[Extra]]</f>
        <v>1</v>
      </c>
      <c r="X313" s="152">
        <f>IF(MouserListTable[[#This Row],[Tag]]=FilterSpecs!$F$7,MouserListTable[[#This Row],['#/Unit]]*MouserListTable[[#This Row],[Price (USD)]],0)</f>
        <v>0</v>
      </c>
      <c r="Y313" s="152">
        <f>MouserListTable[[#This Row],[Tot '#]]*MouserListTable[[#This Row],[Price (USD)]]</f>
        <v>4.95</v>
      </c>
    </row>
    <row r="314" spans="1:25" x14ac:dyDescent="0.25">
      <c r="A314" s="97" t="s">
        <v>889</v>
      </c>
      <c r="B314" s="97" t="s">
        <v>986</v>
      </c>
      <c r="C314" s="150" t="s">
        <v>5</v>
      </c>
      <c r="D314" s="151" t="str">
        <f>IF(MouserListTable[[#This Row],[Vendor]]=FilterSpecs!$A$8,MouserListTable[[#This Row],[Mouser SKU]], MouserListTable[[#This Row],[Supplier SKU]])</f>
        <v>474-PRT-12702</v>
      </c>
      <c r="E314" s="152">
        <f>MouserListTable[[#This Row],[Tot '#]]-MouserListTable[[#This Row],['# Initial]]</f>
        <v>0</v>
      </c>
      <c r="F314" s="152">
        <f>IF(AND(MouserListTable[[#This Row],[Tag]]&lt;&gt;FilterSpecs!$F$12, MouserListTable[[#This Row],[Tag]]&lt;&gt;FilterSpecs!$F$9), MouserListTable[[#This Row],['#/Unit]]*FilterSpecs!$B$3+MouserListTable[[#This Row],[Extra Initial]],0)</f>
        <v>0</v>
      </c>
      <c r="G314" s="150" t="s">
        <v>1834</v>
      </c>
      <c r="H314" s="150" t="s">
        <v>1835</v>
      </c>
      <c r="I314" s="150" t="s">
        <v>1836</v>
      </c>
      <c r="J314" s="150"/>
      <c r="K314" s="154">
        <v>2.95</v>
      </c>
      <c r="L314" s="150" t="s">
        <v>1896</v>
      </c>
      <c r="M314" s="153"/>
      <c r="N314" s="154">
        <f>MouserListTable[[#This Row],['# Initial]]*MouserListTable[[#This Row],[Price (USD)]]</f>
        <v>0</v>
      </c>
      <c r="O314" s="151" t="s">
        <v>1833</v>
      </c>
      <c r="P314" s="150">
        <f t="shared" si="4"/>
        <v>301</v>
      </c>
      <c r="Q314" s="150" t="s">
        <v>5</v>
      </c>
      <c r="R31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474-PRT-12702</v>
      </c>
      <c r="S314" s="157" t="str">
        <f>HYPERLINK("https://www.mouser.com/ProductDetail/" &amp;MouserListTable[[#This Row],[Mouser SKU]])</f>
        <v>https://www.mouser.com/ProductDetail/474-PRT-12702</v>
      </c>
      <c r="T314" s="152">
        <v>0</v>
      </c>
      <c r="U314" s="152">
        <v>0</v>
      </c>
      <c r="V314" s="152">
        <v>0</v>
      </c>
      <c r="W314" s="152">
        <f>MouserListTable[[#This Row],['#/Unit]]*FilterSpecs!$C$3+MouserListTable[[#This Row],[Extra]]</f>
        <v>0</v>
      </c>
      <c r="X314" s="152">
        <f>IF(MouserListTable[[#This Row],[Tag]]=FilterSpecs!$F$7,MouserListTable[[#This Row],['#/Unit]]*MouserListTable[[#This Row],[Price (USD)]],0)</f>
        <v>0</v>
      </c>
      <c r="Y314" s="152">
        <f>MouserListTable[[#This Row],[Tot '#]]*MouserListTable[[#This Row],[Price (USD)]]</f>
        <v>0</v>
      </c>
    </row>
    <row r="315" spans="1:25" x14ac:dyDescent="0.25">
      <c r="A315" s="150" t="s">
        <v>889</v>
      </c>
      <c r="B315" s="150" t="s">
        <v>986</v>
      </c>
      <c r="C315" s="150" t="s">
        <v>5</v>
      </c>
      <c r="D315" s="151" t="str">
        <f>IF(MouserListTable[[#This Row],[Vendor]]=FilterSpecs!$A$8,MouserListTable[[#This Row],[Mouser SKU]], MouserListTable[[#This Row],[Supplier SKU]])</f>
        <v>474-DEV-07914</v>
      </c>
      <c r="E315" s="152">
        <f>MouserListTable[[#This Row],[Tot '#]]-MouserListTable[[#This Row],['# Initial]]</f>
        <v>1</v>
      </c>
      <c r="F315" s="152">
        <f>IF(AND(MouserListTable[[#This Row],[Tag]]&lt;&gt;FilterSpecs!$F$12, MouserListTable[[#This Row],[Tag]]&lt;&gt;FilterSpecs!$F$9), MouserListTable[[#This Row],['#/Unit]]*FilterSpecs!$B$3+MouserListTable[[#This Row],[Extra Initial]],0)</f>
        <v>5</v>
      </c>
      <c r="G315" s="150" t="s">
        <v>1758</v>
      </c>
      <c r="H315" s="150" t="s">
        <v>1759</v>
      </c>
      <c r="I315" s="150" t="s">
        <v>1760</v>
      </c>
      <c r="J315" s="150">
        <v>1</v>
      </c>
      <c r="K315" s="154">
        <v>9.9499999999999993</v>
      </c>
      <c r="L315" s="150" t="s">
        <v>1897</v>
      </c>
      <c r="M315" s="151"/>
      <c r="N315" s="154">
        <f>MouserListTable[[#This Row],['# Initial]]*MouserListTable[[#This Row],[Price (USD)]]</f>
        <v>49.75</v>
      </c>
      <c r="O315" s="151" t="s">
        <v>1757</v>
      </c>
      <c r="P315" s="150">
        <f t="shared" si="4"/>
        <v>302</v>
      </c>
      <c r="Q315" s="150" t="s">
        <v>5</v>
      </c>
      <c r="R31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474-DEV-07914</v>
      </c>
      <c r="S315" s="157" t="str">
        <f>HYPERLINK("https://www.mouser.com/ProductDetail/" &amp;MouserListTable[[#This Row],[Mouser SKU]])</f>
        <v>https://www.mouser.com/ProductDetail/474-DEV-07914</v>
      </c>
      <c r="T315" s="152">
        <v>1</v>
      </c>
      <c r="U315" s="152">
        <v>1</v>
      </c>
      <c r="V315" s="152">
        <v>0</v>
      </c>
      <c r="W315" s="152">
        <f>MouserListTable[[#This Row],['#/Unit]]*FilterSpecs!$C$3+MouserListTable[[#This Row],[Extra]]</f>
        <v>6</v>
      </c>
      <c r="X315" s="152">
        <f>IF(MouserListTable[[#This Row],[Tag]]=FilterSpecs!$F$7,MouserListTable[[#This Row],['#/Unit]]*MouserListTable[[#This Row],[Price (USD)]],0)</f>
        <v>9.9499999999999993</v>
      </c>
      <c r="Y315" s="152">
        <f>MouserListTable[[#This Row],[Tot '#]]*MouserListTable[[#This Row],[Price (USD)]]</f>
        <v>59.699999999999996</v>
      </c>
    </row>
    <row r="316" spans="1:25" x14ac:dyDescent="0.25">
      <c r="A316" s="150" t="s">
        <v>889</v>
      </c>
      <c r="B316" s="150" t="s">
        <v>986</v>
      </c>
      <c r="C316" s="150" t="s">
        <v>1884</v>
      </c>
      <c r="D316" s="151" t="str">
        <f>IF(MouserListTable[[#This Row],[Vendor]]=FilterSpecs!$A$8,MouserListTable[[#This Row],[Mouser SKU]], MouserListTable[[#This Row],[Supplier SKU]])</f>
        <v>485-2077</v>
      </c>
      <c r="E316" s="152">
        <f>MouserListTable[[#This Row],[Tot '#]]-MouserListTable[[#This Row],['# Initial]]</f>
        <v>0</v>
      </c>
      <c r="F316" s="152">
        <f>IF(AND(MouserListTable[[#This Row],[Tag]]&lt;&gt;FilterSpecs!$F$12, MouserListTable[[#This Row],[Tag]]&lt;&gt;FilterSpecs!$F$9), MouserListTable[[#This Row],['#/Unit]]*FilterSpecs!$B$3+MouserListTable[[#This Row],[Extra Initial]],0)</f>
        <v>0</v>
      </c>
      <c r="G316" s="150"/>
      <c r="H316" s="150"/>
      <c r="I316" s="150" t="s">
        <v>2076</v>
      </c>
      <c r="J316" s="153"/>
      <c r="K316" s="118">
        <v>9.9499999999999993</v>
      </c>
      <c r="L316" s="97" t="s">
        <v>1896</v>
      </c>
      <c r="M316" s="153"/>
      <c r="N316" s="154">
        <f>MouserListTable[[#This Row],['# Initial]]*MouserListTable[[#This Row],[Price (USD)]]</f>
        <v>0</v>
      </c>
      <c r="O316" s="151" t="s">
        <v>2075</v>
      </c>
      <c r="P316" s="150">
        <f t="shared" si="4"/>
        <v>303</v>
      </c>
      <c r="Q316" s="150" t="s">
        <v>1884</v>
      </c>
      <c r="R31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485-2077</v>
      </c>
      <c r="S316" s="157" t="str">
        <f>HYPERLINK("https://www.mouser.com/ProductDetail/" &amp;MouserListTable[[#This Row],[Mouser SKU]])</f>
        <v>https://www.mouser.com/ProductDetail/485-2077</v>
      </c>
      <c r="T316" s="152">
        <v>0</v>
      </c>
      <c r="U316" s="152">
        <v>0</v>
      </c>
      <c r="V316" s="152">
        <v>0</v>
      </c>
      <c r="W316" s="152">
        <f>MouserListTable[[#This Row],['#/Unit]]*FilterSpecs!$C$3+MouserListTable[[#This Row],[Extra]]</f>
        <v>0</v>
      </c>
      <c r="X316" s="152">
        <f>IF(MouserListTable[[#This Row],[Tag]]=FilterSpecs!$F$7,MouserListTable[[#This Row],['#/Unit]]*MouserListTable[[#This Row],[Price (USD)]],0)</f>
        <v>0</v>
      </c>
      <c r="Y316" s="152">
        <f>MouserListTable[[#This Row],[Tot '#]]*MouserListTable[[#This Row],[Price (USD)]]</f>
        <v>0</v>
      </c>
    </row>
    <row r="317" spans="1:25" x14ac:dyDescent="0.25">
      <c r="A317" s="150" t="s">
        <v>889</v>
      </c>
      <c r="B317" s="150" t="s">
        <v>986</v>
      </c>
      <c r="C317" s="150" t="s">
        <v>1884</v>
      </c>
      <c r="D317" s="151" t="str">
        <f>IF(MouserListTable[[#This Row],[Vendor]]=FilterSpecs!$A$8,MouserListTable[[#This Row],[Mouser SKU]], MouserListTable[[#This Row],[Supplier SKU]])</f>
        <v>485-196</v>
      </c>
      <c r="E317" s="152">
        <f>MouserListTable[[#This Row],[Tot '#]]-MouserListTable[[#This Row],['# Initial]]</f>
        <v>0</v>
      </c>
      <c r="F317" s="152">
        <f>IF(AND(MouserListTable[[#This Row],[Tag]]&lt;&gt;FilterSpecs!$F$12, MouserListTable[[#This Row],[Tag]]&lt;&gt;FilterSpecs!$F$9), MouserListTable[[#This Row],['#/Unit]]*FilterSpecs!$B$3+MouserListTable[[#This Row],[Extra Initial]],0)</f>
        <v>0</v>
      </c>
      <c r="G317" s="150"/>
      <c r="H317" s="150"/>
      <c r="I317" s="150" t="s">
        <v>2088</v>
      </c>
      <c r="J317" s="153"/>
      <c r="K317" s="118">
        <v>14.95</v>
      </c>
      <c r="L317" s="97" t="s">
        <v>1896</v>
      </c>
      <c r="M317" s="153"/>
      <c r="N317" s="154">
        <f>MouserListTable[[#This Row],['# Initial]]*MouserListTable[[#This Row],[Price (USD)]]</f>
        <v>0</v>
      </c>
      <c r="O317" s="151" t="s">
        <v>2087</v>
      </c>
      <c r="P317" s="150">
        <f t="shared" si="4"/>
        <v>304</v>
      </c>
      <c r="Q317" s="150" t="s">
        <v>1884</v>
      </c>
      <c r="R31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485-196</v>
      </c>
      <c r="S317" s="157" t="str">
        <f>HYPERLINK("https://www.mouser.com/ProductDetail/" &amp;MouserListTable[[#This Row],[Mouser SKU]])</f>
        <v>https://www.mouser.com/ProductDetail/485-196</v>
      </c>
      <c r="T317" s="152">
        <v>0</v>
      </c>
      <c r="U317" s="152">
        <v>0</v>
      </c>
      <c r="V317" s="152">
        <v>0</v>
      </c>
      <c r="W317" s="152">
        <f>MouserListTable[[#This Row],['#/Unit]]*FilterSpecs!$C$3+MouserListTable[[#This Row],[Extra]]</f>
        <v>0</v>
      </c>
      <c r="X317" s="152">
        <f>IF(MouserListTable[[#This Row],[Tag]]=FilterSpecs!$F$7,MouserListTable[[#This Row],['#/Unit]]*MouserListTable[[#This Row],[Price (USD)]],0)</f>
        <v>0</v>
      </c>
      <c r="Y317" s="152">
        <f>MouserListTable[[#This Row],[Tot '#]]*MouserListTable[[#This Row],[Price (USD)]]</f>
        <v>0</v>
      </c>
    </row>
    <row r="318" spans="1:25" x14ac:dyDescent="0.25">
      <c r="A318" s="150" t="s">
        <v>889</v>
      </c>
      <c r="B318" s="150" t="s">
        <v>986</v>
      </c>
      <c r="C318" s="150" t="s">
        <v>1884</v>
      </c>
      <c r="D318" s="151" t="str">
        <f>IF(MouserListTable[[#This Row],[Vendor]]=FilterSpecs!$A$8,MouserListTable[[#This Row],[Mouser SKU]], MouserListTable[[#This Row],[Supplier SKU]])</f>
        <v>485-192</v>
      </c>
      <c r="E318" s="152">
        <f>MouserListTable[[#This Row],[Tot '#]]-MouserListTable[[#This Row],['# Initial]]</f>
        <v>0</v>
      </c>
      <c r="F318" s="152">
        <f>IF(AND(MouserListTable[[#This Row],[Tag]]&lt;&gt;FilterSpecs!$F$12, MouserListTable[[#This Row],[Tag]]&lt;&gt;FilterSpecs!$F$9), MouserListTable[[#This Row],['#/Unit]]*FilterSpecs!$B$3+MouserListTable[[#This Row],[Extra Initial]],0)</f>
        <v>0</v>
      </c>
      <c r="G318" s="150"/>
      <c r="H318" s="150"/>
      <c r="I318" s="150" t="s">
        <v>2080</v>
      </c>
      <c r="J318" s="153"/>
      <c r="K318" s="118">
        <v>14.95</v>
      </c>
      <c r="L318" s="97" t="s">
        <v>1896</v>
      </c>
      <c r="M318" s="153"/>
      <c r="N318" s="154">
        <f>MouserListTable[[#This Row],['# Initial]]*MouserListTable[[#This Row],[Price (USD)]]</f>
        <v>0</v>
      </c>
      <c r="O318" s="151" t="s">
        <v>2079</v>
      </c>
      <c r="P318" s="150">
        <f t="shared" si="4"/>
        <v>305</v>
      </c>
      <c r="Q318" s="150" t="s">
        <v>1884</v>
      </c>
      <c r="R31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485-192</v>
      </c>
      <c r="S318" s="157" t="str">
        <f>HYPERLINK("https://www.mouser.com/ProductDetail/" &amp;MouserListTable[[#This Row],[Mouser SKU]])</f>
        <v>https://www.mouser.com/ProductDetail/485-192</v>
      </c>
      <c r="T318" s="152">
        <v>0</v>
      </c>
      <c r="U318" s="152">
        <v>0</v>
      </c>
      <c r="V318" s="152">
        <v>0</v>
      </c>
      <c r="W318" s="152">
        <f>MouserListTable[[#This Row],['#/Unit]]*FilterSpecs!$C$3+MouserListTable[[#This Row],[Extra]]</f>
        <v>0</v>
      </c>
      <c r="X318" s="152">
        <f>IF(MouserListTable[[#This Row],[Tag]]=FilterSpecs!$F$7,MouserListTable[[#This Row],['#/Unit]]*MouserListTable[[#This Row],[Price (USD)]],0)</f>
        <v>0</v>
      </c>
      <c r="Y318" s="152">
        <f>MouserListTable[[#This Row],[Tot '#]]*MouserListTable[[#This Row],[Price (USD)]]</f>
        <v>0</v>
      </c>
    </row>
    <row r="319" spans="1:25" x14ac:dyDescent="0.25">
      <c r="A319" s="150" t="s">
        <v>889</v>
      </c>
      <c r="B319" s="150" t="s">
        <v>986</v>
      </c>
      <c r="C319" s="150" t="s">
        <v>1884</v>
      </c>
      <c r="D319" s="151" t="str">
        <f>IF(MouserListTable[[#This Row],[Vendor]]=FilterSpecs!$A$8,MouserListTable[[#This Row],[Mouser SKU]], MouserListTable[[#This Row],[Supplier SKU]])</f>
        <v>485-443</v>
      </c>
      <c r="E319" s="152">
        <f>MouserListTable[[#This Row],[Tot '#]]-MouserListTable[[#This Row],['# Initial]]</f>
        <v>0</v>
      </c>
      <c r="F319" s="152">
        <f>IF(AND(MouserListTable[[#This Row],[Tag]]&lt;&gt;FilterSpecs!$F$12, MouserListTable[[#This Row],[Tag]]&lt;&gt;FilterSpecs!$F$9), MouserListTable[[#This Row],['#/Unit]]*FilterSpecs!$B$3+MouserListTable[[#This Row],[Extra Initial]],0)</f>
        <v>0</v>
      </c>
      <c r="G319" s="150"/>
      <c r="H319" s="150"/>
      <c r="I319" s="150" t="s">
        <v>2078</v>
      </c>
      <c r="J319" s="153"/>
      <c r="K319" s="118">
        <v>19.95</v>
      </c>
      <c r="L319" s="97" t="s">
        <v>1896</v>
      </c>
      <c r="M319" s="153"/>
      <c r="N319" s="154">
        <f>MouserListTable[[#This Row],['# Initial]]*MouserListTable[[#This Row],[Price (USD)]]</f>
        <v>0</v>
      </c>
      <c r="O319" s="151" t="s">
        <v>2077</v>
      </c>
      <c r="P319" s="150">
        <f t="shared" si="4"/>
        <v>306</v>
      </c>
      <c r="Q319" s="150" t="s">
        <v>1884</v>
      </c>
      <c r="R31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485-443</v>
      </c>
      <c r="S319" s="157" t="str">
        <f>HYPERLINK("https://www.mouser.com/ProductDetail/" &amp;MouserListTable[[#This Row],[Mouser SKU]])</f>
        <v>https://www.mouser.com/ProductDetail/485-443</v>
      </c>
      <c r="T319" s="152">
        <v>0</v>
      </c>
      <c r="U319" s="152">
        <v>0</v>
      </c>
      <c r="V319" s="152">
        <v>0</v>
      </c>
      <c r="W319" s="152">
        <f>MouserListTable[[#This Row],['#/Unit]]*FilterSpecs!$C$3+MouserListTable[[#This Row],[Extra]]</f>
        <v>0</v>
      </c>
      <c r="X319" s="152">
        <f>IF(MouserListTable[[#This Row],[Tag]]=FilterSpecs!$F$7,MouserListTable[[#This Row],['#/Unit]]*MouserListTable[[#This Row],[Price (USD)]],0)</f>
        <v>0</v>
      </c>
      <c r="Y319" s="152">
        <f>MouserListTable[[#This Row],[Tot '#]]*MouserListTable[[#This Row],[Price (USD)]]</f>
        <v>0</v>
      </c>
    </row>
    <row r="320" spans="1:25" x14ac:dyDescent="0.25">
      <c r="A320" s="150" t="s">
        <v>889</v>
      </c>
      <c r="B320" s="150" t="s">
        <v>986</v>
      </c>
      <c r="C320" s="150" t="s">
        <v>1884</v>
      </c>
      <c r="D320" s="151" t="str">
        <f>IF(MouserListTable[[#This Row],[Vendor]]=FilterSpecs!$A$8,MouserListTable[[#This Row],[Mouser SKU]], MouserListTable[[#This Row],[Supplier SKU]])</f>
        <v>485-2017</v>
      </c>
      <c r="E320" s="152">
        <f>MouserListTable[[#This Row],[Tot '#]]-MouserListTable[[#This Row],['# Initial]]</f>
        <v>0</v>
      </c>
      <c r="F320" s="152">
        <f>IF(AND(MouserListTable[[#This Row],[Tag]]&lt;&gt;FilterSpecs!$F$12, MouserListTable[[#This Row],[Tag]]&lt;&gt;FilterSpecs!$F$9), MouserListTable[[#This Row],['#/Unit]]*FilterSpecs!$B$3+MouserListTable[[#This Row],[Extra Initial]],0)</f>
        <v>0</v>
      </c>
      <c r="G320" s="150"/>
      <c r="H320" s="150"/>
      <c r="I320" s="150" t="s">
        <v>2082</v>
      </c>
      <c r="J320" s="153"/>
      <c r="K320" s="118">
        <v>0.75</v>
      </c>
      <c r="L320" s="97" t="s">
        <v>1896</v>
      </c>
      <c r="M320" s="153"/>
      <c r="N320" s="154">
        <f>MouserListTable[[#This Row],['# Initial]]*MouserListTable[[#This Row],[Price (USD)]]</f>
        <v>0</v>
      </c>
      <c r="O320" s="151" t="s">
        <v>2081</v>
      </c>
      <c r="P320" s="150">
        <f t="shared" si="4"/>
        <v>307</v>
      </c>
      <c r="Q320" s="150" t="s">
        <v>1884</v>
      </c>
      <c r="R32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485-2017</v>
      </c>
      <c r="S320" s="157" t="str">
        <f>HYPERLINK("https://www.mouser.com/ProductDetail/" &amp;MouserListTable[[#This Row],[Mouser SKU]])</f>
        <v>https://www.mouser.com/ProductDetail/485-2017</v>
      </c>
      <c r="T320" s="152">
        <v>0</v>
      </c>
      <c r="U320" s="152">
        <v>0</v>
      </c>
      <c r="V320" s="152">
        <v>0</v>
      </c>
      <c r="W320" s="152">
        <f>MouserListTable[[#This Row],['#/Unit]]*FilterSpecs!$C$3+MouserListTable[[#This Row],[Extra]]</f>
        <v>0</v>
      </c>
      <c r="X320" s="152">
        <f>IF(MouserListTable[[#This Row],[Tag]]=FilterSpecs!$F$7,MouserListTable[[#This Row],['#/Unit]]*MouserListTable[[#This Row],[Price (USD)]],0)</f>
        <v>0</v>
      </c>
      <c r="Y320" s="152">
        <f>MouserListTable[[#This Row],[Tot '#]]*MouserListTable[[#This Row],[Price (USD)]]</f>
        <v>0</v>
      </c>
    </row>
    <row r="321" spans="1:25" x14ac:dyDescent="0.25">
      <c r="A321" s="150" t="s">
        <v>889</v>
      </c>
      <c r="B321" s="150" t="s">
        <v>986</v>
      </c>
      <c r="C321" s="150" t="s">
        <v>1884</v>
      </c>
      <c r="D321" s="151" t="str">
        <f>IF(MouserListTable[[#This Row],[Vendor]]=FilterSpecs!$A$8,MouserListTable[[#This Row],[Mouser SKU]], MouserListTable[[#This Row],[Supplier SKU]])</f>
        <v>485-2018</v>
      </c>
      <c r="E321" s="152">
        <f>MouserListTable[[#This Row],[Tot '#]]-MouserListTable[[#This Row],['# Initial]]</f>
        <v>0</v>
      </c>
      <c r="F321" s="152">
        <f>IF(AND(MouserListTable[[#This Row],[Tag]]&lt;&gt;FilterSpecs!$F$12, MouserListTable[[#This Row],[Tag]]&lt;&gt;FilterSpecs!$F$9), MouserListTable[[#This Row],['#/Unit]]*FilterSpecs!$B$3+MouserListTable[[#This Row],[Extra Initial]],0)</f>
        <v>0</v>
      </c>
      <c r="G321" s="150"/>
      <c r="H321" s="150"/>
      <c r="I321" s="150" t="s">
        <v>2084</v>
      </c>
      <c r="J321" s="153"/>
      <c r="K321" s="118">
        <v>0.95</v>
      </c>
      <c r="L321" s="97" t="s">
        <v>1896</v>
      </c>
      <c r="M321" s="153"/>
      <c r="N321" s="154">
        <f>MouserListTable[[#This Row],['# Initial]]*MouserListTable[[#This Row],[Price (USD)]]</f>
        <v>0</v>
      </c>
      <c r="O321" s="151" t="s">
        <v>2083</v>
      </c>
      <c r="P321" s="150">
        <f t="shared" si="4"/>
        <v>308</v>
      </c>
      <c r="Q321" s="150" t="s">
        <v>1884</v>
      </c>
      <c r="R32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485-2018</v>
      </c>
      <c r="S321" s="157" t="str">
        <f>HYPERLINK("https://www.mouser.com/ProductDetail/" &amp;MouserListTable[[#This Row],[Mouser SKU]])</f>
        <v>https://www.mouser.com/ProductDetail/485-2018</v>
      </c>
      <c r="T321" s="152">
        <v>0</v>
      </c>
      <c r="U321" s="152">
        <v>0</v>
      </c>
      <c r="V321" s="152">
        <v>0</v>
      </c>
      <c r="W321" s="152">
        <f>MouserListTable[[#This Row],['#/Unit]]*FilterSpecs!$C$3+MouserListTable[[#This Row],[Extra]]</f>
        <v>0</v>
      </c>
      <c r="X321" s="152">
        <f>IF(MouserListTable[[#This Row],[Tag]]=FilterSpecs!$F$7,MouserListTable[[#This Row],['#/Unit]]*MouserListTable[[#This Row],[Price (USD)]],0)</f>
        <v>0</v>
      </c>
      <c r="Y321" s="152">
        <f>MouserListTable[[#This Row],[Tot '#]]*MouserListTable[[#This Row],[Price (USD)]]</f>
        <v>0</v>
      </c>
    </row>
    <row r="322" spans="1:25" x14ac:dyDescent="0.25">
      <c r="A322" s="150" t="s">
        <v>889</v>
      </c>
      <c r="B322" s="150" t="s">
        <v>986</v>
      </c>
      <c r="C322" s="150" t="s">
        <v>1884</v>
      </c>
      <c r="D322" s="151" t="str">
        <f>IF(MouserListTable[[#This Row],[Vendor]]=FilterSpecs!$A$8,MouserListTable[[#This Row],[Mouser SKU]], MouserListTable[[#This Row],[Supplier SKU]])</f>
        <v>485-2463</v>
      </c>
      <c r="E322" s="152">
        <f>MouserListTable[[#This Row],[Tot '#]]-MouserListTable[[#This Row],['# Initial]]</f>
        <v>0</v>
      </c>
      <c r="F322" s="152">
        <f>IF(AND(MouserListTable[[#This Row],[Tag]]&lt;&gt;FilterSpecs!$F$12, MouserListTable[[#This Row],[Tag]]&lt;&gt;FilterSpecs!$F$9), MouserListTable[[#This Row],['#/Unit]]*FilterSpecs!$B$3+MouserListTable[[#This Row],[Extra Initial]],0)</f>
        <v>0</v>
      </c>
      <c r="G322" s="150"/>
      <c r="H322" s="150"/>
      <c r="I322" s="150" t="s">
        <v>2086</v>
      </c>
      <c r="J322" s="153"/>
      <c r="K322" s="118">
        <v>0.95</v>
      </c>
      <c r="L322" s="97" t="s">
        <v>1896</v>
      </c>
      <c r="M322" s="153"/>
      <c r="N322" s="154">
        <f>MouserListTable[[#This Row],['# Initial]]*MouserListTable[[#This Row],[Price (USD)]]</f>
        <v>0</v>
      </c>
      <c r="O322" s="151" t="s">
        <v>2085</v>
      </c>
      <c r="P322" s="150">
        <f t="shared" si="4"/>
        <v>309</v>
      </c>
      <c r="Q322" s="150" t="s">
        <v>1884</v>
      </c>
      <c r="R32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485-2463</v>
      </c>
      <c r="S322" s="157" t="str">
        <f>HYPERLINK("https://www.mouser.com/ProductDetail/" &amp;MouserListTable[[#This Row],[Mouser SKU]])</f>
        <v>https://www.mouser.com/ProductDetail/485-2463</v>
      </c>
      <c r="T322" s="152">
        <v>0</v>
      </c>
      <c r="U322" s="152">
        <v>0</v>
      </c>
      <c r="V322" s="152">
        <v>0</v>
      </c>
      <c r="W322" s="152">
        <f>MouserListTable[[#This Row],['#/Unit]]*FilterSpecs!$C$3+MouserListTable[[#This Row],[Extra]]</f>
        <v>0</v>
      </c>
      <c r="X322" s="152">
        <f>IF(MouserListTable[[#This Row],[Tag]]=FilterSpecs!$F$7,MouserListTable[[#This Row],['#/Unit]]*MouserListTable[[#This Row],[Price (USD)]],0)</f>
        <v>0</v>
      </c>
      <c r="Y322" s="152">
        <f>MouserListTable[[#This Row],[Tot '#]]*MouserListTable[[#This Row],[Price (USD)]]</f>
        <v>0</v>
      </c>
    </row>
    <row r="323" spans="1:25" x14ac:dyDescent="0.25">
      <c r="A323" s="150" t="s">
        <v>889</v>
      </c>
      <c r="B323" s="150" t="s">
        <v>986</v>
      </c>
      <c r="C323" s="150" t="s">
        <v>5</v>
      </c>
      <c r="D323" s="151" t="str">
        <f>IF(MouserListTable[[#This Row],[Vendor]]=FilterSpecs!$A$8,MouserListTable[[#This Row],[Mouser SKU]], MouserListTable[[#This Row],[Supplier SKU]])</f>
        <v>474-PRT-13268</v>
      </c>
      <c r="E323" s="152">
        <f>MouserListTable[[#This Row],[Tot '#]]-MouserListTable[[#This Row],['# Initial]]</f>
        <v>0</v>
      </c>
      <c r="F323" s="152">
        <f>IF(AND(MouserListTable[[#This Row],[Tag]]&lt;&gt;FilterSpecs!$F$12, MouserListTable[[#This Row],[Tag]]&lt;&gt;FilterSpecs!$F$9), MouserListTable[[#This Row],['#/Unit]]*FilterSpecs!$B$3+MouserListTable[[#This Row],[Extra Initial]],0)</f>
        <v>2</v>
      </c>
      <c r="G323" s="150" t="s">
        <v>938</v>
      </c>
      <c r="H323" s="150" t="s">
        <v>939</v>
      </c>
      <c r="I323" s="150" t="s">
        <v>940</v>
      </c>
      <c r="J323" s="150">
        <v>1</v>
      </c>
      <c r="K323" s="154">
        <v>7.95</v>
      </c>
      <c r="L323" s="150" t="s">
        <v>1896</v>
      </c>
      <c r="M323" s="151"/>
      <c r="N323" s="154">
        <f>MouserListTable[[#This Row],['# Initial]]*MouserListTable[[#This Row],[Price (USD)]]</f>
        <v>15.9</v>
      </c>
      <c r="O323" s="151" t="s">
        <v>937</v>
      </c>
      <c r="P323" s="150">
        <f t="shared" si="4"/>
        <v>310</v>
      </c>
      <c r="Q323" s="150" t="s">
        <v>5</v>
      </c>
      <c r="R32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474-PRT-13268</v>
      </c>
      <c r="S323" s="157" t="str">
        <f>HYPERLINK("https://www.mouser.com/ProductDetail/" &amp;MouserListTable[[#This Row],[Mouser SKU]])</f>
        <v>https://www.mouser.com/ProductDetail/474-PRT-13268</v>
      </c>
      <c r="T323" s="152">
        <v>0</v>
      </c>
      <c r="U323" s="152">
        <v>2</v>
      </c>
      <c r="V323" s="152">
        <v>2</v>
      </c>
      <c r="W323" s="152">
        <f>MouserListTable[[#This Row],['#/Unit]]*FilterSpecs!$C$3+MouserListTable[[#This Row],[Extra]]</f>
        <v>2</v>
      </c>
      <c r="X323" s="152">
        <f>IF(MouserListTable[[#This Row],[Tag]]=FilterSpecs!$F$7,MouserListTable[[#This Row],['#/Unit]]*MouserListTable[[#This Row],[Price (USD)]],0)</f>
        <v>0</v>
      </c>
      <c r="Y323" s="152">
        <f>MouserListTable[[#This Row],[Tot '#]]*MouserListTable[[#This Row],[Price (USD)]]</f>
        <v>15.9</v>
      </c>
    </row>
    <row r="324" spans="1:25" x14ac:dyDescent="0.25">
      <c r="A324" s="150" t="s">
        <v>889</v>
      </c>
      <c r="B324" s="150" t="s">
        <v>986</v>
      </c>
      <c r="C324" s="150" t="s">
        <v>5</v>
      </c>
      <c r="D324" s="151" t="str">
        <f>IF(MouserListTable[[#This Row],[Vendor]]=FilterSpecs!$A$8,MouserListTable[[#This Row],[Mouser SKU]], MouserListTable[[#This Row],[Supplier SKU]])</f>
        <v>474-DEV-13317</v>
      </c>
      <c r="E324" s="152">
        <f>MouserListTable[[#This Row],[Tot '#]]-MouserListTable[[#This Row],['# Initial]]</f>
        <v>0</v>
      </c>
      <c r="F324" s="152">
        <f>IF(AND(MouserListTable[[#This Row],[Tag]]&lt;&gt;FilterSpecs!$F$12, MouserListTable[[#This Row],[Tag]]&lt;&gt;FilterSpecs!$F$9), MouserListTable[[#This Row],['#/Unit]]*FilterSpecs!$B$3+MouserListTable[[#This Row],[Extra Initial]],0)</f>
        <v>10</v>
      </c>
      <c r="G324" s="150" t="s">
        <v>934</v>
      </c>
      <c r="H324" s="150" t="s">
        <v>935</v>
      </c>
      <c r="I324" s="150" t="s">
        <v>936</v>
      </c>
      <c r="J324" s="150">
        <v>1</v>
      </c>
      <c r="K324" s="154">
        <v>7.95</v>
      </c>
      <c r="L324" s="150" t="s">
        <v>1897</v>
      </c>
      <c r="M324" s="151"/>
      <c r="N324" s="154">
        <f>MouserListTable[[#This Row],['# Initial]]*MouserListTable[[#This Row],[Price (USD)]]</f>
        <v>79.5</v>
      </c>
      <c r="O324" s="151" t="s">
        <v>933</v>
      </c>
      <c r="P324" s="150">
        <f t="shared" si="4"/>
        <v>311</v>
      </c>
      <c r="Q324" s="150" t="s">
        <v>5</v>
      </c>
      <c r="R32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474-DEV-13317</v>
      </c>
      <c r="S324" s="157" t="str">
        <f>HYPERLINK("https://www.mouser.com/ProductDetail/" &amp;MouserListTable[[#This Row],[Mouser SKU]])</f>
        <v>https://www.mouser.com/ProductDetail/474-DEV-13317</v>
      </c>
      <c r="T324" s="152">
        <v>2</v>
      </c>
      <c r="U324" s="152">
        <v>0</v>
      </c>
      <c r="V324" s="152">
        <v>0</v>
      </c>
      <c r="W324" s="152">
        <f>MouserListTable[[#This Row],['#/Unit]]*FilterSpecs!$C$3+MouserListTable[[#This Row],[Extra]]</f>
        <v>10</v>
      </c>
      <c r="X324" s="152">
        <f>IF(MouserListTable[[#This Row],[Tag]]=FilterSpecs!$F$7,MouserListTable[[#This Row],['#/Unit]]*MouserListTable[[#This Row],[Price (USD)]],0)</f>
        <v>15.9</v>
      </c>
      <c r="Y324" s="152">
        <f>MouserListTable[[#This Row],[Tot '#]]*MouserListTable[[#This Row],[Price (USD)]]</f>
        <v>79.5</v>
      </c>
    </row>
    <row r="325" spans="1:25" x14ac:dyDescent="0.25">
      <c r="A325" s="150" t="s">
        <v>889</v>
      </c>
      <c r="B325" s="150" t="s">
        <v>1288</v>
      </c>
      <c r="C325" s="150" t="s">
        <v>5</v>
      </c>
      <c r="D325" s="151" t="str">
        <f>IF(MouserListTable[[#This Row],[Vendor]]=FilterSpecs!$A$8,MouserListTable[[#This Row],[Mouser SKU]], MouserListTable[[#This Row],[Supplier SKU]])</f>
        <v>474-PRT-11366</v>
      </c>
      <c r="E325" s="152">
        <f>MouserListTable[[#This Row],[Tot '#]]-MouserListTable[[#This Row],['# Initial]]</f>
        <v>5</v>
      </c>
      <c r="F325" s="152">
        <f>IF(AND(MouserListTable[[#This Row],[Tag]]&lt;&gt;FilterSpecs!$F$12, MouserListTable[[#This Row],[Tag]]&lt;&gt;FilterSpecs!$F$9), MouserListTable[[#This Row],['#/Unit]]*FilterSpecs!$B$3+MouserListTable[[#This Row],[Extra Initial]],0)</f>
        <v>0</v>
      </c>
      <c r="G325" s="150" t="s">
        <v>633</v>
      </c>
      <c r="H325" s="150" t="s">
        <v>634</v>
      </c>
      <c r="I325" s="150" t="s">
        <v>635</v>
      </c>
      <c r="J325" s="150"/>
      <c r="K325" s="154">
        <v>8.9499999999999993</v>
      </c>
      <c r="L325" s="150" t="s">
        <v>2461</v>
      </c>
      <c r="M325" s="151"/>
      <c r="N325" s="154">
        <f>MouserListTable[[#This Row],['# Initial]]*MouserListTable[[#This Row],[Price (USD)]]</f>
        <v>0</v>
      </c>
      <c r="O325" s="151" t="s">
        <v>632</v>
      </c>
      <c r="P325" s="150">
        <f t="shared" si="4"/>
        <v>312</v>
      </c>
      <c r="Q325" s="150" t="s">
        <v>5</v>
      </c>
      <c r="R32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474-PRT-11366</v>
      </c>
      <c r="S325" s="157" t="str">
        <f>HYPERLINK("https://www.mouser.com/ProductDetail/" &amp;MouserListTable[[#This Row],[Mouser SKU]])</f>
        <v>https://www.mouser.com/ProductDetail/474-PRT-11366</v>
      </c>
      <c r="T325" s="152">
        <v>1</v>
      </c>
      <c r="U325" s="152">
        <v>0</v>
      </c>
      <c r="V325" s="152">
        <v>0</v>
      </c>
      <c r="W325" s="152">
        <f>MouserListTable[[#This Row],['#/Unit]]*FilterSpecs!$C$3+MouserListTable[[#This Row],[Extra]]</f>
        <v>5</v>
      </c>
      <c r="X325" s="152">
        <f>IF(MouserListTable[[#This Row],[Tag]]=FilterSpecs!$F$7,MouserListTable[[#This Row],['#/Unit]]*MouserListTable[[#This Row],[Price (USD)]],0)</f>
        <v>0</v>
      </c>
      <c r="Y325" s="152">
        <f>MouserListTable[[#This Row],[Tot '#]]*MouserListTable[[#This Row],[Price (USD)]]</f>
        <v>44.75</v>
      </c>
    </row>
    <row r="326" spans="1:25" x14ac:dyDescent="0.25">
      <c r="A326" s="150" t="s">
        <v>889</v>
      </c>
      <c r="B326" s="150" t="s">
        <v>1288</v>
      </c>
      <c r="C326" s="150" t="s">
        <v>5</v>
      </c>
      <c r="D326" s="151" t="str">
        <f>IF(MouserListTable[[#This Row],[Vendor]]=FilterSpecs!$A$8,MouserListTable[[#This Row],[Mouser SKU]], MouserListTable[[#This Row],[Supplier SKU]])</f>
        <v>474-PRT-10088</v>
      </c>
      <c r="E326" s="152">
        <f>MouserListTable[[#This Row],[Tot '#]]-MouserListTable[[#This Row],['# Initial]]</f>
        <v>1</v>
      </c>
      <c r="F326" s="152">
        <f>IF(AND(MouserListTable[[#This Row],[Tag]]&lt;&gt;FilterSpecs!$F$12, MouserListTable[[#This Row],[Tag]]&lt;&gt;FilterSpecs!$F$9), MouserListTable[[#This Row],['#/Unit]]*FilterSpecs!$B$3+MouserListTable[[#This Row],[Extra Initial]],0)</f>
        <v>0</v>
      </c>
      <c r="G326" s="150" t="s">
        <v>653</v>
      </c>
      <c r="H326" s="150" t="s">
        <v>654</v>
      </c>
      <c r="I326" s="150" t="s">
        <v>655</v>
      </c>
      <c r="J326" s="150"/>
      <c r="K326" s="154">
        <v>11.95</v>
      </c>
      <c r="L326" s="150" t="s">
        <v>1897</v>
      </c>
      <c r="M326" s="151"/>
      <c r="N326" s="154">
        <f>MouserListTable[[#This Row],['# Initial]]*MouserListTable[[#This Row],[Price (USD)]]</f>
        <v>0</v>
      </c>
      <c r="O326" s="151" t="s">
        <v>652</v>
      </c>
      <c r="P326" s="150">
        <f t="shared" si="4"/>
        <v>313</v>
      </c>
      <c r="Q326" s="150" t="s">
        <v>5</v>
      </c>
      <c r="R32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474-PRT-10088</v>
      </c>
      <c r="S326" s="157" t="str">
        <f>HYPERLINK("https://www.mouser.com/ProductDetail/" &amp;MouserListTable[[#This Row],[Mouser SKU]])</f>
        <v>https://www.mouser.com/ProductDetail/474-PRT-10088</v>
      </c>
      <c r="T326" s="152">
        <v>0</v>
      </c>
      <c r="U326" s="152">
        <v>1</v>
      </c>
      <c r="V326" s="152">
        <v>0</v>
      </c>
      <c r="W326" s="152">
        <f>MouserListTable[[#This Row],['#/Unit]]*FilterSpecs!$C$3+MouserListTable[[#This Row],[Extra]]</f>
        <v>1</v>
      </c>
      <c r="X326" s="152">
        <f>IF(MouserListTable[[#This Row],[Tag]]=FilterSpecs!$F$7,MouserListTable[[#This Row],['#/Unit]]*MouserListTable[[#This Row],[Price (USD)]],0)</f>
        <v>0</v>
      </c>
      <c r="Y326" s="152">
        <f>MouserListTable[[#This Row],[Tot '#]]*MouserListTable[[#This Row],[Price (USD)]]</f>
        <v>11.95</v>
      </c>
    </row>
    <row r="327" spans="1:25" x14ac:dyDescent="0.25">
      <c r="A327" s="150" t="s">
        <v>889</v>
      </c>
      <c r="B327" s="150" t="s">
        <v>1288</v>
      </c>
      <c r="C327" s="150" t="s">
        <v>5</v>
      </c>
      <c r="D327" s="151" t="str">
        <f>IF(MouserListTable[[#This Row],[Vendor]]=FilterSpecs!$A$8,MouserListTable[[#This Row],[Mouser SKU]], MouserListTable[[#This Row],[Supplier SKU]])</f>
        <v>474-DEV-11632</v>
      </c>
      <c r="E327" s="152">
        <f>MouserListTable[[#This Row],[Tot '#]]-MouserListTable[[#This Row],['# Initial]]</f>
        <v>1</v>
      </c>
      <c r="F327" s="152">
        <f>IF(AND(MouserListTable[[#This Row],[Tag]]&lt;&gt;FilterSpecs!$F$12, MouserListTable[[#This Row],[Tag]]&lt;&gt;FilterSpecs!$F$9), MouserListTable[[#This Row],['#/Unit]]*FilterSpecs!$B$3+MouserListTable[[#This Row],[Extra Initial]],0)</f>
        <v>0</v>
      </c>
      <c r="G327" s="150" t="s">
        <v>1093</v>
      </c>
      <c r="H327" s="150" t="s">
        <v>1094</v>
      </c>
      <c r="I327" s="150" t="s">
        <v>1095</v>
      </c>
      <c r="J327" s="150">
        <v>1</v>
      </c>
      <c r="K327" s="154">
        <v>0.1</v>
      </c>
      <c r="L327" s="150" t="s">
        <v>1896</v>
      </c>
      <c r="M327" s="151"/>
      <c r="N327" s="154">
        <f>MouserListTable[[#This Row],['# Initial]]*MouserListTable[[#This Row],[Price (USD)]]</f>
        <v>0</v>
      </c>
      <c r="O327" s="151" t="s">
        <v>1092</v>
      </c>
      <c r="P327" s="150">
        <f t="shared" si="4"/>
        <v>314</v>
      </c>
      <c r="Q327" s="150" t="s">
        <v>5</v>
      </c>
      <c r="R32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474-DEV-11632</v>
      </c>
      <c r="S327" s="157" t="str">
        <f>HYPERLINK("https://www.mouser.com/ProductDetail/" &amp;MouserListTable[[#This Row],[Mouser SKU]])</f>
        <v>https://www.mouser.com/ProductDetail/474-DEV-11632</v>
      </c>
      <c r="T327" s="152">
        <v>0</v>
      </c>
      <c r="U327" s="152">
        <v>1</v>
      </c>
      <c r="V327" s="152">
        <v>0</v>
      </c>
      <c r="W327" s="152">
        <f>MouserListTable[[#This Row],['#/Unit]]*FilterSpecs!$C$3+MouserListTable[[#This Row],[Extra]]</f>
        <v>1</v>
      </c>
      <c r="X327" s="152">
        <f>IF(MouserListTable[[#This Row],[Tag]]=FilterSpecs!$F$7,MouserListTable[[#This Row],['#/Unit]]*MouserListTable[[#This Row],[Price (USD)]],0)</f>
        <v>0</v>
      </c>
      <c r="Y327" s="152">
        <f>MouserListTable[[#This Row],[Tot '#]]*MouserListTable[[#This Row],[Price (USD)]]</f>
        <v>0.1</v>
      </c>
    </row>
    <row r="328" spans="1:25" x14ac:dyDescent="0.25">
      <c r="A328" s="150" t="s">
        <v>889</v>
      </c>
      <c r="B328" s="151" t="s">
        <v>1288</v>
      </c>
      <c r="C328" s="150" t="s">
        <v>1884</v>
      </c>
      <c r="D328" s="151" t="str">
        <f>IF(MouserListTable[[#This Row],[Vendor]]=FilterSpecs!$A$8,MouserListTable[[#This Row],[Mouser SKU]], MouserListTable[[#This Row],[Supplier SKU]])</f>
        <v>485-2229</v>
      </c>
      <c r="E328" s="152">
        <f>MouserListTable[[#This Row],[Tot '#]]-MouserListTable[[#This Row],['# Initial]]</f>
        <v>0</v>
      </c>
      <c r="F328" s="152">
        <f>IF(AND(MouserListTable[[#This Row],[Tag]]&lt;&gt;FilterSpecs!$F$12, MouserListTable[[#This Row],[Tag]]&lt;&gt;FilterSpecs!$F$9), MouserListTable[[#This Row],['#/Unit]]*FilterSpecs!$B$3+MouserListTable[[#This Row],[Extra Initial]],0)</f>
        <v>0</v>
      </c>
      <c r="G328" s="150"/>
      <c r="H328" s="150"/>
      <c r="I328" s="150" t="s">
        <v>2067</v>
      </c>
      <c r="J328" s="153"/>
      <c r="K328" s="118">
        <v>7.5</v>
      </c>
      <c r="L328" s="153" t="s">
        <v>1896</v>
      </c>
      <c r="M328" s="153"/>
      <c r="N328" s="154">
        <f>MouserListTable[[#This Row],['# Initial]]*MouserListTable[[#This Row],[Price (USD)]]</f>
        <v>0</v>
      </c>
      <c r="O328" s="151" t="s">
        <v>2068</v>
      </c>
      <c r="P328" s="150">
        <f t="shared" si="4"/>
        <v>315</v>
      </c>
      <c r="Q328" s="150" t="s">
        <v>1884</v>
      </c>
      <c r="R32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485-2229</v>
      </c>
      <c r="S328" s="157" t="str">
        <f>HYPERLINK("https://www.mouser.com/ProductDetail/" &amp;MouserListTable[[#This Row],[Mouser SKU]])</f>
        <v>https://www.mouser.com/ProductDetail/485-2229</v>
      </c>
      <c r="T328" s="152">
        <v>0</v>
      </c>
      <c r="U328" s="152">
        <v>0</v>
      </c>
      <c r="V328" s="152">
        <v>0</v>
      </c>
      <c r="W328" s="152">
        <f>MouserListTable[[#This Row],['#/Unit]]*FilterSpecs!$C$3+MouserListTable[[#This Row],[Extra]]</f>
        <v>0</v>
      </c>
      <c r="X328" s="152">
        <f>IF(MouserListTable[[#This Row],[Tag]]=FilterSpecs!$F$7,MouserListTable[[#This Row],['#/Unit]]*MouserListTable[[#This Row],[Price (USD)]],0)</f>
        <v>0</v>
      </c>
      <c r="Y328" s="152">
        <f>MouserListTable[[#This Row],[Tot '#]]*MouserListTable[[#This Row],[Price (USD)]]</f>
        <v>0</v>
      </c>
    </row>
    <row r="329" spans="1:25" x14ac:dyDescent="0.25">
      <c r="A329" s="150" t="s">
        <v>889</v>
      </c>
      <c r="B329" s="151" t="s">
        <v>1288</v>
      </c>
      <c r="C329" s="150" t="s">
        <v>1884</v>
      </c>
      <c r="D329" s="151" t="str">
        <f>IF(MouserListTable[[#This Row],[Vendor]]=FilterSpecs!$A$8,MouserListTable[[#This Row],[Mouser SKU]], MouserListTable[[#This Row],[Supplier SKU]])</f>
        <v>485-2230</v>
      </c>
      <c r="E329" s="152">
        <f>MouserListTable[[#This Row],[Tot '#]]-MouserListTable[[#This Row],['# Initial]]</f>
        <v>0</v>
      </c>
      <c r="F329" s="152">
        <f>IF(AND(MouserListTable[[#This Row],[Tag]]&lt;&gt;FilterSpecs!$F$12, MouserListTable[[#This Row],[Tag]]&lt;&gt;FilterSpecs!$F$9), MouserListTable[[#This Row],['#/Unit]]*FilterSpecs!$B$3+MouserListTable[[#This Row],[Extra Initial]],0)</f>
        <v>0</v>
      </c>
      <c r="G329" s="150"/>
      <c r="H329" s="150"/>
      <c r="I329" s="150" t="s">
        <v>2065</v>
      </c>
      <c r="J329" s="153"/>
      <c r="K329" s="118">
        <v>5.95</v>
      </c>
      <c r="L329" s="153" t="s">
        <v>1896</v>
      </c>
      <c r="M329" s="153"/>
      <c r="N329" s="154">
        <f>MouserListTable[[#This Row],['# Initial]]*MouserListTable[[#This Row],[Price (USD)]]</f>
        <v>0</v>
      </c>
      <c r="O329" s="151" t="s">
        <v>2066</v>
      </c>
      <c r="P329" s="150">
        <f t="shared" si="4"/>
        <v>316</v>
      </c>
      <c r="Q329" s="150" t="s">
        <v>1884</v>
      </c>
      <c r="R32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485-2230</v>
      </c>
      <c r="S329" s="157" t="str">
        <f>HYPERLINK("https://www.mouser.com/ProductDetail/" &amp;MouserListTable[[#This Row],[Mouser SKU]])</f>
        <v>https://www.mouser.com/ProductDetail/485-2230</v>
      </c>
      <c r="T329" s="152">
        <v>0</v>
      </c>
      <c r="U329" s="152">
        <v>0</v>
      </c>
      <c r="V329" s="152">
        <v>0</v>
      </c>
      <c r="W329" s="152">
        <f>MouserListTable[[#This Row],['#/Unit]]*FilterSpecs!$C$3+MouserListTable[[#This Row],[Extra]]</f>
        <v>0</v>
      </c>
      <c r="X329" s="152">
        <f>IF(MouserListTable[[#This Row],[Tag]]=FilterSpecs!$F$7,MouserListTable[[#This Row],['#/Unit]]*MouserListTable[[#This Row],[Price (USD)]],0)</f>
        <v>0</v>
      </c>
      <c r="Y329" s="152">
        <f>MouserListTable[[#This Row],[Tot '#]]*MouserListTable[[#This Row],[Price (USD)]]</f>
        <v>0</v>
      </c>
    </row>
    <row r="330" spans="1:25" x14ac:dyDescent="0.25">
      <c r="A330" s="150" t="s">
        <v>889</v>
      </c>
      <c r="B330" s="150" t="s">
        <v>883</v>
      </c>
      <c r="C330" s="150" t="s">
        <v>5</v>
      </c>
      <c r="D330" s="151" t="str">
        <f>IF(MouserListTable[[#This Row],[Vendor]]=FilterSpecs!$A$8,MouserListTable[[#This Row],[Mouser SKU]], MouserListTable[[#This Row],[Supplier SKU]])</f>
        <v>474-COM-10594</v>
      </c>
      <c r="E330" s="152">
        <f>MouserListTable[[#This Row],[Tot '#]]-MouserListTable[[#This Row],['# Initial]]</f>
        <v>0</v>
      </c>
      <c r="F330" s="152">
        <f>IF(AND(MouserListTable[[#This Row],[Tag]]&lt;&gt;FilterSpecs!$F$12, MouserListTable[[#This Row],[Tag]]&lt;&gt;FilterSpecs!$F$9), MouserListTable[[#This Row],['#/Unit]]*FilterSpecs!$B$3+MouserListTable[[#This Row],[Extra Initial]],0)</f>
        <v>5</v>
      </c>
      <c r="G330" s="150" t="s">
        <v>641</v>
      </c>
      <c r="H330" s="150" t="s">
        <v>642</v>
      </c>
      <c r="I330" s="150" t="s">
        <v>643</v>
      </c>
      <c r="J330" s="150">
        <v>1</v>
      </c>
      <c r="K330" s="154">
        <v>0.95</v>
      </c>
      <c r="L330" s="150" t="s">
        <v>1897</v>
      </c>
      <c r="M330" s="151"/>
      <c r="N330" s="154">
        <f>MouserListTable[[#This Row],['# Initial]]*MouserListTable[[#This Row],[Price (USD)]]</f>
        <v>4.75</v>
      </c>
      <c r="O330" s="151" t="s">
        <v>640</v>
      </c>
      <c r="P330" s="150">
        <f t="shared" si="4"/>
        <v>317</v>
      </c>
      <c r="Q330" s="150" t="s">
        <v>5</v>
      </c>
      <c r="R33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474-COM-10594</v>
      </c>
      <c r="S330" s="157" t="str">
        <f>HYPERLINK("https://www.mouser.com/ProductDetail/" &amp;MouserListTable[[#This Row],[Mouser SKU]])</f>
        <v>https://www.mouser.com/ProductDetail/474-COM-10594</v>
      </c>
      <c r="T330" s="152">
        <v>1</v>
      </c>
      <c r="U330" s="152">
        <v>0</v>
      </c>
      <c r="V330" s="152">
        <v>0</v>
      </c>
      <c r="W330" s="152">
        <f>MouserListTable[[#This Row],['#/Unit]]*FilterSpecs!$C$3+MouserListTable[[#This Row],[Extra]]</f>
        <v>5</v>
      </c>
      <c r="X330" s="152">
        <f>IF(MouserListTable[[#This Row],[Tag]]=FilterSpecs!$F$7,MouserListTable[[#This Row],['#/Unit]]*MouserListTable[[#This Row],[Price (USD)]],0)</f>
        <v>0.95</v>
      </c>
      <c r="Y330" s="152">
        <f>MouserListTable[[#This Row],[Tot '#]]*MouserListTable[[#This Row],[Price (USD)]]</f>
        <v>4.75</v>
      </c>
    </row>
    <row r="331" spans="1:25" x14ac:dyDescent="0.25">
      <c r="A331" s="150" t="s">
        <v>889</v>
      </c>
      <c r="B331" s="150" t="s">
        <v>883</v>
      </c>
      <c r="C331" s="150" t="s">
        <v>5</v>
      </c>
      <c r="D331" s="151" t="str">
        <f>IF(MouserListTable[[#This Row],[Vendor]]=FilterSpecs!$A$8,MouserListTable[[#This Row],[Mouser SKU]], MouserListTable[[#This Row],[Supplier SKU]])</f>
        <v>474-PRT-10230</v>
      </c>
      <c r="E331" s="152">
        <f>MouserListTable[[#This Row],[Tot '#]]-MouserListTable[[#This Row],['# Initial]]</f>
        <v>0</v>
      </c>
      <c r="F331" s="152">
        <f>IF(AND(MouserListTable[[#This Row],[Tag]]&lt;&gt;FilterSpecs!$F$12, MouserListTable[[#This Row],[Tag]]&lt;&gt;FilterSpecs!$F$9), MouserListTable[[#This Row],['#/Unit]]*FilterSpecs!$B$3+MouserListTable[[#This Row],[Extra Initial]],0)</f>
        <v>5</v>
      </c>
      <c r="G331" s="150" t="s">
        <v>649</v>
      </c>
      <c r="H331" s="150" t="s">
        <v>650</v>
      </c>
      <c r="I331" s="150" t="s">
        <v>651</v>
      </c>
      <c r="J331" s="150">
        <v>1</v>
      </c>
      <c r="K331" s="154">
        <v>0.95</v>
      </c>
      <c r="L331" s="150" t="s">
        <v>1897</v>
      </c>
      <c r="M331" s="151"/>
      <c r="N331" s="154">
        <f>MouserListTable[[#This Row],['# Initial]]*MouserListTable[[#This Row],[Price (USD)]]</f>
        <v>4.75</v>
      </c>
      <c r="O331" s="151" t="s">
        <v>648</v>
      </c>
      <c r="P331" s="150">
        <f t="shared" si="4"/>
        <v>318</v>
      </c>
      <c r="Q331" s="150" t="s">
        <v>5</v>
      </c>
      <c r="R33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474-PRT-10230</v>
      </c>
      <c r="S331" s="157" t="str">
        <f>HYPERLINK("https://www.mouser.com/ProductDetail/" &amp;MouserListTable[[#This Row],[Mouser SKU]])</f>
        <v>https://www.mouser.com/ProductDetail/474-PRT-10230</v>
      </c>
      <c r="T331" s="152">
        <v>1</v>
      </c>
      <c r="U331" s="152">
        <v>0</v>
      </c>
      <c r="V331" s="152">
        <v>0</v>
      </c>
      <c r="W331" s="152">
        <f>MouserListTable[[#This Row],['#/Unit]]*FilterSpecs!$C$3+MouserListTable[[#This Row],[Extra]]</f>
        <v>5</v>
      </c>
      <c r="X331" s="152">
        <f>IF(MouserListTable[[#This Row],[Tag]]=FilterSpecs!$F$7,MouserListTable[[#This Row],['#/Unit]]*MouserListTable[[#This Row],[Price (USD)]],0)</f>
        <v>0.95</v>
      </c>
      <c r="Y331" s="152">
        <f>MouserListTable[[#This Row],[Tot '#]]*MouserListTable[[#This Row],[Price (USD)]]</f>
        <v>4.75</v>
      </c>
    </row>
    <row r="332" spans="1:25" x14ac:dyDescent="0.25">
      <c r="A332" s="150" t="s">
        <v>889</v>
      </c>
      <c r="B332" s="150" t="s">
        <v>883</v>
      </c>
      <c r="C332" s="150" t="s">
        <v>1884</v>
      </c>
      <c r="D332" s="151" t="str">
        <f>IF(MouserListTable[[#This Row],[Vendor]]=FilterSpecs!$A$8,MouserListTable[[#This Row],[Mouser SKU]], MouserListTable[[#This Row],[Supplier SKU]])</f>
        <v>485-550</v>
      </c>
      <c r="E332" s="152">
        <f>MouserListTable[[#This Row],[Tot '#]]-MouserListTable[[#This Row],['# Initial]]</f>
        <v>0</v>
      </c>
      <c r="F332" s="152">
        <f>IF(AND(MouserListTable[[#This Row],[Tag]]&lt;&gt;FilterSpecs!$F$12, MouserListTable[[#This Row],[Tag]]&lt;&gt;FilterSpecs!$F$9), MouserListTable[[#This Row],['#/Unit]]*FilterSpecs!$B$3+MouserListTable[[#This Row],[Extra Initial]],0)</f>
        <v>0</v>
      </c>
      <c r="G332" s="150"/>
      <c r="H332" s="150"/>
      <c r="I332" s="150" t="s">
        <v>2092</v>
      </c>
      <c r="J332" s="153"/>
      <c r="K332" s="118">
        <v>0.95</v>
      </c>
      <c r="L332" s="97" t="s">
        <v>1896</v>
      </c>
      <c r="M332" s="153"/>
      <c r="N332" s="154">
        <f>MouserListTable[[#This Row],['# Initial]]*MouserListTable[[#This Row],[Price (USD)]]</f>
        <v>0</v>
      </c>
      <c r="O332" s="151" t="s">
        <v>2091</v>
      </c>
      <c r="P332" s="150">
        <f t="shared" si="4"/>
        <v>319</v>
      </c>
      <c r="Q332" s="150" t="s">
        <v>1884</v>
      </c>
      <c r="R33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485-550</v>
      </c>
      <c r="S332" s="157" t="str">
        <f>HYPERLINK("https://www.mouser.com/ProductDetail/" &amp;MouserListTable[[#This Row],[Mouser SKU]])</f>
        <v>https://www.mouser.com/ProductDetail/485-550</v>
      </c>
      <c r="T332" s="152">
        <v>0</v>
      </c>
      <c r="U332" s="152">
        <v>0</v>
      </c>
      <c r="V332" s="152">
        <v>0</v>
      </c>
      <c r="W332" s="152">
        <f>MouserListTable[[#This Row],['#/Unit]]*FilterSpecs!$C$3+MouserListTable[[#This Row],[Extra]]</f>
        <v>0</v>
      </c>
      <c r="X332" s="152">
        <f>IF(MouserListTable[[#This Row],[Tag]]=FilterSpecs!$F$7,MouserListTable[[#This Row],['#/Unit]]*MouserListTable[[#This Row],[Price (USD)]],0)</f>
        <v>0</v>
      </c>
      <c r="Y332" s="152">
        <f>MouserListTable[[#This Row],[Tot '#]]*MouserListTable[[#This Row],[Price (USD)]]</f>
        <v>0</v>
      </c>
    </row>
    <row r="333" spans="1:25" x14ac:dyDescent="0.25">
      <c r="A333" s="150" t="s">
        <v>889</v>
      </c>
      <c r="B333" s="150" t="s">
        <v>883</v>
      </c>
      <c r="C333" s="150" t="s">
        <v>5</v>
      </c>
      <c r="D333" s="151" t="str">
        <f>IF(MouserListTable[[#This Row],[Vendor]]=FilterSpecs!$A$8,MouserListTable[[#This Row],[Mouser SKU]], MouserListTable[[#This Row],[Supplier SKU]])</f>
        <v>474-PRT-09353</v>
      </c>
      <c r="E333" s="152">
        <f>MouserListTable[[#This Row],[Tot '#]]-MouserListTable[[#This Row],['# Initial]]</f>
        <v>2</v>
      </c>
      <c r="F333" s="152">
        <f>IF(AND(MouserListTable[[#This Row],[Tag]]&lt;&gt;FilterSpecs!$F$12, MouserListTable[[#This Row],[Tag]]&lt;&gt;FilterSpecs!$F$9), MouserListTable[[#This Row],['#/Unit]]*FilterSpecs!$B$3+MouserListTable[[#This Row],[Extra Initial]],0)</f>
        <v>0</v>
      </c>
      <c r="G333" s="150" t="s">
        <v>1237</v>
      </c>
      <c r="H333" s="150" t="s">
        <v>1238</v>
      </c>
      <c r="I333" s="150" t="s">
        <v>1239</v>
      </c>
      <c r="J333" s="150">
        <v>1</v>
      </c>
      <c r="K333" s="154">
        <v>7.95</v>
      </c>
      <c r="L333" s="150" t="s">
        <v>1896</v>
      </c>
      <c r="M333" s="151"/>
      <c r="N333" s="154">
        <f>MouserListTable[[#This Row],['# Initial]]*MouserListTable[[#This Row],[Price (USD)]]</f>
        <v>0</v>
      </c>
      <c r="O333" s="151" t="s">
        <v>1236</v>
      </c>
      <c r="P333" s="150">
        <f t="shared" si="4"/>
        <v>320</v>
      </c>
      <c r="Q333" s="150" t="s">
        <v>5</v>
      </c>
      <c r="R33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474-PRT-09353</v>
      </c>
      <c r="S333" s="157" t="str">
        <f>HYPERLINK("https://www.mouser.com/ProductDetail/" &amp;MouserListTable[[#This Row],[Mouser SKU]])</f>
        <v>https://www.mouser.com/ProductDetail/474-PRT-09353</v>
      </c>
      <c r="T333" s="152">
        <v>0</v>
      </c>
      <c r="U333" s="152">
        <v>2</v>
      </c>
      <c r="V333" s="152">
        <v>0</v>
      </c>
      <c r="W333" s="152">
        <f>MouserListTable[[#This Row],['#/Unit]]*FilterSpecs!$C$3+MouserListTable[[#This Row],[Extra]]</f>
        <v>2</v>
      </c>
      <c r="X333" s="152">
        <f>IF(MouserListTable[[#This Row],[Tag]]=FilterSpecs!$F$7,MouserListTable[[#This Row],['#/Unit]]*MouserListTable[[#This Row],[Price (USD)]],0)</f>
        <v>0</v>
      </c>
      <c r="Y333" s="152">
        <f>MouserListTable[[#This Row],[Tot '#]]*MouserListTable[[#This Row],[Price (USD)]]</f>
        <v>15.9</v>
      </c>
    </row>
    <row r="334" spans="1:25" x14ac:dyDescent="0.25">
      <c r="A334" s="98" t="s">
        <v>889</v>
      </c>
      <c r="B334" s="98" t="s">
        <v>883</v>
      </c>
      <c r="C334" s="150" t="s">
        <v>1884</v>
      </c>
      <c r="D334" s="151" t="str">
        <f>IF(MouserListTable[[#This Row],[Vendor]]=FilterSpecs!$A$8,MouserListTable[[#This Row],[Mouser SKU]], MouserListTable[[#This Row],[Supplier SKU]])</f>
        <v>485-344</v>
      </c>
      <c r="E334" s="152">
        <f>MouserListTable[[#This Row],[Tot '#]]-MouserListTable[[#This Row],['# Initial]]</f>
        <v>0</v>
      </c>
      <c r="F334" s="152">
        <f>IF(AND(MouserListTable[[#This Row],[Tag]]&lt;&gt;FilterSpecs!$F$12, MouserListTable[[#This Row],[Tag]]&lt;&gt;FilterSpecs!$F$9), MouserListTable[[#This Row],['#/Unit]]*FilterSpecs!$B$3+MouserListTable[[#This Row],[Extra Initial]],0)</f>
        <v>0</v>
      </c>
      <c r="G334" s="150"/>
      <c r="H334" s="150"/>
      <c r="I334" s="150" t="s">
        <v>2452</v>
      </c>
      <c r="J334" s="113">
        <v>115</v>
      </c>
      <c r="K334" s="119">
        <v>4.95</v>
      </c>
      <c r="L334" s="97" t="s">
        <v>1896</v>
      </c>
      <c r="M334" s="153"/>
      <c r="N334" s="154">
        <f>MouserListTable[[#This Row],['# Initial]]*MouserListTable[[#This Row],[Price (USD)]]</f>
        <v>0</v>
      </c>
      <c r="O334" s="113" t="s">
        <v>2453</v>
      </c>
      <c r="P334" s="150">
        <f t="shared" ref="P334:P397" si="5">IF($P333="List #",1,$P333+1)</f>
        <v>321</v>
      </c>
      <c r="Q334" s="150" t="s">
        <v>1884</v>
      </c>
      <c r="R33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485-344</v>
      </c>
      <c r="S334" s="157" t="str">
        <f>HYPERLINK("https://www.mouser.com/ProductDetail/" &amp;MouserListTable[[#This Row],[Mouser SKU]])</f>
        <v>https://www.mouser.com/ProductDetail/485-344</v>
      </c>
      <c r="T334" s="152">
        <v>0</v>
      </c>
      <c r="U334" s="152">
        <v>0</v>
      </c>
      <c r="V334" s="152">
        <v>0</v>
      </c>
      <c r="W334" s="152">
        <f>MouserListTable[[#This Row],['#/Unit]]*FilterSpecs!$C$3+MouserListTable[[#This Row],[Extra]]</f>
        <v>0</v>
      </c>
      <c r="X334" s="152">
        <f>IF(MouserListTable[[#This Row],[Tag]]=FilterSpecs!$F$7,MouserListTable[[#This Row],['#/Unit]]*MouserListTable[[#This Row],[Price (USD)]],0)</f>
        <v>0</v>
      </c>
      <c r="Y334" s="152">
        <f>MouserListTable[[#This Row],[Tot '#]]*MouserListTable[[#This Row],[Price (USD)]]</f>
        <v>0</v>
      </c>
    </row>
    <row r="335" spans="1:25" x14ac:dyDescent="0.25">
      <c r="A335" s="150" t="s">
        <v>889</v>
      </c>
      <c r="B335" s="150" t="s">
        <v>2003</v>
      </c>
      <c r="C335" s="150" t="s">
        <v>5</v>
      </c>
      <c r="D335" s="151" t="str">
        <f>IF(MouserListTable[[#This Row],[Vendor]]=FilterSpecs!$A$8,MouserListTable[[#This Row],[Mouser SKU]], MouserListTable[[#This Row],[Supplier SKU]])</f>
        <v>474-TOL-10951</v>
      </c>
      <c r="E335" s="152">
        <f>MouserListTable[[#This Row],[Tot '#]]-MouserListTable[[#This Row],['# Initial]]</f>
        <v>1</v>
      </c>
      <c r="F335" s="152">
        <f>IF(AND(MouserListTable[[#This Row],[Tag]]&lt;&gt;FilterSpecs!$F$12, MouserListTable[[#This Row],[Tag]]&lt;&gt;FilterSpecs!$F$9), MouserListTable[[#This Row],['#/Unit]]*FilterSpecs!$B$3+MouserListTable[[#This Row],[Extra Initial]],0)</f>
        <v>0</v>
      </c>
      <c r="G335" s="150" t="s">
        <v>1245</v>
      </c>
      <c r="H335" s="150" t="s">
        <v>1246</v>
      </c>
      <c r="I335" s="150" t="s">
        <v>1247</v>
      </c>
      <c r="J335" s="150"/>
      <c r="K335" s="154">
        <v>34.950000000000003</v>
      </c>
      <c r="L335" s="150" t="s">
        <v>2461</v>
      </c>
      <c r="M335" s="151"/>
      <c r="N335" s="154">
        <f>MouserListTable[[#This Row],['# Initial]]*MouserListTable[[#This Row],[Price (USD)]]</f>
        <v>0</v>
      </c>
      <c r="O335" s="151" t="s">
        <v>1244</v>
      </c>
      <c r="P335" s="150">
        <f t="shared" si="5"/>
        <v>322</v>
      </c>
      <c r="Q335" s="150" t="s">
        <v>5</v>
      </c>
      <c r="R33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474-TOL-10951</v>
      </c>
      <c r="S335" s="157" t="str">
        <f>HYPERLINK("https://www.mouser.com/ProductDetail/" &amp;MouserListTable[[#This Row],[Mouser SKU]])</f>
        <v>https://www.mouser.com/ProductDetail/474-TOL-10951</v>
      </c>
      <c r="T335" s="152">
        <v>0</v>
      </c>
      <c r="U335" s="152">
        <v>1</v>
      </c>
      <c r="V335" s="152">
        <v>0</v>
      </c>
      <c r="W335" s="152">
        <f>MouserListTable[[#This Row],['#/Unit]]*FilterSpecs!$C$3+MouserListTable[[#This Row],[Extra]]</f>
        <v>1</v>
      </c>
      <c r="X335" s="152">
        <f>IF(MouserListTable[[#This Row],[Tag]]=FilterSpecs!$F$7,MouserListTable[[#This Row],['#/Unit]]*MouserListTable[[#This Row],[Price (USD)]],0)</f>
        <v>0</v>
      </c>
      <c r="Y335" s="152">
        <f>MouserListTable[[#This Row],[Tot '#]]*MouserListTable[[#This Row],[Price (USD)]]</f>
        <v>34.950000000000003</v>
      </c>
    </row>
    <row r="336" spans="1:25" x14ac:dyDescent="0.25">
      <c r="A336" s="97" t="s">
        <v>889</v>
      </c>
      <c r="B336" s="97" t="s">
        <v>2003</v>
      </c>
      <c r="C336" s="150" t="s">
        <v>5</v>
      </c>
      <c r="D336" s="151" t="str">
        <f>IF(MouserListTable[[#This Row],[Vendor]]=FilterSpecs!$A$8,MouserListTable[[#This Row],[Mouser SKU]], MouserListTable[[#This Row],[Supplier SKU]])</f>
        <v>474-TOL-10950</v>
      </c>
      <c r="E336" s="152">
        <f>MouserListTable[[#This Row],[Tot '#]]-MouserListTable[[#This Row],['# Initial]]</f>
        <v>0</v>
      </c>
      <c r="F336" s="152">
        <f>IF(AND(MouserListTable[[#This Row],[Tag]]&lt;&gt;FilterSpecs!$F$12, MouserListTable[[#This Row],[Tag]]&lt;&gt;FilterSpecs!$F$9), MouserListTable[[#This Row],['#/Unit]]*FilterSpecs!$B$3+MouserListTable[[#This Row],[Extra Initial]],0)</f>
        <v>2</v>
      </c>
      <c r="G336" s="150" t="s">
        <v>1249</v>
      </c>
      <c r="H336" s="150" t="s">
        <v>1250</v>
      </c>
      <c r="I336" s="150" t="s">
        <v>1251</v>
      </c>
      <c r="J336" s="150">
        <v>1</v>
      </c>
      <c r="K336" s="154">
        <v>9.9499999999999993</v>
      </c>
      <c r="L336" s="150" t="s">
        <v>1896</v>
      </c>
      <c r="M336" s="153"/>
      <c r="N336" s="154">
        <f>MouserListTable[[#This Row],['# Initial]]*MouserListTable[[#This Row],[Price (USD)]]</f>
        <v>19.899999999999999</v>
      </c>
      <c r="O336" s="151" t="s">
        <v>1248</v>
      </c>
      <c r="P336" s="150">
        <f t="shared" si="5"/>
        <v>323</v>
      </c>
      <c r="Q336" s="150" t="s">
        <v>5</v>
      </c>
      <c r="R33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474-TOL-10950</v>
      </c>
      <c r="S336" s="157" t="str">
        <f>HYPERLINK("https://www.mouser.com/ProductDetail/" &amp;MouserListTable[[#This Row],[Mouser SKU]])</f>
        <v>https://www.mouser.com/ProductDetail/474-TOL-10950</v>
      </c>
      <c r="T336" s="152">
        <v>0</v>
      </c>
      <c r="U336" s="152">
        <v>2</v>
      </c>
      <c r="V336" s="152">
        <v>2</v>
      </c>
      <c r="W336" s="152">
        <f>MouserListTable[[#This Row],['#/Unit]]*FilterSpecs!$C$3+MouserListTable[[#This Row],[Extra]]</f>
        <v>2</v>
      </c>
      <c r="X336" s="152">
        <f>IF(MouserListTable[[#This Row],[Tag]]=FilterSpecs!$F$7,MouserListTable[[#This Row],['#/Unit]]*MouserListTable[[#This Row],[Price (USD)]],0)</f>
        <v>0</v>
      </c>
      <c r="Y336" s="152">
        <f>MouserListTable[[#This Row],[Tot '#]]*MouserListTable[[#This Row],[Price (USD)]]</f>
        <v>19.899999999999999</v>
      </c>
    </row>
    <row r="337" spans="1:25" x14ac:dyDescent="0.25">
      <c r="A337" s="150" t="s">
        <v>889</v>
      </c>
      <c r="B337" s="150" t="s">
        <v>2003</v>
      </c>
      <c r="C337" s="150" t="s">
        <v>1884</v>
      </c>
      <c r="D337" s="151" t="str">
        <f>IF(MouserListTable[[#This Row],[Vendor]]=FilterSpecs!$A$8,MouserListTable[[#This Row],[Mouser SKU]], MouserListTable[[#This Row],[Supplier SKU]])</f>
        <v>485-2504</v>
      </c>
      <c r="E337" s="152">
        <f>MouserListTable[[#This Row],[Tot '#]]-MouserListTable[[#This Row],['# Initial]]</f>
        <v>0</v>
      </c>
      <c r="F337" s="152">
        <f>IF(AND(MouserListTable[[#This Row],[Tag]]&lt;&gt;FilterSpecs!$F$12, MouserListTable[[#This Row],[Tag]]&lt;&gt;FilterSpecs!$F$9), MouserListTable[[#This Row],['#/Unit]]*FilterSpecs!$B$3+MouserListTable[[#This Row],[Extra Initial]],0)</f>
        <v>3</v>
      </c>
      <c r="G337" s="150"/>
      <c r="H337" s="150"/>
      <c r="I337" s="150" t="s">
        <v>2096</v>
      </c>
      <c r="J337" s="153"/>
      <c r="K337" s="154">
        <v>4.95</v>
      </c>
      <c r="L337" s="150" t="s">
        <v>1896</v>
      </c>
      <c r="M337" s="151"/>
      <c r="N337" s="154">
        <f>MouserListTable[[#This Row],['# Initial]]*MouserListTable[[#This Row],[Price (USD)]]</f>
        <v>14.850000000000001</v>
      </c>
      <c r="O337" s="151" t="s">
        <v>2095</v>
      </c>
      <c r="P337" s="150">
        <f t="shared" si="5"/>
        <v>324</v>
      </c>
      <c r="Q337" s="150" t="s">
        <v>1884</v>
      </c>
      <c r="R33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485-2504</v>
      </c>
      <c r="S337" s="157" t="str">
        <f>HYPERLINK("https://www.mouser.com/ProductDetail/" &amp;MouserListTable[[#This Row],[Mouser SKU]])</f>
        <v>https://www.mouser.com/ProductDetail/485-2504</v>
      </c>
      <c r="T337" s="152">
        <v>0</v>
      </c>
      <c r="U337" s="152">
        <v>3</v>
      </c>
      <c r="V337" s="152">
        <v>3</v>
      </c>
      <c r="W337" s="152">
        <f>MouserListTable[[#This Row],['#/Unit]]*FilterSpecs!$C$3+MouserListTable[[#This Row],[Extra]]</f>
        <v>3</v>
      </c>
      <c r="X337" s="152">
        <f>IF(MouserListTable[[#This Row],[Tag]]=FilterSpecs!$F$7,MouserListTable[[#This Row],['#/Unit]]*MouserListTable[[#This Row],[Price (USD)]],0)</f>
        <v>0</v>
      </c>
      <c r="Y337" s="152">
        <f>MouserListTable[[#This Row],[Tot '#]]*MouserListTable[[#This Row],[Price (USD)]]</f>
        <v>14.850000000000001</v>
      </c>
    </row>
    <row r="338" spans="1:25" x14ac:dyDescent="0.25">
      <c r="A338" s="150" t="s">
        <v>889</v>
      </c>
      <c r="B338" s="150" t="s">
        <v>2003</v>
      </c>
      <c r="C338" s="150" t="s">
        <v>1884</v>
      </c>
      <c r="D338" s="151" t="str">
        <f>IF(MouserListTable[[#This Row],[Vendor]]=FilterSpecs!$A$8,MouserListTable[[#This Row],[Mouser SKU]], MouserListTable[[#This Row],[Supplier SKU]])</f>
        <v>485-437</v>
      </c>
      <c r="E338" s="152">
        <f>MouserListTable[[#This Row],[Tot '#]]-MouserListTable[[#This Row],['# Initial]]</f>
        <v>0</v>
      </c>
      <c r="F338" s="152">
        <f>IF(AND(MouserListTable[[#This Row],[Tag]]&lt;&gt;FilterSpecs!$F$12, MouserListTable[[#This Row],[Tag]]&lt;&gt;FilterSpecs!$F$9), MouserListTable[[#This Row],['#/Unit]]*FilterSpecs!$B$3+MouserListTable[[#This Row],[Extra Initial]],0)</f>
        <v>1</v>
      </c>
      <c r="G338" s="150"/>
      <c r="H338" s="150"/>
      <c r="I338" s="150" t="s">
        <v>2098</v>
      </c>
      <c r="J338" s="153"/>
      <c r="K338" s="154">
        <v>20.2</v>
      </c>
      <c r="L338" s="150" t="s">
        <v>1896</v>
      </c>
      <c r="M338" s="151"/>
      <c r="N338" s="154">
        <f>MouserListTable[[#This Row],['# Initial]]*MouserListTable[[#This Row],[Price (USD)]]</f>
        <v>20.2</v>
      </c>
      <c r="O338" s="151" t="s">
        <v>2097</v>
      </c>
      <c r="P338" s="150">
        <f t="shared" si="5"/>
        <v>325</v>
      </c>
      <c r="Q338" s="150" t="s">
        <v>1884</v>
      </c>
      <c r="R33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485-437</v>
      </c>
      <c r="S338" s="157" t="str">
        <f>HYPERLINK("https://www.mouser.com/ProductDetail/" &amp;MouserListTable[[#This Row],[Mouser SKU]])</f>
        <v>https://www.mouser.com/ProductDetail/485-437</v>
      </c>
      <c r="T338" s="152">
        <v>0</v>
      </c>
      <c r="U338" s="152">
        <v>1</v>
      </c>
      <c r="V338" s="152">
        <v>1</v>
      </c>
      <c r="W338" s="152">
        <f>MouserListTable[[#This Row],['#/Unit]]*FilterSpecs!$C$3+MouserListTable[[#This Row],[Extra]]</f>
        <v>1</v>
      </c>
      <c r="X338" s="152">
        <f>IF(MouserListTable[[#This Row],[Tag]]=FilterSpecs!$F$7,MouserListTable[[#This Row],['#/Unit]]*MouserListTable[[#This Row],[Price (USD)]],0)</f>
        <v>0</v>
      </c>
      <c r="Y338" s="152">
        <f>MouserListTable[[#This Row],[Tot '#]]*MouserListTable[[#This Row],[Price (USD)]]</f>
        <v>20.2</v>
      </c>
    </row>
    <row r="339" spans="1:25" x14ac:dyDescent="0.25">
      <c r="A339" s="150" t="s">
        <v>889</v>
      </c>
      <c r="B339" s="150" t="s">
        <v>1289</v>
      </c>
      <c r="C339" s="150" t="s">
        <v>5</v>
      </c>
      <c r="D339" s="151" t="str">
        <f>IF(MouserListTable[[#This Row],[Vendor]]=FilterSpecs!$A$8,MouserListTable[[#This Row],[Mouser SKU]], MouserListTable[[#This Row],[Supplier SKU]])</f>
        <v>474-PRT-11510</v>
      </c>
      <c r="E339" s="152">
        <f>MouserListTable[[#This Row],[Tot '#]]-MouserListTable[[#This Row],['# Initial]]</f>
        <v>0</v>
      </c>
      <c r="F339" s="152">
        <f>IF(AND(MouserListTable[[#This Row],[Tag]]&lt;&gt;FilterSpecs!$F$12, MouserListTable[[#This Row],[Tag]]&lt;&gt;FilterSpecs!$F$9), MouserListTable[[#This Row],['#/Unit]]*FilterSpecs!$B$3+MouserListTable[[#This Row],[Extra Initial]],0)</f>
        <v>5</v>
      </c>
      <c r="G339" s="150" t="s">
        <v>1077</v>
      </c>
      <c r="H339" s="150" t="s">
        <v>1078</v>
      </c>
      <c r="I339" s="150" t="s">
        <v>1079</v>
      </c>
      <c r="J339" s="150">
        <v>1</v>
      </c>
      <c r="K339" s="154">
        <v>1.95</v>
      </c>
      <c r="L339" s="150" t="s">
        <v>1897</v>
      </c>
      <c r="M339" s="150" t="s">
        <v>1198</v>
      </c>
      <c r="N339" s="154">
        <f>MouserListTable[[#This Row],['# Initial]]*MouserListTable[[#This Row],[Price (USD)]]</f>
        <v>9.75</v>
      </c>
      <c r="O339" s="151" t="s">
        <v>1076</v>
      </c>
      <c r="P339" s="150">
        <f t="shared" si="5"/>
        <v>326</v>
      </c>
      <c r="Q339" s="150" t="s">
        <v>5</v>
      </c>
      <c r="R33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474-PRT-11510</v>
      </c>
      <c r="S339" s="157" t="str">
        <f>HYPERLINK("https://www.mouser.com/ProductDetail/" &amp;MouserListTable[[#This Row],[Mouser SKU]])</f>
        <v>https://www.mouser.com/ProductDetail/474-PRT-11510</v>
      </c>
      <c r="T339" s="152">
        <v>1</v>
      </c>
      <c r="U339" s="152">
        <v>0</v>
      </c>
      <c r="V339" s="152">
        <v>0</v>
      </c>
      <c r="W339" s="152">
        <f>MouserListTable[[#This Row],['#/Unit]]*FilterSpecs!$C$3+MouserListTable[[#This Row],[Extra]]</f>
        <v>5</v>
      </c>
      <c r="X339" s="152">
        <f>IF(MouserListTable[[#This Row],[Tag]]=FilterSpecs!$F$7,MouserListTable[[#This Row],['#/Unit]]*MouserListTable[[#This Row],[Price (USD)]],0)</f>
        <v>1.95</v>
      </c>
      <c r="Y339" s="152">
        <f>MouserListTable[[#This Row],[Tot '#]]*MouserListTable[[#This Row],[Price (USD)]]</f>
        <v>9.75</v>
      </c>
    </row>
    <row r="340" spans="1:25" x14ac:dyDescent="0.25">
      <c r="A340" s="150" t="s">
        <v>889</v>
      </c>
      <c r="B340" s="150" t="s">
        <v>1289</v>
      </c>
      <c r="C340" s="150" t="s">
        <v>5</v>
      </c>
      <c r="D340" s="151" t="str">
        <f>IF(MouserListTable[[#This Row],[Vendor]]=FilterSpecs!$A$8,MouserListTable[[#This Row],[Mouser SKU]], MouserListTable[[#This Row],[Supplier SKU]])</f>
        <v>474-PRT-14340</v>
      </c>
      <c r="E340" s="152">
        <f>MouserListTable[[#This Row],[Tot '#]]-MouserListTable[[#This Row],['# Initial]]</f>
        <v>0</v>
      </c>
      <c r="F340" s="152">
        <f>IF(AND(MouserListTable[[#This Row],[Tag]]&lt;&gt;FilterSpecs!$F$12, MouserListTable[[#This Row],[Tag]]&lt;&gt;FilterSpecs!$F$9), MouserListTable[[#This Row],['#/Unit]]*FilterSpecs!$B$3+MouserListTable[[#This Row],[Extra Initial]],0)</f>
        <v>5</v>
      </c>
      <c r="G340" s="150" t="s">
        <v>1257</v>
      </c>
      <c r="H340" s="150" t="s">
        <v>1258</v>
      </c>
      <c r="I340" s="150" t="s">
        <v>1259</v>
      </c>
      <c r="J340" s="150"/>
      <c r="K340" s="154">
        <v>1.57</v>
      </c>
      <c r="L340" s="150" t="s">
        <v>1897</v>
      </c>
      <c r="M340" s="151"/>
      <c r="N340" s="154">
        <f>MouserListTable[[#This Row],['# Initial]]*MouserListTable[[#This Row],[Price (USD)]]</f>
        <v>7.8500000000000005</v>
      </c>
      <c r="O340" s="151" t="s">
        <v>1256</v>
      </c>
      <c r="P340" s="150">
        <f t="shared" si="5"/>
        <v>327</v>
      </c>
      <c r="Q340" s="150" t="s">
        <v>5</v>
      </c>
      <c r="R34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474-PRT-14340</v>
      </c>
      <c r="S340" s="157" t="str">
        <f>HYPERLINK("https://www.mouser.com/ProductDetail/" &amp;MouserListTable[[#This Row],[Mouser SKU]])</f>
        <v>https://www.mouser.com/ProductDetail/474-PRT-14340</v>
      </c>
      <c r="T340" s="152">
        <v>1</v>
      </c>
      <c r="U340" s="152">
        <v>0</v>
      </c>
      <c r="V340" s="152">
        <v>0</v>
      </c>
      <c r="W340" s="152">
        <f>MouserListTable[[#This Row],['#/Unit]]*FilterSpecs!$C$3+MouserListTable[[#This Row],[Extra]]</f>
        <v>5</v>
      </c>
      <c r="X340" s="152">
        <f>IF(MouserListTable[[#This Row],[Tag]]=FilterSpecs!$F$7,MouserListTable[[#This Row],['#/Unit]]*MouserListTable[[#This Row],[Price (USD)]],0)</f>
        <v>1.57</v>
      </c>
      <c r="Y340" s="152">
        <f>MouserListTable[[#This Row],[Tot '#]]*MouserListTable[[#This Row],[Price (USD)]]</f>
        <v>7.8500000000000005</v>
      </c>
    </row>
    <row r="341" spans="1:25" x14ac:dyDescent="0.25">
      <c r="A341" s="150" t="s">
        <v>889</v>
      </c>
      <c r="B341" s="150" t="s">
        <v>1289</v>
      </c>
      <c r="C341" s="150" t="s">
        <v>5</v>
      </c>
      <c r="D341" s="151" t="str">
        <f>IF(MouserListTable[[#This Row],[Vendor]]=FilterSpecs!$A$8,MouserListTable[[#This Row],[Mouser SKU]], MouserListTable[[#This Row],[Supplier SKU]])</f>
        <v>474-PRT-00121</v>
      </c>
      <c r="E341" s="152">
        <f>MouserListTable[[#This Row],[Tot '#]]-MouserListTable[[#This Row],['# Initial]]</f>
        <v>0</v>
      </c>
      <c r="F341" s="152">
        <f>IF(AND(MouserListTable[[#This Row],[Tag]]&lt;&gt;FilterSpecs!$F$12, MouserListTable[[#This Row],[Tag]]&lt;&gt;FilterSpecs!$F$9), MouserListTable[[#This Row],['#/Unit]]*FilterSpecs!$B$3+MouserListTable[[#This Row],[Extra Initial]],0)</f>
        <v>5</v>
      </c>
      <c r="G341" s="150" t="s">
        <v>1073</v>
      </c>
      <c r="H341" s="150" t="s">
        <v>1074</v>
      </c>
      <c r="I341" s="150" t="s">
        <v>1075</v>
      </c>
      <c r="J341" s="150">
        <v>1</v>
      </c>
      <c r="K341" s="154">
        <v>0.95</v>
      </c>
      <c r="L341" s="150" t="s">
        <v>1897</v>
      </c>
      <c r="M341" s="150" t="s">
        <v>1198</v>
      </c>
      <c r="N341" s="154">
        <f>MouserListTable[[#This Row],['# Initial]]*MouserListTable[[#This Row],[Price (USD)]]</f>
        <v>4.75</v>
      </c>
      <c r="O341" s="151" t="s">
        <v>1072</v>
      </c>
      <c r="P341" s="150">
        <f t="shared" si="5"/>
        <v>328</v>
      </c>
      <c r="Q341" s="150" t="s">
        <v>5</v>
      </c>
      <c r="R34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474-PRT-00121</v>
      </c>
      <c r="S341" s="157" t="str">
        <f>HYPERLINK("https://www.mouser.com/ProductDetail/" &amp;MouserListTable[[#This Row],[Mouser SKU]])</f>
        <v>https://www.mouser.com/ProductDetail/474-PRT-00121</v>
      </c>
      <c r="T341" s="152">
        <v>1</v>
      </c>
      <c r="U341" s="152">
        <v>0</v>
      </c>
      <c r="V341" s="152">
        <v>0</v>
      </c>
      <c r="W341" s="152">
        <f>MouserListTable[[#This Row],['#/Unit]]*FilterSpecs!$C$3+MouserListTable[[#This Row],[Extra]]</f>
        <v>5</v>
      </c>
      <c r="X341" s="152">
        <f>IF(MouserListTable[[#This Row],[Tag]]=FilterSpecs!$F$7,MouserListTable[[#This Row],['#/Unit]]*MouserListTable[[#This Row],[Price (USD)]],0)</f>
        <v>0.95</v>
      </c>
      <c r="Y341" s="152">
        <f>MouserListTable[[#This Row],[Tot '#]]*MouserListTable[[#This Row],[Price (USD)]]</f>
        <v>4.75</v>
      </c>
    </row>
    <row r="342" spans="1:25" x14ac:dyDescent="0.25">
      <c r="A342" s="150" t="s">
        <v>889</v>
      </c>
      <c r="B342" s="150" t="s">
        <v>1289</v>
      </c>
      <c r="C342" s="150" t="s">
        <v>1884</v>
      </c>
      <c r="D342" s="151" t="str">
        <f>IF(MouserListTable[[#This Row],[Vendor]]=FilterSpecs!$A$8,MouserListTable[[#This Row],[Mouser SKU]], MouserListTable[[#This Row],[Supplier SKU]])</f>
        <v>485-977</v>
      </c>
      <c r="E342" s="152">
        <f>MouserListTable[[#This Row],[Tot '#]]-MouserListTable[[#This Row],['# Initial]]</f>
        <v>0</v>
      </c>
      <c r="F342" s="152">
        <f>IF(AND(MouserListTable[[#This Row],[Tag]]&lt;&gt;FilterSpecs!$F$12, MouserListTable[[#This Row],[Tag]]&lt;&gt;FilterSpecs!$F$9), MouserListTable[[#This Row],['#/Unit]]*FilterSpecs!$B$3+MouserListTable[[#This Row],[Extra Initial]],0)</f>
        <v>10</v>
      </c>
      <c r="G342" s="150"/>
      <c r="H342" s="150"/>
      <c r="I342" s="150" t="s">
        <v>2094</v>
      </c>
      <c r="J342" s="153"/>
      <c r="K342" s="154">
        <v>0.75</v>
      </c>
      <c r="L342" s="150" t="s">
        <v>1897</v>
      </c>
      <c r="M342" s="151"/>
      <c r="N342" s="154">
        <f>MouserListTable[[#This Row],['# Initial]]*MouserListTable[[#This Row],[Price (USD)]]</f>
        <v>7.5</v>
      </c>
      <c r="O342" s="151" t="s">
        <v>2093</v>
      </c>
      <c r="P342" s="150">
        <f t="shared" si="5"/>
        <v>329</v>
      </c>
      <c r="Q342" s="150" t="s">
        <v>1884</v>
      </c>
      <c r="R34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485-977</v>
      </c>
      <c r="S342" s="157" t="str">
        <f>HYPERLINK("https://www.mouser.com/ProductDetail/" &amp;MouserListTable[[#This Row],[Mouser SKU]])</f>
        <v>https://www.mouser.com/ProductDetail/485-977</v>
      </c>
      <c r="T342" s="152">
        <v>2</v>
      </c>
      <c r="U342" s="152">
        <v>0</v>
      </c>
      <c r="V342" s="152">
        <v>0</v>
      </c>
      <c r="W342" s="152">
        <f>MouserListTable[[#This Row],['#/Unit]]*FilterSpecs!$C$3+MouserListTable[[#This Row],[Extra]]</f>
        <v>10</v>
      </c>
      <c r="X342" s="152">
        <f>IF(MouserListTable[[#This Row],[Tag]]=FilterSpecs!$F$7,MouserListTable[[#This Row],['#/Unit]]*MouserListTable[[#This Row],[Price (USD)]],0)</f>
        <v>1.5</v>
      </c>
      <c r="Y342" s="152">
        <f>MouserListTable[[#This Row],[Tot '#]]*MouserListTable[[#This Row],[Price (USD)]]</f>
        <v>7.5</v>
      </c>
    </row>
    <row r="343" spans="1:25" x14ac:dyDescent="0.25">
      <c r="A343" s="150" t="s">
        <v>889</v>
      </c>
      <c r="B343" s="150" t="s">
        <v>1289</v>
      </c>
      <c r="C343" s="150" t="s">
        <v>5</v>
      </c>
      <c r="D343" s="151" t="str">
        <f>IF(MouserListTable[[#This Row],[Vendor]]=FilterSpecs!$A$8,MouserListTable[[#This Row],[Mouser SKU]], MouserListTable[[#This Row],[Supplier SKU]])</f>
        <v>PRT-09599</v>
      </c>
      <c r="E343" s="152">
        <f>MouserListTable[[#This Row],[Tot '#]]-MouserListTable[[#This Row],['# Initial]]</f>
        <v>2</v>
      </c>
      <c r="F343" s="152">
        <f>IF(AND(MouserListTable[[#This Row],[Tag]]&lt;&gt;FilterSpecs!$F$12, MouserListTable[[#This Row],[Tag]]&lt;&gt;FilterSpecs!$F$9), MouserListTable[[#This Row],['#/Unit]]*FilterSpecs!$B$3+MouserListTable[[#This Row],[Extra Initial]],0)</f>
        <v>0</v>
      </c>
      <c r="G343" s="150" t="s">
        <v>1253</v>
      </c>
      <c r="H343" s="150" t="s">
        <v>1254</v>
      </c>
      <c r="I343" s="150" t="s">
        <v>1255</v>
      </c>
      <c r="J343" s="150">
        <v>1</v>
      </c>
      <c r="K343" s="154">
        <v>1.95</v>
      </c>
      <c r="L343" s="150" t="s">
        <v>2461</v>
      </c>
      <c r="M343" s="151"/>
      <c r="N343" s="154">
        <f>MouserListTable[[#This Row],['# Initial]]*MouserListTable[[#This Row],[Price (USD)]]</f>
        <v>0</v>
      </c>
      <c r="O343" s="151" t="s">
        <v>1252</v>
      </c>
      <c r="P343" s="150">
        <f t="shared" si="5"/>
        <v>330</v>
      </c>
      <c r="Q343" s="150" t="s">
        <v>5</v>
      </c>
      <c r="R34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474-PRT-09599</v>
      </c>
      <c r="S343" s="157" t="str">
        <f>HYPERLINK("https://www.mouser.com/ProductDetail/" &amp;MouserListTable[[#This Row],[Mouser SKU]])</f>
        <v>https://www.mouser.com/ProductDetail/474-PRT-09599</v>
      </c>
      <c r="T343" s="152">
        <v>0</v>
      </c>
      <c r="U343" s="152">
        <v>2</v>
      </c>
      <c r="V343" s="152">
        <v>0</v>
      </c>
      <c r="W343" s="152">
        <f>MouserListTable[[#This Row],['#/Unit]]*FilterSpecs!$C$3+MouserListTable[[#This Row],[Extra]]</f>
        <v>2</v>
      </c>
      <c r="X343" s="152">
        <f>IF(MouserListTable[[#This Row],[Tag]]=FilterSpecs!$F$7,MouserListTable[[#This Row],['#/Unit]]*MouserListTable[[#This Row],[Price (USD)]],0)</f>
        <v>0</v>
      </c>
      <c r="Y343" s="152">
        <f>MouserListTable[[#This Row],[Tot '#]]*MouserListTable[[#This Row],[Price (USD)]]</f>
        <v>3.9</v>
      </c>
    </row>
    <row r="344" spans="1:25" x14ac:dyDescent="0.25">
      <c r="A344" s="150" t="s">
        <v>889</v>
      </c>
      <c r="B344" s="150" t="s">
        <v>1289</v>
      </c>
      <c r="C344" s="150" t="s">
        <v>5</v>
      </c>
      <c r="D344" s="151" t="str">
        <f>IF(MouserListTable[[#This Row],[Vendor]]=FilterSpecs!$A$8,MouserListTable[[#This Row],[Mouser SKU]], MouserListTable[[#This Row],[Supplier SKU]])</f>
        <v>474-PRT-09599</v>
      </c>
      <c r="E344" s="152">
        <f>MouserListTable[[#This Row],[Tot '#]]-MouserListTable[[#This Row],['# Initial]]</f>
        <v>0</v>
      </c>
      <c r="F344" s="152">
        <f>IF(AND(MouserListTable[[#This Row],[Tag]]&lt;&gt;FilterSpecs!$F$12, MouserListTable[[#This Row],[Tag]]&lt;&gt;FilterSpecs!$F$9), MouserListTable[[#This Row],['#/Unit]]*FilterSpecs!$B$3+MouserListTable[[#This Row],[Extra Initial]],0)</f>
        <v>2</v>
      </c>
      <c r="G344" s="150" t="s">
        <v>1253</v>
      </c>
      <c r="H344" s="150" t="s">
        <v>1254</v>
      </c>
      <c r="I344" s="150" t="s">
        <v>1255</v>
      </c>
      <c r="J344" s="150">
        <v>1</v>
      </c>
      <c r="K344" s="154">
        <v>1.95</v>
      </c>
      <c r="L344" s="150" t="s">
        <v>1896</v>
      </c>
      <c r="M344" s="151"/>
      <c r="N344" s="154">
        <f>MouserListTable[[#This Row],['# Initial]]*MouserListTable[[#This Row],[Price (USD)]]</f>
        <v>3.9</v>
      </c>
      <c r="O344" s="151" t="s">
        <v>1252</v>
      </c>
      <c r="P344" s="150">
        <f t="shared" si="5"/>
        <v>331</v>
      </c>
      <c r="Q344" s="150" t="s">
        <v>5</v>
      </c>
      <c r="R34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474-PRT-09599</v>
      </c>
      <c r="S344" s="157" t="str">
        <f>HYPERLINK("https://www.mouser.com/ProductDetail/" &amp;MouserListTable[[#This Row],[Mouser SKU]])</f>
        <v>https://www.mouser.com/ProductDetail/474-PRT-09599</v>
      </c>
      <c r="T344" s="152">
        <v>0</v>
      </c>
      <c r="U344" s="152">
        <v>2</v>
      </c>
      <c r="V344" s="152">
        <v>2</v>
      </c>
      <c r="W344" s="152">
        <f>MouserListTable[[#This Row],['#/Unit]]*FilterSpecs!$C$3+MouserListTable[[#This Row],[Extra]]</f>
        <v>2</v>
      </c>
      <c r="X344" s="152">
        <f>IF(MouserListTable[[#This Row],[Tag]]=FilterSpecs!$F$7,MouserListTable[[#This Row],['#/Unit]]*MouserListTable[[#This Row],[Price (USD)]],0)</f>
        <v>0</v>
      </c>
      <c r="Y344" s="152">
        <f>MouserListTable[[#This Row],[Tot '#]]*MouserListTable[[#This Row],[Price (USD)]]</f>
        <v>3.9</v>
      </c>
    </row>
    <row r="345" spans="1:25" x14ac:dyDescent="0.25">
      <c r="A345" s="150" t="s">
        <v>889</v>
      </c>
      <c r="B345" s="150" t="s">
        <v>1289</v>
      </c>
      <c r="C345" s="150" t="s">
        <v>5</v>
      </c>
      <c r="D345" s="151" t="str">
        <f>IF(MouserListTable[[#This Row],[Vendor]]=FilterSpecs!$A$8,MouserListTable[[#This Row],[Mouser SKU]], MouserListTable[[#This Row],[Supplier SKU]])</f>
        <v>474-PRT-09771</v>
      </c>
      <c r="E345" s="152">
        <f>MouserListTable[[#This Row],[Tot '#]]-MouserListTable[[#This Row],['# Initial]]</f>
        <v>0</v>
      </c>
      <c r="F345" s="152">
        <f>IF(AND(MouserListTable[[#This Row],[Tag]]&lt;&gt;FilterSpecs!$F$12, MouserListTable[[#This Row],[Tag]]&lt;&gt;FilterSpecs!$F$9), MouserListTable[[#This Row],['#/Unit]]*FilterSpecs!$B$3+MouserListTable[[#This Row],[Extra Initial]],0)</f>
        <v>3</v>
      </c>
      <c r="G345" s="150" t="s">
        <v>1069</v>
      </c>
      <c r="H345" s="150" t="s">
        <v>1070</v>
      </c>
      <c r="I345" s="150" t="s">
        <v>1071</v>
      </c>
      <c r="J345" s="150"/>
      <c r="K345" s="154">
        <v>3.95</v>
      </c>
      <c r="L345" s="150" t="s">
        <v>1896</v>
      </c>
      <c r="M345" s="151"/>
      <c r="N345" s="154">
        <f>MouserListTable[[#This Row],['# Initial]]*MouserListTable[[#This Row],[Price (USD)]]</f>
        <v>11.850000000000001</v>
      </c>
      <c r="O345" s="151" t="s">
        <v>1068</v>
      </c>
      <c r="P345" s="150">
        <f t="shared" si="5"/>
        <v>332</v>
      </c>
      <c r="Q345" s="150" t="s">
        <v>5</v>
      </c>
      <c r="R34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474-PRT-09771</v>
      </c>
      <c r="S345" s="157" t="str">
        <f>HYPERLINK("https://www.mouser.com/ProductDetail/" &amp;MouserListTable[[#This Row],[Mouser SKU]])</f>
        <v>https://www.mouser.com/ProductDetail/474-PRT-09771</v>
      </c>
      <c r="T345" s="152">
        <v>0</v>
      </c>
      <c r="U345" s="152">
        <v>3</v>
      </c>
      <c r="V345" s="152">
        <v>3</v>
      </c>
      <c r="W345" s="152">
        <f>MouserListTable[[#This Row],['#/Unit]]*FilterSpecs!$C$3+MouserListTable[[#This Row],[Extra]]</f>
        <v>3</v>
      </c>
      <c r="X345" s="152">
        <f>IF(MouserListTable[[#This Row],[Tag]]=FilterSpecs!$F$7,MouserListTable[[#This Row],['#/Unit]]*MouserListTable[[#This Row],[Price (USD)]],0)</f>
        <v>0</v>
      </c>
      <c r="Y345" s="152">
        <f>MouserListTable[[#This Row],[Tot '#]]*MouserListTable[[#This Row],[Price (USD)]]</f>
        <v>11.850000000000001</v>
      </c>
    </row>
    <row r="346" spans="1:25" x14ac:dyDescent="0.25">
      <c r="A346" s="150" t="s">
        <v>889</v>
      </c>
      <c r="B346" s="150" t="s">
        <v>987</v>
      </c>
      <c r="C346" s="150" t="s">
        <v>5</v>
      </c>
      <c r="D346" s="151" t="str">
        <f>IF(MouserListTable[[#This Row],[Vendor]]=FilterSpecs!$A$8,MouserListTable[[#This Row],[Mouser SKU]], MouserListTable[[#This Row],[Supplier SKU]])</f>
        <v>474-PRT-11796</v>
      </c>
      <c r="E346" s="152">
        <f>MouserListTable[[#This Row],[Tot '#]]-MouserListTable[[#This Row],['# Initial]]</f>
        <v>0</v>
      </c>
      <c r="F346" s="152">
        <f>IF(AND(MouserListTable[[#This Row],[Tag]]&lt;&gt;FilterSpecs!$F$12, MouserListTable[[#This Row],[Tag]]&lt;&gt;FilterSpecs!$F$9), MouserListTable[[#This Row],['#/Unit]]*FilterSpecs!$B$3+MouserListTable[[#This Row],[Extra Initial]],0)</f>
        <v>5</v>
      </c>
      <c r="G346" s="150" t="s">
        <v>637</v>
      </c>
      <c r="H346" s="150" t="s">
        <v>638</v>
      </c>
      <c r="I346" s="150" t="s">
        <v>639</v>
      </c>
      <c r="J346" s="150"/>
      <c r="K346" s="154">
        <v>3.95</v>
      </c>
      <c r="L346" s="150" t="s">
        <v>1897</v>
      </c>
      <c r="M346" s="151"/>
      <c r="N346" s="154">
        <f>MouserListTable[[#This Row],['# Initial]]*MouserListTable[[#This Row],[Price (USD)]]</f>
        <v>19.75</v>
      </c>
      <c r="O346" s="151" t="s">
        <v>636</v>
      </c>
      <c r="P346" s="150">
        <f t="shared" si="5"/>
        <v>333</v>
      </c>
      <c r="Q346" s="150" t="s">
        <v>5</v>
      </c>
      <c r="R34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474-PRT-11796</v>
      </c>
      <c r="S346" s="157" t="str">
        <f>HYPERLINK("https://www.mouser.com/ProductDetail/" &amp;MouserListTable[[#This Row],[Mouser SKU]])</f>
        <v>https://www.mouser.com/ProductDetail/474-PRT-11796</v>
      </c>
      <c r="T346" s="152">
        <v>1</v>
      </c>
      <c r="U346" s="152">
        <v>0</v>
      </c>
      <c r="V346" s="152">
        <v>0</v>
      </c>
      <c r="W346" s="152">
        <f>MouserListTable[[#This Row],['#/Unit]]*FilterSpecs!$C$3+MouserListTable[[#This Row],[Extra]]</f>
        <v>5</v>
      </c>
      <c r="X346" s="152">
        <f>IF(MouserListTable[[#This Row],[Tag]]=FilterSpecs!$F$7,MouserListTable[[#This Row],['#/Unit]]*MouserListTable[[#This Row],[Price (USD)]],0)</f>
        <v>3.95</v>
      </c>
      <c r="Y346" s="152">
        <f>MouserListTable[[#This Row],[Tot '#]]*MouserListTable[[#This Row],[Price (USD)]]</f>
        <v>19.75</v>
      </c>
    </row>
    <row r="347" spans="1:25" x14ac:dyDescent="0.25">
      <c r="A347" s="150" t="s">
        <v>889</v>
      </c>
      <c r="B347" s="150" t="s">
        <v>987</v>
      </c>
      <c r="C347" s="150" t="s">
        <v>5</v>
      </c>
      <c r="D347" s="151" t="str">
        <f>IF(MouserListTable[[#This Row],[Vendor]]=FilterSpecs!$A$8,MouserListTable[[#This Row],[Mouser SKU]], MouserListTable[[#This Row],[Supplier SKU]])</f>
        <v>474-PRT-10927</v>
      </c>
      <c r="E347" s="152">
        <f>MouserListTable[[#This Row],[Tot '#]]-MouserListTable[[#This Row],['# Initial]]</f>
        <v>0</v>
      </c>
      <c r="F347" s="152">
        <f>IF(AND(MouserListTable[[#This Row],[Tag]]&lt;&gt;FilterSpecs!$F$12, MouserListTable[[#This Row],[Tag]]&lt;&gt;FilterSpecs!$F$9), MouserListTable[[#This Row],['#/Unit]]*FilterSpecs!$B$3+MouserListTable[[#This Row],[Extra Initial]],0)</f>
        <v>5</v>
      </c>
      <c r="G347" s="150" t="s">
        <v>645</v>
      </c>
      <c r="H347" s="150" t="s">
        <v>646</v>
      </c>
      <c r="I347" s="150" t="s">
        <v>647</v>
      </c>
      <c r="J347" s="150">
        <v>1</v>
      </c>
      <c r="K347" s="154">
        <v>2.95</v>
      </c>
      <c r="L347" s="150" t="s">
        <v>1897</v>
      </c>
      <c r="M347" s="151"/>
      <c r="N347" s="154">
        <f>MouserListTable[[#This Row],['# Initial]]*MouserListTable[[#This Row],[Price (USD)]]</f>
        <v>14.75</v>
      </c>
      <c r="O347" s="151" t="s">
        <v>644</v>
      </c>
      <c r="P347" s="150">
        <f t="shared" si="5"/>
        <v>334</v>
      </c>
      <c r="Q347" s="150" t="s">
        <v>5</v>
      </c>
      <c r="R34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474-PRT-10927</v>
      </c>
      <c r="S347" s="157" t="str">
        <f>HYPERLINK("https://www.mouser.com/ProductDetail/" &amp;MouserListTable[[#This Row],[Mouser SKU]])</f>
        <v>https://www.mouser.com/ProductDetail/474-PRT-10927</v>
      </c>
      <c r="T347" s="152">
        <v>1</v>
      </c>
      <c r="U347" s="152">
        <v>0</v>
      </c>
      <c r="V347" s="152">
        <v>0</v>
      </c>
      <c r="W347" s="152">
        <f>MouserListTable[[#This Row],['#/Unit]]*FilterSpecs!$C$3+MouserListTable[[#This Row],[Extra]]</f>
        <v>5</v>
      </c>
      <c r="X347" s="152">
        <f>IF(MouserListTable[[#This Row],[Tag]]=FilterSpecs!$F$7,MouserListTable[[#This Row],['#/Unit]]*MouserListTable[[#This Row],[Price (USD)]],0)</f>
        <v>2.95</v>
      </c>
      <c r="Y347" s="152">
        <f>MouserListTable[[#This Row],[Tot '#]]*MouserListTable[[#This Row],[Price (USD)]]</f>
        <v>14.75</v>
      </c>
    </row>
    <row r="348" spans="1:25" x14ac:dyDescent="0.25">
      <c r="A348" s="150" t="s">
        <v>889</v>
      </c>
      <c r="B348" s="150" t="s">
        <v>987</v>
      </c>
      <c r="C348" s="150" t="s">
        <v>5</v>
      </c>
      <c r="D348" s="151" t="str">
        <f>IF(MouserListTable[[#This Row],[Vendor]]=FilterSpecs!$A$8,MouserListTable[[#This Row],[Mouser SKU]], MouserListTable[[#This Row],[Supplier SKU]])</f>
        <v>474-PRT-10453</v>
      </c>
      <c r="E348" s="152">
        <f>MouserListTable[[#This Row],[Tot '#]]-MouserListTable[[#This Row],['# Initial]]</f>
        <v>0</v>
      </c>
      <c r="F348" s="152">
        <f>IF(AND(MouserListTable[[#This Row],[Tag]]&lt;&gt;FilterSpecs!$F$12, MouserListTable[[#This Row],[Tag]]&lt;&gt;FilterSpecs!$F$9), MouserListTable[[#This Row],['#/Unit]]*FilterSpecs!$B$3+MouserListTable[[#This Row],[Extra Initial]],0)</f>
        <v>5</v>
      </c>
      <c r="G348" s="150" t="s">
        <v>701</v>
      </c>
      <c r="H348" s="150" t="s">
        <v>702</v>
      </c>
      <c r="I348" s="150" t="s">
        <v>703</v>
      </c>
      <c r="J348" s="150">
        <v>1</v>
      </c>
      <c r="K348" s="154">
        <v>1.5</v>
      </c>
      <c r="L348" s="150" t="s">
        <v>1897</v>
      </c>
      <c r="M348" s="151"/>
      <c r="N348" s="154">
        <f>MouserListTable[[#This Row],['# Initial]]*MouserListTable[[#This Row],[Price (USD)]]</f>
        <v>7.5</v>
      </c>
      <c r="O348" s="151" t="s">
        <v>700</v>
      </c>
      <c r="P348" s="150">
        <f t="shared" si="5"/>
        <v>335</v>
      </c>
      <c r="Q348" s="150" t="s">
        <v>5</v>
      </c>
      <c r="R34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474-PRT-10453</v>
      </c>
      <c r="S348" s="157" t="str">
        <f>HYPERLINK("https://www.mouser.com/ProductDetail/" &amp;MouserListTable[[#This Row],[Mouser SKU]])</f>
        <v>https://www.mouser.com/ProductDetail/474-PRT-10453</v>
      </c>
      <c r="T348" s="152">
        <v>1</v>
      </c>
      <c r="U348" s="152">
        <v>0</v>
      </c>
      <c r="V348" s="152">
        <v>0</v>
      </c>
      <c r="W348" s="152">
        <f>MouserListTable[[#This Row],['#/Unit]]*FilterSpecs!$C$3+MouserListTable[[#This Row],[Extra]]</f>
        <v>5</v>
      </c>
      <c r="X348" s="152">
        <f>IF(MouserListTable[[#This Row],[Tag]]=FilterSpecs!$F$7,MouserListTable[[#This Row],['#/Unit]]*MouserListTable[[#This Row],[Price (USD)]],0)</f>
        <v>1.5</v>
      </c>
      <c r="Y348" s="152">
        <f>MouserListTable[[#This Row],[Tot '#]]*MouserListTable[[#This Row],[Price (USD)]]</f>
        <v>7.5</v>
      </c>
    </row>
    <row r="349" spans="1:25" x14ac:dyDescent="0.25">
      <c r="A349" s="150" t="s">
        <v>889</v>
      </c>
      <c r="B349" s="150" t="s">
        <v>987</v>
      </c>
      <c r="C349" s="150" t="s">
        <v>5</v>
      </c>
      <c r="D349" s="151" t="str">
        <f>IF(MouserListTable[[#This Row],[Vendor]]=FilterSpecs!$A$8,MouserListTable[[#This Row],[Mouser SKU]], MouserListTable[[#This Row],[Supplier SKU]])</f>
        <v>474-PRT-10738</v>
      </c>
      <c r="E349" s="152">
        <f>MouserListTable[[#This Row],[Tot '#]]-MouserListTable[[#This Row],['# Initial]]</f>
        <v>0</v>
      </c>
      <c r="F349" s="152">
        <f>IF(AND(MouserListTable[[#This Row],[Tag]]&lt;&gt;FilterSpecs!$F$12, MouserListTable[[#This Row],[Tag]]&lt;&gt;FilterSpecs!$F$9), MouserListTable[[#This Row],['#/Unit]]*FilterSpecs!$B$3+MouserListTable[[#This Row],[Extra Initial]],0)</f>
        <v>5</v>
      </c>
      <c r="G349" s="150" t="s">
        <v>902</v>
      </c>
      <c r="H349" s="150" t="s">
        <v>903</v>
      </c>
      <c r="I349" s="150" t="s">
        <v>904</v>
      </c>
      <c r="J349" s="150">
        <v>1</v>
      </c>
      <c r="K349" s="154">
        <v>3.95</v>
      </c>
      <c r="L349" s="150" t="s">
        <v>1897</v>
      </c>
      <c r="M349" s="151"/>
      <c r="N349" s="154">
        <f>MouserListTable[[#This Row],['# Initial]]*MouserListTable[[#This Row],[Price (USD)]]</f>
        <v>19.75</v>
      </c>
      <c r="O349" s="151" t="s">
        <v>901</v>
      </c>
      <c r="P349" s="150">
        <f t="shared" si="5"/>
        <v>336</v>
      </c>
      <c r="Q349" s="150" t="s">
        <v>5</v>
      </c>
      <c r="R34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474-PRT-10738</v>
      </c>
      <c r="S349" s="157" t="str">
        <f>HYPERLINK("https://www.mouser.com/ProductDetail/" &amp;MouserListTable[[#This Row],[Mouser SKU]])</f>
        <v>https://www.mouser.com/ProductDetail/474-PRT-10738</v>
      </c>
      <c r="T349" s="152">
        <v>1</v>
      </c>
      <c r="U349" s="152">
        <v>0</v>
      </c>
      <c r="V349" s="152">
        <v>0</v>
      </c>
      <c r="W349" s="152">
        <f>MouserListTable[[#This Row],['#/Unit]]*FilterSpecs!$C$3+MouserListTable[[#This Row],[Extra]]</f>
        <v>5</v>
      </c>
      <c r="X349" s="152">
        <f>IF(MouserListTable[[#This Row],[Tag]]=FilterSpecs!$F$7,MouserListTable[[#This Row],['#/Unit]]*MouserListTable[[#This Row],[Price (USD)]],0)</f>
        <v>3.95</v>
      </c>
      <c r="Y349" s="152">
        <f>MouserListTable[[#This Row],[Tot '#]]*MouserListTable[[#This Row],[Price (USD)]]</f>
        <v>19.75</v>
      </c>
    </row>
    <row r="350" spans="1:25" x14ac:dyDescent="0.25">
      <c r="A350" s="150" t="s">
        <v>889</v>
      </c>
      <c r="B350" s="150" t="s">
        <v>987</v>
      </c>
      <c r="C350" s="150" t="s">
        <v>5</v>
      </c>
      <c r="D350" s="151" t="str">
        <f>IF(MouserListTable[[#This Row],[Vendor]]=FilterSpecs!$A$8,MouserListTable[[#This Row],[Mouser SKU]], MouserListTable[[#This Row],[Supplier SKU]])</f>
        <v>474-PRT-10450</v>
      </c>
      <c r="E350" s="152">
        <f>MouserListTable[[#This Row],[Tot '#]]-MouserListTable[[#This Row],['# Initial]]</f>
        <v>0</v>
      </c>
      <c r="F350" s="152">
        <f>IF(AND(MouserListTable[[#This Row],[Tag]]&lt;&gt;FilterSpecs!$F$12, MouserListTable[[#This Row],[Tag]]&lt;&gt;FilterSpecs!$F$9), MouserListTable[[#This Row],['#/Unit]]*FilterSpecs!$B$3+MouserListTable[[#This Row],[Extra Initial]],0)</f>
        <v>5</v>
      </c>
      <c r="G350" s="150" t="s">
        <v>906</v>
      </c>
      <c r="H350" s="150" t="s">
        <v>907</v>
      </c>
      <c r="I350" s="150" t="s">
        <v>908</v>
      </c>
      <c r="J350" s="150">
        <v>1</v>
      </c>
      <c r="K350" s="154">
        <v>1.5</v>
      </c>
      <c r="L350" s="150" t="s">
        <v>1897</v>
      </c>
      <c r="M350" s="151"/>
      <c r="N350" s="154">
        <f>MouserListTable[[#This Row],['# Initial]]*MouserListTable[[#This Row],[Price (USD)]]</f>
        <v>7.5</v>
      </c>
      <c r="O350" s="151" t="s">
        <v>905</v>
      </c>
      <c r="P350" s="150">
        <f t="shared" si="5"/>
        <v>337</v>
      </c>
      <c r="Q350" s="150" t="s">
        <v>5</v>
      </c>
      <c r="R35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474-PRT-10450</v>
      </c>
      <c r="S350" s="157" t="str">
        <f>HYPERLINK("https://www.mouser.com/ProductDetail/" &amp;MouserListTable[[#This Row],[Mouser SKU]])</f>
        <v>https://www.mouser.com/ProductDetail/474-PRT-10450</v>
      </c>
      <c r="T350" s="152">
        <v>1</v>
      </c>
      <c r="U350" s="152">
        <v>0</v>
      </c>
      <c r="V350" s="152">
        <v>0</v>
      </c>
      <c r="W350" s="152">
        <f>MouserListTable[[#This Row],['#/Unit]]*FilterSpecs!$C$3+MouserListTable[[#This Row],[Extra]]</f>
        <v>5</v>
      </c>
      <c r="X350" s="152">
        <f>IF(MouserListTable[[#This Row],[Tag]]=FilterSpecs!$F$7,MouserListTable[[#This Row],['#/Unit]]*MouserListTable[[#This Row],[Price (USD)]],0)</f>
        <v>1.5</v>
      </c>
      <c r="Y350" s="152">
        <f>MouserListTable[[#This Row],[Tot '#]]*MouserListTable[[#This Row],[Price (USD)]]</f>
        <v>7.5</v>
      </c>
    </row>
    <row r="351" spans="1:25" x14ac:dyDescent="0.25">
      <c r="A351" s="150" t="s">
        <v>889</v>
      </c>
      <c r="B351" s="150" t="s">
        <v>987</v>
      </c>
      <c r="C351" s="150" t="s">
        <v>5</v>
      </c>
      <c r="D351" s="151" t="str">
        <f>IF(MouserListTable[[#This Row],[Vendor]]=FilterSpecs!$A$8,MouserListTable[[#This Row],[Mouser SKU]], MouserListTable[[#This Row],[Supplier SKU]])</f>
        <v>474-PRT-10463</v>
      </c>
      <c r="E351" s="152">
        <f>MouserListTable[[#This Row],[Tot '#]]-MouserListTable[[#This Row],['# Initial]]</f>
        <v>0</v>
      </c>
      <c r="F351" s="152">
        <f>IF(AND(MouserListTable[[#This Row],[Tag]]&lt;&gt;FilterSpecs!$F$12, MouserListTable[[#This Row],[Tag]]&lt;&gt;FilterSpecs!$F$9), MouserListTable[[#This Row],['#/Unit]]*FilterSpecs!$B$3+MouserListTable[[#This Row],[Extra Initial]],0)</f>
        <v>20</v>
      </c>
      <c r="G351" s="150" t="s">
        <v>930</v>
      </c>
      <c r="H351" s="150" t="s">
        <v>931</v>
      </c>
      <c r="I351" s="150" t="s">
        <v>932</v>
      </c>
      <c r="J351" s="150">
        <v>1</v>
      </c>
      <c r="K351" s="154">
        <v>3.95</v>
      </c>
      <c r="L351" s="150" t="s">
        <v>1897</v>
      </c>
      <c r="M351" s="151"/>
      <c r="N351" s="154">
        <f>MouserListTable[[#This Row],['# Initial]]*MouserListTable[[#This Row],[Price (USD)]]</f>
        <v>79</v>
      </c>
      <c r="O351" s="151" t="s">
        <v>929</v>
      </c>
      <c r="P351" s="150">
        <f t="shared" si="5"/>
        <v>338</v>
      </c>
      <c r="Q351" s="150" t="s">
        <v>5</v>
      </c>
      <c r="R35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474-PRT-10463</v>
      </c>
      <c r="S351" s="157" t="str">
        <f>HYPERLINK("https://www.mouser.com/ProductDetail/" &amp;MouserListTable[[#This Row],[Mouser SKU]])</f>
        <v>https://www.mouser.com/ProductDetail/474-PRT-10463</v>
      </c>
      <c r="T351" s="152">
        <v>4</v>
      </c>
      <c r="U351" s="152">
        <v>0</v>
      </c>
      <c r="V351" s="152">
        <v>0</v>
      </c>
      <c r="W351" s="152">
        <f>MouserListTable[[#This Row],['#/Unit]]*FilterSpecs!$C$3+MouserListTable[[#This Row],[Extra]]</f>
        <v>20</v>
      </c>
      <c r="X351" s="152">
        <f>IF(MouserListTable[[#This Row],[Tag]]=FilterSpecs!$F$7,MouserListTable[[#This Row],['#/Unit]]*MouserListTable[[#This Row],[Price (USD)]],0)</f>
        <v>15.8</v>
      </c>
      <c r="Y351" s="152">
        <f>MouserListTable[[#This Row],[Tot '#]]*MouserListTable[[#This Row],[Price (USD)]]</f>
        <v>79</v>
      </c>
    </row>
    <row r="352" spans="1:25" x14ac:dyDescent="0.25">
      <c r="A352" s="150" t="s">
        <v>889</v>
      </c>
      <c r="B352" s="150" t="s">
        <v>1290</v>
      </c>
      <c r="C352" s="150" t="s">
        <v>5</v>
      </c>
      <c r="D352" s="151" t="str">
        <f>IF(MouserListTable[[#This Row],[Vendor]]=FilterSpecs!$A$8,MouserListTable[[#This Row],[Mouser SKU]], MouserListTable[[#This Row],[Supplier SKU]])</f>
        <v>474-PRT-10561</v>
      </c>
      <c r="E352" s="152">
        <f>MouserListTable[[#This Row],[Tot '#]]-MouserListTable[[#This Row],['# Initial]]</f>
        <v>0</v>
      </c>
      <c r="F352" s="152">
        <f>IF(AND(MouserListTable[[#This Row],[Tag]]&lt;&gt;FilterSpecs!$F$12, MouserListTable[[#This Row],[Tag]]&lt;&gt;FilterSpecs!$F$9), MouserListTable[[#This Row],['#/Unit]]*FilterSpecs!$B$3+MouserListTable[[#This Row],[Extra Initial]],0)</f>
        <v>1</v>
      </c>
      <c r="G352" s="150" t="s">
        <v>1229</v>
      </c>
      <c r="H352" s="150" t="s">
        <v>1230</v>
      </c>
      <c r="I352" s="150" t="s">
        <v>1231</v>
      </c>
      <c r="J352" s="150">
        <v>1</v>
      </c>
      <c r="K352" s="154">
        <v>2.95</v>
      </c>
      <c r="L352" s="150" t="s">
        <v>1896</v>
      </c>
      <c r="M352" s="151"/>
      <c r="N352" s="154">
        <f>MouserListTable[[#This Row],['# Initial]]*MouserListTable[[#This Row],[Price (USD)]]</f>
        <v>2.95</v>
      </c>
      <c r="O352" s="151" t="s">
        <v>1228</v>
      </c>
      <c r="P352" s="150">
        <f t="shared" si="5"/>
        <v>339</v>
      </c>
      <c r="Q352" s="150" t="s">
        <v>5</v>
      </c>
      <c r="R35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474-PRT-10561</v>
      </c>
      <c r="S352" s="157" t="str">
        <f>HYPERLINK("https://www.mouser.com/ProductDetail/" &amp;MouserListTable[[#This Row],[Mouser SKU]])</f>
        <v>https://www.mouser.com/ProductDetail/474-PRT-10561</v>
      </c>
      <c r="T352" s="152">
        <v>0</v>
      </c>
      <c r="U352" s="152">
        <v>1</v>
      </c>
      <c r="V352" s="152">
        <v>1</v>
      </c>
      <c r="W352" s="152">
        <f>MouserListTable[[#This Row],['#/Unit]]*FilterSpecs!$C$3+MouserListTable[[#This Row],[Extra]]</f>
        <v>1</v>
      </c>
      <c r="X352" s="152">
        <f>IF(MouserListTable[[#This Row],[Tag]]=FilterSpecs!$F$7,MouserListTable[[#This Row],['#/Unit]]*MouserListTable[[#This Row],[Price (USD)]],0)</f>
        <v>0</v>
      </c>
      <c r="Y352" s="152">
        <f>MouserListTable[[#This Row],[Tot '#]]*MouserListTable[[#This Row],[Price (USD)]]</f>
        <v>2.95</v>
      </c>
    </row>
    <row r="353" spans="1:25" x14ac:dyDescent="0.25">
      <c r="A353" s="150" t="s">
        <v>889</v>
      </c>
      <c r="B353" s="150" t="s">
        <v>1290</v>
      </c>
      <c r="C353" s="150" t="s">
        <v>5</v>
      </c>
      <c r="D353" s="151" t="str">
        <f>IF(MouserListTable[[#This Row],[Vendor]]=FilterSpecs!$A$8,MouserListTable[[#This Row],[Mouser SKU]], MouserListTable[[#This Row],[Supplier SKU]])</f>
        <v>474-PRT-13827</v>
      </c>
      <c r="E353" s="152">
        <f>MouserListTable[[#This Row],[Tot '#]]-MouserListTable[[#This Row],['# Initial]]</f>
        <v>0</v>
      </c>
      <c r="F353" s="152">
        <f>IF(AND(MouserListTable[[#This Row],[Tag]]&lt;&gt;FilterSpecs!$F$12, MouserListTable[[#This Row],[Tag]]&lt;&gt;FilterSpecs!$F$9), MouserListTable[[#This Row],['#/Unit]]*FilterSpecs!$B$3+MouserListTable[[#This Row],[Extra Initial]],0)</f>
        <v>1</v>
      </c>
      <c r="G353" s="150" t="s">
        <v>1233</v>
      </c>
      <c r="H353" s="150" t="s">
        <v>1234</v>
      </c>
      <c r="I353" s="150" t="s">
        <v>1235</v>
      </c>
      <c r="J353" s="150">
        <v>1</v>
      </c>
      <c r="K353" s="154">
        <v>3.95</v>
      </c>
      <c r="L353" s="150" t="s">
        <v>1896</v>
      </c>
      <c r="M353" s="151"/>
      <c r="N353" s="154">
        <f>MouserListTable[[#This Row],['# Initial]]*MouserListTable[[#This Row],[Price (USD)]]</f>
        <v>3.95</v>
      </c>
      <c r="O353" s="151" t="s">
        <v>1232</v>
      </c>
      <c r="P353" s="150">
        <f t="shared" si="5"/>
        <v>340</v>
      </c>
      <c r="Q353" s="150" t="s">
        <v>5</v>
      </c>
      <c r="R35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474-PRT-13827</v>
      </c>
      <c r="S353" s="157" t="str">
        <f>HYPERLINK("https://www.mouser.com/ProductDetail/" &amp;MouserListTable[[#This Row],[Mouser SKU]])</f>
        <v>https://www.mouser.com/ProductDetail/474-PRT-13827</v>
      </c>
      <c r="T353" s="152">
        <v>0</v>
      </c>
      <c r="U353" s="152">
        <v>1</v>
      </c>
      <c r="V353" s="152">
        <v>1</v>
      </c>
      <c r="W353" s="152">
        <f>MouserListTable[[#This Row],['#/Unit]]*FilterSpecs!$C$3+MouserListTable[[#This Row],[Extra]]</f>
        <v>1</v>
      </c>
      <c r="X353" s="152">
        <f>IF(MouserListTable[[#This Row],[Tag]]=FilterSpecs!$F$7,MouserListTable[[#This Row],['#/Unit]]*MouserListTable[[#This Row],[Price (USD)]],0)</f>
        <v>0</v>
      </c>
      <c r="Y353" s="152">
        <f>MouserListTable[[#This Row],[Tot '#]]*MouserListTable[[#This Row],[Price (USD)]]</f>
        <v>3.95</v>
      </c>
    </row>
    <row r="354" spans="1:25" x14ac:dyDescent="0.25">
      <c r="A354" s="150" t="s">
        <v>889</v>
      </c>
      <c r="B354" s="150" t="s">
        <v>1290</v>
      </c>
      <c r="C354" s="150" t="s">
        <v>5</v>
      </c>
      <c r="D354" s="151" t="str">
        <f>IF(MouserListTable[[#This Row],[Vendor]]=FilterSpecs!$A$8,MouserListTable[[#This Row],[Mouser SKU]], MouserListTable[[#This Row],[Supplier SKU]])</f>
        <v>474-PRT-13828</v>
      </c>
      <c r="E354" s="152">
        <f>MouserListTable[[#This Row],[Tot '#]]-MouserListTable[[#This Row],['# Initial]]</f>
        <v>0</v>
      </c>
      <c r="F354" s="152">
        <f>IF(AND(MouserListTable[[#This Row],[Tag]]&lt;&gt;FilterSpecs!$F$12, MouserListTable[[#This Row],[Tag]]&lt;&gt;FilterSpecs!$F$9), MouserListTable[[#This Row],['#/Unit]]*FilterSpecs!$B$3+MouserListTable[[#This Row],[Extra Initial]],0)</f>
        <v>0</v>
      </c>
      <c r="G354" s="150" t="s">
        <v>1221</v>
      </c>
      <c r="H354" s="150" t="s">
        <v>1222</v>
      </c>
      <c r="I354" s="150" t="s">
        <v>1223</v>
      </c>
      <c r="J354" s="150">
        <v>1</v>
      </c>
      <c r="K354" s="154">
        <v>15.95</v>
      </c>
      <c r="L354" s="150" t="s">
        <v>1896</v>
      </c>
      <c r="M354" s="151"/>
      <c r="N354" s="154">
        <f>MouserListTable[[#This Row],['# Initial]]*MouserListTable[[#This Row],[Price (USD)]]</f>
        <v>0</v>
      </c>
      <c r="O354" s="151" t="s">
        <v>1220</v>
      </c>
      <c r="P354" s="150">
        <f t="shared" si="5"/>
        <v>341</v>
      </c>
      <c r="Q354" s="150" t="s">
        <v>5</v>
      </c>
      <c r="R35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474-PRT-13828</v>
      </c>
      <c r="S354" s="157" t="str">
        <f>HYPERLINK("https://www.mouser.com/ProductDetail/" &amp;MouserListTable[[#This Row],[Mouser SKU]])</f>
        <v>https://www.mouser.com/ProductDetail/474-PRT-13828</v>
      </c>
      <c r="T354" s="152">
        <v>0</v>
      </c>
      <c r="U354" s="152">
        <v>0</v>
      </c>
      <c r="V354" s="152">
        <v>0</v>
      </c>
      <c r="W354" s="152">
        <f>MouserListTable[[#This Row],['#/Unit]]*FilterSpecs!$C$3+MouserListTable[[#This Row],[Extra]]</f>
        <v>0</v>
      </c>
      <c r="X354" s="152">
        <f>IF(MouserListTable[[#This Row],[Tag]]=FilterSpecs!$F$7,MouserListTable[[#This Row],['#/Unit]]*MouserListTable[[#This Row],[Price (USD)]],0)</f>
        <v>0</v>
      </c>
      <c r="Y354" s="152">
        <f>MouserListTable[[#This Row],[Tot '#]]*MouserListTable[[#This Row],[Price (USD)]]</f>
        <v>0</v>
      </c>
    </row>
    <row r="355" spans="1:25" x14ac:dyDescent="0.25">
      <c r="A355" s="150" t="s">
        <v>889</v>
      </c>
      <c r="B355" s="150" t="s">
        <v>1290</v>
      </c>
      <c r="C355" s="150" t="s">
        <v>5</v>
      </c>
      <c r="D355" s="151" t="str">
        <f>IF(MouserListTable[[#This Row],[Vendor]]=FilterSpecs!$A$8,MouserListTable[[#This Row],[Mouser SKU]], MouserListTable[[#This Row],[Supplier SKU]])</f>
        <v>474-PRT-11081</v>
      </c>
      <c r="E355" s="152">
        <f>MouserListTable[[#This Row],[Tot '#]]-MouserListTable[[#This Row],['# Initial]]</f>
        <v>0</v>
      </c>
      <c r="F355" s="152">
        <f>IF(AND(MouserListTable[[#This Row],[Tag]]&lt;&gt;FilterSpecs!$F$12, MouserListTable[[#This Row],[Tag]]&lt;&gt;FilterSpecs!$F$9), MouserListTable[[#This Row],['#/Unit]]*FilterSpecs!$B$3+MouserListTable[[#This Row],[Extra Initial]],0)</f>
        <v>0</v>
      </c>
      <c r="G355" s="150" t="s">
        <v>1225</v>
      </c>
      <c r="H355" s="150" t="s">
        <v>1226</v>
      </c>
      <c r="I355" s="150" t="s">
        <v>1227</v>
      </c>
      <c r="J355" s="150"/>
      <c r="K355" s="154">
        <v>14.95</v>
      </c>
      <c r="L355" s="150" t="s">
        <v>1896</v>
      </c>
      <c r="M355" s="151"/>
      <c r="N355" s="154">
        <f>MouserListTable[[#This Row],['# Initial]]*MouserListTable[[#This Row],[Price (USD)]]</f>
        <v>0</v>
      </c>
      <c r="O355" s="151" t="s">
        <v>1224</v>
      </c>
      <c r="P355" s="150">
        <f t="shared" si="5"/>
        <v>342</v>
      </c>
      <c r="Q355" s="150" t="s">
        <v>5</v>
      </c>
      <c r="R35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474-PRT-11081</v>
      </c>
      <c r="S355" s="157" t="str">
        <f>HYPERLINK("https://www.mouser.com/ProductDetail/" &amp;MouserListTable[[#This Row],[Mouser SKU]])</f>
        <v>https://www.mouser.com/ProductDetail/474-PRT-11081</v>
      </c>
      <c r="T355" s="152">
        <v>0</v>
      </c>
      <c r="U355" s="152">
        <v>0</v>
      </c>
      <c r="V355" s="152">
        <v>0</v>
      </c>
      <c r="W355" s="152">
        <f>MouserListTable[[#This Row],['#/Unit]]*FilterSpecs!$C$3+MouserListTable[[#This Row],[Extra]]</f>
        <v>0</v>
      </c>
      <c r="X355" s="152">
        <f>IF(MouserListTable[[#This Row],[Tag]]=FilterSpecs!$F$7,MouserListTable[[#This Row],['#/Unit]]*MouserListTable[[#This Row],[Price (USD)]],0)</f>
        <v>0</v>
      </c>
      <c r="Y355" s="152">
        <f>MouserListTable[[#This Row],[Tot '#]]*MouserListTable[[#This Row],[Price (USD)]]</f>
        <v>0</v>
      </c>
    </row>
    <row r="356" spans="1:25" x14ac:dyDescent="0.25">
      <c r="A356" s="150" t="s">
        <v>889</v>
      </c>
      <c r="B356" s="150" t="s">
        <v>1290</v>
      </c>
      <c r="C356" s="150" t="s">
        <v>5</v>
      </c>
      <c r="D356" s="151" t="str">
        <f>IF(MouserListTable[[#This Row],[Vendor]]=FilterSpecs!$A$8,MouserListTable[[#This Row],[Mouser SKU]], MouserListTable[[#This Row],[Supplier SKU]])</f>
        <v>474-COM-10994</v>
      </c>
      <c r="E356" s="152">
        <f>MouserListTable[[#This Row],[Tot '#]]-MouserListTable[[#This Row],['# Initial]]</f>
        <v>0</v>
      </c>
      <c r="F356" s="152">
        <f>IF(AND(MouserListTable[[#This Row],[Tag]]&lt;&gt;FilterSpecs!$F$12, MouserListTable[[#This Row],[Tag]]&lt;&gt;FilterSpecs!$F$9), MouserListTable[[#This Row],['#/Unit]]*FilterSpecs!$B$3+MouserListTable[[#This Row],[Extra Initial]],0)</f>
        <v>0</v>
      </c>
      <c r="G356" s="150" t="s">
        <v>1201</v>
      </c>
      <c r="H356" s="150" t="s">
        <v>1202</v>
      </c>
      <c r="I356" s="150" t="s">
        <v>1203</v>
      </c>
      <c r="J356" s="150"/>
      <c r="K356" s="154">
        <v>24.95</v>
      </c>
      <c r="L356" s="150" t="s">
        <v>1896</v>
      </c>
      <c r="M356" s="151"/>
      <c r="N356" s="154">
        <f>MouserListTable[[#This Row],['# Initial]]*MouserListTable[[#This Row],[Price (USD)]]</f>
        <v>0</v>
      </c>
      <c r="O356" s="151" t="s">
        <v>1200</v>
      </c>
      <c r="P356" s="150">
        <f t="shared" si="5"/>
        <v>343</v>
      </c>
      <c r="Q356" s="150" t="s">
        <v>5</v>
      </c>
      <c r="R35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474-COM-10994</v>
      </c>
      <c r="S356" s="157" t="str">
        <f>HYPERLINK("https://www.mouser.com/ProductDetail/" &amp;MouserListTable[[#This Row],[Mouser SKU]])</f>
        <v>https://www.mouser.com/ProductDetail/474-COM-10994</v>
      </c>
      <c r="T356" s="152">
        <v>0</v>
      </c>
      <c r="U356" s="152">
        <v>0</v>
      </c>
      <c r="V356" s="152">
        <v>0</v>
      </c>
      <c r="W356" s="152">
        <f>MouserListTable[[#This Row],['#/Unit]]*FilterSpecs!$C$3+MouserListTable[[#This Row],[Extra]]</f>
        <v>0</v>
      </c>
      <c r="X356" s="152">
        <f>IF(MouserListTable[[#This Row],[Tag]]=FilterSpecs!$F$7,MouserListTable[[#This Row],['#/Unit]]*MouserListTable[[#This Row],[Price (USD)]],0)</f>
        <v>0</v>
      </c>
      <c r="Y356" s="152">
        <f>MouserListTable[[#This Row],[Tot '#]]*MouserListTable[[#This Row],[Price (USD)]]</f>
        <v>0</v>
      </c>
    </row>
    <row r="357" spans="1:25" x14ac:dyDescent="0.25">
      <c r="A357" s="150" t="s">
        <v>889</v>
      </c>
      <c r="B357" s="150" t="s">
        <v>1290</v>
      </c>
      <c r="C357" s="150" t="s">
        <v>5</v>
      </c>
      <c r="D357" s="151" t="str">
        <f>IF(MouserListTable[[#This Row],[Vendor]]=FilterSpecs!$A$8,MouserListTable[[#This Row],[Mouser SKU]], MouserListTable[[#This Row],[Supplier SKU]])</f>
        <v>474-COM-11521</v>
      </c>
      <c r="E357" s="152">
        <f>MouserListTable[[#This Row],[Tot '#]]-MouserListTable[[#This Row],['# Initial]]</f>
        <v>0</v>
      </c>
      <c r="F357" s="152">
        <f>IF(AND(MouserListTable[[#This Row],[Tag]]&lt;&gt;FilterSpecs!$F$12, MouserListTable[[#This Row],[Tag]]&lt;&gt;FilterSpecs!$F$9), MouserListTable[[#This Row],['#/Unit]]*FilterSpecs!$B$3+MouserListTable[[#This Row],[Extra Initial]],0)</f>
        <v>0</v>
      </c>
      <c r="G357" s="150" t="s">
        <v>1241</v>
      </c>
      <c r="H357" s="150" t="s">
        <v>1242</v>
      </c>
      <c r="I357" s="150" t="s">
        <v>1243</v>
      </c>
      <c r="J357" s="150"/>
      <c r="K357" s="154">
        <v>9.9499999999999993</v>
      </c>
      <c r="L357" s="150" t="s">
        <v>1896</v>
      </c>
      <c r="M357" s="151"/>
      <c r="N357" s="154">
        <f>MouserListTable[[#This Row],['# Initial]]*MouserListTable[[#This Row],[Price (USD)]]</f>
        <v>0</v>
      </c>
      <c r="O357" s="151" t="s">
        <v>1240</v>
      </c>
      <c r="P357" s="150">
        <f t="shared" si="5"/>
        <v>344</v>
      </c>
      <c r="Q357" s="150" t="s">
        <v>5</v>
      </c>
      <c r="R35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474-COM-11521</v>
      </c>
      <c r="S357" s="157" t="str">
        <f>HYPERLINK("https://www.mouser.com/ProductDetail/" &amp;MouserListTable[[#This Row],[Mouser SKU]])</f>
        <v>https://www.mouser.com/ProductDetail/474-COM-11521</v>
      </c>
      <c r="T357" s="152">
        <v>0</v>
      </c>
      <c r="U357" s="152">
        <v>0</v>
      </c>
      <c r="V357" s="152">
        <v>0</v>
      </c>
      <c r="W357" s="152">
        <f>MouserListTable[[#This Row],['#/Unit]]*FilterSpecs!$C$3+MouserListTable[[#This Row],[Extra]]</f>
        <v>0</v>
      </c>
      <c r="X357" s="152">
        <f>IF(MouserListTable[[#This Row],[Tag]]=FilterSpecs!$F$7,MouserListTable[[#This Row],['#/Unit]]*MouserListTable[[#This Row],[Price (USD)]],0)</f>
        <v>0</v>
      </c>
      <c r="Y357" s="152">
        <f>MouserListTable[[#This Row],[Tot '#]]*MouserListTable[[#This Row],[Price (USD)]]</f>
        <v>0</v>
      </c>
    </row>
    <row r="358" spans="1:25" x14ac:dyDescent="0.25">
      <c r="A358" s="150" t="s">
        <v>889</v>
      </c>
      <c r="B358" s="150" t="s">
        <v>1290</v>
      </c>
      <c r="C358" s="150" t="s">
        <v>5</v>
      </c>
      <c r="D358" s="151" t="str">
        <f>IF(MouserListTable[[#This Row],[Vendor]]=FilterSpecs!$A$8,MouserListTable[[#This Row],[Mouser SKU]], MouserListTable[[#This Row],[Supplier SKU]])</f>
        <v>474-COM-13254</v>
      </c>
      <c r="E358" s="152">
        <f>MouserListTable[[#This Row],[Tot '#]]-MouserListTable[[#This Row],['# Initial]]</f>
        <v>0</v>
      </c>
      <c r="F358" s="152">
        <f>IF(AND(MouserListTable[[#This Row],[Tag]]&lt;&gt;FilterSpecs!$F$12, MouserListTable[[#This Row],[Tag]]&lt;&gt;FilterSpecs!$F$9), MouserListTable[[#This Row],['#/Unit]]*FilterSpecs!$B$3+MouserListTable[[#This Row],[Extra Initial]],0)</f>
        <v>0</v>
      </c>
      <c r="G358" s="150" t="s">
        <v>1217</v>
      </c>
      <c r="H358" s="150" t="s">
        <v>1218</v>
      </c>
      <c r="I358" s="150" t="s">
        <v>1219</v>
      </c>
      <c r="J358" s="150">
        <v>1</v>
      </c>
      <c r="K358" s="154">
        <v>19.95</v>
      </c>
      <c r="L358" s="150" t="s">
        <v>1896</v>
      </c>
      <c r="M358" s="151"/>
      <c r="N358" s="154">
        <f>MouserListTable[[#This Row],['# Initial]]*MouserListTable[[#This Row],[Price (USD)]]</f>
        <v>0</v>
      </c>
      <c r="O358" s="151" t="s">
        <v>1216</v>
      </c>
      <c r="P358" s="150">
        <f t="shared" si="5"/>
        <v>345</v>
      </c>
      <c r="Q358" s="150" t="s">
        <v>5</v>
      </c>
      <c r="R35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474-COM-13254</v>
      </c>
      <c r="S358" s="157" t="str">
        <f>HYPERLINK("https://www.mouser.com/ProductDetail/" &amp;MouserListTable[[#This Row],[Mouser SKU]])</f>
        <v>https://www.mouser.com/ProductDetail/474-COM-13254</v>
      </c>
      <c r="T358" s="152">
        <v>0</v>
      </c>
      <c r="U358" s="152">
        <v>0</v>
      </c>
      <c r="V358" s="152">
        <v>0</v>
      </c>
      <c r="W358" s="152">
        <f>MouserListTable[[#This Row],['#/Unit]]*FilterSpecs!$C$3+MouserListTable[[#This Row],[Extra]]</f>
        <v>0</v>
      </c>
      <c r="X358" s="152">
        <f>IF(MouserListTable[[#This Row],[Tag]]=FilterSpecs!$F$7,MouserListTable[[#This Row],['#/Unit]]*MouserListTable[[#This Row],[Price (USD)]],0)</f>
        <v>0</v>
      </c>
      <c r="Y358" s="152">
        <f>MouserListTable[[#This Row],[Tot '#]]*MouserListTable[[#This Row],[Price (USD)]]</f>
        <v>0</v>
      </c>
    </row>
    <row r="359" spans="1:25" x14ac:dyDescent="0.25">
      <c r="A359" s="150" t="s">
        <v>890</v>
      </c>
      <c r="B359" s="150" t="s">
        <v>884</v>
      </c>
      <c r="C359" s="150" t="s">
        <v>5</v>
      </c>
      <c r="D359" s="151" t="str">
        <f>IF(MouserListTable[[#This Row],[Vendor]]=FilterSpecs!$A$8,MouserListTable[[#This Row],[Mouser SKU]], MouserListTable[[#This Row],[Supplier SKU]])</f>
        <v>474-BOB-10467</v>
      </c>
      <c r="E359" s="152">
        <f>MouserListTable[[#This Row],[Tot '#]]-MouserListTable[[#This Row],['# Initial]]</f>
        <v>0</v>
      </c>
      <c r="F359" s="152">
        <f>IF(AND(MouserListTable[[#This Row],[Tag]]&lt;&gt;FilterSpecs!$F$12, MouserListTable[[#This Row],[Tag]]&lt;&gt;FilterSpecs!$F$9), MouserListTable[[#This Row],['#/Unit]]*FilterSpecs!$B$3+MouserListTable[[#This Row],[Extra Initial]],0)</f>
        <v>5</v>
      </c>
      <c r="G359" s="150" t="s">
        <v>1283</v>
      </c>
      <c r="H359" s="150" t="s">
        <v>1284</v>
      </c>
      <c r="I359" s="150" t="s">
        <v>1285</v>
      </c>
      <c r="J359" s="150">
        <v>1</v>
      </c>
      <c r="K359" s="154">
        <v>1.5</v>
      </c>
      <c r="L359" s="151" t="s">
        <v>1897</v>
      </c>
      <c r="M359" s="150"/>
      <c r="N359" s="154">
        <f>MouserListTable[[#This Row],['# Initial]]*MouserListTable[[#This Row],[Price (USD)]]</f>
        <v>7.5</v>
      </c>
      <c r="O359" s="151" t="s">
        <v>1282</v>
      </c>
      <c r="P359" s="150">
        <f t="shared" si="5"/>
        <v>346</v>
      </c>
      <c r="Q359" s="150" t="s">
        <v>5</v>
      </c>
      <c r="R35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474-BOB-10467</v>
      </c>
      <c r="S359" s="157" t="str">
        <f>HYPERLINK("https://www.mouser.com/ProductDetail/" &amp;MouserListTable[[#This Row],[Mouser SKU]])</f>
        <v>https://www.mouser.com/ProductDetail/474-BOB-10467</v>
      </c>
      <c r="T359" s="152">
        <v>1</v>
      </c>
      <c r="U359" s="152">
        <v>0</v>
      </c>
      <c r="V359" s="152">
        <v>0</v>
      </c>
      <c r="W359" s="152">
        <f>MouserListTable[[#This Row],['#/Unit]]*FilterSpecs!$C$3+MouserListTable[[#This Row],[Extra]]</f>
        <v>5</v>
      </c>
      <c r="X359" s="152">
        <f>IF(MouserListTable[[#This Row],[Tag]]=FilterSpecs!$F$7,MouserListTable[[#This Row],['#/Unit]]*MouserListTable[[#This Row],[Price (USD)]],0)</f>
        <v>1.5</v>
      </c>
      <c r="Y359" s="152">
        <f>MouserListTable[[#This Row],[Tot '#]]*MouserListTable[[#This Row],[Price (USD)]]</f>
        <v>7.5</v>
      </c>
    </row>
    <row r="360" spans="1:25" x14ac:dyDescent="0.25">
      <c r="A360" s="150" t="s">
        <v>890</v>
      </c>
      <c r="B360" s="150" t="s">
        <v>884</v>
      </c>
      <c r="C360" s="150" t="s">
        <v>5</v>
      </c>
      <c r="D360" s="151" t="str">
        <f>IF(MouserListTable[[#This Row],[Vendor]]=FilterSpecs!$A$8,MouserListTable[[#This Row],[Mouser SKU]], MouserListTable[[#This Row],[Supplier SKU]])</f>
        <v>474-COM-10443</v>
      </c>
      <c r="E360" s="152">
        <f>MouserListTable[[#This Row],[Tot '#]]-MouserListTable[[#This Row],['# Initial]]</f>
        <v>0</v>
      </c>
      <c r="F360" s="152">
        <f>IF(AND(MouserListTable[[#This Row],[Tag]]&lt;&gt;FilterSpecs!$F$12, MouserListTable[[#This Row],[Tag]]&lt;&gt;FilterSpecs!$F$9), MouserListTable[[#This Row],['#/Unit]]*FilterSpecs!$B$3+MouserListTable[[#This Row],[Extra Initial]],0)</f>
        <v>5</v>
      </c>
      <c r="G360" s="150" t="s">
        <v>597</v>
      </c>
      <c r="H360" s="150" t="s">
        <v>598</v>
      </c>
      <c r="I360" s="150" t="s">
        <v>599</v>
      </c>
      <c r="J360" s="150"/>
      <c r="K360" s="154">
        <v>1.95</v>
      </c>
      <c r="L360" s="150" t="s">
        <v>1897</v>
      </c>
      <c r="M360" s="150"/>
      <c r="N360" s="154">
        <f>MouserListTable[[#This Row],['# Initial]]*MouserListTable[[#This Row],[Price (USD)]]</f>
        <v>9.75</v>
      </c>
      <c r="O360" s="151" t="s">
        <v>596</v>
      </c>
      <c r="P360" s="150">
        <f t="shared" si="5"/>
        <v>347</v>
      </c>
      <c r="Q360" s="150" t="s">
        <v>5</v>
      </c>
      <c r="R36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474-COM-10443</v>
      </c>
      <c r="S360" s="157" t="str">
        <f>HYPERLINK("https://www.mouser.com/ProductDetail/" &amp;MouserListTable[[#This Row],[Mouser SKU]])</f>
        <v>https://www.mouser.com/ProductDetail/474-COM-10443</v>
      </c>
      <c r="T360" s="152">
        <v>1</v>
      </c>
      <c r="U360" s="152">
        <v>0</v>
      </c>
      <c r="V360" s="152">
        <v>0</v>
      </c>
      <c r="W360" s="152">
        <f>MouserListTable[[#This Row],['#/Unit]]*FilterSpecs!$C$3+MouserListTable[[#This Row],[Extra]]</f>
        <v>5</v>
      </c>
      <c r="X360" s="152">
        <f>IF(MouserListTable[[#This Row],[Tag]]=FilterSpecs!$F$7,MouserListTable[[#This Row],['#/Unit]]*MouserListTable[[#This Row],[Price (USD)]],0)</f>
        <v>1.95</v>
      </c>
      <c r="Y360" s="152">
        <f>MouserListTable[[#This Row],[Tot '#]]*MouserListTable[[#This Row],[Price (USD)]]</f>
        <v>9.75</v>
      </c>
    </row>
    <row r="361" spans="1:25" x14ac:dyDescent="0.25">
      <c r="A361" s="150" t="s">
        <v>890</v>
      </c>
      <c r="B361" s="150" t="s">
        <v>884</v>
      </c>
      <c r="C361" s="150" t="s">
        <v>5</v>
      </c>
      <c r="D361" s="151" t="str">
        <f>IF(MouserListTable[[#This Row],[Vendor]]=FilterSpecs!$A$8,MouserListTable[[#This Row],[Mouser SKU]], MouserListTable[[#This Row],[Supplier SKU]])</f>
        <v>474-COM-10440</v>
      </c>
      <c r="E361" s="152">
        <f>MouserListTable[[#This Row],[Tot '#]]-MouserListTable[[#This Row],['# Initial]]</f>
        <v>0</v>
      </c>
      <c r="F361" s="152">
        <f>IF(AND(MouserListTable[[#This Row],[Tag]]&lt;&gt;FilterSpecs!$F$12, MouserListTable[[#This Row],[Tag]]&lt;&gt;FilterSpecs!$F$9), MouserListTable[[#This Row],['#/Unit]]*FilterSpecs!$B$3+MouserListTable[[#This Row],[Extra Initial]],0)</f>
        <v>5</v>
      </c>
      <c r="G361" s="150" t="s">
        <v>601</v>
      </c>
      <c r="H361" s="150" t="s">
        <v>602</v>
      </c>
      <c r="I361" s="150" t="s">
        <v>603</v>
      </c>
      <c r="J361" s="150"/>
      <c r="K361" s="154">
        <v>1.95</v>
      </c>
      <c r="L361" s="150" t="s">
        <v>1897</v>
      </c>
      <c r="M361" s="150"/>
      <c r="N361" s="154">
        <f>MouserListTable[[#This Row],['# Initial]]*MouserListTable[[#This Row],[Price (USD)]]</f>
        <v>9.75</v>
      </c>
      <c r="O361" s="151" t="s">
        <v>600</v>
      </c>
      <c r="P361" s="150">
        <f t="shared" si="5"/>
        <v>348</v>
      </c>
      <c r="Q361" s="150" t="s">
        <v>5</v>
      </c>
      <c r="R36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474-COM-10440</v>
      </c>
      <c r="S361" s="157" t="str">
        <f>HYPERLINK("https://www.mouser.com/ProductDetail/" &amp;MouserListTable[[#This Row],[Mouser SKU]])</f>
        <v>https://www.mouser.com/ProductDetail/474-COM-10440</v>
      </c>
      <c r="T361" s="152">
        <v>1</v>
      </c>
      <c r="U361" s="152">
        <v>0</v>
      </c>
      <c r="V361" s="152">
        <v>0</v>
      </c>
      <c r="W361" s="152">
        <f>MouserListTable[[#This Row],['#/Unit]]*FilterSpecs!$C$3+MouserListTable[[#This Row],[Extra]]</f>
        <v>5</v>
      </c>
      <c r="X361" s="152">
        <f>IF(MouserListTable[[#This Row],[Tag]]=FilterSpecs!$F$7,MouserListTable[[#This Row],['#/Unit]]*MouserListTable[[#This Row],[Price (USD)]],0)</f>
        <v>1.95</v>
      </c>
      <c r="Y361" s="152">
        <f>MouserListTable[[#This Row],[Tot '#]]*MouserListTable[[#This Row],[Price (USD)]]</f>
        <v>9.75</v>
      </c>
    </row>
    <row r="362" spans="1:25" x14ac:dyDescent="0.25">
      <c r="A362" s="150" t="s">
        <v>890</v>
      </c>
      <c r="B362" s="150" t="s">
        <v>884</v>
      </c>
      <c r="C362" s="150" t="s">
        <v>5</v>
      </c>
      <c r="D362" s="151" t="str">
        <f>IF(MouserListTable[[#This Row],[Vendor]]=FilterSpecs!$A$8,MouserListTable[[#This Row],[Mouser SKU]], MouserListTable[[#This Row],[Supplier SKU]])</f>
        <v>474-COM-10442</v>
      </c>
      <c r="E362" s="152">
        <f>MouserListTable[[#This Row],[Tot '#]]-MouserListTable[[#This Row],['# Initial]]</f>
        <v>0</v>
      </c>
      <c r="F362" s="152">
        <f>IF(AND(MouserListTable[[#This Row],[Tag]]&lt;&gt;FilterSpecs!$F$12, MouserListTable[[#This Row],[Tag]]&lt;&gt;FilterSpecs!$F$9), MouserListTable[[#This Row],['#/Unit]]*FilterSpecs!$B$3+MouserListTable[[#This Row],[Extra Initial]],0)</f>
        <v>5</v>
      </c>
      <c r="G362" s="150" t="s">
        <v>1286</v>
      </c>
      <c r="H362" s="150" t="s">
        <v>1287</v>
      </c>
      <c r="I362" s="150" t="s">
        <v>1281</v>
      </c>
      <c r="J362" s="150"/>
      <c r="K362" s="154">
        <v>1.95</v>
      </c>
      <c r="L362" s="150" t="s">
        <v>1897</v>
      </c>
      <c r="M362" s="150"/>
      <c r="N362" s="154">
        <f>MouserListTable[[#This Row],['# Initial]]*MouserListTable[[#This Row],[Price (USD)]]</f>
        <v>9.75</v>
      </c>
      <c r="O362" s="151" t="s">
        <v>1280</v>
      </c>
      <c r="P362" s="150">
        <f t="shared" si="5"/>
        <v>349</v>
      </c>
      <c r="Q362" s="150" t="s">
        <v>5</v>
      </c>
      <c r="R36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474-COM-10442</v>
      </c>
      <c r="S362" s="157" t="str">
        <f>HYPERLINK("https://www.mouser.com/ProductDetail/" &amp;MouserListTable[[#This Row],[Mouser SKU]])</f>
        <v>https://www.mouser.com/ProductDetail/474-COM-10442</v>
      </c>
      <c r="T362" s="152">
        <v>1</v>
      </c>
      <c r="U362" s="152">
        <v>0</v>
      </c>
      <c r="V362" s="152">
        <v>0</v>
      </c>
      <c r="W362" s="152">
        <f>MouserListTable[[#This Row],['#/Unit]]*FilterSpecs!$C$3+MouserListTable[[#This Row],[Extra]]</f>
        <v>5</v>
      </c>
      <c r="X362" s="152">
        <f>IF(MouserListTable[[#This Row],[Tag]]=FilterSpecs!$F$7,MouserListTable[[#This Row],['#/Unit]]*MouserListTable[[#This Row],[Price (USD)]],0)</f>
        <v>1.95</v>
      </c>
      <c r="Y362" s="152">
        <f>MouserListTable[[#This Row],[Tot '#]]*MouserListTable[[#This Row],[Price (USD)]]</f>
        <v>9.75</v>
      </c>
    </row>
    <row r="363" spans="1:25" x14ac:dyDescent="0.25">
      <c r="A363" s="97" t="s">
        <v>890</v>
      </c>
      <c r="B363" s="97" t="s">
        <v>884</v>
      </c>
      <c r="C363" s="150" t="s">
        <v>5</v>
      </c>
      <c r="D363" s="151" t="str">
        <f>IF(MouserListTable[[#This Row],[Vendor]]=FilterSpecs!$A$8,MouserListTable[[#This Row],[Mouser SKU]], MouserListTable[[#This Row],[Supplier SKU]])</f>
        <v>474-COM-10441</v>
      </c>
      <c r="E363" s="152">
        <f>MouserListTable[[#This Row],[Tot '#]]-MouserListTable[[#This Row],['# Initial]]</f>
        <v>0</v>
      </c>
      <c r="F363" s="152">
        <f>IF(AND(MouserListTable[[#This Row],[Tag]]&lt;&gt;FilterSpecs!$F$12, MouserListTable[[#This Row],[Tag]]&lt;&gt;FilterSpecs!$F$9), MouserListTable[[#This Row],['#/Unit]]*FilterSpecs!$B$3+MouserListTable[[#This Row],[Extra Initial]],0)</f>
        <v>0</v>
      </c>
      <c r="G363" s="150" t="s">
        <v>1696</v>
      </c>
      <c r="H363" s="150" t="s">
        <v>1697</v>
      </c>
      <c r="I363" s="150" t="s">
        <v>1698</v>
      </c>
      <c r="J363" s="150"/>
      <c r="K363" s="154">
        <v>1.95</v>
      </c>
      <c r="L363" s="150" t="s">
        <v>1896</v>
      </c>
      <c r="M363" s="150"/>
      <c r="N363" s="154">
        <f>MouserListTable[[#This Row],['# Initial]]*MouserListTable[[#This Row],[Price (USD)]]</f>
        <v>0</v>
      </c>
      <c r="O363" s="151" t="s">
        <v>1695</v>
      </c>
      <c r="P363" s="150">
        <f t="shared" si="5"/>
        <v>350</v>
      </c>
      <c r="Q363" s="150" t="s">
        <v>5</v>
      </c>
      <c r="R36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474-COM-10441</v>
      </c>
      <c r="S363" s="157" t="str">
        <f>HYPERLINK("https://www.mouser.com/ProductDetail/" &amp;MouserListTable[[#This Row],[Mouser SKU]])</f>
        <v>https://www.mouser.com/ProductDetail/474-COM-10441</v>
      </c>
      <c r="T363" s="152">
        <v>0</v>
      </c>
      <c r="U363" s="152">
        <v>0</v>
      </c>
      <c r="V363" s="152">
        <v>0</v>
      </c>
      <c r="W363" s="152">
        <f>MouserListTable[[#This Row],['#/Unit]]*FilterSpecs!$C$3+MouserListTable[[#This Row],[Extra]]</f>
        <v>0</v>
      </c>
      <c r="X363" s="152">
        <f>IF(MouserListTable[[#This Row],[Tag]]=FilterSpecs!$F$7,MouserListTable[[#This Row],['#/Unit]]*MouserListTable[[#This Row],[Price (USD)]],0)</f>
        <v>0</v>
      </c>
      <c r="Y363" s="152">
        <f>MouserListTable[[#This Row],[Tot '#]]*MouserListTable[[#This Row],[Price (USD)]]</f>
        <v>0</v>
      </c>
    </row>
    <row r="364" spans="1:25" x14ac:dyDescent="0.25">
      <c r="A364" s="150" t="s">
        <v>890</v>
      </c>
      <c r="B364" s="150" t="s">
        <v>884</v>
      </c>
      <c r="C364" s="150" t="s">
        <v>5</v>
      </c>
      <c r="D364" s="151" t="str">
        <f>IF(MouserListTable[[#This Row],[Vendor]]=FilterSpecs!$A$8,MouserListTable[[#This Row],[Mouser SKU]], MouserListTable[[#This Row],[Supplier SKU]])</f>
        <v>474-COM-10439</v>
      </c>
      <c r="E364" s="152">
        <f>MouserListTable[[#This Row],[Tot '#]]-MouserListTable[[#This Row],['# Initial]]</f>
        <v>1</v>
      </c>
      <c r="F364" s="152">
        <f>IF(AND(MouserListTable[[#This Row],[Tag]]&lt;&gt;FilterSpecs!$F$12, MouserListTable[[#This Row],[Tag]]&lt;&gt;FilterSpecs!$F$9), MouserListTable[[#This Row],['#/Unit]]*FilterSpecs!$B$3+MouserListTable[[#This Row],[Extra Initial]],0)</f>
        <v>0</v>
      </c>
      <c r="G364" s="150" t="s">
        <v>1700</v>
      </c>
      <c r="H364" s="150" t="s">
        <v>1701</v>
      </c>
      <c r="I364" s="150" t="s">
        <v>1702</v>
      </c>
      <c r="J364" s="150"/>
      <c r="K364" s="154">
        <v>1.95</v>
      </c>
      <c r="L364" s="150" t="s">
        <v>1896</v>
      </c>
      <c r="M364" s="150"/>
      <c r="N364" s="154">
        <f>MouserListTable[[#This Row],['# Initial]]*MouserListTable[[#This Row],[Price (USD)]]</f>
        <v>0</v>
      </c>
      <c r="O364" s="151" t="s">
        <v>1699</v>
      </c>
      <c r="P364" s="150">
        <f t="shared" si="5"/>
        <v>351</v>
      </c>
      <c r="Q364" s="150" t="s">
        <v>5</v>
      </c>
      <c r="R36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474-COM-10439</v>
      </c>
      <c r="S364" s="157" t="str">
        <f>HYPERLINK("https://www.mouser.com/ProductDetail/" &amp;MouserListTable[[#This Row],[Mouser SKU]])</f>
        <v>https://www.mouser.com/ProductDetail/474-COM-10439</v>
      </c>
      <c r="T364" s="152">
        <v>0</v>
      </c>
      <c r="U364" s="152">
        <v>1</v>
      </c>
      <c r="V364" s="152">
        <v>0</v>
      </c>
      <c r="W364" s="152">
        <f>MouserListTable[[#This Row],['#/Unit]]*FilterSpecs!$C$3+MouserListTable[[#This Row],[Extra]]</f>
        <v>1</v>
      </c>
      <c r="X364" s="152">
        <f>IF(MouserListTable[[#This Row],[Tag]]=FilterSpecs!$F$7,MouserListTable[[#This Row],['#/Unit]]*MouserListTable[[#This Row],[Price (USD)]],0)</f>
        <v>0</v>
      </c>
      <c r="Y364" s="152">
        <f>MouserListTable[[#This Row],[Tot '#]]*MouserListTable[[#This Row],[Price (USD)]]</f>
        <v>1.95</v>
      </c>
    </row>
    <row r="365" spans="1:25" x14ac:dyDescent="0.25">
      <c r="A365" s="150" t="s">
        <v>890</v>
      </c>
      <c r="B365" s="150" t="s">
        <v>884</v>
      </c>
      <c r="C365" s="150" t="s">
        <v>1884</v>
      </c>
      <c r="D365" s="151" t="str">
        <f>IF(MouserListTable[[#This Row],[Vendor]]=FilterSpecs!$A$8,MouserListTable[[#This Row],[Mouser SKU]], MouserListTable[[#This Row],[Supplier SKU]])</f>
        <v>485-1119</v>
      </c>
      <c r="E365" s="152">
        <f>MouserListTable[[#This Row],[Tot '#]]-MouserListTable[[#This Row],['# Initial]]</f>
        <v>0</v>
      </c>
      <c r="F365" s="152">
        <f>IF(AND(MouserListTable[[#This Row],[Tag]]&lt;&gt;FilterSpecs!$F$12, MouserListTable[[#This Row],[Tag]]&lt;&gt;FilterSpecs!$F$9), MouserListTable[[#This Row],['#/Unit]]*FilterSpecs!$B$3+MouserListTable[[#This Row],[Extra Initial]],0)</f>
        <v>0</v>
      </c>
      <c r="G365" s="150"/>
      <c r="H365" s="150"/>
      <c r="I365" s="150" t="s">
        <v>2112</v>
      </c>
      <c r="J365" s="153"/>
      <c r="K365" s="118">
        <v>2.5</v>
      </c>
      <c r="L365" s="97" t="s">
        <v>1896</v>
      </c>
      <c r="M365" s="153"/>
      <c r="N365" s="154">
        <f>MouserListTable[[#This Row],['# Initial]]*MouserListTable[[#This Row],[Price (USD)]]</f>
        <v>0</v>
      </c>
      <c r="O365" s="151" t="s">
        <v>2111</v>
      </c>
      <c r="P365" s="150">
        <f t="shared" si="5"/>
        <v>352</v>
      </c>
      <c r="Q365" s="150" t="s">
        <v>1884</v>
      </c>
      <c r="R36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485-1119</v>
      </c>
      <c r="S365" s="157" t="str">
        <f>HYPERLINK("https://www.mouser.com/ProductDetail/" &amp;MouserListTable[[#This Row],[Mouser SKU]])</f>
        <v>https://www.mouser.com/ProductDetail/485-1119</v>
      </c>
      <c r="T365" s="152">
        <v>0</v>
      </c>
      <c r="U365" s="152">
        <v>0</v>
      </c>
      <c r="V365" s="152">
        <v>0</v>
      </c>
      <c r="W365" s="152">
        <f>MouserListTable[[#This Row],['#/Unit]]*FilterSpecs!$C$3+MouserListTable[[#This Row],[Extra]]</f>
        <v>0</v>
      </c>
      <c r="X365" s="152">
        <f>IF(MouserListTable[[#This Row],[Tag]]=FilterSpecs!$F$7,MouserListTable[[#This Row],['#/Unit]]*MouserListTable[[#This Row],[Price (USD)]],0)</f>
        <v>0</v>
      </c>
      <c r="Y365" s="152">
        <f>MouserListTable[[#This Row],[Tot '#]]*MouserListTable[[#This Row],[Price (USD)]]</f>
        <v>0</v>
      </c>
    </row>
    <row r="366" spans="1:25" x14ac:dyDescent="0.25">
      <c r="A366" s="150" t="s">
        <v>890</v>
      </c>
      <c r="B366" s="150" t="s">
        <v>884</v>
      </c>
      <c r="C366" s="150" t="s">
        <v>5</v>
      </c>
      <c r="D366" s="151" t="str">
        <f>IF(MouserListTable[[#This Row],[Vendor]]=FilterSpecs!$A$8,MouserListTable[[#This Row],[Mouser SKU]], MouserListTable[[#This Row],[Supplier SKU]])</f>
        <v>474-COM-00097</v>
      </c>
      <c r="E366" s="152">
        <f>MouserListTable[[#This Row],[Tot '#]]-MouserListTable[[#This Row],['# Initial]]</f>
        <v>0</v>
      </c>
      <c r="F366" s="152">
        <f>IF(AND(MouserListTable[[#This Row],[Tag]]&lt;&gt;FilterSpecs!$F$12, MouserListTable[[#This Row],[Tag]]&lt;&gt;FilterSpecs!$F$9), MouserListTable[[#This Row],['#/Unit]]*FilterSpecs!$B$3+MouserListTable[[#This Row],[Extra Initial]],0)</f>
        <v>5</v>
      </c>
      <c r="G366" s="150" t="s">
        <v>609</v>
      </c>
      <c r="H366" s="150" t="s">
        <v>610</v>
      </c>
      <c r="I366" s="150" t="s">
        <v>611</v>
      </c>
      <c r="J366" s="150">
        <v>1</v>
      </c>
      <c r="K366" s="154">
        <v>0.35</v>
      </c>
      <c r="L366" s="150" t="s">
        <v>1897</v>
      </c>
      <c r="M366" s="150"/>
      <c r="N366" s="154">
        <f>MouserListTable[[#This Row],['# Initial]]*MouserListTable[[#This Row],[Price (USD)]]</f>
        <v>1.75</v>
      </c>
      <c r="O366" s="151" t="s">
        <v>608</v>
      </c>
      <c r="P366" s="150">
        <f t="shared" si="5"/>
        <v>353</v>
      </c>
      <c r="Q366" s="150" t="s">
        <v>5</v>
      </c>
      <c r="R36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474-COM-00097</v>
      </c>
      <c r="S366" s="157" t="str">
        <f>HYPERLINK("https://www.mouser.com/ProductDetail/" &amp;MouserListTable[[#This Row],[Mouser SKU]])</f>
        <v>https://www.mouser.com/ProductDetail/474-COM-00097</v>
      </c>
      <c r="T366" s="152">
        <v>1</v>
      </c>
      <c r="U366" s="152">
        <v>0</v>
      </c>
      <c r="V366" s="152">
        <v>0</v>
      </c>
      <c r="W366" s="152">
        <f>MouserListTable[[#This Row],['#/Unit]]*FilterSpecs!$C$3+MouserListTable[[#This Row],[Extra]]</f>
        <v>5</v>
      </c>
      <c r="X366" s="152">
        <f>IF(MouserListTable[[#This Row],[Tag]]=FilterSpecs!$F$7,MouserListTable[[#This Row],['#/Unit]]*MouserListTable[[#This Row],[Price (USD)]],0)</f>
        <v>0.35</v>
      </c>
      <c r="Y366" s="152">
        <f>MouserListTable[[#This Row],[Tot '#]]*MouserListTable[[#This Row],[Price (USD)]]</f>
        <v>1.75</v>
      </c>
    </row>
    <row r="367" spans="1:25" x14ac:dyDescent="0.25">
      <c r="A367" s="150" t="s">
        <v>890</v>
      </c>
      <c r="B367" s="150" t="s">
        <v>884</v>
      </c>
      <c r="C367" s="150" t="s">
        <v>5</v>
      </c>
      <c r="D367" s="151" t="str">
        <f>IF(MouserListTable[[#This Row],[Vendor]]=FilterSpecs!$A$8,MouserListTable[[#This Row],[Mouser SKU]], MouserListTable[[#This Row],[Supplier SKU]])</f>
        <v>474-COM-08605</v>
      </c>
      <c r="E367" s="152">
        <f>MouserListTable[[#This Row],[Tot '#]]-MouserListTable[[#This Row],['# Initial]]</f>
        <v>0</v>
      </c>
      <c r="F367" s="152">
        <f>IF(AND(MouserListTable[[#This Row],[Tag]]&lt;&gt;FilterSpecs!$F$12, MouserListTable[[#This Row],[Tag]]&lt;&gt;FilterSpecs!$F$9), MouserListTable[[#This Row],['#/Unit]]*FilterSpecs!$B$3+MouserListTable[[#This Row],[Extra Initial]],0)</f>
        <v>5</v>
      </c>
      <c r="G367" s="150" t="s">
        <v>621</v>
      </c>
      <c r="H367" s="150" t="s">
        <v>622</v>
      </c>
      <c r="I367" s="150" t="s">
        <v>623</v>
      </c>
      <c r="J367" s="150">
        <v>1</v>
      </c>
      <c r="K367" s="154">
        <v>0.5</v>
      </c>
      <c r="L367" s="150" t="s">
        <v>1897</v>
      </c>
      <c r="M367" s="150"/>
      <c r="N367" s="154">
        <f>MouserListTable[[#This Row],['# Initial]]*MouserListTable[[#This Row],[Price (USD)]]</f>
        <v>2.5</v>
      </c>
      <c r="O367" s="151" t="s">
        <v>620</v>
      </c>
      <c r="P367" s="150">
        <f t="shared" si="5"/>
        <v>354</v>
      </c>
      <c r="Q367" s="150" t="s">
        <v>5</v>
      </c>
      <c r="R36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474-COM-08605</v>
      </c>
      <c r="S367" s="157" t="str">
        <f>HYPERLINK("https://www.mouser.com/ProductDetail/" &amp;MouserListTable[[#This Row],[Mouser SKU]])</f>
        <v>https://www.mouser.com/ProductDetail/474-COM-08605</v>
      </c>
      <c r="T367" s="152">
        <v>1</v>
      </c>
      <c r="U367" s="152">
        <v>0</v>
      </c>
      <c r="V367" s="152">
        <v>0</v>
      </c>
      <c r="W367" s="152">
        <f>MouserListTable[[#This Row],['#/Unit]]*FilterSpecs!$C$3+MouserListTable[[#This Row],[Extra]]</f>
        <v>5</v>
      </c>
      <c r="X367" s="152">
        <f>IF(MouserListTable[[#This Row],[Tag]]=FilterSpecs!$F$7,MouserListTable[[#This Row],['#/Unit]]*MouserListTable[[#This Row],[Price (USD)]],0)</f>
        <v>0.5</v>
      </c>
      <c r="Y367" s="152">
        <f>MouserListTable[[#This Row],[Tot '#]]*MouserListTable[[#This Row],[Price (USD)]]</f>
        <v>2.5</v>
      </c>
    </row>
    <row r="368" spans="1:25" x14ac:dyDescent="0.25">
      <c r="A368" s="150" t="s">
        <v>890</v>
      </c>
      <c r="B368" s="150" t="s">
        <v>884</v>
      </c>
      <c r="C368" s="150" t="s">
        <v>5</v>
      </c>
      <c r="D368" s="151" t="str">
        <f>IF(MouserListTable[[#This Row],[Vendor]]=FilterSpecs!$A$8,MouserListTable[[#This Row],[Mouser SKU]], MouserListTable[[#This Row],[Supplier SKU]])</f>
        <v>474-COM-09190</v>
      </c>
      <c r="E368" s="152">
        <f>MouserListTable[[#This Row],[Tot '#]]-MouserListTable[[#This Row],['# Initial]]</f>
        <v>0</v>
      </c>
      <c r="F368" s="152">
        <f>IF(AND(MouserListTable[[#This Row],[Tag]]&lt;&gt;FilterSpecs!$F$12, MouserListTable[[#This Row],[Tag]]&lt;&gt;FilterSpecs!$F$9), MouserListTable[[#This Row],['#/Unit]]*FilterSpecs!$B$3+MouserListTable[[#This Row],[Extra Initial]],0)</f>
        <v>5</v>
      </c>
      <c r="G368" s="150" t="s">
        <v>617</v>
      </c>
      <c r="H368" s="150" t="s">
        <v>618</v>
      </c>
      <c r="I368" s="150" t="s">
        <v>619</v>
      </c>
      <c r="J368" s="150">
        <v>1</v>
      </c>
      <c r="K368" s="154">
        <v>0.5</v>
      </c>
      <c r="L368" s="150" t="s">
        <v>1897</v>
      </c>
      <c r="M368" s="150"/>
      <c r="N368" s="154">
        <f>MouserListTable[[#This Row],['# Initial]]*MouserListTable[[#This Row],[Price (USD)]]</f>
        <v>2.5</v>
      </c>
      <c r="O368" s="151" t="s">
        <v>616</v>
      </c>
      <c r="P368" s="150">
        <f t="shared" si="5"/>
        <v>355</v>
      </c>
      <c r="Q368" s="150" t="s">
        <v>5</v>
      </c>
      <c r="R36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474-COM-09190</v>
      </c>
      <c r="S368" s="157" t="str">
        <f>HYPERLINK("https://www.mouser.com/ProductDetail/" &amp;MouserListTable[[#This Row],[Mouser SKU]])</f>
        <v>https://www.mouser.com/ProductDetail/474-COM-09190</v>
      </c>
      <c r="T368" s="152">
        <v>1</v>
      </c>
      <c r="U368" s="152">
        <v>0</v>
      </c>
      <c r="V368" s="152">
        <v>0</v>
      </c>
      <c r="W368" s="152">
        <f>MouserListTable[[#This Row],['#/Unit]]*FilterSpecs!$C$3+MouserListTable[[#This Row],[Extra]]</f>
        <v>5</v>
      </c>
      <c r="X368" s="152">
        <f>IF(MouserListTable[[#This Row],[Tag]]=FilterSpecs!$F$7,MouserListTable[[#This Row],['#/Unit]]*MouserListTable[[#This Row],[Price (USD)]],0)</f>
        <v>0.5</v>
      </c>
      <c r="Y368" s="152">
        <f>MouserListTable[[#This Row],[Tot '#]]*MouserListTable[[#This Row],[Price (USD)]]</f>
        <v>2.5</v>
      </c>
    </row>
    <row r="369" spans="1:25" x14ac:dyDescent="0.25">
      <c r="A369" s="150" t="s">
        <v>890</v>
      </c>
      <c r="B369" s="150" t="s">
        <v>884</v>
      </c>
      <c r="C369" s="150" t="s">
        <v>1884</v>
      </c>
      <c r="D369" s="151" t="str">
        <f>IF(MouserListTable[[#This Row],[Vendor]]=FilterSpecs!$A$8,MouserListTable[[#This Row],[Mouser SKU]], MouserListTable[[#This Row],[Supplier SKU]])</f>
        <v>485-3105</v>
      </c>
      <c r="E369" s="152">
        <f>MouserListTable[[#This Row],[Tot '#]]-MouserListTable[[#This Row],['# Initial]]</f>
        <v>0</v>
      </c>
      <c r="F369" s="152">
        <f>IF(AND(MouserListTable[[#This Row],[Tag]]&lt;&gt;FilterSpecs!$F$12, MouserListTable[[#This Row],[Tag]]&lt;&gt;FilterSpecs!$F$9), MouserListTable[[#This Row],['#/Unit]]*FilterSpecs!$B$3+MouserListTable[[#This Row],[Extra Initial]],0)</f>
        <v>0</v>
      </c>
      <c r="G369" s="150"/>
      <c r="H369" s="150"/>
      <c r="I369" s="150" t="s">
        <v>2100</v>
      </c>
      <c r="J369" s="153"/>
      <c r="K369" s="118">
        <v>1.95</v>
      </c>
      <c r="L369" s="97" t="s">
        <v>1896</v>
      </c>
      <c r="M369" s="153"/>
      <c r="N369" s="154">
        <f>MouserListTable[[#This Row],['# Initial]]*MouserListTable[[#This Row],[Price (USD)]]</f>
        <v>0</v>
      </c>
      <c r="O369" s="151" t="s">
        <v>2099</v>
      </c>
      <c r="P369" s="150">
        <f t="shared" si="5"/>
        <v>356</v>
      </c>
      <c r="Q369" s="150" t="s">
        <v>1884</v>
      </c>
      <c r="R36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485-3105</v>
      </c>
      <c r="S369" s="157" t="str">
        <f>HYPERLINK("https://www.mouser.com/ProductDetail/" &amp;MouserListTable[[#This Row],[Mouser SKU]])</f>
        <v>https://www.mouser.com/ProductDetail/485-3105</v>
      </c>
      <c r="T369" s="152">
        <v>0</v>
      </c>
      <c r="U369" s="152">
        <v>0</v>
      </c>
      <c r="V369" s="152">
        <v>0</v>
      </c>
      <c r="W369" s="152">
        <f>MouserListTable[[#This Row],['#/Unit]]*FilterSpecs!$C$3+MouserListTable[[#This Row],[Extra]]</f>
        <v>0</v>
      </c>
      <c r="X369" s="152">
        <f>IF(MouserListTable[[#This Row],[Tag]]=FilterSpecs!$F$7,MouserListTable[[#This Row],['#/Unit]]*MouserListTable[[#This Row],[Price (USD)]],0)</f>
        <v>0</v>
      </c>
      <c r="Y369" s="152">
        <f>MouserListTable[[#This Row],[Tot '#]]*MouserListTable[[#This Row],[Price (USD)]]</f>
        <v>0</v>
      </c>
    </row>
    <row r="370" spans="1:25" x14ac:dyDescent="0.25">
      <c r="A370" s="150" t="s">
        <v>890</v>
      </c>
      <c r="B370" s="150" t="s">
        <v>884</v>
      </c>
      <c r="C370" s="150" t="s">
        <v>1884</v>
      </c>
      <c r="D370" s="151" t="str">
        <f>IF(MouserListTable[[#This Row],[Vendor]]=FilterSpecs!$A$8,MouserListTable[[#This Row],[Mouser SKU]], MouserListTable[[#This Row],[Supplier SKU]])</f>
        <v>485-3104</v>
      </c>
      <c r="E370" s="152">
        <f>MouserListTable[[#This Row],[Tot '#]]-MouserListTable[[#This Row],['# Initial]]</f>
        <v>0</v>
      </c>
      <c r="F370" s="152">
        <f>IF(AND(MouserListTable[[#This Row],[Tag]]&lt;&gt;FilterSpecs!$F$12, MouserListTable[[#This Row],[Tag]]&lt;&gt;FilterSpecs!$F$9), MouserListTable[[#This Row],['#/Unit]]*FilterSpecs!$B$3+MouserListTable[[#This Row],[Extra Initial]],0)</f>
        <v>0</v>
      </c>
      <c r="G370" s="150"/>
      <c r="H370" s="150"/>
      <c r="I370" s="150" t="s">
        <v>2102</v>
      </c>
      <c r="J370" s="153"/>
      <c r="K370" s="118">
        <v>1.95</v>
      </c>
      <c r="L370" s="97" t="s">
        <v>1896</v>
      </c>
      <c r="M370" s="153"/>
      <c r="N370" s="154">
        <f>MouserListTable[[#This Row],['# Initial]]*MouserListTable[[#This Row],[Price (USD)]]</f>
        <v>0</v>
      </c>
      <c r="O370" s="151" t="s">
        <v>2101</v>
      </c>
      <c r="P370" s="150">
        <f t="shared" si="5"/>
        <v>357</v>
      </c>
      <c r="Q370" s="150" t="s">
        <v>1884</v>
      </c>
      <c r="R37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485-3104</v>
      </c>
      <c r="S370" s="157" t="str">
        <f>HYPERLINK("https://www.mouser.com/ProductDetail/" &amp;MouserListTable[[#This Row],[Mouser SKU]])</f>
        <v>https://www.mouser.com/ProductDetail/485-3104</v>
      </c>
      <c r="T370" s="152">
        <v>0</v>
      </c>
      <c r="U370" s="152">
        <v>0</v>
      </c>
      <c r="V370" s="152">
        <v>0</v>
      </c>
      <c r="W370" s="152">
        <f>MouserListTable[[#This Row],['#/Unit]]*FilterSpecs!$C$3+MouserListTable[[#This Row],[Extra]]</f>
        <v>0</v>
      </c>
      <c r="X370" s="152">
        <f>IF(MouserListTable[[#This Row],[Tag]]=FilterSpecs!$F$7,MouserListTable[[#This Row],['#/Unit]]*MouserListTable[[#This Row],[Price (USD)]],0)</f>
        <v>0</v>
      </c>
      <c r="Y370" s="152">
        <f>MouserListTable[[#This Row],[Tot '#]]*MouserListTable[[#This Row],[Price (USD)]]</f>
        <v>0</v>
      </c>
    </row>
    <row r="371" spans="1:25" x14ac:dyDescent="0.25">
      <c r="A371" s="150" t="s">
        <v>890</v>
      </c>
      <c r="B371" s="150" t="s">
        <v>884</v>
      </c>
      <c r="C371" s="150" t="s">
        <v>5</v>
      </c>
      <c r="D371" s="151" t="str">
        <f>IF(MouserListTable[[#This Row],[Vendor]]=FilterSpecs!$A$8,MouserListTable[[#This Row],[Mouser SKU]], MouserListTable[[#This Row],[Supplier SKU]])</f>
        <v>474-COM-10791</v>
      </c>
      <c r="E371" s="152">
        <f>MouserListTable[[#This Row],[Tot '#]]-MouserListTable[[#This Row],['# Initial]]</f>
        <v>0</v>
      </c>
      <c r="F371" s="152">
        <f>IF(AND(MouserListTable[[#This Row],[Tag]]&lt;&gt;FilterSpecs!$F$12, MouserListTable[[#This Row],[Tag]]&lt;&gt;FilterSpecs!$F$9), MouserListTable[[#This Row],['#/Unit]]*FilterSpecs!$B$3+MouserListTable[[#This Row],[Extra Initial]],0)</f>
        <v>5</v>
      </c>
      <c r="G371" s="150" t="s">
        <v>613</v>
      </c>
      <c r="H371" s="150" t="s">
        <v>614</v>
      </c>
      <c r="I371" s="150" t="s">
        <v>615</v>
      </c>
      <c r="J371" s="150">
        <v>1</v>
      </c>
      <c r="K371" s="154">
        <v>0.5</v>
      </c>
      <c r="L371" s="150" t="s">
        <v>1897</v>
      </c>
      <c r="M371" s="150"/>
      <c r="N371" s="154">
        <f>MouserListTable[[#This Row],['# Initial]]*MouserListTable[[#This Row],[Price (USD)]]</f>
        <v>2.5</v>
      </c>
      <c r="O371" s="151" t="s">
        <v>612</v>
      </c>
      <c r="P371" s="150">
        <f t="shared" si="5"/>
        <v>358</v>
      </c>
      <c r="Q371" s="150" t="s">
        <v>5</v>
      </c>
      <c r="R37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474-COM-10791</v>
      </c>
      <c r="S371" s="157" t="str">
        <f>HYPERLINK("https://www.mouser.com/ProductDetail/" &amp;MouserListTable[[#This Row],[Mouser SKU]])</f>
        <v>https://www.mouser.com/ProductDetail/474-COM-10791</v>
      </c>
      <c r="T371" s="152">
        <v>1</v>
      </c>
      <c r="U371" s="152">
        <v>0</v>
      </c>
      <c r="V371" s="152">
        <v>0</v>
      </c>
      <c r="W371" s="152">
        <f>MouserListTable[[#This Row],['#/Unit]]*FilterSpecs!$C$3+MouserListTable[[#This Row],[Extra]]</f>
        <v>5</v>
      </c>
      <c r="X371" s="152">
        <f>IF(MouserListTable[[#This Row],[Tag]]=FilterSpecs!$F$7,MouserListTable[[#This Row],['#/Unit]]*MouserListTable[[#This Row],[Price (USD)]],0)</f>
        <v>0.5</v>
      </c>
      <c r="Y371" s="152">
        <f>MouserListTable[[#This Row],[Tot '#]]*MouserListTable[[#This Row],[Price (USD)]]</f>
        <v>2.5</v>
      </c>
    </row>
    <row r="372" spans="1:25" x14ac:dyDescent="0.25">
      <c r="A372" s="150" t="s">
        <v>890</v>
      </c>
      <c r="B372" s="150" t="s">
        <v>884</v>
      </c>
      <c r="C372" s="150" t="s">
        <v>5</v>
      </c>
      <c r="D372" s="151" t="str">
        <f>IF(MouserListTable[[#This Row],[Vendor]]=FilterSpecs!$A$8,MouserListTable[[#This Row],[Mouser SKU]], MouserListTable[[#This Row],[Supplier SKU]])</f>
        <v>474-COM-08837</v>
      </c>
      <c r="E372" s="152">
        <f>MouserListTable[[#This Row],[Tot '#]]-MouserListTable[[#This Row],['# Initial]]</f>
        <v>2</v>
      </c>
      <c r="F372" s="152">
        <f>IF(AND(MouserListTable[[#This Row],[Tag]]&lt;&gt;FilterSpecs!$F$12, MouserListTable[[#This Row],[Tag]]&lt;&gt;FilterSpecs!$F$9), MouserListTable[[#This Row],['#/Unit]]*FilterSpecs!$B$3+MouserListTable[[#This Row],[Extra Initial]],0)</f>
        <v>5</v>
      </c>
      <c r="G372" s="150" t="s">
        <v>525</v>
      </c>
      <c r="H372" s="150" t="s">
        <v>526</v>
      </c>
      <c r="I372" s="150" t="s">
        <v>527</v>
      </c>
      <c r="J372" s="150">
        <v>1</v>
      </c>
      <c r="K372" s="154">
        <v>0.95</v>
      </c>
      <c r="L372" s="151" t="s">
        <v>1897</v>
      </c>
      <c r="M372" s="150"/>
      <c r="N372" s="154">
        <f>MouserListTable[[#This Row],['# Initial]]*MouserListTable[[#This Row],[Price (USD)]]</f>
        <v>4.75</v>
      </c>
      <c r="O372" s="151" t="s">
        <v>524</v>
      </c>
      <c r="P372" s="150">
        <f t="shared" si="5"/>
        <v>359</v>
      </c>
      <c r="Q372" s="150" t="s">
        <v>5</v>
      </c>
      <c r="R37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474-COM-08837</v>
      </c>
      <c r="S372" s="157" t="str">
        <f>HYPERLINK("https://www.mouser.com/ProductDetail/" &amp;MouserListTable[[#This Row],[Mouser SKU]])</f>
        <v>https://www.mouser.com/ProductDetail/474-COM-08837</v>
      </c>
      <c r="T372" s="152">
        <v>1</v>
      </c>
      <c r="U372" s="152">
        <v>2</v>
      </c>
      <c r="V372" s="152">
        <v>0</v>
      </c>
      <c r="W372" s="152">
        <f>MouserListTable[[#This Row],['#/Unit]]*FilterSpecs!$C$3+MouserListTable[[#This Row],[Extra]]</f>
        <v>7</v>
      </c>
      <c r="X372" s="152">
        <f>IF(MouserListTable[[#This Row],[Tag]]=FilterSpecs!$F$7,MouserListTable[[#This Row],['#/Unit]]*MouserListTable[[#This Row],[Price (USD)]],0)</f>
        <v>0.95</v>
      </c>
      <c r="Y372" s="152">
        <f>MouserListTable[[#This Row],[Tot '#]]*MouserListTable[[#This Row],[Price (USD)]]</f>
        <v>6.6499999999999995</v>
      </c>
    </row>
    <row r="373" spans="1:25" x14ac:dyDescent="0.25">
      <c r="A373" s="150" t="s">
        <v>890</v>
      </c>
      <c r="B373" s="150" t="s">
        <v>884</v>
      </c>
      <c r="C373" s="150" t="s">
        <v>5</v>
      </c>
      <c r="D373" s="151" t="str">
        <f>IF(MouserListTable[[#This Row],[Vendor]]=FilterSpecs!$A$8,MouserListTable[[#This Row],[Mouser SKU]], MouserListTable[[#This Row],[Supplier SKU]])</f>
        <v>474-COM-00102</v>
      </c>
      <c r="E373" s="152">
        <f>MouserListTable[[#This Row],[Tot '#]]-MouserListTable[[#This Row],['# Initial]]</f>
        <v>0</v>
      </c>
      <c r="F373" s="152">
        <f>IF(AND(MouserListTable[[#This Row],[Tag]]&lt;&gt;FilterSpecs!$F$12, MouserListTable[[#This Row],[Tag]]&lt;&gt;FilterSpecs!$F$9), MouserListTable[[#This Row],['#/Unit]]*FilterSpecs!$B$3+MouserListTable[[#This Row],[Extra Initial]],0)</f>
        <v>5</v>
      </c>
      <c r="G373" s="150" t="s">
        <v>625</v>
      </c>
      <c r="H373" s="150" t="s">
        <v>626</v>
      </c>
      <c r="I373" s="150" t="s">
        <v>2549</v>
      </c>
      <c r="J373" s="150">
        <v>1</v>
      </c>
      <c r="K373" s="154">
        <v>1.5</v>
      </c>
      <c r="L373" s="150" t="s">
        <v>1897</v>
      </c>
      <c r="M373" s="150"/>
      <c r="N373" s="154">
        <f>MouserListTable[[#This Row],['# Initial]]*MouserListTable[[#This Row],[Price (USD)]]</f>
        <v>7.5</v>
      </c>
      <c r="O373" s="151" t="s">
        <v>624</v>
      </c>
      <c r="P373" s="150">
        <f t="shared" si="5"/>
        <v>360</v>
      </c>
      <c r="Q373" s="150" t="s">
        <v>5</v>
      </c>
      <c r="R37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474-COM-00102</v>
      </c>
      <c r="S373" s="157" t="str">
        <f>HYPERLINK("https://www.mouser.com/ProductDetail/" &amp;MouserListTable[[#This Row],[Mouser SKU]])</f>
        <v>https://www.mouser.com/ProductDetail/474-COM-00102</v>
      </c>
      <c r="T373" s="152">
        <v>1</v>
      </c>
      <c r="U373" s="152">
        <v>0</v>
      </c>
      <c r="V373" s="152">
        <v>0</v>
      </c>
      <c r="W373" s="152">
        <f>MouserListTable[[#This Row],['#/Unit]]*FilterSpecs!$C$3+MouserListTable[[#This Row],[Extra]]</f>
        <v>5</v>
      </c>
      <c r="X373" s="152">
        <f>IF(MouserListTable[[#This Row],[Tag]]=FilterSpecs!$F$7,MouserListTable[[#This Row],['#/Unit]]*MouserListTable[[#This Row],[Price (USD)]],0)</f>
        <v>1.5</v>
      </c>
      <c r="Y373" s="152">
        <f>MouserListTable[[#This Row],[Tot '#]]*MouserListTable[[#This Row],[Price (USD)]]</f>
        <v>7.5</v>
      </c>
    </row>
    <row r="374" spans="1:25" x14ac:dyDescent="0.25">
      <c r="A374" s="150" t="s">
        <v>890</v>
      </c>
      <c r="B374" s="150" t="s">
        <v>884</v>
      </c>
      <c r="C374" s="150" t="s">
        <v>5</v>
      </c>
      <c r="D374" s="151" t="str">
        <f>IF(MouserListTable[[#This Row],[Vendor]]=FilterSpecs!$A$8,MouserListTable[[#This Row],[Mouser SKU]], MouserListTable[[#This Row],[Supplier SKU]])</f>
        <v>474-COM-09609</v>
      </c>
      <c r="E374" s="152">
        <f>MouserListTable[[#This Row],[Tot '#]]-MouserListTable[[#This Row],['# Initial]]</f>
        <v>0</v>
      </c>
      <c r="F374" s="152">
        <f>IF(AND(MouserListTable[[#This Row],[Tag]]&lt;&gt;FilterSpecs!$F$12, MouserListTable[[#This Row],[Tag]]&lt;&gt;FilterSpecs!$F$9), MouserListTable[[#This Row],['#/Unit]]*FilterSpecs!$B$3+MouserListTable[[#This Row],[Extra Initial]],0)</f>
        <v>0</v>
      </c>
      <c r="G374" s="150" t="s">
        <v>1322</v>
      </c>
      <c r="H374" s="150" t="s">
        <v>1323</v>
      </c>
      <c r="I374" s="150" t="s">
        <v>1324</v>
      </c>
      <c r="J374" s="150">
        <v>1</v>
      </c>
      <c r="K374" s="154">
        <v>0.75</v>
      </c>
      <c r="L374" s="150" t="s">
        <v>2461</v>
      </c>
      <c r="M374" s="150"/>
      <c r="N374" s="154">
        <f>MouserListTable[[#This Row],['# Initial]]*MouserListTable[[#This Row],[Price (USD)]]</f>
        <v>0</v>
      </c>
      <c r="O374" s="151" t="s">
        <v>1321</v>
      </c>
      <c r="P374" s="150">
        <f t="shared" si="5"/>
        <v>361</v>
      </c>
      <c r="Q374" s="150" t="s">
        <v>5</v>
      </c>
      <c r="R37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474-COM-09609</v>
      </c>
      <c r="S374" s="157" t="str">
        <f>HYPERLINK("https://www.mouser.com/ProductDetail/" &amp;MouserListTable[[#This Row],[Mouser SKU]])</f>
        <v>https://www.mouser.com/ProductDetail/474-COM-09609</v>
      </c>
      <c r="T374" s="152">
        <v>0</v>
      </c>
      <c r="U374" s="152">
        <v>0</v>
      </c>
      <c r="V374" s="152">
        <v>0</v>
      </c>
      <c r="W374" s="152">
        <f>MouserListTable[[#This Row],['#/Unit]]*FilterSpecs!$C$3+MouserListTable[[#This Row],[Extra]]</f>
        <v>0</v>
      </c>
      <c r="X374" s="152">
        <f>IF(MouserListTable[[#This Row],[Tag]]=FilterSpecs!$F$7,MouserListTable[[#This Row],['#/Unit]]*MouserListTable[[#This Row],[Price (USD)]],0)</f>
        <v>0</v>
      </c>
      <c r="Y374" s="152">
        <f>MouserListTable[[#This Row],[Tot '#]]*MouserListTable[[#This Row],[Price (USD)]]</f>
        <v>0</v>
      </c>
    </row>
    <row r="375" spans="1:25" x14ac:dyDescent="0.25">
      <c r="A375" s="150" t="s">
        <v>890</v>
      </c>
      <c r="B375" s="150" t="s">
        <v>884</v>
      </c>
      <c r="C375" s="150" t="s">
        <v>5</v>
      </c>
      <c r="D375" s="151" t="str">
        <f>IF(MouserListTable[[#This Row],[Vendor]]=FilterSpecs!$A$8,MouserListTable[[#This Row],[Mouser SKU]], MouserListTable[[#This Row],[Supplier SKU]])</f>
        <v>474-COM-13834</v>
      </c>
      <c r="E375" s="152">
        <f>MouserListTable[[#This Row],[Tot '#]]-MouserListTable[[#This Row],['# Initial]]</f>
        <v>1</v>
      </c>
      <c r="F375" s="152">
        <f>IF(AND(MouserListTable[[#This Row],[Tag]]&lt;&gt;FilterSpecs!$F$12, MouserListTable[[#This Row],[Tag]]&lt;&gt;FilterSpecs!$F$9), MouserListTable[[#This Row],['#/Unit]]*FilterSpecs!$B$3+MouserListTable[[#This Row],[Extra Initial]],0)</f>
        <v>0</v>
      </c>
      <c r="G375" s="150" t="s">
        <v>1664</v>
      </c>
      <c r="H375" s="150" t="s">
        <v>1665</v>
      </c>
      <c r="I375" s="150" t="s">
        <v>1666</v>
      </c>
      <c r="J375" s="150">
        <v>1</v>
      </c>
      <c r="K375" s="154">
        <v>0.95</v>
      </c>
      <c r="L375" s="150" t="s">
        <v>1896</v>
      </c>
      <c r="M375" s="150"/>
      <c r="N375" s="154">
        <f>MouserListTable[[#This Row],['# Initial]]*MouserListTable[[#This Row],[Price (USD)]]</f>
        <v>0</v>
      </c>
      <c r="O375" s="151" t="s">
        <v>1663</v>
      </c>
      <c r="P375" s="150">
        <f t="shared" si="5"/>
        <v>362</v>
      </c>
      <c r="Q375" s="150" t="s">
        <v>5</v>
      </c>
      <c r="R37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474-COM-13834</v>
      </c>
      <c r="S375" s="157" t="str">
        <f>HYPERLINK("https://www.mouser.com/ProductDetail/" &amp;MouserListTable[[#This Row],[Mouser SKU]])</f>
        <v>https://www.mouser.com/ProductDetail/474-COM-13834</v>
      </c>
      <c r="T375" s="152">
        <v>0</v>
      </c>
      <c r="U375" s="152">
        <v>1</v>
      </c>
      <c r="V375" s="152">
        <v>0</v>
      </c>
      <c r="W375" s="152">
        <f>MouserListTable[[#This Row],['#/Unit]]*FilterSpecs!$C$3+MouserListTable[[#This Row],[Extra]]</f>
        <v>1</v>
      </c>
      <c r="X375" s="152">
        <f>IF(MouserListTable[[#This Row],[Tag]]=FilterSpecs!$F$7,MouserListTable[[#This Row],['#/Unit]]*MouserListTable[[#This Row],[Price (USD)]],0)</f>
        <v>0</v>
      </c>
      <c r="Y375" s="152">
        <f>MouserListTable[[#This Row],[Tot '#]]*MouserListTable[[#This Row],[Price (USD)]]</f>
        <v>0.95</v>
      </c>
    </row>
    <row r="376" spans="1:25" x14ac:dyDescent="0.25">
      <c r="A376" s="150" t="s">
        <v>890</v>
      </c>
      <c r="B376" s="150" t="s">
        <v>884</v>
      </c>
      <c r="C376" s="150" t="s">
        <v>5</v>
      </c>
      <c r="D376" s="151" t="str">
        <f>IF(MouserListTable[[#This Row],[Vendor]]=FilterSpecs!$A$8,MouserListTable[[#This Row],[Mouser SKU]], MouserListTable[[#This Row],[Supplier SKU]])</f>
        <v>474-COM-10063</v>
      </c>
      <c r="E376" s="152">
        <f>MouserListTable[[#This Row],[Tot '#]]-MouserListTable[[#This Row],['# Initial]]</f>
        <v>1</v>
      </c>
      <c r="F376" s="152">
        <f>IF(AND(MouserListTable[[#This Row],[Tag]]&lt;&gt;FilterSpecs!$F$12, MouserListTable[[#This Row],[Tag]]&lt;&gt;FilterSpecs!$F$9), MouserListTable[[#This Row],['#/Unit]]*FilterSpecs!$B$3+MouserListTable[[#This Row],[Extra Initial]],0)</f>
        <v>0</v>
      </c>
      <c r="G376" s="150" t="s">
        <v>1680</v>
      </c>
      <c r="H376" s="150" t="s">
        <v>1681</v>
      </c>
      <c r="I376" s="150" t="s">
        <v>1682</v>
      </c>
      <c r="J376" s="150">
        <v>1</v>
      </c>
      <c r="K376" s="154">
        <v>1.95</v>
      </c>
      <c r="L376" s="150" t="s">
        <v>1896</v>
      </c>
      <c r="M376" s="150"/>
      <c r="N376" s="154">
        <f>MouserListTable[[#This Row],['# Initial]]*MouserListTable[[#This Row],[Price (USD)]]</f>
        <v>0</v>
      </c>
      <c r="O376" s="151" t="s">
        <v>1679</v>
      </c>
      <c r="P376" s="150">
        <f t="shared" si="5"/>
        <v>363</v>
      </c>
      <c r="Q376" s="150" t="s">
        <v>5</v>
      </c>
      <c r="R37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474-COM-10063</v>
      </c>
      <c r="S376" s="157" t="str">
        <f>HYPERLINK("https://www.mouser.com/ProductDetail/" &amp;MouserListTable[[#This Row],[Mouser SKU]])</f>
        <v>https://www.mouser.com/ProductDetail/474-COM-10063</v>
      </c>
      <c r="T376" s="152">
        <v>0</v>
      </c>
      <c r="U376" s="152">
        <v>1</v>
      </c>
      <c r="V376" s="152">
        <v>0</v>
      </c>
      <c r="W376" s="152">
        <f>MouserListTable[[#This Row],['#/Unit]]*FilterSpecs!$C$3+MouserListTable[[#This Row],[Extra]]</f>
        <v>1</v>
      </c>
      <c r="X376" s="152">
        <f>IF(MouserListTable[[#This Row],[Tag]]=FilterSpecs!$F$7,MouserListTable[[#This Row],['#/Unit]]*MouserListTable[[#This Row],[Price (USD)]],0)</f>
        <v>0</v>
      </c>
      <c r="Y376" s="152">
        <f>MouserListTable[[#This Row],[Tot '#]]*MouserListTable[[#This Row],[Price (USD)]]</f>
        <v>1.95</v>
      </c>
    </row>
    <row r="377" spans="1:25" x14ac:dyDescent="0.25">
      <c r="A377" s="150" t="s">
        <v>890</v>
      </c>
      <c r="B377" s="150" t="s">
        <v>884</v>
      </c>
      <c r="C377" s="150" t="s">
        <v>5</v>
      </c>
      <c r="D377" s="151" t="str">
        <f>IF(MouserListTable[[#This Row],[Vendor]]=FilterSpecs!$A$8,MouserListTable[[#This Row],[Mouser SKU]], MouserListTable[[#This Row],[Supplier SKU]])</f>
        <v>474-COM-09426</v>
      </c>
      <c r="E377" s="152">
        <f>MouserListTable[[#This Row],[Tot '#]]-MouserListTable[[#This Row],['# Initial]]</f>
        <v>1</v>
      </c>
      <c r="F377" s="152">
        <f>IF(AND(MouserListTable[[#This Row],[Tag]]&lt;&gt;FilterSpecs!$F$12, MouserListTable[[#This Row],[Tag]]&lt;&gt;FilterSpecs!$F$9), MouserListTable[[#This Row],['#/Unit]]*FilterSpecs!$B$3+MouserListTable[[#This Row],[Extra Initial]],0)</f>
        <v>0</v>
      </c>
      <c r="G377" s="150" t="s">
        <v>1676</v>
      </c>
      <c r="H377" s="150" t="s">
        <v>1677</v>
      </c>
      <c r="I377" s="150" t="s">
        <v>1678</v>
      </c>
      <c r="J377" s="150">
        <v>1</v>
      </c>
      <c r="K377" s="154">
        <v>3.5</v>
      </c>
      <c r="L377" s="150" t="s">
        <v>2461</v>
      </c>
      <c r="M377" s="150"/>
      <c r="N377" s="154">
        <f>MouserListTable[[#This Row],['# Initial]]*MouserListTable[[#This Row],[Price (USD)]]</f>
        <v>0</v>
      </c>
      <c r="O377" s="151" t="s">
        <v>1675</v>
      </c>
      <c r="P377" s="150">
        <f t="shared" si="5"/>
        <v>364</v>
      </c>
      <c r="Q377" s="150" t="s">
        <v>5</v>
      </c>
      <c r="R37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474-COM-09426</v>
      </c>
      <c r="S377" s="157" t="str">
        <f>HYPERLINK("https://www.mouser.com/ProductDetail/" &amp;MouserListTable[[#This Row],[Mouser SKU]])</f>
        <v>https://www.mouser.com/ProductDetail/474-COM-09426</v>
      </c>
      <c r="T377" s="152">
        <v>0</v>
      </c>
      <c r="U377" s="152">
        <v>1</v>
      </c>
      <c r="V377" s="152">
        <v>0</v>
      </c>
      <c r="W377" s="152">
        <f>MouserListTable[[#This Row],['#/Unit]]*FilterSpecs!$C$3+MouserListTable[[#This Row],[Extra]]</f>
        <v>1</v>
      </c>
      <c r="X377" s="152">
        <f>IF(MouserListTable[[#This Row],[Tag]]=FilterSpecs!$F$7,MouserListTable[[#This Row],['#/Unit]]*MouserListTable[[#This Row],[Price (USD)]],0)</f>
        <v>0</v>
      </c>
      <c r="Y377" s="152">
        <f>MouserListTable[[#This Row],[Tot '#]]*MouserListTable[[#This Row],[Price (USD)]]</f>
        <v>3.5</v>
      </c>
    </row>
    <row r="378" spans="1:25" x14ac:dyDescent="0.25">
      <c r="A378" s="150" t="s">
        <v>890</v>
      </c>
      <c r="B378" s="150" t="s">
        <v>884</v>
      </c>
      <c r="C378" s="150" t="s">
        <v>5</v>
      </c>
      <c r="D378" s="151" t="str">
        <f>IF(MouserListTable[[#This Row],[Vendor]]=FilterSpecs!$A$8,MouserListTable[[#This Row],[Mouser SKU]], MouserListTable[[#This Row],[Supplier SKU]])</f>
        <v>474-COM-10002</v>
      </c>
      <c r="E378" s="152">
        <f>MouserListTable[[#This Row],[Tot '#]]-MouserListTable[[#This Row],['# Initial]]</f>
        <v>3</v>
      </c>
      <c r="F378" s="152">
        <f>IF(AND(MouserListTable[[#This Row],[Tag]]&lt;&gt;FilterSpecs!$F$12, MouserListTable[[#This Row],[Tag]]&lt;&gt;FilterSpecs!$F$9), MouserListTable[[#This Row],['#/Unit]]*FilterSpecs!$B$3+MouserListTable[[#This Row],[Extra Initial]],0)</f>
        <v>0</v>
      </c>
      <c r="G378" s="150" t="s">
        <v>725</v>
      </c>
      <c r="H378" s="150" t="s">
        <v>726</v>
      </c>
      <c r="I378" s="150" t="s">
        <v>727</v>
      </c>
      <c r="J378" s="150"/>
      <c r="K378" s="154">
        <v>1.5</v>
      </c>
      <c r="L378" s="150" t="s">
        <v>1896</v>
      </c>
      <c r="M378" s="151"/>
      <c r="N378" s="154">
        <f>MouserListTable[[#This Row],['# Initial]]*MouserListTable[[#This Row],[Price (USD)]]</f>
        <v>0</v>
      </c>
      <c r="O378" s="151" t="s">
        <v>724</v>
      </c>
      <c r="P378" s="150">
        <f t="shared" si="5"/>
        <v>365</v>
      </c>
      <c r="Q378" s="150" t="s">
        <v>5</v>
      </c>
      <c r="R37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474-COM-10002</v>
      </c>
      <c r="S378" s="157" t="str">
        <f>HYPERLINK("https://www.mouser.com/ProductDetail/" &amp;MouserListTable[[#This Row],[Mouser SKU]])</f>
        <v>https://www.mouser.com/ProductDetail/474-COM-10002</v>
      </c>
      <c r="T378" s="152">
        <v>0</v>
      </c>
      <c r="U378" s="152">
        <v>3</v>
      </c>
      <c r="V378" s="152">
        <v>0</v>
      </c>
      <c r="W378" s="152">
        <f>MouserListTable[[#This Row],['#/Unit]]*FilterSpecs!$C$3+MouserListTable[[#This Row],[Extra]]</f>
        <v>3</v>
      </c>
      <c r="X378" s="152">
        <f>IF(MouserListTable[[#This Row],[Tag]]=FilterSpecs!$F$7,MouserListTable[[#This Row],['#/Unit]]*MouserListTable[[#This Row],[Price (USD)]],0)</f>
        <v>0</v>
      </c>
      <c r="Y378" s="152">
        <f>MouserListTable[[#This Row],[Tot '#]]*MouserListTable[[#This Row],[Price (USD)]]</f>
        <v>4.5</v>
      </c>
    </row>
    <row r="379" spans="1:25" x14ac:dyDescent="0.25">
      <c r="A379" s="150" t="s">
        <v>890</v>
      </c>
      <c r="B379" s="150" t="s">
        <v>884</v>
      </c>
      <c r="C379" s="150" t="s">
        <v>5</v>
      </c>
      <c r="D379" s="151" t="str">
        <f>IF(MouserListTable[[#This Row],[Vendor]]=FilterSpecs!$A$8,MouserListTable[[#This Row],[Mouser SKU]], MouserListTable[[#This Row],[Supplier SKU]])</f>
        <v>474-COM-10001</v>
      </c>
      <c r="E379" s="152">
        <f>MouserListTable[[#This Row],[Tot '#]]-MouserListTable[[#This Row],['# Initial]]</f>
        <v>0</v>
      </c>
      <c r="F379" s="152">
        <f>IF(AND(MouserListTable[[#This Row],[Tag]]&lt;&gt;FilterSpecs!$F$12, MouserListTable[[#This Row],[Tag]]&lt;&gt;FilterSpecs!$F$9), MouserListTable[[#This Row],['#/Unit]]*FilterSpecs!$B$3+MouserListTable[[#This Row],[Extra Initial]],0)</f>
        <v>0</v>
      </c>
      <c r="G379" s="150" t="s">
        <v>725</v>
      </c>
      <c r="H379" s="150" t="s">
        <v>726</v>
      </c>
      <c r="I379" s="150" t="s">
        <v>1653</v>
      </c>
      <c r="J379" s="150"/>
      <c r="K379" s="154">
        <v>1.5</v>
      </c>
      <c r="L379" s="150" t="s">
        <v>2461</v>
      </c>
      <c r="M379" s="153"/>
      <c r="N379" s="154">
        <f>MouserListTable[[#This Row],['# Initial]]*MouserListTable[[#This Row],[Price (USD)]]</f>
        <v>0</v>
      </c>
      <c r="O379" s="151" t="s">
        <v>1654</v>
      </c>
      <c r="P379" s="150">
        <f t="shared" si="5"/>
        <v>366</v>
      </c>
      <c r="Q379" s="150" t="s">
        <v>5</v>
      </c>
      <c r="R37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474-COM-10001</v>
      </c>
      <c r="S379" s="157" t="str">
        <f>HYPERLINK("https://www.mouser.com/ProductDetail/" &amp;MouserListTable[[#This Row],[Mouser SKU]])</f>
        <v>https://www.mouser.com/ProductDetail/474-COM-10001</v>
      </c>
      <c r="T379" s="152">
        <v>0</v>
      </c>
      <c r="U379" s="152">
        <v>0</v>
      </c>
      <c r="V379" s="152">
        <v>0</v>
      </c>
      <c r="W379" s="152">
        <f>MouserListTable[[#This Row],['#/Unit]]*FilterSpecs!$C$3+MouserListTable[[#This Row],[Extra]]</f>
        <v>0</v>
      </c>
      <c r="X379" s="152">
        <f>IF(MouserListTable[[#This Row],[Tag]]=FilterSpecs!$F$7,MouserListTable[[#This Row],['#/Unit]]*MouserListTable[[#This Row],[Price (USD)]],0)</f>
        <v>0</v>
      </c>
      <c r="Y379" s="152">
        <f>MouserListTable[[#This Row],[Tot '#]]*MouserListTable[[#This Row],[Price (USD)]]</f>
        <v>0</v>
      </c>
    </row>
    <row r="380" spans="1:25" x14ac:dyDescent="0.25">
      <c r="A380" s="150" t="s">
        <v>890</v>
      </c>
      <c r="B380" s="150" t="s">
        <v>884</v>
      </c>
      <c r="C380" s="150" t="s">
        <v>1884</v>
      </c>
      <c r="D380" s="151" t="str">
        <f>IF(MouserListTable[[#This Row],[Vendor]]=FilterSpecs!$A$8,MouserListTable[[#This Row],[Mouser SKU]], MouserListTable[[#This Row],[Supplier SKU]])</f>
        <v>485-2047</v>
      </c>
      <c r="E380" s="152">
        <f>MouserListTable[[#This Row],[Tot '#]]-MouserListTable[[#This Row],['# Initial]]</f>
        <v>0</v>
      </c>
      <c r="F380" s="152">
        <f>IF(AND(MouserListTable[[#This Row],[Tag]]&lt;&gt;FilterSpecs!$F$12, MouserListTable[[#This Row],[Tag]]&lt;&gt;FilterSpecs!$F$9), MouserListTable[[#This Row],['#/Unit]]*FilterSpecs!$B$3+MouserListTable[[#This Row],[Extra Initial]],0)</f>
        <v>10</v>
      </c>
      <c r="G380" s="150"/>
      <c r="H380" s="150"/>
      <c r="I380" s="150" t="s">
        <v>2104</v>
      </c>
      <c r="J380" s="153"/>
      <c r="K380" s="118">
        <v>0.5</v>
      </c>
      <c r="L380" s="97" t="s">
        <v>1897</v>
      </c>
      <c r="M380" s="153"/>
      <c r="N380" s="154">
        <f>MouserListTable[[#This Row],['# Initial]]*MouserListTable[[#This Row],[Price (USD)]]</f>
        <v>5</v>
      </c>
      <c r="O380" s="151" t="s">
        <v>2103</v>
      </c>
      <c r="P380" s="150">
        <f t="shared" si="5"/>
        <v>367</v>
      </c>
      <c r="Q380" s="150" t="s">
        <v>1884</v>
      </c>
      <c r="R38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485-2047</v>
      </c>
      <c r="S380" s="157" t="str">
        <f>HYPERLINK("https://www.mouser.com/ProductDetail/" &amp;MouserListTable[[#This Row],[Mouser SKU]])</f>
        <v>https://www.mouser.com/ProductDetail/485-2047</v>
      </c>
      <c r="T380" s="152">
        <f>SUM(T581:T588)</f>
        <v>2</v>
      </c>
      <c r="U380" s="152">
        <f t="shared" ref="U380:V380" si="6">SUM(U580:U587)</f>
        <v>0</v>
      </c>
      <c r="V380" s="152">
        <f t="shared" si="6"/>
        <v>0</v>
      </c>
      <c r="W380" s="152">
        <f>MouserListTable[[#This Row],['#/Unit]]*FilterSpecs!$C$3+MouserListTable[[#This Row],[Extra]]</f>
        <v>10</v>
      </c>
      <c r="X380" s="152">
        <f>IF(MouserListTable[[#This Row],[Tag]]=FilterSpecs!$F$7,MouserListTable[[#This Row],['#/Unit]]*MouserListTable[[#This Row],[Price (USD)]],0)</f>
        <v>1</v>
      </c>
      <c r="Y380" s="152">
        <f>MouserListTable[[#This Row],[Tot '#]]*MouserListTable[[#This Row],[Price (USD)]]</f>
        <v>5</v>
      </c>
    </row>
    <row r="381" spans="1:25" x14ac:dyDescent="0.25">
      <c r="A381" s="150" t="s">
        <v>890</v>
      </c>
      <c r="B381" s="150" t="s">
        <v>884</v>
      </c>
      <c r="C381" s="150" t="s">
        <v>1884</v>
      </c>
      <c r="D381" s="151" t="str">
        <f>IF(MouserListTable[[#This Row],[Vendor]]=FilterSpecs!$A$8,MouserListTable[[#This Row],[Mouser SKU]], MouserListTable[[#This Row],[Supplier SKU]])</f>
        <v>485-2055</v>
      </c>
      <c r="E381" s="152">
        <f>MouserListTable[[#This Row],[Tot '#]]-MouserListTable[[#This Row],['# Initial]]</f>
        <v>0</v>
      </c>
      <c r="F381" s="152">
        <f>IF(AND(MouserListTable[[#This Row],[Tag]]&lt;&gt;FilterSpecs!$F$12, MouserListTable[[#This Row],[Tag]]&lt;&gt;FilterSpecs!$F$9), MouserListTable[[#This Row],['#/Unit]]*FilterSpecs!$B$3+MouserListTable[[#This Row],[Extra Initial]],0)</f>
        <v>0</v>
      </c>
      <c r="G381" s="150"/>
      <c r="H381" s="150"/>
      <c r="I381" s="150" t="s">
        <v>2106</v>
      </c>
      <c r="J381" s="153"/>
      <c r="K381" s="118">
        <v>0.95</v>
      </c>
      <c r="L381" s="97" t="s">
        <v>1896</v>
      </c>
      <c r="M381" s="153"/>
      <c r="N381" s="154">
        <f>MouserListTable[[#This Row],['# Initial]]*MouserListTable[[#This Row],[Price (USD)]]</f>
        <v>0</v>
      </c>
      <c r="O381" s="151" t="s">
        <v>2105</v>
      </c>
      <c r="P381" s="150">
        <f t="shared" si="5"/>
        <v>368</v>
      </c>
      <c r="Q381" s="150" t="s">
        <v>1884</v>
      </c>
      <c r="R38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485-2055</v>
      </c>
      <c r="S381" s="157" t="str">
        <f>HYPERLINK("https://www.mouser.com/ProductDetail/" &amp;MouserListTable[[#This Row],[Mouser SKU]])</f>
        <v>https://www.mouser.com/ProductDetail/485-2055</v>
      </c>
      <c r="T381" s="152">
        <v>0</v>
      </c>
      <c r="U381" s="152">
        <v>0</v>
      </c>
      <c r="V381" s="152">
        <v>0</v>
      </c>
      <c r="W381" s="152">
        <f>MouserListTable[[#This Row],['#/Unit]]*FilterSpecs!$C$3+MouserListTable[[#This Row],[Extra]]</f>
        <v>0</v>
      </c>
      <c r="X381" s="152">
        <f>IF(MouserListTable[[#This Row],[Tag]]=FilterSpecs!$F$7,MouserListTable[[#This Row],['#/Unit]]*MouserListTable[[#This Row],[Price (USD)]],0)</f>
        <v>0</v>
      </c>
      <c r="Y381" s="152">
        <f>MouserListTable[[#This Row],[Tot '#]]*MouserListTable[[#This Row],[Price (USD)]]</f>
        <v>0</v>
      </c>
    </row>
    <row r="382" spans="1:25" x14ac:dyDescent="0.25">
      <c r="A382" s="150" t="s">
        <v>890</v>
      </c>
      <c r="B382" s="150" t="s">
        <v>884</v>
      </c>
      <c r="C382" s="150" t="s">
        <v>1884</v>
      </c>
      <c r="D382" s="151" t="str">
        <f>IF(MouserListTable[[#This Row],[Vendor]]=FilterSpecs!$A$8,MouserListTable[[#This Row],[Mouser SKU]], MouserListTable[[#This Row],[Supplier SKU]])</f>
        <v>485-2058</v>
      </c>
      <c r="E382" s="152">
        <f>MouserListTable[[#This Row],[Tot '#]]-MouserListTable[[#This Row],['# Initial]]</f>
        <v>0</v>
      </c>
      <c r="F382" s="152">
        <f>IF(AND(MouserListTable[[#This Row],[Tag]]&lt;&gt;FilterSpecs!$F$12, MouserListTable[[#This Row],[Tag]]&lt;&gt;FilterSpecs!$F$9), MouserListTable[[#This Row],['#/Unit]]*FilterSpecs!$B$3+MouserListTable[[#This Row],[Extra Initial]],0)</f>
        <v>0</v>
      </c>
      <c r="G382" s="150"/>
      <c r="H382" s="150"/>
      <c r="I382" s="150" t="s">
        <v>2108</v>
      </c>
      <c r="J382" s="153"/>
      <c r="K382" s="118">
        <v>0.95</v>
      </c>
      <c r="L382" s="97" t="s">
        <v>1896</v>
      </c>
      <c r="M382" s="153"/>
      <c r="N382" s="154">
        <f>MouserListTable[[#This Row],['# Initial]]*MouserListTable[[#This Row],[Price (USD)]]</f>
        <v>0</v>
      </c>
      <c r="O382" s="151" t="s">
        <v>2107</v>
      </c>
      <c r="P382" s="150">
        <f t="shared" si="5"/>
        <v>369</v>
      </c>
      <c r="Q382" s="150" t="s">
        <v>1884</v>
      </c>
      <c r="R38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485-2058</v>
      </c>
      <c r="S382" s="157" t="str">
        <f>HYPERLINK("https://www.mouser.com/ProductDetail/" &amp;MouserListTable[[#This Row],[Mouser SKU]])</f>
        <v>https://www.mouser.com/ProductDetail/485-2058</v>
      </c>
      <c r="T382" s="152">
        <v>0</v>
      </c>
      <c r="U382" s="152">
        <v>0</v>
      </c>
      <c r="V382" s="152">
        <v>0</v>
      </c>
      <c r="W382" s="152">
        <f>MouserListTable[[#This Row],['#/Unit]]*FilterSpecs!$C$3+MouserListTable[[#This Row],[Extra]]</f>
        <v>0</v>
      </c>
      <c r="X382" s="152">
        <f>IF(MouserListTable[[#This Row],[Tag]]=FilterSpecs!$F$7,MouserListTable[[#This Row],['#/Unit]]*MouserListTable[[#This Row],[Price (USD)]],0)</f>
        <v>0</v>
      </c>
      <c r="Y382" s="152">
        <f>MouserListTable[[#This Row],[Tot '#]]*MouserListTable[[#This Row],[Price (USD)]]</f>
        <v>0</v>
      </c>
    </row>
    <row r="383" spans="1:25" x14ac:dyDescent="0.25">
      <c r="A383" s="150" t="s">
        <v>890</v>
      </c>
      <c r="B383" s="150" t="s">
        <v>884</v>
      </c>
      <c r="C383" s="150" t="s">
        <v>1884</v>
      </c>
      <c r="D383" s="151" t="str">
        <f>IF(MouserListTable[[#This Row],[Vendor]]=FilterSpecs!$A$8,MouserListTable[[#This Row],[Mouser SKU]], MouserListTable[[#This Row],[Supplier SKU]])</f>
        <v>485-2056</v>
      </c>
      <c r="E383" s="152">
        <f>MouserListTable[[#This Row],[Tot '#]]-MouserListTable[[#This Row],['# Initial]]</f>
        <v>0</v>
      </c>
      <c r="F383" s="152">
        <f>IF(AND(MouserListTable[[#This Row],[Tag]]&lt;&gt;FilterSpecs!$F$12, MouserListTable[[#This Row],[Tag]]&lt;&gt;FilterSpecs!$F$9), MouserListTable[[#This Row],['#/Unit]]*FilterSpecs!$B$3+MouserListTable[[#This Row],[Extra Initial]],0)</f>
        <v>0</v>
      </c>
      <c r="G383" s="150"/>
      <c r="H383" s="150"/>
      <c r="I383" s="150" t="s">
        <v>2110</v>
      </c>
      <c r="J383" s="153"/>
      <c r="K383" s="118">
        <v>3.95</v>
      </c>
      <c r="L383" s="97" t="s">
        <v>1896</v>
      </c>
      <c r="M383" s="153"/>
      <c r="N383" s="154">
        <f>MouserListTable[[#This Row],['# Initial]]*MouserListTable[[#This Row],[Price (USD)]]</f>
        <v>0</v>
      </c>
      <c r="O383" s="151" t="s">
        <v>2109</v>
      </c>
      <c r="P383" s="150">
        <f t="shared" si="5"/>
        <v>370</v>
      </c>
      <c r="Q383" s="150" t="s">
        <v>1884</v>
      </c>
      <c r="R38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485-2056</v>
      </c>
      <c r="S383" s="157" t="str">
        <f>HYPERLINK("https://www.mouser.com/ProductDetail/" &amp;MouserListTable[[#This Row],[Mouser SKU]])</f>
        <v>https://www.mouser.com/ProductDetail/485-2056</v>
      </c>
      <c r="T383" s="152">
        <v>0</v>
      </c>
      <c r="U383" s="152">
        <v>0</v>
      </c>
      <c r="V383" s="152">
        <v>0</v>
      </c>
      <c r="W383" s="152">
        <f>MouserListTable[[#This Row],['#/Unit]]*FilterSpecs!$C$3+MouserListTable[[#This Row],[Extra]]</f>
        <v>0</v>
      </c>
      <c r="X383" s="152">
        <f>IF(MouserListTable[[#This Row],[Tag]]=FilterSpecs!$F$7,MouserListTable[[#This Row],['#/Unit]]*MouserListTable[[#This Row],[Price (USD)]],0)</f>
        <v>0</v>
      </c>
      <c r="Y383" s="152">
        <f>MouserListTable[[#This Row],[Tot '#]]*MouserListTable[[#This Row],[Price (USD)]]</f>
        <v>0</v>
      </c>
    </row>
    <row r="384" spans="1:25" x14ac:dyDescent="0.25">
      <c r="A384" s="151" t="s">
        <v>890</v>
      </c>
      <c r="B384" s="151" t="s">
        <v>2004</v>
      </c>
      <c r="C384" s="150" t="s">
        <v>1884</v>
      </c>
      <c r="D384" s="151" t="str">
        <f>IF(MouserListTable[[#This Row],[Vendor]]=FilterSpecs!$A$8,MouserListTable[[#This Row],[Mouser SKU]], MouserListTable[[#This Row],[Supplier SKU]])</f>
        <v>485-2103</v>
      </c>
      <c r="E384" s="152">
        <f>MouserListTable[[#This Row],[Tot '#]]-MouserListTable[[#This Row],['# Initial]]</f>
        <v>0</v>
      </c>
      <c r="F384" s="152">
        <f>IF(AND(MouserListTable[[#This Row],[Tag]]&lt;&gt;FilterSpecs!$F$12, MouserListTable[[#This Row],[Tag]]&lt;&gt;FilterSpecs!$F$9), MouserListTable[[#This Row],['#/Unit]]*FilterSpecs!$B$3+MouserListTable[[#This Row],[Extra Initial]],0)</f>
        <v>0</v>
      </c>
      <c r="G384" s="150"/>
      <c r="H384" s="150"/>
      <c r="I384" s="150" t="s">
        <v>2114</v>
      </c>
      <c r="J384" s="153"/>
      <c r="K384" s="118">
        <v>1.95</v>
      </c>
      <c r="L384" s="153" t="s">
        <v>1896</v>
      </c>
      <c r="M384" s="153"/>
      <c r="N384" s="154">
        <f>MouserListTable[[#This Row],['# Initial]]*MouserListTable[[#This Row],[Price (USD)]]</f>
        <v>0</v>
      </c>
      <c r="O384" s="151" t="s">
        <v>2113</v>
      </c>
      <c r="P384" s="150">
        <f t="shared" si="5"/>
        <v>371</v>
      </c>
      <c r="Q384" s="150" t="s">
        <v>1884</v>
      </c>
      <c r="R38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485-2103</v>
      </c>
      <c r="S384" s="157" t="str">
        <f>HYPERLINK("https://www.mouser.com/ProductDetail/" &amp;MouserListTable[[#This Row],[Mouser SKU]])</f>
        <v>https://www.mouser.com/ProductDetail/485-2103</v>
      </c>
      <c r="T384" s="152">
        <v>0</v>
      </c>
      <c r="U384" s="152">
        <v>0</v>
      </c>
      <c r="V384" s="152">
        <v>0</v>
      </c>
      <c r="W384" s="152">
        <f>MouserListTable[[#This Row],['#/Unit]]*FilterSpecs!$C$3+MouserListTable[[#This Row],[Extra]]</f>
        <v>0</v>
      </c>
      <c r="X384" s="152">
        <f>IF(MouserListTable[[#This Row],[Tag]]=FilterSpecs!$F$7,MouserListTable[[#This Row],['#/Unit]]*MouserListTable[[#This Row],[Price (USD)]],0)</f>
        <v>0</v>
      </c>
      <c r="Y384" s="152">
        <f>MouserListTable[[#This Row],[Tot '#]]*MouserListTable[[#This Row],[Price (USD)]]</f>
        <v>0</v>
      </c>
    </row>
    <row r="385" spans="1:25" x14ac:dyDescent="0.25">
      <c r="A385" s="151" t="s">
        <v>890</v>
      </c>
      <c r="B385" s="151" t="s">
        <v>2004</v>
      </c>
      <c r="C385" s="150" t="s">
        <v>1884</v>
      </c>
      <c r="D385" s="151" t="str">
        <f>IF(MouserListTable[[#This Row],[Vendor]]=FilterSpecs!$A$8,MouserListTable[[#This Row],[Mouser SKU]], MouserListTable[[#This Row],[Supplier SKU]])</f>
        <v>485-2270</v>
      </c>
      <c r="E385" s="152">
        <f>MouserListTable[[#This Row],[Tot '#]]-MouserListTable[[#This Row],['# Initial]]</f>
        <v>0</v>
      </c>
      <c r="F385" s="152">
        <f>IF(AND(MouserListTable[[#This Row],[Tag]]&lt;&gt;FilterSpecs!$F$12, MouserListTable[[#This Row],[Tag]]&lt;&gt;FilterSpecs!$F$9), MouserListTable[[#This Row],['#/Unit]]*FilterSpecs!$B$3+MouserListTable[[#This Row],[Extra Initial]],0)</f>
        <v>0</v>
      </c>
      <c r="G385" s="150"/>
      <c r="H385" s="150"/>
      <c r="I385" s="150" t="s">
        <v>2116</v>
      </c>
      <c r="J385" s="153"/>
      <c r="K385" s="118">
        <v>2.25</v>
      </c>
      <c r="L385" s="153" t="s">
        <v>1896</v>
      </c>
      <c r="M385" s="153"/>
      <c r="N385" s="154">
        <f>MouserListTable[[#This Row],['# Initial]]*MouserListTable[[#This Row],[Price (USD)]]</f>
        <v>0</v>
      </c>
      <c r="O385" s="151" t="s">
        <v>2115</v>
      </c>
      <c r="P385" s="150">
        <f t="shared" si="5"/>
        <v>372</v>
      </c>
      <c r="Q385" s="150" t="s">
        <v>1884</v>
      </c>
      <c r="R38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485-2270</v>
      </c>
      <c r="S385" s="157" t="str">
        <f>HYPERLINK("https://www.mouser.com/ProductDetail/" &amp;MouserListTable[[#This Row],[Mouser SKU]])</f>
        <v>https://www.mouser.com/ProductDetail/485-2270</v>
      </c>
      <c r="T385" s="152">
        <v>0</v>
      </c>
      <c r="U385" s="152">
        <v>0</v>
      </c>
      <c r="V385" s="152">
        <v>0</v>
      </c>
      <c r="W385" s="152">
        <f>MouserListTable[[#This Row],['#/Unit]]*FilterSpecs!$C$3+MouserListTable[[#This Row],[Extra]]</f>
        <v>0</v>
      </c>
      <c r="X385" s="152">
        <f>IF(MouserListTable[[#This Row],[Tag]]=FilterSpecs!$F$7,MouserListTable[[#This Row],['#/Unit]]*MouserListTable[[#This Row],[Price (USD)]],0)</f>
        <v>0</v>
      </c>
      <c r="Y385" s="152">
        <f>MouserListTable[[#This Row],[Tot '#]]*MouserListTable[[#This Row],[Price (USD)]]</f>
        <v>0</v>
      </c>
    </row>
    <row r="386" spans="1:25" x14ac:dyDescent="0.25">
      <c r="A386" s="151" t="s">
        <v>890</v>
      </c>
      <c r="B386" s="151" t="s">
        <v>2004</v>
      </c>
      <c r="C386" s="150" t="s">
        <v>1884</v>
      </c>
      <c r="D386" s="151" t="str">
        <f>IF(MouserListTable[[#This Row],[Vendor]]=FilterSpecs!$A$8,MouserListTable[[#This Row],[Mouser SKU]], MouserListTable[[#This Row],[Supplier SKU]])</f>
        <v>485-2102</v>
      </c>
      <c r="E386" s="152">
        <f>MouserListTable[[#This Row],[Tot '#]]-MouserListTable[[#This Row],['# Initial]]</f>
        <v>0</v>
      </c>
      <c r="F386" s="152">
        <f>IF(AND(MouserListTable[[#This Row],[Tag]]&lt;&gt;FilterSpecs!$F$12, MouserListTable[[#This Row],[Tag]]&lt;&gt;FilterSpecs!$F$9), MouserListTable[[#This Row],['#/Unit]]*FilterSpecs!$B$3+MouserListTable[[#This Row],[Extra Initial]],0)</f>
        <v>10</v>
      </c>
      <c r="G386" s="150"/>
      <c r="H386" s="150"/>
      <c r="I386" s="150" t="s">
        <v>2118</v>
      </c>
      <c r="J386" s="153"/>
      <c r="K386" s="154">
        <v>0.95</v>
      </c>
      <c r="L386" s="151" t="s">
        <v>1897</v>
      </c>
      <c r="M386" s="151"/>
      <c r="N386" s="154">
        <f>MouserListTable[[#This Row],['# Initial]]*MouserListTable[[#This Row],[Price (USD)]]</f>
        <v>9.5</v>
      </c>
      <c r="O386" s="151" t="s">
        <v>2117</v>
      </c>
      <c r="P386" s="150">
        <f t="shared" si="5"/>
        <v>373</v>
      </c>
      <c r="Q386" s="150" t="s">
        <v>1884</v>
      </c>
      <c r="R38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485-2102</v>
      </c>
      <c r="S386" s="157" t="str">
        <f>HYPERLINK("https://www.mouser.com/ProductDetail/" &amp;MouserListTable[[#This Row],[Mouser SKU]])</f>
        <v>https://www.mouser.com/ProductDetail/485-2102</v>
      </c>
      <c r="T386" s="152">
        <v>2</v>
      </c>
      <c r="U386" s="152">
        <v>0</v>
      </c>
      <c r="V386" s="152">
        <v>0</v>
      </c>
      <c r="W386" s="152">
        <f>MouserListTable[[#This Row],['#/Unit]]*FilterSpecs!$C$3+MouserListTable[[#This Row],[Extra]]</f>
        <v>10</v>
      </c>
      <c r="X386" s="152">
        <f>IF(MouserListTable[[#This Row],[Tag]]=FilterSpecs!$F$7,MouserListTable[[#This Row],['#/Unit]]*MouserListTable[[#This Row],[Price (USD)]],0)</f>
        <v>1.9</v>
      </c>
      <c r="Y386" s="152">
        <f>MouserListTable[[#This Row],[Tot '#]]*MouserListTable[[#This Row],[Price (USD)]]</f>
        <v>9.5</v>
      </c>
    </row>
    <row r="387" spans="1:25" x14ac:dyDescent="0.25">
      <c r="A387" s="151" t="s">
        <v>890</v>
      </c>
      <c r="B387" s="151" t="s">
        <v>1870</v>
      </c>
      <c r="C387" s="150" t="s">
        <v>5</v>
      </c>
      <c r="D387" s="151" t="str">
        <f>IF(MouserListTable[[#This Row],[Vendor]]=FilterSpecs!$A$8,MouserListTable[[#This Row],[Mouser SKU]], MouserListTable[[#This Row],[Supplier SKU]])</f>
        <v>474-PRT-09749</v>
      </c>
      <c r="E387" s="152">
        <f>MouserListTable[[#This Row],[Tot '#]]-MouserListTable[[#This Row],['# Initial]]</f>
        <v>0</v>
      </c>
      <c r="F387" s="152">
        <f>IF(AND(MouserListTable[[#This Row],[Tag]]&lt;&gt;FilterSpecs!$F$12, MouserListTable[[#This Row],[Tag]]&lt;&gt;FilterSpecs!$F$9), MouserListTable[[#This Row],['#/Unit]]*FilterSpecs!$B$3+MouserListTable[[#This Row],[Extra Initial]],0)</f>
        <v>10</v>
      </c>
      <c r="G387" s="150" t="s">
        <v>439</v>
      </c>
      <c r="H387" s="150" t="s">
        <v>440</v>
      </c>
      <c r="I387" s="150" t="s">
        <v>441</v>
      </c>
      <c r="J387" s="150">
        <v>1</v>
      </c>
      <c r="K387" s="154">
        <v>0.95</v>
      </c>
      <c r="L387" s="151" t="s">
        <v>1897</v>
      </c>
      <c r="M387" s="150"/>
      <c r="N387" s="154">
        <f>MouserListTable[[#This Row],['# Initial]]*MouserListTable[[#This Row],[Price (USD)]]</f>
        <v>9.5</v>
      </c>
      <c r="O387" s="151" t="s">
        <v>438</v>
      </c>
      <c r="P387" s="150">
        <f t="shared" si="5"/>
        <v>374</v>
      </c>
      <c r="Q387" s="150" t="s">
        <v>5</v>
      </c>
      <c r="R38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474-PRT-09749</v>
      </c>
      <c r="S387" s="157" t="str">
        <f>HYPERLINK("https://www.mouser.com/ProductDetail/" &amp;MouserListTable[[#This Row],[Mouser SKU]])</f>
        <v>https://www.mouser.com/ProductDetail/474-PRT-09749</v>
      </c>
      <c r="T387" s="152">
        <v>2</v>
      </c>
      <c r="U387" s="152">
        <v>0</v>
      </c>
      <c r="V387" s="152">
        <v>0</v>
      </c>
      <c r="W387" s="152">
        <f>MouserListTable[[#This Row],['#/Unit]]*FilterSpecs!$C$3+MouserListTable[[#This Row],[Extra]]</f>
        <v>10</v>
      </c>
      <c r="X387" s="152">
        <f>IF(MouserListTable[[#This Row],[Tag]]=FilterSpecs!$F$7,MouserListTable[[#This Row],['#/Unit]]*MouserListTable[[#This Row],[Price (USD)]],0)</f>
        <v>1.9</v>
      </c>
      <c r="Y387" s="152">
        <f>MouserListTable[[#This Row],[Tot '#]]*MouserListTable[[#This Row],[Price (USD)]]</f>
        <v>9.5</v>
      </c>
    </row>
    <row r="388" spans="1:25" x14ac:dyDescent="0.25">
      <c r="A388" s="151" t="s">
        <v>890</v>
      </c>
      <c r="B388" s="151" t="s">
        <v>1870</v>
      </c>
      <c r="C388" s="150" t="s">
        <v>5</v>
      </c>
      <c r="D388" s="151" t="str">
        <f>IF(MouserListTable[[#This Row],[Vendor]]=FilterSpecs!$A$8,MouserListTable[[#This Row],[Mouser SKU]], MouserListTable[[#This Row],[Supplier SKU]])</f>
        <v>474-PRT-09750</v>
      </c>
      <c r="E388" s="152">
        <f>MouserListTable[[#This Row],[Tot '#]]-MouserListTable[[#This Row],['# Initial]]</f>
        <v>0</v>
      </c>
      <c r="F388" s="152">
        <f>IF(AND(MouserListTable[[#This Row],[Tag]]&lt;&gt;FilterSpecs!$F$12, MouserListTable[[#This Row],[Tag]]&lt;&gt;FilterSpecs!$F$9), MouserListTable[[#This Row],['#/Unit]]*FilterSpecs!$B$3+MouserListTable[[#This Row],[Extra Initial]],0)</f>
        <v>5</v>
      </c>
      <c r="G388" s="150" t="s">
        <v>1842</v>
      </c>
      <c r="H388" s="150" t="s">
        <v>1843</v>
      </c>
      <c r="I388" s="150" t="s">
        <v>1844</v>
      </c>
      <c r="J388" s="150">
        <v>1</v>
      </c>
      <c r="K388" s="154">
        <v>0.95</v>
      </c>
      <c r="L388" s="151" t="s">
        <v>1897</v>
      </c>
      <c r="M388" s="150"/>
      <c r="N388" s="154">
        <f>MouserListTable[[#This Row],['# Initial]]*MouserListTable[[#This Row],[Price (USD)]]</f>
        <v>4.75</v>
      </c>
      <c r="O388" s="151" t="s">
        <v>1841</v>
      </c>
      <c r="P388" s="150">
        <f t="shared" si="5"/>
        <v>375</v>
      </c>
      <c r="Q388" s="150" t="s">
        <v>5</v>
      </c>
      <c r="R38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474-PRT-09750</v>
      </c>
      <c r="S388" s="157" t="str">
        <f>HYPERLINK("https://www.mouser.com/ProductDetail/" &amp;MouserListTable[[#This Row],[Mouser SKU]])</f>
        <v>https://www.mouser.com/ProductDetail/474-PRT-09750</v>
      </c>
      <c r="T388" s="152">
        <v>1</v>
      </c>
      <c r="U388" s="152">
        <v>0</v>
      </c>
      <c r="V388" s="152">
        <v>0</v>
      </c>
      <c r="W388" s="152">
        <f>MouserListTable[[#This Row],['#/Unit]]*FilterSpecs!$C$3+MouserListTable[[#This Row],[Extra]]</f>
        <v>5</v>
      </c>
      <c r="X388" s="152">
        <f>IF(MouserListTable[[#This Row],[Tag]]=FilterSpecs!$F$7,MouserListTable[[#This Row],['#/Unit]]*MouserListTable[[#This Row],[Price (USD)]],0)</f>
        <v>0.95</v>
      </c>
      <c r="Y388" s="152">
        <f>MouserListTable[[#This Row],[Tot '#]]*MouserListTable[[#This Row],[Price (USD)]]</f>
        <v>4.75</v>
      </c>
    </row>
    <row r="389" spans="1:25" x14ac:dyDescent="0.25">
      <c r="A389" s="153" t="s">
        <v>890</v>
      </c>
      <c r="B389" s="153" t="s">
        <v>1870</v>
      </c>
      <c r="C389" s="150" t="s">
        <v>5</v>
      </c>
      <c r="D389" s="151" t="str">
        <f>IF(MouserListTable[[#This Row],[Vendor]]=FilterSpecs!$A$8,MouserListTable[[#This Row],[Mouser SKU]], MouserListTable[[#This Row],[Supplier SKU]])</f>
        <v>474-PRT-10501</v>
      </c>
      <c r="E389" s="152">
        <f>MouserListTable[[#This Row],[Tot '#]]-MouserListTable[[#This Row],['# Initial]]</f>
        <v>0</v>
      </c>
      <c r="F389" s="152">
        <f>IF(AND(MouserListTable[[#This Row],[Tag]]&lt;&gt;FilterSpecs!$F$12, MouserListTable[[#This Row],[Tag]]&lt;&gt;FilterSpecs!$F$9), MouserListTable[[#This Row],['#/Unit]]*FilterSpecs!$B$3+MouserListTable[[#This Row],[Extra Initial]],0)</f>
        <v>0</v>
      </c>
      <c r="G389" s="150" t="s">
        <v>1349</v>
      </c>
      <c r="H389" s="150" t="s">
        <v>1350</v>
      </c>
      <c r="I389" s="150" t="s">
        <v>1351</v>
      </c>
      <c r="J389" s="150"/>
      <c r="K389" s="154">
        <v>0.5</v>
      </c>
      <c r="L389" s="151" t="s">
        <v>1896</v>
      </c>
      <c r="M389" s="150"/>
      <c r="N389" s="154">
        <f>MouserListTable[[#This Row],['# Initial]]*MouserListTable[[#This Row],[Price (USD)]]</f>
        <v>0</v>
      </c>
      <c r="O389" s="151" t="s">
        <v>1348</v>
      </c>
      <c r="P389" s="150">
        <f t="shared" si="5"/>
        <v>376</v>
      </c>
      <c r="Q389" s="150" t="s">
        <v>5</v>
      </c>
      <c r="R38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474-PRT-10501</v>
      </c>
      <c r="S389" s="157" t="str">
        <f>HYPERLINK("https://www.mouser.com/ProductDetail/" &amp;MouserListTable[[#This Row],[Mouser SKU]])</f>
        <v>https://www.mouser.com/ProductDetail/474-PRT-10501</v>
      </c>
      <c r="T389" s="152">
        <v>0</v>
      </c>
      <c r="U389" s="152">
        <v>0</v>
      </c>
      <c r="V389" s="152">
        <v>0</v>
      </c>
      <c r="W389" s="152">
        <f>MouserListTable[[#This Row],['#/Unit]]*FilterSpecs!$C$3+MouserListTable[[#This Row],[Extra]]</f>
        <v>0</v>
      </c>
      <c r="X389" s="152">
        <f>IF(MouserListTable[[#This Row],[Tag]]=FilterSpecs!$F$7,MouserListTable[[#This Row],['#/Unit]]*MouserListTable[[#This Row],[Price (USD)]],0)</f>
        <v>0</v>
      </c>
      <c r="Y389" s="152">
        <f>MouserListTable[[#This Row],[Tot '#]]*MouserListTable[[#This Row],[Price (USD)]]</f>
        <v>0</v>
      </c>
    </row>
    <row r="390" spans="1:25" x14ac:dyDescent="0.25">
      <c r="A390" s="153" t="s">
        <v>890</v>
      </c>
      <c r="B390" s="153" t="s">
        <v>1870</v>
      </c>
      <c r="C390" s="150" t="s">
        <v>5</v>
      </c>
      <c r="D390" s="151" t="str">
        <f>IF(MouserListTable[[#This Row],[Vendor]]=FilterSpecs!$A$8,MouserListTable[[#This Row],[Mouser SKU]], MouserListTable[[#This Row],[Supplier SKU]])</f>
        <v>474-PRT-08612</v>
      </c>
      <c r="E390" s="152">
        <f>MouserListTable[[#This Row],[Tot '#]]-MouserListTable[[#This Row],['# Initial]]</f>
        <v>0</v>
      </c>
      <c r="F390" s="152">
        <f>IF(AND(MouserListTable[[#This Row],[Tag]]&lt;&gt;FilterSpecs!$F$12, MouserListTable[[#This Row],[Tag]]&lt;&gt;FilterSpecs!$F$9), MouserListTable[[#This Row],['#/Unit]]*FilterSpecs!$B$3+MouserListTable[[#This Row],[Extra Initial]],0)</f>
        <v>0</v>
      </c>
      <c r="G390" s="150" t="s">
        <v>1746</v>
      </c>
      <c r="H390" s="150" t="s">
        <v>1747</v>
      </c>
      <c r="I390" s="150" t="s">
        <v>1748</v>
      </c>
      <c r="J390" s="150">
        <v>1</v>
      </c>
      <c r="K390" s="154">
        <v>0.95</v>
      </c>
      <c r="L390" s="151" t="s">
        <v>1896</v>
      </c>
      <c r="M390" s="150"/>
      <c r="N390" s="154">
        <f>MouserListTable[[#This Row],['# Initial]]*MouserListTable[[#This Row],[Price (USD)]]</f>
        <v>0</v>
      </c>
      <c r="O390" s="151" t="s">
        <v>1745</v>
      </c>
      <c r="P390" s="150">
        <f t="shared" si="5"/>
        <v>377</v>
      </c>
      <c r="Q390" s="150" t="s">
        <v>5</v>
      </c>
      <c r="R39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474-PRT-08612</v>
      </c>
      <c r="S390" s="157" t="str">
        <f>HYPERLINK("https://www.mouser.com/ProductDetail/" &amp;MouserListTable[[#This Row],[Mouser SKU]])</f>
        <v>https://www.mouser.com/ProductDetail/474-PRT-08612</v>
      </c>
      <c r="T390" s="152">
        <v>0</v>
      </c>
      <c r="U390" s="152">
        <v>0</v>
      </c>
      <c r="V390" s="152">
        <v>0</v>
      </c>
      <c r="W390" s="152">
        <f>MouserListTable[[#This Row],['#/Unit]]*FilterSpecs!$C$3+MouserListTable[[#This Row],[Extra]]</f>
        <v>0</v>
      </c>
      <c r="X390" s="152">
        <f>IF(MouserListTable[[#This Row],[Tag]]=FilterSpecs!$F$7,MouserListTable[[#This Row],['#/Unit]]*MouserListTable[[#This Row],[Price (USD)]],0)</f>
        <v>0</v>
      </c>
      <c r="Y390" s="152">
        <f>MouserListTable[[#This Row],[Tot '#]]*MouserListTable[[#This Row],[Price (USD)]]</f>
        <v>0</v>
      </c>
    </row>
    <row r="391" spans="1:25" x14ac:dyDescent="0.25">
      <c r="A391" s="153" t="s">
        <v>890</v>
      </c>
      <c r="B391" s="153" t="s">
        <v>1870</v>
      </c>
      <c r="C391" s="150" t="s">
        <v>5</v>
      </c>
      <c r="D391" s="151" t="str">
        <f>IF(MouserListTable[[#This Row],[Vendor]]=FilterSpecs!$A$8,MouserListTable[[#This Row],[Mouser SKU]], MouserListTable[[#This Row],[Supplier SKU]])</f>
        <v>474-PRT-08613</v>
      </c>
      <c r="E391" s="152">
        <f>MouserListTable[[#This Row],[Tot '#]]-MouserListTable[[#This Row],['# Initial]]</f>
        <v>0</v>
      </c>
      <c r="F391" s="152">
        <f>IF(AND(MouserListTable[[#This Row],[Tag]]&lt;&gt;FilterSpecs!$F$12, MouserListTable[[#This Row],[Tag]]&lt;&gt;FilterSpecs!$F$9), MouserListTable[[#This Row],['#/Unit]]*FilterSpecs!$B$3+MouserListTable[[#This Row],[Extra Initial]],0)</f>
        <v>0</v>
      </c>
      <c r="G391" s="150" t="s">
        <v>1750</v>
      </c>
      <c r="H391" s="150" t="s">
        <v>1751</v>
      </c>
      <c r="I391" s="150" t="s">
        <v>1752</v>
      </c>
      <c r="J391" s="150">
        <v>1</v>
      </c>
      <c r="K391" s="154">
        <v>0.95</v>
      </c>
      <c r="L391" s="151" t="s">
        <v>1896</v>
      </c>
      <c r="M391" s="150"/>
      <c r="N391" s="154">
        <f>MouserListTable[[#This Row],['# Initial]]*MouserListTable[[#This Row],[Price (USD)]]</f>
        <v>0</v>
      </c>
      <c r="O391" s="151" t="s">
        <v>1749</v>
      </c>
      <c r="P391" s="150">
        <f t="shared" si="5"/>
        <v>378</v>
      </c>
      <c r="Q391" s="150" t="s">
        <v>5</v>
      </c>
      <c r="R39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474-PRT-08613</v>
      </c>
      <c r="S391" s="157" t="str">
        <f>HYPERLINK("https://www.mouser.com/ProductDetail/" &amp;MouserListTable[[#This Row],[Mouser SKU]])</f>
        <v>https://www.mouser.com/ProductDetail/474-PRT-08613</v>
      </c>
      <c r="T391" s="152">
        <v>0</v>
      </c>
      <c r="U391" s="152">
        <v>0</v>
      </c>
      <c r="V391" s="152">
        <v>0</v>
      </c>
      <c r="W391" s="152">
        <f>MouserListTable[[#This Row],['#/Unit]]*FilterSpecs!$C$3+MouserListTable[[#This Row],[Extra]]</f>
        <v>0</v>
      </c>
      <c r="X391" s="152">
        <f>IF(MouserListTable[[#This Row],[Tag]]=FilterSpecs!$F$7,MouserListTable[[#This Row],['#/Unit]]*MouserListTable[[#This Row],[Price (USD)]],0)</f>
        <v>0</v>
      </c>
      <c r="Y391" s="152">
        <f>MouserListTable[[#This Row],[Tot '#]]*MouserListTable[[#This Row],[Price (USD)]]</f>
        <v>0</v>
      </c>
    </row>
    <row r="392" spans="1:25" x14ac:dyDescent="0.25">
      <c r="A392" s="151" t="s">
        <v>890</v>
      </c>
      <c r="B392" s="151" t="s">
        <v>1870</v>
      </c>
      <c r="C392" s="150" t="s">
        <v>1884</v>
      </c>
      <c r="D392" s="151" t="str">
        <f>IF(MouserListTable[[#This Row],[Vendor]]=FilterSpecs!$A$8,MouserListTable[[#This Row],[Mouser SKU]], MouserListTable[[#This Row],[Supplier SKU]])</f>
        <v>485-1862</v>
      </c>
      <c r="E392" s="152">
        <f>MouserListTable[[#This Row],[Tot '#]]-MouserListTable[[#This Row],['# Initial]]</f>
        <v>0</v>
      </c>
      <c r="F392" s="152">
        <f>IF(AND(MouserListTable[[#This Row],[Tag]]&lt;&gt;FilterSpecs!$F$12, MouserListTable[[#This Row],[Tag]]&lt;&gt;FilterSpecs!$F$9), MouserListTable[[#This Row],['#/Unit]]*FilterSpecs!$B$3+MouserListTable[[#This Row],[Extra Initial]],0)</f>
        <v>0</v>
      </c>
      <c r="G392" s="150"/>
      <c r="H392" s="150"/>
      <c r="I392" s="150" t="s">
        <v>2120</v>
      </c>
      <c r="J392" s="153"/>
      <c r="K392" s="118">
        <v>1.5</v>
      </c>
      <c r="L392" s="153" t="s">
        <v>1896</v>
      </c>
      <c r="M392" s="153"/>
      <c r="N392" s="154">
        <f>MouserListTable[[#This Row],['# Initial]]*MouserListTable[[#This Row],[Price (USD)]]</f>
        <v>0</v>
      </c>
      <c r="O392" s="151" t="s">
        <v>2119</v>
      </c>
      <c r="P392" s="150">
        <f t="shared" si="5"/>
        <v>379</v>
      </c>
      <c r="Q392" s="150" t="s">
        <v>1884</v>
      </c>
      <c r="R39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485-1862</v>
      </c>
      <c r="S392" s="157" t="str">
        <f>HYPERLINK("https://www.mouser.com/ProductDetail/" &amp;MouserListTable[[#This Row],[Mouser SKU]])</f>
        <v>https://www.mouser.com/ProductDetail/485-1862</v>
      </c>
      <c r="T392" s="152">
        <v>0</v>
      </c>
      <c r="U392" s="152">
        <v>0</v>
      </c>
      <c r="V392" s="152">
        <v>0</v>
      </c>
      <c r="W392" s="152">
        <f>MouserListTable[[#This Row],['#/Unit]]*FilterSpecs!$C$3+MouserListTable[[#This Row],[Extra]]</f>
        <v>0</v>
      </c>
      <c r="X392" s="152">
        <f>IF(MouserListTable[[#This Row],[Tag]]=FilterSpecs!$F$7,MouserListTable[[#This Row],['#/Unit]]*MouserListTable[[#This Row],[Price (USD)]],0)</f>
        <v>0</v>
      </c>
      <c r="Y392" s="152">
        <f>MouserListTable[[#This Row],[Tot '#]]*MouserListTable[[#This Row],[Price (USD)]]</f>
        <v>0</v>
      </c>
    </row>
    <row r="393" spans="1:25" x14ac:dyDescent="0.25">
      <c r="A393" s="151" t="s">
        <v>890</v>
      </c>
      <c r="B393" s="151" t="s">
        <v>1870</v>
      </c>
      <c r="C393" s="150" t="s">
        <v>1884</v>
      </c>
      <c r="D393" s="151" t="str">
        <f>IF(MouserListTable[[#This Row],[Vendor]]=FilterSpecs!$A$8,MouserListTable[[#This Row],[Mouser SKU]], MouserListTable[[#This Row],[Supplier SKU]])</f>
        <v>485-1769</v>
      </c>
      <c r="E393" s="152">
        <f>MouserListTable[[#This Row],[Tot '#]]-MouserListTable[[#This Row],['# Initial]]</f>
        <v>0</v>
      </c>
      <c r="F393" s="152">
        <f>IF(AND(MouserListTable[[#This Row],[Tag]]&lt;&gt;FilterSpecs!$F$12, MouserListTable[[#This Row],[Tag]]&lt;&gt;FilterSpecs!$F$9), MouserListTable[[#This Row],['#/Unit]]*FilterSpecs!$B$3+MouserListTable[[#This Row],[Extra Initial]],0)</f>
        <v>0</v>
      </c>
      <c r="G393" s="150"/>
      <c r="H393" s="150"/>
      <c r="I393" s="150" t="s">
        <v>2122</v>
      </c>
      <c r="J393" s="153"/>
      <c r="K393" s="118">
        <v>0.75</v>
      </c>
      <c r="L393" s="153" t="s">
        <v>1896</v>
      </c>
      <c r="M393" s="153"/>
      <c r="N393" s="154">
        <f>MouserListTable[[#This Row],['# Initial]]*MouserListTable[[#This Row],[Price (USD)]]</f>
        <v>0</v>
      </c>
      <c r="O393" s="151" t="s">
        <v>2121</v>
      </c>
      <c r="P393" s="150">
        <f t="shared" si="5"/>
        <v>380</v>
      </c>
      <c r="Q393" s="150" t="s">
        <v>1884</v>
      </c>
      <c r="R39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485-1769</v>
      </c>
      <c r="S393" s="157" t="str">
        <f>HYPERLINK("https://www.mouser.com/ProductDetail/" &amp;MouserListTable[[#This Row],[Mouser SKU]])</f>
        <v>https://www.mouser.com/ProductDetail/485-1769</v>
      </c>
      <c r="T393" s="152">
        <v>0</v>
      </c>
      <c r="U393" s="152">
        <v>0</v>
      </c>
      <c r="V393" s="152">
        <v>0</v>
      </c>
      <c r="W393" s="152">
        <f>MouserListTable[[#This Row],['#/Unit]]*FilterSpecs!$C$3+MouserListTable[[#This Row],[Extra]]</f>
        <v>0</v>
      </c>
      <c r="X393" s="152">
        <f>IF(MouserListTable[[#This Row],[Tag]]=FilterSpecs!$F$7,MouserListTable[[#This Row],['#/Unit]]*MouserListTable[[#This Row],[Price (USD)]],0)</f>
        <v>0</v>
      </c>
      <c r="Y393" s="152">
        <f>MouserListTable[[#This Row],[Tot '#]]*MouserListTable[[#This Row],[Price (USD)]]</f>
        <v>0</v>
      </c>
    </row>
    <row r="394" spans="1:25" x14ac:dyDescent="0.25">
      <c r="A394" s="151" t="s">
        <v>890</v>
      </c>
      <c r="B394" s="151" t="s">
        <v>1870</v>
      </c>
      <c r="C394" s="150" t="s">
        <v>1884</v>
      </c>
      <c r="D394" s="151" t="str">
        <f>IF(MouserListTable[[#This Row],[Vendor]]=FilterSpecs!$A$8,MouserListTable[[#This Row],[Mouser SKU]], MouserListTable[[#This Row],[Supplier SKU]])</f>
        <v>485-1863</v>
      </c>
      <c r="E394" s="152">
        <f>MouserListTable[[#This Row],[Tot '#]]-MouserListTable[[#This Row],['# Initial]]</f>
        <v>0</v>
      </c>
      <c r="F394" s="152">
        <f>IF(AND(MouserListTable[[#This Row],[Tag]]&lt;&gt;FilterSpecs!$F$12, MouserListTable[[#This Row],[Tag]]&lt;&gt;FilterSpecs!$F$9), MouserListTable[[#This Row],['#/Unit]]*FilterSpecs!$B$3+MouserListTable[[#This Row],[Extra Initial]],0)</f>
        <v>0</v>
      </c>
      <c r="G394" s="150"/>
      <c r="H394" s="150"/>
      <c r="I394" s="150" t="s">
        <v>2124</v>
      </c>
      <c r="J394" s="153"/>
      <c r="K394" s="118">
        <v>2.5</v>
      </c>
      <c r="L394" s="153" t="s">
        <v>1896</v>
      </c>
      <c r="M394" s="153"/>
      <c r="N394" s="154">
        <f>MouserListTable[[#This Row],['# Initial]]*MouserListTable[[#This Row],[Price (USD)]]</f>
        <v>0</v>
      </c>
      <c r="O394" s="151" t="s">
        <v>2123</v>
      </c>
      <c r="P394" s="150">
        <f t="shared" si="5"/>
        <v>381</v>
      </c>
      <c r="Q394" s="150" t="s">
        <v>1884</v>
      </c>
      <c r="R39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485-1863</v>
      </c>
      <c r="S394" s="157" t="str">
        <f>HYPERLINK("https://www.mouser.com/ProductDetail/" &amp;MouserListTable[[#This Row],[Mouser SKU]])</f>
        <v>https://www.mouser.com/ProductDetail/485-1863</v>
      </c>
      <c r="T394" s="152">
        <v>0</v>
      </c>
      <c r="U394" s="152">
        <v>0</v>
      </c>
      <c r="V394" s="152">
        <v>0</v>
      </c>
      <c r="W394" s="152">
        <f>MouserListTable[[#This Row],['#/Unit]]*FilterSpecs!$C$3+MouserListTable[[#This Row],[Extra]]</f>
        <v>0</v>
      </c>
      <c r="X394" s="152">
        <f>IF(MouserListTable[[#This Row],[Tag]]=FilterSpecs!$F$7,MouserListTable[[#This Row],['#/Unit]]*MouserListTable[[#This Row],[Price (USD)]],0)</f>
        <v>0</v>
      </c>
      <c r="Y394" s="152">
        <f>MouserListTable[[#This Row],[Tot '#]]*MouserListTable[[#This Row],[Price (USD)]]</f>
        <v>0</v>
      </c>
    </row>
    <row r="395" spans="1:25" x14ac:dyDescent="0.25">
      <c r="A395" s="153" t="s">
        <v>890</v>
      </c>
      <c r="B395" s="153" t="s">
        <v>1872</v>
      </c>
      <c r="C395" s="150" t="s">
        <v>5</v>
      </c>
      <c r="D395" s="151" t="str">
        <f>IF(MouserListTable[[#This Row],[Vendor]]=FilterSpecs!$A$8,MouserListTable[[#This Row],[Mouser SKU]], MouserListTable[[#This Row],[Supplier SKU]])</f>
        <v>474-PRT-08233</v>
      </c>
      <c r="E395" s="152">
        <f>MouserListTable[[#This Row],[Tot '#]]-MouserListTable[[#This Row],['# Initial]]</f>
        <v>0</v>
      </c>
      <c r="F395" s="152">
        <f>IF(AND(MouserListTable[[#This Row],[Tag]]&lt;&gt;FilterSpecs!$F$12, MouserListTable[[#This Row],[Tag]]&lt;&gt;FilterSpecs!$F$9), MouserListTable[[#This Row],['#/Unit]]*FilterSpecs!$B$3+MouserListTable[[#This Row],[Extra Initial]],0)</f>
        <v>0</v>
      </c>
      <c r="G395" s="150" t="s">
        <v>1353</v>
      </c>
      <c r="H395" s="150" t="s">
        <v>1354</v>
      </c>
      <c r="I395" s="150" t="s">
        <v>1355</v>
      </c>
      <c r="J395" s="150">
        <v>1</v>
      </c>
      <c r="K395" s="154">
        <v>0.45</v>
      </c>
      <c r="L395" s="151" t="s">
        <v>1896</v>
      </c>
      <c r="M395" s="150"/>
      <c r="N395" s="154">
        <f>MouserListTable[[#This Row],['# Initial]]*MouserListTable[[#This Row],[Price (USD)]]</f>
        <v>0</v>
      </c>
      <c r="O395" s="151" t="s">
        <v>1352</v>
      </c>
      <c r="P395" s="150">
        <f t="shared" si="5"/>
        <v>382</v>
      </c>
      <c r="Q395" s="150" t="s">
        <v>5</v>
      </c>
      <c r="R39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474-PRT-08233</v>
      </c>
      <c r="S395" s="157" t="str">
        <f>HYPERLINK("https://www.mouser.com/ProductDetail/" &amp;MouserListTable[[#This Row],[Mouser SKU]])</f>
        <v>https://www.mouser.com/ProductDetail/474-PRT-08233</v>
      </c>
      <c r="T395" s="152">
        <v>0</v>
      </c>
      <c r="U395" s="152">
        <v>0</v>
      </c>
      <c r="V395" s="152">
        <v>0</v>
      </c>
      <c r="W395" s="152">
        <f>MouserListTable[[#This Row],['#/Unit]]*FilterSpecs!$C$3+MouserListTable[[#This Row],[Extra]]</f>
        <v>0</v>
      </c>
      <c r="X395" s="152">
        <f>IF(MouserListTable[[#This Row],[Tag]]=FilterSpecs!$F$7,MouserListTable[[#This Row],['#/Unit]]*MouserListTable[[#This Row],[Price (USD)]],0)</f>
        <v>0</v>
      </c>
      <c r="Y395" s="152">
        <f>MouserListTable[[#This Row],[Tot '#]]*MouserListTable[[#This Row],[Price (USD)]]</f>
        <v>0</v>
      </c>
    </row>
    <row r="396" spans="1:25" x14ac:dyDescent="0.25">
      <c r="A396" s="153" t="s">
        <v>890</v>
      </c>
      <c r="B396" s="153" t="s">
        <v>1872</v>
      </c>
      <c r="C396" s="150" t="s">
        <v>5</v>
      </c>
      <c r="D396" s="151" t="str">
        <f>IF(MouserListTable[[#This Row],[Vendor]]=FilterSpecs!$A$8,MouserListTable[[#This Row],[Mouser SKU]], MouserListTable[[#This Row],[Supplier SKU]])</f>
        <v>474-PRT-08095</v>
      </c>
      <c r="E396" s="152">
        <f>MouserListTable[[#This Row],[Tot '#]]-MouserListTable[[#This Row],['# Initial]]</f>
        <v>0</v>
      </c>
      <c r="F396" s="152">
        <f>IF(AND(MouserListTable[[#This Row],[Tag]]&lt;&gt;FilterSpecs!$F$12, MouserListTable[[#This Row],[Tag]]&lt;&gt;FilterSpecs!$F$9), MouserListTable[[#This Row],['#/Unit]]*FilterSpecs!$B$3+MouserListTable[[#This Row],[Extra Initial]],0)</f>
        <v>0</v>
      </c>
      <c r="G396" s="150" t="s">
        <v>1361</v>
      </c>
      <c r="H396" s="150" t="s">
        <v>1362</v>
      </c>
      <c r="I396" s="150" t="s">
        <v>1363</v>
      </c>
      <c r="J396" s="150">
        <v>1</v>
      </c>
      <c r="K396" s="154">
        <v>0.45</v>
      </c>
      <c r="L396" s="151" t="s">
        <v>1896</v>
      </c>
      <c r="M396" s="150"/>
      <c r="N396" s="154">
        <f>MouserListTable[[#This Row],['# Initial]]*MouserListTable[[#This Row],[Price (USD)]]</f>
        <v>0</v>
      </c>
      <c r="O396" s="151" t="s">
        <v>1360</v>
      </c>
      <c r="P396" s="150">
        <f t="shared" si="5"/>
        <v>383</v>
      </c>
      <c r="Q396" s="150" t="s">
        <v>5</v>
      </c>
      <c r="R39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474-PRT-08095</v>
      </c>
      <c r="S396" s="157" t="str">
        <f>HYPERLINK("https://www.mouser.com/ProductDetail/" &amp;MouserListTable[[#This Row],[Mouser SKU]])</f>
        <v>https://www.mouser.com/ProductDetail/474-PRT-08095</v>
      </c>
      <c r="T396" s="152">
        <v>0</v>
      </c>
      <c r="U396" s="152">
        <v>0</v>
      </c>
      <c r="V396" s="152">
        <v>0</v>
      </c>
      <c r="W396" s="152">
        <f>MouserListTable[[#This Row],['#/Unit]]*FilterSpecs!$C$3+MouserListTable[[#This Row],[Extra]]</f>
        <v>0</v>
      </c>
      <c r="X396" s="152">
        <f>IF(MouserListTable[[#This Row],[Tag]]=FilterSpecs!$F$7,MouserListTable[[#This Row],['#/Unit]]*MouserListTable[[#This Row],[Price (USD)]],0)</f>
        <v>0</v>
      </c>
      <c r="Y396" s="152">
        <f>MouserListTable[[#This Row],[Tot '#]]*MouserListTable[[#This Row],[Price (USD)]]</f>
        <v>0</v>
      </c>
    </row>
    <row r="397" spans="1:25" x14ac:dyDescent="0.25">
      <c r="A397" s="151" t="s">
        <v>890</v>
      </c>
      <c r="B397" s="151" t="s">
        <v>1872</v>
      </c>
      <c r="C397" s="150" t="s">
        <v>5</v>
      </c>
      <c r="D397" s="151" t="str">
        <f>IF(MouserListTable[[#This Row],[Vendor]]=FilterSpecs!$A$8,MouserListTable[[#This Row],[Mouser SKU]], MouserListTable[[#This Row],[Supplier SKU]])</f>
        <v>474-PRT-08232</v>
      </c>
      <c r="E397" s="152">
        <f>MouserListTable[[#This Row],[Tot '#]]-MouserListTable[[#This Row],['# Initial]]</f>
        <v>0</v>
      </c>
      <c r="F397" s="152">
        <f>IF(AND(MouserListTable[[#This Row],[Tag]]&lt;&gt;FilterSpecs!$F$12, MouserListTable[[#This Row],[Tag]]&lt;&gt;FilterSpecs!$F$9), MouserListTable[[#This Row],['#/Unit]]*FilterSpecs!$B$3+MouserListTable[[#This Row],[Extra Initial]],0)</f>
        <v>16</v>
      </c>
      <c r="G397" s="150" t="s">
        <v>1369</v>
      </c>
      <c r="H397" s="150" t="s">
        <v>1370</v>
      </c>
      <c r="I397" s="150" t="s">
        <v>1371</v>
      </c>
      <c r="J397" s="150">
        <v>1</v>
      </c>
      <c r="K397" s="154">
        <v>0.45</v>
      </c>
      <c r="L397" s="151" t="s">
        <v>1897</v>
      </c>
      <c r="M397" s="150"/>
      <c r="N397" s="154">
        <f>MouserListTable[[#This Row],['# Initial]]*MouserListTable[[#This Row],[Price (USD)]]</f>
        <v>7.2</v>
      </c>
      <c r="O397" s="151" t="s">
        <v>1368</v>
      </c>
      <c r="P397" s="150">
        <f t="shared" si="5"/>
        <v>384</v>
      </c>
      <c r="Q397" s="150" t="s">
        <v>5</v>
      </c>
      <c r="R39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474-PRT-08232</v>
      </c>
      <c r="S397" s="157" t="str">
        <f>HYPERLINK("https://www.mouser.com/ProductDetail/" &amp;MouserListTable[[#This Row],[Mouser SKU]])</f>
        <v>https://www.mouser.com/ProductDetail/474-PRT-08232</v>
      </c>
      <c r="T397" s="152">
        <v>3</v>
      </c>
      <c r="U397" s="152">
        <v>1</v>
      </c>
      <c r="V397" s="152">
        <v>1</v>
      </c>
      <c r="W397" s="152">
        <f>MouserListTable[[#This Row],['#/Unit]]*FilterSpecs!$C$3+MouserListTable[[#This Row],[Extra]]</f>
        <v>16</v>
      </c>
      <c r="X397" s="152">
        <f>IF(MouserListTable[[#This Row],[Tag]]=FilterSpecs!$F$7,MouserListTable[[#This Row],['#/Unit]]*MouserListTable[[#This Row],[Price (USD)]],0)</f>
        <v>1.35</v>
      </c>
      <c r="Y397" s="152">
        <f>MouserListTable[[#This Row],[Tot '#]]*MouserListTable[[#This Row],[Price (USD)]]</f>
        <v>7.2</v>
      </c>
    </row>
    <row r="398" spans="1:25" x14ac:dyDescent="0.25">
      <c r="A398" s="151" t="s">
        <v>890</v>
      </c>
      <c r="B398" s="151" t="s">
        <v>1872</v>
      </c>
      <c r="C398" s="150" t="s">
        <v>5</v>
      </c>
      <c r="D398" s="151" t="str">
        <f>IF(MouserListTable[[#This Row],[Vendor]]=FilterSpecs!$A$8,MouserListTable[[#This Row],[Mouser SKU]], MouserListTable[[#This Row],[Supplier SKU]])</f>
        <v>474-PRT-08096</v>
      </c>
      <c r="E398" s="152">
        <f>MouserListTable[[#This Row],[Tot '#]]-MouserListTable[[#This Row],['# Initial]]</f>
        <v>0</v>
      </c>
      <c r="F398" s="152">
        <f>IF(AND(MouserListTable[[#This Row],[Tag]]&lt;&gt;FilterSpecs!$F$12, MouserListTable[[#This Row],[Tag]]&lt;&gt;FilterSpecs!$F$9), MouserListTable[[#This Row],['#/Unit]]*FilterSpecs!$B$3+MouserListTable[[#This Row],[Extra Initial]],0)</f>
        <v>16</v>
      </c>
      <c r="G398" s="150" t="s">
        <v>1373</v>
      </c>
      <c r="H398" s="150" t="s">
        <v>1374</v>
      </c>
      <c r="I398" s="150" t="s">
        <v>1375</v>
      </c>
      <c r="J398" s="150">
        <v>1</v>
      </c>
      <c r="K398" s="154">
        <v>0.45</v>
      </c>
      <c r="L398" s="151" t="s">
        <v>1897</v>
      </c>
      <c r="M398" s="150"/>
      <c r="N398" s="154">
        <f>MouserListTable[[#This Row],['# Initial]]*MouserListTable[[#This Row],[Price (USD)]]</f>
        <v>7.2</v>
      </c>
      <c r="O398" s="151" t="s">
        <v>1372</v>
      </c>
      <c r="P398" s="150">
        <f t="shared" ref="P398:P461" si="7">IF($P397="List #",1,$P397+1)</f>
        <v>385</v>
      </c>
      <c r="Q398" s="150" t="s">
        <v>5</v>
      </c>
      <c r="R39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474-PRT-08096</v>
      </c>
      <c r="S398" s="157" t="str">
        <f>HYPERLINK("https://www.mouser.com/ProductDetail/" &amp;MouserListTable[[#This Row],[Mouser SKU]])</f>
        <v>https://www.mouser.com/ProductDetail/474-PRT-08096</v>
      </c>
      <c r="T398" s="152">
        <v>3</v>
      </c>
      <c r="U398" s="152">
        <v>1</v>
      </c>
      <c r="V398" s="152">
        <v>1</v>
      </c>
      <c r="W398" s="152">
        <f>MouserListTable[[#This Row],['#/Unit]]*FilterSpecs!$C$3+MouserListTable[[#This Row],[Extra]]</f>
        <v>16</v>
      </c>
      <c r="X398" s="152">
        <f>IF(MouserListTable[[#This Row],[Tag]]=FilterSpecs!$F$7,MouserListTable[[#This Row],['#/Unit]]*MouserListTable[[#This Row],[Price (USD)]],0)</f>
        <v>1.35</v>
      </c>
      <c r="Y398" s="152">
        <f>MouserListTable[[#This Row],[Tot '#]]*MouserListTable[[#This Row],[Price (USD)]]</f>
        <v>7.2</v>
      </c>
    </row>
    <row r="399" spans="1:25" x14ac:dyDescent="0.25">
      <c r="A399" s="151" t="s">
        <v>890</v>
      </c>
      <c r="B399" s="151" t="s">
        <v>1872</v>
      </c>
      <c r="C399" s="150" t="s">
        <v>5</v>
      </c>
      <c r="D399" s="151" t="str">
        <f>IF(MouserListTable[[#This Row],[Vendor]]=FilterSpecs!$A$8,MouserListTable[[#This Row],[Mouser SKU]], MouserListTable[[#This Row],[Supplier SKU]])</f>
        <v>474-PRT-08231</v>
      </c>
      <c r="E399" s="152">
        <f>MouserListTable[[#This Row],[Tot '#]]-MouserListTable[[#This Row],['# Initial]]</f>
        <v>0</v>
      </c>
      <c r="F399" s="152">
        <f>IF(AND(MouserListTable[[#This Row],[Tag]]&lt;&gt;FilterSpecs!$F$12, MouserListTable[[#This Row],[Tag]]&lt;&gt;FilterSpecs!$F$9), MouserListTable[[#This Row],['#/Unit]]*FilterSpecs!$B$3+MouserListTable[[#This Row],[Extra Initial]],0)</f>
        <v>16</v>
      </c>
      <c r="G399" s="150" t="s">
        <v>1357</v>
      </c>
      <c r="H399" s="150" t="s">
        <v>1358</v>
      </c>
      <c r="I399" s="150" t="s">
        <v>1359</v>
      </c>
      <c r="J399" s="150">
        <v>1</v>
      </c>
      <c r="K399" s="154">
        <v>0.45</v>
      </c>
      <c r="L399" s="151" t="s">
        <v>1897</v>
      </c>
      <c r="M399" s="150"/>
      <c r="N399" s="154">
        <f>MouserListTable[[#This Row],['# Initial]]*MouserListTable[[#This Row],[Price (USD)]]</f>
        <v>7.2</v>
      </c>
      <c r="O399" s="151" t="s">
        <v>1356</v>
      </c>
      <c r="P399" s="150">
        <f t="shared" si="7"/>
        <v>386</v>
      </c>
      <c r="Q399" s="150" t="s">
        <v>5</v>
      </c>
      <c r="R39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474-PRT-08231</v>
      </c>
      <c r="S399" s="157" t="str">
        <f>HYPERLINK("https://www.mouser.com/ProductDetail/" &amp;MouserListTable[[#This Row],[Mouser SKU]])</f>
        <v>https://www.mouser.com/ProductDetail/474-PRT-08231</v>
      </c>
      <c r="T399" s="152">
        <v>3</v>
      </c>
      <c r="U399" s="152">
        <v>1</v>
      </c>
      <c r="V399" s="152">
        <v>1</v>
      </c>
      <c r="W399" s="152">
        <f>MouserListTable[[#This Row],['#/Unit]]*FilterSpecs!$C$3+MouserListTable[[#This Row],[Extra]]</f>
        <v>16</v>
      </c>
      <c r="X399" s="152">
        <f>IF(MouserListTable[[#This Row],[Tag]]=FilterSpecs!$F$7,MouserListTable[[#This Row],['#/Unit]]*MouserListTable[[#This Row],[Price (USD)]],0)</f>
        <v>1.35</v>
      </c>
      <c r="Y399" s="152">
        <f>MouserListTable[[#This Row],[Tot '#]]*MouserListTable[[#This Row],[Price (USD)]]</f>
        <v>7.2</v>
      </c>
    </row>
    <row r="400" spans="1:25" x14ac:dyDescent="0.25">
      <c r="A400" s="151" t="s">
        <v>890</v>
      </c>
      <c r="B400" s="151" t="s">
        <v>1872</v>
      </c>
      <c r="C400" s="150" t="s">
        <v>5</v>
      </c>
      <c r="D400" s="151" t="str">
        <f>IF(MouserListTable[[#This Row],[Vendor]]=FilterSpecs!$A$8,MouserListTable[[#This Row],[Mouser SKU]], MouserListTable[[#This Row],[Supplier SKU]])</f>
        <v>474-PRT-08097</v>
      </c>
      <c r="E400" s="152">
        <f>MouserListTable[[#This Row],[Tot '#]]-MouserListTable[[#This Row],['# Initial]]</f>
        <v>0</v>
      </c>
      <c r="F400" s="152">
        <f>IF(AND(MouserListTable[[#This Row],[Tag]]&lt;&gt;FilterSpecs!$F$12, MouserListTable[[#This Row],[Tag]]&lt;&gt;FilterSpecs!$F$9), MouserListTable[[#This Row],['#/Unit]]*FilterSpecs!$B$3+MouserListTable[[#This Row],[Extra Initial]],0)</f>
        <v>16</v>
      </c>
      <c r="G400" s="150" t="s">
        <v>1345</v>
      </c>
      <c r="H400" s="150" t="s">
        <v>1346</v>
      </c>
      <c r="I400" s="150" t="s">
        <v>1347</v>
      </c>
      <c r="J400" s="150">
        <v>1</v>
      </c>
      <c r="K400" s="154">
        <v>0.45</v>
      </c>
      <c r="L400" s="151" t="s">
        <v>1897</v>
      </c>
      <c r="M400" s="150"/>
      <c r="N400" s="154">
        <f>MouserListTable[[#This Row],['# Initial]]*MouserListTable[[#This Row],[Price (USD)]]</f>
        <v>7.2</v>
      </c>
      <c r="O400" s="151" t="s">
        <v>1344</v>
      </c>
      <c r="P400" s="150">
        <f t="shared" si="7"/>
        <v>387</v>
      </c>
      <c r="Q400" s="150" t="s">
        <v>5</v>
      </c>
      <c r="R40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474-PRT-08097</v>
      </c>
      <c r="S400" s="157" t="str">
        <f>HYPERLINK("https://www.mouser.com/ProductDetail/" &amp;MouserListTable[[#This Row],[Mouser SKU]])</f>
        <v>https://www.mouser.com/ProductDetail/474-PRT-08097</v>
      </c>
      <c r="T400" s="152">
        <v>3</v>
      </c>
      <c r="U400" s="152">
        <v>1</v>
      </c>
      <c r="V400" s="152">
        <v>1</v>
      </c>
      <c r="W400" s="152">
        <f>MouserListTable[[#This Row],['#/Unit]]*FilterSpecs!$C$3+MouserListTable[[#This Row],[Extra]]</f>
        <v>16</v>
      </c>
      <c r="X400" s="152">
        <f>IF(MouserListTable[[#This Row],[Tag]]=FilterSpecs!$F$7,MouserListTable[[#This Row],['#/Unit]]*MouserListTable[[#This Row],[Price (USD)]],0)</f>
        <v>1.35</v>
      </c>
      <c r="Y400" s="152">
        <f>MouserListTable[[#This Row],[Tot '#]]*MouserListTable[[#This Row],[Price (USD)]]</f>
        <v>7.2</v>
      </c>
    </row>
    <row r="401" spans="1:25" x14ac:dyDescent="0.25">
      <c r="A401" s="151" t="s">
        <v>890</v>
      </c>
      <c r="B401" s="151" t="s">
        <v>1872</v>
      </c>
      <c r="C401" s="150" t="s">
        <v>5</v>
      </c>
      <c r="D401" s="151" t="str">
        <f>IF(MouserListTable[[#This Row],[Vendor]]=FilterSpecs!$A$8,MouserListTable[[#This Row],[Mouser SKU]], MouserListTable[[#This Row],[Supplier SKU]])</f>
        <v>474-PRT-08100</v>
      </c>
      <c r="E401" s="152">
        <f>MouserListTable[[#This Row],[Tot '#]]-MouserListTable[[#This Row],['# Initial]]</f>
        <v>0</v>
      </c>
      <c r="F401" s="152">
        <f>IF(AND(MouserListTable[[#This Row],[Tag]]&lt;&gt;FilterSpecs!$F$12, MouserListTable[[#This Row],[Tag]]&lt;&gt;FilterSpecs!$F$9), MouserListTable[[#This Row],['#/Unit]]*FilterSpecs!$B$3+MouserListTable[[#This Row],[Extra Initial]],0)</f>
        <v>16</v>
      </c>
      <c r="G401" s="150" t="s">
        <v>2401</v>
      </c>
      <c r="H401" s="150" t="s">
        <v>2402</v>
      </c>
      <c r="I401" s="150" t="s">
        <v>2403</v>
      </c>
      <c r="J401" s="150">
        <v>1</v>
      </c>
      <c r="K401" s="154">
        <v>1.95</v>
      </c>
      <c r="L401" s="151" t="s">
        <v>1897</v>
      </c>
      <c r="M401" s="151"/>
      <c r="N401" s="154">
        <f>MouserListTable[[#This Row],['# Initial]]*MouserListTable[[#This Row],[Price (USD)]]</f>
        <v>31.2</v>
      </c>
      <c r="O401" s="151" t="s">
        <v>2400</v>
      </c>
      <c r="P401" s="150">
        <f t="shared" si="7"/>
        <v>388</v>
      </c>
      <c r="Q401" s="150" t="s">
        <v>5</v>
      </c>
      <c r="R40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474-PRT-08100</v>
      </c>
      <c r="S401" s="157" t="str">
        <f>HYPERLINK("https://www.mouser.com/ProductDetail/" &amp;MouserListTable[[#This Row],[Mouser SKU]])</f>
        <v>https://www.mouser.com/ProductDetail/474-PRT-08100</v>
      </c>
      <c r="T401" s="152">
        <v>3</v>
      </c>
      <c r="U401" s="152">
        <v>1</v>
      </c>
      <c r="V401" s="152">
        <v>1</v>
      </c>
      <c r="W401" s="152">
        <f>MouserListTable[[#This Row],['#/Unit]]*FilterSpecs!$C$3+MouserListTable[[#This Row],[Extra]]</f>
        <v>16</v>
      </c>
      <c r="X401" s="152">
        <f>IF(MouserListTable[[#This Row],[Tag]]=FilterSpecs!$F$7,MouserListTable[[#This Row],['#/Unit]]*MouserListTable[[#This Row],[Price (USD)]],0)</f>
        <v>5.85</v>
      </c>
      <c r="Y401" s="152">
        <f>MouserListTable[[#This Row],[Tot '#]]*MouserListTable[[#This Row],[Price (USD)]]</f>
        <v>31.2</v>
      </c>
    </row>
    <row r="402" spans="1:25" x14ac:dyDescent="0.25">
      <c r="A402" s="151" t="s">
        <v>890</v>
      </c>
      <c r="B402" s="151" t="s">
        <v>1871</v>
      </c>
      <c r="C402" s="150" t="s">
        <v>5</v>
      </c>
      <c r="D402" s="151" t="str">
        <f>IF(MouserListTable[[#This Row],[Vendor]]=FilterSpecs!$A$8,MouserListTable[[#This Row],[Mouser SKU]], MouserListTable[[#This Row],[Supplier SKU]])</f>
        <v>474-PRT-10651</v>
      </c>
      <c r="E402" s="152">
        <f>MouserListTable[[#This Row],[Tot '#]]-MouserListTable[[#This Row],['# Initial]]</f>
        <v>0</v>
      </c>
      <c r="F402" s="152">
        <f>IF(AND(MouserListTable[[#This Row],[Tag]]&lt;&gt;FilterSpecs!$F$12, MouserListTable[[#This Row],[Tag]]&lt;&gt;FilterSpecs!$F$9), MouserListTable[[#This Row],['#/Unit]]*FilterSpecs!$B$3+MouserListTable[[#This Row],[Extra Initial]],0)</f>
        <v>10</v>
      </c>
      <c r="G402" s="150" t="s">
        <v>1574</v>
      </c>
      <c r="H402" s="150" t="s">
        <v>1575</v>
      </c>
      <c r="I402" s="150" t="s">
        <v>1576</v>
      </c>
      <c r="J402" s="150">
        <v>1</v>
      </c>
      <c r="K402" s="154">
        <v>0.35</v>
      </c>
      <c r="L402" s="151" t="s">
        <v>1897</v>
      </c>
      <c r="M402" s="150"/>
      <c r="N402" s="154">
        <f>MouserListTable[[#This Row],['# Initial]]*MouserListTable[[#This Row],[Price (USD)]]</f>
        <v>3.5</v>
      </c>
      <c r="O402" s="151" t="s">
        <v>1573</v>
      </c>
      <c r="P402" s="150">
        <f t="shared" si="7"/>
        <v>389</v>
      </c>
      <c r="Q402" s="150" t="s">
        <v>5</v>
      </c>
      <c r="R40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474-PRT-10651</v>
      </c>
      <c r="S402" s="157" t="str">
        <f>HYPERLINK("https://www.mouser.com/ProductDetail/" &amp;MouserListTable[[#This Row],[Mouser SKU]])</f>
        <v>https://www.mouser.com/ProductDetail/474-PRT-10651</v>
      </c>
      <c r="T402" s="152">
        <v>2</v>
      </c>
      <c r="U402" s="152">
        <v>0</v>
      </c>
      <c r="V402" s="152">
        <v>0</v>
      </c>
      <c r="W402" s="152">
        <f>MouserListTable[[#This Row],['#/Unit]]*FilterSpecs!$C$3+MouserListTable[[#This Row],[Extra]]</f>
        <v>10</v>
      </c>
      <c r="X402" s="152">
        <f>IF(MouserListTable[[#This Row],[Tag]]=FilterSpecs!$F$7,MouserListTable[[#This Row],['#/Unit]]*MouserListTable[[#This Row],[Price (USD)]],0)</f>
        <v>0.7</v>
      </c>
      <c r="Y402" s="152">
        <f>MouserListTable[[#This Row],[Tot '#]]*MouserListTable[[#This Row],[Price (USD)]]</f>
        <v>3.5</v>
      </c>
    </row>
    <row r="403" spans="1:25" x14ac:dyDescent="0.25">
      <c r="A403" s="151" t="s">
        <v>890</v>
      </c>
      <c r="B403" s="151" t="s">
        <v>1871</v>
      </c>
      <c r="C403" s="150" t="s">
        <v>5</v>
      </c>
      <c r="D403" s="151" t="str">
        <f>IF(MouserListTable[[#This Row],[Vendor]]=FilterSpecs!$A$8,MouserListTable[[#This Row],[Mouser SKU]], MouserListTable[[#This Row],[Supplier SKU]])</f>
        <v>474-PRT-10650</v>
      </c>
      <c r="E403" s="152">
        <f>MouserListTable[[#This Row],[Tot '#]]-MouserListTable[[#This Row],['# Initial]]</f>
        <v>0</v>
      </c>
      <c r="F403" s="152">
        <f>IF(AND(MouserListTable[[#This Row],[Tag]]&lt;&gt;FilterSpecs!$F$12, MouserListTable[[#This Row],[Tag]]&lt;&gt;FilterSpecs!$F$9), MouserListTable[[#This Row],['#/Unit]]*FilterSpecs!$B$3+MouserListTable[[#This Row],[Extra Initial]],0)</f>
        <v>10</v>
      </c>
      <c r="G403" s="150" t="s">
        <v>1570</v>
      </c>
      <c r="H403" s="150" t="s">
        <v>1571</v>
      </c>
      <c r="I403" s="150" t="s">
        <v>1572</v>
      </c>
      <c r="J403" s="150">
        <v>1</v>
      </c>
      <c r="K403" s="154">
        <v>0.5</v>
      </c>
      <c r="L403" s="151" t="s">
        <v>1897</v>
      </c>
      <c r="M403" s="150"/>
      <c r="N403" s="154">
        <f>MouserListTable[[#This Row],['# Initial]]*MouserListTable[[#This Row],[Price (USD)]]</f>
        <v>5</v>
      </c>
      <c r="O403" s="151" t="s">
        <v>1569</v>
      </c>
      <c r="P403" s="150">
        <f t="shared" si="7"/>
        <v>390</v>
      </c>
      <c r="Q403" s="150" t="s">
        <v>5</v>
      </c>
      <c r="R40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474-PRT-10650</v>
      </c>
      <c r="S403" s="157" t="str">
        <f>HYPERLINK("https://www.mouser.com/ProductDetail/" &amp;MouserListTable[[#This Row],[Mouser SKU]])</f>
        <v>https://www.mouser.com/ProductDetail/474-PRT-10650</v>
      </c>
      <c r="T403" s="152">
        <v>2</v>
      </c>
      <c r="U403" s="152">
        <v>0</v>
      </c>
      <c r="V403" s="152">
        <v>0</v>
      </c>
      <c r="W403" s="152">
        <f>MouserListTable[[#This Row],['#/Unit]]*FilterSpecs!$C$3+MouserListTable[[#This Row],[Extra]]</f>
        <v>10</v>
      </c>
      <c r="X403" s="152">
        <f>IF(MouserListTable[[#This Row],[Tag]]=FilterSpecs!$F$7,MouserListTable[[#This Row],['#/Unit]]*MouserListTable[[#This Row],[Price (USD)]],0)</f>
        <v>1</v>
      </c>
      <c r="Y403" s="152">
        <f>MouserListTable[[#This Row],[Tot '#]]*MouserListTable[[#This Row],[Price (USD)]]</f>
        <v>5</v>
      </c>
    </row>
    <row r="404" spans="1:25" x14ac:dyDescent="0.25">
      <c r="A404" s="153" t="s">
        <v>890</v>
      </c>
      <c r="B404" s="153" t="s">
        <v>1874</v>
      </c>
      <c r="C404" s="150" t="s">
        <v>5</v>
      </c>
      <c r="D404" s="151" t="str">
        <f>IF(MouserListTable[[#This Row],[Vendor]]=FilterSpecs!$A$8,MouserListTable[[#This Row],[Mouser SKU]], MouserListTable[[#This Row],[Supplier SKU]])</f>
        <v>474-PRT-10571</v>
      </c>
      <c r="E404" s="152">
        <f>MouserListTable[[#This Row],[Tot '#]]-MouserListTable[[#This Row],['# Initial]]</f>
        <v>0</v>
      </c>
      <c r="F404" s="152">
        <f>IF(AND(MouserListTable[[#This Row],[Tag]]&lt;&gt;FilterSpecs!$F$12, MouserListTable[[#This Row],[Tag]]&lt;&gt;FilterSpecs!$F$9), MouserListTable[[#This Row],['#/Unit]]*FilterSpecs!$B$3+MouserListTable[[#This Row],[Extra Initial]],0)</f>
        <v>0</v>
      </c>
      <c r="G404" s="150" t="s">
        <v>451</v>
      </c>
      <c r="H404" s="150" t="s">
        <v>452</v>
      </c>
      <c r="I404" s="150" t="s">
        <v>453</v>
      </c>
      <c r="J404" s="150">
        <v>1</v>
      </c>
      <c r="K404" s="154">
        <v>0.75</v>
      </c>
      <c r="L404" s="151" t="s">
        <v>1896</v>
      </c>
      <c r="M404" s="150"/>
      <c r="N404" s="154">
        <f>MouserListTable[[#This Row],['# Initial]]*MouserListTable[[#This Row],[Price (USD)]]</f>
        <v>0</v>
      </c>
      <c r="O404" s="151" t="s">
        <v>450</v>
      </c>
      <c r="P404" s="150">
        <f t="shared" si="7"/>
        <v>391</v>
      </c>
      <c r="Q404" s="150" t="s">
        <v>5</v>
      </c>
      <c r="R40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474-PRT-10571</v>
      </c>
      <c r="S404" s="157" t="str">
        <f>HYPERLINK("https://www.mouser.com/ProductDetail/" &amp;MouserListTable[[#This Row],[Mouser SKU]])</f>
        <v>https://www.mouser.com/ProductDetail/474-PRT-10571</v>
      </c>
      <c r="T404" s="152">
        <v>0</v>
      </c>
      <c r="U404" s="152">
        <v>0</v>
      </c>
      <c r="V404" s="152">
        <v>0</v>
      </c>
      <c r="W404" s="152">
        <f>MouserListTable[[#This Row],['#/Unit]]*FilterSpecs!$C$3+MouserListTable[[#This Row],[Extra]]</f>
        <v>0</v>
      </c>
      <c r="X404" s="152">
        <f>IF(MouserListTable[[#This Row],[Tag]]=FilterSpecs!$F$7,MouserListTable[[#This Row],['#/Unit]]*MouserListTable[[#This Row],[Price (USD)]],0)</f>
        <v>0</v>
      </c>
      <c r="Y404" s="152">
        <f>MouserListTable[[#This Row],[Tot '#]]*MouserListTable[[#This Row],[Price (USD)]]</f>
        <v>0</v>
      </c>
    </row>
    <row r="405" spans="1:25" x14ac:dyDescent="0.25">
      <c r="A405" s="151" t="s">
        <v>890</v>
      </c>
      <c r="B405" s="151" t="s">
        <v>1874</v>
      </c>
      <c r="C405" s="150" t="s">
        <v>5</v>
      </c>
      <c r="D405" s="151" t="str">
        <f>IF(MouserListTable[[#This Row],[Vendor]]=FilterSpecs!$A$8,MouserListTable[[#This Row],[Mouser SKU]], MouserListTable[[#This Row],[Supplier SKU]])</f>
        <v>474-PRT-08432</v>
      </c>
      <c r="E405" s="152">
        <f>MouserListTable[[#This Row],[Tot '#]]-MouserListTable[[#This Row],['# Initial]]</f>
        <v>0</v>
      </c>
      <c r="F405" s="152">
        <f>IF(AND(MouserListTable[[#This Row],[Tag]]&lt;&gt;FilterSpecs!$F$12, MouserListTable[[#This Row],[Tag]]&lt;&gt;FilterSpecs!$F$9), MouserListTable[[#This Row],['#/Unit]]*FilterSpecs!$B$3+MouserListTable[[#This Row],[Extra Initial]],0)</f>
        <v>10</v>
      </c>
      <c r="G405" s="150" t="s">
        <v>894</v>
      </c>
      <c r="H405" s="150" t="s">
        <v>895</v>
      </c>
      <c r="I405" s="150" t="s">
        <v>896</v>
      </c>
      <c r="J405" s="150">
        <v>1</v>
      </c>
      <c r="K405" s="154">
        <v>0.95</v>
      </c>
      <c r="L405" s="151" t="s">
        <v>1897</v>
      </c>
      <c r="M405" s="150"/>
      <c r="N405" s="154">
        <f>MouserListTable[[#This Row],['# Initial]]*MouserListTable[[#This Row],[Price (USD)]]</f>
        <v>9.5</v>
      </c>
      <c r="O405" s="151" t="s">
        <v>893</v>
      </c>
      <c r="P405" s="150">
        <f t="shared" si="7"/>
        <v>392</v>
      </c>
      <c r="Q405" s="150" t="s">
        <v>5</v>
      </c>
      <c r="R40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474-PRT-08432</v>
      </c>
      <c r="S405" s="157" t="str">
        <f>HYPERLINK("https://www.mouser.com/ProductDetail/" &amp;MouserListTable[[#This Row],[Mouser SKU]])</f>
        <v>https://www.mouser.com/ProductDetail/474-PRT-08432</v>
      </c>
      <c r="T405" s="152">
        <v>2</v>
      </c>
      <c r="U405" s="152">
        <v>0</v>
      </c>
      <c r="V405" s="152">
        <v>0</v>
      </c>
      <c r="W405" s="152">
        <f>MouserListTable[[#This Row],['#/Unit]]*FilterSpecs!$C$3+MouserListTable[[#This Row],[Extra]]</f>
        <v>10</v>
      </c>
      <c r="X405" s="152">
        <f>IF(MouserListTable[[#This Row],[Tag]]=FilterSpecs!$F$7,MouserListTable[[#This Row],['#/Unit]]*MouserListTable[[#This Row],[Price (USD)]],0)</f>
        <v>1.9</v>
      </c>
      <c r="Y405" s="152">
        <f>MouserListTable[[#This Row],[Tot '#]]*MouserListTable[[#This Row],[Price (USD)]]</f>
        <v>9.5</v>
      </c>
    </row>
    <row r="406" spans="1:25" x14ac:dyDescent="0.25">
      <c r="A406" s="151" t="s">
        <v>890</v>
      </c>
      <c r="B406" s="151" t="s">
        <v>1874</v>
      </c>
      <c r="C406" s="150" t="s">
        <v>5</v>
      </c>
      <c r="D406" s="151" t="str">
        <f>IF(MouserListTable[[#This Row],[Vendor]]=FilterSpecs!$A$8,MouserListTable[[#This Row],[Mouser SKU]], MouserListTable[[#This Row],[Supplier SKU]])</f>
        <v>474-PRT-08433</v>
      </c>
      <c r="E406" s="152">
        <f>MouserListTable[[#This Row],[Tot '#]]-MouserListTable[[#This Row],['# Initial]]</f>
        <v>0</v>
      </c>
      <c r="F406" s="152">
        <f>IF(AND(MouserListTable[[#This Row],[Tag]]&lt;&gt;FilterSpecs!$F$12, MouserListTable[[#This Row],[Tag]]&lt;&gt;FilterSpecs!$F$9), MouserListTable[[#This Row],['#/Unit]]*FilterSpecs!$B$3+MouserListTable[[#This Row],[Extra Initial]],0)</f>
        <v>10</v>
      </c>
      <c r="G406" s="150" t="s">
        <v>1401</v>
      </c>
      <c r="H406" s="150" t="s">
        <v>1402</v>
      </c>
      <c r="I406" s="150" t="s">
        <v>1403</v>
      </c>
      <c r="J406" s="150">
        <v>1</v>
      </c>
      <c r="K406" s="154">
        <v>0.95</v>
      </c>
      <c r="L406" s="151" t="s">
        <v>1897</v>
      </c>
      <c r="M406" s="150"/>
      <c r="N406" s="154">
        <f>MouserListTable[[#This Row],['# Initial]]*MouserListTable[[#This Row],[Price (USD)]]</f>
        <v>9.5</v>
      </c>
      <c r="O406" s="151" t="s">
        <v>1400</v>
      </c>
      <c r="P406" s="150">
        <f t="shared" si="7"/>
        <v>393</v>
      </c>
      <c r="Q406" s="150" t="s">
        <v>5</v>
      </c>
      <c r="R40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474-PRT-08433</v>
      </c>
      <c r="S406" s="157" t="str">
        <f>HYPERLINK("https://www.mouser.com/ProductDetail/" &amp;MouserListTable[[#This Row],[Mouser SKU]])</f>
        <v>https://www.mouser.com/ProductDetail/474-PRT-08433</v>
      </c>
      <c r="T406" s="152">
        <v>2</v>
      </c>
      <c r="U406" s="152">
        <v>0</v>
      </c>
      <c r="V406" s="152">
        <v>0</v>
      </c>
      <c r="W406" s="152">
        <f>MouserListTable[[#This Row],['#/Unit]]*FilterSpecs!$C$3+MouserListTable[[#This Row],[Extra]]</f>
        <v>10</v>
      </c>
      <c r="X406" s="152">
        <f>IF(MouserListTable[[#This Row],[Tag]]=FilterSpecs!$F$7,MouserListTable[[#This Row],['#/Unit]]*MouserListTable[[#This Row],[Price (USD)]],0)</f>
        <v>1.9</v>
      </c>
      <c r="Y406" s="152">
        <f>MouserListTable[[#This Row],[Tot '#]]*MouserListTable[[#This Row],[Price (USD)]]</f>
        <v>9.5</v>
      </c>
    </row>
    <row r="407" spans="1:25" x14ac:dyDescent="0.25">
      <c r="A407" s="153" t="s">
        <v>890</v>
      </c>
      <c r="B407" s="153" t="s">
        <v>1874</v>
      </c>
      <c r="C407" s="150" t="s">
        <v>5</v>
      </c>
      <c r="D407" s="151" t="str">
        <f>IF(MouserListTable[[#This Row],[Vendor]]=FilterSpecs!$A$8,MouserListTable[[#This Row],[Mouser SKU]], MouserListTable[[#This Row],[Supplier SKU]])</f>
        <v>474-PRT-08073</v>
      </c>
      <c r="E407" s="152">
        <f>MouserListTable[[#This Row],[Tot '#]]-MouserListTable[[#This Row],['# Initial]]</f>
        <v>0</v>
      </c>
      <c r="F407" s="152">
        <f>IF(AND(MouserListTable[[#This Row],[Tag]]&lt;&gt;FilterSpecs!$F$12, MouserListTable[[#This Row],[Tag]]&lt;&gt;FilterSpecs!$F$9), MouserListTable[[#This Row],['#/Unit]]*FilterSpecs!$B$3+MouserListTable[[#This Row],[Extra Initial]],0)</f>
        <v>0</v>
      </c>
      <c r="G407" s="150" t="s">
        <v>1365</v>
      </c>
      <c r="H407" s="150" t="s">
        <v>1366</v>
      </c>
      <c r="I407" s="150" t="s">
        <v>1367</v>
      </c>
      <c r="J407" s="150">
        <v>1</v>
      </c>
      <c r="K407" s="154">
        <v>1.5</v>
      </c>
      <c r="L407" s="151" t="s">
        <v>1896</v>
      </c>
      <c r="M407" s="150"/>
      <c r="N407" s="154">
        <f>MouserListTable[[#This Row],['# Initial]]*MouserListTable[[#This Row],[Price (USD)]]</f>
        <v>0</v>
      </c>
      <c r="O407" s="151" t="s">
        <v>1364</v>
      </c>
      <c r="P407" s="150">
        <f t="shared" si="7"/>
        <v>394</v>
      </c>
      <c r="Q407" s="150" t="s">
        <v>5</v>
      </c>
      <c r="R40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474-PRT-08073</v>
      </c>
      <c r="S407" s="157" t="str">
        <f>HYPERLINK("https://www.mouser.com/ProductDetail/" &amp;MouserListTable[[#This Row],[Mouser SKU]])</f>
        <v>https://www.mouser.com/ProductDetail/474-PRT-08073</v>
      </c>
      <c r="T407" s="152">
        <v>0</v>
      </c>
      <c r="U407" s="152">
        <v>0</v>
      </c>
      <c r="V407" s="152">
        <v>0</v>
      </c>
      <c r="W407" s="152">
        <f>MouserListTable[[#This Row],['#/Unit]]*FilterSpecs!$C$3+MouserListTable[[#This Row],[Extra]]</f>
        <v>0</v>
      </c>
      <c r="X407" s="152">
        <f>IF(MouserListTable[[#This Row],[Tag]]=FilterSpecs!$F$7,MouserListTable[[#This Row],['#/Unit]]*MouserListTable[[#This Row],[Price (USD)]],0)</f>
        <v>0</v>
      </c>
      <c r="Y407" s="152">
        <f>MouserListTable[[#This Row],[Tot '#]]*MouserListTable[[#This Row],[Price (USD)]]</f>
        <v>0</v>
      </c>
    </row>
    <row r="408" spans="1:25" x14ac:dyDescent="0.25">
      <c r="A408" s="153" t="s">
        <v>890</v>
      </c>
      <c r="B408" s="153" t="s">
        <v>1874</v>
      </c>
      <c r="C408" s="150" t="s">
        <v>5</v>
      </c>
      <c r="D408" s="151" t="str">
        <f>IF(MouserListTable[[#This Row],[Vendor]]=FilterSpecs!$A$8,MouserListTable[[#This Row],[Mouser SKU]], MouserListTable[[#This Row],[Supplier SKU]])</f>
        <v>474-PRT-08074</v>
      </c>
      <c r="E408" s="152">
        <f>MouserListTable[[#This Row],[Tot '#]]-MouserListTable[[#This Row],['# Initial]]</f>
        <v>0</v>
      </c>
      <c r="F408" s="152">
        <f>IF(AND(MouserListTable[[#This Row],[Tag]]&lt;&gt;FilterSpecs!$F$12, MouserListTable[[#This Row],[Tag]]&lt;&gt;FilterSpecs!$F$9), MouserListTable[[#This Row],['#/Unit]]*FilterSpecs!$B$3+MouserListTable[[#This Row],[Extra Initial]],0)</f>
        <v>0</v>
      </c>
      <c r="G408" s="150" t="s">
        <v>1405</v>
      </c>
      <c r="H408" s="150" t="s">
        <v>1406</v>
      </c>
      <c r="I408" s="150" t="s">
        <v>1407</v>
      </c>
      <c r="J408" s="150">
        <v>1</v>
      </c>
      <c r="K408" s="154">
        <v>1.5</v>
      </c>
      <c r="L408" s="151" t="s">
        <v>1896</v>
      </c>
      <c r="M408" s="150"/>
      <c r="N408" s="154">
        <f>MouserListTable[[#This Row],['# Initial]]*MouserListTable[[#This Row],[Price (USD)]]</f>
        <v>0</v>
      </c>
      <c r="O408" s="151" t="s">
        <v>1404</v>
      </c>
      <c r="P408" s="150">
        <f t="shared" si="7"/>
        <v>395</v>
      </c>
      <c r="Q408" s="150" t="s">
        <v>5</v>
      </c>
      <c r="R40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474-PRT-08074</v>
      </c>
      <c r="S408" s="157" t="str">
        <f>HYPERLINK("https://www.mouser.com/ProductDetail/" &amp;MouserListTable[[#This Row],[Mouser SKU]])</f>
        <v>https://www.mouser.com/ProductDetail/474-PRT-08074</v>
      </c>
      <c r="T408" s="152">
        <v>0</v>
      </c>
      <c r="U408" s="152">
        <v>0</v>
      </c>
      <c r="V408" s="152">
        <v>0</v>
      </c>
      <c r="W408" s="152">
        <f>MouserListTable[[#This Row],['#/Unit]]*FilterSpecs!$C$3+MouserListTable[[#This Row],[Extra]]</f>
        <v>0</v>
      </c>
      <c r="X408" s="152">
        <f>IF(MouserListTable[[#This Row],[Tag]]=FilterSpecs!$F$7,MouserListTable[[#This Row],['#/Unit]]*MouserListTable[[#This Row],[Price (USD)]],0)</f>
        <v>0</v>
      </c>
      <c r="Y408" s="152">
        <f>MouserListTable[[#This Row],[Tot '#]]*MouserListTable[[#This Row],[Price (USD)]]</f>
        <v>0</v>
      </c>
    </row>
    <row r="409" spans="1:25" x14ac:dyDescent="0.25">
      <c r="A409" s="153" t="s">
        <v>890</v>
      </c>
      <c r="B409" s="153" t="s">
        <v>1874</v>
      </c>
      <c r="C409" s="150" t="s">
        <v>5</v>
      </c>
      <c r="D409" s="151" t="str">
        <f>IF(MouserListTable[[#This Row],[Vendor]]=FilterSpecs!$A$8,MouserListTable[[#This Row],[Mouser SKU]], MouserListTable[[#This Row],[Supplier SKU]])</f>
        <v>474-PRT-08075</v>
      </c>
      <c r="E409" s="152">
        <f>MouserListTable[[#This Row],[Tot '#]]-MouserListTable[[#This Row],['# Initial]]</f>
        <v>0</v>
      </c>
      <c r="F409" s="152">
        <f>IF(AND(MouserListTable[[#This Row],[Tag]]&lt;&gt;FilterSpecs!$F$12, MouserListTable[[#This Row],[Tag]]&lt;&gt;FilterSpecs!$F$9), MouserListTable[[#This Row],['#/Unit]]*FilterSpecs!$B$3+MouserListTable[[#This Row],[Extra Initial]],0)</f>
        <v>0</v>
      </c>
      <c r="G409" s="150" t="s">
        <v>447</v>
      </c>
      <c r="H409" s="150" t="s">
        <v>448</v>
      </c>
      <c r="I409" s="150" t="s">
        <v>449</v>
      </c>
      <c r="J409" s="150">
        <v>1</v>
      </c>
      <c r="K409" s="154">
        <v>1.5</v>
      </c>
      <c r="L409" s="151" t="s">
        <v>1896</v>
      </c>
      <c r="M409" s="150"/>
      <c r="N409" s="154">
        <f>MouserListTable[[#This Row],['# Initial]]*MouserListTable[[#This Row],[Price (USD)]]</f>
        <v>0</v>
      </c>
      <c r="O409" s="151" t="s">
        <v>446</v>
      </c>
      <c r="P409" s="150">
        <f t="shared" si="7"/>
        <v>396</v>
      </c>
      <c r="Q409" s="150" t="s">
        <v>5</v>
      </c>
      <c r="R40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474-PRT-08075</v>
      </c>
      <c r="S409" s="157" t="str">
        <f>HYPERLINK("https://www.mouser.com/ProductDetail/" &amp;MouserListTable[[#This Row],[Mouser SKU]])</f>
        <v>https://www.mouser.com/ProductDetail/474-PRT-08075</v>
      </c>
      <c r="T409" s="152">
        <v>0</v>
      </c>
      <c r="U409" s="152">
        <v>0</v>
      </c>
      <c r="V409" s="152">
        <v>0</v>
      </c>
      <c r="W409" s="152">
        <f>MouserListTable[[#This Row],['#/Unit]]*FilterSpecs!$C$3+MouserListTable[[#This Row],[Extra]]</f>
        <v>0</v>
      </c>
      <c r="X409" s="152">
        <f>IF(MouserListTable[[#This Row],[Tag]]=FilterSpecs!$F$7,MouserListTable[[#This Row],['#/Unit]]*MouserListTable[[#This Row],[Price (USD)]],0)</f>
        <v>0</v>
      </c>
      <c r="Y409" s="152">
        <f>MouserListTable[[#This Row],[Tot '#]]*MouserListTable[[#This Row],[Price (USD)]]</f>
        <v>0</v>
      </c>
    </row>
    <row r="410" spans="1:25" x14ac:dyDescent="0.25">
      <c r="A410" s="151" t="s">
        <v>890</v>
      </c>
      <c r="B410" s="151" t="s">
        <v>1874</v>
      </c>
      <c r="C410" s="150" t="s">
        <v>5</v>
      </c>
      <c r="D410" s="151" t="str">
        <f>IF(MouserListTable[[#This Row],[Vendor]]=FilterSpecs!$A$8,MouserListTable[[#This Row],[Mouser SKU]], MouserListTable[[#This Row],[Supplier SKU]])</f>
        <v>474-PRT-08077</v>
      </c>
      <c r="E410" s="152">
        <f>MouserListTable[[#This Row],[Tot '#]]-MouserListTable[[#This Row],['# Initial]]</f>
        <v>0</v>
      </c>
      <c r="F410" s="152">
        <f>IF(AND(MouserListTable[[#This Row],[Tag]]&lt;&gt;FilterSpecs!$F$12, MouserListTable[[#This Row],[Tag]]&lt;&gt;FilterSpecs!$F$9), MouserListTable[[#This Row],['#/Unit]]*FilterSpecs!$B$3+MouserListTable[[#This Row],[Extra Initial]],0)</f>
        <v>2</v>
      </c>
      <c r="G410" s="150" t="s">
        <v>443</v>
      </c>
      <c r="H410" s="150" t="s">
        <v>444</v>
      </c>
      <c r="I410" s="150" t="s">
        <v>445</v>
      </c>
      <c r="J410" s="150">
        <v>1</v>
      </c>
      <c r="K410" s="154">
        <v>1.5</v>
      </c>
      <c r="L410" s="151" t="s">
        <v>1896</v>
      </c>
      <c r="M410" s="150"/>
      <c r="N410" s="154">
        <f>MouserListTable[[#This Row],['# Initial]]*MouserListTable[[#This Row],[Price (USD)]]</f>
        <v>3</v>
      </c>
      <c r="O410" s="151" t="s">
        <v>442</v>
      </c>
      <c r="P410" s="150">
        <f t="shared" si="7"/>
        <v>397</v>
      </c>
      <c r="Q410" s="150" t="s">
        <v>5</v>
      </c>
      <c r="R41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474-PRT-08077</v>
      </c>
      <c r="S410" s="157" t="str">
        <f>HYPERLINK("https://www.mouser.com/ProductDetail/" &amp;MouserListTable[[#This Row],[Mouser SKU]])</f>
        <v>https://www.mouser.com/ProductDetail/474-PRT-08077</v>
      </c>
      <c r="T410" s="152">
        <v>0</v>
      </c>
      <c r="U410" s="152">
        <v>2</v>
      </c>
      <c r="V410" s="152">
        <v>2</v>
      </c>
      <c r="W410" s="152">
        <f>MouserListTable[[#This Row],['#/Unit]]*FilterSpecs!$C$3+MouserListTable[[#This Row],[Extra]]</f>
        <v>2</v>
      </c>
      <c r="X410" s="152">
        <f>IF(MouserListTable[[#This Row],[Tag]]=FilterSpecs!$F$7,MouserListTable[[#This Row],['#/Unit]]*MouserListTable[[#This Row],[Price (USD)]],0)</f>
        <v>0</v>
      </c>
      <c r="Y410" s="152">
        <f>MouserListTable[[#This Row],[Tot '#]]*MouserListTable[[#This Row],[Price (USD)]]</f>
        <v>3</v>
      </c>
    </row>
    <row r="411" spans="1:25" x14ac:dyDescent="0.25">
      <c r="A411" s="153" t="s">
        <v>890</v>
      </c>
      <c r="B411" s="153" t="s">
        <v>1873</v>
      </c>
      <c r="C411" s="150" t="s">
        <v>5</v>
      </c>
      <c r="D411" s="151" t="str">
        <f>IF(MouserListTable[[#This Row],[Vendor]]=FilterSpecs!$A$8,MouserListTable[[#This Row],[Mouser SKU]], MouserListTable[[#This Row],[Supplier SKU]])</f>
        <v>474-PRT-00139</v>
      </c>
      <c r="E411" s="152">
        <f>MouserListTable[[#This Row],[Tot '#]]-MouserListTable[[#This Row],['# Initial]]</f>
        <v>0</v>
      </c>
      <c r="F411" s="152">
        <f>IF(AND(MouserListTable[[#This Row],[Tag]]&lt;&gt;FilterSpecs!$F$12, MouserListTable[[#This Row],[Tag]]&lt;&gt;FilterSpecs!$F$9), MouserListTable[[#This Row],['#/Unit]]*FilterSpecs!$B$3+MouserListTable[[#This Row],[Extra Initial]],0)</f>
        <v>0</v>
      </c>
      <c r="G411" s="150" t="s">
        <v>1656</v>
      </c>
      <c r="H411" s="150" t="s">
        <v>1657</v>
      </c>
      <c r="I411" s="150" t="s">
        <v>1658</v>
      </c>
      <c r="J411" s="150">
        <v>1</v>
      </c>
      <c r="K411" s="154">
        <v>1.25</v>
      </c>
      <c r="L411" s="151" t="s">
        <v>1896</v>
      </c>
      <c r="M411" s="150"/>
      <c r="N411" s="154">
        <f>MouserListTable[[#This Row],['# Initial]]*MouserListTable[[#This Row],[Price (USD)]]</f>
        <v>0</v>
      </c>
      <c r="O411" s="151" t="s">
        <v>1655</v>
      </c>
      <c r="P411" s="150">
        <f t="shared" si="7"/>
        <v>398</v>
      </c>
      <c r="Q411" s="150" t="s">
        <v>5</v>
      </c>
      <c r="R41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474-PRT-00139</v>
      </c>
      <c r="S411" s="157" t="str">
        <f>HYPERLINK("https://www.mouser.com/ProductDetail/" &amp;MouserListTable[[#This Row],[Mouser SKU]])</f>
        <v>https://www.mouser.com/ProductDetail/474-PRT-00139</v>
      </c>
      <c r="T411" s="152">
        <v>0</v>
      </c>
      <c r="U411" s="152">
        <v>0</v>
      </c>
      <c r="V411" s="152">
        <v>0</v>
      </c>
      <c r="W411" s="152">
        <f>MouserListTable[[#This Row],['#/Unit]]*FilterSpecs!$C$3+MouserListTable[[#This Row],[Extra]]</f>
        <v>0</v>
      </c>
      <c r="X411" s="152">
        <f>IF(MouserListTable[[#This Row],[Tag]]=FilterSpecs!$F$7,MouserListTable[[#This Row],['#/Unit]]*MouserListTable[[#This Row],[Price (USD)]],0)</f>
        <v>0</v>
      </c>
      <c r="Y411" s="152">
        <f>MouserListTable[[#This Row],[Tot '#]]*MouserListTable[[#This Row],[Price (USD)]]</f>
        <v>0</v>
      </c>
    </row>
    <row r="412" spans="1:25" x14ac:dyDescent="0.25">
      <c r="A412" s="153" t="s">
        <v>890</v>
      </c>
      <c r="B412" s="153" t="s">
        <v>1873</v>
      </c>
      <c r="C412" s="150" t="s">
        <v>5</v>
      </c>
      <c r="D412" s="151" t="str">
        <f>IF(MouserListTable[[#This Row],[Vendor]]=FilterSpecs!$A$8,MouserListTable[[#This Row],[Mouser SKU]], MouserListTable[[#This Row],[Supplier SKU]])</f>
        <v>474-BOB-12035</v>
      </c>
      <c r="E412" s="152">
        <f>MouserListTable[[#This Row],[Tot '#]]-MouserListTable[[#This Row],['# Initial]]</f>
        <v>0</v>
      </c>
      <c r="F412" s="152">
        <f>IF(AND(MouserListTable[[#This Row],[Tag]]&lt;&gt;FilterSpecs!$F$12, MouserListTable[[#This Row],[Tag]]&lt;&gt;FilterSpecs!$F$9), MouserListTable[[#This Row],['#/Unit]]*FilterSpecs!$B$3+MouserListTable[[#This Row],[Extra Initial]],0)</f>
        <v>0</v>
      </c>
      <c r="G412" s="150" t="s">
        <v>1708</v>
      </c>
      <c r="H412" s="150" t="s">
        <v>1709</v>
      </c>
      <c r="I412" s="150" t="s">
        <v>1710</v>
      </c>
      <c r="J412" s="150">
        <v>1</v>
      </c>
      <c r="K412" s="154">
        <v>1.95</v>
      </c>
      <c r="L412" s="151" t="s">
        <v>1896</v>
      </c>
      <c r="M412" s="150"/>
      <c r="N412" s="154">
        <f>MouserListTable[[#This Row],['# Initial]]*MouserListTable[[#This Row],[Price (USD)]]</f>
        <v>0</v>
      </c>
      <c r="O412" s="151" t="s">
        <v>1707</v>
      </c>
      <c r="P412" s="150">
        <f t="shared" si="7"/>
        <v>399</v>
      </c>
      <c r="Q412" s="150" t="s">
        <v>5</v>
      </c>
      <c r="R41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474-BOB-12035</v>
      </c>
      <c r="S412" s="157" t="str">
        <f>HYPERLINK("https://www.mouser.com/ProductDetail/" &amp;MouserListTable[[#This Row],[Mouser SKU]])</f>
        <v>https://www.mouser.com/ProductDetail/474-BOB-12035</v>
      </c>
      <c r="T412" s="152">
        <v>0</v>
      </c>
      <c r="U412" s="152">
        <v>0</v>
      </c>
      <c r="V412" s="152">
        <v>0</v>
      </c>
      <c r="W412" s="152">
        <f>MouserListTable[[#This Row],['#/Unit]]*FilterSpecs!$C$3+MouserListTable[[#This Row],[Extra]]</f>
        <v>0</v>
      </c>
      <c r="X412" s="152">
        <f>IF(MouserListTable[[#This Row],[Tag]]=FilterSpecs!$F$7,MouserListTable[[#This Row],['#/Unit]]*MouserListTable[[#This Row],[Price (USD)]],0)</f>
        <v>0</v>
      </c>
      <c r="Y412" s="152">
        <f>MouserListTable[[#This Row],[Tot '#]]*MouserListTable[[#This Row],[Price (USD)]]</f>
        <v>0</v>
      </c>
    </row>
    <row r="413" spans="1:25" x14ac:dyDescent="0.25">
      <c r="A413" s="153" t="s">
        <v>890</v>
      </c>
      <c r="B413" s="153" t="s">
        <v>1873</v>
      </c>
      <c r="C413" s="150" t="s">
        <v>5</v>
      </c>
      <c r="D413" s="151" t="str">
        <f>IF(MouserListTable[[#This Row],[Vendor]]=FilterSpecs!$A$8,MouserListTable[[#This Row],[Mouser SKU]], MouserListTable[[#This Row],[Supplier SKU]])</f>
        <v>474-BOB-10031</v>
      </c>
      <c r="E413" s="152">
        <f>MouserListTable[[#This Row],[Tot '#]]-MouserListTable[[#This Row],['# Initial]]</f>
        <v>0</v>
      </c>
      <c r="F413" s="152">
        <f>IF(AND(MouserListTable[[#This Row],[Tag]]&lt;&gt;FilterSpecs!$F$12, MouserListTable[[#This Row],[Tag]]&lt;&gt;FilterSpecs!$F$9), MouserListTable[[#This Row],['#/Unit]]*FilterSpecs!$B$3+MouserListTable[[#This Row],[Extra Initial]],0)</f>
        <v>0</v>
      </c>
      <c r="G413" s="150" t="s">
        <v>1712</v>
      </c>
      <c r="H413" s="150" t="s">
        <v>1713</v>
      </c>
      <c r="I413" s="150" t="s">
        <v>1714</v>
      </c>
      <c r="J413" s="150">
        <v>1</v>
      </c>
      <c r="K413" s="154">
        <v>3.95</v>
      </c>
      <c r="L413" s="151" t="s">
        <v>1896</v>
      </c>
      <c r="M413" s="150"/>
      <c r="N413" s="154">
        <f>MouserListTable[[#This Row],['# Initial]]*MouserListTable[[#This Row],[Price (USD)]]</f>
        <v>0</v>
      </c>
      <c r="O413" s="151" t="s">
        <v>1711</v>
      </c>
      <c r="P413" s="150">
        <f t="shared" si="7"/>
        <v>400</v>
      </c>
      <c r="Q413" s="150" t="s">
        <v>5</v>
      </c>
      <c r="R41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474-BOB-10031</v>
      </c>
      <c r="S413" s="157" t="str">
        <f>HYPERLINK("https://www.mouser.com/ProductDetail/" &amp;MouserListTable[[#This Row],[Mouser SKU]])</f>
        <v>https://www.mouser.com/ProductDetail/474-BOB-10031</v>
      </c>
      <c r="T413" s="152">
        <v>0</v>
      </c>
      <c r="U413" s="152">
        <v>0</v>
      </c>
      <c r="V413" s="152">
        <v>0</v>
      </c>
      <c r="W413" s="152">
        <f>MouserListTable[[#This Row],['#/Unit]]*FilterSpecs!$C$3+MouserListTable[[#This Row],[Extra]]</f>
        <v>0</v>
      </c>
      <c r="X413" s="152">
        <f>IF(MouserListTable[[#This Row],[Tag]]=FilterSpecs!$F$7,MouserListTable[[#This Row],['#/Unit]]*MouserListTable[[#This Row],[Price (USD)]],0)</f>
        <v>0</v>
      </c>
      <c r="Y413" s="152">
        <f>MouserListTable[[#This Row],[Tot '#]]*MouserListTable[[#This Row],[Price (USD)]]</f>
        <v>0</v>
      </c>
    </row>
    <row r="414" spans="1:25" x14ac:dyDescent="0.25">
      <c r="A414" s="153" t="s">
        <v>890</v>
      </c>
      <c r="B414" s="153" t="s">
        <v>1873</v>
      </c>
      <c r="C414" s="150" t="s">
        <v>5</v>
      </c>
      <c r="D414" s="151" t="str">
        <f>IF(MouserListTable[[#This Row],[Vendor]]=FilterSpecs!$A$8,MouserListTable[[#This Row],[Mouser SKU]], MouserListTable[[#This Row],[Supplier SKU]])</f>
        <v>474-BOB-09966</v>
      </c>
      <c r="E414" s="152">
        <f>MouserListTable[[#This Row],[Tot '#]]-MouserListTable[[#This Row],['# Initial]]</f>
        <v>0</v>
      </c>
      <c r="F414" s="152">
        <f>IF(AND(MouserListTable[[#This Row],[Tag]]&lt;&gt;FilterSpecs!$F$12, MouserListTable[[#This Row],[Tag]]&lt;&gt;FilterSpecs!$F$9), MouserListTable[[#This Row],['#/Unit]]*FilterSpecs!$B$3+MouserListTable[[#This Row],[Extra Initial]],0)</f>
        <v>0</v>
      </c>
      <c r="G414" s="150" t="s">
        <v>1704</v>
      </c>
      <c r="H414" s="150" t="s">
        <v>1705</v>
      </c>
      <c r="I414" s="150" t="s">
        <v>1706</v>
      </c>
      <c r="J414" s="150">
        <v>1</v>
      </c>
      <c r="K414" s="154">
        <v>1.95</v>
      </c>
      <c r="L414" s="151" t="s">
        <v>1896</v>
      </c>
      <c r="M414" s="150"/>
      <c r="N414" s="154">
        <f>MouserListTable[[#This Row],['# Initial]]*MouserListTable[[#This Row],[Price (USD)]]</f>
        <v>0</v>
      </c>
      <c r="O414" s="151" t="s">
        <v>1703</v>
      </c>
      <c r="P414" s="150">
        <f t="shared" si="7"/>
        <v>401</v>
      </c>
      <c r="Q414" s="150" t="s">
        <v>5</v>
      </c>
      <c r="R41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474-BOB-09966</v>
      </c>
      <c r="S414" s="157" t="str">
        <f>HYPERLINK("https://www.mouser.com/ProductDetail/" &amp;MouserListTable[[#This Row],[Mouser SKU]])</f>
        <v>https://www.mouser.com/ProductDetail/474-BOB-09966</v>
      </c>
      <c r="T414" s="152">
        <v>0</v>
      </c>
      <c r="U414" s="152">
        <v>0</v>
      </c>
      <c r="V414" s="152">
        <v>0</v>
      </c>
      <c r="W414" s="152">
        <f>MouserListTable[[#This Row],['#/Unit]]*FilterSpecs!$C$3+MouserListTable[[#This Row],[Extra]]</f>
        <v>0</v>
      </c>
      <c r="X414" s="152">
        <f>IF(MouserListTable[[#This Row],[Tag]]=FilterSpecs!$F$7,MouserListTable[[#This Row],['#/Unit]]*MouserListTable[[#This Row],[Price (USD)]],0)</f>
        <v>0</v>
      </c>
      <c r="Y414" s="152">
        <f>MouserListTable[[#This Row],[Tot '#]]*MouserListTable[[#This Row],[Price (USD)]]</f>
        <v>0</v>
      </c>
    </row>
    <row r="415" spans="1:25" x14ac:dyDescent="0.25">
      <c r="A415" s="153" t="s">
        <v>890</v>
      </c>
      <c r="B415" s="153" t="s">
        <v>1875</v>
      </c>
      <c r="C415" s="150" t="s">
        <v>5</v>
      </c>
      <c r="D415" s="151" t="str">
        <f>IF(MouserListTable[[#This Row],[Vendor]]=FilterSpecs!$A$8,MouserListTable[[#This Row],[Mouser SKU]], MouserListTable[[#This Row],[Supplier SKU]])</f>
        <v>474-PRT-09740</v>
      </c>
      <c r="E415" s="152">
        <f>MouserListTable[[#This Row],[Tot '#]]-MouserListTable[[#This Row],['# Initial]]</f>
        <v>0</v>
      </c>
      <c r="F415" s="152">
        <f>IF(AND(MouserListTable[[#This Row],[Tag]]&lt;&gt;FilterSpecs!$F$12, MouserListTable[[#This Row],[Tag]]&lt;&gt;FilterSpecs!$F$9), MouserListTable[[#This Row],['#/Unit]]*FilterSpecs!$B$3+MouserListTable[[#This Row],[Extra Initial]],0)</f>
        <v>0</v>
      </c>
      <c r="G415" s="150" t="s">
        <v>1566</v>
      </c>
      <c r="H415" s="150" t="s">
        <v>1567</v>
      </c>
      <c r="I415" s="150" t="s">
        <v>1568</v>
      </c>
      <c r="J415" s="150">
        <v>1</v>
      </c>
      <c r="K415" s="154">
        <v>0.35</v>
      </c>
      <c r="L415" s="151" t="s">
        <v>1896</v>
      </c>
      <c r="M415" s="150"/>
      <c r="N415" s="154">
        <f>MouserListTable[[#This Row],['# Initial]]*MouserListTable[[#This Row],[Price (USD)]]</f>
        <v>0</v>
      </c>
      <c r="O415" s="151" t="s">
        <v>1565</v>
      </c>
      <c r="P415" s="150">
        <f t="shared" si="7"/>
        <v>402</v>
      </c>
      <c r="Q415" s="150" t="s">
        <v>5</v>
      </c>
      <c r="R41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474-PRT-09740</v>
      </c>
      <c r="S415" s="157" t="str">
        <f>HYPERLINK("https://www.mouser.com/ProductDetail/" &amp;MouserListTable[[#This Row],[Mouser SKU]])</f>
        <v>https://www.mouser.com/ProductDetail/474-PRT-09740</v>
      </c>
      <c r="T415" s="152">
        <v>0</v>
      </c>
      <c r="U415" s="152">
        <v>0</v>
      </c>
      <c r="V415" s="152">
        <v>0</v>
      </c>
      <c r="W415" s="152">
        <f>MouserListTable[[#This Row],['#/Unit]]*FilterSpecs!$C$3+MouserListTable[[#This Row],[Extra]]</f>
        <v>0</v>
      </c>
      <c r="X415" s="152">
        <f>IF(MouserListTable[[#This Row],[Tag]]=FilterSpecs!$F$7,MouserListTable[[#This Row],['#/Unit]]*MouserListTable[[#This Row],[Price (USD)]],0)</f>
        <v>0</v>
      </c>
      <c r="Y415" s="152">
        <f>MouserListTable[[#This Row],[Tot '#]]*MouserListTable[[#This Row],[Price (USD)]]</f>
        <v>0</v>
      </c>
    </row>
    <row r="416" spans="1:25" x14ac:dyDescent="0.25">
      <c r="A416" s="153" t="s">
        <v>890</v>
      </c>
      <c r="B416" s="153" t="s">
        <v>1875</v>
      </c>
      <c r="C416" s="150" t="s">
        <v>5</v>
      </c>
      <c r="D416" s="151" t="str">
        <f>IF(MouserListTable[[#This Row],[Vendor]]=FilterSpecs!$A$8,MouserListTable[[#This Row],[Mouser SKU]], MouserListTable[[#This Row],[Supplier SKU]])</f>
        <v>474-PRT-09739</v>
      </c>
      <c r="E416" s="152">
        <f>MouserListTable[[#This Row],[Tot '#]]-MouserListTable[[#This Row],['# Initial]]</f>
        <v>0</v>
      </c>
      <c r="F416" s="152">
        <f>IF(AND(MouserListTable[[#This Row],[Tag]]&lt;&gt;FilterSpecs!$F$12, MouserListTable[[#This Row],[Tag]]&lt;&gt;FilterSpecs!$F$9), MouserListTable[[#This Row],['#/Unit]]*FilterSpecs!$B$3+MouserListTable[[#This Row],[Extra Initial]],0)</f>
        <v>0</v>
      </c>
      <c r="G416" s="150" t="s">
        <v>1538</v>
      </c>
      <c r="H416" s="150" t="s">
        <v>1539</v>
      </c>
      <c r="I416" s="150" t="s">
        <v>1540</v>
      </c>
      <c r="J416" s="150">
        <v>1</v>
      </c>
      <c r="K416" s="154">
        <v>0.35</v>
      </c>
      <c r="L416" s="151" t="s">
        <v>1896</v>
      </c>
      <c r="M416" s="150"/>
      <c r="N416" s="154">
        <f>MouserListTable[[#This Row],['# Initial]]*MouserListTable[[#This Row],[Price (USD)]]</f>
        <v>0</v>
      </c>
      <c r="O416" s="151" t="s">
        <v>1537</v>
      </c>
      <c r="P416" s="150">
        <f t="shared" si="7"/>
        <v>403</v>
      </c>
      <c r="Q416" s="150" t="s">
        <v>5</v>
      </c>
      <c r="R41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474-PRT-09739</v>
      </c>
      <c r="S416" s="157" t="str">
        <f>HYPERLINK("https://www.mouser.com/ProductDetail/" &amp;MouserListTable[[#This Row],[Mouser SKU]])</f>
        <v>https://www.mouser.com/ProductDetail/474-PRT-09739</v>
      </c>
      <c r="T416" s="152">
        <v>0</v>
      </c>
      <c r="U416" s="152">
        <v>0</v>
      </c>
      <c r="V416" s="152">
        <v>0</v>
      </c>
      <c r="W416" s="152">
        <f>MouserListTable[[#This Row],['#/Unit]]*FilterSpecs!$C$3+MouserListTable[[#This Row],[Extra]]</f>
        <v>0</v>
      </c>
      <c r="X416" s="152">
        <f>IF(MouserListTable[[#This Row],[Tag]]=FilterSpecs!$F$7,MouserListTable[[#This Row],['#/Unit]]*MouserListTable[[#This Row],[Price (USD)]],0)</f>
        <v>0</v>
      </c>
      <c r="Y416" s="152">
        <f>MouserListTable[[#This Row],[Tot '#]]*MouserListTable[[#This Row],[Price (USD)]]</f>
        <v>0</v>
      </c>
    </row>
    <row r="417" spans="1:25" x14ac:dyDescent="0.25">
      <c r="A417" s="153" t="s">
        <v>890</v>
      </c>
      <c r="B417" s="153" t="s">
        <v>1875</v>
      </c>
      <c r="C417" s="150" t="s">
        <v>5</v>
      </c>
      <c r="D417" s="151" t="str">
        <f>IF(MouserListTable[[#This Row],[Vendor]]=FilterSpecs!$A$8,MouserListTable[[#This Row],[Mouser SKU]], MouserListTable[[#This Row],[Supplier SKU]])</f>
        <v>474-COM-14194</v>
      </c>
      <c r="E417" s="152">
        <f>MouserListTable[[#This Row],[Tot '#]]-MouserListTable[[#This Row],['# Initial]]</f>
        <v>4</v>
      </c>
      <c r="F417" s="152">
        <f>IF(AND(MouserListTable[[#This Row],[Tag]]&lt;&gt;FilterSpecs!$F$12, MouserListTable[[#This Row],[Tag]]&lt;&gt;FilterSpecs!$F$9), MouserListTable[[#This Row],['#/Unit]]*FilterSpecs!$B$3+MouserListTable[[#This Row],[Extra Initial]],0)</f>
        <v>5</v>
      </c>
      <c r="G417" s="150" t="s">
        <v>697</v>
      </c>
      <c r="H417" s="150" t="s">
        <v>698</v>
      </c>
      <c r="I417" s="150" t="s">
        <v>699</v>
      </c>
      <c r="J417" s="150">
        <v>1</v>
      </c>
      <c r="K417" s="154">
        <v>1.95</v>
      </c>
      <c r="L417" s="151" t="s">
        <v>1897</v>
      </c>
      <c r="M417" s="150"/>
      <c r="N417" s="154">
        <f>MouserListTable[[#This Row],['# Initial]]*MouserListTable[[#This Row],[Price (USD)]]</f>
        <v>9.75</v>
      </c>
      <c r="O417" s="151" t="s">
        <v>696</v>
      </c>
      <c r="P417" s="150">
        <f t="shared" si="7"/>
        <v>404</v>
      </c>
      <c r="Q417" s="150" t="s">
        <v>5</v>
      </c>
      <c r="R41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474-COM-14194</v>
      </c>
      <c r="S417" s="157" t="str">
        <f>HYPERLINK("https://www.mouser.com/ProductDetail/" &amp;MouserListTable[[#This Row],[Mouser SKU]])</f>
        <v>https://www.mouser.com/ProductDetail/474-COM-14194</v>
      </c>
      <c r="T417" s="152">
        <f>SUM(T146:T157)</f>
        <v>1</v>
      </c>
      <c r="U417" s="152">
        <f>SUM(U146:U157)</f>
        <v>4</v>
      </c>
      <c r="V417" s="152">
        <f>SUM(V146:V157)</f>
        <v>0</v>
      </c>
      <c r="W417" s="152">
        <f>MouserListTable[[#This Row],['#/Unit]]*FilterSpecs!$C$3+MouserListTable[[#This Row],[Extra]]</f>
        <v>9</v>
      </c>
      <c r="X417" s="152">
        <f>IF(MouserListTable[[#This Row],[Tag]]=FilterSpecs!$F$7,MouserListTable[[#This Row],['#/Unit]]*MouserListTable[[#This Row],[Price (USD)]],0)</f>
        <v>1.95</v>
      </c>
      <c r="Y417" s="152">
        <f>MouserListTable[[#This Row],[Tot '#]]*MouserListTable[[#This Row],[Price (USD)]]</f>
        <v>17.55</v>
      </c>
    </row>
    <row r="418" spans="1:25" x14ac:dyDescent="0.25">
      <c r="A418" s="151" t="s">
        <v>890</v>
      </c>
      <c r="B418" s="151" t="s">
        <v>1875</v>
      </c>
      <c r="C418" s="150" t="s">
        <v>5</v>
      </c>
      <c r="D418" s="151" t="str">
        <f>IF(MouserListTable[[#This Row],[Vendor]]=FilterSpecs!$A$8,MouserListTable[[#This Row],[Mouser SKU]], MouserListTable[[#This Row],[Supplier SKU]])</f>
        <v>474-COM-14195</v>
      </c>
      <c r="E418" s="152">
        <f>MouserListTable[[#This Row],[Tot '#]]-MouserListTable[[#This Row],['# Initial]]</f>
        <v>4</v>
      </c>
      <c r="F418" s="152">
        <f>IF(AND(MouserListTable[[#This Row],[Tag]]&lt;&gt;FilterSpecs!$F$12, MouserListTable[[#This Row],[Tag]]&lt;&gt;FilterSpecs!$F$9), MouserListTable[[#This Row],['#/Unit]]*FilterSpecs!$B$3+MouserListTable[[#This Row],[Extra Initial]],0)</f>
        <v>5</v>
      </c>
      <c r="G418" s="150" t="s">
        <v>693</v>
      </c>
      <c r="H418" s="150" t="s">
        <v>694</v>
      </c>
      <c r="I418" s="150" t="s">
        <v>695</v>
      </c>
      <c r="J418" s="150">
        <v>1</v>
      </c>
      <c r="K418" s="154">
        <v>1.95</v>
      </c>
      <c r="L418" s="151" t="s">
        <v>1897</v>
      </c>
      <c r="M418" s="150"/>
      <c r="N418" s="154">
        <f>MouserListTable[[#This Row],['# Initial]]*MouserListTable[[#This Row],[Price (USD)]]</f>
        <v>9.75</v>
      </c>
      <c r="O418" s="151" t="s">
        <v>692</v>
      </c>
      <c r="P418" s="150">
        <f t="shared" si="7"/>
        <v>405</v>
      </c>
      <c r="Q418" s="150" t="s">
        <v>5</v>
      </c>
      <c r="R41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474-COM-14195</v>
      </c>
      <c r="S418" s="157" t="str">
        <f>HYPERLINK("https://www.mouser.com/ProductDetail/" &amp;MouserListTable[[#This Row],[Mouser SKU]])</f>
        <v>https://www.mouser.com/ProductDetail/474-COM-14195</v>
      </c>
      <c r="T418" s="152">
        <f>SUM(T146:T157)</f>
        <v>1</v>
      </c>
      <c r="U418" s="152">
        <f>SUM(U146:U157)</f>
        <v>4</v>
      </c>
      <c r="V418" s="152">
        <f>SUM(V146:V157)</f>
        <v>0</v>
      </c>
      <c r="W418" s="152">
        <f>MouserListTable[[#This Row],['#/Unit]]*FilterSpecs!$C$3+MouserListTable[[#This Row],[Extra]]</f>
        <v>9</v>
      </c>
      <c r="X418" s="152">
        <f>IF(MouserListTable[[#This Row],[Tag]]=FilterSpecs!$F$7,MouserListTable[[#This Row],['#/Unit]]*MouserListTable[[#This Row],[Price (USD)]],0)</f>
        <v>1.95</v>
      </c>
      <c r="Y418" s="152">
        <f>MouserListTable[[#This Row],[Tot '#]]*MouserListTable[[#This Row],[Price (USD)]]</f>
        <v>17.55</v>
      </c>
    </row>
    <row r="419" spans="1:25" x14ac:dyDescent="0.25">
      <c r="A419" s="153" t="s">
        <v>890</v>
      </c>
      <c r="B419" s="153" t="s">
        <v>1875</v>
      </c>
      <c r="C419" s="150" t="s">
        <v>5</v>
      </c>
      <c r="D419" s="151" t="str">
        <f>IF(MouserListTable[[#This Row],[Vendor]]=FilterSpecs!$A$8,MouserListTable[[#This Row],[Mouser SKU]], MouserListTable[[#This Row],[Supplier SKU]])</f>
        <v>474-PRT-09044</v>
      </c>
      <c r="E419" s="152">
        <f>MouserListTable[[#This Row],[Tot '#]]-MouserListTable[[#This Row],['# Initial]]</f>
        <v>0</v>
      </c>
      <c r="F419" s="152">
        <f>IF(AND(MouserListTable[[#This Row],[Tag]]&lt;&gt;FilterSpecs!$F$12, MouserListTable[[#This Row],[Tag]]&lt;&gt;FilterSpecs!$F$9), MouserListTable[[#This Row],['#/Unit]]*FilterSpecs!$B$3+MouserListTable[[#This Row],[Extra Initial]],0)</f>
        <v>0</v>
      </c>
      <c r="G419" s="150" t="s">
        <v>745</v>
      </c>
      <c r="H419" s="150" t="s">
        <v>746</v>
      </c>
      <c r="I419" s="150" t="s">
        <v>747</v>
      </c>
      <c r="J419" s="150">
        <v>1</v>
      </c>
      <c r="K419" s="154">
        <v>0.35</v>
      </c>
      <c r="L419" s="151" t="s">
        <v>1896</v>
      </c>
      <c r="M419" s="150"/>
      <c r="N419" s="154">
        <f>MouserListTable[[#This Row],['# Initial]]*MouserListTable[[#This Row],[Price (USD)]]</f>
        <v>0</v>
      </c>
      <c r="O419" s="151" t="s">
        <v>744</v>
      </c>
      <c r="P419" s="150">
        <f t="shared" si="7"/>
        <v>406</v>
      </c>
      <c r="Q419" s="150" t="s">
        <v>5</v>
      </c>
      <c r="R41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474-PRT-09044</v>
      </c>
      <c r="S419" s="157" t="str">
        <f>HYPERLINK("https://www.mouser.com/ProductDetail/" &amp;MouserListTable[[#This Row],[Mouser SKU]])</f>
        <v>https://www.mouser.com/ProductDetail/474-PRT-09044</v>
      </c>
      <c r="T419" s="152">
        <v>0</v>
      </c>
      <c r="U419" s="152">
        <v>0</v>
      </c>
      <c r="V419" s="152">
        <v>0</v>
      </c>
      <c r="W419" s="152">
        <f>MouserListTable[[#This Row],['#/Unit]]*FilterSpecs!$C$3+MouserListTable[[#This Row],[Extra]]</f>
        <v>0</v>
      </c>
      <c r="X419" s="152">
        <f>IF(MouserListTable[[#This Row],[Tag]]=FilterSpecs!$F$7,MouserListTable[[#This Row],['#/Unit]]*MouserListTable[[#This Row],[Price (USD)]],0)</f>
        <v>0</v>
      </c>
      <c r="Y419" s="152">
        <f>MouserListTable[[#This Row],[Tot '#]]*MouserListTable[[#This Row],[Price (USD)]]</f>
        <v>0</v>
      </c>
    </row>
    <row r="420" spans="1:25" x14ac:dyDescent="0.25">
      <c r="A420" s="151" t="s">
        <v>890</v>
      </c>
      <c r="B420" s="151" t="s">
        <v>1875</v>
      </c>
      <c r="C420" s="150" t="s">
        <v>1884</v>
      </c>
      <c r="D420" s="151" t="str">
        <f>IF(MouserListTable[[#This Row],[Vendor]]=FilterSpecs!$A$8,MouserListTable[[#This Row],[Mouser SKU]], MouserListTable[[#This Row],[Supplier SKU]])</f>
        <v>485-3525</v>
      </c>
      <c r="E420" s="152">
        <f>MouserListTable[[#This Row],[Tot '#]]-MouserListTable[[#This Row],['# Initial]]</f>
        <v>0</v>
      </c>
      <c r="F420" s="152">
        <f>IF(AND(MouserListTable[[#This Row],[Tag]]&lt;&gt;FilterSpecs!$F$12, MouserListTable[[#This Row],[Tag]]&lt;&gt;FilterSpecs!$F$9), MouserListTable[[#This Row],['#/Unit]]*FilterSpecs!$B$3+MouserListTable[[#This Row],[Extra Initial]],0)</f>
        <v>1</v>
      </c>
      <c r="G420" s="150"/>
      <c r="H420" s="150"/>
      <c r="I420" s="150" t="s">
        <v>2125</v>
      </c>
      <c r="J420" s="153"/>
      <c r="K420" s="154">
        <v>0.95</v>
      </c>
      <c r="L420" s="151" t="s">
        <v>1896</v>
      </c>
      <c r="M420" s="151"/>
      <c r="N420" s="154">
        <f>MouserListTable[[#This Row],['# Initial]]*MouserListTable[[#This Row],[Price (USD)]]</f>
        <v>0.95</v>
      </c>
      <c r="O420" s="151">
        <v>3525</v>
      </c>
      <c r="P420" s="150">
        <f t="shared" si="7"/>
        <v>407</v>
      </c>
      <c r="Q420" s="150" t="s">
        <v>1884</v>
      </c>
      <c r="R42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485-3525</v>
      </c>
      <c r="S420" s="157" t="str">
        <f>HYPERLINK("https://www.mouser.com/ProductDetail/" &amp;MouserListTable[[#This Row],[Mouser SKU]])</f>
        <v>https://www.mouser.com/ProductDetail/485-3525</v>
      </c>
      <c r="T420" s="152">
        <v>0</v>
      </c>
      <c r="U420" s="152">
        <v>1</v>
      </c>
      <c r="V420" s="152">
        <v>1</v>
      </c>
      <c r="W420" s="152">
        <f>MouserListTable[[#This Row],['#/Unit]]*FilterSpecs!$C$3+MouserListTable[[#This Row],[Extra]]</f>
        <v>1</v>
      </c>
      <c r="X420" s="152">
        <f>IF(MouserListTable[[#This Row],[Tag]]=FilterSpecs!$F$7,MouserListTable[[#This Row],['#/Unit]]*MouserListTable[[#This Row],[Price (USD)]],0)</f>
        <v>0</v>
      </c>
      <c r="Y420" s="152">
        <f>MouserListTable[[#This Row],[Tot '#]]*MouserListTable[[#This Row],[Price (USD)]]</f>
        <v>0.95</v>
      </c>
    </row>
    <row r="421" spans="1:25" x14ac:dyDescent="0.25">
      <c r="A421" s="97" t="s">
        <v>890</v>
      </c>
      <c r="B421" s="153" t="s">
        <v>1603</v>
      </c>
      <c r="C421" s="150" t="s">
        <v>5</v>
      </c>
      <c r="D421" s="151" t="str">
        <f>IF(MouserListTable[[#This Row],[Vendor]]=FilterSpecs!$A$8,MouserListTable[[#This Row],[Mouser SKU]], MouserListTable[[#This Row],[Supplier SKU]])</f>
        <v>474-KIT-13973</v>
      </c>
      <c r="E421" s="152">
        <f>MouserListTable[[#This Row],[Tot '#]]-MouserListTable[[#This Row],['# Initial]]</f>
        <v>0</v>
      </c>
      <c r="F421" s="152">
        <f>IF(AND(MouserListTable[[#This Row],[Tag]]&lt;&gt;FilterSpecs!$F$12, MouserListTable[[#This Row],[Tag]]&lt;&gt;FilterSpecs!$F$9), MouserListTable[[#This Row],['#/Unit]]*FilterSpecs!$B$3+MouserListTable[[#This Row],[Extra Initial]],0)</f>
        <v>0</v>
      </c>
      <c r="G421" s="150" t="s">
        <v>361</v>
      </c>
      <c r="H421" s="150" t="s">
        <v>362</v>
      </c>
      <c r="I421" s="150" t="s">
        <v>363</v>
      </c>
      <c r="J421" s="150">
        <v>1</v>
      </c>
      <c r="K421" s="154">
        <v>14.95</v>
      </c>
      <c r="L421" s="151" t="s">
        <v>2461</v>
      </c>
      <c r="M421" s="150"/>
      <c r="N421" s="154">
        <f>MouserListTable[[#This Row],['# Initial]]*MouserListTable[[#This Row],[Price (USD)]]</f>
        <v>0</v>
      </c>
      <c r="O421" s="151" t="s">
        <v>360</v>
      </c>
      <c r="P421" s="150">
        <f t="shared" si="7"/>
        <v>408</v>
      </c>
      <c r="Q421" s="150" t="s">
        <v>5</v>
      </c>
      <c r="R42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474-KIT-13973</v>
      </c>
      <c r="S421" s="157" t="str">
        <f>HYPERLINK("https://www.mouser.com/ProductDetail/" &amp;MouserListTable[[#This Row],[Mouser SKU]])</f>
        <v>https://www.mouser.com/ProductDetail/474-KIT-13973</v>
      </c>
      <c r="T421" s="152">
        <v>0</v>
      </c>
      <c r="U421" s="152">
        <v>0</v>
      </c>
      <c r="V421" s="152">
        <v>0</v>
      </c>
      <c r="W421" s="152">
        <f>MouserListTable[[#This Row],['#/Unit]]*FilterSpecs!$C$3+MouserListTable[[#This Row],[Extra]]</f>
        <v>0</v>
      </c>
      <c r="X421" s="152">
        <f>IF(MouserListTable[[#This Row],[Tag]]=FilterSpecs!$F$7,MouserListTable[[#This Row],['#/Unit]]*MouserListTable[[#This Row],[Price (USD)]],0)</f>
        <v>0</v>
      </c>
      <c r="Y421" s="152">
        <f>MouserListTable[[#This Row],[Tot '#]]*MouserListTable[[#This Row],[Price (USD)]]</f>
        <v>0</v>
      </c>
    </row>
    <row r="422" spans="1:25" x14ac:dyDescent="0.25">
      <c r="A422" s="150" t="s">
        <v>890</v>
      </c>
      <c r="B422" s="151" t="s">
        <v>1603</v>
      </c>
      <c r="C422" s="150" t="s">
        <v>1884</v>
      </c>
      <c r="D422" s="151" t="str">
        <f>IF(MouserListTable[[#This Row],[Vendor]]=FilterSpecs!$A$8,MouserListTable[[#This Row],[Mouser SKU]], MouserListTable[[#This Row],[Supplier SKU]])</f>
        <v>485-2975</v>
      </c>
      <c r="E422" s="152">
        <f>MouserListTable[[#This Row],[Tot '#]]-MouserListTable[[#This Row],['# Initial]]</f>
        <v>0</v>
      </c>
      <c r="F422" s="152">
        <f>IF(AND(MouserListTable[[#This Row],[Tag]]&lt;&gt;FilterSpecs!$F$12, MouserListTable[[#This Row],[Tag]]&lt;&gt;FilterSpecs!$F$9), MouserListTable[[#This Row],['#/Unit]]*FilterSpecs!$B$3+MouserListTable[[#This Row],[Extra Initial]],0)</f>
        <v>1</v>
      </c>
      <c r="G422" s="150"/>
      <c r="H422" s="150"/>
      <c r="I422" s="150" t="s">
        <v>2129</v>
      </c>
      <c r="J422" s="153"/>
      <c r="K422" s="154">
        <v>19.95</v>
      </c>
      <c r="L422" s="151" t="s">
        <v>1896</v>
      </c>
      <c r="M422" s="151"/>
      <c r="N422" s="154">
        <f>MouserListTable[[#This Row],['# Initial]]*MouserListTable[[#This Row],[Price (USD)]]</f>
        <v>19.95</v>
      </c>
      <c r="O422" s="151" t="s">
        <v>2128</v>
      </c>
      <c r="P422" s="150">
        <f t="shared" si="7"/>
        <v>409</v>
      </c>
      <c r="Q422" s="150" t="s">
        <v>1884</v>
      </c>
      <c r="R42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485-2975</v>
      </c>
      <c r="S422" s="157" t="str">
        <f>HYPERLINK("https://www.mouser.com/ProductDetail/" &amp;MouserListTable[[#This Row],[Mouser SKU]])</f>
        <v>https://www.mouser.com/ProductDetail/485-2975</v>
      </c>
      <c r="T422" s="152">
        <v>0</v>
      </c>
      <c r="U422" s="152">
        <v>1</v>
      </c>
      <c r="V422" s="152">
        <v>1</v>
      </c>
      <c r="W422" s="152">
        <f>MouserListTable[[#This Row],['#/Unit]]*FilterSpecs!$C$3+MouserListTable[[#This Row],[Extra]]</f>
        <v>1</v>
      </c>
      <c r="X422" s="152">
        <f>IF(MouserListTable[[#This Row],[Tag]]=FilterSpecs!$F$7,MouserListTable[[#This Row],['#/Unit]]*MouserListTable[[#This Row],[Price (USD)]],0)</f>
        <v>0</v>
      </c>
      <c r="Y422" s="152">
        <f>MouserListTable[[#This Row],[Tot '#]]*MouserListTable[[#This Row],[Price (USD)]]</f>
        <v>19.95</v>
      </c>
    </row>
    <row r="423" spans="1:25" x14ac:dyDescent="0.25">
      <c r="A423" s="97" t="s">
        <v>890</v>
      </c>
      <c r="B423" s="153" t="s">
        <v>1603</v>
      </c>
      <c r="C423" s="150" t="s">
        <v>5</v>
      </c>
      <c r="D423" s="151" t="str">
        <f>IF(MouserListTable[[#This Row],[Vendor]]=FilterSpecs!$A$8,MouserListTable[[#This Row],[Mouser SKU]], MouserListTable[[#This Row],[Supplier SKU]])</f>
        <v>474-COM-00522</v>
      </c>
      <c r="E423" s="152">
        <f>MouserListTable[[#This Row],[Tot '#]]-MouserListTable[[#This Row],['# Initial]]</f>
        <v>0</v>
      </c>
      <c r="F423" s="152">
        <f>IF(AND(MouserListTable[[#This Row],[Tag]]&lt;&gt;FilterSpecs!$F$12, MouserListTable[[#This Row],[Tag]]&lt;&gt;FilterSpecs!$F$9), MouserListTable[[#This Row],['#/Unit]]*FilterSpecs!$B$3+MouserListTable[[#This Row],[Extra Initial]],0)</f>
        <v>0</v>
      </c>
      <c r="G423" s="150" t="s">
        <v>1554</v>
      </c>
      <c r="H423" s="150" t="s">
        <v>1555</v>
      </c>
      <c r="I423" s="150" t="s">
        <v>1556</v>
      </c>
      <c r="J423" s="150">
        <v>1</v>
      </c>
      <c r="K423" s="154">
        <v>0.5</v>
      </c>
      <c r="L423" s="151" t="s">
        <v>1896</v>
      </c>
      <c r="M423" s="150"/>
      <c r="N423" s="154">
        <f>MouserListTable[[#This Row],['# Initial]]*MouserListTable[[#This Row],[Price (USD)]]</f>
        <v>0</v>
      </c>
      <c r="O423" s="151" t="s">
        <v>1553</v>
      </c>
      <c r="P423" s="150">
        <f t="shared" si="7"/>
        <v>410</v>
      </c>
      <c r="Q423" s="150" t="s">
        <v>5</v>
      </c>
      <c r="R42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474-COM-00522</v>
      </c>
      <c r="S423" s="157" t="str">
        <f>HYPERLINK("https://www.mouser.com/ProductDetail/" &amp;MouserListTable[[#This Row],[Mouser SKU]])</f>
        <v>https://www.mouser.com/ProductDetail/474-COM-00522</v>
      </c>
      <c r="T423" s="152">
        <v>0</v>
      </c>
      <c r="U423" s="152">
        <v>0</v>
      </c>
      <c r="V423" s="152">
        <v>0</v>
      </c>
      <c r="W423" s="152">
        <f>MouserListTable[[#This Row],['#/Unit]]*FilterSpecs!$C$3+MouserListTable[[#This Row],[Extra]]</f>
        <v>0</v>
      </c>
      <c r="X423" s="152">
        <f>IF(MouserListTable[[#This Row],[Tag]]=FilterSpecs!$F$7,MouserListTable[[#This Row],['#/Unit]]*MouserListTable[[#This Row],[Price (USD)]],0)</f>
        <v>0</v>
      </c>
      <c r="Y423" s="152">
        <f>MouserListTable[[#This Row],[Tot '#]]*MouserListTable[[#This Row],[Price (USD)]]</f>
        <v>0</v>
      </c>
    </row>
    <row r="424" spans="1:25" x14ac:dyDescent="0.25">
      <c r="A424" s="97" t="s">
        <v>890</v>
      </c>
      <c r="B424" s="153" t="s">
        <v>1603</v>
      </c>
      <c r="C424" s="150" t="s">
        <v>5</v>
      </c>
      <c r="D424" s="151" t="str">
        <f>IF(MouserListTable[[#This Row],[Vendor]]=FilterSpecs!$A$8,MouserListTable[[#This Row],[Mouser SKU]], MouserListTable[[#This Row],[Supplier SKU]])</f>
        <v>474-COM-00521</v>
      </c>
      <c r="E424" s="152">
        <f>MouserListTable[[#This Row],[Tot '#]]-MouserListTable[[#This Row],['# Initial]]</f>
        <v>0</v>
      </c>
      <c r="F424" s="152">
        <f>IF(AND(MouserListTable[[#This Row],[Tag]]&lt;&gt;FilterSpecs!$F$12, MouserListTable[[#This Row],[Tag]]&lt;&gt;FilterSpecs!$F$9), MouserListTable[[#This Row],['#/Unit]]*FilterSpecs!$B$3+MouserListTable[[#This Row],[Extra Initial]],0)</f>
        <v>0</v>
      </c>
      <c r="G424" s="150" t="s">
        <v>1558</v>
      </c>
      <c r="H424" s="150" t="s">
        <v>1559</v>
      </c>
      <c r="I424" s="150" t="s">
        <v>1560</v>
      </c>
      <c r="J424" s="150">
        <v>1</v>
      </c>
      <c r="K424" s="154">
        <v>0.5</v>
      </c>
      <c r="L424" s="151" t="s">
        <v>1896</v>
      </c>
      <c r="M424" s="150"/>
      <c r="N424" s="154">
        <f>MouserListTable[[#This Row],['# Initial]]*MouserListTable[[#This Row],[Price (USD)]]</f>
        <v>0</v>
      </c>
      <c r="O424" s="151" t="s">
        <v>1557</v>
      </c>
      <c r="P424" s="150">
        <f t="shared" si="7"/>
        <v>411</v>
      </c>
      <c r="Q424" s="150" t="s">
        <v>5</v>
      </c>
      <c r="R42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474-COM-00521</v>
      </c>
      <c r="S424" s="157" t="str">
        <f>HYPERLINK("https://www.mouser.com/ProductDetail/" &amp;MouserListTable[[#This Row],[Mouser SKU]])</f>
        <v>https://www.mouser.com/ProductDetail/474-COM-00521</v>
      </c>
      <c r="T424" s="152">
        <v>0</v>
      </c>
      <c r="U424" s="152">
        <v>0</v>
      </c>
      <c r="V424" s="152">
        <v>0</v>
      </c>
      <c r="W424" s="152">
        <f>MouserListTable[[#This Row],['#/Unit]]*FilterSpecs!$C$3+MouserListTable[[#This Row],[Extra]]</f>
        <v>0</v>
      </c>
      <c r="X424" s="152">
        <f>IF(MouserListTable[[#This Row],[Tag]]=FilterSpecs!$F$7,MouserListTable[[#This Row],['#/Unit]]*MouserListTable[[#This Row],[Price (USD)]],0)</f>
        <v>0</v>
      </c>
      <c r="Y424" s="152">
        <f>MouserListTable[[#This Row],[Tot '#]]*MouserListTable[[#This Row],[Price (USD)]]</f>
        <v>0</v>
      </c>
    </row>
    <row r="425" spans="1:25" x14ac:dyDescent="0.25">
      <c r="A425" s="97" t="s">
        <v>890</v>
      </c>
      <c r="B425" s="153" t="s">
        <v>1603</v>
      </c>
      <c r="C425" s="150" t="s">
        <v>5</v>
      </c>
      <c r="D425" s="151" t="str">
        <f>IF(MouserListTable[[#This Row],[Vendor]]=FilterSpecs!$A$8,MouserListTable[[#This Row],[Mouser SKU]], MouserListTable[[#This Row],[Supplier SKU]])</f>
        <v>474-COM-08928</v>
      </c>
      <c r="E425" s="152">
        <f>MouserListTable[[#This Row],[Tot '#]]-MouserListTable[[#This Row],['# Initial]]</f>
        <v>0</v>
      </c>
      <c r="F425" s="152">
        <f>IF(AND(MouserListTable[[#This Row],[Tag]]&lt;&gt;FilterSpecs!$F$12, MouserListTable[[#This Row],[Tag]]&lt;&gt;FilterSpecs!$F$9), MouserListTable[[#This Row],['#/Unit]]*FilterSpecs!$B$3+MouserListTable[[#This Row],[Extra Initial]],0)</f>
        <v>0</v>
      </c>
      <c r="G425" s="150" t="s">
        <v>1542</v>
      </c>
      <c r="H425" s="150" t="s">
        <v>1543</v>
      </c>
      <c r="I425" s="150" t="s">
        <v>1544</v>
      </c>
      <c r="J425" s="150">
        <v>1</v>
      </c>
      <c r="K425" s="154">
        <v>0.5</v>
      </c>
      <c r="L425" s="151" t="s">
        <v>2461</v>
      </c>
      <c r="M425" s="150"/>
      <c r="N425" s="154">
        <f>MouserListTable[[#This Row],['# Initial]]*MouserListTable[[#This Row],[Price (USD)]]</f>
        <v>0</v>
      </c>
      <c r="O425" s="151" t="s">
        <v>1541</v>
      </c>
      <c r="P425" s="150">
        <f t="shared" si="7"/>
        <v>412</v>
      </c>
      <c r="Q425" s="150" t="s">
        <v>5</v>
      </c>
      <c r="R42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474-COM-08928</v>
      </c>
      <c r="S425" s="157" t="str">
        <f>HYPERLINK("https://www.mouser.com/ProductDetail/" &amp;MouserListTable[[#This Row],[Mouser SKU]])</f>
        <v>https://www.mouser.com/ProductDetail/474-COM-08928</v>
      </c>
      <c r="T425" s="152">
        <v>0</v>
      </c>
      <c r="U425" s="152">
        <v>0</v>
      </c>
      <c r="V425" s="152">
        <v>0</v>
      </c>
      <c r="W425" s="152">
        <f>MouserListTable[[#This Row],['#/Unit]]*FilterSpecs!$C$3+MouserListTable[[#This Row],[Extra]]</f>
        <v>0</v>
      </c>
      <c r="X425" s="152">
        <f>IF(MouserListTable[[#This Row],[Tag]]=FilterSpecs!$F$7,MouserListTable[[#This Row],['#/Unit]]*MouserListTable[[#This Row],[Price (USD)]],0)</f>
        <v>0</v>
      </c>
      <c r="Y425" s="152">
        <f>MouserListTable[[#This Row],[Tot '#]]*MouserListTable[[#This Row],[Price (USD)]]</f>
        <v>0</v>
      </c>
    </row>
    <row r="426" spans="1:25" x14ac:dyDescent="0.25">
      <c r="A426" s="97" t="s">
        <v>890</v>
      </c>
      <c r="B426" s="153" t="s">
        <v>1603</v>
      </c>
      <c r="C426" s="150" t="s">
        <v>5</v>
      </c>
      <c r="D426" s="151" t="str">
        <f>IF(MouserListTable[[#This Row],[Vendor]]=FilterSpecs!$A$8,MouserListTable[[#This Row],[Mouser SKU]], MouserListTable[[#This Row],[Supplier SKU]])</f>
        <v>474-COM-10213</v>
      </c>
      <c r="E426" s="152">
        <f>MouserListTable[[#This Row],[Tot '#]]-MouserListTable[[#This Row],['# Initial]]</f>
        <v>0</v>
      </c>
      <c r="F426" s="152">
        <f>IF(AND(MouserListTable[[#This Row],[Tag]]&lt;&gt;FilterSpecs!$F$12, MouserListTable[[#This Row],[Tag]]&lt;&gt;FilterSpecs!$F$9), MouserListTable[[#This Row],['#/Unit]]*FilterSpecs!$B$3+MouserListTable[[#This Row],[Extra Initial]],0)</f>
        <v>0</v>
      </c>
      <c r="G426" s="150" t="s">
        <v>1546</v>
      </c>
      <c r="H426" s="150" t="s">
        <v>1547</v>
      </c>
      <c r="I426" s="150" t="s">
        <v>1548</v>
      </c>
      <c r="J426" s="150">
        <v>1</v>
      </c>
      <c r="K426" s="154">
        <v>0.95</v>
      </c>
      <c r="L426" s="151" t="s">
        <v>1896</v>
      </c>
      <c r="M426" s="150"/>
      <c r="N426" s="154">
        <f>MouserListTable[[#This Row],['# Initial]]*MouserListTable[[#This Row],[Price (USD)]]</f>
        <v>0</v>
      </c>
      <c r="O426" s="151" t="s">
        <v>1545</v>
      </c>
      <c r="P426" s="150">
        <f t="shared" si="7"/>
        <v>413</v>
      </c>
      <c r="Q426" s="150" t="s">
        <v>5</v>
      </c>
      <c r="R42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474-COM-10213</v>
      </c>
      <c r="S426" s="157" t="str">
        <f>HYPERLINK("https://www.mouser.com/ProductDetail/" &amp;MouserListTable[[#This Row],[Mouser SKU]])</f>
        <v>https://www.mouser.com/ProductDetail/474-COM-10213</v>
      </c>
      <c r="T426" s="152">
        <v>0</v>
      </c>
      <c r="U426" s="152">
        <v>0</v>
      </c>
      <c r="V426" s="152">
        <v>0</v>
      </c>
      <c r="W426" s="152">
        <f>MouserListTable[[#This Row],['#/Unit]]*FilterSpecs!$C$3+MouserListTable[[#This Row],[Extra]]</f>
        <v>0</v>
      </c>
      <c r="X426" s="152">
        <f>IF(MouserListTable[[#This Row],[Tag]]=FilterSpecs!$F$7,MouserListTable[[#This Row],['#/Unit]]*MouserListTable[[#This Row],[Price (USD)]],0)</f>
        <v>0</v>
      </c>
      <c r="Y426" s="152">
        <f>MouserListTable[[#This Row],[Tot '#]]*MouserListTable[[#This Row],[Price (USD)]]</f>
        <v>0</v>
      </c>
    </row>
    <row r="427" spans="1:25" x14ac:dyDescent="0.25">
      <c r="A427" s="97" t="s">
        <v>890</v>
      </c>
      <c r="B427" s="153" t="s">
        <v>1603</v>
      </c>
      <c r="C427" s="150" t="s">
        <v>5</v>
      </c>
      <c r="D427" s="151" t="str">
        <f>IF(MouserListTable[[#This Row],[Vendor]]=FilterSpecs!$A$8,MouserListTable[[#This Row],[Mouser SKU]], MouserListTable[[#This Row],[Supplier SKU]])</f>
        <v>474-COM-10349</v>
      </c>
      <c r="E427" s="152">
        <f>MouserListTable[[#This Row],[Tot '#]]-MouserListTable[[#This Row],['# Initial]]</f>
        <v>0</v>
      </c>
      <c r="F427" s="152">
        <f>IF(AND(MouserListTable[[#This Row],[Tag]]&lt;&gt;FilterSpecs!$F$12, MouserListTable[[#This Row],[Tag]]&lt;&gt;FilterSpecs!$F$9), MouserListTable[[#This Row],['#/Unit]]*FilterSpecs!$B$3+MouserListTable[[#This Row],[Extra Initial]],0)</f>
        <v>0</v>
      </c>
      <c r="G427" s="150" t="s">
        <v>1550</v>
      </c>
      <c r="H427" s="150" t="s">
        <v>1551</v>
      </c>
      <c r="I427" s="150" t="s">
        <v>1552</v>
      </c>
      <c r="J427" s="150">
        <v>1</v>
      </c>
      <c r="K427" s="154">
        <v>0.95</v>
      </c>
      <c r="L427" s="151" t="s">
        <v>1899</v>
      </c>
      <c r="M427" s="150"/>
      <c r="N427" s="154">
        <f>MouserListTable[[#This Row],['# Initial]]*MouserListTable[[#This Row],[Price (USD)]]</f>
        <v>0</v>
      </c>
      <c r="O427" s="151" t="s">
        <v>1549</v>
      </c>
      <c r="P427" s="150">
        <f t="shared" si="7"/>
        <v>414</v>
      </c>
      <c r="Q427" s="150" t="s">
        <v>5</v>
      </c>
      <c r="R42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474-COM-10349</v>
      </c>
      <c r="S427" s="157" t="str">
        <f>HYPERLINK("https://www.mouser.com/ProductDetail/" &amp;MouserListTable[[#This Row],[Mouser SKU]])</f>
        <v>https://www.mouser.com/ProductDetail/474-COM-10349</v>
      </c>
      <c r="T427" s="152">
        <v>0</v>
      </c>
      <c r="U427" s="152">
        <v>0</v>
      </c>
      <c r="V427" s="152">
        <v>0</v>
      </c>
      <c r="W427" s="152">
        <f>MouserListTable[[#This Row],['#/Unit]]*FilterSpecs!$C$3+MouserListTable[[#This Row],[Extra]]</f>
        <v>0</v>
      </c>
      <c r="X427" s="152">
        <f>IF(MouserListTable[[#This Row],[Tag]]=FilterSpecs!$F$7,MouserListTable[[#This Row],['#/Unit]]*MouserListTable[[#This Row],[Price (USD)]],0)</f>
        <v>0</v>
      </c>
      <c r="Y427" s="152">
        <f>MouserListTable[[#This Row],[Tot '#]]*MouserListTable[[#This Row],[Price (USD)]]</f>
        <v>0</v>
      </c>
    </row>
    <row r="428" spans="1:25" x14ac:dyDescent="0.25">
      <c r="A428" s="97" t="s">
        <v>890</v>
      </c>
      <c r="B428" s="153" t="s">
        <v>1603</v>
      </c>
      <c r="C428" s="150" t="s">
        <v>5</v>
      </c>
      <c r="D428" s="151" t="str">
        <f>IF(MouserListTable[[#This Row],[Vendor]]=FilterSpecs!$A$8,MouserListTable[[#This Row],[Mouser SKU]], MouserListTable[[#This Row],[Supplier SKU]])</f>
        <v>474-COM-12901</v>
      </c>
      <c r="E428" s="152">
        <f>MouserListTable[[#This Row],[Tot '#]]-MouserListTable[[#This Row],['# Initial]]</f>
        <v>0</v>
      </c>
      <c r="F428" s="152">
        <f>IF(AND(MouserListTable[[#This Row],[Tag]]&lt;&gt;FilterSpecs!$F$12, MouserListTable[[#This Row],[Tag]]&lt;&gt;FilterSpecs!$F$9), MouserListTable[[#This Row],['#/Unit]]*FilterSpecs!$B$3+MouserListTable[[#This Row],[Extra Initial]],0)</f>
        <v>0</v>
      </c>
      <c r="G428" s="150" t="s">
        <v>1562</v>
      </c>
      <c r="H428" s="150" t="s">
        <v>1563</v>
      </c>
      <c r="I428" s="150" t="s">
        <v>1564</v>
      </c>
      <c r="J428" s="150"/>
      <c r="K428" s="154">
        <v>1.95</v>
      </c>
      <c r="L428" s="151" t="s">
        <v>1899</v>
      </c>
      <c r="M428" s="150"/>
      <c r="N428" s="154">
        <f>MouserListTable[[#This Row],['# Initial]]*MouserListTable[[#This Row],[Price (USD)]]</f>
        <v>0</v>
      </c>
      <c r="O428" s="151" t="s">
        <v>1561</v>
      </c>
      <c r="P428" s="150">
        <f t="shared" si="7"/>
        <v>415</v>
      </c>
      <c r="Q428" s="150" t="s">
        <v>5</v>
      </c>
      <c r="R42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474-COM-12901</v>
      </c>
      <c r="S428" s="157" t="str">
        <f>HYPERLINK("https://www.mouser.com/ProductDetail/" &amp;MouserListTable[[#This Row],[Mouser SKU]])</f>
        <v>https://www.mouser.com/ProductDetail/474-COM-12901</v>
      </c>
      <c r="T428" s="152">
        <v>0</v>
      </c>
      <c r="U428" s="152">
        <v>0</v>
      </c>
      <c r="V428" s="152">
        <v>0</v>
      </c>
      <c r="W428" s="152">
        <f>MouserListTable[[#This Row],['#/Unit]]*FilterSpecs!$C$3+MouserListTable[[#This Row],[Extra]]</f>
        <v>0</v>
      </c>
      <c r="X428" s="152">
        <f>IF(MouserListTable[[#This Row],[Tag]]=FilterSpecs!$F$7,MouserListTable[[#This Row],['#/Unit]]*MouserListTable[[#This Row],[Price (USD)]],0)</f>
        <v>0</v>
      </c>
      <c r="Y428" s="152">
        <f>MouserListTable[[#This Row],[Tot '#]]*MouserListTable[[#This Row],[Price (USD)]]</f>
        <v>0</v>
      </c>
    </row>
    <row r="429" spans="1:25" x14ac:dyDescent="0.25">
      <c r="A429" s="150" t="s">
        <v>890</v>
      </c>
      <c r="B429" s="151" t="s">
        <v>1603</v>
      </c>
      <c r="C429" s="150" t="s">
        <v>5</v>
      </c>
      <c r="D429" s="151" t="str">
        <f>IF(MouserListTable[[#This Row],[Vendor]]=FilterSpecs!$A$8,MouserListTable[[#This Row],[Mouser SKU]], MouserListTable[[#This Row],[Supplier SKU]])</f>
        <v>474-COM-11078</v>
      </c>
      <c r="E429" s="152">
        <f>MouserListTable[[#This Row],[Tot '#]]-MouserListTable[[#This Row],['# Initial]]</f>
        <v>0</v>
      </c>
      <c r="F429" s="152">
        <f>IF(AND(MouserListTable[[#This Row],[Tag]]&lt;&gt;FilterSpecs!$F$12, MouserListTable[[#This Row],[Tag]]&lt;&gt;FilterSpecs!$F$9), MouserListTable[[#This Row],['#/Unit]]*FilterSpecs!$B$3+MouserListTable[[#This Row],[Extra Initial]],0)</f>
        <v>5</v>
      </c>
      <c r="G429" s="150" t="s">
        <v>385</v>
      </c>
      <c r="H429" s="150" t="s">
        <v>386</v>
      </c>
      <c r="I429" s="150" t="s">
        <v>387</v>
      </c>
      <c r="J429" s="150">
        <v>1</v>
      </c>
      <c r="K429" s="154">
        <v>0.5</v>
      </c>
      <c r="L429" s="151" t="s">
        <v>1897</v>
      </c>
      <c r="M429" s="150"/>
      <c r="N429" s="154">
        <f>MouserListTable[[#This Row],['# Initial]]*MouserListTable[[#This Row],[Price (USD)]]</f>
        <v>2.5</v>
      </c>
      <c r="O429" s="151" t="s">
        <v>384</v>
      </c>
      <c r="P429" s="150">
        <f t="shared" si="7"/>
        <v>416</v>
      </c>
      <c r="Q429" s="150" t="s">
        <v>5</v>
      </c>
      <c r="R42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474-COM-11078</v>
      </c>
      <c r="S429" s="157" t="str">
        <f>HYPERLINK("https://www.mouser.com/ProductDetail/" &amp;MouserListTable[[#This Row],[Mouser SKU]])</f>
        <v>https://www.mouser.com/ProductDetail/474-COM-11078</v>
      </c>
      <c r="T429" s="152">
        <v>1</v>
      </c>
      <c r="U429" s="152">
        <v>0</v>
      </c>
      <c r="V429" s="152">
        <v>0</v>
      </c>
      <c r="W429" s="152">
        <f>MouserListTable[[#This Row],['#/Unit]]*FilterSpecs!$C$3+MouserListTable[[#This Row],[Extra]]</f>
        <v>5</v>
      </c>
      <c r="X429" s="152">
        <f>IF(MouserListTable[[#This Row],[Tag]]=FilterSpecs!$F$7,MouserListTable[[#This Row],['#/Unit]]*MouserListTable[[#This Row],[Price (USD)]],0)</f>
        <v>0.5</v>
      </c>
      <c r="Y429" s="152">
        <f>MouserListTable[[#This Row],[Tot '#]]*MouserListTable[[#This Row],[Price (USD)]]</f>
        <v>2.5</v>
      </c>
    </row>
    <row r="430" spans="1:25" x14ac:dyDescent="0.25">
      <c r="A430" s="150" t="s">
        <v>890</v>
      </c>
      <c r="B430" s="151" t="s">
        <v>1603</v>
      </c>
      <c r="C430" s="150" t="s">
        <v>5</v>
      </c>
      <c r="D430" s="151" t="str">
        <f>IF(MouserListTable[[#This Row],[Vendor]]=FilterSpecs!$A$8,MouserListTable[[#This Row],[Mouser SKU]], MouserListTable[[#This Row],[Supplier SKU]])</f>
        <v>474-COM-00526</v>
      </c>
      <c r="E430" s="152">
        <f>MouserListTable[[#This Row],[Tot '#]]-MouserListTable[[#This Row],['# Initial]]</f>
        <v>0</v>
      </c>
      <c r="F430" s="152">
        <f>IF(AND(MouserListTable[[#This Row],[Tag]]&lt;&gt;FilterSpecs!$F$12, MouserListTable[[#This Row],[Tag]]&lt;&gt;FilterSpecs!$F$9), MouserListTable[[#This Row],['#/Unit]]*FilterSpecs!$B$3+MouserListTable[[#This Row],[Extra Initial]],0)</f>
        <v>5</v>
      </c>
      <c r="G430" s="150" t="s">
        <v>373</v>
      </c>
      <c r="H430" s="150" t="s">
        <v>374</v>
      </c>
      <c r="I430" s="150" t="s">
        <v>375</v>
      </c>
      <c r="J430" s="150">
        <v>1</v>
      </c>
      <c r="K430" s="154">
        <v>1.95</v>
      </c>
      <c r="L430" s="151" t="s">
        <v>1897</v>
      </c>
      <c r="M430" s="150"/>
      <c r="N430" s="154">
        <f>MouserListTable[[#This Row],['# Initial]]*MouserListTable[[#This Row],[Price (USD)]]</f>
        <v>9.75</v>
      </c>
      <c r="O430" s="151" t="s">
        <v>372</v>
      </c>
      <c r="P430" s="150">
        <f t="shared" si="7"/>
        <v>417</v>
      </c>
      <c r="Q430" s="150" t="s">
        <v>5</v>
      </c>
      <c r="R43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474-COM-00526</v>
      </c>
      <c r="S430" s="157" t="str">
        <f>HYPERLINK("https://www.mouser.com/ProductDetail/" &amp;MouserListTable[[#This Row],[Mouser SKU]])</f>
        <v>https://www.mouser.com/ProductDetail/474-COM-00526</v>
      </c>
      <c r="T430" s="152">
        <v>1</v>
      </c>
      <c r="U430" s="152">
        <v>0</v>
      </c>
      <c r="V430" s="152">
        <v>0</v>
      </c>
      <c r="W430" s="152">
        <f>MouserListTable[[#This Row],['#/Unit]]*FilterSpecs!$C$3+MouserListTable[[#This Row],[Extra]]</f>
        <v>5</v>
      </c>
      <c r="X430" s="152">
        <f>IF(MouserListTable[[#This Row],[Tag]]=FilterSpecs!$F$7,MouserListTable[[#This Row],['#/Unit]]*MouserListTable[[#This Row],[Price (USD)]],0)</f>
        <v>1.95</v>
      </c>
      <c r="Y430" s="152">
        <f>MouserListTable[[#This Row],[Tot '#]]*MouserListTable[[#This Row],[Price (USD)]]</f>
        <v>9.75</v>
      </c>
    </row>
    <row r="431" spans="1:25" x14ac:dyDescent="0.25">
      <c r="A431" s="150" t="s">
        <v>890</v>
      </c>
      <c r="B431" s="151" t="s">
        <v>1603</v>
      </c>
      <c r="C431" s="150" t="s">
        <v>5</v>
      </c>
      <c r="D431" s="151" t="str">
        <f>IF(MouserListTable[[#This Row],[Vendor]]=FilterSpecs!$A$8,MouserListTable[[#This Row],[Mouser SKU]], MouserListTable[[#This Row],[Supplier SKU]])</f>
        <v>474-COM-00107</v>
      </c>
      <c r="E431" s="152">
        <f>MouserListTable[[#This Row],[Tot '#]]-MouserListTable[[#This Row],['# Initial]]</f>
        <v>0</v>
      </c>
      <c r="F431" s="152">
        <f>IF(AND(MouserListTable[[#This Row],[Tag]]&lt;&gt;FilterSpecs!$F$12, MouserListTable[[#This Row],[Tag]]&lt;&gt;FilterSpecs!$F$9), MouserListTable[[#This Row],['#/Unit]]*FilterSpecs!$B$3+MouserListTable[[#This Row],[Extra Initial]],0)</f>
        <v>5</v>
      </c>
      <c r="G431" s="150" t="s">
        <v>389</v>
      </c>
      <c r="H431" s="150" t="s">
        <v>390</v>
      </c>
      <c r="I431" s="150" t="s">
        <v>391</v>
      </c>
      <c r="J431" s="150">
        <v>1</v>
      </c>
      <c r="K431" s="154">
        <v>0.95</v>
      </c>
      <c r="L431" s="151" t="s">
        <v>1897</v>
      </c>
      <c r="M431" s="150"/>
      <c r="N431" s="154">
        <f>MouserListTable[[#This Row],['# Initial]]*MouserListTable[[#This Row],[Price (USD)]]</f>
        <v>4.75</v>
      </c>
      <c r="O431" s="151" t="s">
        <v>388</v>
      </c>
      <c r="P431" s="150">
        <f t="shared" si="7"/>
        <v>418</v>
      </c>
      <c r="Q431" s="150" t="s">
        <v>5</v>
      </c>
      <c r="R43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474-COM-00107</v>
      </c>
      <c r="S431" s="157" t="str">
        <f>HYPERLINK("https://www.mouser.com/ProductDetail/" &amp;MouserListTable[[#This Row],[Mouser SKU]])</f>
        <v>https://www.mouser.com/ProductDetail/474-COM-00107</v>
      </c>
      <c r="T431" s="152">
        <v>1</v>
      </c>
      <c r="U431" s="152">
        <v>0</v>
      </c>
      <c r="V431" s="152">
        <v>0</v>
      </c>
      <c r="W431" s="152">
        <f>MouserListTable[[#This Row],['#/Unit]]*FilterSpecs!$C$3+MouserListTable[[#This Row],[Extra]]</f>
        <v>5</v>
      </c>
      <c r="X431" s="152">
        <f>IF(MouserListTable[[#This Row],[Tag]]=FilterSpecs!$F$7,MouserListTable[[#This Row],['#/Unit]]*MouserListTable[[#This Row],[Price (USD)]],0)</f>
        <v>0.95</v>
      </c>
      <c r="Y431" s="152">
        <f>MouserListTable[[#This Row],[Tot '#]]*MouserListTable[[#This Row],[Price (USD)]]</f>
        <v>4.75</v>
      </c>
    </row>
    <row r="432" spans="1:25" x14ac:dyDescent="0.25">
      <c r="A432" s="150" t="s">
        <v>890</v>
      </c>
      <c r="B432" s="151" t="s">
        <v>1603</v>
      </c>
      <c r="C432" s="150" t="s">
        <v>5</v>
      </c>
      <c r="D432" s="151" t="str">
        <f>IF(MouserListTable[[#This Row],[Vendor]]=FilterSpecs!$A$8,MouserListTable[[#This Row],[Mouser SKU]], MouserListTable[[#This Row],[Supplier SKU]])</f>
        <v>474-COM-12766</v>
      </c>
      <c r="E432" s="152">
        <f>MouserListTable[[#This Row],[Tot '#]]-MouserListTable[[#This Row],['# Initial]]</f>
        <v>2</v>
      </c>
      <c r="F432" s="152">
        <f>IF(AND(MouserListTable[[#This Row],[Tag]]&lt;&gt;FilterSpecs!$F$12, MouserListTable[[#This Row],[Tag]]&lt;&gt;FilterSpecs!$F$9), MouserListTable[[#This Row],['#/Unit]]*FilterSpecs!$B$3+MouserListTable[[#This Row],[Extra Initial]],0)</f>
        <v>0</v>
      </c>
      <c r="G432" s="150" t="s">
        <v>1261</v>
      </c>
      <c r="H432" s="150" t="s">
        <v>1262</v>
      </c>
      <c r="I432" s="150" t="s">
        <v>1263</v>
      </c>
      <c r="J432" s="150">
        <v>1</v>
      </c>
      <c r="K432" s="154">
        <v>1.5</v>
      </c>
      <c r="L432" s="151" t="s">
        <v>1896</v>
      </c>
      <c r="M432" s="150"/>
      <c r="N432" s="154">
        <f>MouserListTable[[#This Row],['# Initial]]*MouserListTable[[#This Row],[Price (USD)]]</f>
        <v>0</v>
      </c>
      <c r="O432" s="151" t="s">
        <v>1260</v>
      </c>
      <c r="P432" s="150">
        <f t="shared" si="7"/>
        <v>419</v>
      </c>
      <c r="Q432" s="150" t="s">
        <v>5</v>
      </c>
      <c r="R43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474-COM-12766</v>
      </c>
      <c r="S432" s="157" t="str">
        <f>HYPERLINK("https://www.mouser.com/ProductDetail/" &amp;MouserListTable[[#This Row],[Mouser SKU]])</f>
        <v>https://www.mouser.com/ProductDetail/474-COM-12766</v>
      </c>
      <c r="T432" s="152">
        <v>0</v>
      </c>
      <c r="U432" s="152">
        <v>2</v>
      </c>
      <c r="V432" s="152">
        <v>0</v>
      </c>
      <c r="W432" s="152">
        <f>MouserListTable[[#This Row],['#/Unit]]*FilterSpecs!$C$3+MouserListTable[[#This Row],[Extra]]</f>
        <v>2</v>
      </c>
      <c r="X432" s="152">
        <f>IF(MouserListTable[[#This Row],[Tag]]=FilterSpecs!$F$7,MouserListTable[[#This Row],['#/Unit]]*MouserListTable[[#This Row],[Price (USD)]],0)</f>
        <v>0</v>
      </c>
      <c r="Y432" s="152">
        <f>MouserListTable[[#This Row],[Tot '#]]*MouserListTable[[#This Row],[Price (USD)]]</f>
        <v>3</v>
      </c>
    </row>
    <row r="433" spans="1:25" x14ac:dyDescent="0.25">
      <c r="A433" s="150" t="s">
        <v>890</v>
      </c>
      <c r="B433" s="151" t="s">
        <v>1603</v>
      </c>
      <c r="C433" s="150" t="s">
        <v>5</v>
      </c>
      <c r="D433" s="151" t="str">
        <f>IF(MouserListTable[[#This Row],[Vendor]]=FilterSpecs!$A$8,MouserListTable[[#This Row],[Mouser SKU]], MouserListTable[[#This Row],[Supplier SKU]])</f>
        <v>474-COM-00527</v>
      </c>
      <c r="E433" s="152">
        <f>MouserListTable[[#This Row],[Tot '#]]-MouserListTable[[#This Row],['# Initial]]</f>
        <v>1</v>
      </c>
      <c r="F433" s="152">
        <f>IF(AND(MouserListTable[[#This Row],[Tag]]&lt;&gt;FilterSpecs!$F$12, MouserListTable[[#This Row],[Tag]]&lt;&gt;FilterSpecs!$F$9), MouserListTable[[#This Row],['#/Unit]]*FilterSpecs!$B$3+MouserListTable[[#This Row],[Extra Initial]],0)</f>
        <v>0</v>
      </c>
      <c r="G433" s="150" t="s">
        <v>377</v>
      </c>
      <c r="H433" s="150" t="s">
        <v>378</v>
      </c>
      <c r="I433" s="150" t="s">
        <v>379</v>
      </c>
      <c r="J433" s="150">
        <v>1</v>
      </c>
      <c r="K433" s="154">
        <v>1.95</v>
      </c>
      <c r="L433" s="151" t="s">
        <v>2461</v>
      </c>
      <c r="M433" s="150"/>
      <c r="N433" s="154">
        <f>MouserListTable[[#This Row],['# Initial]]*MouserListTable[[#This Row],[Price (USD)]]</f>
        <v>0</v>
      </c>
      <c r="O433" s="151" t="s">
        <v>376</v>
      </c>
      <c r="P433" s="150">
        <f t="shared" si="7"/>
        <v>420</v>
      </c>
      <c r="Q433" s="150" t="s">
        <v>5</v>
      </c>
      <c r="R43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474-COM-00527</v>
      </c>
      <c r="S433" s="157" t="str">
        <f>HYPERLINK("https://www.mouser.com/ProductDetail/" &amp;MouserListTable[[#This Row],[Mouser SKU]])</f>
        <v>https://www.mouser.com/ProductDetail/474-COM-00527</v>
      </c>
      <c r="T433" s="152">
        <v>0</v>
      </c>
      <c r="U433" s="152">
        <v>1</v>
      </c>
      <c r="V433" s="152">
        <v>0</v>
      </c>
      <c r="W433" s="152">
        <f>MouserListTable[[#This Row],['#/Unit]]*FilterSpecs!$C$3+MouserListTable[[#This Row],[Extra]]</f>
        <v>1</v>
      </c>
      <c r="X433" s="152">
        <f>IF(MouserListTable[[#This Row],[Tag]]=FilterSpecs!$F$7,MouserListTable[[#This Row],['#/Unit]]*MouserListTable[[#This Row],[Price (USD)]],0)</f>
        <v>0</v>
      </c>
      <c r="Y433" s="152">
        <f>MouserListTable[[#This Row],[Tot '#]]*MouserListTable[[#This Row],[Price (USD)]]</f>
        <v>1.95</v>
      </c>
    </row>
    <row r="434" spans="1:25" x14ac:dyDescent="0.25">
      <c r="A434" s="150" t="s">
        <v>890</v>
      </c>
      <c r="B434" s="151" t="s">
        <v>1603</v>
      </c>
      <c r="C434" s="150" t="s">
        <v>5</v>
      </c>
      <c r="D434" s="151" t="str">
        <f>IF(MouserListTable[[#This Row],[Vendor]]=FilterSpecs!$A$8,MouserListTable[[#This Row],[Mouser SKU]], MouserListTable[[#This Row],[Supplier SKU]])</f>
        <v>474-PRT-07937</v>
      </c>
      <c r="E434" s="152">
        <f>MouserListTable[[#This Row],[Tot '#]]-MouserListTable[[#This Row],['# Initial]]</f>
        <v>1</v>
      </c>
      <c r="F434" s="152">
        <f>IF(AND(MouserListTable[[#This Row],[Tag]]&lt;&gt;FilterSpecs!$F$12, MouserListTable[[#This Row],[Tag]]&lt;&gt;FilterSpecs!$F$9), MouserListTable[[#This Row],['#/Unit]]*FilterSpecs!$B$3+MouserListTable[[#This Row],[Extra Initial]],0)</f>
        <v>25</v>
      </c>
      <c r="G434" s="150" t="s">
        <v>1830</v>
      </c>
      <c r="H434" s="150" t="s">
        <v>1831</v>
      </c>
      <c r="I434" s="150" t="s">
        <v>1832</v>
      </c>
      <c r="J434" s="150">
        <v>1</v>
      </c>
      <c r="K434" s="154">
        <v>0.5</v>
      </c>
      <c r="L434" s="151" t="s">
        <v>1897</v>
      </c>
      <c r="M434" s="150"/>
      <c r="N434" s="154">
        <f>MouserListTable[[#This Row],['# Initial]]*MouserListTable[[#This Row],[Price (USD)]]</f>
        <v>12.5</v>
      </c>
      <c r="O434" s="151" t="s">
        <v>1829</v>
      </c>
      <c r="P434" s="150">
        <f t="shared" si="7"/>
        <v>421</v>
      </c>
      <c r="Q434" s="150" t="s">
        <v>5</v>
      </c>
      <c r="R43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474-PRT-07937</v>
      </c>
      <c r="S434" s="157" t="str">
        <f>HYPERLINK("https://www.mouser.com/ProductDetail/" &amp;MouserListTable[[#This Row],[Mouser SKU]])</f>
        <v>https://www.mouser.com/ProductDetail/474-PRT-07937</v>
      </c>
      <c r="T434" s="152">
        <f>SUM(T436:T442)</f>
        <v>5</v>
      </c>
      <c r="U434" s="152">
        <v>1</v>
      </c>
      <c r="V434" s="152">
        <v>0</v>
      </c>
      <c r="W434" s="152">
        <f>MouserListTable[[#This Row],['#/Unit]]*FilterSpecs!$C$3+MouserListTable[[#This Row],[Extra]]</f>
        <v>26</v>
      </c>
      <c r="X434" s="152">
        <f>IF(MouserListTable[[#This Row],[Tag]]=FilterSpecs!$F$7,MouserListTable[[#This Row],['#/Unit]]*MouserListTable[[#This Row],[Price (USD)]],0)</f>
        <v>2.5</v>
      </c>
      <c r="Y434" s="152">
        <f>MouserListTable[[#This Row],[Tot '#]]*MouserListTable[[#This Row],[Price (USD)]]</f>
        <v>13</v>
      </c>
    </row>
    <row r="435" spans="1:25" x14ac:dyDescent="0.25">
      <c r="A435" s="98" t="s">
        <v>890</v>
      </c>
      <c r="B435" s="98" t="s">
        <v>1603</v>
      </c>
      <c r="C435" s="150" t="s">
        <v>1884</v>
      </c>
      <c r="D435" s="151" t="str">
        <f>IF(MouserListTable[[#This Row],[Vendor]]=FilterSpecs!$A$8,MouserListTable[[#This Row],[Mouser SKU]], MouserListTable[[#This Row],[Supplier SKU]])</f>
        <v>485-2202</v>
      </c>
      <c r="E435" s="152">
        <f>MouserListTable[[#This Row],[Tot '#]]-MouserListTable[[#This Row],['# Initial]]</f>
        <v>0</v>
      </c>
      <c r="F435" s="152">
        <f>IF(AND(MouserListTable[[#This Row],[Tag]]&lt;&gt;FilterSpecs!$F$12, MouserListTable[[#This Row],[Tag]]&lt;&gt;FilterSpecs!$F$9), MouserListTable[[#This Row],['#/Unit]]*FilterSpecs!$B$3+MouserListTable[[#This Row],[Extra Initial]],0)</f>
        <v>0</v>
      </c>
      <c r="G435" s="150"/>
      <c r="H435" s="150"/>
      <c r="I435" s="150" t="s">
        <v>2450</v>
      </c>
      <c r="J435" s="113">
        <v>114</v>
      </c>
      <c r="K435" s="119">
        <v>0.75</v>
      </c>
      <c r="L435" s="97" t="s">
        <v>1896</v>
      </c>
      <c r="M435" s="153"/>
      <c r="N435" s="154">
        <f>MouserListTable[[#This Row],['# Initial]]*MouserListTable[[#This Row],[Price (USD)]]</f>
        <v>0</v>
      </c>
      <c r="O435" s="113" t="s">
        <v>2451</v>
      </c>
      <c r="P435" s="150">
        <f t="shared" si="7"/>
        <v>422</v>
      </c>
      <c r="Q435" s="150" t="s">
        <v>1884</v>
      </c>
      <c r="R43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485-2202</v>
      </c>
      <c r="S435" s="157" t="str">
        <f>HYPERLINK("https://www.mouser.com/ProductDetail/" &amp;MouserListTable[[#This Row],[Mouser SKU]])</f>
        <v>https://www.mouser.com/ProductDetail/485-2202</v>
      </c>
      <c r="T435" s="152">
        <v>0</v>
      </c>
      <c r="U435" s="152">
        <v>0</v>
      </c>
      <c r="V435" s="152">
        <v>0</v>
      </c>
      <c r="W435" s="152">
        <f>MouserListTable[[#This Row],['#/Unit]]*FilterSpecs!$C$3+MouserListTable[[#This Row],[Extra]]</f>
        <v>0</v>
      </c>
      <c r="X435" s="152">
        <f>IF(MouserListTable[[#This Row],[Tag]]=FilterSpecs!$F$7,MouserListTable[[#This Row],['#/Unit]]*MouserListTable[[#This Row],[Price (USD)]],0)</f>
        <v>0</v>
      </c>
      <c r="Y435" s="152">
        <f>MouserListTable[[#This Row],[Tot '#]]*MouserListTable[[#This Row],[Price (USD)]]</f>
        <v>0</v>
      </c>
    </row>
    <row r="436" spans="1:25" x14ac:dyDescent="0.25">
      <c r="A436" s="150" t="s">
        <v>890</v>
      </c>
      <c r="B436" s="151" t="s">
        <v>1603</v>
      </c>
      <c r="C436" s="150" t="s">
        <v>5</v>
      </c>
      <c r="D436" s="151" t="str">
        <f>IF(MouserListTable[[#This Row],[Vendor]]=FilterSpecs!$A$8,MouserListTable[[#This Row],[Mouser SKU]], MouserListTable[[#This Row],[Supplier SKU]])</f>
        <v>474-COM-09456</v>
      </c>
      <c r="E436" s="152">
        <f>MouserListTable[[#This Row],[Tot '#]]-MouserListTable[[#This Row],['# Initial]]</f>
        <v>0</v>
      </c>
      <c r="F436" s="152">
        <f>IF(AND(MouserListTable[[#This Row],[Tag]]&lt;&gt;FilterSpecs!$F$12, MouserListTable[[#This Row],[Tag]]&lt;&gt;FilterSpecs!$F$9), MouserListTable[[#This Row],['#/Unit]]*FilterSpecs!$B$3+MouserListTable[[#This Row],[Extra Initial]],0)</f>
        <v>10</v>
      </c>
      <c r="G436" s="150" t="s">
        <v>657</v>
      </c>
      <c r="H436" s="150" t="s">
        <v>658</v>
      </c>
      <c r="I436" s="150" t="s">
        <v>659</v>
      </c>
      <c r="J436" s="150">
        <v>1</v>
      </c>
      <c r="K436" s="154">
        <v>0.95</v>
      </c>
      <c r="L436" s="151" t="s">
        <v>1897</v>
      </c>
      <c r="M436" s="150"/>
      <c r="N436" s="154">
        <f>MouserListTable[[#This Row],['# Initial]]*MouserListTable[[#This Row],[Price (USD)]]</f>
        <v>9.5</v>
      </c>
      <c r="O436" s="151" t="s">
        <v>656</v>
      </c>
      <c r="P436" s="150">
        <f t="shared" si="7"/>
        <v>423</v>
      </c>
      <c r="Q436" s="150" t="s">
        <v>5</v>
      </c>
      <c r="R43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474-COM-09456</v>
      </c>
      <c r="S436" s="157" t="str">
        <f>HYPERLINK("https://www.mouser.com/ProductDetail/" &amp;MouserListTable[[#This Row],[Mouser SKU]])</f>
        <v>https://www.mouser.com/ProductDetail/474-COM-09456</v>
      </c>
      <c r="T436" s="152">
        <v>2</v>
      </c>
      <c r="U436" s="152">
        <v>0</v>
      </c>
      <c r="V436" s="152">
        <v>0</v>
      </c>
      <c r="W436" s="152">
        <f>MouserListTable[[#This Row],['#/Unit]]*FilterSpecs!$C$3+MouserListTable[[#This Row],[Extra]]</f>
        <v>10</v>
      </c>
      <c r="X436" s="152">
        <f>IF(MouserListTable[[#This Row],[Tag]]=FilterSpecs!$F$7,MouserListTable[[#This Row],['#/Unit]]*MouserListTable[[#This Row],[Price (USD)]],0)</f>
        <v>1.9</v>
      </c>
      <c r="Y436" s="152">
        <f>MouserListTable[[#This Row],[Tot '#]]*MouserListTable[[#This Row],[Price (USD)]]</f>
        <v>9.5</v>
      </c>
    </row>
    <row r="437" spans="1:25" x14ac:dyDescent="0.25">
      <c r="A437" s="150" t="s">
        <v>890</v>
      </c>
      <c r="B437" s="151" t="s">
        <v>1603</v>
      </c>
      <c r="C437" s="150" t="s">
        <v>5</v>
      </c>
      <c r="D437" s="151" t="str">
        <f>IF(MouserListTable[[#This Row],[Vendor]]=FilterSpecs!$A$8,MouserListTable[[#This Row],[Mouser SKU]], MouserListTable[[#This Row],[Supplier SKU]])</f>
        <v>474-COM-10613</v>
      </c>
      <c r="E437" s="152">
        <f>MouserListTable[[#This Row],[Tot '#]]-MouserListTable[[#This Row],['# Initial]]</f>
        <v>0</v>
      </c>
      <c r="F437" s="152">
        <f>IF(AND(MouserListTable[[#This Row],[Tag]]&lt;&gt;FilterSpecs!$F$12, MouserListTable[[#This Row],[Tag]]&lt;&gt;FilterSpecs!$F$9), MouserListTable[[#This Row],['#/Unit]]*FilterSpecs!$B$3+MouserListTable[[#This Row],[Extra Initial]],0)</f>
        <v>5</v>
      </c>
      <c r="G437" s="150" t="s">
        <v>954</v>
      </c>
      <c r="H437" s="150" t="s">
        <v>955</v>
      </c>
      <c r="I437" s="150" t="s">
        <v>956</v>
      </c>
      <c r="J437" s="150">
        <v>1</v>
      </c>
      <c r="K437" s="154">
        <v>1.5</v>
      </c>
      <c r="L437" s="151" t="s">
        <v>1897</v>
      </c>
      <c r="M437" s="150"/>
      <c r="N437" s="154">
        <f>MouserListTable[[#This Row],['# Initial]]*MouserListTable[[#This Row],[Price (USD)]]</f>
        <v>7.5</v>
      </c>
      <c r="O437" s="151" t="s">
        <v>953</v>
      </c>
      <c r="P437" s="150">
        <f t="shared" si="7"/>
        <v>424</v>
      </c>
      <c r="Q437" s="150" t="s">
        <v>5</v>
      </c>
      <c r="R43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474-COM-10613</v>
      </c>
      <c r="S437" s="157" t="str">
        <f>HYPERLINK("https://www.mouser.com/ProductDetail/" &amp;MouserListTable[[#This Row],[Mouser SKU]])</f>
        <v>https://www.mouser.com/ProductDetail/474-COM-10613</v>
      </c>
      <c r="T437" s="152">
        <v>1</v>
      </c>
      <c r="U437" s="152">
        <v>0</v>
      </c>
      <c r="V437" s="152">
        <v>0</v>
      </c>
      <c r="W437" s="152">
        <f>MouserListTable[[#This Row],['#/Unit]]*FilterSpecs!$C$3+MouserListTable[[#This Row],[Extra]]</f>
        <v>5</v>
      </c>
      <c r="X437" s="152">
        <f>IF(MouserListTable[[#This Row],[Tag]]=FilterSpecs!$F$7,MouserListTable[[#This Row],['#/Unit]]*MouserListTable[[#This Row],[Price (USD)]],0)</f>
        <v>1.5</v>
      </c>
      <c r="Y437" s="152">
        <f>MouserListTable[[#This Row],[Tot '#]]*MouserListTable[[#This Row],[Price (USD)]]</f>
        <v>7.5</v>
      </c>
    </row>
    <row r="438" spans="1:25" x14ac:dyDescent="0.25">
      <c r="A438" s="150" t="s">
        <v>890</v>
      </c>
      <c r="B438" s="151" t="s">
        <v>1603</v>
      </c>
      <c r="C438" s="150" t="s">
        <v>5</v>
      </c>
      <c r="D438" s="151" t="str">
        <f>IF(MouserListTable[[#This Row],[Vendor]]=FilterSpecs!$A$8,MouserListTable[[#This Row],[Mouser SKU]], MouserListTable[[#This Row],[Supplier SKU]])</f>
        <v>474-COM-09273</v>
      </c>
      <c r="E438" s="152">
        <f>MouserListTable[[#This Row],[Tot '#]]-MouserListTable[[#This Row],['# Initial]]</f>
        <v>0</v>
      </c>
      <c r="F438" s="152">
        <f>IF(AND(MouserListTable[[#This Row],[Tag]]&lt;&gt;FilterSpecs!$F$12, MouserListTable[[#This Row],[Tag]]&lt;&gt;FilterSpecs!$F$9), MouserListTable[[#This Row],['#/Unit]]*FilterSpecs!$B$3+MouserListTable[[#This Row],[Extra Initial]],0)</f>
        <v>5</v>
      </c>
      <c r="G438" s="150" t="s">
        <v>397</v>
      </c>
      <c r="H438" s="150" t="s">
        <v>398</v>
      </c>
      <c r="I438" s="150" t="s">
        <v>399</v>
      </c>
      <c r="J438" s="150">
        <v>1</v>
      </c>
      <c r="K438" s="154">
        <v>0.95</v>
      </c>
      <c r="L438" s="151" t="s">
        <v>1897</v>
      </c>
      <c r="M438" s="150"/>
      <c r="N438" s="154">
        <f>MouserListTable[[#This Row],['# Initial]]*MouserListTable[[#This Row],[Price (USD)]]</f>
        <v>4.75</v>
      </c>
      <c r="O438" s="151" t="s">
        <v>396</v>
      </c>
      <c r="P438" s="150">
        <f t="shared" si="7"/>
        <v>425</v>
      </c>
      <c r="Q438" s="150" t="s">
        <v>5</v>
      </c>
      <c r="R43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474-COM-09273</v>
      </c>
      <c r="S438" s="157" t="str">
        <f>HYPERLINK("https://www.mouser.com/ProductDetail/" &amp;MouserListTable[[#This Row],[Mouser SKU]])</f>
        <v>https://www.mouser.com/ProductDetail/474-COM-09273</v>
      </c>
      <c r="T438" s="152">
        <v>1</v>
      </c>
      <c r="U438" s="152">
        <v>0</v>
      </c>
      <c r="V438" s="152">
        <v>0</v>
      </c>
      <c r="W438" s="152">
        <f>MouserListTable[[#This Row],['#/Unit]]*FilterSpecs!$C$3+MouserListTable[[#This Row],[Extra]]</f>
        <v>5</v>
      </c>
      <c r="X438" s="152">
        <f>IF(MouserListTable[[#This Row],[Tag]]=FilterSpecs!$F$7,MouserListTable[[#This Row],['#/Unit]]*MouserListTable[[#This Row],[Price (USD)]],0)</f>
        <v>0.95</v>
      </c>
      <c r="Y438" s="152">
        <f>MouserListTable[[#This Row],[Tot '#]]*MouserListTable[[#This Row],[Price (USD)]]</f>
        <v>4.75</v>
      </c>
    </row>
    <row r="439" spans="1:25" x14ac:dyDescent="0.25">
      <c r="A439" s="150" t="s">
        <v>890</v>
      </c>
      <c r="B439" s="151" t="s">
        <v>1603</v>
      </c>
      <c r="C439" s="150" t="s">
        <v>5</v>
      </c>
      <c r="D439" s="151" t="str">
        <f>IF(MouserListTable[[#This Row],[Vendor]]=FilterSpecs!$A$8,MouserListTable[[#This Row],[Mouser SKU]], MouserListTable[[#This Row],[Supplier SKU]])</f>
        <v>474-COM-08636</v>
      </c>
      <c r="E439" s="152">
        <f>MouserListTable[[#This Row],[Tot '#]]-MouserListTable[[#This Row],['# Initial]]</f>
        <v>0</v>
      </c>
      <c r="F439" s="152">
        <f>IF(AND(MouserListTable[[#This Row],[Tag]]&lt;&gt;FilterSpecs!$F$12, MouserListTable[[#This Row],[Tag]]&lt;&gt;FilterSpecs!$F$9), MouserListTable[[#This Row],['#/Unit]]*FilterSpecs!$B$3+MouserListTable[[#This Row],[Extra Initial]],0)</f>
        <v>5</v>
      </c>
      <c r="G439" s="150" t="s">
        <v>393</v>
      </c>
      <c r="H439" s="150" t="s">
        <v>394</v>
      </c>
      <c r="I439" s="150" t="s">
        <v>395</v>
      </c>
      <c r="J439" s="150">
        <v>1</v>
      </c>
      <c r="K439" s="154">
        <v>2.38</v>
      </c>
      <c r="L439" s="151" t="s">
        <v>1897</v>
      </c>
      <c r="M439" s="150"/>
      <c r="N439" s="154">
        <f>MouserListTable[[#This Row],['# Initial]]*MouserListTable[[#This Row],[Price (USD)]]</f>
        <v>11.899999999999999</v>
      </c>
      <c r="O439" s="151" t="s">
        <v>392</v>
      </c>
      <c r="P439" s="150">
        <f t="shared" si="7"/>
        <v>426</v>
      </c>
      <c r="Q439" s="150" t="s">
        <v>5</v>
      </c>
      <c r="R43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474-COM-08636</v>
      </c>
      <c r="S439" s="157" t="str">
        <f>HYPERLINK("https://www.mouser.com/ProductDetail/" &amp;MouserListTable[[#This Row],[Mouser SKU]])</f>
        <v>https://www.mouser.com/ProductDetail/474-COM-08636</v>
      </c>
      <c r="T439" s="152">
        <v>1</v>
      </c>
      <c r="U439" s="152">
        <v>0</v>
      </c>
      <c r="V439" s="152">
        <v>0</v>
      </c>
      <c r="W439" s="152">
        <f>MouserListTable[[#This Row],['#/Unit]]*FilterSpecs!$C$3+MouserListTable[[#This Row],[Extra]]</f>
        <v>5</v>
      </c>
      <c r="X439" s="152">
        <f>IF(MouserListTable[[#This Row],[Tag]]=FilterSpecs!$F$7,MouserListTable[[#This Row],['#/Unit]]*MouserListTable[[#This Row],[Price (USD)]],0)</f>
        <v>2.38</v>
      </c>
      <c r="Y439" s="152">
        <f>MouserListTable[[#This Row],[Tot '#]]*MouserListTable[[#This Row],[Price (USD)]]</f>
        <v>11.899999999999999</v>
      </c>
    </row>
    <row r="440" spans="1:25" x14ac:dyDescent="0.25">
      <c r="A440" s="150" t="s">
        <v>890</v>
      </c>
      <c r="B440" s="151" t="s">
        <v>1603</v>
      </c>
      <c r="C440" s="150" t="s">
        <v>5</v>
      </c>
      <c r="D440" s="151" t="str">
        <f>IF(MouserListTable[[#This Row],[Vendor]]=FilterSpecs!$A$8,MouserListTable[[#This Row],[Mouser SKU]], MouserListTable[[#This Row],[Supplier SKU]])</f>
        <v>474-COM-00317</v>
      </c>
      <c r="E440" s="152">
        <f>MouserListTable[[#This Row],[Tot '#]]-MouserListTable[[#This Row],['# Initial]]</f>
        <v>1</v>
      </c>
      <c r="F440" s="152">
        <f>IF(AND(MouserListTable[[#This Row],[Tag]]&lt;&gt;FilterSpecs!$F$12, MouserListTable[[#This Row],[Tag]]&lt;&gt;FilterSpecs!$F$9), MouserListTable[[#This Row],['#/Unit]]*FilterSpecs!$B$3+MouserListTable[[#This Row],[Extra Initial]],0)</f>
        <v>0</v>
      </c>
      <c r="G440" s="150" t="s">
        <v>1085</v>
      </c>
      <c r="H440" s="150" t="s">
        <v>1086</v>
      </c>
      <c r="I440" s="150" t="s">
        <v>1087</v>
      </c>
      <c r="J440" s="150">
        <v>1</v>
      </c>
      <c r="K440" s="154">
        <v>1.95</v>
      </c>
      <c r="L440" s="151" t="s">
        <v>1896</v>
      </c>
      <c r="M440" s="150"/>
      <c r="N440" s="154">
        <f>MouserListTable[[#This Row],['# Initial]]*MouserListTable[[#This Row],[Price (USD)]]</f>
        <v>0</v>
      </c>
      <c r="O440" s="151" t="s">
        <v>1084</v>
      </c>
      <c r="P440" s="150">
        <f t="shared" si="7"/>
        <v>427</v>
      </c>
      <c r="Q440" s="150" t="s">
        <v>5</v>
      </c>
      <c r="R44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474-COM-00317</v>
      </c>
      <c r="S440" s="157" t="str">
        <f>HYPERLINK("https://www.mouser.com/ProductDetail/" &amp;MouserListTable[[#This Row],[Mouser SKU]])</f>
        <v>https://www.mouser.com/ProductDetail/474-COM-00317</v>
      </c>
      <c r="T440" s="152">
        <v>0</v>
      </c>
      <c r="U440" s="152">
        <v>1</v>
      </c>
      <c r="V440" s="152">
        <v>0</v>
      </c>
      <c r="W440" s="152">
        <f>MouserListTable[[#This Row],['#/Unit]]*FilterSpecs!$C$3+MouserListTable[[#This Row],[Extra]]</f>
        <v>1</v>
      </c>
      <c r="X440" s="152">
        <f>IF(MouserListTable[[#This Row],[Tag]]=FilterSpecs!$F$7,MouserListTable[[#This Row],['#/Unit]]*MouserListTable[[#This Row],[Price (USD)]],0)</f>
        <v>0</v>
      </c>
      <c r="Y440" s="152">
        <f>MouserListTable[[#This Row],[Tot '#]]*MouserListTable[[#This Row],[Price (USD)]]</f>
        <v>1.95</v>
      </c>
    </row>
    <row r="441" spans="1:25" x14ac:dyDescent="0.25">
      <c r="A441" s="150" t="s">
        <v>890</v>
      </c>
      <c r="B441" s="151" t="s">
        <v>1603</v>
      </c>
      <c r="C441" s="150" t="s">
        <v>1884</v>
      </c>
      <c r="D441" s="151" t="str">
        <f>IF(MouserListTable[[#This Row],[Vendor]]=FilterSpecs!$A$8,MouserListTable[[#This Row],[Mouser SKU]], MouserListTable[[#This Row],[Supplier SKU]])</f>
        <v>485-1787</v>
      </c>
      <c r="E441" s="152">
        <f>MouserListTable[[#This Row],[Tot '#]]-MouserListTable[[#This Row],['# Initial]]</f>
        <v>0</v>
      </c>
      <c r="F441" s="152">
        <f>IF(AND(MouserListTable[[#This Row],[Tag]]&lt;&gt;FilterSpecs!$F$12, MouserListTable[[#This Row],[Tag]]&lt;&gt;FilterSpecs!$F$9), MouserListTable[[#This Row],['#/Unit]]*FilterSpecs!$B$3+MouserListTable[[#This Row],[Extra Initial]],0)</f>
        <v>0</v>
      </c>
      <c r="G441" s="150"/>
      <c r="H441" s="150"/>
      <c r="I441" s="150" t="s">
        <v>2127</v>
      </c>
      <c r="J441" s="153"/>
      <c r="K441" s="118">
        <v>1.5</v>
      </c>
      <c r="L441" s="153" t="s">
        <v>1896</v>
      </c>
      <c r="M441" s="153"/>
      <c r="N441" s="154">
        <f>MouserListTable[[#This Row],['# Initial]]*MouserListTable[[#This Row],[Price (USD)]]</f>
        <v>0</v>
      </c>
      <c r="O441" s="151" t="s">
        <v>2126</v>
      </c>
      <c r="P441" s="150">
        <f t="shared" si="7"/>
        <v>428</v>
      </c>
      <c r="Q441" s="150" t="s">
        <v>1884</v>
      </c>
      <c r="R44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485-1787</v>
      </c>
      <c r="S441" s="157" t="str">
        <f>HYPERLINK("https://www.mouser.com/ProductDetail/" &amp;MouserListTable[[#This Row],[Mouser SKU]])</f>
        <v>https://www.mouser.com/ProductDetail/485-1787</v>
      </c>
      <c r="T441" s="152">
        <v>0</v>
      </c>
      <c r="U441" s="152">
        <v>0</v>
      </c>
      <c r="V441" s="152">
        <v>0</v>
      </c>
      <c r="W441" s="152">
        <f>MouserListTable[[#This Row],['#/Unit]]*FilterSpecs!$C$3+MouserListTable[[#This Row],[Extra]]</f>
        <v>0</v>
      </c>
      <c r="X441" s="152">
        <f>IF(MouserListTable[[#This Row],[Tag]]=FilterSpecs!$F$7,MouserListTable[[#This Row],['#/Unit]]*MouserListTable[[#This Row],[Price (USD)]],0)</f>
        <v>0</v>
      </c>
      <c r="Y441" s="152">
        <f>MouserListTable[[#This Row],[Tot '#]]*MouserListTable[[#This Row],[Price (USD)]]</f>
        <v>0</v>
      </c>
    </row>
    <row r="442" spans="1:25" x14ac:dyDescent="0.25">
      <c r="A442" s="97" t="s">
        <v>890</v>
      </c>
      <c r="B442" s="153" t="s">
        <v>1603</v>
      </c>
      <c r="C442" s="150" t="s">
        <v>5</v>
      </c>
      <c r="D442" s="151" t="str">
        <f>IF(MouserListTable[[#This Row],[Vendor]]=FilterSpecs!$A$8,MouserListTable[[#This Row],[Mouser SKU]], MouserListTable[[#This Row],[Supplier SKU]])</f>
        <v>474-COM-00525</v>
      </c>
      <c r="E442" s="152">
        <f>MouserListTable[[#This Row],[Tot '#]]-MouserListTable[[#This Row],['# Initial]]</f>
        <v>0</v>
      </c>
      <c r="F442" s="152">
        <f>IF(AND(MouserListTable[[#This Row],[Tag]]&lt;&gt;FilterSpecs!$F$12, MouserListTable[[#This Row],[Tag]]&lt;&gt;FilterSpecs!$F$9), MouserListTable[[#This Row],['#/Unit]]*FilterSpecs!$B$3+MouserListTable[[#This Row],[Extra Initial]],0)</f>
        <v>0</v>
      </c>
      <c r="G442" s="150" t="s">
        <v>673</v>
      </c>
      <c r="H442" s="150" t="s">
        <v>674</v>
      </c>
      <c r="I442" s="150" t="s">
        <v>675</v>
      </c>
      <c r="J442" s="150">
        <v>1</v>
      </c>
      <c r="K442" s="154">
        <v>1.95</v>
      </c>
      <c r="L442" s="151" t="s">
        <v>1896</v>
      </c>
      <c r="M442" s="150"/>
      <c r="N442" s="154">
        <f>MouserListTable[[#This Row],['# Initial]]*MouserListTable[[#This Row],[Price (USD)]]</f>
        <v>0</v>
      </c>
      <c r="O442" s="151" t="s">
        <v>672</v>
      </c>
      <c r="P442" s="150">
        <f t="shared" si="7"/>
        <v>429</v>
      </c>
      <c r="Q442" s="150" t="s">
        <v>5</v>
      </c>
      <c r="R44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474-COM-00525</v>
      </c>
      <c r="S442" s="157" t="str">
        <f>HYPERLINK("https://www.mouser.com/ProductDetail/" &amp;MouserListTable[[#This Row],[Mouser SKU]])</f>
        <v>https://www.mouser.com/ProductDetail/474-COM-00525</v>
      </c>
      <c r="T442" s="152">
        <v>0</v>
      </c>
      <c r="U442" s="152">
        <v>0</v>
      </c>
      <c r="V442" s="152">
        <v>0</v>
      </c>
      <c r="W442" s="152">
        <f>MouserListTable[[#This Row],['#/Unit]]*FilterSpecs!$C$3+MouserListTable[[#This Row],[Extra]]</f>
        <v>0</v>
      </c>
      <c r="X442" s="152">
        <f>IF(MouserListTable[[#This Row],[Tag]]=FilterSpecs!$F$7,MouserListTable[[#This Row],['#/Unit]]*MouserListTable[[#This Row],[Price (USD)]],0)</f>
        <v>0</v>
      </c>
      <c r="Y442" s="152">
        <f>MouserListTable[[#This Row],[Tot '#]]*MouserListTable[[#This Row],[Price (USD)]]</f>
        <v>0</v>
      </c>
    </row>
    <row r="443" spans="1:25" x14ac:dyDescent="0.25">
      <c r="A443" s="97" t="s">
        <v>890</v>
      </c>
      <c r="B443" s="153" t="s">
        <v>1603</v>
      </c>
      <c r="C443" s="150" t="s">
        <v>5</v>
      </c>
      <c r="D443" s="151" t="str">
        <f>IF(MouserListTable[[#This Row],[Vendor]]=FilterSpecs!$A$8,MouserListTable[[#This Row],[Mouser SKU]], MouserListTable[[#This Row],[Supplier SKU]])</f>
        <v>474-COM-13699</v>
      </c>
      <c r="E443" s="152">
        <f>MouserListTable[[#This Row],[Tot '#]]-MouserListTable[[#This Row],['# Initial]]</f>
        <v>0</v>
      </c>
      <c r="F443" s="152">
        <f>IF(AND(MouserListTable[[#This Row],[Tag]]&lt;&gt;FilterSpecs!$F$12, MouserListTable[[#This Row],[Tag]]&lt;&gt;FilterSpecs!$F$9), MouserListTable[[#This Row],['#/Unit]]*FilterSpecs!$B$3+MouserListTable[[#This Row],[Extra Initial]],0)</f>
        <v>0</v>
      </c>
      <c r="G443" s="150" t="s">
        <v>401</v>
      </c>
      <c r="H443" s="150" t="s">
        <v>402</v>
      </c>
      <c r="I443" s="150" t="s">
        <v>403</v>
      </c>
      <c r="J443" s="150">
        <v>1</v>
      </c>
      <c r="K443" s="154">
        <v>0.95</v>
      </c>
      <c r="L443" s="151" t="s">
        <v>1896</v>
      </c>
      <c r="M443" s="150"/>
      <c r="N443" s="154">
        <f>MouserListTable[[#This Row],['# Initial]]*MouserListTable[[#This Row],[Price (USD)]]</f>
        <v>0</v>
      </c>
      <c r="O443" s="151" t="s">
        <v>400</v>
      </c>
      <c r="P443" s="150">
        <f t="shared" si="7"/>
        <v>430</v>
      </c>
      <c r="Q443" s="150" t="s">
        <v>5</v>
      </c>
      <c r="R44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474-COM-13699</v>
      </c>
      <c r="S443" s="157" t="str">
        <f>HYPERLINK("https://www.mouser.com/ProductDetail/" &amp;MouserListTable[[#This Row],[Mouser SKU]])</f>
        <v>https://www.mouser.com/ProductDetail/474-COM-13699</v>
      </c>
      <c r="T443" s="152">
        <v>0</v>
      </c>
      <c r="U443" s="152">
        <v>0</v>
      </c>
      <c r="V443" s="152">
        <v>0</v>
      </c>
      <c r="W443" s="152">
        <f>MouserListTable[[#This Row],['#/Unit]]*FilterSpecs!$C$3+MouserListTable[[#This Row],[Extra]]</f>
        <v>0</v>
      </c>
      <c r="X443" s="152">
        <f>IF(MouserListTable[[#This Row],[Tag]]=FilterSpecs!$F$7,MouserListTable[[#This Row],['#/Unit]]*MouserListTable[[#This Row],[Price (USD)]],0)</f>
        <v>0</v>
      </c>
      <c r="Y443" s="152">
        <f>MouserListTable[[#This Row],[Tot '#]]*MouserListTable[[#This Row],[Price (USD)]]</f>
        <v>0</v>
      </c>
    </row>
    <row r="444" spans="1:25" x14ac:dyDescent="0.25">
      <c r="A444" s="97" t="s">
        <v>890</v>
      </c>
      <c r="B444" s="153" t="s">
        <v>1603</v>
      </c>
      <c r="C444" s="150" t="s">
        <v>5</v>
      </c>
      <c r="D444" s="151" t="str">
        <f>IF(MouserListTable[[#This Row],[Vendor]]=FilterSpecs!$A$8,MouserListTable[[#This Row],[Mouser SKU]], MouserListTable[[#This Row],[Supplier SKU]])</f>
        <v>474-BOB-11733</v>
      </c>
      <c r="E444" s="152">
        <f>MouserListTable[[#This Row],[Tot '#]]-MouserListTable[[#This Row],['# Initial]]</f>
        <v>0</v>
      </c>
      <c r="F444" s="152">
        <f>IF(AND(MouserListTable[[#This Row],[Tag]]&lt;&gt;FilterSpecs!$F$12, MouserListTable[[#This Row],[Tag]]&lt;&gt;FilterSpecs!$F$9), MouserListTable[[#This Row],['#/Unit]]*FilterSpecs!$B$3+MouserListTable[[#This Row],[Extra Initial]],0)</f>
        <v>0</v>
      </c>
      <c r="G444" s="150" t="s">
        <v>405</v>
      </c>
      <c r="H444" s="150" t="s">
        <v>406</v>
      </c>
      <c r="I444" s="150" t="s">
        <v>214</v>
      </c>
      <c r="J444" s="150">
        <v>1</v>
      </c>
      <c r="K444" s="154">
        <v>3.95</v>
      </c>
      <c r="L444" s="151" t="s">
        <v>2464</v>
      </c>
      <c r="M444" s="150"/>
      <c r="N444" s="154">
        <f>MouserListTable[[#This Row],['# Initial]]*MouserListTable[[#This Row],[Price (USD)]]</f>
        <v>0</v>
      </c>
      <c r="O444" s="151" t="s">
        <v>404</v>
      </c>
      <c r="P444" s="150">
        <f t="shared" si="7"/>
        <v>431</v>
      </c>
      <c r="Q444" s="150" t="s">
        <v>5</v>
      </c>
      <c r="R44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474-BOB-11733</v>
      </c>
      <c r="S444" s="157" t="str">
        <f>HYPERLINK("https://www.mouser.com/ProductDetail/" &amp;MouserListTable[[#This Row],[Mouser SKU]])</f>
        <v>https://www.mouser.com/ProductDetail/474-BOB-11733</v>
      </c>
      <c r="T444" s="152">
        <v>0</v>
      </c>
      <c r="U444" s="152">
        <v>0</v>
      </c>
      <c r="V444" s="152">
        <v>0</v>
      </c>
      <c r="W444" s="152">
        <f>MouserListTable[[#This Row],['#/Unit]]*FilterSpecs!$C$3+MouserListTable[[#This Row],[Extra]]</f>
        <v>0</v>
      </c>
      <c r="X444" s="152">
        <f>IF(MouserListTable[[#This Row],[Tag]]=FilterSpecs!$F$7,MouserListTable[[#This Row],['#/Unit]]*MouserListTable[[#This Row],[Price (USD)]],0)</f>
        <v>0</v>
      </c>
      <c r="Y444" s="152">
        <f>MouserListTable[[#This Row],[Tot '#]]*MouserListTable[[#This Row],[Price (USD)]]</f>
        <v>0</v>
      </c>
    </row>
    <row r="445" spans="1:25" x14ac:dyDescent="0.25">
      <c r="A445" s="150" t="s">
        <v>890</v>
      </c>
      <c r="B445" s="151" t="s">
        <v>1603</v>
      </c>
      <c r="C445" s="150" t="s">
        <v>5</v>
      </c>
      <c r="D445" s="151" t="str">
        <f>IF(MouserListTable[[#This Row],[Vendor]]=FilterSpecs!$A$8,MouserListTable[[#This Row],[Mouser SKU]], MouserListTable[[#This Row],[Supplier SKU]])</f>
        <v>474-COM-08034</v>
      </c>
      <c r="E445" s="152">
        <f>MouserListTable[[#This Row],[Tot '#]]-MouserListTable[[#This Row],['# Initial]]</f>
        <v>0</v>
      </c>
      <c r="F445" s="152">
        <f>IF(AND(MouserListTable[[#This Row],[Tag]]&lt;&gt;FilterSpecs!$F$12, MouserListTable[[#This Row],[Tag]]&lt;&gt;FilterSpecs!$F$9), MouserListTable[[#This Row],['#/Unit]]*FilterSpecs!$B$3+MouserListTable[[#This Row],[Extra Initial]],0)</f>
        <v>5</v>
      </c>
      <c r="G445" s="150" t="s">
        <v>427</v>
      </c>
      <c r="H445" s="150" t="s">
        <v>428</v>
      </c>
      <c r="I445" s="150" t="s">
        <v>429</v>
      </c>
      <c r="J445" s="150">
        <v>1</v>
      </c>
      <c r="K445" s="154">
        <v>1.5</v>
      </c>
      <c r="L445" s="151" t="s">
        <v>1897</v>
      </c>
      <c r="M445" s="150"/>
      <c r="N445" s="154">
        <f>MouserListTable[[#This Row],['# Initial]]*MouserListTable[[#This Row],[Price (USD)]]</f>
        <v>7.5</v>
      </c>
      <c r="O445" s="151" t="s">
        <v>426</v>
      </c>
      <c r="P445" s="150">
        <f t="shared" si="7"/>
        <v>432</v>
      </c>
      <c r="Q445" s="150" t="s">
        <v>5</v>
      </c>
      <c r="R44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474-COM-08034</v>
      </c>
      <c r="S445" s="157" t="str">
        <f>HYPERLINK("https://www.mouser.com/ProductDetail/" &amp;MouserListTable[[#This Row],[Mouser SKU]])</f>
        <v>https://www.mouser.com/ProductDetail/474-COM-08034</v>
      </c>
      <c r="T445" s="152">
        <v>1</v>
      </c>
      <c r="U445" s="152">
        <v>0</v>
      </c>
      <c r="V445" s="152">
        <v>0</v>
      </c>
      <c r="W445" s="152">
        <f>MouserListTable[[#This Row],['#/Unit]]*FilterSpecs!$C$3+MouserListTable[[#This Row],[Extra]]</f>
        <v>5</v>
      </c>
      <c r="X445" s="152">
        <f>IF(MouserListTable[[#This Row],[Tag]]=FilterSpecs!$F$7,MouserListTable[[#This Row],['#/Unit]]*MouserListTable[[#This Row],[Price (USD)]],0)</f>
        <v>1.5</v>
      </c>
      <c r="Y445" s="152">
        <f>MouserListTable[[#This Row],[Tot '#]]*MouserListTable[[#This Row],[Price (USD)]]</f>
        <v>7.5</v>
      </c>
    </row>
    <row r="446" spans="1:25" x14ac:dyDescent="0.25">
      <c r="A446" s="150" t="s">
        <v>890</v>
      </c>
      <c r="B446" s="151" t="s">
        <v>1603</v>
      </c>
      <c r="C446" s="150" t="s">
        <v>5</v>
      </c>
      <c r="D446" s="151" t="str">
        <f>IF(MouserListTable[[#This Row],[Vendor]]=FilterSpecs!$A$8,MouserListTable[[#This Row],[Mouser SKU]], MouserListTable[[#This Row],[Supplier SKU]])</f>
        <v>474-COM-10827</v>
      </c>
      <c r="E446" s="152">
        <f>MouserListTable[[#This Row],[Tot '#]]-MouserListTable[[#This Row],['# Initial]]</f>
        <v>0</v>
      </c>
      <c r="F446" s="152">
        <f>IF(AND(MouserListTable[[#This Row],[Tag]]&lt;&gt;FilterSpecs!$F$12, MouserListTable[[#This Row],[Tag]]&lt;&gt;FilterSpecs!$F$9), MouserListTable[[#This Row],['#/Unit]]*FilterSpecs!$B$3+MouserListTable[[#This Row],[Extra Initial]],0)</f>
        <v>0</v>
      </c>
      <c r="G446" s="150" t="s">
        <v>1265</v>
      </c>
      <c r="H446" s="150" t="s">
        <v>1266</v>
      </c>
      <c r="I446" s="150" t="s">
        <v>1267</v>
      </c>
      <c r="J446" s="150">
        <v>1</v>
      </c>
      <c r="K446" s="154">
        <v>0.25</v>
      </c>
      <c r="L446" s="151" t="s">
        <v>1896</v>
      </c>
      <c r="M446" s="150"/>
      <c r="N446" s="154">
        <f>MouserListTable[[#This Row],['# Initial]]*MouserListTable[[#This Row],[Price (USD)]]</f>
        <v>0</v>
      </c>
      <c r="O446" s="151" t="s">
        <v>1264</v>
      </c>
      <c r="P446" s="150">
        <f t="shared" si="7"/>
        <v>433</v>
      </c>
      <c r="Q446" s="150" t="s">
        <v>5</v>
      </c>
      <c r="R44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474-COM-10827</v>
      </c>
      <c r="S446" s="157" t="str">
        <f>HYPERLINK("https://www.mouser.com/ProductDetail/" &amp;MouserListTable[[#This Row],[Mouser SKU]])</f>
        <v>https://www.mouser.com/ProductDetail/474-COM-10827</v>
      </c>
      <c r="T446" s="152">
        <v>0</v>
      </c>
      <c r="U446" s="152">
        <v>0</v>
      </c>
      <c r="V446" s="152">
        <v>0</v>
      </c>
      <c r="W446" s="152">
        <f>MouserListTable[[#This Row],['#/Unit]]*FilterSpecs!$C$3+MouserListTable[[#This Row],[Extra]]</f>
        <v>0</v>
      </c>
      <c r="X446" s="152">
        <f>IF(MouserListTable[[#This Row],[Tag]]=FilterSpecs!$F$7,MouserListTable[[#This Row],['#/Unit]]*MouserListTable[[#This Row],[Price (USD)]],0)</f>
        <v>0</v>
      </c>
      <c r="Y446" s="152">
        <f>MouserListTable[[#This Row],[Tot '#]]*MouserListTable[[#This Row],[Price (USD)]]</f>
        <v>0</v>
      </c>
    </row>
    <row r="447" spans="1:25" x14ac:dyDescent="0.25">
      <c r="A447" s="150" t="s">
        <v>890</v>
      </c>
      <c r="B447" s="151" t="s">
        <v>1603</v>
      </c>
      <c r="C447" s="150" t="s">
        <v>5</v>
      </c>
      <c r="D447" s="151" t="str">
        <f>IF(MouserListTable[[#This Row],[Vendor]]=FilterSpecs!$A$8,MouserListTable[[#This Row],[Mouser SKU]], MouserListTable[[#This Row],[Supplier SKU]])</f>
        <v>474-COM-00595</v>
      </c>
      <c r="E447" s="152">
        <f>MouserListTable[[#This Row],[Tot '#]]-MouserListTable[[#This Row],['# Initial]]</f>
        <v>0</v>
      </c>
      <c r="F447" s="152">
        <f>IF(AND(MouserListTable[[#This Row],[Tag]]&lt;&gt;FilterSpecs!$F$12, MouserListTable[[#This Row],[Tag]]&lt;&gt;FilterSpecs!$F$9), MouserListTable[[#This Row],['#/Unit]]*FilterSpecs!$B$3+MouserListTable[[#This Row],[Extra Initial]],0)</f>
        <v>0</v>
      </c>
      <c r="G447" s="150" t="s">
        <v>1277</v>
      </c>
      <c r="H447" s="150" t="s">
        <v>1278</v>
      </c>
      <c r="I447" s="150" t="s">
        <v>1279</v>
      </c>
      <c r="J447" s="150">
        <v>1</v>
      </c>
      <c r="K447" s="154">
        <v>1.5</v>
      </c>
      <c r="L447" s="151" t="s">
        <v>1896</v>
      </c>
      <c r="M447" s="150"/>
      <c r="N447" s="154">
        <f>MouserListTable[[#This Row],['# Initial]]*MouserListTable[[#This Row],[Price (USD)]]</f>
        <v>0</v>
      </c>
      <c r="O447" s="151" t="s">
        <v>1276</v>
      </c>
      <c r="P447" s="150">
        <f t="shared" si="7"/>
        <v>434</v>
      </c>
      <c r="Q447" s="150" t="s">
        <v>5</v>
      </c>
      <c r="R44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474-COM-00595</v>
      </c>
      <c r="S447" s="157" t="str">
        <f>HYPERLINK("https://www.mouser.com/ProductDetail/" &amp;MouserListTable[[#This Row],[Mouser SKU]])</f>
        <v>https://www.mouser.com/ProductDetail/474-COM-00595</v>
      </c>
      <c r="T447" s="152">
        <v>0</v>
      </c>
      <c r="U447" s="152">
        <v>0</v>
      </c>
      <c r="V447" s="152">
        <v>0</v>
      </c>
      <c r="W447" s="152">
        <f>MouserListTable[[#This Row],['#/Unit]]*FilterSpecs!$C$3+MouserListTable[[#This Row],[Extra]]</f>
        <v>0</v>
      </c>
      <c r="X447" s="152">
        <f>IF(MouserListTable[[#This Row],[Tag]]=FilterSpecs!$F$7,MouserListTable[[#This Row],['#/Unit]]*MouserListTable[[#This Row],[Price (USD)]],0)</f>
        <v>0</v>
      </c>
      <c r="Y447" s="152">
        <f>MouserListTable[[#This Row],[Tot '#]]*MouserListTable[[#This Row],[Price (USD)]]</f>
        <v>0</v>
      </c>
    </row>
    <row r="448" spans="1:25" x14ac:dyDescent="0.25">
      <c r="A448" s="150" t="s">
        <v>890</v>
      </c>
      <c r="B448" s="151" t="s">
        <v>1603</v>
      </c>
      <c r="C448" s="150" t="s">
        <v>5</v>
      </c>
      <c r="D448" s="151" t="str">
        <f>IF(MouserListTable[[#This Row],[Vendor]]=FilterSpecs!$A$8,MouserListTable[[#This Row],[Mouser SKU]], MouserListTable[[#This Row],[Supplier SKU]])</f>
        <v>474-COM-10828</v>
      </c>
      <c r="E448" s="152">
        <f>MouserListTable[[#This Row],[Tot '#]]-MouserListTable[[#This Row],['# Initial]]</f>
        <v>0</v>
      </c>
      <c r="F448" s="152">
        <f>IF(AND(MouserListTable[[#This Row],[Tag]]&lt;&gt;FilterSpecs!$F$12, MouserListTable[[#This Row],[Tag]]&lt;&gt;FilterSpecs!$F$9), MouserListTable[[#This Row],['#/Unit]]*FilterSpecs!$B$3+MouserListTable[[#This Row],[Extra Initial]],0)</f>
        <v>0</v>
      </c>
      <c r="G448" s="150" t="s">
        <v>1273</v>
      </c>
      <c r="H448" s="150" t="s">
        <v>1274</v>
      </c>
      <c r="I448" s="150" t="s">
        <v>1275</v>
      </c>
      <c r="J448" s="150">
        <v>1</v>
      </c>
      <c r="K448" s="154">
        <v>0.1</v>
      </c>
      <c r="L448" s="151" t="s">
        <v>1896</v>
      </c>
      <c r="M448" s="150"/>
      <c r="N448" s="154">
        <f>MouserListTable[[#This Row],['# Initial]]*MouserListTable[[#This Row],[Price (USD)]]</f>
        <v>0</v>
      </c>
      <c r="O448" s="151" t="s">
        <v>1272</v>
      </c>
      <c r="P448" s="150">
        <f t="shared" si="7"/>
        <v>435</v>
      </c>
      <c r="Q448" s="150" t="s">
        <v>5</v>
      </c>
      <c r="R44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474-COM-10828</v>
      </c>
      <c r="S448" s="157" t="str">
        <f>HYPERLINK("https://www.mouser.com/ProductDetail/" &amp;MouserListTable[[#This Row],[Mouser SKU]])</f>
        <v>https://www.mouser.com/ProductDetail/474-COM-10828</v>
      </c>
      <c r="T448" s="152">
        <v>0</v>
      </c>
      <c r="U448" s="152">
        <v>0</v>
      </c>
      <c r="V448" s="152">
        <v>0</v>
      </c>
      <c r="W448" s="152">
        <f>MouserListTable[[#This Row],['#/Unit]]*FilterSpecs!$C$3+MouserListTable[[#This Row],[Extra]]</f>
        <v>0</v>
      </c>
      <c r="X448" s="152">
        <f>IF(MouserListTable[[#This Row],[Tag]]=FilterSpecs!$F$7,MouserListTable[[#This Row],['#/Unit]]*MouserListTable[[#This Row],[Price (USD)]],0)</f>
        <v>0</v>
      </c>
      <c r="Y448" s="152">
        <f>MouserListTable[[#This Row],[Tot '#]]*MouserListTable[[#This Row],[Price (USD)]]</f>
        <v>0</v>
      </c>
    </row>
    <row r="449" spans="1:25" x14ac:dyDescent="0.25">
      <c r="A449" s="150" t="s">
        <v>890</v>
      </c>
      <c r="B449" s="151" t="s">
        <v>1603</v>
      </c>
      <c r="C449" s="150" t="s">
        <v>5</v>
      </c>
      <c r="D449" s="151" t="str">
        <f>IF(MouserListTable[[#This Row],[Vendor]]=FilterSpecs!$A$8,MouserListTable[[#This Row],[Mouser SKU]], MouserListTable[[#This Row],[Supplier SKU]])</f>
        <v>474-COM-00312</v>
      </c>
      <c r="E449" s="152">
        <f>MouserListTable[[#This Row],[Tot '#]]-MouserListTable[[#This Row],['# Initial]]</f>
        <v>0</v>
      </c>
      <c r="F449" s="152">
        <f>IF(AND(MouserListTable[[#This Row],[Tag]]&lt;&gt;FilterSpecs!$F$12, MouserListTable[[#This Row],[Tag]]&lt;&gt;FilterSpecs!$F$9), MouserListTable[[#This Row],['#/Unit]]*FilterSpecs!$B$3+MouserListTable[[#This Row],[Extra Initial]],0)</f>
        <v>0</v>
      </c>
      <c r="G449" s="150" t="s">
        <v>1437</v>
      </c>
      <c r="H449" s="150" t="s">
        <v>1438</v>
      </c>
      <c r="I449" s="150" t="s">
        <v>1439</v>
      </c>
      <c r="J449" s="150">
        <v>1</v>
      </c>
      <c r="K449" s="154">
        <v>1.95</v>
      </c>
      <c r="L449" s="151" t="s">
        <v>1896</v>
      </c>
      <c r="M449" s="150"/>
      <c r="N449" s="154">
        <f>MouserListTable[[#This Row],['# Initial]]*MouserListTable[[#This Row],[Price (USD)]]</f>
        <v>0</v>
      </c>
      <c r="O449" s="151" t="s">
        <v>1436</v>
      </c>
      <c r="P449" s="150">
        <f t="shared" si="7"/>
        <v>436</v>
      </c>
      <c r="Q449" s="150" t="s">
        <v>5</v>
      </c>
      <c r="R44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474-COM-00312</v>
      </c>
      <c r="S449" s="157" t="str">
        <f>HYPERLINK("https://www.mouser.com/ProductDetail/" &amp;MouserListTable[[#This Row],[Mouser SKU]])</f>
        <v>https://www.mouser.com/ProductDetail/474-COM-00312</v>
      </c>
      <c r="T449" s="152">
        <v>0</v>
      </c>
      <c r="U449" s="152">
        <v>0</v>
      </c>
      <c r="V449" s="152">
        <v>0</v>
      </c>
      <c r="W449" s="152">
        <f>MouserListTable[[#This Row],['#/Unit]]*FilterSpecs!$C$3+MouserListTable[[#This Row],[Extra]]</f>
        <v>0</v>
      </c>
      <c r="X449" s="152">
        <f>IF(MouserListTable[[#This Row],[Tag]]=FilterSpecs!$F$7,MouserListTable[[#This Row],['#/Unit]]*MouserListTable[[#This Row],[Price (USD)]],0)</f>
        <v>0</v>
      </c>
      <c r="Y449" s="152">
        <f>MouserListTable[[#This Row],[Tot '#]]*MouserListTable[[#This Row],[Price (USD)]]</f>
        <v>0</v>
      </c>
    </row>
    <row r="450" spans="1:25" x14ac:dyDescent="0.25">
      <c r="A450" s="150" t="s">
        <v>890</v>
      </c>
      <c r="B450" s="151" t="s">
        <v>1603</v>
      </c>
      <c r="C450" s="150" t="s">
        <v>5</v>
      </c>
      <c r="D450" s="151" t="str">
        <f>IF(MouserListTable[[#This Row],[Vendor]]=FilterSpecs!$A$8,MouserListTable[[#This Row],[Mouser SKU]], MouserListTable[[#This Row],[Supplier SKU]])</f>
        <v>474-COM-13885</v>
      </c>
      <c r="E450" s="152">
        <f>MouserListTable[[#This Row],[Tot '#]]-MouserListTable[[#This Row],['# Initial]]</f>
        <v>0</v>
      </c>
      <c r="F450" s="152">
        <f>IF(AND(MouserListTable[[#This Row],[Tag]]&lt;&gt;FilterSpecs!$F$12, MouserListTable[[#This Row],[Tag]]&lt;&gt;FilterSpecs!$F$9), MouserListTable[[#This Row],['#/Unit]]*FilterSpecs!$B$3+MouserListTable[[#This Row],[Extra Initial]],0)</f>
        <v>0</v>
      </c>
      <c r="G450" s="150" t="s">
        <v>1441</v>
      </c>
      <c r="H450" s="150" t="s">
        <v>1442</v>
      </c>
      <c r="I450" s="150" t="s">
        <v>1443</v>
      </c>
      <c r="J450" s="150">
        <v>1</v>
      </c>
      <c r="K450" s="154">
        <v>1.95</v>
      </c>
      <c r="L450" s="151" t="s">
        <v>1896</v>
      </c>
      <c r="M450" s="150"/>
      <c r="N450" s="154">
        <f>MouserListTable[[#This Row],['# Initial]]*MouserListTable[[#This Row],[Price (USD)]]</f>
        <v>0</v>
      </c>
      <c r="O450" s="151" t="s">
        <v>1440</v>
      </c>
      <c r="P450" s="150">
        <f t="shared" si="7"/>
        <v>437</v>
      </c>
      <c r="Q450" s="150" t="s">
        <v>5</v>
      </c>
      <c r="R45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474-COM-13885</v>
      </c>
      <c r="S450" s="157" t="str">
        <f>HYPERLINK("https://www.mouser.com/ProductDetail/" &amp;MouserListTable[[#This Row],[Mouser SKU]])</f>
        <v>https://www.mouser.com/ProductDetail/474-COM-13885</v>
      </c>
      <c r="T450" s="152">
        <v>0</v>
      </c>
      <c r="U450" s="152">
        <v>0</v>
      </c>
      <c r="V450" s="152">
        <v>0</v>
      </c>
      <c r="W450" s="152">
        <f>MouserListTable[[#This Row],['#/Unit]]*FilterSpecs!$C$3+MouserListTable[[#This Row],[Extra]]</f>
        <v>0</v>
      </c>
      <c r="X450" s="152">
        <f>IF(MouserListTable[[#This Row],[Tag]]=FilterSpecs!$F$7,MouserListTable[[#This Row],['#/Unit]]*MouserListTable[[#This Row],[Price (USD)]],0)</f>
        <v>0</v>
      </c>
      <c r="Y450" s="152">
        <f>MouserListTable[[#This Row],[Tot '#]]*MouserListTable[[#This Row],[Price (USD)]]</f>
        <v>0</v>
      </c>
    </row>
    <row r="451" spans="1:25" x14ac:dyDescent="0.25">
      <c r="A451" s="150" t="s">
        <v>890</v>
      </c>
      <c r="B451" s="151" t="s">
        <v>1603</v>
      </c>
      <c r="C451" s="150" t="s">
        <v>5</v>
      </c>
      <c r="D451" s="151" t="str">
        <f>IF(MouserListTable[[#This Row],[Vendor]]=FilterSpecs!$A$8,MouserListTable[[#This Row],[Mouser SKU]], MouserListTable[[#This Row],[Supplier SKU]])</f>
        <v>474-COM-11107</v>
      </c>
      <c r="E451" s="152">
        <f>MouserListTable[[#This Row],[Tot '#]]-MouserListTable[[#This Row],['# Initial]]</f>
        <v>0</v>
      </c>
      <c r="F451" s="152">
        <f>IF(AND(MouserListTable[[#This Row],[Tag]]&lt;&gt;FilterSpecs!$F$12, MouserListTable[[#This Row],[Tag]]&lt;&gt;FilterSpecs!$F$9), MouserListTable[[#This Row],['#/Unit]]*FilterSpecs!$B$3+MouserListTable[[#This Row],[Extra Initial]],0)</f>
        <v>0</v>
      </c>
      <c r="G451" s="150" t="s">
        <v>1469</v>
      </c>
      <c r="H451" s="150" t="s">
        <v>1470</v>
      </c>
      <c r="I451" s="150" t="s">
        <v>1471</v>
      </c>
      <c r="J451" s="150">
        <v>1</v>
      </c>
      <c r="K451" s="154">
        <v>1.95</v>
      </c>
      <c r="L451" s="151" t="s">
        <v>1896</v>
      </c>
      <c r="M451" s="150"/>
      <c r="N451" s="154">
        <f>MouserListTable[[#This Row],['# Initial]]*MouserListTable[[#This Row],[Price (USD)]]</f>
        <v>0</v>
      </c>
      <c r="O451" s="151" t="s">
        <v>1468</v>
      </c>
      <c r="P451" s="150">
        <f t="shared" si="7"/>
        <v>438</v>
      </c>
      <c r="Q451" s="150" t="s">
        <v>5</v>
      </c>
      <c r="R45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474-COM-11107</v>
      </c>
      <c r="S451" s="157" t="str">
        <f>HYPERLINK("https://www.mouser.com/ProductDetail/" &amp;MouserListTable[[#This Row],[Mouser SKU]])</f>
        <v>https://www.mouser.com/ProductDetail/474-COM-11107</v>
      </c>
      <c r="T451" s="152">
        <v>0</v>
      </c>
      <c r="U451" s="152">
        <v>0</v>
      </c>
      <c r="V451" s="152">
        <v>0</v>
      </c>
      <c r="W451" s="152">
        <f>MouserListTable[[#This Row],['#/Unit]]*FilterSpecs!$C$3+MouserListTable[[#This Row],[Extra]]</f>
        <v>0</v>
      </c>
      <c r="X451" s="152">
        <f>IF(MouserListTable[[#This Row],[Tag]]=FilterSpecs!$F$7,MouserListTable[[#This Row],['#/Unit]]*MouserListTable[[#This Row],[Price (USD)]],0)</f>
        <v>0</v>
      </c>
      <c r="Y451" s="152">
        <f>MouserListTable[[#This Row],[Tot '#]]*MouserListTable[[#This Row],[Price (USD)]]</f>
        <v>0</v>
      </c>
    </row>
    <row r="452" spans="1:25" x14ac:dyDescent="0.25">
      <c r="A452" s="97" t="s">
        <v>890</v>
      </c>
      <c r="B452" s="97" t="s">
        <v>1879</v>
      </c>
      <c r="C452" s="150" t="s">
        <v>5</v>
      </c>
      <c r="D452" s="151" t="str">
        <f>IF(MouserListTable[[#This Row],[Vendor]]=FilterSpecs!$A$8,MouserListTable[[#This Row],[Mouser SKU]], MouserListTable[[#This Row],[Supplier SKU]])</f>
        <v>474-PRT-13875</v>
      </c>
      <c r="E452" s="152">
        <f>MouserListTable[[#This Row],[Tot '#]]-MouserListTable[[#This Row],['# Initial]]</f>
        <v>0</v>
      </c>
      <c r="F452" s="152">
        <f>IF(AND(MouserListTable[[#This Row],[Tag]]&lt;&gt;FilterSpecs!$F$12, MouserListTable[[#This Row],[Tag]]&lt;&gt;FilterSpecs!$F$9), MouserListTable[[#This Row],['#/Unit]]*FilterSpecs!$B$3+MouserListTable[[#This Row],[Extra Initial]],0)</f>
        <v>0</v>
      </c>
      <c r="G452" s="150" t="s">
        <v>769</v>
      </c>
      <c r="H452" s="150" t="s">
        <v>770</v>
      </c>
      <c r="I452" s="150" t="s">
        <v>771</v>
      </c>
      <c r="J452" s="150">
        <v>1</v>
      </c>
      <c r="K452" s="154">
        <v>0.5</v>
      </c>
      <c r="L452" s="150" t="s">
        <v>1896</v>
      </c>
      <c r="M452" s="150"/>
      <c r="N452" s="154">
        <f>MouserListTable[[#This Row],['# Initial]]*MouserListTable[[#This Row],[Price (USD)]]</f>
        <v>0</v>
      </c>
      <c r="O452" s="151" t="s">
        <v>768</v>
      </c>
      <c r="P452" s="150">
        <f t="shared" si="7"/>
        <v>439</v>
      </c>
      <c r="Q452" s="150" t="s">
        <v>5</v>
      </c>
      <c r="R45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474-PRT-13875</v>
      </c>
      <c r="S452" s="157" t="str">
        <f>HYPERLINK("https://www.mouser.com/ProductDetail/" &amp;MouserListTable[[#This Row],[Mouser SKU]])</f>
        <v>https://www.mouser.com/ProductDetail/474-PRT-13875</v>
      </c>
      <c r="T452" s="152">
        <v>0</v>
      </c>
      <c r="U452" s="152">
        <v>0</v>
      </c>
      <c r="V452" s="152">
        <v>0</v>
      </c>
      <c r="W452" s="152">
        <f>MouserListTable[[#This Row],['#/Unit]]*FilterSpecs!$C$3+MouserListTable[[#This Row],[Extra]]</f>
        <v>0</v>
      </c>
      <c r="X452" s="152">
        <f>IF(MouserListTable[[#This Row],[Tag]]=FilterSpecs!$F$7,MouserListTable[[#This Row],['#/Unit]]*MouserListTable[[#This Row],[Price (USD)]],0)</f>
        <v>0</v>
      </c>
      <c r="Y452" s="152">
        <f>MouserListTable[[#This Row],[Tot '#]]*MouserListTable[[#This Row],[Price (USD)]]</f>
        <v>0</v>
      </c>
    </row>
    <row r="453" spans="1:25" x14ac:dyDescent="0.25">
      <c r="A453" s="150" t="s">
        <v>890</v>
      </c>
      <c r="B453" s="150" t="s">
        <v>1879</v>
      </c>
      <c r="C453" s="150" t="s">
        <v>5</v>
      </c>
      <c r="D453" s="151" t="str">
        <f>IF(MouserListTable[[#This Row],[Vendor]]=FilterSpecs!$A$8,MouserListTable[[#This Row],[Mouser SKU]], MouserListTable[[#This Row],[Supplier SKU]])</f>
        <v>474-PRT-12790</v>
      </c>
      <c r="E453" s="152">
        <f>MouserListTable[[#This Row],[Tot '#]]-MouserListTable[[#This Row],['# Initial]]</f>
        <v>1</v>
      </c>
      <c r="F453" s="152">
        <f>IF(AND(MouserListTable[[#This Row],[Tag]]&lt;&gt;FilterSpecs!$F$12, MouserListTable[[#This Row],[Tag]]&lt;&gt;FilterSpecs!$F$9), MouserListTable[[#This Row],['#/Unit]]*FilterSpecs!$B$3+MouserListTable[[#This Row],[Extra Initial]],0)</f>
        <v>0</v>
      </c>
      <c r="G453" s="150" t="s">
        <v>1762</v>
      </c>
      <c r="H453" s="150" t="s">
        <v>1763</v>
      </c>
      <c r="I453" s="150" t="s">
        <v>1764</v>
      </c>
      <c r="J453" s="150">
        <v>1</v>
      </c>
      <c r="K453" s="154">
        <v>2.95</v>
      </c>
      <c r="L453" s="150" t="s">
        <v>1896</v>
      </c>
      <c r="M453" s="150"/>
      <c r="N453" s="154">
        <f>MouserListTable[[#This Row],['# Initial]]*MouserListTable[[#This Row],[Price (USD)]]</f>
        <v>0</v>
      </c>
      <c r="O453" s="151" t="s">
        <v>1761</v>
      </c>
      <c r="P453" s="150">
        <f t="shared" si="7"/>
        <v>440</v>
      </c>
      <c r="Q453" s="150" t="s">
        <v>5</v>
      </c>
      <c r="R45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474-PRT-12790</v>
      </c>
      <c r="S453" s="157" t="str">
        <f>HYPERLINK("https://www.mouser.com/ProductDetail/" &amp;MouserListTable[[#This Row],[Mouser SKU]])</f>
        <v>https://www.mouser.com/ProductDetail/474-PRT-12790</v>
      </c>
      <c r="T453" s="152">
        <v>0</v>
      </c>
      <c r="U453" s="152">
        <v>1</v>
      </c>
      <c r="V453" s="152">
        <v>0</v>
      </c>
      <c r="W453" s="152">
        <f>MouserListTable[[#This Row],['#/Unit]]*FilterSpecs!$C$3+MouserListTable[[#This Row],[Extra]]</f>
        <v>1</v>
      </c>
      <c r="X453" s="152">
        <f>IF(MouserListTable[[#This Row],[Tag]]=FilterSpecs!$F$7,MouserListTable[[#This Row],['#/Unit]]*MouserListTable[[#This Row],[Price (USD)]],0)</f>
        <v>0</v>
      </c>
      <c r="Y453" s="152">
        <f>MouserListTable[[#This Row],[Tot '#]]*MouserListTable[[#This Row],[Price (USD)]]</f>
        <v>2.95</v>
      </c>
    </row>
    <row r="454" spans="1:25" x14ac:dyDescent="0.25">
      <c r="A454" s="97" t="s">
        <v>890</v>
      </c>
      <c r="B454" s="97" t="s">
        <v>1879</v>
      </c>
      <c r="C454" s="150" t="s">
        <v>5</v>
      </c>
      <c r="D454" s="151" t="str">
        <f>IF(MouserListTable[[#This Row],[Vendor]]=FilterSpecs!$A$8,MouserListTable[[#This Row],[Mouser SKU]], MouserListTable[[#This Row],[Supplier SKU]])</f>
        <v>474-PRT-10007</v>
      </c>
      <c r="E454" s="152">
        <f>MouserListTable[[#This Row],[Tot '#]]-MouserListTable[[#This Row],['# Initial]]</f>
        <v>0</v>
      </c>
      <c r="F454" s="152">
        <f>IF(AND(MouserListTable[[#This Row],[Tag]]&lt;&gt;FilterSpecs!$F$12, MouserListTable[[#This Row],[Tag]]&lt;&gt;FilterSpecs!$F$9), MouserListTable[[#This Row],['#/Unit]]*FilterSpecs!$B$3+MouserListTable[[#This Row],[Extra Initial]],0)</f>
        <v>0</v>
      </c>
      <c r="G454" s="150" t="s">
        <v>517</v>
      </c>
      <c r="H454" s="150" t="s">
        <v>518</v>
      </c>
      <c r="I454" s="150" t="s">
        <v>519</v>
      </c>
      <c r="J454" s="150">
        <v>1</v>
      </c>
      <c r="K454" s="154">
        <v>1.5</v>
      </c>
      <c r="L454" s="150" t="s">
        <v>1896</v>
      </c>
      <c r="M454" s="150"/>
      <c r="N454" s="154">
        <f>MouserListTable[[#This Row],['# Initial]]*MouserListTable[[#This Row],[Price (USD)]]</f>
        <v>0</v>
      </c>
      <c r="O454" s="151" t="s">
        <v>516</v>
      </c>
      <c r="P454" s="150">
        <f t="shared" si="7"/>
        <v>441</v>
      </c>
      <c r="Q454" s="150" t="s">
        <v>5</v>
      </c>
      <c r="R45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474-PRT-10007</v>
      </c>
      <c r="S454" s="157" t="str">
        <f>HYPERLINK("https://www.mouser.com/ProductDetail/" &amp;MouserListTable[[#This Row],[Mouser SKU]])</f>
        <v>https://www.mouser.com/ProductDetail/474-PRT-10007</v>
      </c>
      <c r="T454" s="152">
        <v>0</v>
      </c>
      <c r="U454" s="152">
        <v>0</v>
      </c>
      <c r="V454" s="152">
        <v>0</v>
      </c>
      <c r="W454" s="152">
        <f>MouserListTable[[#This Row],['#/Unit]]*FilterSpecs!$C$3+MouserListTable[[#This Row],[Extra]]</f>
        <v>0</v>
      </c>
      <c r="X454" s="152">
        <f>IF(MouserListTable[[#This Row],[Tag]]=FilterSpecs!$F$7,MouserListTable[[#This Row],['#/Unit]]*MouserListTable[[#This Row],[Price (USD)]],0)</f>
        <v>0</v>
      </c>
      <c r="Y454" s="152">
        <f>MouserListTable[[#This Row],[Tot '#]]*MouserListTable[[#This Row],[Price (USD)]]</f>
        <v>0</v>
      </c>
    </row>
    <row r="455" spans="1:25" x14ac:dyDescent="0.25">
      <c r="A455" s="97" t="s">
        <v>890</v>
      </c>
      <c r="B455" s="97" t="s">
        <v>1879</v>
      </c>
      <c r="C455" s="150" t="s">
        <v>5</v>
      </c>
      <c r="D455" s="151" t="str">
        <f>IF(MouserListTable[[#This Row],[Vendor]]=FilterSpecs!$A$8,MouserListTable[[#This Row],[Mouser SKU]], MouserListTable[[#This Row],[Supplier SKU]])</f>
        <v>474-PRT-11376</v>
      </c>
      <c r="E455" s="152">
        <f>MouserListTable[[#This Row],[Tot '#]]-MouserListTable[[#This Row],['# Initial]]</f>
        <v>0</v>
      </c>
      <c r="F455" s="152">
        <f>IF(AND(MouserListTable[[#This Row],[Tag]]&lt;&gt;FilterSpecs!$F$12, MouserListTable[[#This Row],[Tag]]&lt;&gt;FilterSpecs!$F$9), MouserListTable[[#This Row],['#/Unit]]*FilterSpecs!$B$3+MouserListTable[[#This Row],[Extra Initial]],0)</f>
        <v>0</v>
      </c>
      <c r="G455" s="150" t="s">
        <v>521</v>
      </c>
      <c r="H455" s="150" t="s">
        <v>522</v>
      </c>
      <c r="I455" s="150" t="s">
        <v>523</v>
      </c>
      <c r="J455" s="150">
        <v>1</v>
      </c>
      <c r="K455" s="154">
        <v>0.5</v>
      </c>
      <c r="L455" s="150" t="s">
        <v>1896</v>
      </c>
      <c r="M455" s="150"/>
      <c r="N455" s="154">
        <f>MouserListTable[[#This Row],['# Initial]]*MouserListTable[[#This Row],[Price (USD)]]</f>
        <v>0</v>
      </c>
      <c r="O455" s="151" t="s">
        <v>520</v>
      </c>
      <c r="P455" s="150">
        <f t="shared" si="7"/>
        <v>442</v>
      </c>
      <c r="Q455" s="150" t="s">
        <v>5</v>
      </c>
      <c r="R45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474-PRT-11376</v>
      </c>
      <c r="S455" s="157" t="str">
        <f>HYPERLINK("https://www.mouser.com/ProductDetail/" &amp;MouserListTable[[#This Row],[Mouser SKU]])</f>
        <v>https://www.mouser.com/ProductDetail/474-PRT-11376</v>
      </c>
      <c r="T455" s="152">
        <v>0</v>
      </c>
      <c r="U455" s="152">
        <v>0</v>
      </c>
      <c r="V455" s="152">
        <v>0</v>
      </c>
      <c r="W455" s="152">
        <f>MouserListTable[[#This Row],['#/Unit]]*FilterSpecs!$C$3+MouserListTable[[#This Row],[Extra]]</f>
        <v>0</v>
      </c>
      <c r="X455" s="152">
        <f>IF(MouserListTable[[#This Row],[Tag]]=FilterSpecs!$F$7,MouserListTable[[#This Row],['#/Unit]]*MouserListTable[[#This Row],[Price (USD)]],0)</f>
        <v>0</v>
      </c>
      <c r="Y455" s="152">
        <f>MouserListTable[[#This Row],[Tot '#]]*MouserListTable[[#This Row],[Price (USD)]]</f>
        <v>0</v>
      </c>
    </row>
    <row r="456" spans="1:25" x14ac:dyDescent="0.25">
      <c r="A456" s="97" t="s">
        <v>890</v>
      </c>
      <c r="B456" s="97" t="s">
        <v>1879</v>
      </c>
      <c r="C456" s="150" t="s">
        <v>5</v>
      </c>
      <c r="D456" s="151" t="str">
        <f>IF(MouserListTable[[#This Row],[Vendor]]=FilterSpecs!$A$8,MouserListTable[[#This Row],[Mouser SKU]], MouserListTable[[#This Row],[Supplier SKU]])</f>
        <v>474-PRT-14311</v>
      </c>
      <c r="E456" s="152">
        <f>MouserListTable[[#This Row],[Tot '#]]-MouserListTable[[#This Row],['# Initial]]</f>
        <v>0</v>
      </c>
      <c r="F456" s="152">
        <f>IF(AND(MouserListTable[[#This Row],[Tag]]&lt;&gt;FilterSpecs!$F$12, MouserListTable[[#This Row],[Tag]]&lt;&gt;FilterSpecs!$F$9), MouserListTable[[#This Row],['#/Unit]]*FilterSpecs!$B$3+MouserListTable[[#This Row],[Extra Initial]],0)</f>
        <v>0</v>
      </c>
      <c r="G456" s="150" t="s">
        <v>573</v>
      </c>
      <c r="H456" s="150" t="s">
        <v>574</v>
      </c>
      <c r="I456" s="150" t="s">
        <v>575</v>
      </c>
      <c r="J456" s="150">
        <v>1</v>
      </c>
      <c r="K456" s="154">
        <v>1.5</v>
      </c>
      <c r="L456" s="150" t="s">
        <v>1896</v>
      </c>
      <c r="M456" s="150"/>
      <c r="N456" s="154">
        <f>MouserListTable[[#This Row],['# Initial]]*MouserListTable[[#This Row],[Price (USD)]]</f>
        <v>0</v>
      </c>
      <c r="O456" s="151" t="s">
        <v>572</v>
      </c>
      <c r="P456" s="150">
        <f t="shared" si="7"/>
        <v>443</v>
      </c>
      <c r="Q456" s="150" t="s">
        <v>5</v>
      </c>
      <c r="R45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474-PRT-14311</v>
      </c>
      <c r="S456" s="157" t="str">
        <f>HYPERLINK("https://www.mouser.com/ProductDetail/" &amp;MouserListTable[[#This Row],[Mouser SKU]])</f>
        <v>https://www.mouser.com/ProductDetail/474-PRT-14311</v>
      </c>
      <c r="T456" s="152">
        <v>0</v>
      </c>
      <c r="U456" s="152">
        <v>0</v>
      </c>
      <c r="V456" s="152">
        <v>0</v>
      </c>
      <c r="W456" s="152">
        <f>MouserListTable[[#This Row],['#/Unit]]*FilterSpecs!$C$3+MouserListTable[[#This Row],[Extra]]</f>
        <v>0</v>
      </c>
      <c r="X456" s="152">
        <f>IF(MouserListTable[[#This Row],[Tag]]=FilterSpecs!$F$7,MouserListTable[[#This Row],['#/Unit]]*MouserListTable[[#This Row],[Price (USD)]],0)</f>
        <v>0</v>
      </c>
      <c r="Y456" s="152">
        <f>MouserListTable[[#This Row],[Tot '#]]*MouserListTable[[#This Row],[Price (USD)]]</f>
        <v>0</v>
      </c>
    </row>
    <row r="457" spans="1:25" x14ac:dyDescent="0.25">
      <c r="A457" s="97" t="s">
        <v>890</v>
      </c>
      <c r="B457" s="97" t="s">
        <v>1879</v>
      </c>
      <c r="C457" s="150" t="s">
        <v>5</v>
      </c>
      <c r="D457" s="151" t="str">
        <f>IF(MouserListTable[[#This Row],[Vendor]]=FilterSpecs!$A$8,MouserListTable[[#This Row],[Mouser SKU]], MouserListTable[[#This Row],[Supplier SKU]])</f>
        <v>474-PRT-14322</v>
      </c>
      <c r="E457" s="152">
        <f>MouserListTable[[#This Row],[Tot '#]]-MouserListTable[[#This Row],['# Initial]]</f>
        <v>0</v>
      </c>
      <c r="F457" s="152">
        <f>IF(AND(MouserListTable[[#This Row],[Tag]]&lt;&gt;FilterSpecs!$F$12, MouserListTable[[#This Row],[Tag]]&lt;&gt;FilterSpecs!$F$9), MouserListTable[[#This Row],['#/Unit]]*FilterSpecs!$B$3+MouserListTable[[#This Row],[Extra Initial]],0)</f>
        <v>0</v>
      </c>
      <c r="G457" s="150" t="s">
        <v>475</v>
      </c>
      <c r="H457" s="150" t="s">
        <v>476</v>
      </c>
      <c r="I457" s="150" t="s">
        <v>477</v>
      </c>
      <c r="J457" s="150"/>
      <c r="K457" s="154">
        <v>0.5</v>
      </c>
      <c r="L457" s="150" t="s">
        <v>1896</v>
      </c>
      <c r="M457" s="150"/>
      <c r="N457" s="154">
        <f>MouserListTable[[#This Row],['# Initial]]*MouserListTable[[#This Row],[Price (USD)]]</f>
        <v>0</v>
      </c>
      <c r="O457" s="151" t="s">
        <v>474</v>
      </c>
      <c r="P457" s="150">
        <f t="shared" si="7"/>
        <v>444</v>
      </c>
      <c r="Q457" s="150" t="s">
        <v>5</v>
      </c>
      <c r="R45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474-PRT-14322</v>
      </c>
      <c r="S457" s="157" t="str">
        <f>HYPERLINK("https://www.mouser.com/ProductDetail/" &amp;MouserListTable[[#This Row],[Mouser SKU]])</f>
        <v>https://www.mouser.com/ProductDetail/474-PRT-14322</v>
      </c>
      <c r="T457" s="152">
        <v>0</v>
      </c>
      <c r="U457" s="152">
        <v>0</v>
      </c>
      <c r="V457" s="152">
        <v>0</v>
      </c>
      <c r="W457" s="152">
        <f>MouserListTable[[#This Row],['#/Unit]]*FilterSpecs!$C$3+MouserListTable[[#This Row],[Extra]]</f>
        <v>0</v>
      </c>
      <c r="X457" s="152">
        <f>IF(MouserListTable[[#This Row],[Tag]]=FilterSpecs!$F$7,MouserListTable[[#This Row],['#/Unit]]*MouserListTable[[#This Row],[Price (USD)]],0)</f>
        <v>0</v>
      </c>
      <c r="Y457" s="152">
        <f>MouserListTable[[#This Row],[Tot '#]]*MouserListTable[[#This Row],[Price (USD)]]</f>
        <v>0</v>
      </c>
    </row>
    <row r="458" spans="1:25" x14ac:dyDescent="0.25">
      <c r="A458" s="97" t="s">
        <v>890</v>
      </c>
      <c r="B458" s="97" t="s">
        <v>1879</v>
      </c>
      <c r="C458" s="150" t="s">
        <v>5</v>
      </c>
      <c r="D458" s="151" t="str">
        <f>IF(MouserListTable[[#This Row],[Vendor]]=FilterSpecs!$A$8,MouserListTable[[#This Row],[Mouser SKU]], MouserListTable[[#This Row],[Supplier SKU]])</f>
        <v>474-PRT-13925</v>
      </c>
      <c r="E458" s="152">
        <f>MouserListTable[[#This Row],[Tot '#]]-MouserListTable[[#This Row],['# Initial]]</f>
        <v>0</v>
      </c>
      <c r="F458" s="152">
        <f>IF(AND(MouserListTable[[#This Row],[Tag]]&lt;&gt;FilterSpecs!$F$12, MouserListTable[[#This Row],[Tag]]&lt;&gt;FilterSpecs!$F$9), MouserListTable[[#This Row],['#/Unit]]*FilterSpecs!$B$3+MouserListTable[[#This Row],[Extra Initial]],0)</f>
        <v>0</v>
      </c>
      <c r="G458" s="150" t="s">
        <v>471</v>
      </c>
      <c r="H458" s="150" t="s">
        <v>472</v>
      </c>
      <c r="I458" s="150" t="s">
        <v>473</v>
      </c>
      <c r="J458" s="150">
        <v>1</v>
      </c>
      <c r="K458" s="154">
        <v>1.5</v>
      </c>
      <c r="L458" s="150" t="s">
        <v>1896</v>
      </c>
      <c r="M458" s="150"/>
      <c r="N458" s="154">
        <f>MouserListTable[[#This Row],['# Initial]]*MouserListTable[[#This Row],[Price (USD)]]</f>
        <v>0</v>
      </c>
      <c r="O458" s="151" t="s">
        <v>470</v>
      </c>
      <c r="P458" s="150">
        <f t="shared" si="7"/>
        <v>445</v>
      </c>
      <c r="Q458" s="150" t="s">
        <v>5</v>
      </c>
      <c r="R45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474-PRT-13925</v>
      </c>
      <c r="S458" s="157" t="str">
        <f>HYPERLINK("https://www.mouser.com/ProductDetail/" &amp;MouserListTable[[#This Row],[Mouser SKU]])</f>
        <v>https://www.mouser.com/ProductDetail/474-PRT-13925</v>
      </c>
      <c r="T458" s="152">
        <v>0</v>
      </c>
      <c r="U458" s="152">
        <v>0</v>
      </c>
      <c r="V458" s="152">
        <v>0</v>
      </c>
      <c r="W458" s="152">
        <f>MouserListTable[[#This Row],['#/Unit]]*FilterSpecs!$C$3+MouserListTable[[#This Row],[Extra]]</f>
        <v>0</v>
      </c>
      <c r="X458" s="152">
        <f>IF(MouserListTable[[#This Row],[Tag]]=FilterSpecs!$F$7,MouserListTable[[#This Row],['#/Unit]]*MouserListTable[[#This Row],[Price (USD)]],0)</f>
        <v>0</v>
      </c>
      <c r="Y458" s="152">
        <f>MouserListTable[[#This Row],[Tot '#]]*MouserListTable[[#This Row],[Price (USD)]]</f>
        <v>0</v>
      </c>
    </row>
    <row r="459" spans="1:25" x14ac:dyDescent="0.25">
      <c r="A459" s="150" t="s">
        <v>890</v>
      </c>
      <c r="B459" s="150" t="s">
        <v>1879</v>
      </c>
      <c r="C459" s="150" t="s">
        <v>1884</v>
      </c>
      <c r="D459" s="151" t="str">
        <f>IF(MouserListTable[[#This Row],[Vendor]]=FilterSpecs!$A$8,MouserListTable[[#This Row],[Mouser SKU]], MouserListTable[[#This Row],[Supplier SKU]])</f>
        <v>485-85</v>
      </c>
      <c r="E459" s="152">
        <f>MouserListTable[[#This Row],[Tot '#]]-MouserListTable[[#This Row],['# Initial]]</f>
        <v>0</v>
      </c>
      <c r="F459" s="152">
        <f>IF(AND(MouserListTable[[#This Row],[Tag]]&lt;&gt;FilterSpecs!$F$12, MouserListTable[[#This Row],[Tag]]&lt;&gt;FilterSpecs!$F$9), MouserListTable[[#This Row],['#/Unit]]*FilterSpecs!$B$3+MouserListTable[[#This Row],[Extra Initial]],0)</f>
        <v>10</v>
      </c>
      <c r="G459" s="150"/>
      <c r="H459" s="150"/>
      <c r="I459" s="150" t="s">
        <v>2169</v>
      </c>
      <c r="J459" s="153"/>
      <c r="K459" s="154">
        <v>1.95</v>
      </c>
      <c r="L459" s="150" t="s">
        <v>1897</v>
      </c>
      <c r="M459" s="151"/>
      <c r="N459" s="154">
        <f>MouserListTable[[#This Row],['# Initial]]*MouserListTable[[#This Row],[Price (USD)]]</f>
        <v>19.5</v>
      </c>
      <c r="O459" s="151" t="s">
        <v>2168</v>
      </c>
      <c r="P459" s="150">
        <f t="shared" si="7"/>
        <v>446</v>
      </c>
      <c r="Q459" s="150" t="s">
        <v>1884</v>
      </c>
      <c r="R45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485-85</v>
      </c>
      <c r="S459" s="157" t="str">
        <f>HYPERLINK("https://www.mouser.com/ProductDetail/" &amp;MouserListTable[[#This Row],[Mouser SKU]])</f>
        <v>https://www.mouser.com/ProductDetail/485-85</v>
      </c>
      <c r="T459" s="152">
        <v>2</v>
      </c>
      <c r="U459" s="152">
        <v>0</v>
      </c>
      <c r="V459" s="152">
        <v>0</v>
      </c>
      <c r="W459" s="152">
        <f>MouserListTable[[#This Row],['#/Unit]]*FilterSpecs!$C$3+MouserListTable[[#This Row],[Extra]]</f>
        <v>10</v>
      </c>
      <c r="X459" s="152">
        <f>IF(MouserListTable[[#This Row],[Tag]]=FilterSpecs!$F$7,MouserListTable[[#This Row],['#/Unit]]*MouserListTable[[#This Row],[Price (USD)]],0)</f>
        <v>3.9</v>
      </c>
      <c r="Y459" s="152">
        <f>MouserListTable[[#This Row],[Tot '#]]*MouserListTable[[#This Row],[Price (USD)]]</f>
        <v>19.5</v>
      </c>
    </row>
    <row r="460" spans="1:25" x14ac:dyDescent="0.25">
      <c r="A460" s="150" t="s">
        <v>890</v>
      </c>
      <c r="B460" s="150" t="s">
        <v>1879</v>
      </c>
      <c r="C460" s="150" t="s">
        <v>1884</v>
      </c>
      <c r="D460" s="151" t="str">
        <f>IF(MouserListTable[[#This Row],[Vendor]]=FilterSpecs!$A$8,MouserListTable[[#This Row],[Mouser SKU]], MouserListTable[[#This Row],[Supplier SKU]])</f>
        <v>485-3366</v>
      </c>
      <c r="E460" s="152">
        <f>MouserListTable[[#This Row],[Tot '#]]-MouserListTable[[#This Row],['# Initial]]</f>
        <v>0</v>
      </c>
      <c r="F460" s="152">
        <f>IF(AND(MouserListTable[[#This Row],[Tag]]&lt;&gt;FilterSpecs!$F$12, MouserListTable[[#This Row],[Tag]]&lt;&gt;FilterSpecs!$F$9), MouserListTable[[#This Row],['#/Unit]]*FilterSpecs!$B$3+MouserListTable[[#This Row],[Extra Initial]],0)</f>
        <v>1</v>
      </c>
      <c r="G460" s="150"/>
      <c r="H460" s="150"/>
      <c r="I460" s="150" t="s">
        <v>2151</v>
      </c>
      <c r="J460" s="153"/>
      <c r="K460" s="154">
        <v>2.95</v>
      </c>
      <c r="L460" s="150" t="s">
        <v>1896</v>
      </c>
      <c r="M460" s="151"/>
      <c r="N460" s="154">
        <f>MouserListTable[[#This Row],['# Initial]]*MouserListTable[[#This Row],[Price (USD)]]</f>
        <v>2.95</v>
      </c>
      <c r="O460" s="151" t="s">
        <v>2150</v>
      </c>
      <c r="P460" s="150">
        <f t="shared" si="7"/>
        <v>447</v>
      </c>
      <c r="Q460" s="150" t="s">
        <v>1884</v>
      </c>
      <c r="R46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485-3366</v>
      </c>
      <c r="S460" s="157" t="str">
        <f>HYPERLINK("https://www.mouser.com/ProductDetail/" &amp;MouserListTable[[#This Row],[Mouser SKU]])</f>
        <v>https://www.mouser.com/ProductDetail/485-3366</v>
      </c>
      <c r="T460" s="152">
        <v>0</v>
      </c>
      <c r="U460" s="152">
        <v>1</v>
      </c>
      <c r="V460" s="152">
        <v>1</v>
      </c>
      <c r="W460" s="152">
        <f>MouserListTable[[#This Row],['#/Unit]]*FilterSpecs!$C$3+MouserListTable[[#This Row],[Extra]]</f>
        <v>1</v>
      </c>
      <c r="X460" s="152">
        <f>IF(MouserListTable[[#This Row],[Tag]]=FilterSpecs!$F$7,MouserListTable[[#This Row],['#/Unit]]*MouserListTable[[#This Row],[Price (USD)]],0)</f>
        <v>0</v>
      </c>
      <c r="Y460" s="152">
        <f>MouserListTable[[#This Row],[Tot '#]]*MouserListTable[[#This Row],[Price (USD)]]</f>
        <v>2.95</v>
      </c>
    </row>
    <row r="461" spans="1:25" x14ac:dyDescent="0.25">
      <c r="A461" s="97" t="s">
        <v>890</v>
      </c>
      <c r="B461" s="97" t="s">
        <v>1877</v>
      </c>
      <c r="C461" s="150" t="s">
        <v>5</v>
      </c>
      <c r="D461" s="151" t="str">
        <f>IF(MouserListTable[[#This Row],[Vendor]]=FilterSpecs!$A$8,MouserListTable[[#This Row],[Mouser SKU]], MouserListTable[[#This Row],[Supplier SKU]])</f>
        <v>474-PRT-12807</v>
      </c>
      <c r="E461" s="152">
        <f>MouserListTable[[#This Row],[Tot '#]]-MouserListTable[[#This Row],['# Initial]]</f>
        <v>0</v>
      </c>
      <c r="F461" s="152">
        <f>IF(AND(MouserListTable[[#This Row],[Tag]]&lt;&gt;FilterSpecs!$F$12, MouserListTable[[#This Row],[Tag]]&lt;&gt;FilterSpecs!$F$9), MouserListTable[[#This Row],['#/Unit]]*FilterSpecs!$B$3+MouserListTable[[#This Row],[Extra Initial]],0)</f>
        <v>0</v>
      </c>
      <c r="G461" s="150" t="s">
        <v>765</v>
      </c>
      <c r="H461" s="150" t="s">
        <v>766</v>
      </c>
      <c r="I461" s="150" t="s">
        <v>767</v>
      </c>
      <c r="J461" s="150">
        <v>1</v>
      </c>
      <c r="K461" s="154">
        <v>0.5</v>
      </c>
      <c r="L461" s="150" t="s">
        <v>1896</v>
      </c>
      <c r="M461" s="150"/>
      <c r="N461" s="154">
        <f>MouserListTable[[#This Row],['# Initial]]*MouserListTable[[#This Row],[Price (USD)]]</f>
        <v>0</v>
      </c>
      <c r="O461" s="151" t="s">
        <v>764</v>
      </c>
      <c r="P461" s="150">
        <f t="shared" si="7"/>
        <v>448</v>
      </c>
      <c r="Q461" s="150" t="s">
        <v>5</v>
      </c>
      <c r="R46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474-PRT-12807</v>
      </c>
      <c r="S461" s="157" t="str">
        <f>HYPERLINK("https://www.mouser.com/ProductDetail/" &amp;MouserListTable[[#This Row],[Mouser SKU]])</f>
        <v>https://www.mouser.com/ProductDetail/474-PRT-12807</v>
      </c>
      <c r="T461" s="152">
        <v>0</v>
      </c>
      <c r="U461" s="152">
        <v>0</v>
      </c>
      <c r="V461" s="152">
        <v>0</v>
      </c>
      <c r="W461" s="152">
        <f>MouserListTable[[#This Row],['#/Unit]]*FilterSpecs!$C$3+MouserListTable[[#This Row],[Extra]]</f>
        <v>0</v>
      </c>
      <c r="X461" s="152">
        <f>IF(MouserListTable[[#This Row],[Tag]]=FilterSpecs!$F$7,MouserListTable[[#This Row],['#/Unit]]*MouserListTable[[#This Row],[Price (USD)]],0)</f>
        <v>0</v>
      </c>
      <c r="Y461" s="152">
        <f>MouserListTable[[#This Row],[Tot '#]]*MouserListTable[[#This Row],[Price (USD)]]</f>
        <v>0</v>
      </c>
    </row>
    <row r="462" spans="1:25" x14ac:dyDescent="0.25">
      <c r="A462" s="97" t="s">
        <v>890</v>
      </c>
      <c r="B462" s="97" t="s">
        <v>1877</v>
      </c>
      <c r="C462" s="150" t="s">
        <v>5</v>
      </c>
      <c r="D462" s="151" t="str">
        <f>IF(MouserListTable[[#This Row],[Vendor]]=FilterSpecs!$A$8,MouserListTable[[#This Row],[Mouser SKU]], MouserListTable[[#This Row],[Supplier SKU]])</f>
        <v>474-PRT-13156</v>
      </c>
      <c r="E462" s="152">
        <f>MouserListTable[[#This Row],[Tot '#]]-MouserListTable[[#This Row],['# Initial]]</f>
        <v>0</v>
      </c>
      <c r="F462" s="152">
        <f>IF(AND(MouserListTable[[#This Row],[Tag]]&lt;&gt;FilterSpecs!$F$12, MouserListTable[[#This Row],[Tag]]&lt;&gt;FilterSpecs!$F$9), MouserListTable[[#This Row],['#/Unit]]*FilterSpecs!$B$3+MouserListTable[[#This Row],[Extra Initial]],0)</f>
        <v>0</v>
      </c>
      <c r="G462" s="150" t="s">
        <v>509</v>
      </c>
      <c r="H462" s="150" t="s">
        <v>510</v>
      </c>
      <c r="I462" s="150" t="s">
        <v>511</v>
      </c>
      <c r="J462" s="150">
        <v>1</v>
      </c>
      <c r="K462" s="154">
        <v>0.95</v>
      </c>
      <c r="L462" s="150" t="s">
        <v>1896</v>
      </c>
      <c r="M462" s="150"/>
      <c r="N462" s="154">
        <f>MouserListTable[[#This Row],['# Initial]]*MouserListTable[[#This Row],[Price (USD)]]</f>
        <v>0</v>
      </c>
      <c r="O462" s="151" t="s">
        <v>508</v>
      </c>
      <c r="P462" s="150">
        <f t="shared" ref="P462:P525" si="8">IF($P461="List #",1,$P461+1)</f>
        <v>449</v>
      </c>
      <c r="Q462" s="150" t="s">
        <v>5</v>
      </c>
      <c r="R46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474-PRT-13156</v>
      </c>
      <c r="S462" s="157" t="str">
        <f>HYPERLINK("https://www.mouser.com/ProductDetail/" &amp;MouserListTable[[#This Row],[Mouser SKU]])</f>
        <v>https://www.mouser.com/ProductDetail/474-PRT-13156</v>
      </c>
      <c r="T462" s="152">
        <v>0</v>
      </c>
      <c r="U462" s="152">
        <v>0</v>
      </c>
      <c r="V462" s="152">
        <v>0</v>
      </c>
      <c r="W462" s="152">
        <f>MouserListTable[[#This Row],['#/Unit]]*FilterSpecs!$C$3+MouserListTable[[#This Row],[Extra]]</f>
        <v>0</v>
      </c>
      <c r="X462" s="152">
        <f>IF(MouserListTable[[#This Row],[Tag]]=FilterSpecs!$F$7,MouserListTable[[#This Row],['#/Unit]]*MouserListTable[[#This Row],[Price (USD)]],0)</f>
        <v>0</v>
      </c>
      <c r="Y462" s="152">
        <f>MouserListTable[[#This Row],[Tot '#]]*MouserListTable[[#This Row],[Price (USD)]]</f>
        <v>0</v>
      </c>
    </row>
    <row r="463" spans="1:25" x14ac:dyDescent="0.25">
      <c r="A463" s="150" t="s">
        <v>890</v>
      </c>
      <c r="B463" s="150" t="s">
        <v>1877</v>
      </c>
      <c r="C463" s="150" t="s">
        <v>5</v>
      </c>
      <c r="D463" s="151" t="str">
        <f>IF(MouserListTable[[#This Row],[Vendor]]=FilterSpecs!$A$8,MouserListTable[[#This Row],[Mouser SKU]], MouserListTable[[#This Row],[Supplier SKU]])</f>
        <v>474-PRT-12791</v>
      </c>
      <c r="E463" s="152">
        <f>MouserListTable[[#This Row],[Tot '#]]-MouserListTable[[#This Row],['# Initial]]</f>
        <v>1</v>
      </c>
      <c r="F463" s="152">
        <f>IF(AND(MouserListTable[[#This Row],[Tag]]&lt;&gt;FilterSpecs!$F$12, MouserListTable[[#This Row],[Tag]]&lt;&gt;FilterSpecs!$F$9), MouserListTable[[#This Row],['#/Unit]]*FilterSpecs!$B$3+MouserListTable[[#This Row],[Extra Initial]],0)</f>
        <v>0</v>
      </c>
      <c r="G463" s="150" t="s">
        <v>1778</v>
      </c>
      <c r="H463" s="150" t="s">
        <v>1779</v>
      </c>
      <c r="I463" s="150" t="s">
        <v>1780</v>
      </c>
      <c r="J463" s="150">
        <v>1</v>
      </c>
      <c r="K463" s="154">
        <v>0.95</v>
      </c>
      <c r="L463" s="150" t="s">
        <v>1896</v>
      </c>
      <c r="M463" s="150"/>
      <c r="N463" s="154">
        <f>MouserListTable[[#This Row],['# Initial]]*MouserListTable[[#This Row],[Price (USD)]]</f>
        <v>0</v>
      </c>
      <c r="O463" s="151" t="s">
        <v>1777</v>
      </c>
      <c r="P463" s="150">
        <f t="shared" si="8"/>
        <v>450</v>
      </c>
      <c r="Q463" s="150" t="s">
        <v>5</v>
      </c>
      <c r="R46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474-PRT-12791</v>
      </c>
      <c r="S463" s="157" t="str">
        <f>HYPERLINK("https://www.mouser.com/ProductDetail/" &amp;MouserListTable[[#This Row],[Mouser SKU]])</f>
        <v>https://www.mouser.com/ProductDetail/474-PRT-12791</v>
      </c>
      <c r="T463" s="152">
        <v>0</v>
      </c>
      <c r="U463" s="152">
        <v>1</v>
      </c>
      <c r="V463" s="152">
        <v>0</v>
      </c>
      <c r="W463" s="152">
        <f>MouserListTable[[#This Row],['#/Unit]]*FilterSpecs!$C$3+MouserListTable[[#This Row],[Extra]]</f>
        <v>1</v>
      </c>
      <c r="X463" s="152">
        <f>IF(MouserListTable[[#This Row],[Tag]]=FilterSpecs!$F$7,MouserListTable[[#This Row],['#/Unit]]*MouserListTable[[#This Row],[Price (USD)]],0)</f>
        <v>0</v>
      </c>
      <c r="Y463" s="152">
        <f>MouserListTable[[#This Row],[Tot '#]]*MouserListTable[[#This Row],[Price (USD)]]</f>
        <v>0.95</v>
      </c>
    </row>
    <row r="464" spans="1:25" x14ac:dyDescent="0.25">
      <c r="A464" s="97" t="s">
        <v>890</v>
      </c>
      <c r="B464" s="97" t="s">
        <v>1877</v>
      </c>
      <c r="C464" s="150" t="s">
        <v>5</v>
      </c>
      <c r="D464" s="151" t="str">
        <f>IF(MouserListTable[[#This Row],[Vendor]]=FilterSpecs!$A$8,MouserListTable[[#This Row],[Mouser SKU]], MouserListTable[[#This Row],[Supplier SKU]])</f>
        <v>474-PRT-00116</v>
      </c>
      <c r="E464" s="152">
        <f>MouserListTable[[#This Row],[Tot '#]]-MouserListTable[[#This Row],['# Initial]]</f>
        <v>0</v>
      </c>
      <c r="F464" s="152">
        <f>IF(AND(MouserListTable[[#This Row],[Tag]]&lt;&gt;FilterSpecs!$F$12, MouserListTable[[#This Row],[Tag]]&lt;&gt;FilterSpecs!$F$9), MouserListTable[[#This Row],['#/Unit]]*FilterSpecs!$B$3+MouserListTable[[#This Row],[Extra Initial]],0)</f>
        <v>0</v>
      </c>
      <c r="G464" s="150" t="s">
        <v>749</v>
      </c>
      <c r="H464" s="150" t="s">
        <v>750</v>
      </c>
      <c r="I464" s="150" t="s">
        <v>751</v>
      </c>
      <c r="J464" s="150">
        <v>1</v>
      </c>
      <c r="K464" s="154">
        <v>1.5</v>
      </c>
      <c r="L464" s="150" t="s">
        <v>1896</v>
      </c>
      <c r="M464" s="150"/>
      <c r="N464" s="154">
        <f>MouserListTable[[#This Row],['# Initial]]*MouserListTable[[#This Row],[Price (USD)]]</f>
        <v>0</v>
      </c>
      <c r="O464" s="151" t="s">
        <v>748</v>
      </c>
      <c r="P464" s="150">
        <f t="shared" si="8"/>
        <v>451</v>
      </c>
      <c r="Q464" s="150" t="s">
        <v>5</v>
      </c>
      <c r="R46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474-PRT-00116</v>
      </c>
      <c r="S464" s="157" t="str">
        <f>HYPERLINK("https://www.mouser.com/ProductDetail/" &amp;MouserListTable[[#This Row],[Mouser SKU]])</f>
        <v>https://www.mouser.com/ProductDetail/474-PRT-00116</v>
      </c>
      <c r="T464" s="152">
        <v>0</v>
      </c>
      <c r="U464" s="152">
        <v>0</v>
      </c>
      <c r="V464" s="152">
        <v>0</v>
      </c>
      <c r="W464" s="152">
        <f>MouserListTable[[#This Row],['#/Unit]]*FilterSpecs!$C$3+MouserListTable[[#This Row],[Extra]]</f>
        <v>0</v>
      </c>
      <c r="X464" s="152">
        <f>IF(MouserListTable[[#This Row],[Tag]]=FilterSpecs!$F$7,MouserListTable[[#This Row],['#/Unit]]*MouserListTable[[#This Row],[Price (USD)]],0)</f>
        <v>0</v>
      </c>
      <c r="Y464" s="152">
        <f>MouserListTable[[#This Row],[Tot '#]]*MouserListTable[[#This Row],[Price (USD)]]</f>
        <v>0</v>
      </c>
    </row>
    <row r="465" spans="1:25" x14ac:dyDescent="0.25">
      <c r="A465" s="150" t="s">
        <v>890</v>
      </c>
      <c r="B465" s="150" t="s">
        <v>1877</v>
      </c>
      <c r="C465" s="150" t="s">
        <v>1884</v>
      </c>
      <c r="D465" s="151" t="str">
        <f>IF(MouserListTable[[#This Row],[Vendor]]=FilterSpecs!$A$8,MouserListTable[[#This Row],[Mouser SKU]], MouserListTable[[#This Row],[Supplier SKU]])</f>
        <v>485-392</v>
      </c>
      <c r="E465" s="152">
        <f>MouserListTable[[#This Row],[Tot '#]]-MouserListTable[[#This Row],['# Initial]]</f>
        <v>0</v>
      </c>
      <c r="F465" s="152">
        <f>IF(AND(MouserListTable[[#This Row],[Tag]]&lt;&gt;FilterSpecs!$F$12, MouserListTable[[#This Row],[Tag]]&lt;&gt;FilterSpecs!$F$9), MouserListTable[[#This Row],['#/Unit]]*FilterSpecs!$B$3+MouserListTable[[#This Row],[Extra Initial]],0)</f>
        <v>1</v>
      </c>
      <c r="G465" s="150"/>
      <c r="H465" s="150"/>
      <c r="I465" s="150" t="s">
        <v>2165</v>
      </c>
      <c r="J465" s="153"/>
      <c r="K465" s="154">
        <v>4.95</v>
      </c>
      <c r="L465" s="150" t="s">
        <v>1896</v>
      </c>
      <c r="M465" s="151"/>
      <c r="N465" s="154">
        <f>MouserListTable[[#This Row],['# Initial]]*MouserListTable[[#This Row],[Price (USD)]]</f>
        <v>4.95</v>
      </c>
      <c r="O465" s="151" t="s">
        <v>2164</v>
      </c>
      <c r="P465" s="150">
        <f t="shared" si="8"/>
        <v>452</v>
      </c>
      <c r="Q465" s="150" t="s">
        <v>1884</v>
      </c>
      <c r="R46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485-392</v>
      </c>
      <c r="S465" s="157" t="str">
        <f>HYPERLINK("https://www.mouser.com/ProductDetail/" &amp;MouserListTable[[#This Row],[Mouser SKU]])</f>
        <v>https://www.mouser.com/ProductDetail/485-392</v>
      </c>
      <c r="T465" s="152">
        <v>0</v>
      </c>
      <c r="U465" s="152">
        <v>1</v>
      </c>
      <c r="V465" s="152">
        <v>1</v>
      </c>
      <c r="W465" s="152">
        <f>MouserListTable[[#This Row],['#/Unit]]*FilterSpecs!$C$3+MouserListTable[[#This Row],[Extra]]</f>
        <v>1</v>
      </c>
      <c r="X465" s="152">
        <f>IF(MouserListTable[[#This Row],[Tag]]=FilterSpecs!$F$7,MouserListTable[[#This Row],['#/Unit]]*MouserListTable[[#This Row],[Price (USD)]],0)</f>
        <v>0</v>
      </c>
      <c r="Y465" s="152">
        <f>MouserListTable[[#This Row],[Tot '#]]*MouserListTable[[#This Row],[Price (USD)]]</f>
        <v>4.95</v>
      </c>
    </row>
    <row r="466" spans="1:25" x14ac:dyDescent="0.25">
      <c r="A466" s="150" t="s">
        <v>890</v>
      </c>
      <c r="B466" s="150" t="s">
        <v>1877</v>
      </c>
      <c r="C466" s="150" t="s">
        <v>1884</v>
      </c>
      <c r="D466" s="151" t="str">
        <f>IF(MouserListTable[[#This Row],[Vendor]]=FilterSpecs!$A$8,MouserListTable[[#This Row],[Mouser SKU]], MouserListTable[[#This Row],[Supplier SKU]])</f>
        <v>485-3009</v>
      </c>
      <c r="E466" s="152">
        <f>MouserListTable[[#This Row],[Tot '#]]-MouserListTable[[#This Row],['# Initial]]</f>
        <v>0</v>
      </c>
      <c r="F466" s="152">
        <f>IF(AND(MouserListTable[[#This Row],[Tag]]&lt;&gt;FilterSpecs!$F$12, MouserListTable[[#This Row],[Tag]]&lt;&gt;FilterSpecs!$F$9), MouserListTable[[#This Row],['#/Unit]]*FilterSpecs!$B$3+MouserListTable[[#This Row],[Extra Initial]],0)</f>
        <v>1</v>
      </c>
      <c r="G466" s="150"/>
      <c r="H466" s="150"/>
      <c r="I466" s="150" t="s">
        <v>2157</v>
      </c>
      <c r="J466" s="153"/>
      <c r="K466" s="154">
        <v>4.95</v>
      </c>
      <c r="L466" s="150" t="s">
        <v>1896</v>
      </c>
      <c r="M466" s="151"/>
      <c r="N466" s="154">
        <f>MouserListTable[[#This Row],['# Initial]]*MouserListTable[[#This Row],[Price (USD)]]</f>
        <v>4.95</v>
      </c>
      <c r="O466" s="151" t="s">
        <v>2156</v>
      </c>
      <c r="P466" s="150">
        <f t="shared" si="8"/>
        <v>453</v>
      </c>
      <c r="Q466" s="150" t="s">
        <v>1884</v>
      </c>
      <c r="R46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485-3009</v>
      </c>
      <c r="S466" s="157" t="str">
        <f>HYPERLINK("https://www.mouser.com/ProductDetail/" &amp;MouserListTable[[#This Row],[Mouser SKU]])</f>
        <v>https://www.mouser.com/ProductDetail/485-3009</v>
      </c>
      <c r="T466" s="152">
        <v>0</v>
      </c>
      <c r="U466" s="152">
        <v>1</v>
      </c>
      <c r="V466" s="152">
        <v>1</v>
      </c>
      <c r="W466" s="152">
        <f>MouserListTable[[#This Row],['#/Unit]]*FilterSpecs!$C$3+MouserListTable[[#This Row],[Extra]]</f>
        <v>1</v>
      </c>
      <c r="X466" s="152">
        <f>IF(MouserListTable[[#This Row],[Tag]]=FilterSpecs!$F$7,MouserListTable[[#This Row],['#/Unit]]*MouserListTable[[#This Row],[Price (USD)]],0)</f>
        <v>0</v>
      </c>
      <c r="Y466" s="152">
        <f>MouserListTable[[#This Row],[Tot '#]]*MouserListTable[[#This Row],[Price (USD)]]</f>
        <v>4.95</v>
      </c>
    </row>
    <row r="467" spans="1:25" x14ac:dyDescent="0.25">
      <c r="A467" s="150" t="s">
        <v>890</v>
      </c>
      <c r="B467" s="150" t="s">
        <v>1877</v>
      </c>
      <c r="C467" s="150" t="s">
        <v>5</v>
      </c>
      <c r="D467" s="151" t="str">
        <f>IF(MouserListTable[[#This Row],[Vendor]]=FilterSpecs!$A$8,MouserListTable[[#This Row],[Mouser SKU]], MouserListTable[[#This Row],[Supplier SKU]])</f>
        <v>474-PRT-10158</v>
      </c>
      <c r="E467" s="152">
        <f>MouserListTable[[#This Row],[Tot '#]]-MouserListTable[[#This Row],['# Initial]]</f>
        <v>0</v>
      </c>
      <c r="F467" s="152">
        <f>IF(AND(MouserListTable[[#This Row],[Tag]]&lt;&gt;FilterSpecs!$F$12, MouserListTable[[#This Row],[Tag]]&lt;&gt;FilterSpecs!$F$9), MouserListTable[[#This Row],['#/Unit]]*FilterSpecs!$B$3+MouserListTable[[#This Row],[Extra Initial]],0)</f>
        <v>5</v>
      </c>
      <c r="G467" s="150" t="s">
        <v>483</v>
      </c>
      <c r="H467" s="150" t="s">
        <v>484</v>
      </c>
      <c r="I467" s="150" t="s">
        <v>485</v>
      </c>
      <c r="J467" s="150">
        <v>1</v>
      </c>
      <c r="K467" s="154">
        <v>2.95</v>
      </c>
      <c r="L467" s="150" t="s">
        <v>1897</v>
      </c>
      <c r="M467" s="150"/>
      <c r="N467" s="154">
        <f>MouserListTable[[#This Row],['# Initial]]*MouserListTable[[#This Row],[Price (USD)]]</f>
        <v>14.75</v>
      </c>
      <c r="O467" s="151" t="s">
        <v>482</v>
      </c>
      <c r="P467" s="150">
        <f t="shared" si="8"/>
        <v>454</v>
      </c>
      <c r="Q467" s="150" t="s">
        <v>5</v>
      </c>
      <c r="R46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474-PRT-10158</v>
      </c>
      <c r="S467" s="157" t="str">
        <f>HYPERLINK("https://www.mouser.com/ProductDetail/" &amp;MouserListTable[[#This Row],[Mouser SKU]])</f>
        <v>https://www.mouser.com/ProductDetail/474-PRT-10158</v>
      </c>
      <c r="T467" s="152">
        <v>1</v>
      </c>
      <c r="U467" s="152">
        <v>0</v>
      </c>
      <c r="V467" s="152">
        <v>0</v>
      </c>
      <c r="W467" s="152">
        <f>MouserListTable[[#This Row],['#/Unit]]*FilterSpecs!$C$3+MouserListTable[[#This Row],[Extra]]</f>
        <v>5</v>
      </c>
      <c r="X467" s="152">
        <f>IF(MouserListTable[[#This Row],[Tag]]=FilterSpecs!$F$7,MouserListTable[[#This Row],['#/Unit]]*MouserListTable[[#This Row],[Price (USD)]],0)</f>
        <v>2.95</v>
      </c>
      <c r="Y467" s="152">
        <f>MouserListTable[[#This Row],[Tot '#]]*MouserListTable[[#This Row],[Price (USD)]]</f>
        <v>14.75</v>
      </c>
    </row>
    <row r="468" spans="1:25" x14ac:dyDescent="0.25">
      <c r="A468" s="150" t="s">
        <v>890</v>
      </c>
      <c r="B468" s="150" t="s">
        <v>1877</v>
      </c>
      <c r="C468" s="150" t="s">
        <v>5</v>
      </c>
      <c r="D468" s="151" t="str">
        <f>IF(MouserListTable[[#This Row],[Vendor]]=FilterSpecs!$A$8,MouserListTable[[#This Row],[Mouser SKU]], MouserListTable[[#This Row],[Supplier SKU]])</f>
        <v>474-PRT-12693</v>
      </c>
      <c r="E468" s="152">
        <f>MouserListTable[[#This Row],[Tot '#]]-MouserListTable[[#This Row],['# Initial]]</f>
        <v>0</v>
      </c>
      <c r="F468" s="152">
        <f>IF(AND(MouserListTable[[#This Row],[Tag]]&lt;&gt;FilterSpecs!$F$12, MouserListTable[[#This Row],[Tag]]&lt;&gt;FilterSpecs!$F$9), MouserListTable[[#This Row],['#/Unit]]*FilterSpecs!$B$3+MouserListTable[[#This Row],[Extra Initial]],0)</f>
        <v>5</v>
      </c>
      <c r="G468" s="150" t="s">
        <v>467</v>
      </c>
      <c r="H468" s="150" t="s">
        <v>468</v>
      </c>
      <c r="I468" s="150" t="s">
        <v>469</v>
      </c>
      <c r="J468" s="150">
        <v>1</v>
      </c>
      <c r="K468" s="154">
        <v>0.75</v>
      </c>
      <c r="L468" s="150" t="s">
        <v>1897</v>
      </c>
      <c r="M468" s="150"/>
      <c r="N468" s="154">
        <f>MouserListTable[[#This Row],['# Initial]]*MouserListTable[[#This Row],[Price (USD)]]</f>
        <v>3.75</v>
      </c>
      <c r="O468" s="151" t="s">
        <v>466</v>
      </c>
      <c r="P468" s="150">
        <f t="shared" si="8"/>
        <v>455</v>
      </c>
      <c r="Q468" s="150" t="s">
        <v>5</v>
      </c>
      <c r="R46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474-PRT-12693</v>
      </c>
      <c r="S468" s="157" t="str">
        <f>HYPERLINK("https://www.mouser.com/ProductDetail/" &amp;MouserListTable[[#This Row],[Mouser SKU]])</f>
        <v>https://www.mouser.com/ProductDetail/474-PRT-12693</v>
      </c>
      <c r="T468" s="152">
        <v>1</v>
      </c>
      <c r="U468" s="152">
        <v>0</v>
      </c>
      <c r="V468" s="152">
        <v>0</v>
      </c>
      <c r="W468" s="152">
        <f>MouserListTable[[#This Row],['#/Unit]]*FilterSpecs!$C$3+MouserListTable[[#This Row],[Extra]]</f>
        <v>5</v>
      </c>
      <c r="X468" s="152">
        <f>IF(MouserListTable[[#This Row],[Tag]]=FilterSpecs!$F$7,MouserListTable[[#This Row],['#/Unit]]*MouserListTable[[#This Row],[Price (USD)]],0)</f>
        <v>0.75</v>
      </c>
      <c r="Y468" s="152">
        <f>MouserListTable[[#This Row],[Tot '#]]*MouserListTable[[#This Row],[Price (USD)]]</f>
        <v>3.75</v>
      </c>
    </row>
    <row r="469" spans="1:25" x14ac:dyDescent="0.25">
      <c r="A469" s="98" t="s">
        <v>890</v>
      </c>
      <c r="B469" s="98" t="s">
        <v>1877</v>
      </c>
      <c r="C469" s="150" t="s">
        <v>1884</v>
      </c>
      <c r="D469" s="151" t="str">
        <f>IF(MouserListTable[[#This Row],[Vendor]]=FilterSpecs!$A$8,MouserListTable[[#This Row],[Mouser SKU]], MouserListTable[[#This Row],[Supplier SKU]])</f>
        <v>485-400</v>
      </c>
      <c r="E469" s="152">
        <f>MouserListTable[[#This Row],[Tot '#]]-MouserListTable[[#This Row],['# Initial]]</f>
        <v>0</v>
      </c>
      <c r="F469" s="152">
        <f>IF(AND(MouserListTable[[#This Row],[Tag]]&lt;&gt;FilterSpecs!$F$12, MouserListTable[[#This Row],[Tag]]&lt;&gt;FilterSpecs!$F$9), MouserListTable[[#This Row],['#/Unit]]*FilterSpecs!$B$3+MouserListTable[[#This Row],[Extra Initial]],0)</f>
        <v>1</v>
      </c>
      <c r="G469" s="150"/>
      <c r="H469" s="150"/>
      <c r="I469" s="150" t="s">
        <v>2456</v>
      </c>
      <c r="J469" s="113">
        <v>117</v>
      </c>
      <c r="K469" s="119">
        <v>3</v>
      </c>
      <c r="L469" s="97" t="s">
        <v>1896</v>
      </c>
      <c r="M469" s="153"/>
      <c r="N469" s="154">
        <f>MouserListTable[[#This Row],['# Initial]]*MouserListTable[[#This Row],[Price (USD)]]</f>
        <v>3</v>
      </c>
      <c r="O469" s="113" t="s">
        <v>2457</v>
      </c>
      <c r="P469" s="150">
        <f t="shared" si="8"/>
        <v>456</v>
      </c>
      <c r="Q469" s="150" t="s">
        <v>1884</v>
      </c>
      <c r="R46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485-400</v>
      </c>
      <c r="S469" s="157" t="str">
        <f>HYPERLINK("https://www.mouser.com/ProductDetail/" &amp;MouserListTable[[#This Row],[Mouser SKU]])</f>
        <v>https://www.mouser.com/ProductDetail/485-400</v>
      </c>
      <c r="T469" s="152">
        <v>0</v>
      </c>
      <c r="U469" s="152">
        <v>1</v>
      </c>
      <c r="V469" s="152">
        <v>1</v>
      </c>
      <c r="W469" s="152">
        <f>MouserListTable[[#This Row],['#/Unit]]*FilterSpecs!$C$3+MouserListTable[[#This Row],[Extra]]</f>
        <v>1</v>
      </c>
      <c r="X469" s="152">
        <f>IF(MouserListTable[[#This Row],[Tag]]=FilterSpecs!$F$7,MouserListTable[[#This Row],['#/Unit]]*MouserListTable[[#This Row],[Price (USD)]],0)</f>
        <v>0</v>
      </c>
      <c r="Y469" s="152">
        <f>MouserListTable[[#This Row],[Tot '#]]*MouserListTable[[#This Row],[Price (USD)]]</f>
        <v>3</v>
      </c>
    </row>
    <row r="470" spans="1:25" x14ac:dyDescent="0.25">
      <c r="A470" s="97" t="s">
        <v>890</v>
      </c>
      <c r="B470" s="97" t="s">
        <v>1877</v>
      </c>
      <c r="C470" s="150" t="s">
        <v>5</v>
      </c>
      <c r="D470" s="151" t="str">
        <f>IF(MouserListTable[[#This Row],[Vendor]]=FilterSpecs!$A$8,MouserListTable[[#This Row],[Mouser SKU]], MouserListTable[[#This Row],[Supplier SKU]])</f>
        <v>474-PRT-00553</v>
      </c>
      <c r="E470" s="152">
        <f>MouserListTable[[#This Row],[Tot '#]]-MouserListTable[[#This Row],['# Initial]]</f>
        <v>0</v>
      </c>
      <c r="F470" s="152">
        <f>IF(AND(MouserListTable[[#This Row],[Tag]]&lt;&gt;FilterSpecs!$F$12, MouserListTable[[#This Row],[Tag]]&lt;&gt;FilterSpecs!$F$9), MouserListTable[[#This Row],['#/Unit]]*FilterSpecs!$B$3+MouserListTable[[#This Row],[Extra Initial]],0)</f>
        <v>0</v>
      </c>
      <c r="G470" s="150" t="s">
        <v>753</v>
      </c>
      <c r="H470" s="150" t="s">
        <v>754</v>
      </c>
      <c r="I470" s="150" t="s">
        <v>755</v>
      </c>
      <c r="J470" s="150">
        <v>1</v>
      </c>
      <c r="K470" s="154">
        <v>1.95</v>
      </c>
      <c r="L470" s="150" t="s">
        <v>1896</v>
      </c>
      <c r="M470" s="150"/>
      <c r="N470" s="154">
        <f>MouserListTable[[#This Row],['# Initial]]*MouserListTable[[#This Row],[Price (USD)]]</f>
        <v>0</v>
      </c>
      <c r="O470" s="151" t="s">
        <v>752</v>
      </c>
      <c r="P470" s="150">
        <f t="shared" si="8"/>
        <v>457</v>
      </c>
      <c r="Q470" s="150" t="s">
        <v>5</v>
      </c>
      <c r="R47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474-PRT-00553</v>
      </c>
      <c r="S470" s="157" t="str">
        <f>HYPERLINK("https://www.mouser.com/ProductDetail/" &amp;MouserListTable[[#This Row],[Mouser SKU]])</f>
        <v>https://www.mouser.com/ProductDetail/474-PRT-00553</v>
      </c>
      <c r="T470" s="152">
        <v>0</v>
      </c>
      <c r="U470" s="152">
        <v>0</v>
      </c>
      <c r="V470" s="152">
        <v>0</v>
      </c>
      <c r="W470" s="152">
        <f>MouserListTable[[#This Row],['#/Unit]]*FilterSpecs!$C$3+MouserListTable[[#This Row],[Extra]]</f>
        <v>0</v>
      </c>
      <c r="X470" s="152">
        <f>IF(MouserListTable[[#This Row],[Tag]]=FilterSpecs!$F$7,MouserListTable[[#This Row],['#/Unit]]*MouserListTable[[#This Row],[Price (USD)]],0)</f>
        <v>0</v>
      </c>
      <c r="Y470" s="152">
        <f>MouserListTable[[#This Row],[Tot '#]]*MouserListTable[[#This Row],[Price (USD)]]</f>
        <v>0</v>
      </c>
    </row>
    <row r="471" spans="1:25" x14ac:dyDescent="0.25">
      <c r="A471" s="150" t="s">
        <v>890</v>
      </c>
      <c r="B471" s="150" t="s">
        <v>1877</v>
      </c>
      <c r="C471" s="150" t="s">
        <v>1884</v>
      </c>
      <c r="D471" s="151" t="str">
        <f>IF(MouserListTable[[#This Row],[Vendor]]=FilterSpecs!$A$8,MouserListTable[[#This Row],[Mouser SKU]], MouserListTable[[#This Row],[Supplier SKU]])</f>
        <v>485-1540</v>
      </c>
      <c r="E471" s="152">
        <f>MouserListTable[[#This Row],[Tot '#]]-MouserListTable[[#This Row],['# Initial]]</f>
        <v>1</v>
      </c>
      <c r="F471" s="152">
        <f>IF(AND(MouserListTable[[#This Row],[Tag]]&lt;&gt;FilterSpecs!$F$12, MouserListTable[[#This Row],[Tag]]&lt;&gt;FilterSpecs!$F$9), MouserListTable[[#This Row],['#/Unit]]*FilterSpecs!$B$3+MouserListTable[[#This Row],[Extra Initial]],0)</f>
        <v>0</v>
      </c>
      <c r="G471" s="150"/>
      <c r="H471" s="150"/>
      <c r="I471" s="150" t="s">
        <v>2167</v>
      </c>
      <c r="J471" s="153"/>
      <c r="K471" s="118">
        <v>5.95</v>
      </c>
      <c r="L471" s="97" t="s">
        <v>2461</v>
      </c>
      <c r="M471" s="153"/>
      <c r="N471" s="154">
        <f>MouserListTable[[#This Row],['# Initial]]*MouserListTable[[#This Row],[Price (USD)]]</f>
        <v>0</v>
      </c>
      <c r="O471" s="151" t="s">
        <v>2166</v>
      </c>
      <c r="P471" s="150">
        <f t="shared" si="8"/>
        <v>458</v>
      </c>
      <c r="Q471" s="150" t="s">
        <v>1884</v>
      </c>
      <c r="R47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485-1540</v>
      </c>
      <c r="S471" s="157" t="str">
        <f>HYPERLINK("https://www.mouser.com/ProductDetail/" &amp;MouserListTable[[#This Row],[Mouser SKU]])</f>
        <v>https://www.mouser.com/ProductDetail/485-1540</v>
      </c>
      <c r="T471" s="152">
        <v>0</v>
      </c>
      <c r="U471" s="152">
        <v>1</v>
      </c>
      <c r="V471" s="152">
        <v>1</v>
      </c>
      <c r="W471" s="152">
        <f>MouserListTable[[#This Row],['#/Unit]]*FilterSpecs!$C$3+MouserListTable[[#This Row],[Extra]]</f>
        <v>1</v>
      </c>
      <c r="X471" s="152">
        <f>IF(MouserListTable[[#This Row],[Tag]]=FilterSpecs!$F$7,MouserListTable[[#This Row],['#/Unit]]*MouserListTable[[#This Row],[Price (USD)]],0)</f>
        <v>0</v>
      </c>
      <c r="Y471" s="152">
        <f>MouserListTable[[#This Row],[Tot '#]]*MouserListTable[[#This Row],[Price (USD)]]</f>
        <v>5.95</v>
      </c>
    </row>
    <row r="472" spans="1:25" x14ac:dyDescent="0.25">
      <c r="A472" s="150" t="s">
        <v>890</v>
      </c>
      <c r="B472" s="150" t="s">
        <v>1877</v>
      </c>
      <c r="C472" s="150" t="s">
        <v>1884</v>
      </c>
      <c r="D472" s="151" t="str">
        <f>IF(MouserListTable[[#This Row],[Vendor]]=FilterSpecs!$A$8,MouserListTable[[#This Row],[Mouser SKU]], MouserListTable[[#This Row],[Supplier SKU]])</f>
        <v>485-2822</v>
      </c>
      <c r="E472" s="152">
        <f>MouserListTable[[#This Row],[Tot '#]]-MouserListTable[[#This Row],['# Initial]]</f>
        <v>0</v>
      </c>
      <c r="F472" s="152">
        <f>IF(AND(MouserListTable[[#This Row],[Tag]]&lt;&gt;FilterSpecs!$F$12, MouserListTable[[#This Row],[Tag]]&lt;&gt;FilterSpecs!$F$9), MouserListTable[[#This Row],['#/Unit]]*FilterSpecs!$B$3+MouserListTable[[#This Row],[Extra Initial]],0)</f>
        <v>0</v>
      </c>
      <c r="G472" s="150"/>
      <c r="H472" s="150"/>
      <c r="I472" s="150" t="s">
        <v>2159</v>
      </c>
      <c r="J472" s="153"/>
      <c r="K472" s="118">
        <v>0.95</v>
      </c>
      <c r="L472" s="97" t="s">
        <v>1896</v>
      </c>
      <c r="M472" s="153"/>
      <c r="N472" s="154">
        <f>MouserListTable[[#This Row],['# Initial]]*MouserListTable[[#This Row],[Price (USD)]]</f>
        <v>0</v>
      </c>
      <c r="O472" s="151" t="s">
        <v>2158</v>
      </c>
      <c r="P472" s="150">
        <f t="shared" si="8"/>
        <v>459</v>
      </c>
      <c r="Q472" s="150" t="s">
        <v>1884</v>
      </c>
      <c r="R47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485-2822</v>
      </c>
      <c r="S472" s="157" t="str">
        <f>HYPERLINK("https://www.mouser.com/ProductDetail/" &amp;MouserListTable[[#This Row],[Mouser SKU]])</f>
        <v>https://www.mouser.com/ProductDetail/485-2822</v>
      </c>
      <c r="T472" s="152">
        <v>0</v>
      </c>
      <c r="U472" s="152">
        <v>0</v>
      </c>
      <c r="V472" s="152">
        <v>0</v>
      </c>
      <c r="W472" s="152">
        <f>MouserListTable[[#This Row],['#/Unit]]*FilterSpecs!$C$3+MouserListTable[[#This Row],[Extra]]</f>
        <v>0</v>
      </c>
      <c r="X472" s="152">
        <f>IF(MouserListTable[[#This Row],[Tag]]=FilterSpecs!$F$7,MouserListTable[[#This Row],['#/Unit]]*MouserListTable[[#This Row],[Price (USD)]],0)</f>
        <v>0</v>
      </c>
      <c r="Y472" s="152">
        <f>MouserListTable[[#This Row],[Tot '#]]*MouserListTable[[#This Row],[Price (USD)]]</f>
        <v>0</v>
      </c>
    </row>
    <row r="473" spans="1:25" x14ac:dyDescent="0.25">
      <c r="A473" s="150" t="s">
        <v>890</v>
      </c>
      <c r="B473" s="150" t="s">
        <v>1877</v>
      </c>
      <c r="C473" s="150" t="s">
        <v>1884</v>
      </c>
      <c r="D473" s="151" t="str">
        <f>IF(MouserListTable[[#This Row],[Vendor]]=FilterSpecs!$A$8,MouserListTable[[#This Row],[Mouser SKU]], MouserListTable[[#This Row],[Supplier SKU]])</f>
        <v>485-1539</v>
      </c>
      <c r="E473" s="152">
        <f>MouserListTable[[#This Row],[Tot '#]]-MouserListTable[[#This Row],['# Initial]]</f>
        <v>0</v>
      </c>
      <c r="F473" s="152">
        <f>IF(AND(MouserListTable[[#This Row],[Tag]]&lt;&gt;FilterSpecs!$F$12, MouserListTable[[#This Row],[Tag]]&lt;&gt;FilterSpecs!$F$9), MouserListTable[[#This Row],['#/Unit]]*FilterSpecs!$B$3+MouserListTable[[#This Row],[Extra Initial]],0)</f>
        <v>1</v>
      </c>
      <c r="G473" s="150"/>
      <c r="H473" s="150"/>
      <c r="I473" s="150" t="s">
        <v>2161</v>
      </c>
      <c r="J473" s="153"/>
      <c r="K473" s="154">
        <v>7.5</v>
      </c>
      <c r="L473" s="150" t="s">
        <v>1896</v>
      </c>
      <c r="M473" s="151"/>
      <c r="N473" s="154">
        <f>MouserListTable[[#This Row],['# Initial]]*MouserListTable[[#This Row],[Price (USD)]]</f>
        <v>7.5</v>
      </c>
      <c r="O473" s="151" t="s">
        <v>2160</v>
      </c>
      <c r="P473" s="150">
        <f t="shared" si="8"/>
        <v>460</v>
      </c>
      <c r="Q473" s="150" t="s">
        <v>1884</v>
      </c>
      <c r="R47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485-1539</v>
      </c>
      <c r="S473" s="157" t="str">
        <f>HYPERLINK("https://www.mouser.com/ProductDetail/" &amp;MouserListTable[[#This Row],[Mouser SKU]])</f>
        <v>https://www.mouser.com/ProductDetail/485-1539</v>
      </c>
      <c r="T473" s="152">
        <v>0</v>
      </c>
      <c r="U473" s="152">
        <v>1</v>
      </c>
      <c r="V473" s="152">
        <v>1</v>
      </c>
      <c r="W473" s="152">
        <f>MouserListTable[[#This Row],['#/Unit]]*FilterSpecs!$C$3+MouserListTable[[#This Row],[Extra]]</f>
        <v>1</v>
      </c>
      <c r="X473" s="152">
        <f>IF(MouserListTable[[#This Row],[Tag]]=FilterSpecs!$F$7,MouserListTable[[#This Row],['#/Unit]]*MouserListTable[[#This Row],[Price (USD)]],0)</f>
        <v>0</v>
      </c>
      <c r="Y473" s="152">
        <f>MouserListTable[[#This Row],[Tot '#]]*MouserListTable[[#This Row],[Price (USD)]]</f>
        <v>7.5</v>
      </c>
    </row>
    <row r="474" spans="1:25" x14ac:dyDescent="0.25">
      <c r="A474" s="150" t="s">
        <v>890</v>
      </c>
      <c r="B474" s="150" t="s">
        <v>1877</v>
      </c>
      <c r="C474" s="150" t="s">
        <v>1884</v>
      </c>
      <c r="D474" s="151" t="str">
        <f>IF(MouserListTable[[#This Row],[Vendor]]=FilterSpecs!$A$8,MouserListTable[[#This Row],[Mouser SKU]], MouserListTable[[#This Row],[Supplier SKU]])</f>
        <v>485-1541</v>
      </c>
      <c r="E474" s="152">
        <f>MouserListTable[[#This Row],[Tot '#]]-MouserListTable[[#This Row],['# Initial]]</f>
        <v>0</v>
      </c>
      <c r="F474" s="152">
        <f>IF(AND(MouserListTable[[#This Row],[Tag]]&lt;&gt;FilterSpecs!$F$12, MouserListTable[[#This Row],[Tag]]&lt;&gt;FilterSpecs!$F$9), MouserListTable[[#This Row],['#/Unit]]*FilterSpecs!$B$3+MouserListTable[[#This Row],[Extra Initial]],0)</f>
        <v>1</v>
      </c>
      <c r="G474" s="150"/>
      <c r="H474" s="150"/>
      <c r="I474" s="150" t="s">
        <v>2163</v>
      </c>
      <c r="J474" s="153"/>
      <c r="K474" s="154">
        <v>5.95</v>
      </c>
      <c r="L474" s="150" t="s">
        <v>1896</v>
      </c>
      <c r="M474" s="151"/>
      <c r="N474" s="154">
        <f>MouserListTable[[#This Row],['# Initial]]*MouserListTable[[#This Row],[Price (USD)]]</f>
        <v>5.95</v>
      </c>
      <c r="O474" s="151" t="s">
        <v>2162</v>
      </c>
      <c r="P474" s="150">
        <f t="shared" si="8"/>
        <v>461</v>
      </c>
      <c r="Q474" s="150" t="s">
        <v>1884</v>
      </c>
      <c r="R47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485-1541</v>
      </c>
      <c r="S474" s="157" t="str">
        <f>HYPERLINK("https://www.mouser.com/ProductDetail/" &amp;MouserListTable[[#This Row],[Mouser SKU]])</f>
        <v>https://www.mouser.com/ProductDetail/485-1541</v>
      </c>
      <c r="T474" s="152">
        <v>0</v>
      </c>
      <c r="U474" s="152">
        <v>1</v>
      </c>
      <c r="V474" s="152">
        <v>1</v>
      </c>
      <c r="W474" s="152">
        <f>MouserListTable[[#This Row],['#/Unit]]*FilterSpecs!$C$3+MouserListTable[[#This Row],[Extra]]</f>
        <v>1</v>
      </c>
      <c r="X474" s="152">
        <f>IF(MouserListTable[[#This Row],[Tag]]=FilterSpecs!$F$7,MouserListTable[[#This Row],['#/Unit]]*MouserListTable[[#This Row],[Price (USD)]],0)</f>
        <v>0</v>
      </c>
      <c r="Y474" s="152">
        <f>MouserListTable[[#This Row],[Tot '#]]*MouserListTable[[#This Row],[Price (USD)]]</f>
        <v>5.95</v>
      </c>
    </row>
    <row r="475" spans="1:25" x14ac:dyDescent="0.25">
      <c r="A475" s="97" t="s">
        <v>890</v>
      </c>
      <c r="B475" s="97" t="s">
        <v>1877</v>
      </c>
      <c r="C475" s="150" t="s">
        <v>5</v>
      </c>
      <c r="D475" s="151" t="str">
        <f>IF(MouserListTable[[#This Row],[Vendor]]=FilterSpecs!$A$8,MouserListTable[[#This Row],[Mouser SKU]], MouserListTable[[#This Row],[Supplier SKU]])</f>
        <v>474-COM-12792</v>
      </c>
      <c r="E475" s="152">
        <f>MouserListTable[[#This Row],[Tot '#]]-MouserListTable[[#This Row],['# Initial]]</f>
        <v>0</v>
      </c>
      <c r="F475" s="152">
        <f>IF(AND(MouserListTable[[#This Row],[Tag]]&lt;&gt;FilterSpecs!$F$12, MouserListTable[[#This Row],[Tag]]&lt;&gt;FilterSpecs!$F$9), MouserListTable[[#This Row],['#/Unit]]*FilterSpecs!$B$3+MouserListTable[[#This Row],[Extra Initial]],0)</f>
        <v>0</v>
      </c>
      <c r="G475" s="150" t="s">
        <v>757</v>
      </c>
      <c r="H475" s="150" t="s">
        <v>758</v>
      </c>
      <c r="I475" s="150" t="s">
        <v>759</v>
      </c>
      <c r="J475" s="150">
        <v>1</v>
      </c>
      <c r="K475" s="154">
        <v>1.95</v>
      </c>
      <c r="L475" s="150" t="s">
        <v>1896</v>
      </c>
      <c r="M475" s="150"/>
      <c r="N475" s="154">
        <f>MouserListTable[[#This Row],['# Initial]]*MouserListTable[[#This Row],[Price (USD)]]</f>
        <v>0</v>
      </c>
      <c r="O475" s="151" t="s">
        <v>756</v>
      </c>
      <c r="P475" s="150">
        <f t="shared" si="8"/>
        <v>462</v>
      </c>
      <c r="Q475" s="150" t="s">
        <v>5</v>
      </c>
      <c r="R47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474-COM-12792</v>
      </c>
      <c r="S475" s="157" t="str">
        <f>HYPERLINK("https://www.mouser.com/ProductDetail/" &amp;MouserListTable[[#This Row],[Mouser SKU]])</f>
        <v>https://www.mouser.com/ProductDetail/474-COM-12792</v>
      </c>
      <c r="T475" s="152">
        <v>0</v>
      </c>
      <c r="U475" s="152">
        <v>0</v>
      </c>
      <c r="V475" s="152">
        <v>0</v>
      </c>
      <c r="W475" s="152">
        <f>MouserListTable[[#This Row],['#/Unit]]*FilterSpecs!$C$3+MouserListTable[[#This Row],[Extra]]</f>
        <v>0</v>
      </c>
      <c r="X475" s="152">
        <f>IF(MouserListTable[[#This Row],[Tag]]=FilterSpecs!$F$7,MouserListTable[[#This Row],['#/Unit]]*MouserListTable[[#This Row],[Price (USD)]],0)</f>
        <v>0</v>
      </c>
      <c r="Y475" s="152">
        <f>MouserListTable[[#This Row],[Tot '#]]*MouserListTable[[#This Row],[Price (USD)]]</f>
        <v>0</v>
      </c>
    </row>
    <row r="476" spans="1:25" x14ac:dyDescent="0.25">
      <c r="A476" s="97" t="s">
        <v>890</v>
      </c>
      <c r="B476" s="97" t="s">
        <v>1877</v>
      </c>
      <c r="C476" s="150" t="s">
        <v>5</v>
      </c>
      <c r="D476" s="151" t="str">
        <f>IF(MouserListTable[[#This Row],[Vendor]]=FilterSpecs!$A$8,MouserListTable[[#This Row],[Mouser SKU]], MouserListTable[[#This Row],[Supplier SKU]])</f>
        <v>474-COM-10095</v>
      </c>
      <c r="E476" s="152">
        <f>MouserListTable[[#This Row],[Tot '#]]-MouserListTable[[#This Row],['# Initial]]</f>
        <v>0</v>
      </c>
      <c r="F476" s="152">
        <f>IF(AND(MouserListTable[[#This Row],[Tag]]&lt;&gt;FilterSpecs!$F$12, MouserListTable[[#This Row],[Tag]]&lt;&gt;FilterSpecs!$F$9), MouserListTable[[#This Row],['#/Unit]]*FilterSpecs!$B$3+MouserListTable[[#This Row],[Extra Initial]],0)</f>
        <v>0</v>
      </c>
      <c r="G476" s="150" t="s">
        <v>1292</v>
      </c>
      <c r="H476" s="150" t="s">
        <v>1293</v>
      </c>
      <c r="I476" s="150" t="s">
        <v>1294</v>
      </c>
      <c r="J476" s="150">
        <v>1</v>
      </c>
      <c r="K476" s="154">
        <v>4.95</v>
      </c>
      <c r="L476" s="150" t="s">
        <v>1896</v>
      </c>
      <c r="M476" s="150"/>
      <c r="N476" s="154">
        <f>MouserListTable[[#This Row],['# Initial]]*MouserListTable[[#This Row],[Price (USD)]]</f>
        <v>0</v>
      </c>
      <c r="O476" s="151" t="s">
        <v>1291</v>
      </c>
      <c r="P476" s="150">
        <f t="shared" si="8"/>
        <v>463</v>
      </c>
      <c r="Q476" s="150" t="s">
        <v>5</v>
      </c>
      <c r="R47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474-COM-10095</v>
      </c>
      <c r="S476" s="157" t="str">
        <f>HYPERLINK("https://www.mouser.com/ProductDetail/" &amp;MouserListTable[[#This Row],[Mouser SKU]])</f>
        <v>https://www.mouser.com/ProductDetail/474-COM-10095</v>
      </c>
      <c r="T476" s="152">
        <v>0</v>
      </c>
      <c r="U476" s="152">
        <v>0</v>
      </c>
      <c r="V476" s="152">
        <v>0</v>
      </c>
      <c r="W476" s="152">
        <f>MouserListTable[[#This Row],['#/Unit]]*FilterSpecs!$C$3+MouserListTable[[#This Row],[Extra]]</f>
        <v>0</v>
      </c>
      <c r="X476" s="152">
        <f>IF(MouserListTable[[#This Row],[Tag]]=FilterSpecs!$F$7,MouserListTable[[#This Row],['#/Unit]]*MouserListTable[[#This Row],[Price (USD)]],0)</f>
        <v>0</v>
      </c>
      <c r="Y476" s="152">
        <f>MouserListTable[[#This Row],[Tot '#]]*MouserListTable[[#This Row],[Price (USD)]]</f>
        <v>0</v>
      </c>
    </row>
    <row r="477" spans="1:25" x14ac:dyDescent="0.25">
      <c r="A477" s="97" t="s">
        <v>890</v>
      </c>
      <c r="B477" s="97" t="s">
        <v>1877</v>
      </c>
      <c r="C477" s="150" t="s">
        <v>5</v>
      </c>
      <c r="D477" s="151" t="str">
        <f>IF(MouserListTable[[#This Row],[Vendor]]=FilterSpecs!$A$8,MouserListTable[[#This Row],[Mouser SKU]], MouserListTable[[#This Row],[Supplier SKU]])</f>
        <v>474-PRT-10112</v>
      </c>
      <c r="E477" s="152">
        <f>MouserListTable[[#This Row],[Tot '#]]-MouserListTable[[#This Row],['# Initial]]</f>
        <v>0</v>
      </c>
      <c r="F477" s="152">
        <f>IF(AND(MouserListTable[[#This Row],[Tag]]&lt;&gt;FilterSpecs!$F$12, MouserListTable[[#This Row],[Tag]]&lt;&gt;FilterSpecs!$F$9), MouserListTable[[#This Row],['#/Unit]]*FilterSpecs!$B$3+MouserListTable[[#This Row],[Extra Initial]],0)</f>
        <v>0</v>
      </c>
      <c r="G477" s="150" t="s">
        <v>777</v>
      </c>
      <c r="H477" s="150" t="s">
        <v>778</v>
      </c>
      <c r="I477" s="150" t="s">
        <v>779</v>
      </c>
      <c r="J477" s="150">
        <v>1</v>
      </c>
      <c r="K477" s="154">
        <v>0.95</v>
      </c>
      <c r="L477" s="150" t="s">
        <v>1896</v>
      </c>
      <c r="M477" s="150"/>
      <c r="N477" s="154">
        <f>MouserListTable[[#This Row],['# Initial]]*MouserListTable[[#This Row],[Price (USD)]]</f>
        <v>0</v>
      </c>
      <c r="O477" s="151" t="s">
        <v>776</v>
      </c>
      <c r="P477" s="150">
        <f t="shared" si="8"/>
        <v>464</v>
      </c>
      <c r="Q477" s="150" t="s">
        <v>5</v>
      </c>
      <c r="R47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474-PRT-10112</v>
      </c>
      <c r="S477" s="157" t="str">
        <f>HYPERLINK("https://www.mouser.com/ProductDetail/" &amp;MouserListTable[[#This Row],[Mouser SKU]])</f>
        <v>https://www.mouser.com/ProductDetail/474-PRT-10112</v>
      </c>
      <c r="T477" s="152">
        <v>0</v>
      </c>
      <c r="U477" s="152">
        <v>0</v>
      </c>
      <c r="V477" s="152">
        <v>0</v>
      </c>
      <c r="W477" s="152">
        <f>MouserListTable[[#This Row],['#/Unit]]*FilterSpecs!$C$3+MouserListTable[[#This Row],[Extra]]</f>
        <v>0</v>
      </c>
      <c r="X477" s="152">
        <f>IF(MouserListTable[[#This Row],[Tag]]=FilterSpecs!$F$7,MouserListTable[[#This Row],['#/Unit]]*MouserListTable[[#This Row],[Price (USD)]],0)</f>
        <v>0</v>
      </c>
      <c r="Y477" s="152">
        <f>MouserListTable[[#This Row],[Tot '#]]*MouserListTable[[#This Row],[Price (USD)]]</f>
        <v>0</v>
      </c>
    </row>
    <row r="478" spans="1:25" x14ac:dyDescent="0.25">
      <c r="A478" s="150" t="s">
        <v>890</v>
      </c>
      <c r="B478" s="150" t="s">
        <v>1877</v>
      </c>
      <c r="C478" s="150" t="s">
        <v>1884</v>
      </c>
      <c r="D478" s="151" t="str">
        <f>IF(MouserListTable[[#This Row],[Vendor]]=FilterSpecs!$A$8,MouserListTable[[#This Row],[Mouser SKU]], MouserListTable[[#This Row],[Supplier SKU]])</f>
        <v>485-2671</v>
      </c>
      <c r="E478" s="152">
        <f>MouserListTable[[#This Row],[Tot '#]]-MouserListTable[[#This Row],['# Initial]]</f>
        <v>0</v>
      </c>
      <c r="F478" s="152">
        <f>IF(AND(MouserListTable[[#This Row],[Tag]]&lt;&gt;FilterSpecs!$F$12, MouserListTable[[#This Row],[Tag]]&lt;&gt;FilterSpecs!$F$9), MouserListTable[[#This Row],['#/Unit]]*FilterSpecs!$B$3+MouserListTable[[#This Row],[Extra Initial]],0)</f>
        <v>1</v>
      </c>
      <c r="G478" s="150"/>
      <c r="H478" s="150"/>
      <c r="I478" s="150" t="s">
        <v>2155</v>
      </c>
      <c r="J478" s="153"/>
      <c r="K478" s="154">
        <v>2.95</v>
      </c>
      <c r="L478" s="150" t="s">
        <v>1896</v>
      </c>
      <c r="M478" s="151"/>
      <c r="N478" s="154">
        <f>MouserListTable[[#This Row],['# Initial]]*MouserListTable[[#This Row],[Price (USD)]]</f>
        <v>2.95</v>
      </c>
      <c r="O478" s="151" t="s">
        <v>2154</v>
      </c>
      <c r="P478" s="150">
        <f t="shared" si="8"/>
        <v>465</v>
      </c>
      <c r="Q478" s="150" t="s">
        <v>1884</v>
      </c>
      <c r="R47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485-2671</v>
      </c>
      <c r="S478" s="157" t="str">
        <f>HYPERLINK("https://www.mouser.com/ProductDetail/" &amp;MouserListTable[[#This Row],[Mouser SKU]])</f>
        <v>https://www.mouser.com/ProductDetail/485-2671</v>
      </c>
      <c r="T478" s="152">
        <v>0</v>
      </c>
      <c r="U478" s="152">
        <v>1</v>
      </c>
      <c r="V478" s="152">
        <v>1</v>
      </c>
      <c r="W478" s="152">
        <f>MouserListTable[[#This Row],['#/Unit]]*FilterSpecs!$C$3+MouserListTable[[#This Row],[Extra]]</f>
        <v>1</v>
      </c>
      <c r="X478" s="152">
        <f>IF(MouserListTable[[#This Row],[Tag]]=FilterSpecs!$F$7,MouserListTable[[#This Row],['#/Unit]]*MouserListTable[[#This Row],[Price (USD)]],0)</f>
        <v>0</v>
      </c>
      <c r="Y478" s="152">
        <f>MouserListTable[[#This Row],[Tot '#]]*MouserListTable[[#This Row],[Price (USD)]]</f>
        <v>2.95</v>
      </c>
    </row>
    <row r="479" spans="1:25" x14ac:dyDescent="0.25">
      <c r="A479" s="150" t="s">
        <v>890</v>
      </c>
      <c r="B479" s="150" t="s">
        <v>1878</v>
      </c>
      <c r="C479" s="150" t="s">
        <v>1884</v>
      </c>
      <c r="D479" s="151" t="str">
        <f>IF(MouserListTable[[#This Row],[Vendor]]=FilterSpecs!$A$8,MouserListTable[[#This Row],[Mouser SKU]], MouserListTable[[#This Row],[Supplier SKU]])</f>
        <v>485-2886</v>
      </c>
      <c r="E479" s="152">
        <f>MouserListTable[[#This Row],[Tot '#]]-MouserListTable[[#This Row],['# Initial]]</f>
        <v>0</v>
      </c>
      <c r="F479" s="152">
        <f>IF(AND(MouserListTable[[#This Row],[Tag]]&lt;&gt;FilterSpecs!$F$12, MouserListTable[[#This Row],[Tag]]&lt;&gt;FilterSpecs!$F$9), MouserListTable[[#This Row],['#/Unit]]*FilterSpecs!$B$3+MouserListTable[[#This Row],[Extra Initial]],0)</f>
        <v>0</v>
      </c>
      <c r="G479" s="150"/>
      <c r="H479" s="150"/>
      <c r="I479" s="150" t="s">
        <v>2153</v>
      </c>
      <c r="J479" s="153"/>
      <c r="K479" s="118">
        <v>0.95</v>
      </c>
      <c r="L479" s="97" t="s">
        <v>1896</v>
      </c>
      <c r="M479" s="153"/>
      <c r="N479" s="154">
        <f>MouserListTable[[#This Row],['# Initial]]*MouserListTable[[#This Row],[Price (USD)]]</f>
        <v>0</v>
      </c>
      <c r="O479" s="151" t="s">
        <v>2152</v>
      </c>
      <c r="P479" s="150">
        <f t="shared" si="8"/>
        <v>466</v>
      </c>
      <c r="Q479" s="150" t="s">
        <v>1884</v>
      </c>
      <c r="R47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485-2886</v>
      </c>
      <c r="S479" s="157" t="str">
        <f>HYPERLINK("https://www.mouser.com/ProductDetail/" &amp;MouserListTable[[#This Row],[Mouser SKU]])</f>
        <v>https://www.mouser.com/ProductDetail/485-2886</v>
      </c>
      <c r="T479" s="152">
        <v>0</v>
      </c>
      <c r="U479" s="152">
        <v>0</v>
      </c>
      <c r="V479" s="152">
        <v>0</v>
      </c>
      <c r="W479" s="152">
        <f>MouserListTable[[#This Row],['#/Unit]]*FilterSpecs!$C$3+MouserListTable[[#This Row],[Extra]]</f>
        <v>0</v>
      </c>
      <c r="X479" s="152">
        <f>IF(MouserListTable[[#This Row],[Tag]]=FilterSpecs!$F$7,MouserListTable[[#This Row],['#/Unit]]*MouserListTable[[#This Row],[Price (USD)]],0)</f>
        <v>0</v>
      </c>
      <c r="Y479" s="152">
        <f>MouserListTable[[#This Row],[Tot '#]]*MouserListTable[[#This Row],[Price (USD)]]</f>
        <v>0</v>
      </c>
    </row>
    <row r="480" spans="1:25" x14ac:dyDescent="0.25">
      <c r="A480" s="150" t="s">
        <v>890</v>
      </c>
      <c r="B480" s="150" t="s">
        <v>1878</v>
      </c>
      <c r="C480" s="150" t="s">
        <v>1884</v>
      </c>
      <c r="D480" s="151" t="str">
        <f>IF(MouserListTable[[#This Row],[Vendor]]=FilterSpecs!$A$8,MouserListTable[[#This Row],[Mouser SKU]], MouserListTable[[#This Row],[Supplier SKU]])</f>
        <v>485-598</v>
      </c>
      <c r="E480" s="152">
        <f>MouserListTable[[#This Row],[Tot '#]]-MouserListTable[[#This Row],['# Initial]]</f>
        <v>0</v>
      </c>
      <c r="F480" s="152">
        <f>IF(AND(MouserListTable[[#This Row],[Tag]]&lt;&gt;FilterSpecs!$F$12, MouserListTable[[#This Row],[Tag]]&lt;&gt;FilterSpecs!$F$9), MouserListTable[[#This Row],['#/Unit]]*FilterSpecs!$B$3+MouserListTable[[#This Row],[Extra Initial]],0)</f>
        <v>1</v>
      </c>
      <c r="G480" s="150"/>
      <c r="H480" s="150"/>
      <c r="I480" s="150" t="s">
        <v>2147</v>
      </c>
      <c r="J480" s="153"/>
      <c r="K480" s="154">
        <v>2.95</v>
      </c>
      <c r="L480" s="150" t="s">
        <v>1896</v>
      </c>
      <c r="M480" s="151"/>
      <c r="N480" s="154">
        <f>MouserListTable[[#This Row],['# Initial]]*MouserListTable[[#This Row],[Price (USD)]]</f>
        <v>2.95</v>
      </c>
      <c r="O480" s="151" t="s">
        <v>2146</v>
      </c>
      <c r="P480" s="150">
        <f t="shared" si="8"/>
        <v>467</v>
      </c>
      <c r="Q480" s="150" t="s">
        <v>1884</v>
      </c>
      <c r="R48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485-598</v>
      </c>
      <c r="S480" s="157" t="str">
        <f>HYPERLINK("https://www.mouser.com/ProductDetail/" &amp;MouserListTable[[#This Row],[Mouser SKU]])</f>
        <v>https://www.mouser.com/ProductDetail/485-598</v>
      </c>
      <c r="T480" s="152">
        <v>0</v>
      </c>
      <c r="U480" s="152">
        <v>1</v>
      </c>
      <c r="V480" s="152">
        <v>1</v>
      </c>
      <c r="W480" s="152">
        <f>MouserListTable[[#This Row],['#/Unit]]*FilterSpecs!$C$3+MouserListTable[[#This Row],[Extra]]</f>
        <v>1</v>
      </c>
      <c r="X480" s="152">
        <f>IF(MouserListTable[[#This Row],[Tag]]=FilterSpecs!$F$7,MouserListTable[[#This Row],['#/Unit]]*MouserListTable[[#This Row],[Price (USD)]],0)</f>
        <v>0</v>
      </c>
      <c r="Y480" s="152">
        <f>MouserListTable[[#This Row],[Tot '#]]*MouserListTable[[#This Row],[Price (USD)]]</f>
        <v>2.95</v>
      </c>
    </row>
    <row r="481" spans="1:25" x14ac:dyDescent="0.25">
      <c r="A481" s="150" t="s">
        <v>890</v>
      </c>
      <c r="B481" s="150" t="s">
        <v>1878</v>
      </c>
      <c r="C481" s="150" t="s">
        <v>1884</v>
      </c>
      <c r="D481" s="151" t="str">
        <f>IF(MouserListTable[[#This Row],[Vendor]]=FilterSpecs!$A$8,MouserListTable[[#This Row],[Mouser SKU]], MouserListTable[[#This Row],[Supplier SKU]])</f>
        <v>485-3008</v>
      </c>
      <c r="E481" s="152">
        <f>MouserListTable[[#This Row],[Tot '#]]-MouserListTable[[#This Row],['# Initial]]</f>
        <v>0</v>
      </c>
      <c r="F481" s="152">
        <f>IF(AND(MouserListTable[[#This Row],[Tag]]&lt;&gt;FilterSpecs!$F$12, MouserListTable[[#This Row],[Tag]]&lt;&gt;FilterSpecs!$F$9), MouserListTable[[#This Row],['#/Unit]]*FilterSpecs!$B$3+MouserListTable[[#This Row],[Extra Initial]],0)</f>
        <v>1</v>
      </c>
      <c r="G481" s="150"/>
      <c r="H481" s="150"/>
      <c r="I481" s="150" t="s">
        <v>2149</v>
      </c>
      <c r="J481" s="153"/>
      <c r="K481" s="154">
        <v>7.95</v>
      </c>
      <c r="L481" s="150" t="s">
        <v>1896</v>
      </c>
      <c r="M481" s="151"/>
      <c r="N481" s="154">
        <f>MouserListTable[[#This Row],['# Initial]]*MouserListTable[[#This Row],[Price (USD)]]</f>
        <v>7.95</v>
      </c>
      <c r="O481" s="151" t="s">
        <v>2148</v>
      </c>
      <c r="P481" s="150">
        <f t="shared" si="8"/>
        <v>468</v>
      </c>
      <c r="Q481" s="150" t="s">
        <v>1884</v>
      </c>
      <c r="R48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485-3008</v>
      </c>
      <c r="S481" s="157" t="str">
        <f>HYPERLINK("https://www.mouser.com/ProductDetail/" &amp;MouserListTable[[#This Row],[Mouser SKU]])</f>
        <v>https://www.mouser.com/ProductDetail/485-3008</v>
      </c>
      <c r="T481" s="152">
        <v>0</v>
      </c>
      <c r="U481" s="152">
        <v>1</v>
      </c>
      <c r="V481" s="152">
        <v>1</v>
      </c>
      <c r="W481" s="152">
        <f>MouserListTable[[#This Row],['#/Unit]]*FilterSpecs!$C$3+MouserListTable[[#This Row],[Extra]]</f>
        <v>1</v>
      </c>
      <c r="X481" s="152">
        <f>IF(MouserListTable[[#This Row],[Tag]]=FilterSpecs!$F$7,MouserListTable[[#This Row],['#/Unit]]*MouserListTable[[#This Row],[Price (USD)]],0)</f>
        <v>0</v>
      </c>
      <c r="Y481" s="152">
        <f>MouserListTable[[#This Row],[Tot '#]]*MouserListTable[[#This Row],[Price (USD)]]</f>
        <v>7.95</v>
      </c>
    </row>
    <row r="482" spans="1:25" x14ac:dyDescent="0.25">
      <c r="A482" s="150" t="s">
        <v>890</v>
      </c>
      <c r="B482" s="150" t="s">
        <v>1878</v>
      </c>
      <c r="C482" s="150" t="s">
        <v>1884</v>
      </c>
      <c r="D482" s="151" t="str">
        <f>IF(MouserListTable[[#This Row],[Vendor]]=FilterSpecs!$A$8,MouserListTable[[#This Row],[Mouser SKU]], MouserListTable[[#This Row],[Supplier SKU]])</f>
        <v>485-1542</v>
      </c>
      <c r="E482" s="152">
        <f>MouserListTable[[#This Row],[Tot '#]]-MouserListTable[[#This Row],['# Initial]]</f>
        <v>0</v>
      </c>
      <c r="F482" s="152">
        <f>IF(AND(MouserListTable[[#This Row],[Tag]]&lt;&gt;FilterSpecs!$F$12, MouserListTable[[#This Row],[Tag]]&lt;&gt;FilterSpecs!$F$9), MouserListTable[[#This Row],['#/Unit]]*FilterSpecs!$B$3+MouserListTable[[#This Row],[Extra Initial]],0)</f>
        <v>1</v>
      </c>
      <c r="G482" s="150"/>
      <c r="H482" s="150"/>
      <c r="I482" s="150" t="s">
        <v>2139</v>
      </c>
      <c r="J482" s="153"/>
      <c r="K482" s="154">
        <v>4.95</v>
      </c>
      <c r="L482" s="150" t="s">
        <v>1896</v>
      </c>
      <c r="M482" s="151"/>
      <c r="N482" s="154">
        <f>MouserListTable[[#This Row],['# Initial]]*MouserListTable[[#This Row],[Price (USD)]]</f>
        <v>4.95</v>
      </c>
      <c r="O482" s="151" t="s">
        <v>2138</v>
      </c>
      <c r="P482" s="150">
        <f t="shared" si="8"/>
        <v>469</v>
      </c>
      <c r="Q482" s="150" t="s">
        <v>1884</v>
      </c>
      <c r="R48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485-1542</v>
      </c>
      <c r="S482" s="157" t="str">
        <f>HYPERLINK("https://www.mouser.com/ProductDetail/" &amp;MouserListTable[[#This Row],[Mouser SKU]])</f>
        <v>https://www.mouser.com/ProductDetail/485-1542</v>
      </c>
      <c r="T482" s="152">
        <v>0</v>
      </c>
      <c r="U482" s="152">
        <v>1</v>
      </c>
      <c r="V482" s="152">
        <v>1</v>
      </c>
      <c r="W482" s="152">
        <f>MouserListTable[[#This Row],['#/Unit]]*FilterSpecs!$C$3+MouserListTable[[#This Row],[Extra]]</f>
        <v>1</v>
      </c>
      <c r="X482" s="152">
        <f>IF(MouserListTable[[#This Row],[Tag]]=FilterSpecs!$F$7,MouserListTable[[#This Row],['#/Unit]]*MouserListTable[[#This Row],[Price (USD)]],0)</f>
        <v>0</v>
      </c>
      <c r="Y482" s="152">
        <f>MouserListTable[[#This Row],[Tot '#]]*MouserListTable[[#This Row],[Price (USD)]]</f>
        <v>4.95</v>
      </c>
    </row>
    <row r="483" spans="1:25" x14ac:dyDescent="0.25">
      <c r="A483" s="150" t="s">
        <v>890</v>
      </c>
      <c r="B483" s="150" t="s">
        <v>1878</v>
      </c>
      <c r="C483" s="150" t="s">
        <v>1884</v>
      </c>
      <c r="D483" s="151" t="str">
        <f>IF(MouserListTable[[#This Row],[Vendor]]=FilterSpecs!$A$8,MouserListTable[[#This Row],[Mouser SKU]], MouserListTable[[#This Row],[Supplier SKU]])</f>
        <v>485-1544</v>
      </c>
      <c r="E483" s="152">
        <f>MouserListTable[[#This Row],[Tot '#]]-MouserListTable[[#This Row],['# Initial]]</f>
        <v>0</v>
      </c>
      <c r="F483" s="152">
        <f>IF(AND(MouserListTable[[#This Row],[Tag]]&lt;&gt;FilterSpecs!$F$12, MouserListTable[[#This Row],[Tag]]&lt;&gt;FilterSpecs!$F$9), MouserListTable[[#This Row],['#/Unit]]*FilterSpecs!$B$3+MouserListTable[[#This Row],[Extra Initial]],0)</f>
        <v>1</v>
      </c>
      <c r="G483" s="150"/>
      <c r="H483" s="150"/>
      <c r="I483" s="150" t="s">
        <v>2137</v>
      </c>
      <c r="J483" s="153"/>
      <c r="K483" s="154">
        <v>5.95</v>
      </c>
      <c r="L483" s="150" t="s">
        <v>1896</v>
      </c>
      <c r="M483" s="151"/>
      <c r="N483" s="154">
        <f>MouserListTable[[#This Row],['# Initial]]*MouserListTable[[#This Row],[Price (USD)]]</f>
        <v>5.95</v>
      </c>
      <c r="O483" s="151" t="s">
        <v>2136</v>
      </c>
      <c r="P483" s="150">
        <f t="shared" si="8"/>
        <v>470</v>
      </c>
      <c r="Q483" s="150" t="s">
        <v>1884</v>
      </c>
      <c r="R48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485-1544</v>
      </c>
      <c r="S483" s="157" t="str">
        <f>HYPERLINK("https://www.mouser.com/ProductDetail/" &amp;MouserListTable[[#This Row],[Mouser SKU]])</f>
        <v>https://www.mouser.com/ProductDetail/485-1544</v>
      </c>
      <c r="T483" s="152">
        <v>0</v>
      </c>
      <c r="U483" s="152">
        <v>1</v>
      </c>
      <c r="V483" s="152">
        <v>1</v>
      </c>
      <c r="W483" s="152">
        <f>MouserListTable[[#This Row],['#/Unit]]*FilterSpecs!$C$3+MouserListTable[[#This Row],[Extra]]</f>
        <v>1</v>
      </c>
      <c r="X483" s="152">
        <f>IF(MouserListTable[[#This Row],[Tag]]=FilterSpecs!$F$7,MouserListTable[[#This Row],['#/Unit]]*MouserListTable[[#This Row],[Price (USD)]],0)</f>
        <v>0</v>
      </c>
      <c r="Y483" s="152">
        <f>MouserListTable[[#This Row],[Tot '#]]*MouserListTable[[#This Row],[Price (USD)]]</f>
        <v>5.95</v>
      </c>
    </row>
    <row r="484" spans="1:25" x14ac:dyDescent="0.25">
      <c r="A484" s="150" t="s">
        <v>890</v>
      </c>
      <c r="B484" s="150" t="s">
        <v>1878</v>
      </c>
      <c r="C484" s="150" t="s">
        <v>1884</v>
      </c>
      <c r="D484" s="151" t="str">
        <f>IF(MouserListTable[[#This Row],[Vendor]]=FilterSpecs!$A$8,MouserListTable[[#This Row],[Mouser SKU]], MouserListTable[[#This Row],[Supplier SKU]])</f>
        <v>485-2823</v>
      </c>
      <c r="E484" s="152">
        <f>MouserListTable[[#This Row],[Tot '#]]-MouserListTable[[#This Row],['# Initial]]</f>
        <v>0</v>
      </c>
      <c r="F484" s="152">
        <f>IF(AND(MouserListTable[[#This Row],[Tag]]&lt;&gt;FilterSpecs!$F$12, MouserListTable[[#This Row],[Tag]]&lt;&gt;FilterSpecs!$F$9), MouserListTable[[#This Row],['#/Unit]]*FilterSpecs!$B$3+MouserListTable[[#This Row],[Extra Initial]],0)</f>
        <v>0</v>
      </c>
      <c r="G484" s="150"/>
      <c r="H484" s="150"/>
      <c r="I484" s="150" t="s">
        <v>2133</v>
      </c>
      <c r="J484" s="153"/>
      <c r="K484" s="118">
        <v>1.5</v>
      </c>
      <c r="L484" s="97" t="s">
        <v>1896</v>
      </c>
      <c r="M484" s="153"/>
      <c r="N484" s="154">
        <f>MouserListTable[[#This Row],['# Initial]]*MouserListTable[[#This Row],[Price (USD)]]</f>
        <v>0</v>
      </c>
      <c r="O484" s="151" t="s">
        <v>2132</v>
      </c>
      <c r="P484" s="150">
        <f t="shared" si="8"/>
        <v>471</v>
      </c>
      <c r="Q484" s="150" t="s">
        <v>1884</v>
      </c>
      <c r="R48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485-2823</v>
      </c>
      <c r="S484" s="157" t="str">
        <f>HYPERLINK("https://www.mouser.com/ProductDetail/" &amp;MouserListTable[[#This Row],[Mouser SKU]])</f>
        <v>https://www.mouser.com/ProductDetail/485-2823</v>
      </c>
      <c r="T484" s="152">
        <v>0</v>
      </c>
      <c r="U484" s="152">
        <v>0</v>
      </c>
      <c r="V484" s="152">
        <v>0</v>
      </c>
      <c r="W484" s="152">
        <f>MouserListTable[[#This Row],['#/Unit]]*FilterSpecs!$C$3+MouserListTable[[#This Row],[Extra]]</f>
        <v>0</v>
      </c>
      <c r="X484" s="152">
        <f>IF(MouserListTable[[#This Row],[Tag]]=FilterSpecs!$F$7,MouserListTable[[#This Row],['#/Unit]]*MouserListTable[[#This Row],[Price (USD)]],0)</f>
        <v>0</v>
      </c>
      <c r="Y484" s="152">
        <f>MouserListTable[[#This Row],[Tot '#]]*MouserListTable[[#This Row],[Price (USD)]]</f>
        <v>0</v>
      </c>
    </row>
    <row r="485" spans="1:25" x14ac:dyDescent="0.25">
      <c r="A485" s="150" t="s">
        <v>890</v>
      </c>
      <c r="B485" s="150" t="s">
        <v>1878</v>
      </c>
      <c r="C485" s="150" t="s">
        <v>1884</v>
      </c>
      <c r="D485" s="151" t="str">
        <f>IF(MouserListTable[[#This Row],[Vendor]]=FilterSpecs!$A$8,MouserListTable[[#This Row],[Mouser SKU]], MouserListTable[[#This Row],[Supplier SKU]])</f>
        <v>485-1543</v>
      </c>
      <c r="E485" s="152">
        <f>MouserListTable[[#This Row],[Tot '#]]-MouserListTable[[#This Row],['# Initial]]</f>
        <v>0</v>
      </c>
      <c r="F485" s="152">
        <f>IF(AND(MouserListTable[[#This Row],[Tag]]&lt;&gt;FilterSpecs!$F$12, MouserListTable[[#This Row],[Tag]]&lt;&gt;FilterSpecs!$F$9), MouserListTable[[#This Row],['#/Unit]]*FilterSpecs!$B$3+MouserListTable[[#This Row],[Extra Initial]],0)</f>
        <v>1</v>
      </c>
      <c r="G485" s="150"/>
      <c r="H485" s="150"/>
      <c r="I485" s="150" t="s">
        <v>2135</v>
      </c>
      <c r="J485" s="153"/>
      <c r="K485" s="154">
        <v>7.95</v>
      </c>
      <c r="L485" s="150" t="s">
        <v>1896</v>
      </c>
      <c r="M485" s="151"/>
      <c r="N485" s="154">
        <f>MouserListTable[[#This Row],['# Initial]]*MouserListTable[[#This Row],[Price (USD)]]</f>
        <v>7.95</v>
      </c>
      <c r="O485" s="151" t="s">
        <v>2134</v>
      </c>
      <c r="P485" s="150">
        <f t="shared" si="8"/>
        <v>472</v>
      </c>
      <c r="Q485" s="150" t="s">
        <v>1884</v>
      </c>
      <c r="R48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485-1543</v>
      </c>
      <c r="S485" s="157" t="str">
        <f>HYPERLINK("https://www.mouser.com/ProductDetail/" &amp;MouserListTable[[#This Row],[Mouser SKU]])</f>
        <v>https://www.mouser.com/ProductDetail/485-1543</v>
      </c>
      <c r="T485" s="152">
        <v>0</v>
      </c>
      <c r="U485" s="152">
        <v>1</v>
      </c>
      <c r="V485" s="152">
        <v>1</v>
      </c>
      <c r="W485" s="152">
        <f>MouserListTable[[#This Row],['#/Unit]]*FilterSpecs!$C$3+MouserListTable[[#This Row],[Extra]]</f>
        <v>1</v>
      </c>
      <c r="X485" s="152">
        <f>IF(MouserListTable[[#This Row],[Tag]]=FilterSpecs!$F$7,MouserListTable[[#This Row],['#/Unit]]*MouserListTable[[#This Row],[Price (USD)]],0)</f>
        <v>0</v>
      </c>
      <c r="Y485" s="152">
        <f>MouserListTable[[#This Row],[Tot '#]]*MouserListTable[[#This Row],[Price (USD)]]</f>
        <v>7.95</v>
      </c>
    </row>
    <row r="486" spans="1:25" x14ac:dyDescent="0.25">
      <c r="A486" s="150" t="s">
        <v>890</v>
      </c>
      <c r="B486" s="150" t="s">
        <v>1878</v>
      </c>
      <c r="C486" s="150" t="s">
        <v>1884</v>
      </c>
      <c r="D486" s="151" t="str">
        <f>IF(MouserListTable[[#This Row],[Vendor]]=FilterSpecs!$A$8,MouserListTable[[#This Row],[Mouser SKU]], MouserListTable[[#This Row],[Supplier SKU]])</f>
        <v>485-3342</v>
      </c>
      <c r="E486" s="152">
        <f>MouserListTable[[#This Row],[Tot '#]]-MouserListTable[[#This Row],['# Initial]]</f>
        <v>0</v>
      </c>
      <c r="F486" s="152">
        <f>IF(AND(MouserListTable[[#This Row],[Tag]]&lt;&gt;FilterSpecs!$F$12, MouserListTable[[#This Row],[Tag]]&lt;&gt;FilterSpecs!$F$9), MouserListTable[[#This Row],['#/Unit]]*FilterSpecs!$B$3+MouserListTable[[#This Row],[Extra Initial]],0)</f>
        <v>0</v>
      </c>
      <c r="G486" s="150"/>
      <c r="H486" s="150"/>
      <c r="I486" s="150" t="s">
        <v>2145</v>
      </c>
      <c r="J486" s="153"/>
      <c r="K486" s="118">
        <v>0</v>
      </c>
      <c r="L486" s="97" t="s">
        <v>1896</v>
      </c>
      <c r="M486" s="153"/>
      <c r="N486" s="154">
        <f>MouserListTable[[#This Row],['# Initial]]*MouserListTable[[#This Row],[Price (USD)]]</f>
        <v>0</v>
      </c>
      <c r="O486" s="151" t="s">
        <v>2144</v>
      </c>
      <c r="P486" s="150">
        <f t="shared" si="8"/>
        <v>473</v>
      </c>
      <c r="Q486" s="150" t="s">
        <v>1884</v>
      </c>
      <c r="R48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485-3342</v>
      </c>
      <c r="S486" s="157" t="str">
        <f>HYPERLINK("https://www.mouser.com/ProductDetail/" &amp;MouserListTable[[#This Row],[Mouser SKU]])</f>
        <v>https://www.mouser.com/ProductDetail/485-3342</v>
      </c>
      <c r="T486" s="152">
        <v>0</v>
      </c>
      <c r="U486" s="152">
        <v>0</v>
      </c>
      <c r="V486" s="152">
        <v>0</v>
      </c>
      <c r="W486" s="152">
        <f>MouserListTable[[#This Row],['#/Unit]]*FilterSpecs!$C$3+MouserListTable[[#This Row],[Extra]]</f>
        <v>0</v>
      </c>
      <c r="X486" s="152">
        <f>IF(MouserListTable[[#This Row],[Tag]]=FilterSpecs!$F$7,MouserListTable[[#This Row],['#/Unit]]*MouserListTable[[#This Row],[Price (USD)]],0)</f>
        <v>0</v>
      </c>
      <c r="Y486" s="152">
        <f>MouserListTable[[#This Row],[Tot '#]]*MouserListTable[[#This Row],[Price (USD)]]</f>
        <v>0</v>
      </c>
    </row>
    <row r="487" spans="1:25" x14ac:dyDescent="0.25">
      <c r="A487" s="97" t="s">
        <v>890</v>
      </c>
      <c r="B487" s="97" t="s">
        <v>1878</v>
      </c>
      <c r="C487" s="150" t="s">
        <v>5</v>
      </c>
      <c r="D487" s="151" t="str">
        <f>IF(MouserListTable[[#This Row],[Vendor]]=FilterSpecs!$A$8,MouserListTable[[#This Row],[Mouser SKU]], MouserListTable[[#This Row],[Supplier SKU]])</f>
        <v>474-PRT-13010</v>
      </c>
      <c r="E487" s="152">
        <f>MouserListTable[[#This Row],[Tot '#]]-MouserListTable[[#This Row],['# Initial]]</f>
        <v>0</v>
      </c>
      <c r="F487" s="152">
        <f>IF(AND(MouserListTable[[#This Row],[Tag]]&lt;&gt;FilterSpecs!$F$12, MouserListTable[[#This Row],[Tag]]&lt;&gt;FilterSpecs!$F$9), MouserListTable[[#This Row],['#/Unit]]*FilterSpecs!$B$3+MouserListTable[[#This Row],[Extra Initial]],0)</f>
        <v>0</v>
      </c>
      <c r="G487" s="150" t="s">
        <v>761</v>
      </c>
      <c r="H487" s="150" t="s">
        <v>762</v>
      </c>
      <c r="I487" s="150" t="s">
        <v>763</v>
      </c>
      <c r="J487" s="150">
        <v>1</v>
      </c>
      <c r="K487" s="154">
        <v>0.5</v>
      </c>
      <c r="L487" s="150" t="s">
        <v>1896</v>
      </c>
      <c r="M487" s="150"/>
      <c r="N487" s="154">
        <f>MouserListTable[[#This Row],['# Initial]]*MouserListTable[[#This Row],[Price (USD)]]</f>
        <v>0</v>
      </c>
      <c r="O487" s="151" t="s">
        <v>760</v>
      </c>
      <c r="P487" s="150">
        <f t="shared" si="8"/>
        <v>474</v>
      </c>
      <c r="Q487" s="150" t="s">
        <v>5</v>
      </c>
      <c r="R48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474-PRT-13010</v>
      </c>
      <c r="S487" s="157" t="str">
        <f>HYPERLINK("https://www.mouser.com/ProductDetail/" &amp;MouserListTable[[#This Row],[Mouser SKU]])</f>
        <v>https://www.mouser.com/ProductDetail/474-PRT-13010</v>
      </c>
      <c r="T487" s="152">
        <v>0</v>
      </c>
      <c r="U487" s="152">
        <v>0</v>
      </c>
      <c r="V487" s="152">
        <v>0</v>
      </c>
      <c r="W487" s="152">
        <f>MouserListTable[[#This Row],['#/Unit]]*FilterSpecs!$C$3+MouserListTable[[#This Row],[Extra]]</f>
        <v>0</v>
      </c>
      <c r="X487" s="152">
        <f>IF(MouserListTable[[#This Row],[Tag]]=FilterSpecs!$F$7,MouserListTable[[#This Row],['#/Unit]]*MouserListTable[[#This Row],[Price (USD)]],0)</f>
        <v>0</v>
      </c>
      <c r="Y487" s="152">
        <f>MouserListTable[[#This Row],[Tot '#]]*MouserListTable[[#This Row],[Price (USD)]]</f>
        <v>0</v>
      </c>
    </row>
    <row r="488" spans="1:25" x14ac:dyDescent="0.25">
      <c r="A488" s="150" t="s">
        <v>890</v>
      </c>
      <c r="B488" s="150" t="s">
        <v>1878</v>
      </c>
      <c r="C488" s="150" t="s">
        <v>5</v>
      </c>
      <c r="D488" s="151" t="str">
        <f>IF(MouserListTable[[#This Row],[Vendor]]=FilterSpecs!$A$8,MouserListTable[[#This Row],[Mouser SKU]], MouserListTable[[#This Row],[Supplier SKU]])</f>
        <v>474-PRT-10877</v>
      </c>
      <c r="E488" s="152">
        <f>MouserListTable[[#This Row],[Tot '#]]-MouserListTable[[#This Row],['# Initial]]</f>
        <v>5</v>
      </c>
      <c r="F488" s="152">
        <f>IF(AND(MouserListTable[[#This Row],[Tag]]&lt;&gt;FilterSpecs!$F$12, MouserListTable[[#This Row],[Tag]]&lt;&gt;FilterSpecs!$F$9), MouserListTable[[#This Row],['#/Unit]]*FilterSpecs!$B$3+MouserListTable[[#This Row],[Extra Initial]],0)</f>
        <v>5</v>
      </c>
      <c r="G488" s="150" t="s">
        <v>1522</v>
      </c>
      <c r="H488" s="150" t="s">
        <v>1523</v>
      </c>
      <c r="I488" s="150" t="s">
        <v>1524</v>
      </c>
      <c r="J488" s="150">
        <v>1</v>
      </c>
      <c r="K488" s="154">
        <v>1.5</v>
      </c>
      <c r="L488" s="150" t="s">
        <v>1897</v>
      </c>
      <c r="M488" s="150"/>
      <c r="N488" s="154">
        <f>MouserListTable[[#This Row],['# Initial]]*MouserListTable[[#This Row],[Price (USD)]]</f>
        <v>7.5</v>
      </c>
      <c r="O488" s="151" t="s">
        <v>1521</v>
      </c>
      <c r="P488" s="150">
        <f t="shared" si="8"/>
        <v>475</v>
      </c>
      <c r="Q488" s="150" t="s">
        <v>5</v>
      </c>
      <c r="R48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474-PRT-10877</v>
      </c>
      <c r="S488" s="157" t="str">
        <f>HYPERLINK("https://www.mouser.com/ProductDetail/" &amp;MouserListTable[[#This Row],[Mouser SKU]])</f>
        <v>https://www.mouser.com/ProductDetail/474-PRT-10877</v>
      </c>
      <c r="T488" s="152">
        <v>1</v>
      </c>
      <c r="U488" s="152">
        <v>5</v>
      </c>
      <c r="V488" s="152">
        <v>0</v>
      </c>
      <c r="W488" s="152">
        <f>MouserListTable[[#This Row],['#/Unit]]*FilterSpecs!$C$3+MouserListTable[[#This Row],[Extra]]</f>
        <v>10</v>
      </c>
      <c r="X488" s="152">
        <f>IF(MouserListTable[[#This Row],[Tag]]=FilterSpecs!$F$7,MouserListTable[[#This Row],['#/Unit]]*MouserListTable[[#This Row],[Price (USD)]],0)</f>
        <v>1.5</v>
      </c>
      <c r="Y488" s="152">
        <f>MouserListTable[[#This Row],[Tot '#]]*MouserListTable[[#This Row],[Price (USD)]]</f>
        <v>15</v>
      </c>
    </row>
    <row r="489" spans="1:25" x14ac:dyDescent="0.25">
      <c r="A489" s="150" t="s">
        <v>890</v>
      </c>
      <c r="B489" s="150" t="s">
        <v>1878</v>
      </c>
      <c r="C489" s="150" t="s">
        <v>5</v>
      </c>
      <c r="D489" s="151" t="str">
        <f>IF(MouserListTable[[#This Row],[Vendor]]=FilterSpecs!$A$8,MouserListTable[[#This Row],[Mouser SKU]], MouserListTable[[#This Row],[Supplier SKU]])</f>
        <v>474-PRT-08506</v>
      </c>
      <c r="E489" s="152">
        <f>MouserListTable[[#This Row],[Tot '#]]-MouserListTable[[#This Row],['# Initial]]</f>
        <v>5</v>
      </c>
      <c r="F489" s="152">
        <f>IF(AND(MouserListTable[[#This Row],[Tag]]&lt;&gt;FilterSpecs!$F$12, MouserListTable[[#This Row],[Tag]]&lt;&gt;FilterSpecs!$F$9), MouserListTable[[#This Row],['#/Unit]]*FilterSpecs!$B$3+MouserListTable[[#This Row],[Extra Initial]],0)</f>
        <v>5</v>
      </c>
      <c r="G489" s="150" t="s">
        <v>1526</v>
      </c>
      <c r="H489" s="150" t="s">
        <v>1527</v>
      </c>
      <c r="I489" s="150" t="s">
        <v>1528</v>
      </c>
      <c r="J489" s="150">
        <v>1</v>
      </c>
      <c r="K489" s="154">
        <v>1.5</v>
      </c>
      <c r="L489" s="150" t="s">
        <v>1897</v>
      </c>
      <c r="M489" s="150"/>
      <c r="N489" s="154">
        <f>MouserListTable[[#This Row],['# Initial]]*MouserListTable[[#This Row],[Price (USD)]]</f>
        <v>7.5</v>
      </c>
      <c r="O489" s="151" t="s">
        <v>1525</v>
      </c>
      <c r="P489" s="150">
        <f t="shared" si="8"/>
        <v>476</v>
      </c>
      <c r="Q489" s="150" t="s">
        <v>5</v>
      </c>
      <c r="R48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474-PRT-08506</v>
      </c>
      <c r="S489" s="157" t="str">
        <f>HYPERLINK("https://www.mouser.com/ProductDetail/" &amp;MouserListTable[[#This Row],[Mouser SKU]])</f>
        <v>https://www.mouser.com/ProductDetail/474-PRT-08506</v>
      </c>
      <c r="T489" s="152">
        <v>1</v>
      </c>
      <c r="U489" s="152">
        <v>5</v>
      </c>
      <c r="V489" s="152">
        <v>0</v>
      </c>
      <c r="W489" s="152">
        <f>MouserListTable[[#This Row],['#/Unit]]*FilterSpecs!$C$3+MouserListTable[[#This Row],[Extra]]</f>
        <v>10</v>
      </c>
      <c r="X489" s="152">
        <f>IF(MouserListTable[[#This Row],[Tag]]=FilterSpecs!$F$7,MouserListTable[[#This Row],['#/Unit]]*MouserListTable[[#This Row],[Price (USD)]],0)</f>
        <v>1.5</v>
      </c>
      <c r="Y489" s="152">
        <f>MouserListTable[[#This Row],[Tot '#]]*MouserListTable[[#This Row],[Price (USD)]]</f>
        <v>15</v>
      </c>
    </row>
    <row r="490" spans="1:25" x14ac:dyDescent="0.25">
      <c r="A490" s="98" t="s">
        <v>890</v>
      </c>
      <c r="B490" s="98" t="s">
        <v>1878</v>
      </c>
      <c r="C490" s="150" t="s">
        <v>1884</v>
      </c>
      <c r="D490" s="151" t="str">
        <f>IF(MouserListTable[[#This Row],[Vendor]]=FilterSpecs!$A$8,MouserListTable[[#This Row],[Mouser SKU]], MouserListTable[[#This Row],[Supplier SKU]])</f>
        <v>485-1465</v>
      </c>
      <c r="E490" s="152">
        <f>MouserListTable[[#This Row],[Tot '#]]-MouserListTable[[#This Row],['# Initial]]</f>
        <v>0</v>
      </c>
      <c r="F490" s="152">
        <f>IF(AND(MouserListTable[[#This Row],[Tag]]&lt;&gt;FilterSpecs!$F$12, MouserListTable[[#This Row],[Tag]]&lt;&gt;FilterSpecs!$F$9), MouserListTable[[#This Row],['#/Unit]]*FilterSpecs!$B$3+MouserListTable[[#This Row],[Extra Initial]],0)</f>
        <v>0</v>
      </c>
      <c r="G490" s="150"/>
      <c r="H490" s="150"/>
      <c r="I490" s="150" t="s">
        <v>2454</v>
      </c>
      <c r="J490" s="113">
        <v>116</v>
      </c>
      <c r="K490" s="119">
        <v>0.95</v>
      </c>
      <c r="L490" s="97" t="s">
        <v>1896</v>
      </c>
      <c r="M490" s="153"/>
      <c r="N490" s="154">
        <f>MouserListTable[[#This Row],['# Initial]]*MouserListTable[[#This Row],[Price (USD)]]</f>
        <v>0</v>
      </c>
      <c r="O490" s="113" t="s">
        <v>2455</v>
      </c>
      <c r="P490" s="150">
        <f t="shared" si="8"/>
        <v>477</v>
      </c>
      <c r="Q490" s="150" t="s">
        <v>1884</v>
      </c>
      <c r="R49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485-1465</v>
      </c>
      <c r="S490" s="157" t="str">
        <f>HYPERLINK("https://www.mouser.com/ProductDetail/" &amp;MouserListTable[[#This Row],[Mouser SKU]])</f>
        <v>https://www.mouser.com/ProductDetail/485-1465</v>
      </c>
      <c r="T490" s="152">
        <v>0</v>
      </c>
      <c r="U490" s="152">
        <v>0</v>
      </c>
      <c r="V490" s="152">
        <v>0</v>
      </c>
      <c r="W490" s="152">
        <f>MouserListTable[[#This Row],['#/Unit]]*FilterSpecs!$C$3+MouserListTable[[#This Row],[Extra]]</f>
        <v>0</v>
      </c>
      <c r="X490" s="152">
        <f>IF(MouserListTable[[#This Row],[Tag]]=FilterSpecs!$F$7,MouserListTable[[#This Row],['#/Unit]]*MouserListTable[[#This Row],[Price (USD)]],0)</f>
        <v>0</v>
      </c>
      <c r="Y490" s="152">
        <f>MouserListTable[[#This Row],[Tot '#]]*MouserListTable[[#This Row],[Price (USD)]]</f>
        <v>0</v>
      </c>
    </row>
    <row r="491" spans="1:25" x14ac:dyDescent="0.25">
      <c r="A491" s="97" t="s">
        <v>890</v>
      </c>
      <c r="B491" s="97" t="s">
        <v>1878</v>
      </c>
      <c r="C491" s="150" t="s">
        <v>5</v>
      </c>
      <c r="D491" s="151" t="str">
        <f>IF(MouserListTable[[#This Row],[Vendor]]=FilterSpecs!$A$8,MouserListTable[[#This Row],[Mouser SKU]], MouserListTable[[#This Row],[Supplier SKU]])</f>
        <v>474-PRT-08272</v>
      </c>
      <c r="E491" s="152">
        <f>MouserListTable[[#This Row],[Tot '#]]-MouserListTable[[#This Row],['# Initial]]</f>
        <v>0</v>
      </c>
      <c r="F491" s="152">
        <f>IF(AND(MouserListTable[[#This Row],[Tag]]&lt;&gt;FilterSpecs!$F$12, MouserListTable[[#This Row],[Tag]]&lt;&gt;FilterSpecs!$F$9), MouserListTable[[#This Row],['#/Unit]]*FilterSpecs!$B$3+MouserListTable[[#This Row],[Extra Initial]],0)</f>
        <v>0</v>
      </c>
      <c r="G491" s="150" t="s">
        <v>773</v>
      </c>
      <c r="H491" s="150" t="s">
        <v>774</v>
      </c>
      <c r="I491" s="150" t="s">
        <v>775</v>
      </c>
      <c r="J491" s="150">
        <v>1</v>
      </c>
      <c r="K491" s="154">
        <v>1</v>
      </c>
      <c r="L491" s="150" t="s">
        <v>1896</v>
      </c>
      <c r="M491" s="150"/>
      <c r="N491" s="154">
        <f>MouserListTable[[#This Row],['# Initial]]*MouserListTable[[#This Row],[Price (USD)]]</f>
        <v>0</v>
      </c>
      <c r="O491" s="151" t="s">
        <v>772</v>
      </c>
      <c r="P491" s="150">
        <f t="shared" si="8"/>
        <v>478</v>
      </c>
      <c r="Q491" s="150" t="s">
        <v>5</v>
      </c>
      <c r="R49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474-PRT-08272</v>
      </c>
      <c r="S491" s="157" t="str">
        <f>HYPERLINK("https://www.mouser.com/ProductDetail/" &amp;MouserListTable[[#This Row],[Mouser SKU]])</f>
        <v>https://www.mouser.com/ProductDetail/474-PRT-08272</v>
      </c>
      <c r="T491" s="152">
        <v>0</v>
      </c>
      <c r="U491" s="152">
        <v>0</v>
      </c>
      <c r="V491" s="152">
        <v>0</v>
      </c>
      <c r="W491" s="152">
        <f>MouserListTable[[#This Row],['#/Unit]]*FilterSpecs!$C$3+MouserListTable[[#This Row],[Extra]]</f>
        <v>0</v>
      </c>
      <c r="X491" s="152">
        <f>IF(MouserListTable[[#This Row],[Tag]]=FilterSpecs!$F$7,MouserListTable[[#This Row],['#/Unit]]*MouserListTable[[#This Row],[Price (USD)]],0)</f>
        <v>0</v>
      </c>
      <c r="Y491" s="152">
        <f>MouserListTable[[#This Row],[Tot '#]]*MouserListTable[[#This Row],[Price (USD)]]</f>
        <v>0</v>
      </c>
    </row>
    <row r="492" spans="1:25" x14ac:dyDescent="0.25">
      <c r="A492" s="150" t="s">
        <v>890</v>
      </c>
      <c r="B492" s="150" t="s">
        <v>1878</v>
      </c>
      <c r="C492" s="150" t="s">
        <v>1884</v>
      </c>
      <c r="D492" s="151" t="str">
        <f>IF(MouserListTable[[#This Row],[Vendor]]=FilterSpecs!$A$8,MouserListTable[[#This Row],[Mouser SKU]], MouserListTable[[#This Row],[Supplier SKU]])</f>
        <v>485-366</v>
      </c>
      <c r="E492" s="152">
        <f>MouserListTable[[#This Row],[Tot '#]]-MouserListTable[[#This Row],['# Initial]]</f>
        <v>0</v>
      </c>
      <c r="F492" s="152">
        <f>IF(AND(MouserListTable[[#This Row],[Tag]]&lt;&gt;FilterSpecs!$F$12, MouserListTable[[#This Row],[Tag]]&lt;&gt;FilterSpecs!$F$9), MouserListTable[[#This Row],['#/Unit]]*FilterSpecs!$B$3+MouserListTable[[#This Row],[Extra Initial]],0)</f>
        <v>10</v>
      </c>
      <c r="G492" s="150"/>
      <c r="H492" s="150"/>
      <c r="I492" s="150" t="s">
        <v>2141</v>
      </c>
      <c r="J492" s="153"/>
      <c r="K492" s="154">
        <v>0.95</v>
      </c>
      <c r="L492" s="150" t="s">
        <v>1896</v>
      </c>
      <c r="M492" s="151"/>
      <c r="N492" s="154">
        <f>MouserListTable[[#This Row],['# Initial]]*MouserListTable[[#This Row],[Price (USD)]]</f>
        <v>9.5</v>
      </c>
      <c r="O492" s="151" t="s">
        <v>2140</v>
      </c>
      <c r="P492" s="150">
        <f t="shared" si="8"/>
        <v>479</v>
      </c>
      <c r="Q492" s="150" t="s">
        <v>1884</v>
      </c>
      <c r="R49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485-366</v>
      </c>
      <c r="S492" s="157" t="str">
        <f>HYPERLINK("https://www.mouser.com/ProductDetail/" &amp;MouserListTable[[#This Row],[Mouser SKU]])</f>
        <v>https://www.mouser.com/ProductDetail/485-366</v>
      </c>
      <c r="T492" s="152">
        <v>2</v>
      </c>
      <c r="U492" s="152">
        <v>0</v>
      </c>
      <c r="V492" s="152">
        <v>0</v>
      </c>
      <c r="W492" s="152">
        <f>MouserListTable[[#This Row],['#/Unit]]*FilterSpecs!$C$3+MouserListTable[[#This Row],[Extra]]</f>
        <v>10</v>
      </c>
      <c r="X492" s="152">
        <f>IF(MouserListTable[[#This Row],[Tag]]=FilterSpecs!$F$7,MouserListTable[[#This Row],['#/Unit]]*MouserListTable[[#This Row],[Price (USD)]],0)</f>
        <v>0</v>
      </c>
      <c r="Y492" s="152">
        <f>MouserListTable[[#This Row],[Tot '#]]*MouserListTable[[#This Row],[Price (USD)]]</f>
        <v>9.5</v>
      </c>
    </row>
    <row r="493" spans="1:25" x14ac:dyDescent="0.25">
      <c r="A493" s="150" t="s">
        <v>890</v>
      </c>
      <c r="B493" s="150" t="s">
        <v>1878</v>
      </c>
      <c r="C493" s="150" t="s">
        <v>1884</v>
      </c>
      <c r="D493" s="151" t="str">
        <f>IF(MouserListTable[[#This Row],[Vendor]]=FilterSpecs!$A$8,MouserListTable[[#This Row],[Mouser SKU]], MouserListTable[[#This Row],[Supplier SKU]])</f>
        <v>485-2672</v>
      </c>
      <c r="E493" s="152">
        <f>MouserListTable[[#This Row],[Tot '#]]-MouserListTable[[#This Row],['# Initial]]</f>
        <v>0</v>
      </c>
      <c r="F493" s="152">
        <f>IF(AND(MouserListTable[[#This Row],[Tag]]&lt;&gt;FilterSpecs!$F$12, MouserListTable[[#This Row],[Tag]]&lt;&gt;FilterSpecs!$F$9), MouserListTable[[#This Row],['#/Unit]]*FilterSpecs!$B$3+MouserListTable[[#This Row],[Extra Initial]],0)</f>
        <v>1</v>
      </c>
      <c r="G493" s="150"/>
      <c r="H493" s="150"/>
      <c r="I493" s="150" t="s">
        <v>2143</v>
      </c>
      <c r="J493" s="153"/>
      <c r="K493" s="154">
        <v>3.95</v>
      </c>
      <c r="L493" s="150" t="s">
        <v>1896</v>
      </c>
      <c r="M493" s="151"/>
      <c r="N493" s="154">
        <f>MouserListTable[[#This Row],['# Initial]]*MouserListTable[[#This Row],[Price (USD)]]</f>
        <v>3.95</v>
      </c>
      <c r="O493" s="151" t="s">
        <v>2142</v>
      </c>
      <c r="P493" s="150">
        <f t="shared" si="8"/>
        <v>480</v>
      </c>
      <c r="Q493" s="150" t="s">
        <v>1884</v>
      </c>
      <c r="R49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485-2672</v>
      </c>
      <c r="S493" s="157" t="str">
        <f>HYPERLINK("https://www.mouser.com/ProductDetail/" &amp;MouserListTable[[#This Row],[Mouser SKU]])</f>
        <v>https://www.mouser.com/ProductDetail/485-2672</v>
      </c>
      <c r="T493" s="152">
        <v>0</v>
      </c>
      <c r="U493" s="152">
        <v>1</v>
      </c>
      <c r="V493" s="152">
        <v>1</v>
      </c>
      <c r="W493" s="152">
        <f>MouserListTable[[#This Row],['#/Unit]]*FilterSpecs!$C$3+MouserListTable[[#This Row],[Extra]]</f>
        <v>1</v>
      </c>
      <c r="X493" s="152">
        <f>IF(MouserListTable[[#This Row],[Tag]]=FilterSpecs!$F$7,MouserListTable[[#This Row],['#/Unit]]*MouserListTable[[#This Row],[Price (USD)]],0)</f>
        <v>0</v>
      </c>
      <c r="Y493" s="152">
        <f>MouserListTable[[#This Row],[Tot '#]]*MouserListTable[[#This Row],[Price (USD)]]</f>
        <v>3.95</v>
      </c>
    </row>
    <row r="494" spans="1:25" x14ac:dyDescent="0.25">
      <c r="A494" s="150" t="s">
        <v>890</v>
      </c>
      <c r="B494" s="150" t="s">
        <v>1876</v>
      </c>
      <c r="C494" s="150" t="s">
        <v>5</v>
      </c>
      <c r="D494" s="151" t="str">
        <f>IF(MouserListTable[[#This Row],[Vendor]]=FilterSpecs!$A$8,MouserListTable[[#This Row],[Mouser SKU]], MouserListTable[[#This Row],[Supplier SKU]])</f>
        <v>474-COM-14087</v>
      </c>
      <c r="E494" s="152">
        <f>MouserListTable[[#This Row],[Tot '#]]-MouserListTable[[#This Row],['# Initial]]</f>
        <v>15</v>
      </c>
      <c r="F494" s="152">
        <f>IF(AND(MouserListTable[[#This Row],[Tag]]&lt;&gt;FilterSpecs!$F$12, MouserListTable[[#This Row],[Tag]]&lt;&gt;FilterSpecs!$F$9), MouserListTable[[#This Row],['#/Unit]]*FilterSpecs!$B$3+MouserListTable[[#This Row],[Extra Initial]],0)</f>
        <v>0</v>
      </c>
      <c r="G494" s="150" t="s">
        <v>817</v>
      </c>
      <c r="H494" s="150" t="s">
        <v>818</v>
      </c>
      <c r="I494" s="150" t="s">
        <v>819</v>
      </c>
      <c r="J494" s="150">
        <v>1</v>
      </c>
      <c r="K494" s="154">
        <v>1.95</v>
      </c>
      <c r="L494" s="150" t="s">
        <v>2461</v>
      </c>
      <c r="M494" s="150"/>
      <c r="N494" s="154">
        <f>MouserListTable[[#This Row],['# Initial]]*MouserListTable[[#This Row],[Price (USD)]]</f>
        <v>0</v>
      </c>
      <c r="O494" s="151" t="s">
        <v>816</v>
      </c>
      <c r="P494" s="150">
        <f t="shared" si="8"/>
        <v>481</v>
      </c>
      <c r="Q494" s="150" t="s">
        <v>5</v>
      </c>
      <c r="R49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474-COM-14087</v>
      </c>
      <c r="S494" s="157" t="str">
        <f>HYPERLINK("https://www.mouser.com/ProductDetail/" &amp;MouserListTable[[#This Row],[Mouser SKU]])</f>
        <v>https://www.mouser.com/ProductDetail/474-COM-14087</v>
      </c>
      <c r="T494" s="152">
        <v>3</v>
      </c>
      <c r="U494" s="152">
        <v>0</v>
      </c>
      <c r="V494" s="152">
        <v>0</v>
      </c>
      <c r="W494" s="152">
        <f>MouserListTable[[#This Row],['#/Unit]]*FilterSpecs!$C$3+MouserListTable[[#This Row],[Extra]]</f>
        <v>15</v>
      </c>
      <c r="X494" s="152">
        <f>IF(MouserListTable[[#This Row],[Tag]]=FilterSpecs!$F$7,MouserListTable[[#This Row],['#/Unit]]*MouserListTable[[#This Row],[Price (USD)]],0)</f>
        <v>0</v>
      </c>
      <c r="Y494" s="152">
        <f>MouserListTable[[#This Row],[Tot '#]]*MouserListTable[[#This Row],[Price (USD)]]</f>
        <v>29.25</v>
      </c>
    </row>
    <row r="495" spans="1:25" x14ac:dyDescent="0.25">
      <c r="A495" s="150" t="s">
        <v>890</v>
      </c>
      <c r="B495" s="150" t="s">
        <v>1876</v>
      </c>
      <c r="C495" s="150" t="s">
        <v>5</v>
      </c>
      <c r="D495" s="151" t="str">
        <f>IF(MouserListTable[[#This Row],[Vendor]]=FilterSpecs!$A$8,MouserListTable[[#This Row],[Mouser SKU]], MouserListTable[[#This Row],[Supplier SKU]])</f>
        <v>474-COM-14086</v>
      </c>
      <c r="E495" s="152">
        <f>MouserListTable[[#This Row],[Tot '#]]-MouserListTable[[#This Row],['# Initial]]</f>
        <v>0</v>
      </c>
      <c r="F495" s="152">
        <f>IF(AND(MouserListTable[[#This Row],[Tag]]&lt;&gt;FilterSpecs!$F$12, MouserListTable[[#This Row],[Tag]]&lt;&gt;FilterSpecs!$F$9), MouserListTable[[#This Row],['#/Unit]]*FilterSpecs!$B$3+MouserListTable[[#This Row],[Extra Initial]],0)</f>
        <v>0</v>
      </c>
      <c r="G495" s="150"/>
      <c r="H495" s="150"/>
      <c r="I495" s="150" t="s">
        <v>2569</v>
      </c>
      <c r="J495" s="150"/>
      <c r="K495" s="154">
        <v>1.63</v>
      </c>
      <c r="L495" s="150" t="s">
        <v>1897</v>
      </c>
      <c r="M495" s="150"/>
      <c r="N495" s="154">
        <f>MouserListTable[[#This Row],['# Initial]]*MouserListTable[[#This Row],[Price (USD)]]</f>
        <v>0</v>
      </c>
      <c r="O495" s="151" t="s">
        <v>2568</v>
      </c>
      <c r="P495" s="150">
        <f t="shared" si="8"/>
        <v>482</v>
      </c>
      <c r="Q495" s="150" t="s">
        <v>5</v>
      </c>
      <c r="R49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474-COM-14086</v>
      </c>
      <c r="S495" s="157" t="str">
        <f>HYPERLINK("https://www.mouser.com/ProductDetail/" &amp;MouserListTable[[#This Row],[Mouser SKU]])</f>
        <v>https://www.mouser.com/ProductDetail/474-COM-14086</v>
      </c>
      <c r="T495" s="152">
        <v>0</v>
      </c>
      <c r="U495" s="152">
        <v>0</v>
      </c>
      <c r="V495" s="152">
        <v>0</v>
      </c>
      <c r="W495" s="152">
        <f>MouserListTable[[#This Row],['#/Unit]]*FilterSpecs!$C$3+MouserListTable[[#This Row],[Extra]]</f>
        <v>0</v>
      </c>
      <c r="X495" s="152">
        <f>IF(MouserListTable[[#This Row],[Tag]]=FilterSpecs!$F$7,MouserListTable[[#This Row],['#/Unit]]*MouserListTable[[#This Row],[Price (USD)]],0)</f>
        <v>0</v>
      </c>
      <c r="Y495" s="152">
        <f>MouserListTable[[#This Row],[Tot '#]]*MouserListTable[[#This Row],[Price (USD)]]</f>
        <v>0</v>
      </c>
    </row>
    <row r="496" spans="1:25" x14ac:dyDescent="0.25">
      <c r="A496" s="97" t="s">
        <v>890</v>
      </c>
      <c r="B496" s="97" t="s">
        <v>1876</v>
      </c>
      <c r="C496" s="150" t="s">
        <v>5</v>
      </c>
      <c r="D496" s="151" t="str">
        <f>IF(MouserListTable[[#This Row],[Vendor]]=FilterSpecs!$A$8,MouserListTable[[#This Row],[Mouser SKU]], MouserListTable[[#This Row],[Supplier SKU]])</f>
        <v>474-COM-14085</v>
      </c>
      <c r="E496" s="152">
        <f>MouserListTable[[#This Row],[Tot '#]]-MouserListTable[[#This Row],['# Initial]]</f>
        <v>0</v>
      </c>
      <c r="F496" s="152">
        <f>IF(AND(MouserListTable[[#This Row],[Tag]]&lt;&gt;FilterSpecs!$F$12, MouserListTable[[#This Row],[Tag]]&lt;&gt;FilterSpecs!$F$9), MouserListTable[[#This Row],['#/Unit]]*FilterSpecs!$B$3+MouserListTable[[#This Row],[Extra Initial]],0)</f>
        <v>25</v>
      </c>
      <c r="G496" s="150" t="s">
        <v>813</v>
      </c>
      <c r="H496" s="150" t="s">
        <v>814</v>
      </c>
      <c r="I496" s="150" t="s">
        <v>815</v>
      </c>
      <c r="J496" s="150">
        <v>1</v>
      </c>
      <c r="K496" s="154">
        <v>0.95</v>
      </c>
      <c r="L496" s="150" t="s">
        <v>1896</v>
      </c>
      <c r="M496" s="150"/>
      <c r="N496" s="154">
        <f>MouserListTable[[#This Row],['# Initial]]*MouserListTable[[#This Row],[Price (USD)]]</f>
        <v>23.75</v>
      </c>
      <c r="O496" s="151" t="s">
        <v>812</v>
      </c>
      <c r="P496" s="150">
        <f t="shared" si="8"/>
        <v>483</v>
      </c>
      <c r="Q496" s="150" t="s">
        <v>5</v>
      </c>
      <c r="R49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474-COM-14085</v>
      </c>
      <c r="S496" s="157" t="str">
        <f>HYPERLINK("https://www.mouser.com/ProductDetail/" &amp;MouserListTable[[#This Row],[Mouser SKU]])</f>
        <v>https://www.mouser.com/ProductDetail/474-COM-14085</v>
      </c>
      <c r="T496" s="152">
        <v>5</v>
      </c>
      <c r="U496" s="152">
        <v>0</v>
      </c>
      <c r="V496" s="152">
        <v>0</v>
      </c>
      <c r="W496" s="152">
        <f>MouserListTable[[#This Row],['#/Unit]]*FilterSpecs!$C$3+MouserListTable[[#This Row],[Extra]]</f>
        <v>25</v>
      </c>
      <c r="X496" s="152">
        <f>IF(MouserListTable[[#This Row],[Tag]]=FilterSpecs!$F$7,MouserListTable[[#This Row],['#/Unit]]*MouserListTable[[#This Row],[Price (USD)]],0)</f>
        <v>0</v>
      </c>
      <c r="Y496" s="152">
        <f>MouserListTable[[#This Row],[Tot '#]]*MouserListTable[[#This Row],[Price (USD)]]</f>
        <v>23.75</v>
      </c>
    </row>
    <row r="497" spans="1:25" x14ac:dyDescent="0.25">
      <c r="A497" s="151" t="s">
        <v>890</v>
      </c>
      <c r="B497" s="151" t="s">
        <v>2002</v>
      </c>
      <c r="C497" s="150" t="s">
        <v>1884</v>
      </c>
      <c r="D497" s="151" t="str">
        <f>IF(MouserListTable[[#This Row],[Vendor]]=FilterSpecs!$A$8,MouserListTable[[#This Row],[Mouser SKU]], MouserListTable[[#This Row],[Supplier SKU]])</f>
        <v>485-3145</v>
      </c>
      <c r="E497" s="152">
        <f>MouserListTable[[#This Row],[Tot '#]]-MouserListTable[[#This Row],['# Initial]]</f>
        <v>0</v>
      </c>
      <c r="F497" s="152">
        <f>IF(AND(MouserListTable[[#This Row],[Tag]]&lt;&gt;FilterSpecs!$F$12, MouserListTable[[#This Row],[Tag]]&lt;&gt;FilterSpecs!$F$9), MouserListTable[[#This Row],['#/Unit]]*FilterSpecs!$B$3+MouserListTable[[#This Row],[Extra Initial]],0)</f>
        <v>3</v>
      </c>
      <c r="G497" s="150"/>
      <c r="H497" s="150"/>
      <c r="I497" s="150" t="s">
        <v>2181</v>
      </c>
      <c r="J497" s="153"/>
      <c r="K497" s="154">
        <v>1.95</v>
      </c>
      <c r="L497" s="151" t="s">
        <v>1896</v>
      </c>
      <c r="M497" s="151"/>
      <c r="N497" s="154">
        <f>MouserListTable[[#This Row],['# Initial]]*MouserListTable[[#This Row],[Price (USD)]]</f>
        <v>5.85</v>
      </c>
      <c r="O497" s="151" t="s">
        <v>2180</v>
      </c>
      <c r="P497" s="150">
        <f t="shared" si="8"/>
        <v>484</v>
      </c>
      <c r="Q497" s="150" t="s">
        <v>1884</v>
      </c>
      <c r="R49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485-3145</v>
      </c>
      <c r="S497" s="157" t="str">
        <f>HYPERLINK("https://www.mouser.com/ProductDetail/" &amp;MouserListTable[[#This Row],[Mouser SKU]])</f>
        <v>https://www.mouser.com/ProductDetail/485-3145</v>
      </c>
      <c r="T497" s="152">
        <v>0</v>
      </c>
      <c r="U497" s="152">
        <v>3</v>
      </c>
      <c r="V497" s="152">
        <v>3</v>
      </c>
      <c r="W497" s="152">
        <f>MouserListTable[[#This Row],['#/Unit]]*FilterSpecs!$C$3+MouserListTable[[#This Row],[Extra]]</f>
        <v>3</v>
      </c>
      <c r="X497" s="152">
        <f>IF(MouserListTable[[#This Row],[Tag]]=FilterSpecs!$F$7,MouserListTable[[#This Row],['#/Unit]]*MouserListTable[[#This Row],[Price (USD)]],0)</f>
        <v>0</v>
      </c>
      <c r="Y497" s="152">
        <f>MouserListTable[[#This Row],[Tot '#]]*MouserListTable[[#This Row],[Price (USD)]]</f>
        <v>5.85</v>
      </c>
    </row>
    <row r="498" spans="1:25" x14ac:dyDescent="0.25">
      <c r="A498" s="151" t="s">
        <v>890</v>
      </c>
      <c r="B498" s="151" t="s">
        <v>2002</v>
      </c>
      <c r="C498" s="150" t="s">
        <v>1884</v>
      </c>
      <c r="D498" s="151" t="str">
        <f>IF(MouserListTable[[#This Row],[Vendor]]=FilterSpecs!$A$8,MouserListTable[[#This Row],[Mouser SKU]], MouserListTable[[#This Row],[Supplier SKU]])</f>
        <v>485-3144</v>
      </c>
      <c r="E498" s="152">
        <f>MouserListTable[[#This Row],[Tot '#]]-MouserListTable[[#This Row],['# Initial]]</f>
        <v>0</v>
      </c>
      <c r="F498" s="152">
        <f>IF(AND(MouserListTable[[#This Row],[Tag]]&lt;&gt;FilterSpecs!$F$12, MouserListTable[[#This Row],[Tag]]&lt;&gt;FilterSpecs!$F$9), MouserListTable[[#This Row],['#/Unit]]*FilterSpecs!$B$3+MouserListTable[[#This Row],[Extra Initial]],0)</f>
        <v>1</v>
      </c>
      <c r="G498" s="150"/>
      <c r="H498" s="150"/>
      <c r="I498" s="150" t="s">
        <v>2171</v>
      </c>
      <c r="J498" s="153"/>
      <c r="K498" s="154">
        <v>3.95</v>
      </c>
      <c r="L498" s="151" t="s">
        <v>1896</v>
      </c>
      <c r="M498" s="151"/>
      <c r="N498" s="154">
        <f>MouserListTable[[#This Row],['# Initial]]*MouserListTable[[#This Row],[Price (USD)]]</f>
        <v>3.95</v>
      </c>
      <c r="O498" s="151" t="s">
        <v>2170</v>
      </c>
      <c r="P498" s="150">
        <f t="shared" si="8"/>
        <v>485</v>
      </c>
      <c r="Q498" s="150" t="s">
        <v>1884</v>
      </c>
      <c r="R49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485-3144</v>
      </c>
      <c r="S498" s="157" t="str">
        <f>HYPERLINK("https://www.mouser.com/ProductDetail/" &amp;MouserListTable[[#This Row],[Mouser SKU]])</f>
        <v>https://www.mouser.com/ProductDetail/485-3144</v>
      </c>
      <c r="T498" s="152">
        <v>0</v>
      </c>
      <c r="U498" s="152">
        <v>1</v>
      </c>
      <c r="V498" s="152">
        <v>1</v>
      </c>
      <c r="W498" s="152">
        <f>MouserListTable[[#This Row],['#/Unit]]*FilterSpecs!$C$3+MouserListTable[[#This Row],[Extra]]</f>
        <v>1</v>
      </c>
      <c r="X498" s="152">
        <f>IF(MouserListTable[[#This Row],[Tag]]=FilterSpecs!$F$7,MouserListTable[[#This Row],['#/Unit]]*MouserListTable[[#This Row],[Price (USD)]],0)</f>
        <v>0</v>
      </c>
      <c r="Y498" s="152">
        <f>MouserListTable[[#This Row],[Tot '#]]*MouserListTable[[#This Row],[Price (USD)]]</f>
        <v>3.95</v>
      </c>
    </row>
    <row r="499" spans="1:25" x14ac:dyDescent="0.25">
      <c r="A499" s="151" t="s">
        <v>890</v>
      </c>
      <c r="B499" s="151" t="s">
        <v>2002</v>
      </c>
      <c r="C499" s="150" t="s">
        <v>1884</v>
      </c>
      <c r="D499" s="151" t="str">
        <f>IF(MouserListTable[[#This Row],[Vendor]]=FilterSpecs!$A$8,MouserListTable[[#This Row],[Mouser SKU]], MouserListTable[[#This Row],[Supplier SKU]])</f>
        <v>485-3143</v>
      </c>
      <c r="E499" s="152">
        <f>MouserListTable[[#This Row],[Tot '#]]-MouserListTable[[#This Row],['# Initial]]</f>
        <v>0</v>
      </c>
      <c r="F499" s="152">
        <f>IF(AND(MouserListTable[[#This Row],[Tag]]&lt;&gt;FilterSpecs!$F$12, MouserListTable[[#This Row],[Tag]]&lt;&gt;FilterSpecs!$F$9), MouserListTable[[#This Row],['#/Unit]]*FilterSpecs!$B$3+MouserListTable[[#This Row],[Extra Initial]],0)</f>
        <v>2</v>
      </c>
      <c r="G499" s="150"/>
      <c r="H499" s="150"/>
      <c r="I499" s="150" t="s">
        <v>2179</v>
      </c>
      <c r="J499" s="153"/>
      <c r="K499" s="154">
        <v>1.95</v>
      </c>
      <c r="L499" s="151" t="s">
        <v>1896</v>
      </c>
      <c r="M499" s="151"/>
      <c r="N499" s="154">
        <f>MouserListTable[[#This Row],['# Initial]]*MouserListTable[[#This Row],[Price (USD)]]</f>
        <v>3.9</v>
      </c>
      <c r="O499" s="151" t="s">
        <v>2178</v>
      </c>
      <c r="P499" s="150">
        <f t="shared" si="8"/>
        <v>486</v>
      </c>
      <c r="Q499" s="150" t="s">
        <v>1884</v>
      </c>
      <c r="R49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485-3143</v>
      </c>
      <c r="S499" s="157" t="str">
        <f>HYPERLINK("https://www.mouser.com/ProductDetail/" &amp;MouserListTable[[#This Row],[Mouser SKU]])</f>
        <v>https://www.mouser.com/ProductDetail/485-3143</v>
      </c>
      <c r="T499" s="152">
        <v>0</v>
      </c>
      <c r="U499" s="152">
        <v>2</v>
      </c>
      <c r="V499" s="152">
        <v>2</v>
      </c>
      <c r="W499" s="152">
        <f>MouserListTable[[#This Row],['#/Unit]]*FilterSpecs!$C$3+MouserListTable[[#This Row],[Extra]]</f>
        <v>2</v>
      </c>
      <c r="X499" s="152">
        <f>IF(MouserListTable[[#This Row],[Tag]]=FilterSpecs!$F$7,MouserListTable[[#This Row],['#/Unit]]*MouserListTable[[#This Row],[Price (USD)]],0)</f>
        <v>0</v>
      </c>
      <c r="Y499" s="152">
        <f>MouserListTable[[#This Row],[Tot '#]]*MouserListTable[[#This Row],[Price (USD)]]</f>
        <v>3.9</v>
      </c>
    </row>
    <row r="500" spans="1:25" x14ac:dyDescent="0.25">
      <c r="A500" s="151" t="s">
        <v>890</v>
      </c>
      <c r="B500" s="151" t="s">
        <v>2002</v>
      </c>
      <c r="C500" s="150" t="s">
        <v>1884</v>
      </c>
      <c r="D500" s="151" t="str">
        <f>IF(MouserListTable[[#This Row],[Vendor]]=FilterSpecs!$A$8,MouserListTable[[#This Row],[Mouser SKU]], MouserListTable[[#This Row],[Supplier SKU]])</f>
        <v>485-3146</v>
      </c>
      <c r="E500" s="152">
        <f>MouserListTable[[#This Row],[Tot '#]]-MouserListTable[[#This Row],['# Initial]]</f>
        <v>0</v>
      </c>
      <c r="F500" s="152">
        <f>IF(AND(MouserListTable[[#This Row],[Tag]]&lt;&gt;FilterSpecs!$F$12, MouserListTable[[#This Row],[Tag]]&lt;&gt;FilterSpecs!$F$9), MouserListTable[[#This Row],['#/Unit]]*FilterSpecs!$B$3+MouserListTable[[#This Row],[Extra Initial]],0)</f>
        <v>1</v>
      </c>
      <c r="G500" s="150"/>
      <c r="H500" s="150"/>
      <c r="I500" s="150" t="s">
        <v>2173</v>
      </c>
      <c r="J500" s="153"/>
      <c r="K500" s="154">
        <v>2.95</v>
      </c>
      <c r="L500" s="151" t="s">
        <v>1896</v>
      </c>
      <c r="M500" s="151"/>
      <c r="N500" s="154">
        <f>MouserListTable[[#This Row],['# Initial]]*MouserListTable[[#This Row],[Price (USD)]]</f>
        <v>2.95</v>
      </c>
      <c r="O500" s="151" t="s">
        <v>2172</v>
      </c>
      <c r="P500" s="150">
        <f t="shared" si="8"/>
        <v>487</v>
      </c>
      <c r="Q500" s="150" t="s">
        <v>1884</v>
      </c>
      <c r="R50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485-3146</v>
      </c>
      <c r="S500" s="157" t="str">
        <f>HYPERLINK("https://www.mouser.com/ProductDetail/" &amp;MouserListTable[[#This Row],[Mouser SKU]])</f>
        <v>https://www.mouser.com/ProductDetail/485-3146</v>
      </c>
      <c r="T500" s="152">
        <v>0</v>
      </c>
      <c r="U500" s="152">
        <v>1</v>
      </c>
      <c r="V500" s="152">
        <v>1</v>
      </c>
      <c r="W500" s="152">
        <f>MouserListTable[[#This Row],['#/Unit]]*FilterSpecs!$C$3+MouserListTable[[#This Row],[Extra]]</f>
        <v>1</v>
      </c>
      <c r="X500" s="152">
        <f>IF(MouserListTable[[#This Row],[Tag]]=FilterSpecs!$F$7,MouserListTable[[#This Row],['#/Unit]]*MouserListTable[[#This Row],[Price (USD)]],0)</f>
        <v>0</v>
      </c>
      <c r="Y500" s="152">
        <f>MouserListTable[[#This Row],[Tot '#]]*MouserListTable[[#This Row],[Price (USD)]]</f>
        <v>2.95</v>
      </c>
    </row>
    <row r="501" spans="1:25" x14ac:dyDescent="0.25">
      <c r="A501" s="151" t="s">
        <v>890</v>
      </c>
      <c r="B501" s="151" t="s">
        <v>2002</v>
      </c>
      <c r="C501" s="150" t="s">
        <v>1884</v>
      </c>
      <c r="D501" s="151" t="str">
        <f>IF(MouserListTable[[#This Row],[Vendor]]=FilterSpecs!$A$8,MouserListTable[[#This Row],[Mouser SKU]], MouserListTable[[#This Row],[Supplier SKU]])</f>
        <v>485-3141</v>
      </c>
      <c r="E501" s="152">
        <f>MouserListTable[[#This Row],[Tot '#]]-MouserListTable[[#This Row],['# Initial]]</f>
        <v>5</v>
      </c>
      <c r="F501" s="152">
        <f>IF(AND(MouserListTable[[#This Row],[Tag]]&lt;&gt;FilterSpecs!$F$12, MouserListTable[[#This Row],[Tag]]&lt;&gt;FilterSpecs!$F$9), MouserListTable[[#This Row],['#/Unit]]*FilterSpecs!$B$3+MouserListTable[[#This Row],[Extra Initial]],0)</f>
        <v>5</v>
      </c>
      <c r="G501" s="150"/>
      <c r="H501" s="150"/>
      <c r="I501" s="150" t="s">
        <v>2175</v>
      </c>
      <c r="J501" s="153"/>
      <c r="K501" s="154">
        <v>2.95</v>
      </c>
      <c r="L501" s="151" t="s">
        <v>1897</v>
      </c>
      <c r="M501" s="151"/>
      <c r="N501" s="154">
        <f>MouserListTable[[#This Row],['# Initial]]*MouserListTable[[#This Row],[Price (USD)]]</f>
        <v>14.75</v>
      </c>
      <c r="O501" s="151" t="s">
        <v>2174</v>
      </c>
      <c r="P501" s="150">
        <f t="shared" si="8"/>
        <v>488</v>
      </c>
      <c r="Q501" s="150" t="s">
        <v>1884</v>
      </c>
      <c r="R50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485-3141</v>
      </c>
      <c r="S501" s="157" t="str">
        <f>HYPERLINK("https://www.mouser.com/ProductDetail/" &amp;MouserListTable[[#This Row],[Mouser SKU]])</f>
        <v>https://www.mouser.com/ProductDetail/485-3141</v>
      </c>
      <c r="T501" s="152">
        <v>1</v>
      </c>
      <c r="U501" s="152">
        <v>5</v>
      </c>
      <c r="V501" s="152">
        <v>0</v>
      </c>
      <c r="W501" s="152">
        <f>MouserListTable[[#This Row],['#/Unit]]*FilterSpecs!$C$3+MouserListTable[[#This Row],[Extra]]</f>
        <v>10</v>
      </c>
      <c r="X501" s="152">
        <f>IF(MouserListTable[[#This Row],[Tag]]=FilterSpecs!$F$7,MouserListTable[[#This Row],['#/Unit]]*MouserListTable[[#This Row],[Price (USD)]],0)</f>
        <v>2.95</v>
      </c>
      <c r="Y501" s="152">
        <f>MouserListTable[[#This Row],[Tot '#]]*MouserListTable[[#This Row],[Price (USD)]]</f>
        <v>29.5</v>
      </c>
    </row>
    <row r="502" spans="1:25" x14ac:dyDescent="0.25">
      <c r="A502" s="151" t="s">
        <v>890</v>
      </c>
      <c r="B502" s="151" t="s">
        <v>2002</v>
      </c>
      <c r="C502" s="150" t="s">
        <v>1884</v>
      </c>
      <c r="D502" s="151" t="str">
        <f>IF(MouserListTable[[#This Row],[Vendor]]=FilterSpecs!$A$8,MouserListTable[[#This Row],[Mouser SKU]], MouserListTable[[#This Row],[Supplier SKU]])</f>
        <v>485-3142</v>
      </c>
      <c r="E502" s="152">
        <f>MouserListTable[[#This Row],[Tot '#]]-MouserListTable[[#This Row],['# Initial]]</f>
        <v>5</v>
      </c>
      <c r="F502" s="152">
        <f>IF(AND(MouserListTable[[#This Row],[Tag]]&lt;&gt;FilterSpecs!$F$12, MouserListTable[[#This Row],[Tag]]&lt;&gt;FilterSpecs!$F$9), MouserListTable[[#This Row],['#/Unit]]*FilterSpecs!$B$3+MouserListTable[[#This Row],[Extra Initial]],0)</f>
        <v>5</v>
      </c>
      <c r="G502" s="150"/>
      <c r="H502" s="150"/>
      <c r="I502" s="150" t="s">
        <v>2177</v>
      </c>
      <c r="J502" s="153"/>
      <c r="K502" s="154">
        <v>3.95</v>
      </c>
      <c r="L502" s="151" t="s">
        <v>1897</v>
      </c>
      <c r="M502" s="151"/>
      <c r="N502" s="154">
        <f>MouserListTable[[#This Row],['# Initial]]*MouserListTable[[#This Row],[Price (USD)]]</f>
        <v>19.75</v>
      </c>
      <c r="O502" s="151" t="s">
        <v>2176</v>
      </c>
      <c r="P502" s="150">
        <f t="shared" si="8"/>
        <v>489</v>
      </c>
      <c r="Q502" s="150" t="s">
        <v>1884</v>
      </c>
      <c r="R50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485-3142</v>
      </c>
      <c r="S502" s="157" t="str">
        <f>HYPERLINK("https://www.mouser.com/ProductDetail/" &amp;MouserListTable[[#This Row],[Mouser SKU]])</f>
        <v>https://www.mouser.com/ProductDetail/485-3142</v>
      </c>
      <c r="T502" s="152">
        <v>1</v>
      </c>
      <c r="U502" s="152">
        <v>5</v>
      </c>
      <c r="V502" s="152">
        <v>0</v>
      </c>
      <c r="W502" s="152">
        <f>MouserListTable[[#This Row],['#/Unit]]*FilterSpecs!$C$3+MouserListTable[[#This Row],[Extra]]</f>
        <v>10</v>
      </c>
      <c r="X502" s="152">
        <f>IF(MouserListTable[[#This Row],[Tag]]=FilterSpecs!$F$7,MouserListTable[[#This Row],['#/Unit]]*MouserListTable[[#This Row],[Price (USD)]],0)</f>
        <v>3.95</v>
      </c>
      <c r="Y502" s="152">
        <f>MouserListTable[[#This Row],[Tot '#]]*MouserListTable[[#This Row],[Price (USD)]]</f>
        <v>39.5</v>
      </c>
    </row>
    <row r="503" spans="1:25" x14ac:dyDescent="0.25">
      <c r="A503" s="153" t="s">
        <v>890</v>
      </c>
      <c r="B503" s="153" t="s">
        <v>2408</v>
      </c>
      <c r="C503" s="150" t="s">
        <v>5</v>
      </c>
      <c r="D503" s="151" t="str">
        <f>IF(MouserListTable[[#This Row],[Vendor]]=FilterSpecs!$A$8,MouserListTable[[#This Row],[Mouser SKU]], MouserListTable[[#This Row],[Supplier SKU]])</f>
        <v>474-PRT-08671</v>
      </c>
      <c r="E503" s="152">
        <f>MouserListTable[[#This Row],[Tot '#]]-MouserListTable[[#This Row],['# Initial]]</f>
        <v>0</v>
      </c>
      <c r="F503" s="152">
        <f>IF(AND(MouserListTable[[#This Row],[Tag]]&lt;&gt;FilterSpecs!$F$12, MouserListTable[[#This Row],[Tag]]&lt;&gt;FilterSpecs!$F$9), MouserListTable[[#This Row],['#/Unit]]*FilterSpecs!$B$3+MouserListTable[[#This Row],[Extra Initial]],0)</f>
        <v>0</v>
      </c>
      <c r="G503" s="150" t="s">
        <v>589</v>
      </c>
      <c r="H503" s="150" t="s">
        <v>590</v>
      </c>
      <c r="I503" s="150" t="s">
        <v>591</v>
      </c>
      <c r="J503" s="150">
        <v>1</v>
      </c>
      <c r="K503" s="154">
        <v>0.95</v>
      </c>
      <c r="L503" s="151" t="s">
        <v>1896</v>
      </c>
      <c r="M503" s="150" t="s">
        <v>2373</v>
      </c>
      <c r="N503" s="154">
        <f>MouserListTable[[#This Row],['# Initial]]*MouserListTable[[#This Row],[Price (USD)]]</f>
        <v>0</v>
      </c>
      <c r="O503" s="151" t="s">
        <v>588</v>
      </c>
      <c r="P503" s="150">
        <f t="shared" si="8"/>
        <v>490</v>
      </c>
      <c r="Q503" s="150" t="s">
        <v>5</v>
      </c>
      <c r="R50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474-PRT-08671</v>
      </c>
      <c r="S503" s="157" t="str">
        <f>HYPERLINK("https://www.mouser.com/ProductDetail/" &amp;MouserListTable[[#This Row],[Mouser SKU]])</f>
        <v>https://www.mouser.com/ProductDetail/474-PRT-08671</v>
      </c>
      <c r="T503" s="152">
        <v>0</v>
      </c>
      <c r="U503" s="152">
        <v>0</v>
      </c>
      <c r="V503" s="152">
        <v>0</v>
      </c>
      <c r="W503" s="152">
        <f>MouserListTable[[#This Row],['#/Unit]]*FilterSpecs!$C$3+MouserListTable[[#This Row],[Extra]]</f>
        <v>0</v>
      </c>
      <c r="X503" s="152">
        <f>IF(MouserListTable[[#This Row],[Tag]]=FilterSpecs!$F$7,MouserListTable[[#This Row],['#/Unit]]*MouserListTable[[#This Row],[Price (USD)]],0)</f>
        <v>0</v>
      </c>
      <c r="Y503" s="152">
        <f>MouserListTable[[#This Row],[Tot '#]]*MouserListTable[[#This Row],[Price (USD)]]</f>
        <v>0</v>
      </c>
    </row>
    <row r="504" spans="1:25" x14ac:dyDescent="0.25">
      <c r="A504" s="153" t="s">
        <v>890</v>
      </c>
      <c r="B504" s="153" t="s">
        <v>2408</v>
      </c>
      <c r="C504" s="150" t="s">
        <v>5</v>
      </c>
      <c r="D504" s="151" t="str">
        <f>IF(MouserListTable[[#This Row],[Vendor]]=FilterSpecs!$A$8,MouserListTable[[#This Row],[Mouser SKU]], MouserListTable[[#This Row],[Supplier SKU]])</f>
        <v>474-PRT-08670</v>
      </c>
      <c r="E504" s="152">
        <f>MouserListTable[[#This Row],[Tot '#]]-MouserListTable[[#This Row],['# Initial]]</f>
        <v>0</v>
      </c>
      <c r="F504" s="152">
        <f>IF(AND(MouserListTable[[#This Row],[Tag]]&lt;&gt;FilterSpecs!$F$12, MouserListTable[[#This Row],[Tag]]&lt;&gt;FilterSpecs!$F$9), MouserListTable[[#This Row],['#/Unit]]*FilterSpecs!$B$3+MouserListTable[[#This Row],[Extra Initial]],0)</f>
        <v>0</v>
      </c>
      <c r="G504" s="150" t="s">
        <v>585</v>
      </c>
      <c r="H504" s="150" t="s">
        <v>586</v>
      </c>
      <c r="I504" s="150" t="s">
        <v>587</v>
      </c>
      <c r="J504" s="150">
        <v>1</v>
      </c>
      <c r="K504" s="154">
        <v>0.95</v>
      </c>
      <c r="L504" s="151" t="s">
        <v>1896</v>
      </c>
      <c r="M504" s="150" t="s">
        <v>2373</v>
      </c>
      <c r="N504" s="154">
        <f>MouserListTable[[#This Row],['# Initial]]*MouserListTable[[#This Row],[Price (USD)]]</f>
        <v>0</v>
      </c>
      <c r="O504" s="151" t="s">
        <v>584</v>
      </c>
      <c r="P504" s="150">
        <f t="shared" si="8"/>
        <v>491</v>
      </c>
      <c r="Q504" s="150" t="s">
        <v>5</v>
      </c>
      <c r="R50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474-PRT-08670</v>
      </c>
      <c r="S504" s="157" t="str">
        <f>HYPERLINK("https://www.mouser.com/ProductDetail/" &amp;MouserListTable[[#This Row],[Mouser SKU]])</f>
        <v>https://www.mouser.com/ProductDetail/474-PRT-08670</v>
      </c>
      <c r="T504" s="152">
        <v>0</v>
      </c>
      <c r="U504" s="152">
        <v>0</v>
      </c>
      <c r="V504" s="152">
        <v>0</v>
      </c>
      <c r="W504" s="152">
        <f>MouserListTable[[#This Row],['#/Unit]]*FilterSpecs!$C$3+MouserListTable[[#This Row],[Extra]]</f>
        <v>0</v>
      </c>
      <c r="X504" s="152">
        <f>IF(MouserListTable[[#This Row],[Tag]]=FilterSpecs!$F$7,MouserListTable[[#This Row],['#/Unit]]*MouserListTable[[#This Row],[Price (USD)]],0)</f>
        <v>0</v>
      </c>
      <c r="Y504" s="152">
        <f>MouserListTable[[#This Row],[Tot '#]]*MouserListTable[[#This Row],[Price (USD)]]</f>
        <v>0</v>
      </c>
    </row>
    <row r="505" spans="1:25" x14ac:dyDescent="0.25">
      <c r="A505" s="151" t="s">
        <v>890</v>
      </c>
      <c r="B505" s="151" t="s">
        <v>2408</v>
      </c>
      <c r="C505" s="150" t="s">
        <v>5</v>
      </c>
      <c r="D505" s="151" t="str">
        <f>IF(MouserListTable[[#This Row],[Vendor]]=FilterSpecs!$A$8,MouserListTable[[#This Row],[Mouser SKU]], MouserListTable[[#This Row],[Supplier SKU]])</f>
        <v>474-PRT-09914</v>
      </c>
      <c r="E505" s="152">
        <f>MouserListTable[[#This Row],[Tot '#]]-MouserListTable[[#This Row],['# Initial]]</f>
        <v>0</v>
      </c>
      <c r="F505" s="152">
        <f>IF(AND(MouserListTable[[#This Row],[Tag]]&lt;&gt;FilterSpecs!$F$12, MouserListTable[[#This Row],[Tag]]&lt;&gt;FilterSpecs!$F$9), MouserListTable[[#This Row],['#/Unit]]*FilterSpecs!$B$3+MouserListTable[[#This Row],[Extra Initial]],0)</f>
        <v>10</v>
      </c>
      <c r="G505" s="150" t="s">
        <v>505</v>
      </c>
      <c r="H505" s="150" t="s">
        <v>506</v>
      </c>
      <c r="I505" s="150" t="s">
        <v>507</v>
      </c>
      <c r="J505" s="150">
        <v>1</v>
      </c>
      <c r="K505" s="154">
        <v>0.95</v>
      </c>
      <c r="L505" s="151" t="s">
        <v>1897</v>
      </c>
      <c r="M505" s="150" t="s">
        <v>2373</v>
      </c>
      <c r="N505" s="154">
        <f>MouserListTable[[#This Row],['# Initial]]*MouserListTable[[#This Row],[Price (USD)]]</f>
        <v>9.5</v>
      </c>
      <c r="O505" s="151" t="s">
        <v>504</v>
      </c>
      <c r="P505" s="150">
        <f t="shared" si="8"/>
        <v>492</v>
      </c>
      <c r="Q505" s="150" t="s">
        <v>5</v>
      </c>
      <c r="R50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474-PRT-09914</v>
      </c>
      <c r="S505" s="157" t="str">
        <f>HYPERLINK("https://www.mouser.com/ProductDetail/" &amp;MouserListTable[[#This Row],[Mouser SKU]])</f>
        <v>https://www.mouser.com/ProductDetail/474-PRT-09914</v>
      </c>
      <c r="T505" s="152">
        <v>2</v>
      </c>
      <c r="U505" s="152">
        <v>0</v>
      </c>
      <c r="V505" s="152">
        <v>0</v>
      </c>
      <c r="W505" s="152">
        <f>MouserListTable[[#This Row],['#/Unit]]*FilterSpecs!$C$3+MouserListTable[[#This Row],[Extra]]</f>
        <v>10</v>
      </c>
      <c r="X505" s="152">
        <f>IF(MouserListTable[[#This Row],[Tag]]=FilterSpecs!$F$7,MouserListTable[[#This Row],['#/Unit]]*MouserListTable[[#This Row],[Price (USD)]],0)</f>
        <v>1.9</v>
      </c>
      <c r="Y505" s="152">
        <f>MouserListTable[[#This Row],[Tot '#]]*MouserListTable[[#This Row],[Price (USD)]]</f>
        <v>9.5</v>
      </c>
    </row>
    <row r="506" spans="1:25" x14ac:dyDescent="0.25">
      <c r="A506" s="151" t="s">
        <v>890</v>
      </c>
      <c r="B506" s="151" t="s">
        <v>2408</v>
      </c>
      <c r="C506" s="150" t="s">
        <v>5</v>
      </c>
      <c r="D506" s="151" t="str">
        <f>IF(MouserListTable[[#This Row],[Vendor]]=FilterSpecs!$A$8,MouserListTable[[#This Row],[Mouser SKU]], MouserListTable[[#This Row],[Supplier SKU]])</f>
        <v>474-PRT-09915</v>
      </c>
      <c r="E506" s="152">
        <f>MouserListTable[[#This Row],[Tot '#]]-MouserListTable[[#This Row],['# Initial]]</f>
        <v>0</v>
      </c>
      <c r="F506" s="152">
        <f>IF(AND(MouserListTable[[#This Row],[Tag]]&lt;&gt;FilterSpecs!$F$12, MouserListTable[[#This Row],[Tag]]&lt;&gt;FilterSpecs!$F$9), MouserListTable[[#This Row],['#/Unit]]*FilterSpecs!$B$3+MouserListTable[[#This Row],[Extra Initial]],0)</f>
        <v>5</v>
      </c>
      <c r="G506" s="150" t="s">
        <v>1341</v>
      </c>
      <c r="H506" s="150" t="s">
        <v>1342</v>
      </c>
      <c r="I506" s="150" t="s">
        <v>1343</v>
      </c>
      <c r="J506" s="150">
        <v>1</v>
      </c>
      <c r="K506" s="154">
        <v>1.5</v>
      </c>
      <c r="L506" s="151" t="s">
        <v>1897</v>
      </c>
      <c r="M506" s="150" t="s">
        <v>2373</v>
      </c>
      <c r="N506" s="154">
        <f>MouserListTable[[#This Row],['# Initial]]*MouserListTable[[#This Row],[Price (USD)]]</f>
        <v>7.5</v>
      </c>
      <c r="O506" s="151" t="s">
        <v>1340</v>
      </c>
      <c r="P506" s="150">
        <f t="shared" si="8"/>
        <v>493</v>
      </c>
      <c r="Q506" s="150" t="s">
        <v>5</v>
      </c>
      <c r="R50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474-PRT-09915</v>
      </c>
      <c r="S506" s="157" t="str">
        <f>HYPERLINK("https://www.mouser.com/ProductDetail/" &amp;MouserListTable[[#This Row],[Mouser SKU]])</f>
        <v>https://www.mouser.com/ProductDetail/474-PRT-09915</v>
      </c>
      <c r="T506" s="152">
        <v>1</v>
      </c>
      <c r="U506" s="152">
        <v>0</v>
      </c>
      <c r="V506" s="152">
        <v>0</v>
      </c>
      <c r="W506" s="152">
        <f>MouserListTable[[#This Row],['#/Unit]]*FilterSpecs!$C$3+MouserListTable[[#This Row],[Extra]]</f>
        <v>5</v>
      </c>
      <c r="X506" s="152">
        <f>IF(MouserListTable[[#This Row],[Tag]]=FilterSpecs!$F$7,MouserListTable[[#This Row],['#/Unit]]*MouserListTable[[#This Row],[Price (USD)]],0)</f>
        <v>1.5</v>
      </c>
      <c r="Y506" s="152">
        <f>MouserListTable[[#This Row],[Tot '#]]*MouserListTable[[#This Row],[Price (USD)]]</f>
        <v>7.5</v>
      </c>
    </row>
    <row r="507" spans="1:25" x14ac:dyDescent="0.25">
      <c r="A507" s="151" t="s">
        <v>890</v>
      </c>
      <c r="B507" s="151" t="s">
        <v>2408</v>
      </c>
      <c r="C507" s="150" t="s">
        <v>5</v>
      </c>
      <c r="D507" s="151" t="str">
        <f>IF(MouserListTable[[#This Row],[Vendor]]=FilterSpecs!$A$8,MouserListTable[[#This Row],[Mouser SKU]], MouserListTable[[#This Row],[Supplier SKU]])</f>
        <v>474-PRT-09916</v>
      </c>
      <c r="E507" s="152">
        <f>MouserListTable[[#This Row],[Tot '#]]-MouserListTable[[#This Row],['# Initial]]</f>
        <v>0</v>
      </c>
      <c r="F507" s="152">
        <f>IF(AND(MouserListTable[[#This Row],[Tag]]&lt;&gt;FilterSpecs!$F$12, MouserListTable[[#This Row],[Tag]]&lt;&gt;FilterSpecs!$F$9), MouserListTable[[#This Row],['#/Unit]]*FilterSpecs!$B$3+MouserListTable[[#This Row],[Extra Initial]],0)</f>
        <v>10</v>
      </c>
      <c r="G507" s="150" t="s">
        <v>479</v>
      </c>
      <c r="H507" s="150" t="s">
        <v>480</v>
      </c>
      <c r="I507" s="150" t="s">
        <v>481</v>
      </c>
      <c r="J507" s="150"/>
      <c r="K507" s="154">
        <v>1.5</v>
      </c>
      <c r="L507" s="151" t="s">
        <v>1897</v>
      </c>
      <c r="M507" s="150" t="s">
        <v>2373</v>
      </c>
      <c r="N507" s="154">
        <f>MouserListTable[[#This Row],['# Initial]]*MouserListTable[[#This Row],[Price (USD)]]</f>
        <v>15</v>
      </c>
      <c r="O507" s="151" t="s">
        <v>478</v>
      </c>
      <c r="P507" s="150">
        <f t="shared" si="8"/>
        <v>494</v>
      </c>
      <c r="Q507" s="150" t="s">
        <v>5</v>
      </c>
      <c r="R50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474-PRT-09916</v>
      </c>
      <c r="S507" s="157" t="str">
        <f>HYPERLINK("https://www.mouser.com/ProductDetail/" &amp;MouserListTable[[#This Row],[Mouser SKU]])</f>
        <v>https://www.mouser.com/ProductDetail/474-PRT-09916</v>
      </c>
      <c r="T507" s="152">
        <v>2</v>
      </c>
      <c r="U507" s="152">
        <v>0</v>
      </c>
      <c r="V507" s="152">
        <v>0</v>
      </c>
      <c r="W507" s="152">
        <f>MouserListTable[[#This Row],['#/Unit]]*FilterSpecs!$C$3+MouserListTable[[#This Row],[Extra]]</f>
        <v>10</v>
      </c>
      <c r="X507" s="152">
        <f>IF(MouserListTable[[#This Row],[Tag]]=FilterSpecs!$F$7,MouserListTable[[#This Row],['#/Unit]]*MouserListTable[[#This Row],[Price (USD)]],0)</f>
        <v>3</v>
      </c>
      <c r="Y507" s="152">
        <f>MouserListTable[[#This Row],[Tot '#]]*MouserListTable[[#This Row],[Price (USD)]]</f>
        <v>15</v>
      </c>
    </row>
    <row r="508" spans="1:25" x14ac:dyDescent="0.25">
      <c r="A508" s="151" t="s">
        <v>890</v>
      </c>
      <c r="B508" s="151" t="s">
        <v>2408</v>
      </c>
      <c r="C508" s="150" t="s">
        <v>1884</v>
      </c>
      <c r="D508" s="151" t="str">
        <f>IF(MouserListTable[[#This Row],[Vendor]]=FilterSpecs!$A$8,MouserListTable[[#This Row],[Mouser SKU]], MouserListTable[[#This Row],[Supplier SKU]])</f>
        <v>485-3064</v>
      </c>
      <c r="E508" s="152">
        <f>MouserListTable[[#This Row],[Tot '#]]-MouserListTable[[#This Row],['# Initial]]</f>
        <v>0</v>
      </c>
      <c r="F508" s="152">
        <f>IF(AND(MouserListTable[[#This Row],[Tag]]&lt;&gt;FilterSpecs!$F$12, MouserListTable[[#This Row],[Tag]]&lt;&gt;FilterSpecs!$F$9), MouserListTable[[#This Row],['#/Unit]]*FilterSpecs!$B$3+MouserListTable[[#This Row],[Extra Initial]],0)</f>
        <v>5</v>
      </c>
      <c r="G508" s="150"/>
      <c r="H508" s="150"/>
      <c r="I508" s="150" t="s">
        <v>2185</v>
      </c>
      <c r="J508" s="153"/>
      <c r="K508" s="154">
        <v>2.95</v>
      </c>
      <c r="L508" s="151" t="s">
        <v>1897</v>
      </c>
      <c r="M508" s="151" t="s">
        <v>2373</v>
      </c>
      <c r="N508" s="154">
        <f>MouserListTable[[#This Row],['# Initial]]*MouserListTable[[#This Row],[Price (USD)]]</f>
        <v>14.75</v>
      </c>
      <c r="O508" s="151" t="s">
        <v>2184</v>
      </c>
      <c r="P508" s="150">
        <f t="shared" si="8"/>
        <v>495</v>
      </c>
      <c r="Q508" s="150" t="s">
        <v>1884</v>
      </c>
      <c r="R50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485-3064</v>
      </c>
      <c r="S508" s="157" t="str">
        <f>HYPERLINK("https://www.mouser.com/ProductDetail/" &amp;MouserListTable[[#This Row],[Mouser SKU]])</f>
        <v>https://www.mouser.com/ProductDetail/485-3064</v>
      </c>
      <c r="T508" s="152">
        <v>1</v>
      </c>
      <c r="U508" s="152">
        <v>0</v>
      </c>
      <c r="V508" s="152">
        <v>0</v>
      </c>
      <c r="W508" s="152">
        <f>MouserListTable[[#This Row],['#/Unit]]*FilterSpecs!$C$3+MouserListTable[[#This Row],[Extra]]</f>
        <v>5</v>
      </c>
      <c r="X508" s="152">
        <f>IF(MouserListTable[[#This Row],[Tag]]=FilterSpecs!$F$7,MouserListTable[[#This Row],['#/Unit]]*MouserListTable[[#This Row],[Price (USD)]],0)</f>
        <v>2.95</v>
      </c>
      <c r="Y508" s="152">
        <f>MouserListTable[[#This Row],[Tot '#]]*MouserListTable[[#This Row],[Price (USD)]]</f>
        <v>14.75</v>
      </c>
    </row>
    <row r="509" spans="1:25" x14ac:dyDescent="0.25">
      <c r="A509" s="151" t="s">
        <v>890</v>
      </c>
      <c r="B509" s="151" t="s">
        <v>2408</v>
      </c>
      <c r="C509" s="150" t="s">
        <v>1884</v>
      </c>
      <c r="D509" s="151" t="str">
        <f>IF(MouserListTable[[#This Row],[Vendor]]=FilterSpecs!$A$8,MouserListTable[[#This Row],[Mouser SKU]], MouserListTable[[#This Row],[Supplier SKU]])</f>
        <v>485-3568</v>
      </c>
      <c r="E509" s="152">
        <f>MouserListTable[[#This Row],[Tot '#]]-MouserListTable[[#This Row],['# Initial]]</f>
        <v>0</v>
      </c>
      <c r="F509" s="152">
        <f>IF(AND(MouserListTable[[#This Row],[Tag]]&lt;&gt;FilterSpecs!$F$12, MouserListTable[[#This Row],[Tag]]&lt;&gt;FilterSpecs!$F$9), MouserListTable[[#This Row],['#/Unit]]*FilterSpecs!$B$3+MouserListTable[[#This Row],[Extra Initial]],0)</f>
        <v>0</v>
      </c>
      <c r="G509" s="150"/>
      <c r="H509" s="150"/>
      <c r="I509" s="150" t="s">
        <v>2187</v>
      </c>
      <c r="J509" s="153"/>
      <c r="K509" s="118">
        <v>0.75</v>
      </c>
      <c r="L509" s="153" t="s">
        <v>1896</v>
      </c>
      <c r="M509" s="153" t="s">
        <v>2373</v>
      </c>
      <c r="N509" s="154">
        <f>MouserListTable[[#This Row],['# Initial]]*MouserListTable[[#This Row],[Price (USD)]]</f>
        <v>0</v>
      </c>
      <c r="O509" s="151" t="s">
        <v>2186</v>
      </c>
      <c r="P509" s="150">
        <f t="shared" si="8"/>
        <v>496</v>
      </c>
      <c r="Q509" s="150" t="s">
        <v>1884</v>
      </c>
      <c r="R50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485-3568</v>
      </c>
      <c r="S509" s="157" t="str">
        <f>HYPERLINK("https://www.mouser.com/ProductDetail/" &amp;MouserListTable[[#This Row],[Mouser SKU]])</f>
        <v>https://www.mouser.com/ProductDetail/485-3568</v>
      </c>
      <c r="T509" s="152">
        <v>0</v>
      </c>
      <c r="U509" s="152">
        <v>0</v>
      </c>
      <c r="V509" s="152">
        <v>0</v>
      </c>
      <c r="W509" s="152">
        <f>MouserListTable[[#This Row],['#/Unit]]*FilterSpecs!$C$3+MouserListTable[[#This Row],[Extra]]</f>
        <v>0</v>
      </c>
      <c r="X509" s="152">
        <f>IF(MouserListTable[[#This Row],[Tag]]=FilterSpecs!$F$7,MouserListTable[[#This Row],['#/Unit]]*MouserListTable[[#This Row],[Price (USD)]],0)</f>
        <v>0</v>
      </c>
      <c r="Y509" s="152">
        <f>MouserListTable[[#This Row],[Tot '#]]*MouserListTable[[#This Row],[Price (USD)]]</f>
        <v>0</v>
      </c>
    </row>
    <row r="510" spans="1:25" x14ac:dyDescent="0.25">
      <c r="A510" s="151" t="s">
        <v>890</v>
      </c>
      <c r="B510" s="151" t="s">
        <v>2409</v>
      </c>
      <c r="C510" s="150" t="s">
        <v>5</v>
      </c>
      <c r="D510" s="151" t="str">
        <f>IF(MouserListTable[[#This Row],[Vendor]]=FilterSpecs!$A$8,MouserListTable[[#This Row],[Mouser SKU]], MouserListTable[[#This Row],[Supplier SKU]])</f>
        <v>474-PRT-10359</v>
      </c>
      <c r="E510" s="152">
        <f>MouserListTable[[#This Row],[Tot '#]]-MouserListTable[[#This Row],['# Initial]]</f>
        <v>0</v>
      </c>
      <c r="F510" s="152">
        <f>IF(AND(MouserListTable[[#This Row],[Tag]]&lt;&gt;FilterSpecs!$F$12, MouserListTable[[#This Row],[Tag]]&lt;&gt;FilterSpecs!$F$9), MouserListTable[[#This Row],['#/Unit]]*FilterSpecs!$B$3+MouserListTable[[#This Row],[Extra Initial]],0)</f>
        <v>5</v>
      </c>
      <c r="G510" s="150" t="s">
        <v>1806</v>
      </c>
      <c r="H510" s="150" t="s">
        <v>1807</v>
      </c>
      <c r="I510" s="150" t="s">
        <v>1808</v>
      </c>
      <c r="J510" s="150"/>
      <c r="K510" s="154">
        <v>1.5</v>
      </c>
      <c r="L510" s="151" t="s">
        <v>1897</v>
      </c>
      <c r="M510" s="150" t="s">
        <v>2372</v>
      </c>
      <c r="N510" s="154">
        <f>MouserListTable[[#This Row],['# Initial]]*MouserListTable[[#This Row],[Price (USD)]]</f>
        <v>7.5</v>
      </c>
      <c r="O510" s="151" t="s">
        <v>1805</v>
      </c>
      <c r="P510" s="150">
        <f t="shared" si="8"/>
        <v>497</v>
      </c>
      <c r="Q510" s="150" t="s">
        <v>5</v>
      </c>
      <c r="R51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474-PRT-10359</v>
      </c>
      <c r="S510" s="157" t="str">
        <f>HYPERLINK("https://www.mouser.com/ProductDetail/" &amp;MouserListTable[[#This Row],[Mouser SKU]])</f>
        <v>https://www.mouser.com/ProductDetail/474-PRT-10359</v>
      </c>
      <c r="T510" s="152">
        <v>1</v>
      </c>
      <c r="U510" s="152">
        <v>0</v>
      </c>
      <c r="V510" s="152">
        <v>0</v>
      </c>
      <c r="W510" s="152">
        <f>MouserListTable[[#This Row],['#/Unit]]*FilterSpecs!$C$3+MouserListTable[[#This Row],[Extra]]</f>
        <v>5</v>
      </c>
      <c r="X510" s="152">
        <f>IF(MouserListTable[[#This Row],[Tag]]=FilterSpecs!$F$7,MouserListTable[[#This Row],['#/Unit]]*MouserListTable[[#This Row],[Price (USD)]],0)</f>
        <v>1.5</v>
      </c>
      <c r="Y510" s="152">
        <f>MouserListTable[[#This Row],[Tot '#]]*MouserListTable[[#This Row],[Price (USD)]]</f>
        <v>7.5</v>
      </c>
    </row>
    <row r="511" spans="1:25" x14ac:dyDescent="0.25">
      <c r="A511" s="153" t="s">
        <v>890</v>
      </c>
      <c r="B511" s="153" t="s">
        <v>2409</v>
      </c>
      <c r="C511" s="150" t="s">
        <v>5</v>
      </c>
      <c r="D511" s="151" t="str">
        <f>IF(MouserListTable[[#This Row],[Vendor]]=FilterSpecs!$A$8,MouserListTable[[#This Row],[Mouser SKU]], MouserListTable[[#This Row],[Supplier SKU]])</f>
        <v>474-GPS-00574</v>
      </c>
      <c r="E511" s="152">
        <f>MouserListTable[[#This Row],[Tot '#]]-MouserListTable[[#This Row],['# Initial]]</f>
        <v>0</v>
      </c>
      <c r="F511" s="152">
        <f>IF(AND(MouserListTable[[#This Row],[Tag]]&lt;&gt;FilterSpecs!$F$12, MouserListTable[[#This Row],[Tag]]&lt;&gt;FilterSpecs!$F$9), MouserListTable[[#This Row],['#/Unit]]*FilterSpecs!$B$3+MouserListTable[[#This Row],[Extra Initial]],0)</f>
        <v>0</v>
      </c>
      <c r="G511" s="150" t="s">
        <v>1798</v>
      </c>
      <c r="H511" s="150" t="s">
        <v>1799</v>
      </c>
      <c r="I511" s="150" t="s">
        <v>1800</v>
      </c>
      <c r="J511" s="150"/>
      <c r="K511" s="154">
        <v>2.95</v>
      </c>
      <c r="L511" s="151" t="s">
        <v>1896</v>
      </c>
      <c r="M511" s="150" t="s">
        <v>2372</v>
      </c>
      <c r="N511" s="154">
        <f>MouserListTable[[#This Row],['# Initial]]*MouserListTable[[#This Row],[Price (USD)]]</f>
        <v>0</v>
      </c>
      <c r="O511" s="151" t="s">
        <v>1797</v>
      </c>
      <c r="P511" s="150">
        <f t="shared" si="8"/>
        <v>498</v>
      </c>
      <c r="Q511" s="150" t="s">
        <v>5</v>
      </c>
      <c r="R51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474-GPS-00574</v>
      </c>
      <c r="S511" s="157" t="str">
        <f>HYPERLINK("https://www.mouser.com/ProductDetail/" &amp;MouserListTable[[#This Row],[Mouser SKU]])</f>
        <v>https://www.mouser.com/ProductDetail/474-GPS-00574</v>
      </c>
      <c r="T511" s="152">
        <v>0</v>
      </c>
      <c r="U511" s="152">
        <v>0</v>
      </c>
      <c r="V511" s="152">
        <v>0</v>
      </c>
      <c r="W511" s="152">
        <f>MouserListTable[[#This Row],['#/Unit]]*FilterSpecs!$C$3+MouserListTable[[#This Row],[Extra]]</f>
        <v>0</v>
      </c>
      <c r="X511" s="152">
        <f>IF(MouserListTable[[#This Row],[Tag]]=FilterSpecs!$F$7,MouserListTable[[#This Row],['#/Unit]]*MouserListTable[[#This Row],[Price (USD)]],0)</f>
        <v>0</v>
      </c>
      <c r="Y511" s="152">
        <f>MouserListTable[[#This Row],[Tot '#]]*MouserListTable[[#This Row],[Price (USD)]]</f>
        <v>0</v>
      </c>
    </row>
    <row r="512" spans="1:25" x14ac:dyDescent="0.25">
      <c r="A512" s="153" t="s">
        <v>890</v>
      </c>
      <c r="B512" s="153" t="s">
        <v>2409</v>
      </c>
      <c r="C512" s="150" t="s">
        <v>5</v>
      </c>
      <c r="D512" s="151" t="str">
        <f>IF(MouserListTable[[#This Row],[Vendor]]=FilterSpecs!$A$8,MouserListTable[[#This Row],[Mouser SKU]], MouserListTable[[#This Row],[Supplier SKU]])</f>
        <v>474-PRT-10361</v>
      </c>
      <c r="E512" s="152">
        <f>MouserListTable[[#This Row],[Tot '#]]-MouserListTable[[#This Row],['# Initial]]</f>
        <v>0</v>
      </c>
      <c r="F512" s="152">
        <f>IF(AND(MouserListTable[[#This Row],[Tag]]&lt;&gt;FilterSpecs!$F$12, MouserListTable[[#This Row],[Tag]]&lt;&gt;FilterSpecs!$F$9), MouserListTable[[#This Row],['#/Unit]]*FilterSpecs!$B$3+MouserListTable[[#This Row],[Extra Initial]],0)</f>
        <v>0</v>
      </c>
      <c r="G512" s="150" t="s">
        <v>1790</v>
      </c>
      <c r="H512" s="150" t="s">
        <v>1791</v>
      </c>
      <c r="I512" s="150" t="s">
        <v>1792</v>
      </c>
      <c r="J512" s="150"/>
      <c r="K512" s="154">
        <v>1.5</v>
      </c>
      <c r="L512" s="151" t="s">
        <v>1896</v>
      </c>
      <c r="M512" s="150" t="s">
        <v>2372</v>
      </c>
      <c r="N512" s="154">
        <f>MouserListTable[[#This Row],['# Initial]]*MouserListTable[[#This Row],[Price (USD)]]</f>
        <v>0</v>
      </c>
      <c r="O512" s="151" t="s">
        <v>1789</v>
      </c>
      <c r="P512" s="150">
        <f t="shared" si="8"/>
        <v>499</v>
      </c>
      <c r="Q512" s="150" t="s">
        <v>5</v>
      </c>
      <c r="R51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474-PRT-10361</v>
      </c>
      <c r="S512" s="157" t="str">
        <f>HYPERLINK("https://www.mouser.com/ProductDetail/" &amp;MouserListTable[[#This Row],[Mouser SKU]])</f>
        <v>https://www.mouser.com/ProductDetail/474-PRT-10361</v>
      </c>
      <c r="T512" s="152">
        <v>0</v>
      </c>
      <c r="U512" s="152">
        <v>0</v>
      </c>
      <c r="V512" s="152">
        <v>0</v>
      </c>
      <c r="W512" s="152">
        <f>MouserListTable[[#This Row],['#/Unit]]*FilterSpecs!$C$3+MouserListTable[[#This Row],[Extra]]</f>
        <v>0</v>
      </c>
      <c r="X512" s="152">
        <f>IF(MouserListTable[[#This Row],[Tag]]=FilterSpecs!$F$7,MouserListTable[[#This Row],['#/Unit]]*MouserListTable[[#This Row],[Price (USD)]],0)</f>
        <v>0</v>
      </c>
      <c r="Y512" s="152">
        <f>MouserListTable[[#This Row],[Tot '#]]*MouserListTable[[#This Row],[Price (USD)]]</f>
        <v>0</v>
      </c>
    </row>
    <row r="513" spans="1:25" x14ac:dyDescent="0.25">
      <c r="A513" s="153" t="s">
        <v>890</v>
      </c>
      <c r="B513" s="153" t="s">
        <v>2409</v>
      </c>
      <c r="C513" s="150" t="s">
        <v>5</v>
      </c>
      <c r="D513" s="151" t="str">
        <f>IF(MouserListTable[[#This Row],[Vendor]]=FilterSpecs!$A$8,MouserListTable[[#This Row],[Mouser SKU]], MouserListTable[[#This Row],[Supplier SKU]])</f>
        <v>474-GPS-09123</v>
      </c>
      <c r="E513" s="152">
        <f>MouserListTable[[#This Row],[Tot '#]]-MouserListTable[[#This Row],['# Initial]]</f>
        <v>0</v>
      </c>
      <c r="F513" s="152">
        <f>IF(AND(MouserListTable[[#This Row],[Tag]]&lt;&gt;FilterSpecs!$F$12, MouserListTable[[#This Row],[Tag]]&lt;&gt;FilterSpecs!$F$9), MouserListTable[[#This Row],['#/Unit]]*FilterSpecs!$B$3+MouserListTable[[#This Row],[Extra Initial]],0)</f>
        <v>0</v>
      </c>
      <c r="G513" s="150" t="s">
        <v>1802</v>
      </c>
      <c r="H513" s="150" t="s">
        <v>1803</v>
      </c>
      <c r="I513" s="150" t="s">
        <v>1804</v>
      </c>
      <c r="J513" s="150">
        <v>1</v>
      </c>
      <c r="K513" s="154">
        <v>2.95</v>
      </c>
      <c r="L513" s="151" t="s">
        <v>1896</v>
      </c>
      <c r="M513" s="150" t="s">
        <v>2372</v>
      </c>
      <c r="N513" s="154">
        <f>MouserListTable[[#This Row],['# Initial]]*MouserListTable[[#This Row],[Price (USD)]]</f>
        <v>0</v>
      </c>
      <c r="O513" s="151" t="s">
        <v>1801</v>
      </c>
      <c r="P513" s="150">
        <f t="shared" si="8"/>
        <v>500</v>
      </c>
      <c r="Q513" s="150" t="s">
        <v>5</v>
      </c>
      <c r="R51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474-GPS-09123</v>
      </c>
      <c r="S513" s="157" t="str">
        <f>HYPERLINK("https://www.mouser.com/ProductDetail/" &amp;MouserListTable[[#This Row],[Mouser SKU]])</f>
        <v>https://www.mouser.com/ProductDetail/474-GPS-09123</v>
      </c>
      <c r="T513" s="152">
        <v>0</v>
      </c>
      <c r="U513" s="152">
        <v>0</v>
      </c>
      <c r="V513" s="152">
        <v>0</v>
      </c>
      <c r="W513" s="152">
        <f>MouserListTable[[#This Row],['#/Unit]]*FilterSpecs!$C$3+MouserListTable[[#This Row],[Extra]]</f>
        <v>0</v>
      </c>
      <c r="X513" s="152">
        <f>IF(MouserListTable[[#This Row],[Tag]]=FilterSpecs!$F$7,MouserListTable[[#This Row],['#/Unit]]*MouserListTable[[#This Row],[Price (USD)]],0)</f>
        <v>0</v>
      </c>
      <c r="Y513" s="152">
        <f>MouserListTable[[#This Row],[Tot '#]]*MouserListTable[[#This Row],[Price (USD)]]</f>
        <v>0</v>
      </c>
    </row>
    <row r="514" spans="1:25" x14ac:dyDescent="0.25">
      <c r="A514" s="153" t="s">
        <v>890</v>
      </c>
      <c r="B514" s="153" t="s">
        <v>2409</v>
      </c>
      <c r="C514" s="150" t="s">
        <v>5</v>
      </c>
      <c r="D514" s="151" t="str">
        <f>IF(MouserListTable[[#This Row],[Vendor]]=FilterSpecs!$A$8,MouserListTable[[#This Row],[Mouser SKU]], MouserListTable[[#This Row],[Supplier SKU]])</f>
        <v>474-PRT-10853</v>
      </c>
      <c r="E514" s="152">
        <f>MouserListTable[[#This Row],[Tot '#]]-MouserListTable[[#This Row],['# Initial]]</f>
        <v>0</v>
      </c>
      <c r="F514" s="152">
        <f>IF(AND(MouserListTable[[#This Row],[Tag]]&lt;&gt;FilterSpecs!$F$12, MouserListTable[[#This Row],[Tag]]&lt;&gt;FilterSpecs!$F$9), MouserListTable[[#This Row],['#/Unit]]*FilterSpecs!$B$3+MouserListTable[[#This Row],[Extra Initial]],0)</f>
        <v>0</v>
      </c>
      <c r="G514" s="150" t="s">
        <v>2405</v>
      </c>
      <c r="H514" s="150" t="s">
        <v>2406</v>
      </c>
      <c r="I514" s="150" t="s">
        <v>2407</v>
      </c>
      <c r="J514" s="150">
        <v>1</v>
      </c>
      <c r="K514" s="154">
        <v>0.95</v>
      </c>
      <c r="L514" s="153" t="s">
        <v>1896</v>
      </c>
      <c r="M514" s="153" t="s">
        <v>2372</v>
      </c>
      <c r="N514" s="154">
        <f>MouserListTable[[#This Row],['# Initial]]*MouserListTable[[#This Row],[Price (USD)]]</f>
        <v>0</v>
      </c>
      <c r="O514" s="151" t="s">
        <v>2404</v>
      </c>
      <c r="P514" s="150">
        <f t="shared" si="8"/>
        <v>501</v>
      </c>
      <c r="Q514" s="150" t="s">
        <v>5</v>
      </c>
      <c r="R51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474-PRT-10853</v>
      </c>
      <c r="S514" s="157" t="str">
        <f>HYPERLINK("https://www.mouser.com/ProductDetail/" &amp;MouserListTable[[#This Row],[Mouser SKU]])</f>
        <v>https://www.mouser.com/ProductDetail/474-PRT-10853</v>
      </c>
      <c r="T514" s="152">
        <v>0</v>
      </c>
      <c r="U514" s="152">
        <v>0</v>
      </c>
      <c r="V514" s="152">
        <v>0</v>
      </c>
      <c r="W514" s="152">
        <f>MouserListTable[[#This Row],['#/Unit]]*FilterSpecs!$C$3+MouserListTable[[#This Row],[Extra]]</f>
        <v>0</v>
      </c>
      <c r="X514" s="152">
        <f>IF(MouserListTable[[#This Row],[Tag]]=FilterSpecs!$F$7,MouserListTable[[#This Row],['#/Unit]]*MouserListTable[[#This Row],[Price (USD)]],0)</f>
        <v>0</v>
      </c>
      <c r="Y514" s="152">
        <f>MouserListTable[[#This Row],[Tot '#]]*MouserListTable[[#This Row],[Price (USD)]]</f>
        <v>0</v>
      </c>
    </row>
    <row r="515" spans="1:25" x14ac:dyDescent="0.25">
      <c r="A515" s="151" t="s">
        <v>890</v>
      </c>
      <c r="B515" s="151" t="s">
        <v>2410</v>
      </c>
      <c r="C515" s="150" t="s">
        <v>1884</v>
      </c>
      <c r="D515" s="151" t="str">
        <f>IF(MouserListTable[[#This Row],[Vendor]]=FilterSpecs!$A$8,MouserListTable[[#This Row],[Mouser SKU]], MouserListTable[[#This Row],[Supplier SKU]])</f>
        <v>485-578</v>
      </c>
      <c r="E515" s="152">
        <f>MouserListTable[[#This Row],[Tot '#]]-MouserListTable[[#This Row],['# Initial]]</f>
        <v>0</v>
      </c>
      <c r="F515" s="152">
        <f>IF(AND(MouserListTable[[#This Row],[Tag]]&lt;&gt;FilterSpecs!$F$12, MouserListTable[[#This Row],[Tag]]&lt;&gt;FilterSpecs!$F$9), MouserListTable[[#This Row],['#/Unit]]*FilterSpecs!$B$3+MouserListTable[[#This Row],[Extra Initial]],0)</f>
        <v>0</v>
      </c>
      <c r="G515" s="150"/>
      <c r="H515" s="150"/>
      <c r="I515" s="150" t="s">
        <v>2183</v>
      </c>
      <c r="J515" s="153"/>
      <c r="K515" s="118">
        <v>1.5</v>
      </c>
      <c r="L515" s="153" t="s">
        <v>1899</v>
      </c>
      <c r="M515" s="153" t="s">
        <v>2373</v>
      </c>
      <c r="N515" s="154">
        <f>MouserListTable[[#This Row],['# Initial]]*MouserListTable[[#This Row],[Price (USD)]]</f>
        <v>0</v>
      </c>
      <c r="O515" s="151" t="s">
        <v>2182</v>
      </c>
      <c r="P515" s="150">
        <f t="shared" si="8"/>
        <v>502</v>
      </c>
      <c r="Q515" s="150" t="s">
        <v>1884</v>
      </c>
      <c r="R51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485-578</v>
      </c>
      <c r="S515" s="157" t="str">
        <f>HYPERLINK("https://www.mouser.com/ProductDetail/" &amp;MouserListTable[[#This Row],[Mouser SKU]])</f>
        <v>https://www.mouser.com/ProductDetail/485-578</v>
      </c>
      <c r="T515" s="152">
        <v>0</v>
      </c>
      <c r="U515" s="152">
        <v>0</v>
      </c>
      <c r="V515" s="152">
        <v>0</v>
      </c>
      <c r="W515" s="152">
        <f>MouserListTable[[#This Row],['#/Unit]]*FilterSpecs!$C$3+MouserListTable[[#This Row],[Extra]]</f>
        <v>0</v>
      </c>
      <c r="X515" s="152">
        <f>IF(MouserListTable[[#This Row],[Tag]]=FilterSpecs!$F$7,MouserListTable[[#This Row],['#/Unit]]*MouserListTable[[#This Row],[Price (USD)]],0)</f>
        <v>0</v>
      </c>
      <c r="Y515" s="152">
        <f>MouserListTable[[#This Row],[Tot '#]]*MouserListTable[[#This Row],[Price (USD)]]</f>
        <v>0</v>
      </c>
    </row>
    <row r="516" spans="1:25" x14ac:dyDescent="0.25">
      <c r="A516" s="151" t="s">
        <v>890</v>
      </c>
      <c r="B516" s="151" t="s">
        <v>1597</v>
      </c>
      <c r="C516" s="150" t="s">
        <v>5</v>
      </c>
      <c r="D516" s="151" t="str">
        <f>IF(MouserListTable[[#This Row],[Vendor]]=FilterSpecs!$A$8,MouserListTable[[#This Row],[Mouser SKU]], MouserListTable[[#This Row],[Supplier SKU]])</f>
        <v>474-CAB-13685</v>
      </c>
      <c r="E516" s="152">
        <f>MouserListTable[[#This Row],[Tot '#]]-MouserListTable[[#This Row],['# Initial]]</f>
        <v>1</v>
      </c>
      <c r="F516" s="152">
        <f>IF(AND(MouserListTable[[#This Row],[Tag]]&lt;&gt;FilterSpecs!$F$12, MouserListTable[[#This Row],[Tag]]&lt;&gt;FilterSpecs!$F$9), MouserListTable[[#This Row],['#/Unit]]*FilterSpecs!$B$3+MouserListTable[[#This Row],[Extra Initial]],0)</f>
        <v>5</v>
      </c>
      <c r="G516" s="150" t="s">
        <v>513</v>
      </c>
      <c r="H516" s="150" t="s">
        <v>514</v>
      </c>
      <c r="I516" s="150" t="s">
        <v>515</v>
      </c>
      <c r="J516" s="150">
        <v>1</v>
      </c>
      <c r="K516" s="154">
        <v>1.5</v>
      </c>
      <c r="L516" s="151" t="s">
        <v>1897</v>
      </c>
      <c r="M516" s="150" t="s">
        <v>2373</v>
      </c>
      <c r="N516" s="154">
        <f>MouserListTable[[#This Row],['# Initial]]*MouserListTable[[#This Row],[Price (USD)]]</f>
        <v>7.5</v>
      </c>
      <c r="O516" s="151" t="s">
        <v>512</v>
      </c>
      <c r="P516" s="150">
        <f t="shared" si="8"/>
        <v>503</v>
      </c>
      <c r="Q516" s="150" t="s">
        <v>5</v>
      </c>
      <c r="R51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474-CAB-13685</v>
      </c>
      <c r="S516" s="157" t="str">
        <f>HYPERLINK("https://www.mouser.com/ProductDetail/" &amp;MouserListTable[[#This Row],[Mouser SKU]])</f>
        <v>https://www.mouser.com/ProductDetail/474-CAB-13685</v>
      </c>
      <c r="T516" s="152">
        <v>1</v>
      </c>
      <c r="U516" s="152">
        <v>1</v>
      </c>
      <c r="V516" s="152">
        <v>0</v>
      </c>
      <c r="W516" s="152">
        <f>MouserListTable[[#This Row],['#/Unit]]*FilterSpecs!$C$3+MouserListTable[[#This Row],[Extra]]</f>
        <v>6</v>
      </c>
      <c r="X516" s="152">
        <f>IF(MouserListTable[[#This Row],[Tag]]=FilterSpecs!$F$7,MouserListTable[[#This Row],['#/Unit]]*MouserListTable[[#This Row],[Price (USD)]],0)</f>
        <v>1.5</v>
      </c>
      <c r="Y516" s="152">
        <f>MouserListTable[[#This Row],[Tot '#]]*MouserListTable[[#This Row],[Price (USD)]]</f>
        <v>9</v>
      </c>
    </row>
    <row r="517" spans="1:25" x14ac:dyDescent="0.25">
      <c r="A517" s="153" t="s">
        <v>890</v>
      </c>
      <c r="B517" s="153" t="s">
        <v>1597</v>
      </c>
      <c r="C517" s="150" t="s">
        <v>5</v>
      </c>
      <c r="D517" s="151" t="str">
        <f>IF(MouserListTable[[#This Row],[Vendor]]=FilterSpecs!$A$8,MouserListTable[[#This Row],[Mouser SKU]], MouserListTable[[#This Row],[Supplier SKU]])</f>
        <v>474-PRT-08599</v>
      </c>
      <c r="E517" s="152">
        <f>MouserListTable[[#This Row],[Tot '#]]-MouserListTable[[#This Row],['# Initial]]</f>
        <v>0</v>
      </c>
      <c r="F517" s="152">
        <f>IF(AND(MouserListTable[[#This Row],[Tag]]&lt;&gt;FilterSpecs!$F$12, MouserListTable[[#This Row],[Tag]]&lt;&gt;FilterSpecs!$F$9), MouserListTable[[#This Row],['#/Unit]]*FilterSpecs!$B$3+MouserListTable[[#This Row],[Extra Initial]],0)</f>
        <v>0</v>
      </c>
      <c r="G517" s="150" t="s">
        <v>577</v>
      </c>
      <c r="H517" s="150" t="s">
        <v>578</v>
      </c>
      <c r="I517" s="150" t="s">
        <v>579</v>
      </c>
      <c r="J517" s="150">
        <v>1</v>
      </c>
      <c r="K517" s="154">
        <v>1.5</v>
      </c>
      <c r="L517" s="151" t="s">
        <v>1896</v>
      </c>
      <c r="M517" s="150" t="s">
        <v>2373</v>
      </c>
      <c r="N517" s="154">
        <f>MouserListTable[[#This Row],['# Initial]]*MouserListTable[[#This Row],[Price (USD)]]</f>
        <v>0</v>
      </c>
      <c r="O517" s="151" t="s">
        <v>576</v>
      </c>
      <c r="P517" s="150">
        <f t="shared" si="8"/>
        <v>504</v>
      </c>
      <c r="Q517" s="150" t="s">
        <v>5</v>
      </c>
      <c r="R51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474-PRT-08599</v>
      </c>
      <c r="S517" s="157" t="str">
        <f>HYPERLINK("https://www.mouser.com/ProductDetail/" &amp;MouserListTable[[#This Row],[Mouser SKU]])</f>
        <v>https://www.mouser.com/ProductDetail/474-PRT-08599</v>
      </c>
      <c r="T517" s="152">
        <v>0</v>
      </c>
      <c r="U517" s="152">
        <v>0</v>
      </c>
      <c r="V517" s="152">
        <v>0</v>
      </c>
      <c r="W517" s="152">
        <f>MouserListTable[[#This Row],['#/Unit]]*FilterSpecs!$C$3+MouserListTable[[#This Row],[Extra]]</f>
        <v>0</v>
      </c>
      <c r="X517" s="152">
        <f>IF(MouserListTable[[#This Row],[Tag]]=FilterSpecs!$F$7,MouserListTable[[#This Row],['#/Unit]]*MouserListTable[[#This Row],[Price (USD)]],0)</f>
        <v>0</v>
      </c>
      <c r="Y517" s="152">
        <f>MouserListTable[[#This Row],[Tot '#]]*MouserListTable[[#This Row],[Price (USD)]]</f>
        <v>0</v>
      </c>
    </row>
    <row r="518" spans="1:25" x14ac:dyDescent="0.25">
      <c r="A518" s="153" t="s">
        <v>890</v>
      </c>
      <c r="B518" s="153" t="s">
        <v>1597</v>
      </c>
      <c r="C518" s="150" t="s">
        <v>5</v>
      </c>
      <c r="D518" s="151" t="str">
        <f>IF(MouserListTable[[#This Row],[Vendor]]=FilterSpecs!$A$8,MouserListTable[[#This Row],[Mouser SKU]], MouserListTable[[#This Row],[Supplier SKU]])</f>
        <v>474-PRT-08598</v>
      </c>
      <c r="E518" s="152">
        <f>MouserListTable[[#This Row],[Tot '#]]-MouserListTable[[#This Row],['# Initial]]</f>
        <v>0</v>
      </c>
      <c r="F518" s="152">
        <f>IF(AND(MouserListTable[[#This Row],[Tag]]&lt;&gt;FilterSpecs!$F$12, MouserListTable[[#This Row],[Tag]]&lt;&gt;FilterSpecs!$F$9), MouserListTable[[#This Row],['#/Unit]]*FilterSpecs!$B$3+MouserListTable[[#This Row],[Extra Initial]],0)</f>
        <v>0</v>
      </c>
      <c r="G518" s="150" t="s">
        <v>1738</v>
      </c>
      <c r="H518" s="150" t="s">
        <v>1739</v>
      </c>
      <c r="I518" s="150" t="s">
        <v>1740</v>
      </c>
      <c r="J518" s="150">
        <v>1</v>
      </c>
      <c r="K518" s="154">
        <v>1.5</v>
      </c>
      <c r="L518" s="151" t="s">
        <v>1899</v>
      </c>
      <c r="M518" s="150" t="s">
        <v>2373</v>
      </c>
      <c r="N518" s="154">
        <f>MouserListTable[[#This Row],['# Initial]]*MouserListTable[[#This Row],[Price (USD)]]</f>
        <v>0</v>
      </c>
      <c r="O518" s="151" t="s">
        <v>1737</v>
      </c>
      <c r="P518" s="150">
        <f t="shared" si="8"/>
        <v>505</v>
      </c>
      <c r="Q518" s="150" t="s">
        <v>5</v>
      </c>
      <c r="R51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474-PRT-08598</v>
      </c>
      <c r="S518" s="157" t="str">
        <f>HYPERLINK("https://www.mouser.com/ProductDetail/" &amp;MouserListTable[[#This Row],[Mouser SKU]])</f>
        <v>https://www.mouser.com/ProductDetail/474-PRT-08598</v>
      </c>
      <c r="T518" s="152">
        <v>0</v>
      </c>
      <c r="U518" s="152">
        <v>0</v>
      </c>
      <c r="V518" s="152">
        <v>0</v>
      </c>
      <c r="W518" s="152">
        <f>MouserListTable[[#This Row],['#/Unit]]*FilterSpecs!$C$3+MouserListTable[[#This Row],[Extra]]</f>
        <v>0</v>
      </c>
      <c r="X518" s="152">
        <f>IF(MouserListTable[[#This Row],[Tag]]=FilterSpecs!$F$7,MouserListTable[[#This Row],['#/Unit]]*MouserListTable[[#This Row],[Price (USD)]],0)</f>
        <v>0</v>
      </c>
      <c r="Y518" s="152">
        <f>MouserListTable[[#This Row],[Tot '#]]*MouserListTable[[#This Row],[Price (USD)]]</f>
        <v>0</v>
      </c>
    </row>
    <row r="519" spans="1:25" x14ac:dyDescent="0.25">
      <c r="A519" s="98" t="s">
        <v>890</v>
      </c>
      <c r="B519" s="98" t="s">
        <v>1597</v>
      </c>
      <c r="C519" s="150" t="s">
        <v>1884</v>
      </c>
      <c r="D519" s="151" t="str">
        <f>IF(MouserListTable[[#This Row],[Vendor]]=FilterSpecs!$A$8,MouserListTable[[#This Row],[Mouser SKU]], MouserListTable[[#This Row],[Supplier SKU]])</f>
        <v>485-425</v>
      </c>
      <c r="E519" s="152">
        <f>MouserListTable[[#This Row],[Tot '#]]-MouserListTable[[#This Row],['# Initial]]</f>
        <v>0</v>
      </c>
      <c r="F519" s="152">
        <f>IF(AND(MouserListTable[[#This Row],[Tag]]&lt;&gt;FilterSpecs!$F$12, MouserListTable[[#This Row],[Tag]]&lt;&gt;FilterSpecs!$F$9), MouserListTable[[#This Row],['#/Unit]]*FilterSpecs!$B$3+MouserListTable[[#This Row],[Extra Initial]],0)</f>
        <v>0</v>
      </c>
      <c r="G519" s="150"/>
      <c r="H519" s="150"/>
      <c r="I519" s="150" t="s">
        <v>2436</v>
      </c>
      <c r="J519" s="113">
        <v>107</v>
      </c>
      <c r="K519" s="119">
        <v>1.95</v>
      </c>
      <c r="L519" s="97" t="s">
        <v>1896</v>
      </c>
      <c r="M519" s="153"/>
      <c r="N519" s="154">
        <f>MouserListTable[[#This Row],['# Initial]]*MouserListTable[[#This Row],[Price (USD)]]</f>
        <v>0</v>
      </c>
      <c r="O519" s="113" t="s">
        <v>2437</v>
      </c>
      <c r="P519" s="150">
        <f t="shared" si="8"/>
        <v>506</v>
      </c>
      <c r="Q519" s="150" t="s">
        <v>1884</v>
      </c>
      <c r="R51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485-425</v>
      </c>
      <c r="S519" s="157" t="str">
        <f>HYPERLINK("https://www.mouser.com/ProductDetail/" &amp;MouserListTable[[#This Row],[Mouser SKU]])</f>
        <v>https://www.mouser.com/ProductDetail/485-425</v>
      </c>
      <c r="T519" s="152">
        <v>0</v>
      </c>
      <c r="U519" s="152">
        <v>0</v>
      </c>
      <c r="V519" s="152">
        <v>0</v>
      </c>
      <c r="W519" s="152">
        <f>MouserListTable[[#This Row],['#/Unit]]*FilterSpecs!$C$3+MouserListTable[[#This Row],[Extra]]</f>
        <v>0</v>
      </c>
      <c r="X519" s="152">
        <f>IF(MouserListTable[[#This Row],[Tag]]=FilterSpecs!$F$7,MouserListTable[[#This Row],['#/Unit]]*MouserListTable[[#This Row],[Price (USD)]],0)</f>
        <v>0</v>
      </c>
      <c r="Y519" s="152">
        <f>MouserListTable[[#This Row],[Tot '#]]*MouserListTable[[#This Row],[Price (USD)]]</f>
        <v>0</v>
      </c>
    </row>
    <row r="520" spans="1:25" x14ac:dyDescent="0.25">
      <c r="A520" s="98" t="s">
        <v>890</v>
      </c>
      <c r="B520" s="98" t="s">
        <v>2410</v>
      </c>
      <c r="C520" s="150" t="s">
        <v>1884</v>
      </c>
      <c r="D520" s="151" t="str">
        <f>IF(MouserListTable[[#This Row],[Vendor]]=FilterSpecs!$A$8,MouserListTable[[#This Row],[Mouser SKU]], MouserListTable[[#This Row],[Supplier SKU]])</f>
        <v>485-2880</v>
      </c>
      <c r="E520" s="152">
        <f>MouserListTable[[#This Row],[Tot '#]]-MouserListTable[[#This Row],['# Initial]]</f>
        <v>0</v>
      </c>
      <c r="F520" s="152">
        <f>IF(AND(MouserListTable[[#This Row],[Tag]]&lt;&gt;FilterSpecs!$F$12, MouserListTable[[#This Row],[Tag]]&lt;&gt;FilterSpecs!$F$9), MouserListTable[[#This Row],['#/Unit]]*FilterSpecs!$B$3+MouserListTable[[#This Row],[Extra Initial]],0)</f>
        <v>0</v>
      </c>
      <c r="G520" s="150"/>
      <c r="H520" s="150"/>
      <c r="I520" s="150" t="s">
        <v>2423</v>
      </c>
      <c r="J520" s="113">
        <v>100</v>
      </c>
      <c r="K520" s="119">
        <v>0.75</v>
      </c>
      <c r="L520" s="97" t="s">
        <v>1896</v>
      </c>
      <c r="M520" s="153"/>
      <c r="N520" s="154">
        <f>MouserListTable[[#This Row],['# Initial]]*MouserListTable[[#This Row],[Price (USD)]]</f>
        <v>0</v>
      </c>
      <c r="O520" s="113" t="s">
        <v>2424</v>
      </c>
      <c r="P520" s="150">
        <f t="shared" si="8"/>
        <v>507</v>
      </c>
      <c r="Q520" s="150" t="s">
        <v>1884</v>
      </c>
      <c r="R52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485-2880</v>
      </c>
      <c r="S520" s="157" t="str">
        <f>HYPERLINK("https://www.mouser.com/ProductDetail/" &amp;MouserListTable[[#This Row],[Mouser SKU]])</f>
        <v>https://www.mouser.com/ProductDetail/485-2880</v>
      </c>
      <c r="T520" s="152">
        <v>0</v>
      </c>
      <c r="U520" s="152">
        <v>0</v>
      </c>
      <c r="V520" s="152">
        <v>0</v>
      </c>
      <c r="W520" s="152">
        <f>MouserListTable[[#This Row],['#/Unit]]*FilterSpecs!$C$3+MouserListTable[[#This Row],[Extra]]</f>
        <v>0</v>
      </c>
      <c r="X520" s="152">
        <f>IF(MouserListTable[[#This Row],[Tag]]=FilterSpecs!$F$7,MouserListTable[[#This Row],['#/Unit]]*MouserListTable[[#This Row],[Price (USD)]],0)</f>
        <v>0</v>
      </c>
      <c r="Y520" s="152">
        <f>MouserListTable[[#This Row],[Tot '#]]*MouserListTable[[#This Row],[Price (USD)]]</f>
        <v>0</v>
      </c>
    </row>
    <row r="521" spans="1:25" x14ac:dyDescent="0.25">
      <c r="A521" s="98" t="s">
        <v>890</v>
      </c>
      <c r="B521" s="98" t="s">
        <v>2408</v>
      </c>
      <c r="C521" s="150" t="s">
        <v>1884</v>
      </c>
      <c r="D521" s="151" t="str">
        <f>IF(MouserListTable[[#This Row],[Vendor]]=FilterSpecs!$A$8,MouserListTable[[#This Row],[Mouser SKU]], MouserListTable[[#This Row],[Supplier SKU]])</f>
        <v>485-261</v>
      </c>
      <c r="E521" s="152">
        <f>MouserListTable[[#This Row],[Tot '#]]-MouserListTable[[#This Row],['# Initial]]</f>
        <v>0</v>
      </c>
      <c r="F521" s="152">
        <f>IF(AND(MouserListTable[[#This Row],[Tag]]&lt;&gt;FilterSpecs!$F$12, MouserListTable[[#This Row],[Tag]]&lt;&gt;FilterSpecs!$F$9), MouserListTable[[#This Row],['#/Unit]]*FilterSpecs!$B$3+MouserListTable[[#This Row],[Extra Initial]],0)</f>
        <v>0</v>
      </c>
      <c r="G521" s="150"/>
      <c r="H521" s="150"/>
      <c r="I521" s="150" t="s">
        <v>2425</v>
      </c>
      <c r="J521" s="113">
        <v>101</v>
      </c>
      <c r="K521" s="119">
        <v>0.75</v>
      </c>
      <c r="L521" s="97" t="s">
        <v>1896</v>
      </c>
      <c r="M521" s="153"/>
      <c r="N521" s="154">
        <f>MouserListTable[[#This Row],['# Initial]]*MouserListTable[[#This Row],[Price (USD)]]</f>
        <v>0</v>
      </c>
      <c r="O521" s="113" t="s">
        <v>2426</v>
      </c>
      <c r="P521" s="150">
        <f t="shared" si="8"/>
        <v>508</v>
      </c>
      <c r="Q521" s="150" t="s">
        <v>1884</v>
      </c>
      <c r="R52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485-261</v>
      </c>
      <c r="S521" s="157" t="str">
        <f>HYPERLINK("https://www.mouser.com/ProductDetail/" &amp;MouserListTable[[#This Row],[Mouser SKU]])</f>
        <v>https://www.mouser.com/ProductDetail/485-261</v>
      </c>
      <c r="T521" s="152">
        <v>0</v>
      </c>
      <c r="U521" s="152">
        <v>0</v>
      </c>
      <c r="V521" s="152">
        <v>0</v>
      </c>
      <c r="W521" s="152">
        <f>MouserListTable[[#This Row],['#/Unit]]*FilterSpecs!$C$3+MouserListTable[[#This Row],[Extra]]</f>
        <v>0</v>
      </c>
      <c r="X521" s="152">
        <f>IF(MouserListTable[[#This Row],[Tag]]=FilterSpecs!$F$7,MouserListTable[[#This Row],['#/Unit]]*MouserListTable[[#This Row],[Price (USD)]],0)</f>
        <v>0</v>
      </c>
      <c r="Y521" s="152">
        <f>MouserListTable[[#This Row],[Tot '#]]*MouserListTable[[#This Row],[Price (USD)]]</f>
        <v>0</v>
      </c>
    </row>
    <row r="522" spans="1:25" x14ac:dyDescent="0.25">
      <c r="A522" s="98" t="s">
        <v>890</v>
      </c>
      <c r="B522" s="98" t="s">
        <v>2408</v>
      </c>
      <c r="C522" s="150" t="s">
        <v>1884</v>
      </c>
      <c r="D522" s="151" t="str">
        <f>IF(MouserListTable[[#This Row],[Vendor]]=FilterSpecs!$A$8,MouserListTable[[#This Row],[Mouser SKU]], MouserListTable[[#This Row],[Supplier SKU]])</f>
        <v>485-1769</v>
      </c>
      <c r="E522" s="152">
        <f>MouserListTable[[#This Row],[Tot '#]]-MouserListTable[[#This Row],['# Initial]]</f>
        <v>0</v>
      </c>
      <c r="F522" s="152">
        <f>IF(AND(MouserListTable[[#This Row],[Tag]]&lt;&gt;FilterSpecs!$F$12, MouserListTable[[#This Row],[Tag]]&lt;&gt;FilterSpecs!$F$9), MouserListTable[[#This Row],['#/Unit]]*FilterSpecs!$B$3+MouserListTable[[#This Row],[Extra Initial]],0)</f>
        <v>0</v>
      </c>
      <c r="G522" s="150"/>
      <c r="H522" s="150"/>
      <c r="I522" s="150" t="s">
        <v>2427</v>
      </c>
      <c r="J522" s="113">
        <v>102</v>
      </c>
      <c r="K522" s="119">
        <v>0.75</v>
      </c>
      <c r="L522" s="97" t="s">
        <v>1896</v>
      </c>
      <c r="M522" s="153"/>
      <c r="N522" s="154">
        <f>MouserListTable[[#This Row],['# Initial]]*MouserListTable[[#This Row],[Price (USD)]]</f>
        <v>0</v>
      </c>
      <c r="O522" s="113" t="s">
        <v>2121</v>
      </c>
      <c r="P522" s="150">
        <f t="shared" si="8"/>
        <v>509</v>
      </c>
      <c r="Q522" s="150" t="s">
        <v>1884</v>
      </c>
      <c r="R52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485-1769</v>
      </c>
      <c r="S522" s="157" t="str">
        <f>HYPERLINK("https://www.mouser.com/ProductDetail/" &amp;MouserListTable[[#This Row],[Mouser SKU]])</f>
        <v>https://www.mouser.com/ProductDetail/485-1769</v>
      </c>
      <c r="T522" s="152">
        <v>0</v>
      </c>
      <c r="U522" s="152">
        <v>0</v>
      </c>
      <c r="V522" s="152">
        <v>0</v>
      </c>
      <c r="W522" s="152">
        <f>MouserListTable[[#This Row],['#/Unit]]*FilterSpecs!$C$3+MouserListTable[[#This Row],[Extra]]</f>
        <v>0</v>
      </c>
      <c r="X522" s="152">
        <f>IF(MouserListTable[[#This Row],[Tag]]=FilterSpecs!$F$7,MouserListTable[[#This Row],['#/Unit]]*MouserListTable[[#This Row],[Price (USD)]],0)</f>
        <v>0</v>
      </c>
      <c r="Y522" s="152">
        <f>MouserListTable[[#This Row],[Tot '#]]*MouserListTable[[#This Row],[Price (USD)]]</f>
        <v>0</v>
      </c>
    </row>
    <row r="523" spans="1:25" x14ac:dyDescent="0.25">
      <c r="A523" s="151" t="s">
        <v>890</v>
      </c>
      <c r="B523" s="151" t="s">
        <v>1869</v>
      </c>
      <c r="C523" s="150" t="s">
        <v>5</v>
      </c>
      <c r="D523" s="151" t="str">
        <f>IF(MouserListTable[[#This Row],[Vendor]]=FilterSpecs!$A$8,MouserListTable[[#This Row],[Mouser SKU]], MouserListTable[[#This Row],[Supplier SKU]])</f>
        <v>474-PRT-09918</v>
      </c>
      <c r="E523" s="152">
        <f>MouserListTable[[#This Row],[Tot '#]]-MouserListTable[[#This Row],['# Initial]]</f>
        <v>0</v>
      </c>
      <c r="F523" s="152">
        <f>IF(AND(MouserListTable[[#This Row],[Tag]]&lt;&gt;FilterSpecs!$F$12, MouserListTable[[#This Row],[Tag]]&lt;&gt;FilterSpecs!$F$9), MouserListTable[[#This Row],['#/Unit]]*FilterSpecs!$B$3+MouserListTable[[#This Row],[Extra Initial]],0)</f>
        <v>10</v>
      </c>
      <c r="G523" s="150" t="s">
        <v>1742</v>
      </c>
      <c r="H523" s="150" t="s">
        <v>1743</v>
      </c>
      <c r="I523" s="150" t="s">
        <v>1744</v>
      </c>
      <c r="J523" s="150"/>
      <c r="K523" s="154">
        <v>0.95</v>
      </c>
      <c r="L523" s="151" t="s">
        <v>1897</v>
      </c>
      <c r="M523" s="150"/>
      <c r="N523" s="154">
        <f>MouserListTable[[#This Row],['# Initial]]*MouserListTable[[#This Row],[Price (USD)]]</f>
        <v>9.5</v>
      </c>
      <c r="O523" s="151" t="s">
        <v>1741</v>
      </c>
      <c r="P523" s="150">
        <f t="shared" si="8"/>
        <v>510</v>
      </c>
      <c r="Q523" s="150" t="s">
        <v>5</v>
      </c>
      <c r="R52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474-PRT-09918</v>
      </c>
      <c r="S523" s="157" t="str">
        <f>HYPERLINK("https://www.mouser.com/ProductDetail/" &amp;MouserListTable[[#This Row],[Mouser SKU]])</f>
        <v>https://www.mouser.com/ProductDetail/474-PRT-09918</v>
      </c>
      <c r="T523" s="152">
        <v>2</v>
      </c>
      <c r="U523" s="152">
        <v>0</v>
      </c>
      <c r="V523" s="152">
        <v>0</v>
      </c>
      <c r="W523" s="152">
        <f>MouserListTable[[#This Row],['#/Unit]]*FilterSpecs!$C$3+MouserListTable[[#This Row],[Extra]]</f>
        <v>10</v>
      </c>
      <c r="X523" s="152">
        <f>IF(MouserListTable[[#This Row],[Tag]]=FilterSpecs!$F$7,MouserListTable[[#This Row],['#/Unit]]*MouserListTable[[#This Row],[Price (USD)]],0)</f>
        <v>1.9</v>
      </c>
      <c r="Y523" s="152">
        <f>MouserListTable[[#This Row],[Tot '#]]*MouserListTable[[#This Row],[Price (USD)]]</f>
        <v>9.5</v>
      </c>
    </row>
    <row r="524" spans="1:25" x14ac:dyDescent="0.25">
      <c r="A524" s="151" t="s">
        <v>890</v>
      </c>
      <c r="B524" s="151" t="s">
        <v>1869</v>
      </c>
      <c r="C524" s="150" t="s">
        <v>5</v>
      </c>
      <c r="D524" s="151" t="str">
        <f>IF(MouserListTable[[#This Row],[Vendor]]=FilterSpecs!$A$8,MouserListTable[[#This Row],[Mouser SKU]], MouserListTable[[#This Row],[Supplier SKU]])</f>
        <v>474-PRT-09922</v>
      </c>
      <c r="E524" s="152">
        <f>MouserListTable[[#This Row],[Tot '#]]-MouserListTable[[#This Row],['# Initial]]</f>
        <v>0</v>
      </c>
      <c r="F524" s="152">
        <f>IF(AND(MouserListTable[[#This Row],[Tag]]&lt;&gt;FilterSpecs!$F$12, MouserListTable[[#This Row],[Tag]]&lt;&gt;FilterSpecs!$F$9), MouserListTable[[#This Row],['#/Unit]]*FilterSpecs!$B$3+MouserListTable[[#This Row],[Extra Initial]],0)</f>
        <v>10</v>
      </c>
      <c r="G524" s="150" t="s">
        <v>1754</v>
      </c>
      <c r="H524" s="150" t="s">
        <v>1755</v>
      </c>
      <c r="I524" s="150" t="s">
        <v>1756</v>
      </c>
      <c r="J524" s="150">
        <v>1</v>
      </c>
      <c r="K524" s="154">
        <v>1.95</v>
      </c>
      <c r="L524" s="151" t="s">
        <v>1897</v>
      </c>
      <c r="M524" s="150"/>
      <c r="N524" s="154">
        <f>MouserListTable[[#This Row],['# Initial]]*MouserListTable[[#This Row],[Price (USD)]]</f>
        <v>19.5</v>
      </c>
      <c r="O524" s="151" t="s">
        <v>1753</v>
      </c>
      <c r="P524" s="150">
        <f t="shared" si="8"/>
        <v>511</v>
      </c>
      <c r="Q524" s="150" t="s">
        <v>5</v>
      </c>
      <c r="R52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474-PRT-09922</v>
      </c>
      <c r="S524" s="157" t="str">
        <f>HYPERLINK("https://www.mouser.com/ProductDetail/" &amp;MouserListTable[[#This Row],[Mouser SKU]])</f>
        <v>https://www.mouser.com/ProductDetail/474-PRT-09922</v>
      </c>
      <c r="T524" s="152">
        <v>2</v>
      </c>
      <c r="U524" s="152">
        <v>0</v>
      </c>
      <c r="V524" s="152">
        <v>0</v>
      </c>
      <c r="W524" s="152">
        <f>MouserListTable[[#This Row],['#/Unit]]*FilterSpecs!$C$3+MouserListTable[[#This Row],[Extra]]</f>
        <v>10</v>
      </c>
      <c r="X524" s="152">
        <f>IF(MouserListTable[[#This Row],[Tag]]=FilterSpecs!$F$7,MouserListTable[[#This Row],['#/Unit]]*MouserListTable[[#This Row],[Price (USD)]],0)</f>
        <v>3.9</v>
      </c>
      <c r="Y524" s="152">
        <f>MouserListTable[[#This Row],[Tot '#]]*MouserListTable[[#This Row],[Price (USD)]]</f>
        <v>19.5</v>
      </c>
    </row>
    <row r="525" spans="1:25" x14ac:dyDescent="0.25">
      <c r="A525" s="153" t="s">
        <v>890</v>
      </c>
      <c r="B525" s="153" t="s">
        <v>1594</v>
      </c>
      <c r="C525" s="150" t="s">
        <v>5</v>
      </c>
      <c r="D525" s="151" t="str">
        <f>IF(MouserListTable[[#This Row],[Vendor]]=FilterSpecs!$A$8,MouserListTable[[#This Row],[Mouser SKU]], MouserListTable[[#This Row],[Supplier SKU]])</f>
        <v>474-PRT-08614</v>
      </c>
      <c r="E525" s="152">
        <f>MouserListTable[[#This Row],[Tot '#]]-MouserListTable[[#This Row],['# Initial]]</f>
        <v>0</v>
      </c>
      <c r="F525" s="152">
        <f>IF(AND(MouserListTable[[#This Row],[Tag]]&lt;&gt;FilterSpecs!$F$12, MouserListTable[[#This Row],[Tag]]&lt;&gt;FilterSpecs!$F$9), MouserListTable[[#This Row],['#/Unit]]*FilterSpecs!$B$3+MouserListTable[[#This Row],[Extra Initial]],0)</f>
        <v>0</v>
      </c>
      <c r="G525" s="150" t="s">
        <v>463</v>
      </c>
      <c r="H525" s="150" t="s">
        <v>464</v>
      </c>
      <c r="I525" s="150" t="s">
        <v>465</v>
      </c>
      <c r="J525" s="150">
        <v>1</v>
      </c>
      <c r="K525" s="154">
        <v>1.5</v>
      </c>
      <c r="L525" s="151" t="s">
        <v>1896</v>
      </c>
      <c r="M525" s="150"/>
      <c r="N525" s="154">
        <f>MouserListTable[[#This Row],['# Initial]]*MouserListTable[[#This Row],[Price (USD)]]</f>
        <v>0</v>
      </c>
      <c r="O525" s="151" t="s">
        <v>462</v>
      </c>
      <c r="P525" s="150">
        <f t="shared" si="8"/>
        <v>512</v>
      </c>
      <c r="Q525" s="150" t="s">
        <v>5</v>
      </c>
      <c r="R52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474-PRT-08614</v>
      </c>
      <c r="S525" s="157" t="str">
        <f>HYPERLINK("https://www.mouser.com/ProductDetail/" &amp;MouserListTable[[#This Row],[Mouser SKU]])</f>
        <v>https://www.mouser.com/ProductDetail/474-PRT-08614</v>
      </c>
      <c r="T525" s="152">
        <v>0</v>
      </c>
      <c r="U525" s="152">
        <v>0</v>
      </c>
      <c r="V525" s="152">
        <v>0</v>
      </c>
      <c r="W525" s="152">
        <f>MouserListTable[[#This Row],['#/Unit]]*FilterSpecs!$C$3+MouserListTable[[#This Row],[Extra]]</f>
        <v>0</v>
      </c>
      <c r="X525" s="152">
        <f>IF(MouserListTable[[#This Row],[Tag]]=FilterSpecs!$F$7,MouserListTable[[#This Row],['#/Unit]]*MouserListTable[[#This Row],[Price (USD)]],0)</f>
        <v>0</v>
      </c>
      <c r="Y525" s="152">
        <f>MouserListTable[[#This Row],[Tot '#]]*MouserListTable[[#This Row],[Price (USD)]]</f>
        <v>0</v>
      </c>
    </row>
    <row r="526" spans="1:25" x14ac:dyDescent="0.25">
      <c r="A526" s="153" t="s">
        <v>890</v>
      </c>
      <c r="B526" s="153" t="s">
        <v>1594</v>
      </c>
      <c r="C526" s="150" t="s">
        <v>5</v>
      </c>
      <c r="D526" s="151" t="str">
        <f>IF(MouserListTable[[#This Row],[Vendor]]=FilterSpecs!$A$8,MouserListTable[[#This Row],[Mouser SKU]], MouserListTable[[#This Row],[Supplier SKU]])</f>
        <v>474-PRT-08672</v>
      </c>
      <c r="E526" s="152">
        <f>MouserListTable[[#This Row],[Tot '#]]-MouserListTable[[#This Row],['# Initial]]</f>
        <v>0</v>
      </c>
      <c r="F526" s="152">
        <f>IF(AND(MouserListTable[[#This Row],[Tag]]&lt;&gt;FilterSpecs!$F$12, MouserListTable[[#This Row],[Tag]]&lt;&gt;FilterSpecs!$F$9), MouserListTable[[#This Row],['#/Unit]]*FilterSpecs!$B$3+MouserListTable[[#This Row],[Extra Initial]],0)</f>
        <v>0</v>
      </c>
      <c r="G526" s="150" t="s">
        <v>459</v>
      </c>
      <c r="H526" s="150" t="s">
        <v>460</v>
      </c>
      <c r="I526" s="150" t="s">
        <v>461</v>
      </c>
      <c r="J526" s="150">
        <v>1</v>
      </c>
      <c r="K526" s="154">
        <v>0.95</v>
      </c>
      <c r="L526" s="151" t="s">
        <v>1896</v>
      </c>
      <c r="M526" s="150"/>
      <c r="N526" s="154">
        <f>MouserListTable[[#This Row],['# Initial]]*MouserListTable[[#This Row],[Price (USD)]]</f>
        <v>0</v>
      </c>
      <c r="O526" s="151" t="s">
        <v>458</v>
      </c>
      <c r="P526" s="150">
        <f t="shared" ref="P526:P589" si="9">IF($P525="List #",1,$P525+1)</f>
        <v>513</v>
      </c>
      <c r="Q526" s="150" t="s">
        <v>5</v>
      </c>
      <c r="R52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474-PRT-08672</v>
      </c>
      <c r="S526" s="157" t="str">
        <f>HYPERLINK("https://www.mouser.com/ProductDetail/" &amp;MouserListTable[[#This Row],[Mouser SKU]])</f>
        <v>https://www.mouser.com/ProductDetail/474-PRT-08672</v>
      </c>
      <c r="T526" s="152">
        <v>0</v>
      </c>
      <c r="U526" s="152">
        <v>0</v>
      </c>
      <c r="V526" s="152">
        <v>0</v>
      </c>
      <c r="W526" s="152">
        <f>MouserListTable[[#This Row],['#/Unit]]*FilterSpecs!$C$3+MouserListTable[[#This Row],[Extra]]</f>
        <v>0</v>
      </c>
      <c r="X526" s="152">
        <f>IF(MouserListTable[[#This Row],[Tag]]=FilterSpecs!$F$7,MouserListTable[[#This Row],['#/Unit]]*MouserListTable[[#This Row],[Price (USD)]],0)</f>
        <v>0</v>
      </c>
      <c r="Y526" s="152">
        <f>MouserListTable[[#This Row],[Tot '#]]*MouserListTable[[#This Row],[Price (USD)]]</f>
        <v>0</v>
      </c>
    </row>
    <row r="527" spans="1:25" x14ac:dyDescent="0.25">
      <c r="A527" s="153" t="s">
        <v>890</v>
      </c>
      <c r="B527" s="153" t="s">
        <v>1594</v>
      </c>
      <c r="C527" s="150" t="s">
        <v>5</v>
      </c>
      <c r="D527" s="151" t="str">
        <f>IF(MouserListTable[[#This Row],[Vendor]]=FilterSpecs!$A$8,MouserListTable[[#This Row],[Mouser SKU]], MouserListTable[[#This Row],[Supplier SKU]])</f>
        <v>474-PRT-10367</v>
      </c>
      <c r="E527" s="152">
        <f>MouserListTable[[#This Row],[Tot '#]]-MouserListTable[[#This Row],['# Initial]]</f>
        <v>0</v>
      </c>
      <c r="F527" s="152">
        <f>IF(AND(MouserListTable[[#This Row],[Tag]]&lt;&gt;FilterSpecs!$F$12, MouserListTable[[#This Row],[Tag]]&lt;&gt;FilterSpecs!$F$9), MouserListTable[[#This Row],['#/Unit]]*FilterSpecs!$B$3+MouserListTable[[#This Row],[Extra Initial]],0)</f>
        <v>0</v>
      </c>
      <c r="G527" s="150" t="s">
        <v>581</v>
      </c>
      <c r="H527" s="150" t="s">
        <v>582</v>
      </c>
      <c r="I527" s="150" t="s">
        <v>583</v>
      </c>
      <c r="J527" s="150"/>
      <c r="K527" s="154">
        <v>1.5</v>
      </c>
      <c r="L527" s="151" t="s">
        <v>1896</v>
      </c>
      <c r="M527" s="150"/>
      <c r="N527" s="154">
        <f>MouserListTable[[#This Row],['# Initial]]*MouserListTable[[#This Row],[Price (USD)]]</f>
        <v>0</v>
      </c>
      <c r="O527" s="151" t="s">
        <v>580</v>
      </c>
      <c r="P527" s="150">
        <f t="shared" si="9"/>
        <v>514</v>
      </c>
      <c r="Q527" s="150" t="s">
        <v>5</v>
      </c>
      <c r="R52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474-PRT-10367</v>
      </c>
      <c r="S527" s="157" t="str">
        <f>HYPERLINK("https://www.mouser.com/ProductDetail/" &amp;MouserListTable[[#This Row],[Mouser SKU]])</f>
        <v>https://www.mouser.com/ProductDetail/474-PRT-10367</v>
      </c>
      <c r="T527" s="152">
        <v>0</v>
      </c>
      <c r="U527" s="152">
        <v>0</v>
      </c>
      <c r="V527" s="152">
        <v>0</v>
      </c>
      <c r="W527" s="152">
        <f>MouserListTable[[#This Row],['#/Unit]]*FilterSpecs!$C$3+MouserListTable[[#This Row],[Extra]]</f>
        <v>0</v>
      </c>
      <c r="X527" s="152">
        <f>IF(MouserListTable[[#This Row],[Tag]]=FilterSpecs!$F$7,MouserListTable[[#This Row],['#/Unit]]*MouserListTable[[#This Row],[Price (USD)]],0)</f>
        <v>0</v>
      </c>
      <c r="Y527" s="152">
        <f>MouserListTable[[#This Row],[Tot '#]]*MouserListTable[[#This Row],[Price (USD)]]</f>
        <v>0</v>
      </c>
    </row>
    <row r="528" spans="1:25" x14ac:dyDescent="0.25">
      <c r="A528" s="153" t="s">
        <v>890</v>
      </c>
      <c r="B528" s="153" t="s">
        <v>1594</v>
      </c>
      <c r="C528" s="150" t="s">
        <v>5</v>
      </c>
      <c r="D528" s="151" t="str">
        <f>IF(MouserListTable[[#This Row],[Vendor]]=FilterSpecs!$A$8,MouserListTable[[#This Row],[Mouser SKU]], MouserListTable[[#This Row],[Supplier SKU]])</f>
        <v>474-PRT-10373</v>
      </c>
      <c r="E528" s="152">
        <f>MouserListTable[[#This Row],[Tot '#]]-MouserListTable[[#This Row],['# Initial]]</f>
        <v>0</v>
      </c>
      <c r="F528" s="152">
        <f>IF(AND(MouserListTable[[#This Row],[Tag]]&lt;&gt;FilterSpecs!$F$12, MouserListTable[[#This Row],[Tag]]&lt;&gt;FilterSpecs!$F$9), MouserListTable[[#This Row],['#/Unit]]*FilterSpecs!$B$3+MouserListTable[[#This Row],[Extra Initial]],0)</f>
        <v>0</v>
      </c>
      <c r="G528" s="150" t="s">
        <v>569</v>
      </c>
      <c r="H528" s="150" t="s">
        <v>570</v>
      </c>
      <c r="I528" s="150" t="s">
        <v>571</v>
      </c>
      <c r="J528" s="150"/>
      <c r="K528" s="154">
        <v>1.95</v>
      </c>
      <c r="L528" s="151" t="s">
        <v>1896</v>
      </c>
      <c r="M528" s="150"/>
      <c r="N528" s="154">
        <f>MouserListTable[[#This Row],['# Initial]]*MouserListTable[[#This Row],[Price (USD)]]</f>
        <v>0</v>
      </c>
      <c r="O528" s="151" t="s">
        <v>568</v>
      </c>
      <c r="P528" s="150">
        <f t="shared" si="9"/>
        <v>515</v>
      </c>
      <c r="Q528" s="150" t="s">
        <v>5</v>
      </c>
      <c r="R52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474-PRT-10373</v>
      </c>
      <c r="S528" s="157" t="str">
        <f>HYPERLINK("https://www.mouser.com/ProductDetail/" &amp;MouserListTable[[#This Row],[Mouser SKU]])</f>
        <v>https://www.mouser.com/ProductDetail/474-PRT-10373</v>
      </c>
      <c r="T528" s="152">
        <v>0</v>
      </c>
      <c r="U528" s="152">
        <v>0</v>
      </c>
      <c r="V528" s="152">
        <v>0</v>
      </c>
      <c r="W528" s="152">
        <f>MouserListTable[[#This Row],['#/Unit]]*FilterSpecs!$C$3+MouserListTable[[#This Row],[Extra]]</f>
        <v>0</v>
      </c>
      <c r="X528" s="152">
        <f>IF(MouserListTable[[#This Row],[Tag]]=FilterSpecs!$F$7,MouserListTable[[#This Row],['#/Unit]]*MouserListTable[[#This Row],[Price (USD)]],0)</f>
        <v>0</v>
      </c>
      <c r="Y528" s="152">
        <f>MouserListTable[[#This Row],[Tot '#]]*MouserListTable[[#This Row],[Price (USD)]]</f>
        <v>0</v>
      </c>
    </row>
    <row r="529" spans="1:25" x14ac:dyDescent="0.25">
      <c r="A529" s="153" t="s">
        <v>890</v>
      </c>
      <c r="B529" s="153" t="s">
        <v>1594</v>
      </c>
      <c r="C529" s="150" t="s">
        <v>5</v>
      </c>
      <c r="D529" s="151" t="str">
        <f>IF(MouserListTable[[#This Row],[Vendor]]=FilterSpecs!$A$8,MouserListTable[[#This Row],[Mouser SKU]], MouserListTable[[#This Row],[Supplier SKU]])</f>
        <v>474-PRT-13164</v>
      </c>
      <c r="E529" s="152">
        <f>MouserListTable[[#This Row],[Tot '#]]-MouserListTable[[#This Row],['# Initial]]</f>
        <v>0</v>
      </c>
      <c r="F529" s="152">
        <f>IF(AND(MouserListTable[[#This Row],[Tag]]&lt;&gt;FilterSpecs!$F$12, MouserListTable[[#This Row],[Tag]]&lt;&gt;FilterSpecs!$F$9), MouserListTable[[#This Row],['#/Unit]]*FilterSpecs!$B$3+MouserListTable[[#This Row],[Extra Initial]],0)</f>
        <v>0</v>
      </c>
      <c r="G529" s="150" t="s">
        <v>533</v>
      </c>
      <c r="H529" s="150" t="s">
        <v>534</v>
      </c>
      <c r="I529" s="150" t="s">
        <v>535</v>
      </c>
      <c r="J529" s="150">
        <v>1</v>
      </c>
      <c r="K529" s="154">
        <v>1.5</v>
      </c>
      <c r="L529" s="151" t="s">
        <v>1896</v>
      </c>
      <c r="M529" s="150"/>
      <c r="N529" s="154">
        <f>MouserListTable[[#This Row],['# Initial]]*MouserListTable[[#This Row],[Price (USD)]]</f>
        <v>0</v>
      </c>
      <c r="O529" s="151" t="s">
        <v>532</v>
      </c>
      <c r="P529" s="150">
        <f t="shared" si="9"/>
        <v>516</v>
      </c>
      <c r="Q529" s="150" t="s">
        <v>5</v>
      </c>
      <c r="R52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474-PRT-13164</v>
      </c>
      <c r="S529" s="157" t="str">
        <f>HYPERLINK("https://www.mouser.com/ProductDetail/" &amp;MouserListTable[[#This Row],[Mouser SKU]])</f>
        <v>https://www.mouser.com/ProductDetail/474-PRT-13164</v>
      </c>
      <c r="T529" s="152">
        <v>0</v>
      </c>
      <c r="U529" s="152">
        <v>0</v>
      </c>
      <c r="V529" s="152">
        <v>0</v>
      </c>
      <c r="W529" s="152">
        <f>MouserListTable[[#This Row],['#/Unit]]*FilterSpecs!$C$3+MouserListTable[[#This Row],[Extra]]</f>
        <v>0</v>
      </c>
      <c r="X529" s="152">
        <f>IF(MouserListTable[[#This Row],[Tag]]=FilterSpecs!$F$7,MouserListTable[[#This Row],['#/Unit]]*MouserListTable[[#This Row],[Price (USD)]],0)</f>
        <v>0</v>
      </c>
      <c r="Y529" s="152">
        <f>MouserListTable[[#This Row],[Tot '#]]*MouserListTable[[#This Row],[Price (USD)]]</f>
        <v>0</v>
      </c>
    </row>
    <row r="530" spans="1:25" x14ac:dyDescent="0.25">
      <c r="A530" s="153" t="s">
        <v>890</v>
      </c>
      <c r="B530" s="153" t="s">
        <v>1594</v>
      </c>
      <c r="C530" s="150" t="s">
        <v>5</v>
      </c>
      <c r="D530" s="151" t="str">
        <f>IF(MouserListTable[[#This Row],[Vendor]]=FilterSpecs!$A$8,MouserListTable[[#This Row],[Mouser SKU]], MouserListTable[[#This Row],[Supplier SKU]])</f>
        <v>474-PRT-10369</v>
      </c>
      <c r="E530" s="152">
        <f>MouserListTable[[#This Row],[Tot '#]]-MouserListTable[[#This Row],['# Initial]]</f>
        <v>0</v>
      </c>
      <c r="F530" s="152">
        <f>IF(AND(MouserListTable[[#This Row],[Tag]]&lt;&gt;FilterSpecs!$F$12, MouserListTable[[#This Row],[Tag]]&lt;&gt;FilterSpecs!$F$9), MouserListTable[[#This Row],['#/Unit]]*FilterSpecs!$B$3+MouserListTable[[#This Row],[Extra Initial]],0)</f>
        <v>0</v>
      </c>
      <c r="G530" s="150" t="s">
        <v>493</v>
      </c>
      <c r="H530" s="150" t="s">
        <v>494</v>
      </c>
      <c r="I530" s="150" t="s">
        <v>495</v>
      </c>
      <c r="J530" s="150"/>
      <c r="K530" s="154">
        <v>1.5</v>
      </c>
      <c r="L530" s="151" t="s">
        <v>1896</v>
      </c>
      <c r="M530" s="150"/>
      <c r="N530" s="154">
        <f>MouserListTable[[#This Row],['# Initial]]*MouserListTable[[#This Row],[Price (USD)]]</f>
        <v>0</v>
      </c>
      <c r="O530" s="151" t="s">
        <v>492</v>
      </c>
      <c r="P530" s="150">
        <f t="shared" si="9"/>
        <v>517</v>
      </c>
      <c r="Q530" s="150" t="s">
        <v>5</v>
      </c>
      <c r="R53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474-PRT-10369</v>
      </c>
      <c r="S530" s="157" t="str">
        <f>HYPERLINK("https://www.mouser.com/ProductDetail/" &amp;MouserListTable[[#This Row],[Mouser SKU]])</f>
        <v>https://www.mouser.com/ProductDetail/474-PRT-10369</v>
      </c>
      <c r="T530" s="152">
        <v>0</v>
      </c>
      <c r="U530" s="152">
        <v>0</v>
      </c>
      <c r="V530" s="152">
        <v>0</v>
      </c>
      <c r="W530" s="152">
        <f>MouserListTable[[#This Row],['#/Unit]]*FilterSpecs!$C$3+MouserListTable[[#This Row],[Extra]]</f>
        <v>0</v>
      </c>
      <c r="X530" s="152">
        <f>IF(MouserListTable[[#This Row],[Tag]]=FilterSpecs!$F$7,MouserListTable[[#This Row],['#/Unit]]*MouserListTable[[#This Row],[Price (USD)]],0)</f>
        <v>0</v>
      </c>
      <c r="Y530" s="152">
        <f>MouserListTable[[#This Row],[Tot '#]]*MouserListTable[[#This Row],[Price (USD)]]</f>
        <v>0</v>
      </c>
    </row>
    <row r="531" spans="1:25" x14ac:dyDescent="0.25">
      <c r="A531" s="153" t="s">
        <v>890</v>
      </c>
      <c r="B531" s="153" t="s">
        <v>1594</v>
      </c>
      <c r="C531" s="150" t="s">
        <v>5</v>
      </c>
      <c r="D531" s="151" t="str">
        <f>IF(MouserListTable[[#This Row],[Vendor]]=FilterSpecs!$A$8,MouserListTable[[#This Row],[Mouser SKU]], MouserListTable[[#This Row],[Supplier SKU]])</f>
        <v>474-PRT-10370</v>
      </c>
      <c r="E531" s="152">
        <f>MouserListTable[[#This Row],[Tot '#]]-MouserListTable[[#This Row],['# Initial]]</f>
        <v>0</v>
      </c>
      <c r="F531" s="152">
        <f>IF(AND(MouserListTable[[#This Row],[Tag]]&lt;&gt;FilterSpecs!$F$12, MouserListTable[[#This Row],[Tag]]&lt;&gt;FilterSpecs!$F$9), MouserListTable[[#This Row],['#/Unit]]*FilterSpecs!$B$3+MouserListTable[[#This Row],[Extra Initial]],0)</f>
        <v>0</v>
      </c>
      <c r="G531" s="150" t="s">
        <v>529</v>
      </c>
      <c r="H531" s="150" t="s">
        <v>530</v>
      </c>
      <c r="I531" s="150" t="s">
        <v>531</v>
      </c>
      <c r="J531" s="150"/>
      <c r="K531" s="154">
        <v>1.5</v>
      </c>
      <c r="L531" s="151" t="s">
        <v>1896</v>
      </c>
      <c r="M531" s="150"/>
      <c r="N531" s="154">
        <f>MouserListTable[[#This Row],['# Initial]]*MouserListTable[[#This Row],[Price (USD)]]</f>
        <v>0</v>
      </c>
      <c r="O531" s="151" t="s">
        <v>528</v>
      </c>
      <c r="P531" s="150">
        <f t="shared" si="9"/>
        <v>518</v>
      </c>
      <c r="Q531" s="150" t="s">
        <v>5</v>
      </c>
      <c r="R53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474-PRT-10370</v>
      </c>
      <c r="S531" s="157" t="str">
        <f>HYPERLINK("https://www.mouser.com/ProductDetail/" &amp;MouserListTable[[#This Row],[Mouser SKU]])</f>
        <v>https://www.mouser.com/ProductDetail/474-PRT-10370</v>
      </c>
      <c r="T531" s="152">
        <v>0</v>
      </c>
      <c r="U531" s="152">
        <v>0</v>
      </c>
      <c r="V531" s="152">
        <v>0</v>
      </c>
      <c r="W531" s="152">
        <f>MouserListTable[[#This Row],['#/Unit]]*FilterSpecs!$C$3+MouserListTable[[#This Row],[Extra]]</f>
        <v>0</v>
      </c>
      <c r="X531" s="152">
        <f>IF(MouserListTable[[#This Row],[Tag]]=FilterSpecs!$F$7,MouserListTable[[#This Row],['#/Unit]]*MouserListTable[[#This Row],[Price (USD)]],0)</f>
        <v>0</v>
      </c>
      <c r="Y531" s="152">
        <f>MouserListTable[[#This Row],[Tot '#]]*MouserListTable[[#This Row],[Price (USD)]]</f>
        <v>0</v>
      </c>
    </row>
    <row r="532" spans="1:25" x14ac:dyDescent="0.25">
      <c r="A532" s="153" t="s">
        <v>890</v>
      </c>
      <c r="B532" s="153" t="s">
        <v>1594</v>
      </c>
      <c r="C532" s="150" t="s">
        <v>5</v>
      </c>
      <c r="D532" s="151" t="str">
        <f>IF(MouserListTable[[#This Row],[Vendor]]=FilterSpecs!$A$8,MouserListTable[[#This Row],[Mouser SKU]], MouserListTable[[#This Row],[Supplier SKU]])</f>
        <v>474-PRT-10376</v>
      </c>
      <c r="E532" s="152">
        <f>MouserListTable[[#This Row],[Tot '#]]-MouserListTable[[#This Row],['# Initial]]</f>
        <v>0</v>
      </c>
      <c r="F532" s="152">
        <f>IF(AND(MouserListTable[[#This Row],[Tag]]&lt;&gt;FilterSpecs!$F$12, MouserListTable[[#This Row],[Tag]]&lt;&gt;FilterSpecs!$F$9), MouserListTable[[#This Row],['#/Unit]]*FilterSpecs!$B$3+MouserListTable[[#This Row],[Extra Initial]],0)</f>
        <v>0</v>
      </c>
      <c r="G532" s="150" t="s">
        <v>497</v>
      </c>
      <c r="H532" s="150" t="s">
        <v>498</v>
      </c>
      <c r="I532" s="150" t="s">
        <v>499</v>
      </c>
      <c r="J532" s="150"/>
      <c r="K532" s="154">
        <v>1.95</v>
      </c>
      <c r="L532" s="151" t="s">
        <v>1896</v>
      </c>
      <c r="M532" s="150"/>
      <c r="N532" s="154">
        <f>MouserListTable[[#This Row],['# Initial]]*MouserListTable[[#This Row],[Price (USD)]]</f>
        <v>0</v>
      </c>
      <c r="O532" s="151" t="s">
        <v>496</v>
      </c>
      <c r="P532" s="150">
        <f t="shared" si="9"/>
        <v>519</v>
      </c>
      <c r="Q532" s="150" t="s">
        <v>5</v>
      </c>
      <c r="R53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474-PRT-10376</v>
      </c>
      <c r="S532" s="157" t="str">
        <f>HYPERLINK("https://www.mouser.com/ProductDetail/" &amp;MouserListTable[[#This Row],[Mouser SKU]])</f>
        <v>https://www.mouser.com/ProductDetail/474-PRT-10376</v>
      </c>
      <c r="T532" s="152">
        <v>0</v>
      </c>
      <c r="U532" s="152">
        <v>0</v>
      </c>
      <c r="V532" s="152">
        <v>0</v>
      </c>
      <c r="W532" s="152">
        <f>MouserListTable[[#This Row],['#/Unit]]*FilterSpecs!$C$3+MouserListTable[[#This Row],[Extra]]</f>
        <v>0</v>
      </c>
      <c r="X532" s="152">
        <f>IF(MouserListTable[[#This Row],[Tag]]=FilterSpecs!$F$7,MouserListTable[[#This Row],['#/Unit]]*MouserListTable[[#This Row],[Price (USD)]],0)</f>
        <v>0</v>
      </c>
      <c r="Y532" s="152">
        <f>MouserListTable[[#This Row],[Tot '#]]*MouserListTable[[#This Row],[Price (USD)]]</f>
        <v>0</v>
      </c>
    </row>
    <row r="533" spans="1:25" x14ac:dyDescent="0.25">
      <c r="A533" s="153" t="s">
        <v>890</v>
      </c>
      <c r="B533" s="153" t="s">
        <v>1594</v>
      </c>
      <c r="C533" s="150" t="s">
        <v>5</v>
      </c>
      <c r="D533" s="151" t="str">
        <f>IF(MouserListTable[[#This Row],[Vendor]]=FilterSpecs!$A$8,MouserListTable[[#This Row],[Mouser SKU]], MouserListTable[[#This Row],[Supplier SKU]])</f>
        <v>474-PRT-10371</v>
      </c>
      <c r="E533" s="152">
        <f>MouserListTable[[#This Row],[Tot '#]]-MouserListTable[[#This Row],['# Initial]]</f>
        <v>0</v>
      </c>
      <c r="F533" s="152">
        <f>IF(AND(MouserListTable[[#This Row],[Tag]]&lt;&gt;FilterSpecs!$F$12, MouserListTable[[#This Row],[Tag]]&lt;&gt;FilterSpecs!$F$9), MouserListTable[[#This Row],['#/Unit]]*FilterSpecs!$B$3+MouserListTable[[#This Row],[Extra Initial]],0)</f>
        <v>0</v>
      </c>
      <c r="G533" s="150" t="s">
        <v>501</v>
      </c>
      <c r="H533" s="150" t="s">
        <v>502</v>
      </c>
      <c r="I533" s="150" t="s">
        <v>503</v>
      </c>
      <c r="J533" s="150"/>
      <c r="K533" s="154">
        <v>1.5</v>
      </c>
      <c r="L533" s="151" t="s">
        <v>1896</v>
      </c>
      <c r="M533" s="150"/>
      <c r="N533" s="154">
        <f>MouserListTable[[#This Row],['# Initial]]*MouserListTable[[#This Row],[Price (USD)]]</f>
        <v>0</v>
      </c>
      <c r="O533" s="151" t="s">
        <v>500</v>
      </c>
      <c r="P533" s="150">
        <f t="shared" si="9"/>
        <v>520</v>
      </c>
      <c r="Q533" s="150" t="s">
        <v>5</v>
      </c>
      <c r="R53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474-PRT-10371</v>
      </c>
      <c r="S533" s="157" t="str">
        <f>HYPERLINK("https://www.mouser.com/ProductDetail/" &amp;MouserListTable[[#This Row],[Mouser SKU]])</f>
        <v>https://www.mouser.com/ProductDetail/474-PRT-10371</v>
      </c>
      <c r="T533" s="152">
        <v>0</v>
      </c>
      <c r="U533" s="152">
        <v>0</v>
      </c>
      <c r="V533" s="152">
        <v>0</v>
      </c>
      <c r="W533" s="152">
        <f>MouserListTable[[#This Row],['#/Unit]]*FilterSpecs!$C$3+MouserListTable[[#This Row],[Extra]]</f>
        <v>0</v>
      </c>
      <c r="X533" s="152">
        <f>IF(MouserListTable[[#This Row],[Tag]]=FilterSpecs!$F$7,MouserListTable[[#This Row],['#/Unit]]*MouserListTable[[#This Row],[Price (USD)]],0)</f>
        <v>0</v>
      </c>
      <c r="Y533" s="152">
        <f>MouserListTable[[#This Row],[Tot '#]]*MouserListTable[[#This Row],[Price (USD)]]</f>
        <v>0</v>
      </c>
    </row>
    <row r="534" spans="1:25" x14ac:dyDescent="0.25">
      <c r="A534" s="153" t="s">
        <v>890</v>
      </c>
      <c r="B534" s="153" t="s">
        <v>1594</v>
      </c>
      <c r="C534" s="150" t="s">
        <v>5</v>
      </c>
      <c r="D534" s="151" t="str">
        <f>IF(MouserListTable[[#This Row],[Vendor]]=FilterSpecs!$A$8,MouserListTable[[#This Row],[Mouser SKU]], MouserListTable[[#This Row],[Supplier SKU]])</f>
        <v>474-PRT-12796</v>
      </c>
      <c r="E534" s="152">
        <f>MouserListTable[[#This Row],[Tot '#]]-MouserListTable[[#This Row],['# Initial]]</f>
        <v>0</v>
      </c>
      <c r="F534" s="152">
        <f>IF(AND(MouserListTable[[#This Row],[Tag]]&lt;&gt;FilterSpecs!$F$12, MouserListTable[[#This Row],[Tag]]&lt;&gt;FilterSpecs!$F$9), MouserListTable[[#This Row],['#/Unit]]*FilterSpecs!$B$3+MouserListTable[[#This Row],[Extra Initial]],0)</f>
        <v>0</v>
      </c>
      <c r="G534" s="150" t="s">
        <v>541</v>
      </c>
      <c r="H534" s="150" t="s">
        <v>542</v>
      </c>
      <c r="I534" s="150" t="s">
        <v>543</v>
      </c>
      <c r="J534" s="150">
        <v>1</v>
      </c>
      <c r="K534" s="154">
        <v>1.95</v>
      </c>
      <c r="L534" s="151" t="s">
        <v>1896</v>
      </c>
      <c r="M534" s="150"/>
      <c r="N534" s="154">
        <f>MouserListTable[[#This Row],['# Initial]]*MouserListTable[[#This Row],[Price (USD)]]</f>
        <v>0</v>
      </c>
      <c r="O534" s="151" t="s">
        <v>540</v>
      </c>
      <c r="P534" s="150">
        <f t="shared" si="9"/>
        <v>521</v>
      </c>
      <c r="Q534" s="150" t="s">
        <v>5</v>
      </c>
      <c r="R53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474-PRT-12796</v>
      </c>
      <c r="S534" s="157" t="str">
        <f>HYPERLINK("https://www.mouser.com/ProductDetail/" &amp;MouserListTable[[#This Row],[Mouser SKU]])</f>
        <v>https://www.mouser.com/ProductDetail/474-PRT-12796</v>
      </c>
      <c r="T534" s="152">
        <v>0</v>
      </c>
      <c r="U534" s="152">
        <v>0</v>
      </c>
      <c r="V534" s="152">
        <v>0</v>
      </c>
      <c r="W534" s="152">
        <f>MouserListTable[[#This Row],['#/Unit]]*FilterSpecs!$C$3+MouserListTable[[#This Row],[Extra]]</f>
        <v>0</v>
      </c>
      <c r="X534" s="152">
        <f>IF(MouserListTable[[#This Row],[Tag]]=FilterSpecs!$F$7,MouserListTable[[#This Row],['#/Unit]]*MouserListTable[[#This Row],[Price (USD)]],0)</f>
        <v>0</v>
      </c>
      <c r="Y534" s="152">
        <f>MouserListTable[[#This Row],[Tot '#]]*MouserListTable[[#This Row],[Price (USD)]]</f>
        <v>0</v>
      </c>
    </row>
    <row r="535" spans="1:25" x14ac:dyDescent="0.25">
      <c r="A535" s="153" t="s">
        <v>890</v>
      </c>
      <c r="B535" s="153" t="s">
        <v>1594</v>
      </c>
      <c r="C535" s="150" t="s">
        <v>5</v>
      </c>
      <c r="D535" s="151" t="str">
        <f>IF(MouserListTable[[#This Row],[Vendor]]=FilterSpecs!$A$8,MouserListTable[[#This Row],[Mouser SKU]], MouserListTable[[#This Row],[Supplier SKU]])</f>
        <v>474-PRT-11710</v>
      </c>
      <c r="E535" s="152">
        <f>MouserListTable[[#This Row],[Tot '#]]-MouserListTable[[#This Row],['# Initial]]</f>
        <v>0</v>
      </c>
      <c r="F535" s="152">
        <f>IF(AND(MouserListTable[[#This Row],[Tag]]&lt;&gt;FilterSpecs!$F$12, MouserListTable[[#This Row],[Tag]]&lt;&gt;FilterSpecs!$F$9), MouserListTable[[#This Row],['#/Unit]]*FilterSpecs!$B$3+MouserListTable[[#This Row],[Extra Initial]],0)</f>
        <v>0</v>
      </c>
      <c r="G535" s="150" t="s">
        <v>545</v>
      </c>
      <c r="H535" s="150" t="s">
        <v>546</v>
      </c>
      <c r="I535" s="150" t="s">
        <v>547</v>
      </c>
      <c r="J535" s="150">
        <v>1</v>
      </c>
      <c r="K535" s="154">
        <v>4.95</v>
      </c>
      <c r="L535" s="151" t="s">
        <v>1896</v>
      </c>
      <c r="M535" s="150"/>
      <c r="N535" s="154">
        <f>MouserListTable[[#This Row],['# Initial]]*MouserListTable[[#This Row],[Price (USD)]]</f>
        <v>0</v>
      </c>
      <c r="O535" s="151" t="s">
        <v>544</v>
      </c>
      <c r="P535" s="150">
        <f t="shared" si="9"/>
        <v>522</v>
      </c>
      <c r="Q535" s="150" t="s">
        <v>5</v>
      </c>
      <c r="R53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474-PRT-11710</v>
      </c>
      <c r="S535" s="157" t="str">
        <f>HYPERLINK("https://www.mouser.com/ProductDetail/" &amp;MouserListTable[[#This Row],[Mouser SKU]])</f>
        <v>https://www.mouser.com/ProductDetail/474-PRT-11710</v>
      </c>
      <c r="T535" s="152">
        <v>0</v>
      </c>
      <c r="U535" s="152">
        <v>0</v>
      </c>
      <c r="V535" s="152">
        <v>0</v>
      </c>
      <c r="W535" s="152">
        <f>MouserListTable[[#This Row],['#/Unit]]*FilterSpecs!$C$3+MouserListTable[[#This Row],[Extra]]</f>
        <v>0</v>
      </c>
      <c r="X535" s="152">
        <f>IF(MouserListTable[[#This Row],[Tag]]=FilterSpecs!$F$7,MouserListTable[[#This Row],['#/Unit]]*MouserListTable[[#This Row],[Price (USD)]],0)</f>
        <v>0</v>
      </c>
      <c r="Y535" s="152">
        <f>MouserListTable[[#This Row],[Tot '#]]*MouserListTable[[#This Row],[Price (USD)]]</f>
        <v>0</v>
      </c>
    </row>
    <row r="536" spans="1:25" x14ac:dyDescent="0.25">
      <c r="A536" s="153" t="s">
        <v>890</v>
      </c>
      <c r="B536" s="153" t="s">
        <v>1594</v>
      </c>
      <c r="C536" s="150" t="s">
        <v>5</v>
      </c>
      <c r="D536" s="151" t="str">
        <f>IF(MouserListTable[[#This Row],[Vendor]]=FilterSpecs!$A$8,MouserListTable[[#This Row],[Mouser SKU]], MouserListTable[[#This Row],[Supplier SKU]])</f>
        <v>474-PRT-09389</v>
      </c>
      <c r="E536" s="152">
        <f>MouserListTable[[#This Row],[Tot '#]]-MouserListTable[[#This Row],['# Initial]]</f>
        <v>0</v>
      </c>
      <c r="F536" s="152">
        <f>IF(AND(MouserListTable[[#This Row],[Tag]]&lt;&gt;FilterSpecs!$F$12, MouserListTable[[#This Row],[Tag]]&lt;&gt;FilterSpecs!$F$9), MouserListTable[[#This Row],['#/Unit]]*FilterSpecs!$B$3+MouserListTable[[#This Row],[Extra Initial]],0)</f>
        <v>0</v>
      </c>
      <c r="G536" s="150" t="s">
        <v>593</v>
      </c>
      <c r="H536" s="150" t="s">
        <v>594</v>
      </c>
      <c r="I536" s="150" t="s">
        <v>595</v>
      </c>
      <c r="J536" s="150">
        <v>1</v>
      </c>
      <c r="K536" s="154">
        <v>4.5</v>
      </c>
      <c r="L536" s="151" t="s">
        <v>1896</v>
      </c>
      <c r="M536" s="150"/>
      <c r="N536" s="154">
        <f>MouserListTable[[#This Row],['# Initial]]*MouserListTable[[#This Row],[Price (USD)]]</f>
        <v>0</v>
      </c>
      <c r="O536" s="151" t="s">
        <v>592</v>
      </c>
      <c r="P536" s="150">
        <f t="shared" si="9"/>
        <v>523</v>
      </c>
      <c r="Q536" s="150" t="s">
        <v>5</v>
      </c>
      <c r="R53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474-PRT-09389</v>
      </c>
      <c r="S536" s="157" t="str">
        <f>HYPERLINK("https://www.mouser.com/ProductDetail/" &amp;MouserListTable[[#This Row],[Mouser SKU]])</f>
        <v>https://www.mouser.com/ProductDetail/474-PRT-09389</v>
      </c>
      <c r="T536" s="152">
        <v>0</v>
      </c>
      <c r="U536" s="152">
        <v>0</v>
      </c>
      <c r="V536" s="152">
        <v>0</v>
      </c>
      <c r="W536" s="152">
        <f>MouserListTable[[#This Row],['#/Unit]]*FilterSpecs!$C$3+MouserListTable[[#This Row],[Extra]]</f>
        <v>0</v>
      </c>
      <c r="X536" s="152">
        <f>IF(MouserListTable[[#This Row],[Tag]]=FilterSpecs!$F$7,MouserListTable[[#This Row],['#/Unit]]*MouserListTable[[#This Row],[Price (USD)]],0)</f>
        <v>0</v>
      </c>
      <c r="Y536" s="152">
        <f>MouserListTable[[#This Row],[Tot '#]]*MouserListTable[[#This Row],[Price (USD)]]</f>
        <v>0</v>
      </c>
    </row>
    <row r="537" spans="1:25" x14ac:dyDescent="0.25">
      <c r="A537" s="153" t="s">
        <v>890</v>
      </c>
      <c r="B537" s="153" t="s">
        <v>1594</v>
      </c>
      <c r="C537" s="150" t="s">
        <v>5</v>
      </c>
      <c r="D537" s="151" t="str">
        <f>IF(MouserListTable[[#This Row],[Vendor]]=FilterSpecs!$A$8,MouserListTable[[#This Row],[Mouser SKU]], MouserListTable[[#This Row],[Supplier SKU]])</f>
        <v>474-PRT-09140</v>
      </c>
      <c r="E537" s="152">
        <f>MouserListTable[[#This Row],[Tot '#]]-MouserListTable[[#This Row],['# Initial]]</f>
        <v>0</v>
      </c>
      <c r="F537" s="152">
        <f>IF(AND(MouserListTable[[#This Row],[Tag]]&lt;&gt;FilterSpecs!$F$12, MouserListTable[[#This Row],[Tag]]&lt;&gt;FilterSpecs!$F$9), MouserListTable[[#This Row],['#/Unit]]*FilterSpecs!$B$3+MouserListTable[[#This Row],[Extra Initial]],0)</f>
        <v>0</v>
      </c>
      <c r="G537" s="150" t="s">
        <v>553</v>
      </c>
      <c r="H537" s="150" t="s">
        <v>554</v>
      </c>
      <c r="I537" s="150" t="s">
        <v>555</v>
      </c>
      <c r="J537" s="150">
        <v>1</v>
      </c>
      <c r="K537" s="154">
        <v>3.95</v>
      </c>
      <c r="L537" s="151" t="s">
        <v>1896</v>
      </c>
      <c r="M537" s="150"/>
      <c r="N537" s="154">
        <f>MouserListTable[[#This Row],['# Initial]]*MouserListTable[[#This Row],[Price (USD)]]</f>
        <v>0</v>
      </c>
      <c r="O537" s="151" t="s">
        <v>552</v>
      </c>
      <c r="P537" s="150">
        <f t="shared" si="9"/>
        <v>524</v>
      </c>
      <c r="Q537" s="150" t="s">
        <v>5</v>
      </c>
      <c r="R53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474-PRT-09140</v>
      </c>
      <c r="S537" s="157" t="str">
        <f>HYPERLINK("https://www.mouser.com/ProductDetail/" &amp;MouserListTable[[#This Row],[Mouser SKU]])</f>
        <v>https://www.mouser.com/ProductDetail/474-PRT-09140</v>
      </c>
      <c r="T537" s="152">
        <v>0</v>
      </c>
      <c r="U537" s="152">
        <v>0</v>
      </c>
      <c r="V537" s="152">
        <v>0</v>
      </c>
      <c r="W537" s="152">
        <f>MouserListTable[[#This Row],['#/Unit]]*FilterSpecs!$C$3+MouserListTable[[#This Row],[Extra]]</f>
        <v>0</v>
      </c>
      <c r="X537" s="152">
        <f>IF(MouserListTable[[#This Row],[Tag]]=FilterSpecs!$F$7,MouserListTable[[#This Row],['#/Unit]]*MouserListTable[[#This Row],[Price (USD)]],0)</f>
        <v>0</v>
      </c>
      <c r="Y537" s="152">
        <f>MouserListTable[[#This Row],[Tot '#]]*MouserListTable[[#This Row],[Price (USD)]]</f>
        <v>0</v>
      </c>
    </row>
    <row r="538" spans="1:25" x14ac:dyDescent="0.25">
      <c r="A538" s="153" t="s">
        <v>890</v>
      </c>
      <c r="B538" s="153" t="s">
        <v>1594</v>
      </c>
      <c r="C538" s="150" t="s">
        <v>5</v>
      </c>
      <c r="D538" s="151" t="str">
        <f>IF(MouserListTable[[#This Row],[Vendor]]=FilterSpecs!$A$8,MouserListTable[[#This Row],[Mouser SKU]], MouserListTable[[#This Row],[Supplier SKU]])</f>
        <v>474-PRT-09385</v>
      </c>
      <c r="E538" s="152">
        <f>MouserListTable[[#This Row],[Tot '#]]-MouserListTable[[#This Row],['# Initial]]</f>
        <v>0</v>
      </c>
      <c r="F538" s="152">
        <f>IF(AND(MouserListTable[[#This Row],[Tag]]&lt;&gt;FilterSpecs!$F$12, MouserListTable[[#This Row],[Tag]]&lt;&gt;FilterSpecs!$F$9), MouserListTable[[#This Row],['#/Unit]]*FilterSpecs!$B$3+MouserListTable[[#This Row],[Extra Initial]],0)</f>
        <v>0</v>
      </c>
      <c r="G538" s="150" t="s">
        <v>561</v>
      </c>
      <c r="H538" s="150" t="s">
        <v>562</v>
      </c>
      <c r="I538" s="150" t="s">
        <v>563</v>
      </c>
      <c r="J538" s="150">
        <v>1</v>
      </c>
      <c r="K538" s="154">
        <v>4.5</v>
      </c>
      <c r="L538" s="151" t="s">
        <v>1896</v>
      </c>
      <c r="M538" s="150"/>
      <c r="N538" s="154">
        <f>MouserListTable[[#This Row],['# Initial]]*MouserListTable[[#This Row],[Price (USD)]]</f>
        <v>0</v>
      </c>
      <c r="O538" s="151" t="s">
        <v>560</v>
      </c>
      <c r="P538" s="150">
        <f t="shared" si="9"/>
        <v>525</v>
      </c>
      <c r="Q538" s="150" t="s">
        <v>5</v>
      </c>
      <c r="R53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474-PRT-09385</v>
      </c>
      <c r="S538" s="157" t="str">
        <f>HYPERLINK("https://www.mouser.com/ProductDetail/" &amp;MouserListTable[[#This Row],[Mouser SKU]])</f>
        <v>https://www.mouser.com/ProductDetail/474-PRT-09385</v>
      </c>
      <c r="T538" s="152">
        <v>0</v>
      </c>
      <c r="U538" s="152">
        <v>0</v>
      </c>
      <c r="V538" s="152">
        <v>0</v>
      </c>
      <c r="W538" s="152">
        <f>MouserListTable[[#This Row],['#/Unit]]*FilterSpecs!$C$3+MouserListTable[[#This Row],[Extra]]</f>
        <v>0</v>
      </c>
      <c r="X538" s="152">
        <f>IF(MouserListTable[[#This Row],[Tag]]=FilterSpecs!$F$7,MouserListTable[[#This Row],['#/Unit]]*MouserListTable[[#This Row],[Price (USD)]],0)</f>
        <v>0</v>
      </c>
      <c r="Y538" s="152">
        <f>MouserListTable[[#This Row],[Tot '#]]*MouserListTable[[#This Row],[Price (USD)]]</f>
        <v>0</v>
      </c>
    </row>
    <row r="539" spans="1:25" x14ac:dyDescent="0.25">
      <c r="A539" s="153" t="s">
        <v>890</v>
      </c>
      <c r="B539" s="153" t="s">
        <v>1594</v>
      </c>
      <c r="C539" s="150" t="s">
        <v>5</v>
      </c>
      <c r="D539" s="151" t="str">
        <f>IF(MouserListTable[[#This Row],[Vendor]]=FilterSpecs!$A$8,MouserListTable[[#This Row],[Mouser SKU]], MouserListTable[[#This Row],[Supplier SKU]])</f>
        <v>474-PRT-14284</v>
      </c>
      <c r="E539" s="152">
        <f>MouserListTable[[#This Row],[Tot '#]]-MouserListTable[[#This Row],['# Initial]]</f>
        <v>0</v>
      </c>
      <c r="F539" s="152">
        <f>IF(AND(MouserListTable[[#This Row],[Tag]]&lt;&gt;FilterSpecs!$F$12, MouserListTable[[#This Row],[Tag]]&lt;&gt;FilterSpecs!$F$9), MouserListTable[[#This Row],['#/Unit]]*FilterSpecs!$B$3+MouserListTable[[#This Row],[Extra Initial]],0)</f>
        <v>0</v>
      </c>
      <c r="G539" s="150" t="s">
        <v>537</v>
      </c>
      <c r="H539" s="150" t="s">
        <v>538</v>
      </c>
      <c r="I539" s="150" t="s">
        <v>539</v>
      </c>
      <c r="J539" s="150">
        <v>1</v>
      </c>
      <c r="K539" s="154">
        <v>1.95</v>
      </c>
      <c r="L539" s="151" t="s">
        <v>1896</v>
      </c>
      <c r="M539" s="150"/>
      <c r="N539" s="154">
        <f>MouserListTable[[#This Row],['# Initial]]*MouserListTable[[#This Row],[Price (USD)]]</f>
        <v>0</v>
      </c>
      <c r="O539" s="151" t="s">
        <v>536</v>
      </c>
      <c r="P539" s="150">
        <f t="shared" si="9"/>
        <v>526</v>
      </c>
      <c r="Q539" s="150" t="s">
        <v>5</v>
      </c>
      <c r="R53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474-PRT-14284</v>
      </c>
      <c r="S539" s="157" t="str">
        <f>HYPERLINK("https://www.mouser.com/ProductDetail/" &amp;MouserListTable[[#This Row],[Mouser SKU]])</f>
        <v>https://www.mouser.com/ProductDetail/474-PRT-14284</v>
      </c>
      <c r="T539" s="152">
        <v>0</v>
      </c>
      <c r="U539" s="152">
        <v>0</v>
      </c>
      <c r="V539" s="152">
        <v>0</v>
      </c>
      <c r="W539" s="152">
        <f>MouserListTable[[#This Row],['#/Unit]]*FilterSpecs!$C$3+MouserListTable[[#This Row],[Extra]]</f>
        <v>0</v>
      </c>
      <c r="X539" s="152">
        <f>IF(MouserListTable[[#This Row],[Tag]]=FilterSpecs!$F$7,MouserListTable[[#This Row],['#/Unit]]*MouserListTable[[#This Row],[Price (USD)]],0)</f>
        <v>0</v>
      </c>
      <c r="Y539" s="152">
        <f>MouserListTable[[#This Row],[Tot '#]]*MouserListTable[[#This Row],[Price (USD)]]</f>
        <v>0</v>
      </c>
    </row>
    <row r="540" spans="1:25" x14ac:dyDescent="0.25">
      <c r="A540" s="153" t="s">
        <v>890</v>
      </c>
      <c r="B540" s="153" t="s">
        <v>1594</v>
      </c>
      <c r="C540" s="150" t="s">
        <v>5</v>
      </c>
      <c r="D540" s="151" t="str">
        <f>IF(MouserListTable[[#This Row],[Vendor]]=FilterSpecs!$A$8,MouserListTable[[#This Row],[Mouser SKU]], MouserListTable[[#This Row],[Supplier SKU]])</f>
        <v>474-PRT-11709</v>
      </c>
      <c r="E540" s="152">
        <f>MouserListTable[[#This Row],[Tot '#]]-MouserListTable[[#This Row],['# Initial]]</f>
        <v>0</v>
      </c>
      <c r="F540" s="152">
        <f>IF(AND(MouserListTable[[#This Row],[Tag]]&lt;&gt;FilterSpecs!$F$12, MouserListTable[[#This Row],[Tag]]&lt;&gt;FilterSpecs!$F$9), MouserListTable[[#This Row],['#/Unit]]*FilterSpecs!$B$3+MouserListTable[[#This Row],[Extra Initial]],0)</f>
        <v>0</v>
      </c>
      <c r="G540" s="150" t="s">
        <v>545</v>
      </c>
      <c r="H540" s="150" t="s">
        <v>546</v>
      </c>
      <c r="I540" s="150" t="s">
        <v>1338</v>
      </c>
      <c r="J540" s="150">
        <v>1</v>
      </c>
      <c r="K540" s="154">
        <v>4.95</v>
      </c>
      <c r="L540" s="151" t="s">
        <v>1896</v>
      </c>
      <c r="M540" s="150"/>
      <c r="N540" s="154">
        <f>MouserListTable[[#This Row],['# Initial]]*MouserListTable[[#This Row],[Price (USD)]]</f>
        <v>0</v>
      </c>
      <c r="O540" s="151" t="s">
        <v>1339</v>
      </c>
      <c r="P540" s="150">
        <f t="shared" si="9"/>
        <v>527</v>
      </c>
      <c r="Q540" s="150" t="s">
        <v>5</v>
      </c>
      <c r="R54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474-PRT-11709</v>
      </c>
      <c r="S540" s="157" t="str">
        <f>HYPERLINK("https://www.mouser.com/ProductDetail/" &amp;MouserListTable[[#This Row],[Mouser SKU]])</f>
        <v>https://www.mouser.com/ProductDetail/474-PRT-11709</v>
      </c>
      <c r="T540" s="152">
        <v>0</v>
      </c>
      <c r="U540" s="152">
        <v>0</v>
      </c>
      <c r="V540" s="152">
        <v>0</v>
      </c>
      <c r="W540" s="152">
        <f>MouserListTable[[#This Row],['#/Unit]]*FilterSpecs!$C$3+MouserListTable[[#This Row],[Extra]]</f>
        <v>0</v>
      </c>
      <c r="X540" s="152">
        <f>IF(MouserListTable[[#This Row],[Tag]]=FilterSpecs!$F$7,MouserListTable[[#This Row],['#/Unit]]*MouserListTable[[#This Row],[Price (USD)]],0)</f>
        <v>0</v>
      </c>
      <c r="Y540" s="152">
        <f>MouserListTable[[#This Row],[Tot '#]]*MouserListTable[[#This Row],[Price (USD)]]</f>
        <v>0</v>
      </c>
    </row>
    <row r="541" spans="1:25" x14ac:dyDescent="0.25">
      <c r="A541" s="153" t="s">
        <v>890</v>
      </c>
      <c r="B541" s="153" t="s">
        <v>1594</v>
      </c>
      <c r="C541" s="150" t="s">
        <v>5</v>
      </c>
      <c r="D541" s="151" t="str">
        <f>IF(MouserListTable[[#This Row],[Vendor]]=FilterSpecs!$A$8,MouserListTable[[#This Row],[Mouser SKU]], MouserListTable[[#This Row],[Supplier SKU]])</f>
        <v>474-PRT-08431</v>
      </c>
      <c r="E541" s="152">
        <f>MouserListTable[[#This Row],[Tot '#]]-MouserListTable[[#This Row],['# Initial]]</f>
        <v>0</v>
      </c>
      <c r="F541" s="152">
        <f>IF(AND(MouserListTable[[#This Row],[Tag]]&lt;&gt;FilterSpecs!$F$12, MouserListTable[[#This Row],[Tag]]&lt;&gt;FilterSpecs!$F$9), MouserListTable[[#This Row],['#/Unit]]*FilterSpecs!$B$3+MouserListTable[[#This Row],[Extra Initial]],0)</f>
        <v>0</v>
      </c>
      <c r="G541" s="150" t="s">
        <v>557</v>
      </c>
      <c r="H541" s="150" t="s">
        <v>558</v>
      </c>
      <c r="I541" s="150" t="s">
        <v>559</v>
      </c>
      <c r="J541" s="150">
        <v>1</v>
      </c>
      <c r="K541" s="154">
        <v>3.95</v>
      </c>
      <c r="L541" s="151" t="s">
        <v>1896</v>
      </c>
      <c r="M541" s="150"/>
      <c r="N541" s="154">
        <f>MouserListTable[[#This Row],['# Initial]]*MouserListTable[[#This Row],[Price (USD)]]</f>
        <v>0</v>
      </c>
      <c r="O541" s="151" t="s">
        <v>556</v>
      </c>
      <c r="P541" s="150">
        <f t="shared" si="9"/>
        <v>528</v>
      </c>
      <c r="Q541" s="150" t="s">
        <v>5</v>
      </c>
      <c r="R54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474-PRT-08431</v>
      </c>
      <c r="S541" s="157" t="str">
        <f>HYPERLINK("https://www.mouser.com/ProductDetail/" &amp;MouserListTable[[#This Row],[Mouser SKU]])</f>
        <v>https://www.mouser.com/ProductDetail/474-PRT-08431</v>
      </c>
      <c r="T541" s="152">
        <v>0</v>
      </c>
      <c r="U541" s="152">
        <v>0</v>
      </c>
      <c r="V541" s="152">
        <v>0</v>
      </c>
      <c r="W541" s="152">
        <f>MouserListTable[[#This Row],['#/Unit]]*FilterSpecs!$C$3+MouserListTable[[#This Row],[Extra]]</f>
        <v>0</v>
      </c>
      <c r="X541" s="152">
        <f>IF(MouserListTable[[#This Row],[Tag]]=FilterSpecs!$F$7,MouserListTable[[#This Row],['#/Unit]]*MouserListTable[[#This Row],[Price (USD)]],0)</f>
        <v>0</v>
      </c>
      <c r="Y541" s="152">
        <f>MouserListTable[[#This Row],[Tot '#]]*MouserListTable[[#This Row],[Price (USD)]]</f>
        <v>0</v>
      </c>
    </row>
    <row r="542" spans="1:25" x14ac:dyDescent="0.25">
      <c r="A542" s="153" t="s">
        <v>890</v>
      </c>
      <c r="B542" s="153" t="s">
        <v>1594</v>
      </c>
      <c r="C542" s="150" t="s">
        <v>5</v>
      </c>
      <c r="D542" s="151" t="str">
        <f>IF(MouserListTable[[#This Row],[Vendor]]=FilterSpecs!$A$8,MouserListTable[[#This Row],[Mouser SKU]], MouserListTable[[#This Row],[Supplier SKU]])</f>
        <v>474-PRT-11026</v>
      </c>
      <c r="E542" s="152">
        <f>MouserListTable[[#This Row],[Tot '#]]-MouserListTable[[#This Row],['# Initial]]</f>
        <v>0</v>
      </c>
      <c r="F542" s="152">
        <f>IF(AND(MouserListTable[[#This Row],[Tag]]&lt;&gt;FilterSpecs!$F$12, MouserListTable[[#This Row],[Tag]]&lt;&gt;FilterSpecs!$F$9), MouserListTable[[#This Row],['#/Unit]]*FilterSpecs!$B$3+MouserListTable[[#This Row],[Extra Initial]],0)</f>
        <v>0</v>
      </c>
      <c r="G542" s="150" t="s">
        <v>549</v>
      </c>
      <c r="H542" s="150" t="s">
        <v>550</v>
      </c>
      <c r="I542" s="150" t="s">
        <v>551</v>
      </c>
      <c r="J542" s="150">
        <v>1</v>
      </c>
      <c r="K542" s="154">
        <v>1.95</v>
      </c>
      <c r="L542" s="151" t="s">
        <v>1896</v>
      </c>
      <c r="M542" s="150"/>
      <c r="N542" s="154">
        <f>MouserListTable[[#This Row],['# Initial]]*MouserListTable[[#This Row],[Price (USD)]]</f>
        <v>0</v>
      </c>
      <c r="O542" s="151" t="s">
        <v>548</v>
      </c>
      <c r="P542" s="150">
        <f t="shared" si="9"/>
        <v>529</v>
      </c>
      <c r="Q542" s="150" t="s">
        <v>5</v>
      </c>
      <c r="R54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474-PRT-11026</v>
      </c>
      <c r="S542" s="157" t="str">
        <f>HYPERLINK("https://www.mouser.com/ProductDetail/" &amp;MouserListTable[[#This Row],[Mouser SKU]])</f>
        <v>https://www.mouser.com/ProductDetail/474-PRT-11026</v>
      </c>
      <c r="T542" s="152">
        <v>0</v>
      </c>
      <c r="U542" s="152">
        <v>0</v>
      </c>
      <c r="V542" s="152">
        <v>0</v>
      </c>
      <c r="W542" s="152">
        <f>MouserListTable[[#This Row],['#/Unit]]*FilterSpecs!$C$3+MouserListTable[[#This Row],[Extra]]</f>
        <v>0</v>
      </c>
      <c r="X542" s="152">
        <f>IF(MouserListTable[[#This Row],[Tag]]=FilterSpecs!$F$7,MouserListTable[[#This Row],['#/Unit]]*MouserListTable[[#This Row],[Price (USD)]],0)</f>
        <v>0</v>
      </c>
      <c r="Y542" s="152">
        <f>MouserListTable[[#This Row],[Tot '#]]*MouserListTable[[#This Row],[Price (USD)]]</f>
        <v>0</v>
      </c>
    </row>
    <row r="543" spans="1:25" x14ac:dyDescent="0.25">
      <c r="A543" s="150" t="s">
        <v>890</v>
      </c>
      <c r="B543" s="150" t="s">
        <v>1004</v>
      </c>
      <c r="C543" s="150" t="s">
        <v>5</v>
      </c>
      <c r="D543" s="151" t="str">
        <f>IF(MouserListTable[[#This Row],[Vendor]]=FilterSpecs!$A$8,MouserListTable[[#This Row],[Mouser SKU]], MouserListTable[[#This Row],[Supplier SKU]])</f>
        <v>474-COM-10969</v>
      </c>
      <c r="E543" s="152">
        <f>MouserListTable[[#This Row],[Tot '#]]-MouserListTable[[#This Row],['# Initial]]</f>
        <v>0</v>
      </c>
      <c r="F543" s="152">
        <f>IF(AND(MouserListTable[[#This Row],[Tag]]&lt;&gt;FilterSpecs!$F$12, MouserListTable[[#This Row],[Tag]]&lt;&gt;FilterSpecs!$F$9), MouserListTable[[#This Row],['#/Unit]]*FilterSpecs!$B$3+MouserListTable[[#This Row],[Extra Initial]],0)</f>
        <v>1</v>
      </c>
      <c r="G543" s="150" t="s">
        <v>365</v>
      </c>
      <c r="H543" s="150" t="s">
        <v>366</v>
      </c>
      <c r="I543" s="150" t="s">
        <v>367</v>
      </c>
      <c r="J543" s="150">
        <v>1</v>
      </c>
      <c r="K543" s="154">
        <v>7.95</v>
      </c>
      <c r="L543" s="150" t="s">
        <v>1896</v>
      </c>
      <c r="M543" s="150"/>
      <c r="N543" s="154">
        <f>MouserListTable[[#This Row],['# Initial]]*MouserListTable[[#This Row],[Price (USD)]]</f>
        <v>7.95</v>
      </c>
      <c r="O543" s="151" t="s">
        <v>364</v>
      </c>
      <c r="P543" s="150">
        <f t="shared" si="9"/>
        <v>530</v>
      </c>
      <c r="Q543" s="150" t="s">
        <v>5</v>
      </c>
      <c r="R54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474-COM-10969</v>
      </c>
      <c r="S543" s="157" t="str">
        <f>HYPERLINK("https://www.mouser.com/ProductDetail/" &amp;MouserListTable[[#This Row],[Mouser SKU]])</f>
        <v>https://www.mouser.com/ProductDetail/474-COM-10969</v>
      </c>
      <c r="T543" s="152">
        <v>0</v>
      </c>
      <c r="U543" s="152">
        <v>1</v>
      </c>
      <c r="V543" s="152">
        <v>1</v>
      </c>
      <c r="W543" s="152">
        <f>MouserListTable[[#This Row],['#/Unit]]*FilterSpecs!$C$3+MouserListTable[[#This Row],[Extra]]</f>
        <v>1</v>
      </c>
      <c r="X543" s="152">
        <f>IF(MouserListTable[[#This Row],[Tag]]=FilterSpecs!$F$7,MouserListTable[[#This Row],['#/Unit]]*MouserListTable[[#This Row],[Price (USD)]],0)</f>
        <v>0</v>
      </c>
      <c r="Y543" s="152">
        <f>MouserListTable[[#This Row],[Tot '#]]*MouserListTable[[#This Row],[Price (USD)]]</f>
        <v>7.95</v>
      </c>
    </row>
    <row r="544" spans="1:25" x14ac:dyDescent="0.25">
      <c r="A544" s="150" t="s">
        <v>890</v>
      </c>
      <c r="B544" s="150" t="s">
        <v>1004</v>
      </c>
      <c r="C544" s="150" t="s">
        <v>5</v>
      </c>
      <c r="D544" s="151" t="str">
        <f>IF(MouserListTable[[#This Row],[Vendor]]=FilterSpecs!$A$8,MouserListTable[[#This Row],[Mouser SKU]], MouserListTable[[#This Row],[Supplier SKU]])</f>
        <v>474-COM-10856</v>
      </c>
      <c r="E544" s="152">
        <f>MouserListTable[[#This Row],[Tot '#]]-MouserListTable[[#This Row],['# Initial]]</f>
        <v>0</v>
      </c>
      <c r="F544" s="152">
        <f>IF(AND(MouserListTable[[#This Row],[Tag]]&lt;&gt;FilterSpecs!$F$12, MouserListTable[[#This Row],[Tag]]&lt;&gt;FilterSpecs!$F$9), MouserListTable[[#This Row],['#/Unit]]*FilterSpecs!$B$3+MouserListTable[[#This Row],[Extra Initial]],0)</f>
        <v>5</v>
      </c>
      <c r="G544" s="150" t="s">
        <v>431</v>
      </c>
      <c r="H544" s="150" t="s">
        <v>432</v>
      </c>
      <c r="I544" s="150" t="s">
        <v>433</v>
      </c>
      <c r="J544" s="150">
        <v>1</v>
      </c>
      <c r="K544" s="154">
        <v>0.5</v>
      </c>
      <c r="L544" s="150" t="s">
        <v>1897</v>
      </c>
      <c r="M544" s="150"/>
      <c r="N544" s="154">
        <f>MouserListTable[[#This Row],['# Initial]]*MouserListTable[[#This Row],[Price (USD)]]</f>
        <v>2.5</v>
      </c>
      <c r="O544" s="151" t="s">
        <v>430</v>
      </c>
      <c r="P544" s="150">
        <f t="shared" si="9"/>
        <v>531</v>
      </c>
      <c r="Q544" s="150" t="s">
        <v>5</v>
      </c>
      <c r="R54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474-COM-10856</v>
      </c>
      <c r="S544" s="157" t="str">
        <f>HYPERLINK("https://www.mouser.com/ProductDetail/" &amp;MouserListTable[[#This Row],[Mouser SKU]])</f>
        <v>https://www.mouser.com/ProductDetail/474-COM-10856</v>
      </c>
      <c r="T544" s="152">
        <v>1</v>
      </c>
      <c r="U544" s="152">
        <v>0</v>
      </c>
      <c r="V544" s="152">
        <v>0</v>
      </c>
      <c r="W544" s="152">
        <f>MouserListTable[[#This Row],['#/Unit]]*FilterSpecs!$C$3+MouserListTable[[#This Row],[Extra]]</f>
        <v>5</v>
      </c>
      <c r="X544" s="152">
        <f>IF(MouserListTable[[#This Row],[Tag]]=FilterSpecs!$F$7,MouserListTable[[#This Row],['#/Unit]]*MouserListTable[[#This Row],[Price (USD)]],0)</f>
        <v>0.5</v>
      </c>
      <c r="Y544" s="152">
        <f>MouserListTable[[#This Row],[Tot '#]]*MouserListTable[[#This Row],[Price (USD)]]</f>
        <v>2.5</v>
      </c>
    </row>
    <row r="545" spans="1:25" x14ac:dyDescent="0.25">
      <c r="A545" s="150" t="s">
        <v>890</v>
      </c>
      <c r="B545" s="150" t="s">
        <v>1004</v>
      </c>
      <c r="C545" s="150" t="s">
        <v>5</v>
      </c>
      <c r="D545" s="151" t="str">
        <f>IF(MouserListTable[[#This Row],[Vendor]]=FilterSpecs!$A$8,MouserListTable[[#This Row],[Mouser SKU]], MouserListTable[[#This Row],[Supplier SKU]])</f>
        <v>474-COM-10855</v>
      </c>
      <c r="E545" s="152">
        <f>MouserListTable[[#This Row],[Tot '#]]-MouserListTable[[#This Row],['# Initial]]</f>
        <v>0</v>
      </c>
      <c r="F545" s="152">
        <f>IF(AND(MouserListTable[[#This Row],[Tag]]&lt;&gt;FilterSpecs!$F$12, MouserListTable[[#This Row],[Tag]]&lt;&gt;FilterSpecs!$F$9), MouserListTable[[#This Row],['#/Unit]]*FilterSpecs!$B$3+MouserListTable[[#This Row],[Extra Initial]],0)</f>
        <v>5</v>
      </c>
      <c r="G545" s="150" t="s">
        <v>435</v>
      </c>
      <c r="H545" s="150" t="s">
        <v>436</v>
      </c>
      <c r="I545" s="150" t="s">
        <v>437</v>
      </c>
      <c r="J545" s="150">
        <v>1</v>
      </c>
      <c r="K545" s="154">
        <v>0.5</v>
      </c>
      <c r="L545" s="150" t="s">
        <v>1897</v>
      </c>
      <c r="M545" s="150"/>
      <c r="N545" s="154">
        <f>MouserListTable[[#This Row],['# Initial]]*MouserListTable[[#This Row],[Price (USD)]]</f>
        <v>2.5</v>
      </c>
      <c r="O545" s="151" t="s">
        <v>434</v>
      </c>
      <c r="P545" s="150">
        <f t="shared" si="9"/>
        <v>532</v>
      </c>
      <c r="Q545" s="150" t="s">
        <v>5</v>
      </c>
      <c r="R54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474-COM-10855</v>
      </c>
      <c r="S545" s="157" t="str">
        <f>HYPERLINK("https://www.mouser.com/ProductDetail/" &amp;MouserListTable[[#This Row],[Mouser SKU]])</f>
        <v>https://www.mouser.com/ProductDetail/474-COM-10855</v>
      </c>
      <c r="T545" s="152">
        <v>1</v>
      </c>
      <c r="U545" s="152">
        <v>0</v>
      </c>
      <c r="V545" s="152">
        <v>0</v>
      </c>
      <c r="W545" s="152">
        <f>MouserListTable[[#This Row],['#/Unit]]*FilterSpecs!$C$3+MouserListTable[[#This Row],[Extra]]</f>
        <v>5</v>
      </c>
      <c r="X545" s="152">
        <f>IF(MouserListTable[[#This Row],[Tag]]=FilterSpecs!$F$7,MouserListTable[[#This Row],['#/Unit]]*MouserListTable[[#This Row],[Price (USD)]],0)</f>
        <v>0.5</v>
      </c>
      <c r="Y545" s="152">
        <f>MouserListTable[[#This Row],[Tot '#]]*MouserListTable[[#This Row],[Price (USD)]]</f>
        <v>2.5</v>
      </c>
    </row>
    <row r="546" spans="1:25" x14ac:dyDescent="0.25">
      <c r="A546" s="150" t="s">
        <v>890</v>
      </c>
      <c r="B546" s="150" t="s">
        <v>1004</v>
      </c>
      <c r="C546" s="150" t="s">
        <v>5</v>
      </c>
      <c r="D546" s="151" t="str">
        <f>IF(MouserListTable[[#This Row],[Vendor]]=FilterSpecs!$A$8,MouserListTable[[#This Row],[Mouser SKU]], MouserListTable[[#This Row],[Supplier SKU]])</f>
        <v>474-COM-09120</v>
      </c>
      <c r="E546" s="152">
        <f>MouserListTable[[#This Row],[Tot '#]]-MouserListTable[[#This Row],['# Initial]]</f>
        <v>1</v>
      </c>
      <c r="F546" s="152">
        <f>IF(AND(MouserListTable[[#This Row],[Tag]]&lt;&gt;FilterSpecs!$F$12, MouserListTable[[#This Row],[Tag]]&lt;&gt;FilterSpecs!$F$9), MouserListTable[[#This Row],['#/Unit]]*FilterSpecs!$B$3+MouserListTable[[#This Row],[Extra Initial]],0)</f>
        <v>0</v>
      </c>
      <c r="G546" s="150" t="s">
        <v>1684</v>
      </c>
      <c r="H546" s="150" t="s">
        <v>1685</v>
      </c>
      <c r="I546" s="150" t="s">
        <v>1686</v>
      </c>
      <c r="J546" s="150">
        <v>1</v>
      </c>
      <c r="K546" s="154">
        <v>0.95</v>
      </c>
      <c r="L546" s="151" t="s">
        <v>1897</v>
      </c>
      <c r="M546" s="150"/>
      <c r="N546" s="154">
        <f>MouserListTable[[#This Row],['# Initial]]*MouserListTable[[#This Row],[Price (USD)]]</f>
        <v>0</v>
      </c>
      <c r="O546" s="151" t="s">
        <v>1683</v>
      </c>
      <c r="P546" s="150">
        <f t="shared" si="9"/>
        <v>533</v>
      </c>
      <c r="Q546" s="150" t="s">
        <v>5</v>
      </c>
      <c r="R54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474-COM-09120</v>
      </c>
      <c r="S546" s="157" t="str">
        <f>HYPERLINK("https://www.mouser.com/ProductDetail/" &amp;MouserListTable[[#This Row],[Mouser SKU]])</f>
        <v>https://www.mouser.com/ProductDetail/474-COM-09120</v>
      </c>
      <c r="T546" s="152">
        <v>0</v>
      </c>
      <c r="U546" s="152">
        <v>1</v>
      </c>
      <c r="V546" s="152">
        <v>0</v>
      </c>
      <c r="W546" s="152">
        <f>MouserListTable[[#This Row],['#/Unit]]*FilterSpecs!$C$3+MouserListTable[[#This Row],[Extra]]</f>
        <v>1</v>
      </c>
      <c r="X546" s="152">
        <f>IF(MouserListTable[[#This Row],[Tag]]=FilterSpecs!$F$7,MouserListTable[[#This Row],['#/Unit]]*MouserListTable[[#This Row],[Price (USD)]],0)</f>
        <v>0</v>
      </c>
      <c r="Y546" s="152">
        <f>MouserListTable[[#This Row],[Tot '#]]*MouserListTable[[#This Row],[Price (USD)]]</f>
        <v>0.95</v>
      </c>
    </row>
    <row r="547" spans="1:25" x14ac:dyDescent="0.25">
      <c r="A547" s="150" t="s">
        <v>890</v>
      </c>
      <c r="B547" s="150" t="s">
        <v>1004</v>
      </c>
      <c r="C547" s="150" t="s">
        <v>5</v>
      </c>
      <c r="D547" s="151" t="str">
        <f>IF(MouserListTable[[#This Row],[Vendor]]=FilterSpecs!$A$8,MouserListTable[[#This Row],[Mouser SKU]], MouserListTable[[#This Row],[Supplier SKU]])</f>
        <v>474-COM-11620</v>
      </c>
      <c r="E547" s="152">
        <f>MouserListTable[[#This Row],[Tot '#]]-MouserListTable[[#This Row],['# Initial]]</f>
        <v>1</v>
      </c>
      <c r="F547" s="152">
        <f>IF(AND(MouserListTable[[#This Row],[Tag]]&lt;&gt;FilterSpecs!$F$12, MouserListTable[[#This Row],[Tag]]&lt;&gt;FilterSpecs!$F$9), MouserListTable[[#This Row],['#/Unit]]*FilterSpecs!$B$3+MouserListTable[[#This Row],[Extra Initial]],0)</f>
        <v>0</v>
      </c>
      <c r="G547" s="150" t="s">
        <v>1688</v>
      </c>
      <c r="H547" s="150" t="s">
        <v>1689</v>
      </c>
      <c r="I547" s="150" t="s">
        <v>1690</v>
      </c>
      <c r="J547" s="150">
        <v>1</v>
      </c>
      <c r="K547" s="154">
        <v>1.95</v>
      </c>
      <c r="L547" s="150" t="s">
        <v>1896</v>
      </c>
      <c r="M547" s="150"/>
      <c r="N547" s="154">
        <f>MouserListTable[[#This Row],['# Initial]]*MouserListTable[[#This Row],[Price (USD)]]</f>
        <v>0</v>
      </c>
      <c r="O547" s="151" t="s">
        <v>1687</v>
      </c>
      <c r="P547" s="150">
        <f t="shared" si="9"/>
        <v>534</v>
      </c>
      <c r="Q547" s="150" t="s">
        <v>5</v>
      </c>
      <c r="R54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474-COM-11620</v>
      </c>
      <c r="S547" s="157" t="str">
        <f>HYPERLINK("https://www.mouser.com/ProductDetail/" &amp;MouserListTable[[#This Row],[Mouser SKU]])</f>
        <v>https://www.mouser.com/ProductDetail/474-COM-11620</v>
      </c>
      <c r="T547" s="152">
        <v>0</v>
      </c>
      <c r="U547" s="152">
        <v>1</v>
      </c>
      <c r="V547" s="152">
        <v>0</v>
      </c>
      <c r="W547" s="152">
        <f>MouserListTable[[#This Row],['#/Unit]]*FilterSpecs!$C$3+MouserListTable[[#This Row],[Extra]]</f>
        <v>1</v>
      </c>
      <c r="X547" s="152">
        <f>IF(MouserListTable[[#This Row],[Tag]]=FilterSpecs!$F$7,MouserListTable[[#This Row],['#/Unit]]*MouserListTable[[#This Row],[Price (USD)]],0)</f>
        <v>0</v>
      </c>
      <c r="Y547" s="152">
        <f>MouserListTable[[#This Row],[Tot '#]]*MouserListTable[[#This Row],[Price (USD)]]</f>
        <v>1.95</v>
      </c>
    </row>
    <row r="548" spans="1:25" x14ac:dyDescent="0.25">
      <c r="A548" s="150" t="s">
        <v>890</v>
      </c>
      <c r="B548" s="150" t="s">
        <v>1004</v>
      </c>
      <c r="C548" s="150" t="s">
        <v>5</v>
      </c>
      <c r="D548" s="151" t="str">
        <f>IF(MouserListTable[[#This Row],[Vendor]]=FilterSpecs!$A$8,MouserListTable[[#This Row],[Mouser SKU]], MouserListTable[[#This Row],[Supplier SKU]])</f>
        <v>474-COM-11621</v>
      </c>
      <c r="E548" s="152">
        <f>MouserListTable[[#This Row],[Tot '#]]-MouserListTable[[#This Row],['# Initial]]</f>
        <v>1</v>
      </c>
      <c r="F548" s="152">
        <f>IF(AND(MouserListTable[[#This Row],[Tag]]&lt;&gt;FilterSpecs!$F$12, MouserListTable[[#This Row],[Tag]]&lt;&gt;FilterSpecs!$F$9), MouserListTable[[#This Row],['#/Unit]]*FilterSpecs!$B$3+MouserListTable[[#This Row],[Extra Initial]],0)</f>
        <v>0</v>
      </c>
      <c r="G548" s="150" t="s">
        <v>1668</v>
      </c>
      <c r="H548" s="150" t="s">
        <v>1669</v>
      </c>
      <c r="I548" s="150" t="s">
        <v>1670</v>
      </c>
      <c r="J548" s="150">
        <v>1</v>
      </c>
      <c r="K548" s="154">
        <v>2.5</v>
      </c>
      <c r="L548" s="150" t="s">
        <v>1896</v>
      </c>
      <c r="M548" s="150"/>
      <c r="N548" s="154">
        <f>MouserListTable[[#This Row],['# Initial]]*MouserListTable[[#This Row],[Price (USD)]]</f>
        <v>0</v>
      </c>
      <c r="O548" s="151" t="s">
        <v>1667</v>
      </c>
      <c r="P548" s="150">
        <f t="shared" si="9"/>
        <v>535</v>
      </c>
      <c r="Q548" s="150" t="s">
        <v>5</v>
      </c>
      <c r="R54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474-COM-11621</v>
      </c>
      <c r="S548" s="157" t="str">
        <f>HYPERLINK("https://www.mouser.com/ProductDetail/" &amp;MouserListTable[[#This Row],[Mouser SKU]])</f>
        <v>https://www.mouser.com/ProductDetail/474-COM-11621</v>
      </c>
      <c r="T548" s="152">
        <v>0</v>
      </c>
      <c r="U548" s="152">
        <v>1</v>
      </c>
      <c r="V548" s="152">
        <v>0</v>
      </c>
      <c r="W548" s="152">
        <f>MouserListTable[[#This Row],['#/Unit]]*FilterSpecs!$C$3+MouserListTable[[#This Row],[Extra]]</f>
        <v>1</v>
      </c>
      <c r="X548" s="152">
        <f>IF(MouserListTable[[#This Row],[Tag]]=FilterSpecs!$F$7,MouserListTable[[#This Row],['#/Unit]]*MouserListTable[[#This Row],[Price (USD)]],0)</f>
        <v>0</v>
      </c>
      <c r="Y548" s="152">
        <f>MouserListTable[[#This Row],[Tot '#]]*MouserListTable[[#This Row],[Price (USD)]]</f>
        <v>2.5</v>
      </c>
    </row>
    <row r="549" spans="1:25" x14ac:dyDescent="0.25">
      <c r="A549" s="150" t="s">
        <v>890</v>
      </c>
      <c r="B549" s="150" t="s">
        <v>1004</v>
      </c>
      <c r="C549" s="150" t="s">
        <v>5</v>
      </c>
      <c r="D549" s="151" t="str">
        <f>IF(MouserListTable[[#This Row],[Vendor]]=FilterSpecs!$A$8,MouserListTable[[#This Row],[Mouser SKU]], MouserListTable[[#This Row],[Supplier SKU]])</f>
        <v>474-COM-09119</v>
      </c>
      <c r="E549" s="152">
        <f>MouserListTable[[#This Row],[Tot '#]]-MouserListTable[[#This Row],['# Initial]]</f>
        <v>1</v>
      </c>
      <c r="F549" s="152">
        <f>IF(AND(MouserListTable[[#This Row],[Tag]]&lt;&gt;FilterSpecs!$F$12, MouserListTable[[#This Row],[Tag]]&lt;&gt;FilterSpecs!$F$9), MouserListTable[[#This Row],['#/Unit]]*FilterSpecs!$B$3+MouserListTable[[#This Row],[Extra Initial]],0)</f>
        <v>0</v>
      </c>
      <c r="G549" s="150" t="s">
        <v>1822</v>
      </c>
      <c r="H549" s="150" t="s">
        <v>1823</v>
      </c>
      <c r="I549" s="150" t="s">
        <v>1824</v>
      </c>
      <c r="J549" s="150">
        <v>1</v>
      </c>
      <c r="K549" s="154">
        <v>2.95</v>
      </c>
      <c r="L549" s="150" t="s">
        <v>1896</v>
      </c>
      <c r="M549" s="150"/>
      <c r="N549" s="154">
        <f>MouserListTable[[#This Row],['# Initial]]*MouserListTable[[#This Row],[Price (USD)]]</f>
        <v>0</v>
      </c>
      <c r="O549" s="151" t="s">
        <v>1821</v>
      </c>
      <c r="P549" s="150">
        <f t="shared" si="9"/>
        <v>536</v>
      </c>
      <c r="Q549" s="150" t="s">
        <v>5</v>
      </c>
      <c r="R54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474-COM-09119</v>
      </c>
      <c r="S549" s="157" t="str">
        <f>HYPERLINK("https://www.mouser.com/ProductDetail/" &amp;MouserListTable[[#This Row],[Mouser SKU]])</f>
        <v>https://www.mouser.com/ProductDetail/474-COM-09119</v>
      </c>
      <c r="T549" s="152">
        <v>0</v>
      </c>
      <c r="U549" s="152">
        <v>1</v>
      </c>
      <c r="V549" s="152">
        <v>0</v>
      </c>
      <c r="W549" s="152">
        <f>MouserListTable[[#This Row],['#/Unit]]*FilterSpecs!$C$3+MouserListTable[[#This Row],[Extra]]</f>
        <v>1</v>
      </c>
      <c r="X549" s="152">
        <f>IF(MouserListTable[[#This Row],[Tag]]=FilterSpecs!$F$7,MouserListTable[[#This Row],['#/Unit]]*MouserListTable[[#This Row],[Price (USD)]],0)</f>
        <v>0</v>
      </c>
      <c r="Y549" s="152">
        <f>MouserListTable[[#This Row],[Tot '#]]*MouserListTable[[#This Row],[Price (USD)]]</f>
        <v>2.95</v>
      </c>
    </row>
    <row r="550" spans="1:25" x14ac:dyDescent="0.25">
      <c r="A550" s="150" t="s">
        <v>890</v>
      </c>
      <c r="B550" s="150" t="s">
        <v>1004</v>
      </c>
      <c r="C550" s="150" t="s">
        <v>5</v>
      </c>
      <c r="D550" s="151" t="str">
        <f>IF(MouserListTable[[#This Row],[Vendor]]=FilterSpecs!$A$8,MouserListTable[[#This Row],[Mouser SKU]], MouserListTable[[#This Row],[Supplier SKU]])</f>
        <v>474-COM-09806</v>
      </c>
      <c r="E550" s="152">
        <f>MouserListTable[[#This Row],[Tot '#]]-MouserListTable[[#This Row],['# Initial]]</f>
        <v>0</v>
      </c>
      <c r="F550" s="152">
        <f>IF(AND(MouserListTable[[#This Row],[Tag]]&lt;&gt;FilterSpecs!$F$12, MouserListTable[[#This Row],[Tag]]&lt;&gt;FilterSpecs!$F$9), MouserListTable[[#This Row],['#/Unit]]*FilterSpecs!$B$3+MouserListTable[[#This Row],[Extra Initial]],0)</f>
        <v>5</v>
      </c>
      <c r="G550" s="150" t="s">
        <v>605</v>
      </c>
      <c r="H550" s="150" t="s">
        <v>606</v>
      </c>
      <c r="I550" s="150" t="s">
        <v>607</v>
      </c>
      <c r="J550" s="150">
        <v>1</v>
      </c>
      <c r="K550" s="154">
        <v>0.95</v>
      </c>
      <c r="L550" s="150" t="s">
        <v>1897</v>
      </c>
      <c r="M550" s="150"/>
      <c r="N550" s="154">
        <f>MouserListTable[[#This Row],['# Initial]]*MouserListTable[[#This Row],[Price (USD)]]</f>
        <v>4.75</v>
      </c>
      <c r="O550" s="151" t="s">
        <v>604</v>
      </c>
      <c r="P550" s="150">
        <f t="shared" si="9"/>
        <v>537</v>
      </c>
      <c r="Q550" s="150" t="s">
        <v>5</v>
      </c>
      <c r="R55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474-COM-09806</v>
      </c>
      <c r="S550" s="157" t="str">
        <f>HYPERLINK("https://www.mouser.com/ProductDetail/" &amp;MouserListTable[[#This Row],[Mouser SKU]])</f>
        <v>https://www.mouser.com/ProductDetail/474-COM-09806</v>
      </c>
      <c r="T550" s="152">
        <v>1</v>
      </c>
      <c r="U550" s="152">
        <v>0</v>
      </c>
      <c r="V550" s="152">
        <v>0</v>
      </c>
      <c r="W550" s="152">
        <f>MouserListTable[[#This Row],['#/Unit]]*FilterSpecs!$C$3+MouserListTable[[#This Row],[Extra]]</f>
        <v>5</v>
      </c>
      <c r="X550" s="152">
        <f>IF(MouserListTable[[#This Row],[Tag]]=FilterSpecs!$F$7,MouserListTable[[#This Row],['#/Unit]]*MouserListTable[[#This Row],[Price (USD)]],0)</f>
        <v>0.95</v>
      </c>
      <c r="Y550" s="152">
        <f>MouserListTable[[#This Row],[Tot '#]]*MouserListTable[[#This Row],[Price (USD)]]</f>
        <v>4.75</v>
      </c>
    </row>
    <row r="551" spans="1:25" x14ac:dyDescent="0.25">
      <c r="A551" s="150" t="s">
        <v>890</v>
      </c>
      <c r="B551" s="150" t="s">
        <v>1004</v>
      </c>
      <c r="C551" s="150" t="s">
        <v>5</v>
      </c>
      <c r="D551" s="151" t="str">
        <f>IF(MouserListTable[[#This Row],[Vendor]]=FilterSpecs!$A$8,MouserListTable[[#This Row],[Mouser SKU]], MouserListTable[[#This Row],[Supplier SKU]])</f>
        <v>474-KIT-13698</v>
      </c>
      <c r="E551" s="152">
        <f>MouserListTable[[#This Row],[Tot '#]]-MouserListTable[[#This Row],['# Initial]]</f>
        <v>0</v>
      </c>
      <c r="F551" s="152">
        <f>IF(AND(MouserListTable[[#This Row],[Tag]]&lt;&gt;FilterSpecs!$F$12, MouserListTable[[#This Row],[Tag]]&lt;&gt;FilterSpecs!$F$9), MouserListTable[[#This Row],['#/Unit]]*FilterSpecs!$B$3+MouserListTable[[#This Row],[Extra Initial]],0)</f>
        <v>1</v>
      </c>
      <c r="G551" s="150" t="s">
        <v>369</v>
      </c>
      <c r="H551" s="150" t="s">
        <v>370</v>
      </c>
      <c r="I551" s="150" t="s">
        <v>371</v>
      </c>
      <c r="J551" s="150"/>
      <c r="K551" s="154">
        <v>6.95</v>
      </c>
      <c r="L551" s="150" t="s">
        <v>1896</v>
      </c>
      <c r="M551" s="150"/>
      <c r="N551" s="154">
        <f>MouserListTable[[#This Row],['# Initial]]*MouserListTable[[#This Row],[Price (USD)]]</f>
        <v>6.95</v>
      </c>
      <c r="O551" s="151" t="s">
        <v>368</v>
      </c>
      <c r="P551" s="150">
        <f t="shared" si="9"/>
        <v>538</v>
      </c>
      <c r="Q551" s="150" t="s">
        <v>5</v>
      </c>
      <c r="R55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474-KIT-13698</v>
      </c>
      <c r="S551" s="157" t="str">
        <f>HYPERLINK("https://www.mouser.com/ProductDetail/" &amp;MouserListTable[[#This Row],[Mouser SKU]])</f>
        <v>https://www.mouser.com/ProductDetail/474-KIT-13698</v>
      </c>
      <c r="T551" s="152">
        <v>0</v>
      </c>
      <c r="U551" s="152">
        <v>1</v>
      </c>
      <c r="V551" s="152">
        <v>1</v>
      </c>
      <c r="W551" s="152">
        <f>MouserListTable[[#This Row],['#/Unit]]*FilterSpecs!$C$3+MouserListTable[[#This Row],[Extra]]</f>
        <v>1</v>
      </c>
      <c r="X551" s="152">
        <f>IF(MouserListTable[[#This Row],[Tag]]=FilterSpecs!$F$7,MouserListTable[[#This Row],['#/Unit]]*MouserListTable[[#This Row],[Price (USD)]],0)</f>
        <v>0</v>
      </c>
      <c r="Y551" s="152">
        <f>MouserListTable[[#This Row],[Tot '#]]*MouserListTable[[#This Row],[Price (USD)]]</f>
        <v>6.95</v>
      </c>
    </row>
    <row r="552" spans="1:25" x14ac:dyDescent="0.25">
      <c r="A552" s="150" t="s">
        <v>890</v>
      </c>
      <c r="B552" s="150" t="s">
        <v>1004</v>
      </c>
      <c r="C552" s="150" t="s">
        <v>5</v>
      </c>
      <c r="D552" s="151" t="str">
        <f>IF(MouserListTable[[#This Row],[Vendor]]=FilterSpecs!$A$8,MouserListTable[[#This Row],[Mouser SKU]], MouserListTable[[#This Row],[Supplier SKU]])</f>
        <v>474-COM-00096</v>
      </c>
      <c r="E552" s="152">
        <f>MouserListTable[[#This Row],[Tot '#]]-MouserListTable[[#This Row],['# Initial]]</f>
        <v>0</v>
      </c>
      <c r="F552" s="152">
        <f>IF(AND(MouserListTable[[#This Row],[Tag]]&lt;&gt;FilterSpecs!$F$12, MouserListTable[[#This Row],[Tag]]&lt;&gt;FilterSpecs!$F$9), MouserListTable[[#This Row],['#/Unit]]*FilterSpecs!$B$3+MouserListTable[[#This Row],[Extra Initial]],0)</f>
        <v>5</v>
      </c>
      <c r="G552" s="150" t="s">
        <v>721</v>
      </c>
      <c r="H552" s="150" t="s">
        <v>722</v>
      </c>
      <c r="I552" s="150" t="s">
        <v>723</v>
      </c>
      <c r="J552" s="150">
        <v>1</v>
      </c>
      <c r="K552" s="154">
        <v>0.35</v>
      </c>
      <c r="L552" s="150" t="s">
        <v>1897</v>
      </c>
      <c r="M552" s="150"/>
      <c r="N552" s="154">
        <f>MouserListTable[[#This Row],['# Initial]]*MouserListTable[[#This Row],[Price (USD)]]</f>
        <v>1.75</v>
      </c>
      <c r="O552" s="151" t="s">
        <v>720</v>
      </c>
      <c r="P552" s="150">
        <f t="shared" si="9"/>
        <v>539</v>
      </c>
      <c r="Q552" s="150" t="s">
        <v>5</v>
      </c>
      <c r="R55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474-COM-00096</v>
      </c>
      <c r="S552" s="157" t="str">
        <f>HYPERLINK("https://www.mouser.com/ProductDetail/" &amp;MouserListTable[[#This Row],[Mouser SKU]])</f>
        <v>https://www.mouser.com/ProductDetail/474-COM-00096</v>
      </c>
      <c r="T552" s="152">
        <v>1</v>
      </c>
      <c r="U552" s="152">
        <v>0</v>
      </c>
      <c r="V552" s="152">
        <v>0</v>
      </c>
      <c r="W552" s="152">
        <f>MouserListTable[[#This Row],['#/Unit]]*FilterSpecs!$C$3+MouserListTable[[#This Row],[Extra]]</f>
        <v>5</v>
      </c>
      <c r="X552" s="152">
        <f>IF(MouserListTable[[#This Row],[Tag]]=FilterSpecs!$F$7,MouserListTable[[#This Row],['#/Unit]]*MouserListTable[[#This Row],[Price (USD)]],0)</f>
        <v>0.35</v>
      </c>
      <c r="Y552" s="152">
        <f>MouserListTable[[#This Row],[Tot '#]]*MouserListTable[[#This Row],[Price (USD)]]</f>
        <v>1.75</v>
      </c>
    </row>
    <row r="553" spans="1:25" x14ac:dyDescent="0.25">
      <c r="A553" s="150" t="s">
        <v>890</v>
      </c>
      <c r="B553" s="150" t="s">
        <v>1004</v>
      </c>
      <c r="C553" s="150" t="s">
        <v>5</v>
      </c>
      <c r="D553" s="151" t="str">
        <f>IF(MouserListTable[[#This Row],[Vendor]]=FilterSpecs!$A$8,MouserListTable[[#This Row],[Mouser SKU]], MouserListTable[[#This Row],[Supplier SKU]])</f>
        <v>474-COM-00523</v>
      </c>
      <c r="E553" s="152">
        <f>MouserListTable[[#This Row],[Tot '#]]-MouserListTable[[#This Row],['# Initial]]</f>
        <v>0</v>
      </c>
      <c r="F553" s="152">
        <f>IF(AND(MouserListTable[[#This Row],[Tag]]&lt;&gt;FilterSpecs!$F$12, MouserListTable[[#This Row],[Tag]]&lt;&gt;FilterSpecs!$F$9), MouserListTable[[#This Row],['#/Unit]]*FilterSpecs!$B$3+MouserListTable[[#This Row],[Extra Initial]],0)</f>
        <v>5</v>
      </c>
      <c r="G553" s="150" t="s">
        <v>717</v>
      </c>
      <c r="H553" s="150" t="s">
        <v>718</v>
      </c>
      <c r="I553" s="150" t="s">
        <v>719</v>
      </c>
      <c r="J553" s="150">
        <v>1</v>
      </c>
      <c r="K553" s="154">
        <v>0.45</v>
      </c>
      <c r="L553" s="150" t="s">
        <v>1897</v>
      </c>
      <c r="M553" s="150"/>
      <c r="N553" s="154">
        <f>MouserListTable[[#This Row],['# Initial]]*MouserListTable[[#This Row],[Price (USD)]]</f>
        <v>2.25</v>
      </c>
      <c r="O553" s="151" t="s">
        <v>716</v>
      </c>
      <c r="P553" s="150">
        <f t="shared" si="9"/>
        <v>540</v>
      </c>
      <c r="Q553" s="150" t="s">
        <v>5</v>
      </c>
      <c r="R55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474-COM-00523</v>
      </c>
      <c r="S553" s="157" t="str">
        <f>HYPERLINK("https://www.mouser.com/ProductDetail/" &amp;MouserListTable[[#This Row],[Mouser SKU]])</f>
        <v>https://www.mouser.com/ProductDetail/474-COM-00523</v>
      </c>
      <c r="T553" s="152">
        <v>1</v>
      </c>
      <c r="U553" s="152">
        <v>0</v>
      </c>
      <c r="V553" s="152">
        <v>0</v>
      </c>
      <c r="W553" s="152">
        <f>MouserListTable[[#This Row],['#/Unit]]*FilterSpecs!$C$3+MouserListTable[[#This Row],[Extra]]</f>
        <v>5</v>
      </c>
      <c r="X553" s="152">
        <f>IF(MouserListTable[[#This Row],[Tag]]=FilterSpecs!$F$7,MouserListTable[[#This Row],['#/Unit]]*MouserListTable[[#This Row],[Price (USD)]],0)</f>
        <v>0.45</v>
      </c>
      <c r="Y553" s="152">
        <f>MouserListTable[[#This Row],[Tot '#]]*MouserListTable[[#This Row],[Price (USD)]]</f>
        <v>2.25</v>
      </c>
    </row>
    <row r="554" spans="1:25" x14ac:dyDescent="0.25">
      <c r="A554" s="150" t="s">
        <v>890</v>
      </c>
      <c r="B554" s="150" t="s">
        <v>1004</v>
      </c>
      <c r="C554" s="150" t="s">
        <v>5</v>
      </c>
      <c r="D554" s="151" t="str">
        <f>IF(MouserListTable[[#This Row],[Vendor]]=FilterSpecs!$A$8,MouserListTable[[#This Row],[Mouser SKU]], MouserListTable[[#This Row],[Supplier SKU]])</f>
        <v>474-COM-00746</v>
      </c>
      <c r="E554" s="152">
        <f>MouserListTable[[#This Row],[Tot '#]]-MouserListTable[[#This Row],['# Initial]]</f>
        <v>3</v>
      </c>
      <c r="F554" s="152">
        <f>IF(AND(MouserListTable[[#This Row],[Tag]]&lt;&gt;FilterSpecs!$F$12, MouserListTable[[#This Row],[Tag]]&lt;&gt;FilterSpecs!$F$9), MouserListTable[[#This Row],['#/Unit]]*FilterSpecs!$B$3+MouserListTable[[#This Row],[Extra Initial]],0)</f>
        <v>0</v>
      </c>
      <c r="G554" s="150" t="s">
        <v>709</v>
      </c>
      <c r="H554" s="150" t="s">
        <v>710</v>
      </c>
      <c r="I554" s="150" t="s">
        <v>711</v>
      </c>
      <c r="J554" s="150">
        <v>1</v>
      </c>
      <c r="K554" s="154">
        <v>4.95</v>
      </c>
      <c r="L554" s="150" t="s">
        <v>1896</v>
      </c>
      <c r="M554" s="150"/>
      <c r="N554" s="154">
        <f>MouserListTable[[#This Row],['# Initial]]*MouserListTable[[#This Row],[Price (USD)]]</f>
        <v>0</v>
      </c>
      <c r="O554" s="151" t="s">
        <v>708</v>
      </c>
      <c r="P554" s="150">
        <f t="shared" si="9"/>
        <v>541</v>
      </c>
      <c r="Q554" s="150" t="s">
        <v>5</v>
      </c>
      <c r="R55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474-COM-00746</v>
      </c>
      <c r="S554" s="157" t="str">
        <f>HYPERLINK("https://www.mouser.com/ProductDetail/" &amp;MouserListTable[[#This Row],[Mouser SKU]])</f>
        <v>https://www.mouser.com/ProductDetail/474-COM-00746</v>
      </c>
      <c r="T554" s="152">
        <v>0</v>
      </c>
      <c r="U554" s="152">
        <v>3</v>
      </c>
      <c r="V554" s="152">
        <v>0</v>
      </c>
      <c r="W554" s="152">
        <f>MouserListTable[[#This Row],['#/Unit]]*FilterSpecs!$C$3+MouserListTable[[#This Row],[Extra]]</f>
        <v>3</v>
      </c>
      <c r="X554" s="152">
        <f>IF(MouserListTable[[#This Row],[Tag]]=FilterSpecs!$F$7,MouserListTable[[#This Row],['#/Unit]]*MouserListTable[[#This Row],[Price (USD)]],0)</f>
        <v>0</v>
      </c>
      <c r="Y554" s="152">
        <f>MouserListTable[[#This Row],[Tot '#]]*MouserListTable[[#This Row],[Price (USD)]]</f>
        <v>14.850000000000001</v>
      </c>
    </row>
    <row r="555" spans="1:25" x14ac:dyDescent="0.25">
      <c r="A555" s="150" t="s">
        <v>890</v>
      </c>
      <c r="B555" s="150" t="s">
        <v>1004</v>
      </c>
      <c r="C555" s="150" t="s">
        <v>5</v>
      </c>
      <c r="D555" s="151" t="str">
        <f>IF(MouserListTable[[#This Row],[Vendor]]=FilterSpecs!$A$8,MouserListTable[[#This Row],[Mouser SKU]], MouserListTable[[#This Row],[Supplier SKU]])</f>
        <v>474-SEN-00250</v>
      </c>
      <c r="E555" s="152">
        <f>MouserListTable[[#This Row],[Tot '#]]-MouserListTable[[#This Row],['# Initial]]</f>
        <v>0</v>
      </c>
      <c r="F555" s="152">
        <f>IF(AND(MouserListTable[[#This Row],[Tag]]&lt;&gt;FilterSpecs!$F$12, MouserListTable[[#This Row],[Tag]]&lt;&gt;FilterSpecs!$F$9), MouserListTable[[#This Row],['#/Unit]]*FilterSpecs!$B$3+MouserListTable[[#This Row],[Extra Initial]],0)</f>
        <v>10</v>
      </c>
      <c r="G555" s="150" t="s">
        <v>705</v>
      </c>
      <c r="H555" s="150" t="s">
        <v>706</v>
      </c>
      <c r="I555" s="150" t="s">
        <v>707</v>
      </c>
      <c r="J555" s="150">
        <v>1</v>
      </c>
      <c r="K555" s="154">
        <v>0.75</v>
      </c>
      <c r="L555" s="150" t="s">
        <v>1897</v>
      </c>
      <c r="M555" s="150"/>
      <c r="N555" s="154">
        <f>MouserListTable[[#This Row],['# Initial]]*MouserListTable[[#This Row],[Price (USD)]]</f>
        <v>7.5</v>
      </c>
      <c r="O555" s="151" t="s">
        <v>704</v>
      </c>
      <c r="P555" s="150">
        <f t="shared" si="9"/>
        <v>542</v>
      </c>
      <c r="Q555" s="150" t="s">
        <v>5</v>
      </c>
      <c r="R55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474-SEN-00250</v>
      </c>
      <c r="S555" s="157" t="str">
        <f>HYPERLINK("https://www.mouser.com/ProductDetail/" &amp;MouserListTable[[#This Row],[Mouser SKU]])</f>
        <v>https://www.mouser.com/ProductDetail/474-SEN-00250</v>
      </c>
      <c r="T555" s="152">
        <v>2</v>
      </c>
      <c r="U555" s="152">
        <v>0</v>
      </c>
      <c r="V555" s="152">
        <v>0</v>
      </c>
      <c r="W555" s="152">
        <f>MouserListTable[[#This Row],['#/Unit]]*FilterSpecs!$C$3+MouserListTable[[#This Row],[Extra]]</f>
        <v>10</v>
      </c>
      <c r="X555" s="152">
        <f>IF(MouserListTable[[#This Row],[Tag]]=FilterSpecs!$F$7,MouserListTable[[#This Row],['#/Unit]]*MouserListTable[[#This Row],[Price (USD)]],0)</f>
        <v>1.5</v>
      </c>
      <c r="Y555" s="152">
        <f>MouserListTable[[#This Row],[Tot '#]]*MouserListTable[[#This Row],[Price (USD)]]</f>
        <v>7.5</v>
      </c>
    </row>
    <row r="556" spans="1:25" x14ac:dyDescent="0.25">
      <c r="A556" s="150" t="s">
        <v>890</v>
      </c>
      <c r="B556" s="150" t="s">
        <v>1004</v>
      </c>
      <c r="C556" s="150" t="s">
        <v>5</v>
      </c>
      <c r="D556" s="151" t="str">
        <f>IF(MouserListTable[[#This Row],[Vendor]]=FilterSpecs!$A$8,MouserListTable[[#This Row],[Mouser SKU]], MouserListTable[[#This Row],[Supplier SKU]])</f>
        <v>474-COM-08589</v>
      </c>
      <c r="E556" s="152">
        <f>MouserListTable[[#This Row],[Tot '#]]-MouserListTable[[#This Row],['# Initial]]</f>
        <v>0</v>
      </c>
      <c r="F556" s="152">
        <f>IF(AND(MouserListTable[[#This Row],[Tag]]&lt;&gt;FilterSpecs!$F$12, MouserListTable[[#This Row],[Tag]]&lt;&gt;FilterSpecs!$F$9), MouserListTable[[#This Row],['#/Unit]]*FilterSpecs!$B$3+MouserListTable[[#This Row],[Extra Initial]],0)</f>
        <v>10</v>
      </c>
      <c r="G556" s="150" t="s">
        <v>419</v>
      </c>
      <c r="H556" s="150" t="s">
        <v>420</v>
      </c>
      <c r="I556" s="150" t="s">
        <v>421</v>
      </c>
      <c r="J556" s="150">
        <v>1</v>
      </c>
      <c r="K556" s="154">
        <v>0.15</v>
      </c>
      <c r="L556" s="150" t="s">
        <v>1897</v>
      </c>
      <c r="M556" s="150"/>
      <c r="N556" s="154">
        <f>MouserListTable[[#This Row],['# Initial]]*MouserListTable[[#This Row],[Price (USD)]]</f>
        <v>1.5</v>
      </c>
      <c r="O556" s="151" t="s">
        <v>418</v>
      </c>
      <c r="P556" s="150">
        <f t="shared" si="9"/>
        <v>543</v>
      </c>
      <c r="Q556" s="150" t="s">
        <v>5</v>
      </c>
      <c r="R55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474-COM-08589</v>
      </c>
      <c r="S556" s="157" t="str">
        <f>HYPERLINK("https://www.mouser.com/ProductDetail/" &amp;MouserListTable[[#This Row],[Mouser SKU]])</f>
        <v>https://www.mouser.com/ProductDetail/474-COM-08589</v>
      </c>
      <c r="T556" s="152">
        <v>2</v>
      </c>
      <c r="U556" s="152">
        <v>0</v>
      </c>
      <c r="V556" s="152">
        <v>0</v>
      </c>
      <c r="W556" s="152">
        <f>MouserListTable[[#This Row],['#/Unit]]*FilterSpecs!$C$3+MouserListTable[[#This Row],[Extra]]</f>
        <v>10</v>
      </c>
      <c r="X556" s="152">
        <f>IF(MouserListTable[[#This Row],[Tag]]=FilterSpecs!$F$7,MouserListTable[[#This Row],['#/Unit]]*MouserListTable[[#This Row],[Price (USD)]],0)</f>
        <v>0.3</v>
      </c>
      <c r="Y556" s="152">
        <f>MouserListTable[[#This Row],[Tot '#]]*MouserListTable[[#This Row],[Price (USD)]]</f>
        <v>1.5</v>
      </c>
    </row>
    <row r="557" spans="1:25" x14ac:dyDescent="0.25">
      <c r="A557" s="150" t="s">
        <v>890</v>
      </c>
      <c r="B557" s="150" t="s">
        <v>1004</v>
      </c>
      <c r="C557" s="150" t="s">
        <v>5</v>
      </c>
      <c r="D557" s="151" t="str">
        <f>IF(MouserListTable[[#This Row],[Vendor]]=FilterSpecs!$A$8,MouserListTable[[#This Row],[Mouser SKU]], MouserListTable[[#This Row],[Supplier SKU]])</f>
        <v>474-COM-08588</v>
      </c>
      <c r="E557" s="152">
        <f>MouserListTable[[#This Row],[Tot '#]]-MouserListTable[[#This Row],['# Initial]]</f>
        <v>0</v>
      </c>
      <c r="F557" s="152">
        <f>IF(AND(MouserListTable[[#This Row],[Tag]]&lt;&gt;FilterSpecs!$F$12, MouserListTable[[#This Row],[Tag]]&lt;&gt;FilterSpecs!$F$9), MouserListTable[[#This Row],['#/Unit]]*FilterSpecs!$B$3+MouserListTable[[#This Row],[Extra Initial]],0)</f>
        <v>10</v>
      </c>
      <c r="G557" s="150" t="s">
        <v>423</v>
      </c>
      <c r="H557" s="150" t="s">
        <v>424</v>
      </c>
      <c r="I557" s="150" t="s">
        <v>425</v>
      </c>
      <c r="J557" s="150">
        <v>1</v>
      </c>
      <c r="K557" s="154">
        <v>0.15</v>
      </c>
      <c r="L557" s="150" t="s">
        <v>1897</v>
      </c>
      <c r="M557" s="150"/>
      <c r="N557" s="154">
        <f>MouserListTable[[#This Row],['# Initial]]*MouserListTable[[#This Row],[Price (USD)]]</f>
        <v>1.5</v>
      </c>
      <c r="O557" s="151" t="s">
        <v>422</v>
      </c>
      <c r="P557" s="150">
        <f t="shared" si="9"/>
        <v>544</v>
      </c>
      <c r="Q557" s="150" t="s">
        <v>5</v>
      </c>
      <c r="R55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474-COM-08588</v>
      </c>
      <c r="S557" s="157" t="str">
        <f>HYPERLINK("https://www.mouser.com/ProductDetail/" &amp;MouserListTable[[#This Row],[Mouser SKU]])</f>
        <v>https://www.mouser.com/ProductDetail/474-COM-08588</v>
      </c>
      <c r="T557" s="152">
        <v>2</v>
      </c>
      <c r="U557" s="152">
        <v>0</v>
      </c>
      <c r="V557" s="152">
        <v>0</v>
      </c>
      <c r="W557" s="152">
        <f>MouserListTable[[#This Row],['#/Unit]]*FilterSpecs!$C$3+MouserListTable[[#This Row],[Extra]]</f>
        <v>10</v>
      </c>
      <c r="X557" s="152">
        <f>IF(MouserListTable[[#This Row],[Tag]]=FilterSpecs!$F$7,MouserListTable[[#This Row],['#/Unit]]*MouserListTable[[#This Row],[Price (USD)]],0)</f>
        <v>0.3</v>
      </c>
      <c r="Y557" s="152">
        <f>MouserListTable[[#This Row],[Tot '#]]*MouserListTable[[#This Row],[Price (USD)]]</f>
        <v>1.5</v>
      </c>
    </row>
    <row r="558" spans="1:25" x14ac:dyDescent="0.25">
      <c r="A558" s="150" t="s">
        <v>890</v>
      </c>
      <c r="B558" s="150" t="s">
        <v>1004</v>
      </c>
      <c r="C558" s="150" t="s">
        <v>5</v>
      </c>
      <c r="D558" s="151" t="str">
        <f>IF(MouserListTable[[#This Row],[Vendor]]=FilterSpecs!$A$8,MouserListTable[[#This Row],[Mouser SKU]], MouserListTable[[#This Row],[Supplier SKU]])</f>
        <v>474-COM-10926</v>
      </c>
      <c r="E558" s="152">
        <f>MouserListTable[[#This Row],[Tot '#]]-MouserListTable[[#This Row],['# Initial]]</f>
        <v>0</v>
      </c>
      <c r="F558" s="152">
        <f>IF(AND(MouserListTable[[#This Row],[Tag]]&lt;&gt;FilterSpecs!$F$12, MouserListTable[[#This Row],[Tag]]&lt;&gt;FilterSpecs!$F$9), MouserListTable[[#This Row],['#/Unit]]*FilterSpecs!$B$3+MouserListTable[[#This Row],[Extra Initial]],0)</f>
        <v>10</v>
      </c>
      <c r="G558" s="150" t="s">
        <v>665</v>
      </c>
      <c r="H558" s="150" t="s">
        <v>666</v>
      </c>
      <c r="I558" s="150" t="s">
        <v>667</v>
      </c>
      <c r="J558" s="150">
        <v>1</v>
      </c>
      <c r="K558" s="154">
        <v>0.15</v>
      </c>
      <c r="L558" s="150" t="s">
        <v>1897</v>
      </c>
      <c r="M558" s="150"/>
      <c r="N558" s="154">
        <f>MouserListTable[[#This Row],['# Initial]]*MouserListTable[[#This Row],[Price (USD)]]</f>
        <v>1.5</v>
      </c>
      <c r="O558" s="151" t="s">
        <v>664</v>
      </c>
      <c r="P558" s="150">
        <f t="shared" si="9"/>
        <v>545</v>
      </c>
      <c r="Q558" s="150" t="s">
        <v>5</v>
      </c>
      <c r="R55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474-COM-10926</v>
      </c>
      <c r="S558" s="157" t="str">
        <f>HYPERLINK("https://www.mouser.com/ProductDetail/" &amp;MouserListTable[[#This Row],[Mouser SKU]])</f>
        <v>https://www.mouser.com/ProductDetail/474-COM-10926</v>
      </c>
      <c r="T558" s="152">
        <v>2</v>
      </c>
      <c r="U558" s="152">
        <v>0</v>
      </c>
      <c r="V558" s="152">
        <v>0</v>
      </c>
      <c r="W558" s="152">
        <f>MouserListTable[[#This Row],['#/Unit]]*FilterSpecs!$C$3+MouserListTable[[#This Row],[Extra]]</f>
        <v>10</v>
      </c>
      <c r="X558" s="152">
        <f>IF(MouserListTable[[#This Row],[Tag]]=FilterSpecs!$F$7,MouserListTable[[#This Row],['#/Unit]]*MouserListTable[[#This Row],[Price (USD)]],0)</f>
        <v>0.3</v>
      </c>
      <c r="Y558" s="152">
        <f>MouserListTable[[#This Row],[Tot '#]]*MouserListTable[[#This Row],[Price (USD)]]</f>
        <v>1.5</v>
      </c>
    </row>
    <row r="559" spans="1:25" x14ac:dyDescent="0.25">
      <c r="A559" s="150" t="s">
        <v>890</v>
      </c>
      <c r="B559" s="150" t="s">
        <v>1004</v>
      </c>
      <c r="C559" s="150" t="s">
        <v>5</v>
      </c>
      <c r="D559" s="151" t="str">
        <f>IF(MouserListTable[[#This Row],[Vendor]]=FilterSpecs!$A$8,MouserListTable[[#This Row],[Mouser SKU]], MouserListTable[[#This Row],[Supplier SKU]])</f>
        <v>474-COM-10301</v>
      </c>
      <c r="E559" s="152">
        <f>MouserListTable[[#This Row],[Tot '#]]-MouserListTable[[#This Row],['# Initial]]</f>
        <v>10</v>
      </c>
      <c r="F559" s="152">
        <f>IF(AND(MouserListTable[[#This Row],[Tag]]&lt;&gt;FilterSpecs!$F$12, MouserListTable[[#This Row],[Tag]]&lt;&gt;FilterSpecs!$F$9), MouserListTable[[#This Row],['#/Unit]]*FilterSpecs!$B$3+MouserListTable[[#This Row],[Extra Initial]],0)</f>
        <v>0</v>
      </c>
      <c r="G559" s="150" t="s">
        <v>415</v>
      </c>
      <c r="H559" s="150" t="s">
        <v>416</v>
      </c>
      <c r="I559" s="150" t="s">
        <v>417</v>
      </c>
      <c r="J559" s="150">
        <v>1</v>
      </c>
      <c r="K559" s="154">
        <v>0.25</v>
      </c>
      <c r="L559" s="150" t="s">
        <v>2461</v>
      </c>
      <c r="M559" s="150"/>
      <c r="N559" s="154">
        <f>MouserListTable[[#This Row],['# Initial]]*MouserListTable[[#This Row],[Price (USD)]]</f>
        <v>0</v>
      </c>
      <c r="O559" s="151" t="s">
        <v>414</v>
      </c>
      <c r="P559" s="150">
        <f t="shared" si="9"/>
        <v>546</v>
      </c>
      <c r="Q559" s="150" t="s">
        <v>5</v>
      </c>
      <c r="R55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474-COM-10301</v>
      </c>
      <c r="S559" s="157" t="str">
        <f>HYPERLINK("https://www.mouser.com/ProductDetail/" &amp;MouserListTable[[#This Row],[Mouser SKU]])</f>
        <v>https://www.mouser.com/ProductDetail/474-COM-10301</v>
      </c>
      <c r="T559" s="152">
        <v>2</v>
      </c>
      <c r="U559" s="152">
        <v>0</v>
      </c>
      <c r="V559" s="152">
        <v>0</v>
      </c>
      <c r="W559" s="152">
        <f>MouserListTable[[#This Row],['#/Unit]]*FilterSpecs!$C$3+MouserListTable[[#This Row],[Extra]]</f>
        <v>10</v>
      </c>
      <c r="X559" s="152">
        <f>IF(MouserListTable[[#This Row],[Tag]]=FilterSpecs!$F$7,MouserListTable[[#This Row],['#/Unit]]*MouserListTable[[#This Row],[Price (USD)]],0)</f>
        <v>0</v>
      </c>
      <c r="Y559" s="152">
        <f>MouserListTable[[#This Row],[Tot '#]]*MouserListTable[[#This Row],[Price (USD)]]</f>
        <v>2.5</v>
      </c>
    </row>
    <row r="560" spans="1:25" x14ac:dyDescent="0.25">
      <c r="A560" s="150" t="s">
        <v>890</v>
      </c>
      <c r="B560" s="150" t="s">
        <v>1880</v>
      </c>
      <c r="C560" s="150" t="s">
        <v>5</v>
      </c>
      <c r="D560" s="151" t="str">
        <f>IF(MouserListTable[[#This Row],[Vendor]]=FilterSpecs!$A$8,MouserListTable[[#This Row],[Mouser SKU]], MouserListTable[[#This Row],[Supplier SKU]])</f>
        <v>474-COM-11154</v>
      </c>
      <c r="E560" s="152">
        <f>MouserListTable[[#This Row],[Tot '#]]-MouserListTable[[#This Row],['# Initial]]</f>
        <v>2</v>
      </c>
      <c r="F560" s="152">
        <f>IF(AND(MouserListTable[[#This Row],[Tag]]&lt;&gt;FilterSpecs!$F$12, MouserListTable[[#This Row],[Tag]]&lt;&gt;FilterSpecs!$F$9), MouserListTable[[#This Row],['#/Unit]]*FilterSpecs!$B$3+MouserListTable[[#This Row],[Extra Initial]],0)</f>
        <v>0</v>
      </c>
      <c r="G560" s="150" t="s">
        <v>741</v>
      </c>
      <c r="H560" s="150" t="s">
        <v>742</v>
      </c>
      <c r="I560" s="150" t="s">
        <v>743</v>
      </c>
      <c r="J560" s="150"/>
      <c r="K560" s="154">
        <v>0.5</v>
      </c>
      <c r="L560" s="150" t="s">
        <v>1896</v>
      </c>
      <c r="M560" s="150"/>
      <c r="N560" s="154">
        <f>MouserListTable[[#This Row],['# Initial]]*MouserListTable[[#This Row],[Price (USD)]]</f>
        <v>0</v>
      </c>
      <c r="O560" s="151" t="s">
        <v>740</v>
      </c>
      <c r="P560" s="150">
        <f t="shared" si="9"/>
        <v>547</v>
      </c>
      <c r="Q560" s="150" t="s">
        <v>5</v>
      </c>
      <c r="R56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474-COM-11154</v>
      </c>
      <c r="S560" s="157" t="str">
        <f>HYPERLINK("https://www.mouser.com/ProductDetail/" &amp;MouserListTable[[#This Row],[Mouser SKU]])</f>
        <v>https://www.mouser.com/ProductDetail/474-COM-11154</v>
      </c>
      <c r="T560" s="152">
        <v>0</v>
      </c>
      <c r="U560" s="152">
        <v>2</v>
      </c>
      <c r="V560" s="152">
        <v>0</v>
      </c>
      <c r="W560" s="152">
        <f>MouserListTable[[#This Row],['#/Unit]]*FilterSpecs!$C$3+MouserListTable[[#This Row],[Extra]]</f>
        <v>2</v>
      </c>
      <c r="X560" s="152">
        <f>IF(MouserListTable[[#This Row],[Tag]]=FilterSpecs!$F$7,MouserListTable[[#This Row],['#/Unit]]*MouserListTable[[#This Row],[Price (USD)]],0)</f>
        <v>0</v>
      </c>
      <c r="Y560" s="152">
        <f>MouserListTable[[#This Row],[Tot '#]]*MouserListTable[[#This Row],[Price (USD)]]</f>
        <v>1</v>
      </c>
    </row>
    <row r="561" spans="1:25" x14ac:dyDescent="0.25">
      <c r="A561" s="150" t="s">
        <v>890</v>
      </c>
      <c r="B561" s="150" t="s">
        <v>1880</v>
      </c>
      <c r="C561" s="150" t="s">
        <v>5</v>
      </c>
      <c r="D561" s="151" t="str">
        <f>IF(MouserListTable[[#This Row],[Vendor]]=FilterSpecs!$A$8,MouserListTable[[#This Row],[Mouser SKU]], MouserListTable[[#This Row],[Supplier SKU]])</f>
        <v>474-PRT-08032</v>
      </c>
      <c r="E561" s="152">
        <f>MouserListTable[[#This Row],[Tot '#]]-MouserListTable[[#This Row],['# Initial]]</f>
        <v>4</v>
      </c>
      <c r="F561" s="152">
        <f>IF(AND(MouserListTable[[#This Row],[Tag]]&lt;&gt;FilterSpecs!$F$12, MouserListTable[[#This Row],[Tag]]&lt;&gt;FilterSpecs!$F$9), MouserListTable[[#This Row],['#/Unit]]*FilterSpecs!$B$3+MouserListTable[[#This Row],[Extra Initial]],0)</f>
        <v>0</v>
      </c>
      <c r="G561" s="150" t="s">
        <v>737</v>
      </c>
      <c r="H561" s="150" t="s">
        <v>738</v>
      </c>
      <c r="I561" s="150" t="s">
        <v>739</v>
      </c>
      <c r="J561" s="150">
        <v>1</v>
      </c>
      <c r="K561" s="154">
        <v>1.5</v>
      </c>
      <c r="L561" s="150" t="s">
        <v>1896</v>
      </c>
      <c r="M561" s="150"/>
      <c r="N561" s="154">
        <f>MouserListTable[[#This Row],['# Initial]]*MouserListTable[[#This Row],[Price (USD)]]</f>
        <v>0</v>
      </c>
      <c r="O561" s="151" t="s">
        <v>736</v>
      </c>
      <c r="P561" s="150">
        <f t="shared" si="9"/>
        <v>548</v>
      </c>
      <c r="Q561" s="150" t="s">
        <v>5</v>
      </c>
      <c r="R56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474-PRT-08032</v>
      </c>
      <c r="S561" s="157" t="str">
        <f>HYPERLINK("https://www.mouser.com/ProductDetail/" &amp;MouserListTable[[#This Row],[Mouser SKU]])</f>
        <v>https://www.mouser.com/ProductDetail/474-PRT-08032</v>
      </c>
      <c r="T561" s="152">
        <v>0</v>
      </c>
      <c r="U561" s="152">
        <v>4</v>
      </c>
      <c r="V561" s="152">
        <v>0</v>
      </c>
      <c r="W561" s="152">
        <f>MouserListTable[[#This Row],['#/Unit]]*FilterSpecs!$C$3+MouserListTable[[#This Row],[Extra]]</f>
        <v>4</v>
      </c>
      <c r="X561" s="152">
        <f>IF(MouserListTable[[#This Row],[Tag]]=FilterSpecs!$F$7,MouserListTable[[#This Row],['#/Unit]]*MouserListTable[[#This Row],[Price (USD)]],0)</f>
        <v>0</v>
      </c>
      <c r="Y561" s="152">
        <f>MouserListTable[[#This Row],[Tot '#]]*MouserListTable[[#This Row],[Price (USD)]]</f>
        <v>6</v>
      </c>
    </row>
    <row r="562" spans="1:25" x14ac:dyDescent="0.25">
      <c r="A562" s="150" t="s">
        <v>890</v>
      </c>
      <c r="B562" s="150" t="s">
        <v>1880</v>
      </c>
      <c r="C562" s="150" t="s">
        <v>5</v>
      </c>
      <c r="D562" s="151" t="str">
        <f>IF(MouserListTable[[#This Row],[Vendor]]=FilterSpecs!$A$8,MouserListTable[[#This Row],[Mouser SKU]], MouserListTable[[#This Row],[Supplier SKU]])</f>
        <v>474-COM-11143</v>
      </c>
      <c r="E562" s="152">
        <f>MouserListTable[[#This Row],[Tot '#]]-MouserListTable[[#This Row],['# Initial]]</f>
        <v>8</v>
      </c>
      <c r="F562" s="152">
        <f>IF(AND(MouserListTable[[#This Row],[Tag]]&lt;&gt;FilterSpecs!$F$12, MouserListTable[[#This Row],[Tag]]&lt;&gt;FilterSpecs!$F$9), MouserListTable[[#This Row],['#/Unit]]*FilterSpecs!$B$3+MouserListTable[[#This Row],[Extra Initial]],0)</f>
        <v>0</v>
      </c>
      <c r="G562" s="150" t="s">
        <v>733</v>
      </c>
      <c r="H562" s="150" t="s">
        <v>734</v>
      </c>
      <c r="I562" s="150" t="s">
        <v>735</v>
      </c>
      <c r="J562" s="150"/>
      <c r="K562" s="154">
        <v>0.5</v>
      </c>
      <c r="L562" s="150" t="s">
        <v>1896</v>
      </c>
      <c r="M562" s="150"/>
      <c r="N562" s="154">
        <f>MouserListTable[[#This Row],['# Initial]]*MouserListTable[[#This Row],[Price (USD)]]</f>
        <v>0</v>
      </c>
      <c r="O562" s="151" t="s">
        <v>732</v>
      </c>
      <c r="P562" s="150">
        <f t="shared" si="9"/>
        <v>549</v>
      </c>
      <c r="Q562" s="150" t="s">
        <v>5</v>
      </c>
      <c r="R56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474-COM-11143</v>
      </c>
      <c r="S562" s="157" t="str">
        <f>HYPERLINK("https://www.mouser.com/ProductDetail/" &amp;MouserListTable[[#This Row],[Mouser SKU]])</f>
        <v>https://www.mouser.com/ProductDetail/474-COM-11143</v>
      </c>
      <c r="T562" s="152">
        <v>0</v>
      </c>
      <c r="U562" s="152">
        <v>8</v>
      </c>
      <c r="V562" s="152">
        <v>0</v>
      </c>
      <c r="W562" s="152">
        <f>MouserListTable[[#This Row],['#/Unit]]*FilterSpecs!$C$3+MouserListTable[[#This Row],[Extra]]</f>
        <v>8</v>
      </c>
      <c r="X562" s="152">
        <f>IF(MouserListTable[[#This Row],[Tag]]=FilterSpecs!$F$7,MouserListTable[[#This Row],['#/Unit]]*MouserListTable[[#This Row],[Price (USD)]],0)</f>
        <v>0</v>
      </c>
      <c r="Y562" s="152">
        <f>MouserListTable[[#This Row],[Tot '#]]*MouserListTable[[#This Row],[Price (USD)]]</f>
        <v>4</v>
      </c>
    </row>
    <row r="563" spans="1:25" x14ac:dyDescent="0.25">
      <c r="A563" s="150" t="s">
        <v>890</v>
      </c>
      <c r="B563" s="150" t="s">
        <v>1880</v>
      </c>
      <c r="C563" s="150" t="s">
        <v>5</v>
      </c>
      <c r="D563" s="151" t="str">
        <f>IF(MouserListTable[[#This Row],[Vendor]]=FilterSpecs!$A$8,MouserListTable[[#This Row],[Mouser SKU]], MouserListTable[[#This Row],[Supplier SKU]])</f>
        <v>474-PRT-10588</v>
      </c>
      <c r="E563" s="152">
        <f>MouserListTable[[#This Row],[Tot '#]]-MouserListTable[[#This Row],['# Initial]]</f>
        <v>2</v>
      </c>
      <c r="F563" s="152">
        <f>IF(AND(MouserListTable[[#This Row],[Tag]]&lt;&gt;FilterSpecs!$F$12, MouserListTable[[#This Row],[Tag]]&lt;&gt;FilterSpecs!$F$9), MouserListTable[[#This Row],['#/Unit]]*FilterSpecs!$B$3+MouserListTable[[#This Row],[Extra Initial]],0)</f>
        <v>0</v>
      </c>
      <c r="G563" s="150" t="s">
        <v>898</v>
      </c>
      <c r="H563" s="150" t="s">
        <v>899</v>
      </c>
      <c r="I563" s="150" t="s">
        <v>900</v>
      </c>
      <c r="J563" s="150">
        <v>1</v>
      </c>
      <c r="K563" s="154">
        <v>0.95</v>
      </c>
      <c r="L563" s="151" t="s">
        <v>1896</v>
      </c>
      <c r="M563" s="150"/>
      <c r="N563" s="154">
        <f>MouserListTable[[#This Row],['# Initial]]*MouserListTable[[#This Row],[Price (USD)]]</f>
        <v>0</v>
      </c>
      <c r="O563" s="151" t="s">
        <v>897</v>
      </c>
      <c r="P563" s="150">
        <f t="shared" si="9"/>
        <v>550</v>
      </c>
      <c r="Q563" s="150" t="s">
        <v>5</v>
      </c>
      <c r="R56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474-PRT-10588</v>
      </c>
      <c r="S563" s="157" t="str">
        <f>HYPERLINK("https://www.mouser.com/ProductDetail/" &amp;MouserListTable[[#This Row],[Mouser SKU]])</f>
        <v>https://www.mouser.com/ProductDetail/474-PRT-10588</v>
      </c>
      <c r="T563" s="152">
        <v>0</v>
      </c>
      <c r="U563" s="152">
        <v>2</v>
      </c>
      <c r="V563" s="152">
        <v>0</v>
      </c>
      <c r="W563" s="152">
        <f>MouserListTable[[#This Row],['#/Unit]]*FilterSpecs!$C$3+MouserListTable[[#This Row],[Extra]]</f>
        <v>2</v>
      </c>
      <c r="X563" s="152">
        <f>IF(MouserListTable[[#This Row],[Tag]]=FilterSpecs!$F$7,MouserListTable[[#This Row],['#/Unit]]*MouserListTable[[#This Row],[Price (USD)]],0)</f>
        <v>0</v>
      </c>
      <c r="Y563" s="152">
        <f>MouserListTable[[#This Row],[Tot '#]]*MouserListTable[[#This Row],[Price (USD)]]</f>
        <v>1.9</v>
      </c>
    </row>
    <row r="564" spans="1:25" x14ac:dyDescent="0.25">
      <c r="A564" s="150" t="s">
        <v>890</v>
      </c>
      <c r="B564" s="150" t="s">
        <v>1880</v>
      </c>
      <c r="C564" s="150" t="s">
        <v>1884</v>
      </c>
      <c r="D564" s="151" t="str">
        <f>IF(MouserListTable[[#This Row],[Vendor]]=FilterSpecs!$A$8,MouserListTable[[#This Row],[Mouser SKU]], MouserListTable[[#This Row],[Supplier SKU]])</f>
        <v>485-2911</v>
      </c>
      <c r="E564" s="152">
        <f>MouserListTable[[#This Row],[Tot '#]]-MouserListTable[[#This Row],['# Initial]]</f>
        <v>0</v>
      </c>
      <c r="F564" s="152">
        <f>IF(AND(MouserListTable[[#This Row],[Tag]]&lt;&gt;FilterSpecs!$F$12, MouserListTable[[#This Row],[Tag]]&lt;&gt;FilterSpecs!$F$9), MouserListTable[[#This Row],['#/Unit]]*FilterSpecs!$B$3+MouserListTable[[#This Row],[Extra Initial]],0)</f>
        <v>0</v>
      </c>
      <c r="G564" s="150"/>
      <c r="H564" s="150"/>
      <c r="I564" s="150" t="s">
        <v>2189</v>
      </c>
      <c r="J564" s="153"/>
      <c r="K564" s="118">
        <v>1.95</v>
      </c>
      <c r="L564" s="97" t="s">
        <v>1896</v>
      </c>
      <c r="M564" s="153"/>
      <c r="N564" s="154">
        <f>MouserListTable[[#This Row],['# Initial]]*MouserListTable[[#This Row],[Price (USD)]]</f>
        <v>0</v>
      </c>
      <c r="O564" s="151" t="s">
        <v>2188</v>
      </c>
      <c r="P564" s="150">
        <f t="shared" si="9"/>
        <v>551</v>
      </c>
      <c r="Q564" s="150" t="s">
        <v>1884</v>
      </c>
      <c r="R56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485-2911</v>
      </c>
      <c r="S564" s="157" t="str">
        <f>HYPERLINK("https://www.mouser.com/ProductDetail/" &amp;MouserListTable[[#This Row],[Mouser SKU]])</f>
        <v>https://www.mouser.com/ProductDetail/485-2911</v>
      </c>
      <c r="T564" s="152">
        <v>0</v>
      </c>
      <c r="U564" s="152">
        <v>0</v>
      </c>
      <c r="V564" s="152">
        <v>0</v>
      </c>
      <c r="W564" s="152">
        <f>MouserListTable[[#This Row],['#/Unit]]*FilterSpecs!$C$3+MouserListTable[[#This Row],[Extra]]</f>
        <v>0</v>
      </c>
      <c r="X564" s="152">
        <f>IF(MouserListTable[[#This Row],[Tag]]=FilterSpecs!$F$7,MouserListTable[[#This Row],['#/Unit]]*MouserListTable[[#This Row],[Price (USD)]],0)</f>
        <v>0</v>
      </c>
      <c r="Y564" s="152">
        <f>MouserListTable[[#This Row],[Tot '#]]*MouserListTable[[#This Row],[Price (USD)]]</f>
        <v>0</v>
      </c>
    </row>
    <row r="565" spans="1:25" x14ac:dyDescent="0.25">
      <c r="A565" s="150" t="s">
        <v>890</v>
      </c>
      <c r="B565" s="150" t="s">
        <v>1880</v>
      </c>
      <c r="C565" s="150" t="s">
        <v>1884</v>
      </c>
      <c r="D565" s="151" t="str">
        <f>IF(MouserListTable[[#This Row],[Vendor]]=FilterSpecs!$A$8,MouserListTable[[#This Row],[Mouser SKU]], MouserListTable[[#This Row],[Supplier SKU]])</f>
        <v>485-2791</v>
      </c>
      <c r="E565" s="152">
        <f>MouserListTable[[#This Row],[Tot '#]]-MouserListTable[[#This Row],['# Initial]]</f>
        <v>0</v>
      </c>
      <c r="F565" s="152">
        <f>IF(AND(MouserListTable[[#This Row],[Tag]]&lt;&gt;FilterSpecs!$F$12, MouserListTable[[#This Row],[Tag]]&lt;&gt;FilterSpecs!$F$9), MouserListTable[[#This Row],['#/Unit]]*FilterSpecs!$B$3+MouserListTable[[#This Row],[Extra Initial]],0)</f>
        <v>0</v>
      </c>
      <c r="G565" s="150"/>
      <c r="H565" s="150"/>
      <c r="I565" s="150" t="s">
        <v>2191</v>
      </c>
      <c r="J565" s="153"/>
      <c r="K565" s="118">
        <v>2.5</v>
      </c>
      <c r="L565" s="97" t="s">
        <v>1896</v>
      </c>
      <c r="M565" s="153"/>
      <c r="N565" s="154">
        <f>MouserListTable[[#This Row],['# Initial]]*MouserListTable[[#This Row],[Price (USD)]]</f>
        <v>0</v>
      </c>
      <c r="O565" s="151" t="s">
        <v>2190</v>
      </c>
      <c r="P565" s="150">
        <f t="shared" si="9"/>
        <v>552</v>
      </c>
      <c r="Q565" s="150" t="s">
        <v>1884</v>
      </c>
      <c r="R56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485-2791</v>
      </c>
      <c r="S565" s="157" t="str">
        <f>HYPERLINK("https://www.mouser.com/ProductDetail/" &amp;MouserListTable[[#This Row],[Mouser SKU]])</f>
        <v>https://www.mouser.com/ProductDetail/485-2791</v>
      </c>
      <c r="T565" s="152">
        <v>0</v>
      </c>
      <c r="U565" s="152">
        <v>0</v>
      </c>
      <c r="V565" s="152">
        <v>0</v>
      </c>
      <c r="W565" s="152">
        <f>MouserListTable[[#This Row],['#/Unit]]*FilterSpecs!$C$3+MouserListTable[[#This Row],[Extra]]</f>
        <v>0</v>
      </c>
      <c r="X565" s="152">
        <f>IF(MouserListTable[[#This Row],[Tag]]=FilterSpecs!$F$7,MouserListTable[[#This Row],['#/Unit]]*MouserListTable[[#This Row],[Price (USD)]],0)</f>
        <v>0</v>
      </c>
      <c r="Y565" s="152">
        <f>MouserListTable[[#This Row],[Tot '#]]*MouserListTable[[#This Row],[Price (USD)]]</f>
        <v>0</v>
      </c>
    </row>
    <row r="566" spans="1:25" x14ac:dyDescent="0.25">
      <c r="A566" s="150" t="s">
        <v>890</v>
      </c>
      <c r="B566" s="150" t="s">
        <v>1880</v>
      </c>
      <c r="C566" s="150" t="s">
        <v>1884</v>
      </c>
      <c r="D566" s="151" t="str">
        <f>IF(MouserListTable[[#This Row],[Vendor]]=FilterSpecs!$A$8,MouserListTable[[#This Row],[Mouser SKU]], MouserListTable[[#This Row],[Supplier SKU]])</f>
        <v>485-2790</v>
      </c>
      <c r="E566" s="152">
        <f>MouserListTable[[#This Row],[Tot '#]]-MouserListTable[[#This Row],['# Initial]]</f>
        <v>0</v>
      </c>
      <c r="F566" s="152">
        <f>IF(AND(MouserListTable[[#This Row],[Tag]]&lt;&gt;FilterSpecs!$F$12, MouserListTable[[#This Row],[Tag]]&lt;&gt;FilterSpecs!$F$9), MouserListTable[[#This Row],['#/Unit]]*FilterSpecs!$B$3+MouserListTable[[#This Row],[Extra Initial]],0)</f>
        <v>0</v>
      </c>
      <c r="G566" s="150"/>
      <c r="H566" s="150"/>
      <c r="I566" s="150" t="s">
        <v>2193</v>
      </c>
      <c r="J566" s="153"/>
      <c r="K566" s="118">
        <v>2.5</v>
      </c>
      <c r="L566" s="97" t="s">
        <v>1896</v>
      </c>
      <c r="M566" s="153"/>
      <c r="N566" s="154">
        <f>MouserListTable[[#This Row],['# Initial]]*MouserListTable[[#This Row],[Price (USD)]]</f>
        <v>0</v>
      </c>
      <c r="O566" s="151" t="s">
        <v>2192</v>
      </c>
      <c r="P566" s="150">
        <f t="shared" si="9"/>
        <v>553</v>
      </c>
      <c r="Q566" s="150" t="s">
        <v>1884</v>
      </c>
      <c r="R56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485-2790</v>
      </c>
      <c r="S566" s="157" t="str">
        <f>HYPERLINK("https://www.mouser.com/ProductDetail/" &amp;MouserListTable[[#This Row],[Mouser SKU]])</f>
        <v>https://www.mouser.com/ProductDetail/485-2790</v>
      </c>
      <c r="T566" s="152">
        <v>0</v>
      </c>
      <c r="U566" s="152">
        <v>0</v>
      </c>
      <c r="V566" s="152">
        <v>0</v>
      </c>
      <c r="W566" s="152">
        <f>MouserListTable[[#This Row],['#/Unit]]*FilterSpecs!$C$3+MouserListTable[[#This Row],[Extra]]</f>
        <v>0</v>
      </c>
      <c r="X566" s="152">
        <f>IF(MouserListTable[[#This Row],[Tag]]=FilterSpecs!$F$7,MouserListTable[[#This Row],['#/Unit]]*MouserListTable[[#This Row],[Price (USD)]],0)</f>
        <v>0</v>
      </c>
      <c r="Y566" s="152">
        <f>MouserListTable[[#This Row],[Tot '#]]*MouserListTable[[#This Row],[Price (USD)]]</f>
        <v>0</v>
      </c>
    </row>
    <row r="567" spans="1:25" x14ac:dyDescent="0.25">
      <c r="A567" s="150" t="s">
        <v>890</v>
      </c>
      <c r="B567" s="150" t="s">
        <v>1880</v>
      </c>
      <c r="C567" s="150" t="s">
        <v>1884</v>
      </c>
      <c r="D567" s="151" t="str">
        <f>IF(MouserListTable[[#This Row],[Vendor]]=FilterSpecs!$A$8,MouserListTable[[#This Row],[Mouser SKU]], MouserListTable[[#This Row],[Supplier SKU]])</f>
        <v>485-1699</v>
      </c>
      <c r="E567" s="152">
        <f>MouserListTable[[#This Row],[Tot '#]]-MouserListTable[[#This Row],['# Initial]]</f>
        <v>0</v>
      </c>
      <c r="F567" s="152">
        <f>IF(AND(MouserListTable[[#This Row],[Tag]]&lt;&gt;FilterSpecs!$F$12, MouserListTable[[#This Row],[Tag]]&lt;&gt;FilterSpecs!$F$9), MouserListTable[[#This Row],['#/Unit]]*FilterSpecs!$B$3+MouserListTable[[#This Row],[Extra Initial]],0)</f>
        <v>0</v>
      </c>
      <c r="G567" s="150"/>
      <c r="H567" s="150"/>
      <c r="I567" s="150" t="s">
        <v>2195</v>
      </c>
      <c r="J567" s="153"/>
      <c r="K567" s="118">
        <v>0.95</v>
      </c>
      <c r="L567" s="97" t="s">
        <v>1896</v>
      </c>
      <c r="M567" s="153"/>
      <c r="N567" s="154">
        <f>MouserListTable[[#This Row],['# Initial]]*MouserListTable[[#This Row],[Price (USD)]]</f>
        <v>0</v>
      </c>
      <c r="O567" s="151" t="s">
        <v>2194</v>
      </c>
      <c r="P567" s="150">
        <f t="shared" si="9"/>
        <v>554</v>
      </c>
      <c r="Q567" s="150" t="s">
        <v>1884</v>
      </c>
      <c r="R56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485-1699</v>
      </c>
      <c r="S567" s="157" t="str">
        <f>HYPERLINK("https://www.mouser.com/ProductDetail/" &amp;MouserListTable[[#This Row],[Mouser SKU]])</f>
        <v>https://www.mouser.com/ProductDetail/485-1699</v>
      </c>
      <c r="T567" s="152">
        <v>0</v>
      </c>
      <c r="U567" s="152">
        <v>0</v>
      </c>
      <c r="V567" s="152">
        <v>0</v>
      </c>
      <c r="W567" s="152">
        <f>MouserListTable[[#This Row],['#/Unit]]*FilterSpecs!$C$3+MouserListTable[[#This Row],[Extra]]</f>
        <v>0</v>
      </c>
      <c r="X567" s="152">
        <f>IF(MouserListTable[[#This Row],[Tag]]=FilterSpecs!$F$7,MouserListTable[[#This Row],['#/Unit]]*MouserListTable[[#This Row],[Price (USD)]],0)</f>
        <v>0</v>
      </c>
      <c r="Y567" s="152">
        <f>MouserListTable[[#This Row],[Tot '#]]*MouserListTable[[#This Row],[Price (USD)]]</f>
        <v>0</v>
      </c>
    </row>
    <row r="568" spans="1:25" x14ac:dyDescent="0.25">
      <c r="A568" s="150" t="s">
        <v>890</v>
      </c>
      <c r="B568" s="150" t="s">
        <v>1999</v>
      </c>
      <c r="C568" s="150" t="s">
        <v>1884</v>
      </c>
      <c r="D568" s="151" t="str">
        <f>IF(MouserListTable[[#This Row],[Vendor]]=FilterSpecs!$A$8,MouserListTable[[#This Row],[Mouser SKU]], MouserListTable[[#This Row],[Supplier SKU]])</f>
        <v>485-2429</v>
      </c>
      <c r="E568" s="152">
        <f>MouserListTable[[#This Row],[Tot '#]]-MouserListTable[[#This Row],['# Initial]]</f>
        <v>0</v>
      </c>
      <c r="F568" s="152">
        <f>IF(AND(MouserListTable[[#This Row],[Tag]]&lt;&gt;FilterSpecs!$F$12, MouserListTable[[#This Row],[Tag]]&lt;&gt;FilterSpecs!$F$9), MouserListTable[[#This Row],['#/Unit]]*FilterSpecs!$B$3+MouserListTable[[#This Row],[Extra Initial]],0)</f>
        <v>1</v>
      </c>
      <c r="G568" s="150"/>
      <c r="H568" s="150"/>
      <c r="I568" s="150" t="s">
        <v>2203</v>
      </c>
      <c r="J568" s="153"/>
      <c r="K568" s="154">
        <v>4.95</v>
      </c>
      <c r="L568" s="150" t="s">
        <v>1896</v>
      </c>
      <c r="M568" s="151"/>
      <c r="N568" s="154">
        <f>MouserListTable[[#This Row],['# Initial]]*MouserListTable[[#This Row],[Price (USD)]]</f>
        <v>4.95</v>
      </c>
      <c r="O568" s="151" t="s">
        <v>2202</v>
      </c>
      <c r="P568" s="150">
        <f t="shared" si="9"/>
        <v>555</v>
      </c>
      <c r="Q568" s="150" t="s">
        <v>1884</v>
      </c>
      <c r="R56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485-2429</v>
      </c>
      <c r="S568" s="157" t="str">
        <f>HYPERLINK("https://www.mouser.com/ProductDetail/" &amp;MouserListTable[[#This Row],[Mouser SKU]])</f>
        <v>https://www.mouser.com/ProductDetail/485-2429</v>
      </c>
      <c r="T568" s="152">
        <v>0</v>
      </c>
      <c r="U568" s="152">
        <v>1</v>
      </c>
      <c r="V568" s="152">
        <v>1</v>
      </c>
      <c r="W568" s="152">
        <f>MouserListTable[[#This Row],['#/Unit]]*FilterSpecs!$C$3+MouserListTable[[#This Row],[Extra]]</f>
        <v>1</v>
      </c>
      <c r="X568" s="152">
        <f>IF(MouserListTable[[#This Row],[Tag]]=FilterSpecs!$F$7,MouserListTable[[#This Row],['#/Unit]]*MouserListTable[[#This Row],[Price (USD)]],0)</f>
        <v>0</v>
      </c>
      <c r="Y568" s="152">
        <f>MouserListTable[[#This Row],[Tot '#]]*MouserListTable[[#This Row],[Price (USD)]]</f>
        <v>4.95</v>
      </c>
    </row>
    <row r="569" spans="1:25" x14ac:dyDescent="0.25">
      <c r="A569" s="150" t="s">
        <v>890</v>
      </c>
      <c r="B569" s="150" t="s">
        <v>1999</v>
      </c>
      <c r="C569" s="150" t="s">
        <v>1884</v>
      </c>
      <c r="D569" s="151" t="str">
        <f>IF(MouserListTable[[#This Row],[Vendor]]=FilterSpecs!$A$8,MouserListTable[[#This Row],[Mouser SKU]], MouserListTable[[#This Row],[Supplier SKU]])</f>
        <v>485-2428</v>
      </c>
      <c r="E569" s="152">
        <f>MouserListTable[[#This Row],[Tot '#]]-MouserListTable[[#This Row],['# Initial]]</f>
        <v>0</v>
      </c>
      <c r="F569" s="152">
        <f>IF(AND(MouserListTable[[#This Row],[Tag]]&lt;&gt;FilterSpecs!$F$12, MouserListTable[[#This Row],[Tag]]&lt;&gt;FilterSpecs!$F$9), MouserListTable[[#This Row],['#/Unit]]*FilterSpecs!$B$3+MouserListTable[[#This Row],[Extra Initial]],0)</f>
        <v>1</v>
      </c>
      <c r="G569" s="150"/>
      <c r="H569" s="150"/>
      <c r="I569" s="150" t="s">
        <v>2205</v>
      </c>
      <c r="J569" s="153"/>
      <c r="K569" s="154">
        <v>4.95</v>
      </c>
      <c r="L569" s="150" t="s">
        <v>1896</v>
      </c>
      <c r="M569" s="151"/>
      <c r="N569" s="154">
        <f>MouserListTable[[#This Row],['# Initial]]*MouserListTable[[#This Row],[Price (USD)]]</f>
        <v>4.95</v>
      </c>
      <c r="O569" s="151" t="s">
        <v>2204</v>
      </c>
      <c r="P569" s="150">
        <f t="shared" si="9"/>
        <v>556</v>
      </c>
      <c r="Q569" s="150" t="s">
        <v>1884</v>
      </c>
      <c r="R56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485-2428</v>
      </c>
      <c r="S569" s="157" t="str">
        <f>HYPERLINK("https://www.mouser.com/ProductDetail/" &amp;MouserListTable[[#This Row],[Mouser SKU]])</f>
        <v>https://www.mouser.com/ProductDetail/485-2428</v>
      </c>
      <c r="T569" s="152">
        <v>0</v>
      </c>
      <c r="U569" s="152">
        <v>1</v>
      </c>
      <c r="V569" s="152">
        <v>1</v>
      </c>
      <c r="W569" s="152">
        <f>MouserListTable[[#This Row],['#/Unit]]*FilterSpecs!$C$3+MouserListTable[[#This Row],[Extra]]</f>
        <v>1</v>
      </c>
      <c r="X569" s="152">
        <f>IF(MouserListTable[[#This Row],[Tag]]=FilterSpecs!$F$7,MouserListTable[[#This Row],['#/Unit]]*MouserListTable[[#This Row],[Price (USD)]],0)</f>
        <v>0</v>
      </c>
      <c r="Y569" s="152">
        <f>MouserListTable[[#This Row],[Tot '#]]*MouserListTable[[#This Row],[Price (USD)]]</f>
        <v>4.95</v>
      </c>
    </row>
    <row r="570" spans="1:25" x14ac:dyDescent="0.25">
      <c r="A570" s="150" t="s">
        <v>890</v>
      </c>
      <c r="B570" s="150" t="s">
        <v>1999</v>
      </c>
      <c r="C570" s="150" t="s">
        <v>1884</v>
      </c>
      <c r="D570" s="151" t="str">
        <f>IF(MouserListTable[[#This Row],[Vendor]]=FilterSpecs!$A$8,MouserListTable[[#This Row],[Mouser SKU]], MouserListTable[[#This Row],[Supplier SKU]])</f>
        <v>485-2430</v>
      </c>
      <c r="E570" s="152">
        <f>MouserListTable[[#This Row],[Tot '#]]-MouserListTable[[#This Row],['# Initial]]</f>
        <v>0</v>
      </c>
      <c r="F570" s="152">
        <f>IF(AND(MouserListTable[[#This Row],[Tag]]&lt;&gt;FilterSpecs!$F$12, MouserListTable[[#This Row],[Tag]]&lt;&gt;FilterSpecs!$F$9), MouserListTable[[#This Row],['#/Unit]]*FilterSpecs!$B$3+MouserListTable[[#This Row],[Extra Initial]],0)</f>
        <v>1</v>
      </c>
      <c r="G570" s="150"/>
      <c r="H570" s="150"/>
      <c r="I570" s="150" t="s">
        <v>2207</v>
      </c>
      <c r="J570" s="153"/>
      <c r="K570" s="154">
        <v>4.95</v>
      </c>
      <c r="L570" s="150" t="s">
        <v>1896</v>
      </c>
      <c r="M570" s="151"/>
      <c r="N570" s="154">
        <f>MouserListTable[[#This Row],['# Initial]]*MouserListTable[[#This Row],[Price (USD)]]</f>
        <v>4.95</v>
      </c>
      <c r="O570" s="151" t="s">
        <v>2206</v>
      </c>
      <c r="P570" s="150">
        <f t="shared" si="9"/>
        <v>557</v>
      </c>
      <c r="Q570" s="150" t="s">
        <v>1884</v>
      </c>
      <c r="R57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485-2430</v>
      </c>
      <c r="S570" s="157" t="str">
        <f>HYPERLINK("https://www.mouser.com/ProductDetail/" &amp;MouserListTable[[#This Row],[Mouser SKU]])</f>
        <v>https://www.mouser.com/ProductDetail/485-2430</v>
      </c>
      <c r="T570" s="152">
        <v>0</v>
      </c>
      <c r="U570" s="152">
        <v>1</v>
      </c>
      <c r="V570" s="152">
        <v>1</v>
      </c>
      <c r="W570" s="152">
        <f>MouserListTable[[#This Row],['#/Unit]]*FilterSpecs!$C$3+MouserListTable[[#This Row],[Extra]]</f>
        <v>1</v>
      </c>
      <c r="X570" s="152">
        <f>IF(MouserListTable[[#This Row],[Tag]]=FilterSpecs!$F$7,MouserListTable[[#This Row],['#/Unit]]*MouserListTable[[#This Row],[Price (USD)]],0)</f>
        <v>0</v>
      </c>
      <c r="Y570" s="152">
        <f>MouserListTable[[#This Row],[Tot '#]]*MouserListTable[[#This Row],[Price (USD)]]</f>
        <v>4.95</v>
      </c>
    </row>
    <row r="571" spans="1:25" x14ac:dyDescent="0.25">
      <c r="A571" s="150" t="s">
        <v>890</v>
      </c>
      <c r="B571" s="150" t="s">
        <v>1999</v>
      </c>
      <c r="C571" s="150" t="s">
        <v>1884</v>
      </c>
      <c r="D571" s="151" t="str">
        <f>IF(MouserListTable[[#This Row],[Vendor]]=FilterSpecs!$A$8,MouserListTable[[#This Row],[Mouser SKU]], MouserListTable[[#This Row],[Supplier SKU]])</f>
        <v>485-394</v>
      </c>
      <c r="E571" s="152">
        <f>MouserListTable[[#This Row],[Tot '#]]-MouserListTable[[#This Row],['# Initial]]</f>
        <v>0</v>
      </c>
      <c r="F571" s="152">
        <f>IF(AND(MouserListTable[[#This Row],[Tag]]&lt;&gt;FilterSpecs!$F$12, MouserListTable[[#This Row],[Tag]]&lt;&gt;FilterSpecs!$F$9), MouserListTable[[#This Row],['#/Unit]]*FilterSpecs!$B$3+MouserListTable[[#This Row],[Extra Initial]],0)</f>
        <v>1</v>
      </c>
      <c r="G571" s="150"/>
      <c r="H571" s="150"/>
      <c r="I571" s="150" t="s">
        <v>2209</v>
      </c>
      <c r="J571" s="153"/>
      <c r="K571" s="154">
        <v>7.5</v>
      </c>
      <c r="L571" s="150" t="s">
        <v>1896</v>
      </c>
      <c r="M571" s="151"/>
      <c r="N571" s="154">
        <f>MouserListTable[[#This Row],['# Initial]]*MouserListTable[[#This Row],[Price (USD)]]</f>
        <v>7.5</v>
      </c>
      <c r="O571" s="151" t="s">
        <v>2208</v>
      </c>
      <c r="P571" s="150">
        <f t="shared" si="9"/>
        <v>558</v>
      </c>
      <c r="Q571" s="150" t="s">
        <v>1884</v>
      </c>
      <c r="R57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485-394</v>
      </c>
      <c r="S571" s="157" t="str">
        <f>HYPERLINK("https://www.mouser.com/ProductDetail/" &amp;MouserListTable[[#This Row],[Mouser SKU]])</f>
        <v>https://www.mouser.com/ProductDetail/485-394</v>
      </c>
      <c r="T571" s="152">
        <v>0</v>
      </c>
      <c r="U571" s="152">
        <v>1</v>
      </c>
      <c r="V571" s="152">
        <v>1</v>
      </c>
      <c r="W571" s="152">
        <f>MouserListTable[[#This Row],['#/Unit]]*FilterSpecs!$C$3+MouserListTable[[#This Row],[Extra]]</f>
        <v>1</v>
      </c>
      <c r="X571" s="152">
        <f>IF(MouserListTable[[#This Row],[Tag]]=FilterSpecs!$F$7,MouserListTable[[#This Row],['#/Unit]]*MouserListTable[[#This Row],[Price (USD)]],0)</f>
        <v>0</v>
      </c>
      <c r="Y571" s="152">
        <f>MouserListTable[[#This Row],[Tot '#]]*MouserListTable[[#This Row],[Price (USD)]]</f>
        <v>7.5</v>
      </c>
    </row>
    <row r="572" spans="1:25" x14ac:dyDescent="0.25">
      <c r="A572" s="151" t="s">
        <v>890</v>
      </c>
      <c r="B572" s="151" t="s">
        <v>2001</v>
      </c>
      <c r="C572" s="150" t="s">
        <v>5</v>
      </c>
      <c r="D572" s="151" t="str">
        <f>IF(MouserListTable[[#This Row],[Vendor]]=FilterSpecs!$A$8,MouserListTable[[#This Row],[Mouser SKU]], MouserListTable[[#This Row],[Supplier SKU]])</f>
        <v>474-CAB-10646</v>
      </c>
      <c r="E572" s="152">
        <f>MouserListTable[[#This Row],[Tot '#]]-MouserListTable[[#This Row],['# Initial]]</f>
        <v>0</v>
      </c>
      <c r="F572" s="152">
        <f>IF(AND(MouserListTable[[#This Row],[Tag]]&lt;&gt;FilterSpecs!$F$12, MouserListTable[[#This Row],[Tag]]&lt;&gt;FilterSpecs!$F$9), MouserListTable[[#This Row],['#/Unit]]*FilterSpecs!$B$3+MouserListTable[[#This Row],[Extra Initial]],0)</f>
        <v>2</v>
      </c>
      <c r="G572" s="150" t="s">
        <v>1582</v>
      </c>
      <c r="H572" s="150" t="s">
        <v>1583</v>
      </c>
      <c r="I572" s="150" t="s">
        <v>1584</v>
      </c>
      <c r="J572" s="150">
        <v>1</v>
      </c>
      <c r="K572" s="154">
        <v>2.95</v>
      </c>
      <c r="L572" s="151" t="s">
        <v>1896</v>
      </c>
      <c r="M572" s="150"/>
      <c r="N572" s="154">
        <f>MouserListTable[[#This Row],['# Initial]]*MouserListTable[[#This Row],[Price (USD)]]</f>
        <v>5.9</v>
      </c>
      <c r="O572" s="151" t="s">
        <v>1581</v>
      </c>
      <c r="P572" s="150">
        <f t="shared" si="9"/>
        <v>559</v>
      </c>
      <c r="Q572" s="150" t="s">
        <v>5</v>
      </c>
      <c r="R57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474-CAB-10646</v>
      </c>
      <c r="S572" s="157" t="str">
        <f>HYPERLINK("https://www.mouser.com/ProductDetail/" &amp;MouserListTable[[#This Row],[Mouser SKU]])</f>
        <v>https://www.mouser.com/ProductDetail/474-CAB-10646</v>
      </c>
      <c r="T572" s="152">
        <v>0</v>
      </c>
      <c r="U572" s="152">
        <v>2</v>
      </c>
      <c r="V572" s="152">
        <v>2</v>
      </c>
      <c r="W572" s="152">
        <f>MouserListTable[[#This Row],['#/Unit]]*FilterSpecs!$C$3+MouserListTable[[#This Row],[Extra]]</f>
        <v>2</v>
      </c>
      <c r="X572" s="152">
        <f>IF(MouserListTable[[#This Row],[Tag]]=FilterSpecs!$F$7,MouserListTable[[#This Row],['#/Unit]]*MouserListTable[[#This Row],[Price (USD)]],0)</f>
        <v>0</v>
      </c>
      <c r="Y572" s="152">
        <f>MouserListTable[[#This Row],[Tot '#]]*MouserListTable[[#This Row],[Price (USD)]]</f>
        <v>5.9</v>
      </c>
    </row>
    <row r="573" spans="1:25" x14ac:dyDescent="0.25">
      <c r="A573" s="98" t="s">
        <v>890</v>
      </c>
      <c r="B573" s="98" t="s">
        <v>2001</v>
      </c>
      <c r="C573" s="150" t="s">
        <v>1884</v>
      </c>
      <c r="D573" s="151" t="str">
        <f>IF(MouserListTable[[#This Row],[Vendor]]=FilterSpecs!$A$8,MouserListTable[[#This Row],[Mouser SKU]], MouserListTable[[#This Row],[Supplier SKU]])</f>
        <v>485-371</v>
      </c>
      <c r="E573" s="152">
        <f>MouserListTable[[#This Row],[Tot '#]]-MouserListTable[[#This Row],['# Initial]]</f>
        <v>0</v>
      </c>
      <c r="F573" s="152">
        <f>IF(AND(MouserListTable[[#This Row],[Tag]]&lt;&gt;FilterSpecs!$F$12, MouserListTable[[#This Row],[Tag]]&lt;&gt;FilterSpecs!$F$9), MouserListTable[[#This Row],['#/Unit]]*FilterSpecs!$B$3+MouserListTable[[#This Row],[Extra Initial]],0)</f>
        <v>0</v>
      </c>
      <c r="G573" s="150"/>
      <c r="H573" s="150"/>
      <c r="I573" s="150" t="s">
        <v>2434</v>
      </c>
      <c r="J573" s="113">
        <v>106</v>
      </c>
      <c r="K573" s="119">
        <v>2</v>
      </c>
      <c r="L573" s="97" t="s">
        <v>1896</v>
      </c>
      <c r="M573" s="153"/>
      <c r="N573" s="154">
        <f>MouserListTable[[#This Row],['# Initial]]*MouserListTable[[#This Row],[Price (USD)]]</f>
        <v>0</v>
      </c>
      <c r="O573" s="113" t="s">
        <v>2435</v>
      </c>
      <c r="P573" s="150">
        <f t="shared" si="9"/>
        <v>560</v>
      </c>
      <c r="Q573" s="150" t="s">
        <v>1884</v>
      </c>
      <c r="R57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485-371</v>
      </c>
      <c r="S573" s="157" t="str">
        <f>HYPERLINK("https://www.mouser.com/ProductDetail/" &amp;MouserListTable[[#This Row],[Mouser SKU]])</f>
        <v>https://www.mouser.com/ProductDetail/485-371</v>
      </c>
      <c r="T573" s="152">
        <v>0</v>
      </c>
      <c r="U573" s="152">
        <v>0</v>
      </c>
      <c r="V573" s="152">
        <v>0</v>
      </c>
      <c r="W573" s="152">
        <f>MouserListTable[[#This Row],['#/Unit]]*FilterSpecs!$C$3+MouserListTable[[#This Row],[Extra]]</f>
        <v>0</v>
      </c>
      <c r="X573" s="152">
        <f>IF(MouserListTable[[#This Row],[Tag]]=FilterSpecs!$F$7,MouserListTable[[#This Row],['#/Unit]]*MouserListTable[[#This Row],[Price (USD)]],0)</f>
        <v>0</v>
      </c>
      <c r="Y573" s="152">
        <f>MouserListTable[[#This Row],[Tot '#]]*MouserListTable[[#This Row],[Price (USD)]]</f>
        <v>0</v>
      </c>
    </row>
    <row r="574" spans="1:25" x14ac:dyDescent="0.25">
      <c r="A574" s="153" t="s">
        <v>890</v>
      </c>
      <c r="B574" s="153" t="s">
        <v>2001</v>
      </c>
      <c r="C574" s="150" t="s">
        <v>5</v>
      </c>
      <c r="D574" s="151" t="str">
        <f>IF(MouserListTable[[#This Row],[Vendor]]=FilterSpecs!$A$8,MouserListTable[[#This Row],[Mouser SKU]], MouserListTable[[#This Row],[Supplier SKU]])</f>
        <v>474-CAB-10649</v>
      </c>
      <c r="E574" s="152">
        <f>MouserListTable[[#This Row],[Tot '#]]-MouserListTable[[#This Row],['# Initial]]</f>
        <v>0</v>
      </c>
      <c r="F574" s="152">
        <f>IF(AND(MouserListTable[[#This Row],[Tag]]&lt;&gt;FilterSpecs!$F$12, MouserListTable[[#This Row],[Tag]]&lt;&gt;FilterSpecs!$F$9), MouserListTable[[#This Row],['#/Unit]]*FilterSpecs!$B$3+MouserListTable[[#This Row],[Extra Initial]],0)</f>
        <v>0</v>
      </c>
      <c r="G574" s="150" t="s">
        <v>1578</v>
      </c>
      <c r="H574" s="150" t="s">
        <v>1579</v>
      </c>
      <c r="I574" s="150" t="s">
        <v>1580</v>
      </c>
      <c r="J574" s="150">
        <v>1</v>
      </c>
      <c r="K574" s="154">
        <v>0.95</v>
      </c>
      <c r="L574" s="151" t="s">
        <v>1896</v>
      </c>
      <c r="M574" s="150"/>
      <c r="N574" s="154">
        <f>MouserListTable[[#This Row],['# Initial]]*MouserListTable[[#This Row],[Price (USD)]]</f>
        <v>0</v>
      </c>
      <c r="O574" s="151" t="s">
        <v>1577</v>
      </c>
      <c r="P574" s="150">
        <f t="shared" si="9"/>
        <v>561</v>
      </c>
      <c r="Q574" s="150" t="s">
        <v>5</v>
      </c>
      <c r="R57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474-CAB-10649</v>
      </c>
      <c r="S574" s="157" t="str">
        <f>HYPERLINK("https://www.mouser.com/ProductDetail/" &amp;MouserListTable[[#This Row],[Mouser SKU]])</f>
        <v>https://www.mouser.com/ProductDetail/474-CAB-10649</v>
      </c>
      <c r="T574" s="152">
        <v>0</v>
      </c>
      <c r="U574" s="152">
        <v>0</v>
      </c>
      <c r="V574" s="152">
        <v>0</v>
      </c>
      <c r="W574" s="152">
        <f>MouserListTable[[#This Row],['#/Unit]]*FilterSpecs!$C$3+MouserListTable[[#This Row],[Extra]]</f>
        <v>0</v>
      </c>
      <c r="X574" s="152">
        <f>IF(MouserListTable[[#This Row],[Tag]]=FilterSpecs!$F$7,MouserListTable[[#This Row],['#/Unit]]*MouserListTable[[#This Row],[Price (USD)]],0)</f>
        <v>0</v>
      </c>
      <c r="Y574" s="152">
        <f>MouserListTable[[#This Row],[Tot '#]]*MouserListTable[[#This Row],[Price (USD)]]</f>
        <v>0</v>
      </c>
    </row>
    <row r="575" spans="1:25" x14ac:dyDescent="0.25">
      <c r="A575" s="151" t="s">
        <v>890</v>
      </c>
      <c r="B575" s="151" t="s">
        <v>2001</v>
      </c>
      <c r="C575" s="150" t="s">
        <v>5</v>
      </c>
      <c r="D575" s="151" t="str">
        <f>IF(MouserListTable[[#This Row],[Vendor]]=FilterSpecs!$A$8,MouserListTable[[#This Row],[Mouser SKU]], MouserListTable[[#This Row],[Supplier SKU]])</f>
        <v>474-CAB-10647</v>
      </c>
      <c r="E575" s="152">
        <f>MouserListTable[[#This Row],[Tot '#]]-MouserListTable[[#This Row],['# Initial]]</f>
        <v>0</v>
      </c>
      <c r="F575" s="152">
        <f>IF(AND(MouserListTable[[#This Row],[Tag]]&lt;&gt;FilterSpecs!$F$12, MouserListTable[[#This Row],[Tag]]&lt;&gt;FilterSpecs!$F$9), MouserListTable[[#This Row],['#/Unit]]*FilterSpecs!$B$3+MouserListTable[[#This Row],[Extra Initial]],0)</f>
        <v>1</v>
      </c>
      <c r="G575" s="150" t="s">
        <v>1586</v>
      </c>
      <c r="H575" s="150" t="s">
        <v>1587</v>
      </c>
      <c r="I575" s="150" t="s">
        <v>1588</v>
      </c>
      <c r="J575" s="150">
        <v>1</v>
      </c>
      <c r="K575" s="154">
        <v>4.95</v>
      </c>
      <c r="L575" s="151" t="s">
        <v>1896</v>
      </c>
      <c r="M575" s="150"/>
      <c r="N575" s="154">
        <f>MouserListTable[[#This Row],['# Initial]]*MouserListTable[[#This Row],[Price (USD)]]</f>
        <v>4.95</v>
      </c>
      <c r="O575" s="151" t="s">
        <v>1585</v>
      </c>
      <c r="P575" s="150">
        <f t="shared" si="9"/>
        <v>562</v>
      </c>
      <c r="Q575" s="150" t="s">
        <v>5</v>
      </c>
      <c r="R57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474-CAB-10647</v>
      </c>
      <c r="S575" s="157" t="str">
        <f>HYPERLINK("https://www.mouser.com/ProductDetail/" &amp;MouserListTable[[#This Row],[Mouser SKU]])</f>
        <v>https://www.mouser.com/ProductDetail/474-CAB-10647</v>
      </c>
      <c r="T575" s="152">
        <v>0</v>
      </c>
      <c r="U575" s="152">
        <v>1</v>
      </c>
      <c r="V575" s="152">
        <v>1</v>
      </c>
      <c r="W575" s="152">
        <f>MouserListTable[[#This Row],['#/Unit]]*FilterSpecs!$C$3+MouserListTable[[#This Row],[Extra]]</f>
        <v>1</v>
      </c>
      <c r="X575" s="152">
        <f>IF(MouserListTable[[#This Row],[Tag]]=FilterSpecs!$F$7,MouserListTable[[#This Row],['#/Unit]]*MouserListTable[[#This Row],[Price (USD)]],0)</f>
        <v>0</v>
      </c>
      <c r="Y575" s="152">
        <f>MouserListTable[[#This Row],[Tot '#]]*MouserListTable[[#This Row],[Price (USD)]]</f>
        <v>4.95</v>
      </c>
    </row>
    <row r="576" spans="1:25" x14ac:dyDescent="0.25">
      <c r="A576" s="98" t="s">
        <v>890</v>
      </c>
      <c r="B576" s="98" t="s">
        <v>2001</v>
      </c>
      <c r="C576" s="150" t="s">
        <v>1884</v>
      </c>
      <c r="D576" s="151" t="str">
        <f>IF(MouserListTable[[#This Row],[Vendor]]=FilterSpecs!$A$8,MouserListTable[[#This Row],[Mouser SKU]], MouserListTable[[#This Row],[Supplier SKU]])</f>
        <v>485-556</v>
      </c>
      <c r="E576" s="152">
        <f>MouserListTable[[#This Row],[Tot '#]]-MouserListTable[[#This Row],['# Initial]]</f>
        <v>0</v>
      </c>
      <c r="F576" s="152">
        <f>IF(AND(MouserListTable[[#This Row],[Tag]]&lt;&gt;FilterSpecs!$F$12, MouserListTable[[#This Row],[Tag]]&lt;&gt;FilterSpecs!$F$9), MouserListTable[[#This Row],['#/Unit]]*FilterSpecs!$B$3+MouserListTable[[#This Row],[Extra Initial]],0)</f>
        <v>0</v>
      </c>
      <c r="G576" s="150"/>
      <c r="H576" s="150"/>
      <c r="I576" s="150" t="s">
        <v>2432</v>
      </c>
      <c r="J576" s="113">
        <v>105</v>
      </c>
      <c r="K576" s="119">
        <v>1.5</v>
      </c>
      <c r="L576" s="97" t="s">
        <v>1896</v>
      </c>
      <c r="M576" s="153"/>
      <c r="N576" s="154">
        <f>MouserListTable[[#This Row],['# Initial]]*MouserListTable[[#This Row],[Price (USD)]]</f>
        <v>0</v>
      </c>
      <c r="O576" s="113" t="s">
        <v>2433</v>
      </c>
      <c r="P576" s="150">
        <f t="shared" si="9"/>
        <v>563</v>
      </c>
      <c r="Q576" s="150" t="s">
        <v>1884</v>
      </c>
      <c r="R57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485-556</v>
      </c>
      <c r="S576" s="157" t="str">
        <f>HYPERLINK("https://www.mouser.com/ProductDetail/" &amp;MouserListTable[[#This Row],[Mouser SKU]])</f>
        <v>https://www.mouser.com/ProductDetail/485-556</v>
      </c>
      <c r="T576" s="152">
        <v>0</v>
      </c>
      <c r="U576" s="152">
        <v>0</v>
      </c>
      <c r="V576" s="152">
        <v>0</v>
      </c>
      <c r="W576" s="152">
        <f>MouserListTable[[#This Row],['#/Unit]]*FilterSpecs!$C$3+MouserListTable[[#This Row],[Extra]]</f>
        <v>0</v>
      </c>
      <c r="X576" s="152">
        <f>IF(MouserListTable[[#This Row],[Tag]]=FilterSpecs!$F$7,MouserListTable[[#This Row],['#/Unit]]*MouserListTable[[#This Row],[Price (USD)]],0)</f>
        <v>0</v>
      </c>
      <c r="Y576" s="152">
        <f>MouserListTable[[#This Row],[Tot '#]]*MouserListTable[[#This Row],[Price (USD)]]</f>
        <v>0</v>
      </c>
    </row>
    <row r="577" spans="1:25" x14ac:dyDescent="0.25">
      <c r="A577" s="151" t="s">
        <v>890</v>
      </c>
      <c r="B577" s="151" t="s">
        <v>2001</v>
      </c>
      <c r="C577" s="150" t="s">
        <v>1884</v>
      </c>
      <c r="D577" s="151" t="str">
        <f>IF(MouserListTable[[#This Row],[Vendor]]=FilterSpecs!$A$8,MouserListTable[[#This Row],[Mouser SKU]], MouserListTable[[#This Row],[Supplier SKU]])</f>
        <v>485-370</v>
      </c>
      <c r="E577" s="152">
        <f>MouserListTable[[#This Row],[Tot '#]]-MouserListTable[[#This Row],['# Initial]]</f>
        <v>0</v>
      </c>
      <c r="F577" s="152">
        <f>IF(AND(MouserListTable[[#This Row],[Tag]]&lt;&gt;FilterSpecs!$F$12, MouserListTable[[#This Row],[Tag]]&lt;&gt;FilterSpecs!$F$9), MouserListTable[[#This Row],['#/Unit]]*FilterSpecs!$B$3+MouserListTable[[#This Row],[Extra Initial]],0)</f>
        <v>0</v>
      </c>
      <c r="G577" s="150"/>
      <c r="H577" s="150"/>
      <c r="I577" s="150" t="s">
        <v>2211</v>
      </c>
      <c r="J577" s="153"/>
      <c r="K577" s="118">
        <v>2</v>
      </c>
      <c r="L577" s="153" t="s">
        <v>1896</v>
      </c>
      <c r="M577" s="153"/>
      <c r="N577" s="154">
        <f>MouserListTable[[#This Row],['# Initial]]*MouserListTable[[#This Row],[Price (USD)]]</f>
        <v>0</v>
      </c>
      <c r="O577" s="151" t="s">
        <v>2210</v>
      </c>
      <c r="P577" s="150">
        <f t="shared" si="9"/>
        <v>564</v>
      </c>
      <c r="Q577" s="150" t="s">
        <v>1884</v>
      </c>
      <c r="R57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485-370</v>
      </c>
      <c r="S577" s="157" t="str">
        <f>HYPERLINK("https://www.mouser.com/ProductDetail/" &amp;MouserListTable[[#This Row],[Mouser SKU]])</f>
        <v>https://www.mouser.com/ProductDetail/485-370</v>
      </c>
      <c r="T577" s="152">
        <v>0</v>
      </c>
      <c r="U577" s="152">
        <v>0</v>
      </c>
      <c r="V577" s="152">
        <v>0</v>
      </c>
      <c r="W577" s="152">
        <f>MouserListTable[[#This Row],['#/Unit]]*FilterSpecs!$C$3+MouserListTable[[#This Row],[Extra]]</f>
        <v>0</v>
      </c>
      <c r="X577" s="152">
        <f>IF(MouserListTable[[#This Row],[Tag]]=FilterSpecs!$F$7,MouserListTable[[#This Row],['#/Unit]]*MouserListTable[[#This Row],[Price (USD)]],0)</f>
        <v>0</v>
      </c>
      <c r="Y577" s="152">
        <f>MouserListTable[[#This Row],[Tot '#]]*MouserListTable[[#This Row],[Price (USD)]]</f>
        <v>0</v>
      </c>
    </row>
    <row r="578" spans="1:25" x14ac:dyDescent="0.25">
      <c r="A578" s="98" t="s">
        <v>890</v>
      </c>
      <c r="B578" s="153" t="s">
        <v>2001</v>
      </c>
      <c r="C578" s="150" t="s">
        <v>1884</v>
      </c>
      <c r="D578" s="151" t="str">
        <f>IF(MouserListTable[[#This Row],[Vendor]]=FilterSpecs!$A$8,MouserListTable[[#This Row],[Mouser SKU]], MouserListTable[[#This Row],[Supplier SKU]])</f>
        <v>485-1199</v>
      </c>
      <c r="E578" s="152">
        <f>MouserListTable[[#This Row],[Tot '#]]-MouserListTable[[#This Row],['# Initial]]</f>
        <v>0</v>
      </c>
      <c r="F578" s="152">
        <f>IF(AND(MouserListTable[[#This Row],[Tag]]&lt;&gt;FilterSpecs!$F$12, MouserListTable[[#This Row],[Tag]]&lt;&gt;FilterSpecs!$F$9), MouserListTable[[#This Row],['#/Unit]]*FilterSpecs!$B$3+MouserListTable[[#This Row],[Extra Initial]],0)</f>
        <v>0</v>
      </c>
      <c r="G578" s="150"/>
      <c r="H578" s="150"/>
      <c r="I578" s="150" t="s">
        <v>2430</v>
      </c>
      <c r="J578" s="113">
        <v>104</v>
      </c>
      <c r="K578" s="119">
        <v>3.95</v>
      </c>
      <c r="L578" s="97" t="s">
        <v>1896</v>
      </c>
      <c r="M578" s="153"/>
      <c r="N578" s="154">
        <f>MouserListTable[[#This Row],['# Initial]]*MouserListTable[[#This Row],[Price (USD)]]</f>
        <v>0</v>
      </c>
      <c r="O578" s="113" t="s">
        <v>2431</v>
      </c>
      <c r="P578" s="150">
        <f t="shared" si="9"/>
        <v>565</v>
      </c>
      <c r="Q578" s="150" t="s">
        <v>1884</v>
      </c>
      <c r="R57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485-1199</v>
      </c>
      <c r="S578" s="157" t="str">
        <f>HYPERLINK("https://www.mouser.com/ProductDetail/" &amp;MouserListTable[[#This Row],[Mouser SKU]])</f>
        <v>https://www.mouser.com/ProductDetail/485-1199</v>
      </c>
      <c r="T578" s="152">
        <v>0</v>
      </c>
      <c r="U578" s="152">
        <v>0</v>
      </c>
      <c r="V578" s="152">
        <v>0</v>
      </c>
      <c r="W578" s="152">
        <f>MouserListTable[[#This Row],['#/Unit]]*FilterSpecs!$C$3+MouserListTable[[#This Row],[Extra]]</f>
        <v>0</v>
      </c>
      <c r="X578" s="152">
        <f>IF(MouserListTable[[#This Row],[Tag]]=FilterSpecs!$F$7,MouserListTable[[#This Row],['#/Unit]]*MouserListTable[[#This Row],[Price (USD)]],0)</f>
        <v>0</v>
      </c>
      <c r="Y578" s="152">
        <f>MouserListTable[[#This Row],[Tot '#]]*MouserListTable[[#This Row],[Price (USD)]]</f>
        <v>0</v>
      </c>
    </row>
    <row r="579" spans="1:25" x14ac:dyDescent="0.25">
      <c r="A579" s="153" t="s">
        <v>890</v>
      </c>
      <c r="B579" s="153" t="s">
        <v>2001</v>
      </c>
      <c r="C579" s="150" t="s">
        <v>5</v>
      </c>
      <c r="D579" s="151" t="str">
        <f>IF(MouserListTable[[#This Row],[Vendor]]=FilterSpecs!$A$8,MouserListTable[[#This Row],[Mouser SKU]], MouserListTable[[#This Row],[Supplier SKU]])</f>
        <v>474-PRT-08535</v>
      </c>
      <c r="E579" s="152">
        <f>MouserListTable[[#This Row],[Tot '#]]-MouserListTable[[#This Row],['# Initial]]</f>
        <v>0</v>
      </c>
      <c r="F579" s="152">
        <f>IF(AND(MouserListTable[[#This Row],[Tag]]&lt;&gt;FilterSpecs!$F$12, MouserListTable[[#This Row],[Tag]]&lt;&gt;FilterSpecs!$F$9), MouserListTable[[#This Row],['#/Unit]]*FilterSpecs!$B$3+MouserListTable[[#This Row],[Extra Initial]],0)</f>
        <v>0</v>
      </c>
      <c r="G579" s="150" t="s">
        <v>1518</v>
      </c>
      <c r="H579" s="150" t="s">
        <v>1519</v>
      </c>
      <c r="I579" s="150" t="s">
        <v>1520</v>
      </c>
      <c r="J579" s="150">
        <v>1</v>
      </c>
      <c r="K579" s="154">
        <v>1.5</v>
      </c>
      <c r="L579" s="151" t="s">
        <v>1896</v>
      </c>
      <c r="M579" s="150"/>
      <c r="N579" s="154">
        <f>MouserListTable[[#This Row],['# Initial]]*MouserListTable[[#This Row],[Price (USD)]]</f>
        <v>0</v>
      </c>
      <c r="O579" s="151" t="s">
        <v>1517</v>
      </c>
      <c r="P579" s="150">
        <f t="shared" si="9"/>
        <v>566</v>
      </c>
      <c r="Q579" s="150" t="s">
        <v>5</v>
      </c>
      <c r="R57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474-PRT-08535</v>
      </c>
      <c r="S579" s="157" t="str">
        <f>HYPERLINK("https://www.mouser.com/ProductDetail/" &amp;MouserListTable[[#This Row],[Mouser SKU]])</f>
        <v>https://www.mouser.com/ProductDetail/474-PRT-08535</v>
      </c>
      <c r="T579" s="152">
        <v>0</v>
      </c>
      <c r="U579" s="152">
        <v>0</v>
      </c>
      <c r="V579" s="152">
        <v>0</v>
      </c>
      <c r="W579" s="152">
        <f>MouserListTable[[#This Row],['#/Unit]]*FilterSpecs!$C$3+MouserListTable[[#This Row],[Extra]]</f>
        <v>0</v>
      </c>
      <c r="X579" s="152">
        <f>IF(MouserListTable[[#This Row],[Tag]]=FilterSpecs!$F$7,MouserListTable[[#This Row],['#/Unit]]*MouserListTable[[#This Row],[Price (USD)]],0)</f>
        <v>0</v>
      </c>
      <c r="Y579" s="152">
        <f>MouserListTable[[#This Row],[Tot '#]]*MouserListTable[[#This Row],[Price (USD)]]</f>
        <v>0</v>
      </c>
    </row>
    <row r="580" spans="1:25" x14ac:dyDescent="0.25">
      <c r="A580" s="98" t="s">
        <v>890</v>
      </c>
      <c r="B580" s="98" t="s">
        <v>2001</v>
      </c>
      <c r="C580" s="150" t="s">
        <v>1884</v>
      </c>
      <c r="D580" s="151" t="str">
        <f>IF(MouserListTable[[#This Row],[Vendor]]=FilterSpecs!$A$8,MouserListTable[[#This Row],[Mouser SKU]], MouserListTable[[#This Row],[Supplier SKU]])</f>
        <v>485-1675</v>
      </c>
      <c r="E580" s="152">
        <f>MouserListTable[[#This Row],[Tot '#]]-MouserListTable[[#This Row],['# Initial]]</f>
        <v>0</v>
      </c>
      <c r="F580" s="152">
        <f>IF(AND(MouserListTable[[#This Row],[Tag]]&lt;&gt;FilterSpecs!$F$12, MouserListTable[[#This Row],[Tag]]&lt;&gt;FilterSpecs!$F$9), MouserListTable[[#This Row],['#/Unit]]*FilterSpecs!$B$3+MouserListTable[[#This Row],[Extra Initial]],0)</f>
        <v>0</v>
      </c>
      <c r="G580" s="150"/>
      <c r="H580" s="150"/>
      <c r="I580" s="150" t="s">
        <v>2428</v>
      </c>
      <c r="J580" s="113">
        <v>103</v>
      </c>
      <c r="K580" s="119">
        <v>2.95</v>
      </c>
      <c r="L580" s="97" t="s">
        <v>1896</v>
      </c>
      <c r="M580" s="153"/>
      <c r="N580" s="154">
        <f>MouserListTable[[#This Row],['# Initial]]*MouserListTable[[#This Row],[Price (USD)]]</f>
        <v>0</v>
      </c>
      <c r="O580" s="113" t="s">
        <v>2429</v>
      </c>
      <c r="P580" s="150">
        <f t="shared" si="9"/>
        <v>567</v>
      </c>
      <c r="Q580" s="150" t="s">
        <v>1884</v>
      </c>
      <c r="R58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485-1675</v>
      </c>
      <c r="S580" s="157" t="str">
        <f>HYPERLINK("https://www.mouser.com/ProductDetail/" &amp;MouserListTable[[#This Row],[Mouser SKU]])</f>
        <v>https://www.mouser.com/ProductDetail/485-1675</v>
      </c>
      <c r="T580" s="152">
        <v>0</v>
      </c>
      <c r="U580" s="152">
        <v>0</v>
      </c>
      <c r="V580" s="152">
        <v>0</v>
      </c>
      <c r="W580" s="152">
        <f>MouserListTable[[#This Row],['#/Unit]]*FilterSpecs!$C$3+MouserListTable[[#This Row],[Extra]]</f>
        <v>0</v>
      </c>
      <c r="X580" s="152">
        <f>IF(MouserListTable[[#This Row],[Tag]]=FilterSpecs!$F$7,MouserListTable[[#This Row],['#/Unit]]*MouserListTable[[#This Row],[Price (USD)]],0)</f>
        <v>0</v>
      </c>
      <c r="Y580" s="152">
        <f>MouserListTable[[#This Row],[Tot '#]]*MouserListTable[[#This Row],[Price (USD)]]</f>
        <v>0</v>
      </c>
    </row>
    <row r="581" spans="1:25" x14ac:dyDescent="0.25">
      <c r="A581" s="97" t="s">
        <v>890</v>
      </c>
      <c r="B581" s="97" t="s">
        <v>2010</v>
      </c>
      <c r="C581" s="150" t="s">
        <v>5</v>
      </c>
      <c r="D581" s="151" t="str">
        <f>IF(MouserListTable[[#This Row],[Vendor]]=FilterSpecs!$A$8,MouserListTable[[#This Row],[Mouser SKU]], MouserListTable[[#This Row],[Supplier SKU]])</f>
        <v>474-COM-09939</v>
      </c>
      <c r="E581" s="152">
        <f>MouserListTable[[#This Row],[Tot '#]]-MouserListTable[[#This Row],['# Initial]]</f>
        <v>0</v>
      </c>
      <c r="F581" s="152">
        <f>IF(AND(MouserListTable[[#This Row],[Tag]]&lt;&gt;FilterSpecs!$F$12, MouserListTable[[#This Row],[Tag]]&lt;&gt;FilterSpecs!$F$9), MouserListTable[[#This Row],['#/Unit]]*FilterSpecs!$B$3+MouserListTable[[#This Row],[Extra Initial]],0)</f>
        <v>0</v>
      </c>
      <c r="G581" s="150" t="s">
        <v>993</v>
      </c>
      <c r="H581" s="150" t="s">
        <v>994</v>
      </c>
      <c r="I581" s="150" t="s">
        <v>995</v>
      </c>
      <c r="J581" s="150"/>
      <c r="K581" s="154">
        <v>0.95</v>
      </c>
      <c r="L581" s="150" t="s">
        <v>1896</v>
      </c>
      <c r="M581" s="150"/>
      <c r="N581" s="154">
        <f>MouserListTable[[#This Row],['# Initial]]*MouserListTable[[#This Row],[Price (USD)]]</f>
        <v>0</v>
      </c>
      <c r="O581" s="151" t="s">
        <v>992</v>
      </c>
      <c r="P581" s="150">
        <f t="shared" si="9"/>
        <v>568</v>
      </c>
      <c r="Q581" s="150" t="s">
        <v>5</v>
      </c>
      <c r="R58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474-COM-09939</v>
      </c>
      <c r="S581" s="157" t="str">
        <f>HYPERLINK("https://www.mouser.com/ProductDetail/" &amp;MouserListTable[[#This Row],[Mouser SKU]])</f>
        <v>https://www.mouser.com/ProductDetail/474-COM-09939</v>
      </c>
      <c r="T581" s="152">
        <v>0</v>
      </c>
      <c r="U581" s="152">
        <v>0</v>
      </c>
      <c r="V581" s="152">
        <v>0</v>
      </c>
      <c r="W581" s="152">
        <f>MouserListTable[[#This Row],['#/Unit]]*FilterSpecs!$C$3+MouserListTable[[#This Row],[Extra]]</f>
        <v>0</v>
      </c>
      <c r="X581" s="152">
        <f>IF(MouserListTable[[#This Row],[Tag]]=FilterSpecs!$F$7,MouserListTable[[#This Row],['#/Unit]]*MouserListTable[[#This Row],[Price (USD)]],0)</f>
        <v>0</v>
      </c>
      <c r="Y581" s="152">
        <f>MouserListTable[[#This Row],[Tot '#]]*MouserListTable[[#This Row],[Price (USD)]]</f>
        <v>0</v>
      </c>
    </row>
    <row r="582" spans="1:25" x14ac:dyDescent="0.25">
      <c r="A582" s="97" t="s">
        <v>890</v>
      </c>
      <c r="B582" s="97" t="s">
        <v>2010</v>
      </c>
      <c r="C582" s="150" t="s">
        <v>5</v>
      </c>
      <c r="D582" s="151" t="str">
        <f>IF(MouserListTable[[#This Row],[Vendor]]=FilterSpecs!$A$8,MouserListTable[[#This Row],[Mouser SKU]], MouserListTable[[#This Row],[Supplier SKU]])</f>
        <v>474-COM-09940</v>
      </c>
      <c r="E582" s="152">
        <f>MouserListTable[[#This Row],[Tot '#]]-MouserListTable[[#This Row],['# Initial]]</f>
        <v>0</v>
      </c>
      <c r="F582" s="152">
        <f>IF(AND(MouserListTable[[#This Row],[Tag]]&lt;&gt;FilterSpecs!$F$12, MouserListTable[[#This Row],[Tag]]&lt;&gt;FilterSpecs!$F$9), MouserListTable[[#This Row],['#/Unit]]*FilterSpecs!$B$3+MouserListTable[[#This Row],[Extra Initial]],0)</f>
        <v>0</v>
      </c>
      <c r="G582" s="150" t="s">
        <v>989</v>
      </c>
      <c r="H582" s="150" t="s">
        <v>990</v>
      </c>
      <c r="I582" s="150" t="s">
        <v>991</v>
      </c>
      <c r="J582" s="150">
        <v>1</v>
      </c>
      <c r="K582" s="154">
        <v>0.95</v>
      </c>
      <c r="L582" s="150" t="s">
        <v>1896</v>
      </c>
      <c r="M582" s="150"/>
      <c r="N582" s="154">
        <f>MouserListTable[[#This Row],['# Initial]]*MouserListTable[[#This Row],[Price (USD)]]</f>
        <v>0</v>
      </c>
      <c r="O582" s="151" t="s">
        <v>988</v>
      </c>
      <c r="P582" s="150">
        <f t="shared" si="9"/>
        <v>569</v>
      </c>
      <c r="Q582" s="150" t="s">
        <v>5</v>
      </c>
      <c r="R58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474-COM-09940</v>
      </c>
      <c r="S582" s="157" t="str">
        <f>HYPERLINK("https://www.mouser.com/ProductDetail/" &amp;MouserListTable[[#This Row],[Mouser SKU]])</f>
        <v>https://www.mouser.com/ProductDetail/474-COM-09940</v>
      </c>
      <c r="T582" s="152">
        <v>0</v>
      </c>
      <c r="U582" s="152">
        <v>0</v>
      </c>
      <c r="V582" s="152">
        <v>0</v>
      </c>
      <c r="W582" s="152">
        <f>MouserListTable[[#This Row],['#/Unit]]*FilterSpecs!$C$3+MouserListTable[[#This Row],[Extra]]</f>
        <v>0</v>
      </c>
      <c r="X582" s="152">
        <f>IF(MouserListTable[[#This Row],[Tag]]=FilterSpecs!$F$7,MouserListTable[[#This Row],['#/Unit]]*MouserListTable[[#This Row],[Price (USD)]],0)</f>
        <v>0</v>
      </c>
      <c r="Y582" s="152">
        <f>MouserListTable[[#This Row],[Tot '#]]*MouserListTable[[#This Row],[Price (USD)]]</f>
        <v>0</v>
      </c>
    </row>
    <row r="583" spans="1:25" x14ac:dyDescent="0.25">
      <c r="A583" s="150" t="s">
        <v>890</v>
      </c>
      <c r="B583" s="150" t="s">
        <v>2010</v>
      </c>
      <c r="C583" s="150" t="s">
        <v>5</v>
      </c>
      <c r="D583" s="151" t="str">
        <f>IF(MouserListTable[[#This Row],[Vendor]]=FilterSpecs!$A$8,MouserListTable[[#This Row],[Mouser SKU]], MouserListTable[[#This Row],[Supplier SKU]])</f>
        <v>474-COM-09288</v>
      </c>
      <c r="E583" s="152">
        <f>MouserListTable[[#This Row],[Tot '#]]-MouserListTable[[#This Row],['# Initial]]</f>
        <v>0</v>
      </c>
      <c r="F583" s="152">
        <f>IF(AND(MouserListTable[[#This Row],[Tag]]&lt;&gt;FilterSpecs!$F$12, MouserListTable[[#This Row],[Tag]]&lt;&gt;FilterSpecs!$F$9), MouserListTable[[#This Row],['#/Unit]]*FilterSpecs!$B$3+MouserListTable[[#This Row],[Extra Initial]],0)</f>
        <v>5</v>
      </c>
      <c r="G583" s="150" t="s">
        <v>997</v>
      </c>
      <c r="H583" s="150" t="s">
        <v>998</v>
      </c>
      <c r="I583" s="150" t="s">
        <v>999</v>
      </c>
      <c r="J583" s="150">
        <v>1</v>
      </c>
      <c r="K583" s="154">
        <v>0.95</v>
      </c>
      <c r="L583" s="151" t="s">
        <v>1897</v>
      </c>
      <c r="M583" s="150"/>
      <c r="N583" s="154">
        <f>MouserListTable[[#This Row],['# Initial]]*MouserListTable[[#This Row],[Price (USD)]]</f>
        <v>4.75</v>
      </c>
      <c r="O583" s="151" t="s">
        <v>996</v>
      </c>
      <c r="P583" s="150">
        <f t="shared" si="9"/>
        <v>570</v>
      </c>
      <c r="Q583" s="150" t="s">
        <v>5</v>
      </c>
      <c r="R58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474-COM-09288</v>
      </c>
      <c r="S583" s="157" t="str">
        <f>HYPERLINK("https://www.mouser.com/ProductDetail/" &amp;MouserListTable[[#This Row],[Mouser SKU]])</f>
        <v>https://www.mouser.com/ProductDetail/474-COM-09288</v>
      </c>
      <c r="T583" s="152">
        <v>1</v>
      </c>
      <c r="U583" s="152">
        <v>0</v>
      </c>
      <c r="V583" s="152">
        <v>0</v>
      </c>
      <c r="W583" s="152">
        <f>MouserListTable[[#This Row],['#/Unit]]*FilterSpecs!$C$3+MouserListTable[[#This Row],[Extra]]</f>
        <v>5</v>
      </c>
      <c r="X583" s="152">
        <f>IF(MouserListTable[[#This Row],[Tag]]=FilterSpecs!$F$7,MouserListTable[[#This Row],['#/Unit]]*MouserListTable[[#This Row],[Price (USD)]],0)</f>
        <v>0.95</v>
      </c>
      <c r="Y583" s="152">
        <f>MouserListTable[[#This Row],[Tot '#]]*MouserListTable[[#This Row],[Price (USD)]]</f>
        <v>4.75</v>
      </c>
    </row>
    <row r="584" spans="1:25" x14ac:dyDescent="0.25">
      <c r="A584" s="150" t="s">
        <v>890</v>
      </c>
      <c r="B584" s="150" t="s">
        <v>2010</v>
      </c>
      <c r="C584" s="150" t="s">
        <v>1884</v>
      </c>
      <c r="D584" s="151" t="str">
        <f>IF(MouserListTable[[#This Row],[Vendor]]=FilterSpecs!$A$8,MouserListTable[[#This Row],[Mouser SKU]], MouserListTable[[#This Row],[Supplier SKU]])</f>
        <v>485-3392</v>
      </c>
      <c r="E584" s="152">
        <f>MouserListTable[[#This Row],[Tot '#]]-MouserListTable[[#This Row],['# Initial]]</f>
        <v>0</v>
      </c>
      <c r="F584" s="152">
        <f>IF(AND(MouserListTable[[#This Row],[Tag]]&lt;&gt;FilterSpecs!$F$12, MouserListTable[[#This Row],[Tag]]&lt;&gt;FilterSpecs!$F$9), MouserListTable[[#This Row],['#/Unit]]*FilterSpecs!$B$3+MouserListTable[[#This Row],[Extra Initial]],0)</f>
        <v>0</v>
      </c>
      <c r="G584" s="150"/>
      <c r="H584" s="150"/>
      <c r="I584" s="150" t="s">
        <v>2215</v>
      </c>
      <c r="J584" s="153"/>
      <c r="K584" s="118">
        <v>1.5</v>
      </c>
      <c r="L584" s="97" t="s">
        <v>1896</v>
      </c>
      <c r="M584" s="153"/>
      <c r="N584" s="154">
        <f>MouserListTable[[#This Row],['# Initial]]*MouserListTable[[#This Row],[Price (USD)]]</f>
        <v>0</v>
      </c>
      <c r="O584" s="151" t="s">
        <v>2214</v>
      </c>
      <c r="P584" s="150">
        <f t="shared" si="9"/>
        <v>571</v>
      </c>
      <c r="Q584" s="150" t="s">
        <v>1884</v>
      </c>
      <c r="R58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485-3392</v>
      </c>
      <c r="S584" s="157" t="str">
        <f>HYPERLINK("https://www.mouser.com/ProductDetail/" &amp;MouserListTable[[#This Row],[Mouser SKU]])</f>
        <v>https://www.mouser.com/ProductDetail/485-3392</v>
      </c>
      <c r="T584" s="152">
        <v>0</v>
      </c>
      <c r="U584" s="152">
        <v>0</v>
      </c>
      <c r="V584" s="152">
        <v>0</v>
      </c>
      <c r="W584" s="152">
        <f>MouserListTable[[#This Row],['#/Unit]]*FilterSpecs!$C$3+MouserListTable[[#This Row],[Extra]]</f>
        <v>0</v>
      </c>
      <c r="X584" s="152">
        <f>IF(MouserListTable[[#This Row],[Tag]]=FilterSpecs!$F$7,MouserListTable[[#This Row],['#/Unit]]*MouserListTable[[#This Row],[Price (USD)]],0)</f>
        <v>0</v>
      </c>
      <c r="Y584" s="152">
        <f>MouserListTable[[#This Row],[Tot '#]]*MouserListTable[[#This Row],[Price (USD)]]</f>
        <v>0</v>
      </c>
    </row>
    <row r="585" spans="1:25" x14ac:dyDescent="0.25">
      <c r="A585" s="150" t="s">
        <v>890</v>
      </c>
      <c r="B585" s="150" t="s">
        <v>2010</v>
      </c>
      <c r="C585" s="150" t="s">
        <v>1884</v>
      </c>
      <c r="D585" s="151" t="str">
        <f>IF(MouserListTable[[#This Row],[Vendor]]=FilterSpecs!$A$8,MouserListTable[[#This Row],[Mouser SKU]], MouserListTable[[#This Row],[Supplier SKU]])</f>
        <v>485-3393</v>
      </c>
      <c r="E585" s="152">
        <f>MouserListTable[[#This Row],[Tot '#]]-MouserListTable[[#This Row],['# Initial]]</f>
        <v>0</v>
      </c>
      <c r="F585" s="152">
        <f>IF(AND(MouserListTable[[#This Row],[Tag]]&lt;&gt;FilterSpecs!$F$12, MouserListTable[[#This Row],[Tag]]&lt;&gt;FilterSpecs!$F$9), MouserListTable[[#This Row],['#/Unit]]*FilterSpecs!$B$3+MouserListTable[[#This Row],[Extra Initial]],0)</f>
        <v>0</v>
      </c>
      <c r="G585" s="150"/>
      <c r="H585" s="150"/>
      <c r="I585" s="150" t="s">
        <v>2217</v>
      </c>
      <c r="J585" s="153"/>
      <c r="K585" s="118">
        <v>1.75</v>
      </c>
      <c r="L585" s="97" t="s">
        <v>1896</v>
      </c>
      <c r="M585" s="153"/>
      <c r="N585" s="154">
        <f>MouserListTable[[#This Row],['# Initial]]*MouserListTable[[#This Row],[Price (USD)]]</f>
        <v>0</v>
      </c>
      <c r="O585" s="151" t="s">
        <v>2216</v>
      </c>
      <c r="P585" s="150">
        <f t="shared" si="9"/>
        <v>572</v>
      </c>
      <c r="Q585" s="150" t="s">
        <v>1884</v>
      </c>
      <c r="R58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485-3393</v>
      </c>
      <c r="S585" s="157" t="str">
        <f>HYPERLINK("https://www.mouser.com/ProductDetail/" &amp;MouserListTable[[#This Row],[Mouser SKU]])</f>
        <v>https://www.mouser.com/ProductDetail/485-3393</v>
      </c>
      <c r="T585" s="152">
        <v>0</v>
      </c>
      <c r="U585" s="152">
        <v>0</v>
      </c>
      <c r="V585" s="152">
        <v>0</v>
      </c>
      <c r="W585" s="152">
        <f>MouserListTable[[#This Row],['#/Unit]]*FilterSpecs!$C$3+MouserListTable[[#This Row],[Extra]]</f>
        <v>0</v>
      </c>
      <c r="X585" s="152">
        <f>IF(MouserListTable[[#This Row],[Tag]]=FilterSpecs!$F$7,MouserListTable[[#This Row],['#/Unit]]*MouserListTable[[#This Row],[Price (USD)]],0)</f>
        <v>0</v>
      </c>
      <c r="Y585" s="152">
        <f>MouserListTable[[#This Row],[Tot '#]]*MouserListTable[[#This Row],[Price (USD)]]</f>
        <v>0</v>
      </c>
    </row>
    <row r="586" spans="1:25" x14ac:dyDescent="0.25">
      <c r="A586" s="150" t="s">
        <v>890</v>
      </c>
      <c r="B586" s="150" t="s">
        <v>2010</v>
      </c>
      <c r="C586" s="150" t="s">
        <v>1884</v>
      </c>
      <c r="D586" s="151" t="str">
        <f>IF(MouserListTable[[#This Row],[Vendor]]=FilterSpecs!$A$8,MouserListTable[[#This Row],[Mouser SKU]], MouserListTable[[#This Row],[Supplier SKU]])</f>
        <v>485-562</v>
      </c>
      <c r="E586" s="152">
        <f>MouserListTable[[#This Row],[Tot '#]]-MouserListTable[[#This Row],['# Initial]]</f>
        <v>0</v>
      </c>
      <c r="F586" s="152">
        <f>IF(AND(MouserListTable[[#This Row],[Tag]]&lt;&gt;FilterSpecs!$F$12, MouserListTable[[#This Row],[Tag]]&lt;&gt;FilterSpecs!$F$9), MouserListTable[[#This Row],['#/Unit]]*FilterSpecs!$B$3+MouserListTable[[#This Row],[Extra Initial]],0)</f>
        <v>0</v>
      </c>
      <c r="G586" s="150"/>
      <c r="H586" s="150"/>
      <c r="I586" s="150" t="s">
        <v>2219</v>
      </c>
      <c r="J586" s="153"/>
      <c r="K586" s="118">
        <v>0.95</v>
      </c>
      <c r="L586" s="97" t="s">
        <v>1896</v>
      </c>
      <c r="M586" s="153"/>
      <c r="N586" s="154">
        <f>MouserListTable[[#This Row],['# Initial]]*MouserListTable[[#This Row],[Price (USD)]]</f>
        <v>0</v>
      </c>
      <c r="O586" s="151" t="s">
        <v>2218</v>
      </c>
      <c r="P586" s="150">
        <f t="shared" si="9"/>
        <v>573</v>
      </c>
      <c r="Q586" s="150" t="s">
        <v>1884</v>
      </c>
      <c r="R58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485-562</v>
      </c>
      <c r="S586" s="157" t="str">
        <f>HYPERLINK("https://www.mouser.com/ProductDetail/" &amp;MouserListTable[[#This Row],[Mouser SKU]])</f>
        <v>https://www.mouser.com/ProductDetail/485-562</v>
      </c>
      <c r="T586" s="152">
        <v>0</v>
      </c>
      <c r="U586" s="152">
        <v>0</v>
      </c>
      <c r="V586" s="152">
        <v>0</v>
      </c>
      <c r="W586" s="152">
        <f>MouserListTable[[#This Row],['#/Unit]]*FilterSpecs!$C$3+MouserListTable[[#This Row],[Extra]]</f>
        <v>0</v>
      </c>
      <c r="X586" s="152">
        <f>IF(MouserListTable[[#This Row],[Tag]]=FilterSpecs!$F$7,MouserListTable[[#This Row],['#/Unit]]*MouserListTable[[#This Row],[Price (USD)]],0)</f>
        <v>0</v>
      </c>
      <c r="Y586" s="152">
        <f>MouserListTable[[#This Row],[Tot '#]]*MouserListTable[[#This Row],[Price (USD)]]</f>
        <v>0</v>
      </c>
    </row>
    <row r="587" spans="1:25" x14ac:dyDescent="0.25">
      <c r="A587" s="150" t="s">
        <v>890</v>
      </c>
      <c r="B587" s="150" t="s">
        <v>2010</v>
      </c>
      <c r="C587" s="150" t="s">
        <v>1884</v>
      </c>
      <c r="D587" s="151" t="str">
        <f>IF(MouserListTable[[#This Row],[Vendor]]=FilterSpecs!$A$8,MouserListTable[[#This Row],[Mouser SKU]], MouserListTable[[#This Row],[Supplier SKU]])</f>
        <v>485-1789</v>
      </c>
      <c r="E587" s="152">
        <f>MouserListTable[[#This Row],[Tot '#]]-MouserListTable[[#This Row],['# Initial]]</f>
        <v>0</v>
      </c>
      <c r="F587" s="152">
        <f>IF(AND(MouserListTable[[#This Row],[Tag]]&lt;&gt;FilterSpecs!$F$12, MouserListTable[[#This Row],[Tag]]&lt;&gt;FilterSpecs!$F$9), MouserListTable[[#This Row],['#/Unit]]*FilterSpecs!$B$3+MouserListTable[[#This Row],[Extra Initial]],0)</f>
        <v>0</v>
      </c>
      <c r="G587" s="150"/>
      <c r="H587" s="150"/>
      <c r="I587" s="150" t="s">
        <v>2221</v>
      </c>
      <c r="J587" s="153"/>
      <c r="K587" s="118">
        <v>0.95</v>
      </c>
      <c r="L587" s="97" t="s">
        <v>1896</v>
      </c>
      <c r="M587" s="153"/>
      <c r="N587" s="154">
        <f>MouserListTable[[#This Row],['# Initial]]*MouserListTable[[#This Row],[Price (USD)]]</f>
        <v>0</v>
      </c>
      <c r="O587" s="151" t="s">
        <v>2220</v>
      </c>
      <c r="P587" s="150">
        <f t="shared" si="9"/>
        <v>574</v>
      </c>
      <c r="Q587" s="150" t="s">
        <v>1884</v>
      </c>
      <c r="R58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485-1789</v>
      </c>
      <c r="S587" s="157" t="str">
        <f>HYPERLINK("https://www.mouser.com/ProductDetail/" &amp;MouserListTable[[#This Row],[Mouser SKU]])</f>
        <v>https://www.mouser.com/ProductDetail/485-1789</v>
      </c>
      <c r="T587" s="152">
        <v>0</v>
      </c>
      <c r="U587" s="152">
        <v>0</v>
      </c>
      <c r="V587" s="152">
        <v>0</v>
      </c>
      <c r="W587" s="152">
        <f>MouserListTable[[#This Row],['#/Unit]]*FilterSpecs!$C$3+MouserListTable[[#This Row],[Extra]]</f>
        <v>0</v>
      </c>
      <c r="X587" s="152">
        <f>IF(MouserListTable[[#This Row],[Tag]]=FilterSpecs!$F$7,MouserListTable[[#This Row],['#/Unit]]*MouserListTable[[#This Row],[Price (USD)]],0)</f>
        <v>0</v>
      </c>
      <c r="Y587" s="152">
        <f>MouserListTable[[#This Row],[Tot '#]]*MouserListTable[[#This Row],[Price (USD)]]</f>
        <v>0</v>
      </c>
    </row>
    <row r="588" spans="1:25" x14ac:dyDescent="0.25">
      <c r="A588" s="150" t="s">
        <v>890</v>
      </c>
      <c r="B588" s="150" t="s">
        <v>2010</v>
      </c>
      <c r="C588" s="150" t="s">
        <v>1884</v>
      </c>
      <c r="D588" s="151" t="str">
        <f>IF(MouserListTable[[#This Row],[Vendor]]=FilterSpecs!$A$8,MouserListTable[[#This Row],[Mouser SKU]], MouserListTable[[#This Row],[Supplier SKU]])</f>
        <v>485-3395</v>
      </c>
      <c r="E588" s="152">
        <f>MouserListTable[[#This Row],[Tot '#]]-MouserListTable[[#This Row],['# Initial]]</f>
        <v>0</v>
      </c>
      <c r="F588" s="152">
        <f>IF(AND(MouserListTable[[#This Row],[Tag]]&lt;&gt;FilterSpecs!$F$12, MouserListTable[[#This Row],[Tag]]&lt;&gt;FilterSpecs!$F$9), MouserListTable[[#This Row],['#/Unit]]*FilterSpecs!$B$3+MouserListTable[[#This Row],[Extra Initial]],0)</f>
        <v>5</v>
      </c>
      <c r="G588" s="150"/>
      <c r="H588" s="150"/>
      <c r="I588" s="150" t="s">
        <v>2223</v>
      </c>
      <c r="J588" s="153"/>
      <c r="K588" s="154">
        <v>1.5</v>
      </c>
      <c r="L588" s="151" t="s">
        <v>1897</v>
      </c>
      <c r="M588" s="151"/>
      <c r="N588" s="154">
        <f>MouserListTable[[#This Row],['# Initial]]*MouserListTable[[#This Row],[Price (USD)]]</f>
        <v>7.5</v>
      </c>
      <c r="O588" s="151" t="s">
        <v>2222</v>
      </c>
      <c r="P588" s="150">
        <f t="shared" si="9"/>
        <v>575</v>
      </c>
      <c r="Q588" s="150" t="s">
        <v>1884</v>
      </c>
      <c r="R58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485-3395</v>
      </c>
      <c r="S588" s="157" t="str">
        <f>HYPERLINK("https://www.mouser.com/ProductDetail/" &amp;MouserListTable[[#This Row],[Mouser SKU]])</f>
        <v>https://www.mouser.com/ProductDetail/485-3395</v>
      </c>
      <c r="T588" s="152">
        <v>1</v>
      </c>
      <c r="U588" s="152">
        <v>0</v>
      </c>
      <c r="V588" s="152">
        <v>0</v>
      </c>
      <c r="W588" s="152">
        <f>MouserListTable[[#This Row],['#/Unit]]*FilterSpecs!$C$3+MouserListTable[[#This Row],[Extra]]</f>
        <v>5</v>
      </c>
      <c r="X588" s="152">
        <f>IF(MouserListTable[[#This Row],[Tag]]=FilterSpecs!$F$7,MouserListTable[[#This Row],['#/Unit]]*MouserListTable[[#This Row],[Price (USD)]],0)</f>
        <v>1.5</v>
      </c>
      <c r="Y588" s="152">
        <f>MouserListTable[[#This Row],[Tot '#]]*MouserListTable[[#This Row],[Price (USD)]]</f>
        <v>7.5</v>
      </c>
    </row>
    <row r="589" spans="1:25" x14ac:dyDescent="0.25">
      <c r="A589" s="97" t="s">
        <v>890</v>
      </c>
      <c r="B589" s="97" t="s">
        <v>2010</v>
      </c>
      <c r="C589" s="150" t="s">
        <v>5</v>
      </c>
      <c r="D589" s="151" t="str">
        <f>IF(MouserListTable[[#This Row],[Vendor]]=FilterSpecs!$A$8,MouserListTable[[#This Row],[Mouser SKU]], MouserListTable[[#This Row],[Supplier SKU]])</f>
        <v>474-COM-09117</v>
      </c>
      <c r="E589" s="152">
        <f>MouserListTable[[#This Row],[Tot '#]]-MouserListTable[[#This Row],['# Initial]]</f>
        <v>0</v>
      </c>
      <c r="F589" s="152">
        <f>IF(AND(MouserListTable[[#This Row],[Tag]]&lt;&gt;FilterSpecs!$F$12, MouserListTable[[#This Row],[Tag]]&lt;&gt;FilterSpecs!$F$9), MouserListTable[[#This Row],['#/Unit]]*FilterSpecs!$B$3+MouserListTable[[#This Row],[Extra Initial]],0)</f>
        <v>0</v>
      </c>
      <c r="G589" s="150" t="s">
        <v>1001</v>
      </c>
      <c r="H589" s="150" t="s">
        <v>1002</v>
      </c>
      <c r="I589" s="150" t="s">
        <v>1003</v>
      </c>
      <c r="J589" s="150">
        <v>1</v>
      </c>
      <c r="K589" s="154">
        <v>2.95</v>
      </c>
      <c r="L589" s="150" t="s">
        <v>1896</v>
      </c>
      <c r="M589" s="150"/>
      <c r="N589" s="154">
        <f>MouserListTable[[#This Row],['# Initial]]*MouserListTable[[#This Row],[Price (USD)]]</f>
        <v>0</v>
      </c>
      <c r="O589" s="151" t="s">
        <v>1000</v>
      </c>
      <c r="P589" s="150">
        <f t="shared" si="9"/>
        <v>576</v>
      </c>
      <c r="Q589" s="150" t="s">
        <v>5</v>
      </c>
      <c r="R58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474-COM-09117</v>
      </c>
      <c r="S589" s="157" t="str">
        <f>HYPERLINK("https://www.mouser.com/ProductDetail/" &amp;MouserListTable[[#This Row],[Mouser SKU]])</f>
        <v>https://www.mouser.com/ProductDetail/474-COM-09117</v>
      </c>
      <c r="T589" s="152">
        <v>0</v>
      </c>
      <c r="U589" s="152">
        <v>0</v>
      </c>
      <c r="V589" s="152">
        <v>0</v>
      </c>
      <c r="W589" s="152">
        <f>MouserListTable[[#This Row],['#/Unit]]*FilterSpecs!$C$3+MouserListTable[[#This Row],[Extra]]</f>
        <v>0</v>
      </c>
      <c r="X589" s="152">
        <f>IF(MouserListTable[[#This Row],[Tag]]=FilterSpecs!$F$7,MouserListTable[[#This Row],['#/Unit]]*MouserListTable[[#This Row],[Price (USD)]],0)</f>
        <v>0</v>
      </c>
      <c r="Y589" s="152">
        <f>MouserListTable[[#This Row],[Tot '#]]*MouserListTable[[#This Row],[Price (USD)]]</f>
        <v>0</v>
      </c>
    </row>
    <row r="590" spans="1:25" x14ac:dyDescent="0.25">
      <c r="A590" s="97" t="s">
        <v>890</v>
      </c>
      <c r="B590" s="97" t="s">
        <v>2010</v>
      </c>
      <c r="C590" s="150" t="s">
        <v>5</v>
      </c>
      <c r="D590" s="151" t="str">
        <f>IF(MouserListTable[[#This Row],[Vendor]]=FilterSpecs!$A$8,MouserListTable[[#This Row],[Mouser SKU]], MouserListTable[[#This Row],[Supplier SKU]])</f>
        <v>474-COM-10596</v>
      </c>
      <c r="E590" s="152">
        <f>MouserListTable[[#This Row],[Tot '#]]-MouserListTable[[#This Row],['# Initial]]</f>
        <v>0</v>
      </c>
      <c r="F590" s="152">
        <f>IF(AND(MouserListTable[[#This Row],[Tag]]&lt;&gt;FilterSpecs!$F$12, MouserListTable[[#This Row],[Tag]]&lt;&gt;FilterSpecs!$F$9), MouserListTable[[#This Row],['#/Unit]]*FilterSpecs!$B$3+MouserListTable[[#This Row],[Extra Initial]],0)</f>
        <v>0</v>
      </c>
      <c r="G590" s="150" t="s">
        <v>1692</v>
      </c>
      <c r="H590" s="150" t="s">
        <v>1693</v>
      </c>
      <c r="I590" s="150" t="s">
        <v>1694</v>
      </c>
      <c r="J590" s="150">
        <v>1</v>
      </c>
      <c r="K590" s="154">
        <v>2.95</v>
      </c>
      <c r="L590" s="150" t="s">
        <v>1899</v>
      </c>
      <c r="M590" s="150"/>
      <c r="N590" s="154">
        <f>MouserListTable[[#This Row],['# Initial]]*MouserListTable[[#This Row],[Price (USD)]]</f>
        <v>0</v>
      </c>
      <c r="O590" s="151" t="s">
        <v>1691</v>
      </c>
      <c r="P590" s="150">
        <f t="shared" ref="P590:P647" si="10">IF($P589="List #",1,$P589+1)</f>
        <v>577</v>
      </c>
      <c r="Q590" s="150" t="s">
        <v>5</v>
      </c>
      <c r="R59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474-COM-10596</v>
      </c>
      <c r="S590" s="157" t="str">
        <f>HYPERLINK("https://www.mouser.com/ProductDetail/" &amp;MouserListTable[[#This Row],[Mouser SKU]])</f>
        <v>https://www.mouser.com/ProductDetail/474-COM-10596</v>
      </c>
      <c r="T590" s="152">
        <v>0</v>
      </c>
      <c r="U590" s="152">
        <v>0</v>
      </c>
      <c r="V590" s="152">
        <v>0</v>
      </c>
      <c r="W590" s="152">
        <f>MouserListTable[[#This Row],['#/Unit]]*FilterSpecs!$C$3+MouserListTable[[#This Row],[Extra]]</f>
        <v>0</v>
      </c>
      <c r="X590" s="152">
        <f>IF(MouserListTable[[#This Row],[Tag]]=FilterSpecs!$F$7,MouserListTable[[#This Row],['#/Unit]]*MouserListTable[[#This Row],[Price (USD)]],0)</f>
        <v>0</v>
      </c>
      <c r="Y590" s="152">
        <f>MouserListTable[[#This Row],[Tot '#]]*MouserListTable[[#This Row],[Price (USD)]]</f>
        <v>0</v>
      </c>
    </row>
    <row r="591" spans="1:25" x14ac:dyDescent="0.25">
      <c r="A591" s="97" t="s">
        <v>890</v>
      </c>
      <c r="B591" s="97" t="s">
        <v>2010</v>
      </c>
      <c r="C591" s="150" t="s">
        <v>5</v>
      </c>
      <c r="D591" s="151" t="str">
        <f>IF(MouserListTable[[#This Row],[Vendor]]=FilterSpecs!$A$8,MouserListTable[[#This Row],[Mouser SKU]], MouserListTable[[#This Row],[Supplier SKU]])</f>
        <v>474-COM-10982</v>
      </c>
      <c r="E591" s="152">
        <f>MouserListTable[[#This Row],[Tot '#]]-MouserListTable[[#This Row],['# Initial]]</f>
        <v>0</v>
      </c>
      <c r="F591" s="152">
        <f>IF(AND(MouserListTable[[#This Row],[Tag]]&lt;&gt;FilterSpecs!$F$12, MouserListTable[[#This Row],[Tag]]&lt;&gt;FilterSpecs!$F$9), MouserListTable[[#This Row],['#/Unit]]*FilterSpecs!$B$3+MouserListTable[[#This Row],[Extra Initial]],0)</f>
        <v>0</v>
      </c>
      <c r="G591" s="150" t="s">
        <v>1672</v>
      </c>
      <c r="H591" s="150" t="s">
        <v>1673</v>
      </c>
      <c r="I591" s="150" t="s">
        <v>1674</v>
      </c>
      <c r="J591" s="150">
        <v>1</v>
      </c>
      <c r="K591" s="154">
        <v>3.95</v>
      </c>
      <c r="L591" s="150" t="s">
        <v>1896</v>
      </c>
      <c r="M591" s="150"/>
      <c r="N591" s="154">
        <f>MouserListTable[[#This Row],['# Initial]]*MouserListTable[[#This Row],[Price (USD)]]</f>
        <v>0</v>
      </c>
      <c r="O591" s="151" t="s">
        <v>1671</v>
      </c>
      <c r="P591" s="150">
        <f t="shared" si="10"/>
        <v>578</v>
      </c>
      <c r="Q591" s="150" t="s">
        <v>5</v>
      </c>
      <c r="R59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474-COM-10982</v>
      </c>
      <c r="S591" s="157" t="str">
        <f>HYPERLINK("https://www.mouser.com/ProductDetail/" &amp;MouserListTable[[#This Row],[Mouser SKU]])</f>
        <v>https://www.mouser.com/ProductDetail/474-COM-10982</v>
      </c>
      <c r="T591" s="152">
        <v>0</v>
      </c>
      <c r="U591" s="152">
        <v>0</v>
      </c>
      <c r="V591" s="152">
        <v>0</v>
      </c>
      <c r="W591" s="152">
        <f>MouserListTable[[#This Row],['#/Unit]]*FilterSpecs!$C$3+MouserListTable[[#This Row],[Extra]]</f>
        <v>0</v>
      </c>
      <c r="X591" s="152">
        <f>IF(MouserListTable[[#This Row],[Tag]]=FilterSpecs!$F$7,MouserListTable[[#This Row],['#/Unit]]*MouserListTable[[#This Row],[Price (USD)]],0)</f>
        <v>0</v>
      </c>
      <c r="Y591" s="152">
        <f>MouserListTable[[#This Row],[Tot '#]]*MouserListTable[[#This Row],[Price (USD)]]</f>
        <v>0</v>
      </c>
    </row>
    <row r="592" spans="1:25" x14ac:dyDescent="0.25">
      <c r="A592" s="97" t="s">
        <v>890</v>
      </c>
      <c r="B592" s="97" t="s">
        <v>2010</v>
      </c>
      <c r="C592" s="150" t="s">
        <v>5</v>
      </c>
      <c r="D592" s="151" t="str">
        <f>IF(MouserListTable[[#This Row],[Vendor]]=FilterSpecs!$A$8,MouserListTable[[#This Row],[Mouser SKU]], MouserListTable[[#This Row],[Supplier SKU]])</f>
        <v>474-BOB-11722</v>
      </c>
      <c r="E592" s="152">
        <f>MouserListTable[[#This Row],[Tot '#]]-MouserListTable[[#This Row],['# Initial]]</f>
        <v>0</v>
      </c>
      <c r="F592" s="152">
        <f>IF(AND(MouserListTable[[#This Row],[Tag]]&lt;&gt;FilterSpecs!$F$12, MouserListTable[[#This Row],[Tag]]&lt;&gt;FilterSpecs!$F$9), MouserListTable[[#This Row],['#/Unit]]*FilterSpecs!$B$3+MouserListTable[[#This Row],[Extra Initial]],0)</f>
        <v>0</v>
      </c>
      <c r="G592" s="150" t="s">
        <v>1720</v>
      </c>
      <c r="H592" s="150" t="s">
        <v>1721</v>
      </c>
      <c r="I592" s="150" t="s">
        <v>1722</v>
      </c>
      <c r="J592" s="150">
        <v>1</v>
      </c>
      <c r="K592" s="154">
        <v>2.95</v>
      </c>
      <c r="L592" s="150" t="s">
        <v>1898</v>
      </c>
      <c r="M592" s="150"/>
      <c r="N592" s="154">
        <f>MouserListTable[[#This Row],['# Initial]]*MouserListTable[[#This Row],[Price (USD)]]</f>
        <v>0</v>
      </c>
      <c r="O592" s="151" t="s">
        <v>1719</v>
      </c>
      <c r="P592" s="150">
        <f t="shared" si="10"/>
        <v>579</v>
      </c>
      <c r="Q592" s="150" t="s">
        <v>5</v>
      </c>
      <c r="R59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474-BOB-11722</v>
      </c>
      <c r="S592" s="157" t="str">
        <f>HYPERLINK("https://www.mouser.com/ProductDetail/" &amp;MouserListTable[[#This Row],[Mouser SKU]])</f>
        <v>https://www.mouser.com/ProductDetail/474-BOB-11722</v>
      </c>
      <c r="T592" s="152">
        <v>0</v>
      </c>
      <c r="U592" s="152">
        <v>0</v>
      </c>
      <c r="V592" s="152">
        <v>0</v>
      </c>
      <c r="W592" s="152">
        <f>MouserListTable[[#This Row],['#/Unit]]*FilterSpecs!$C$3+MouserListTable[[#This Row],[Extra]]</f>
        <v>0</v>
      </c>
      <c r="X592" s="152">
        <f>IF(MouserListTable[[#This Row],[Tag]]=FilterSpecs!$F$7,MouserListTable[[#This Row],['#/Unit]]*MouserListTable[[#This Row],[Price (USD)]],0)</f>
        <v>0</v>
      </c>
      <c r="Y592" s="152">
        <f>MouserListTable[[#This Row],[Tot '#]]*MouserListTable[[#This Row],[Price (USD)]]</f>
        <v>0</v>
      </c>
    </row>
    <row r="593" spans="1:25" x14ac:dyDescent="0.25">
      <c r="A593" s="150" t="s">
        <v>890</v>
      </c>
      <c r="B593" s="150" t="s">
        <v>2010</v>
      </c>
      <c r="C593" s="150" t="s">
        <v>1884</v>
      </c>
      <c r="D593" s="151" t="str">
        <f>IF(MouserListTable[[#This Row],[Vendor]]=FilterSpecs!$A$8,MouserListTable[[#This Row],[Mouser SKU]], MouserListTable[[#This Row],[Supplier SKU]])</f>
        <v>485-377</v>
      </c>
      <c r="E593" s="152">
        <f>MouserListTable[[#This Row],[Tot '#]]-MouserListTable[[#This Row],['# Initial]]</f>
        <v>0</v>
      </c>
      <c r="F593" s="152">
        <f>IF(AND(MouserListTable[[#This Row],[Tag]]&lt;&gt;FilterSpecs!$F$12, MouserListTable[[#This Row],[Tag]]&lt;&gt;FilterSpecs!$F$9), MouserListTable[[#This Row],['#/Unit]]*FilterSpecs!$B$3+MouserListTable[[#This Row],[Extra Initial]],0)</f>
        <v>0</v>
      </c>
      <c r="G593" s="150"/>
      <c r="H593" s="150"/>
      <c r="I593" s="150" t="s">
        <v>2225</v>
      </c>
      <c r="J593" s="153"/>
      <c r="K593" s="118">
        <v>4.5</v>
      </c>
      <c r="L593" s="97" t="s">
        <v>1898</v>
      </c>
      <c r="M593" s="153"/>
      <c r="N593" s="154">
        <f>MouserListTable[[#This Row],['# Initial]]*MouserListTable[[#This Row],[Price (USD)]]</f>
        <v>0</v>
      </c>
      <c r="O593" s="151" t="s">
        <v>2224</v>
      </c>
      <c r="P593" s="150">
        <f t="shared" si="10"/>
        <v>580</v>
      </c>
      <c r="Q593" s="150" t="s">
        <v>1884</v>
      </c>
      <c r="R59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485-377</v>
      </c>
      <c r="S593" s="157" t="str">
        <f>HYPERLINK("https://www.mouser.com/ProductDetail/" &amp;MouserListTable[[#This Row],[Mouser SKU]])</f>
        <v>https://www.mouser.com/ProductDetail/485-377</v>
      </c>
      <c r="T593" s="152">
        <v>0</v>
      </c>
      <c r="U593" s="152">
        <v>0</v>
      </c>
      <c r="V593" s="152">
        <v>0</v>
      </c>
      <c r="W593" s="152">
        <f>MouserListTable[[#This Row],['#/Unit]]*FilterSpecs!$C$3+MouserListTable[[#This Row],[Extra]]</f>
        <v>0</v>
      </c>
      <c r="X593" s="152">
        <f>IF(MouserListTable[[#This Row],[Tag]]=FilterSpecs!$F$7,MouserListTable[[#This Row],['#/Unit]]*MouserListTable[[#This Row],[Price (USD)]],0)</f>
        <v>0</v>
      </c>
      <c r="Y593" s="152">
        <f>MouserListTable[[#This Row],[Tot '#]]*MouserListTable[[#This Row],[Price (USD)]]</f>
        <v>0</v>
      </c>
    </row>
    <row r="594" spans="1:25" x14ac:dyDescent="0.25">
      <c r="A594" s="150" t="s">
        <v>890</v>
      </c>
      <c r="B594" s="150" t="s">
        <v>2010</v>
      </c>
      <c r="C594" s="150" t="s">
        <v>5</v>
      </c>
      <c r="D594" s="151" t="str">
        <f>IF(MouserListTable[[#This Row],[Vendor]]=FilterSpecs!$A$8,MouserListTable[[#This Row],[Mouser SKU]], MouserListTable[[#This Row],[Supplier SKU]])</f>
        <v>474-COM-13253</v>
      </c>
      <c r="E594" s="152">
        <f>MouserListTable[[#This Row],[Tot '#]]-MouserListTable[[#This Row],['# Initial]]</f>
        <v>0</v>
      </c>
      <c r="F594" s="152">
        <f>IF(AND(MouserListTable[[#This Row],[Tag]]&lt;&gt;FilterSpecs!$F$12, MouserListTable[[#This Row],[Tag]]&lt;&gt;FilterSpecs!$F$9), MouserListTable[[#This Row],['#/Unit]]*FilterSpecs!$B$3+MouserListTable[[#This Row],[Extra Initial]],0)</f>
        <v>5</v>
      </c>
      <c r="G594" s="150" t="s">
        <v>1109</v>
      </c>
      <c r="H594" s="150" t="s">
        <v>1110</v>
      </c>
      <c r="I594" s="150" t="s">
        <v>1111</v>
      </c>
      <c r="J594" s="150">
        <v>1</v>
      </c>
      <c r="K594" s="154">
        <v>1.95</v>
      </c>
      <c r="L594" s="151" t="s">
        <v>1897</v>
      </c>
      <c r="M594" s="150"/>
      <c r="N594" s="154">
        <f>MouserListTable[[#This Row],['# Initial]]*MouserListTable[[#This Row],[Price (USD)]]</f>
        <v>9.75</v>
      </c>
      <c r="O594" s="151" t="s">
        <v>1108</v>
      </c>
      <c r="P594" s="150">
        <f t="shared" si="10"/>
        <v>581</v>
      </c>
      <c r="Q594" s="150" t="s">
        <v>5</v>
      </c>
      <c r="R59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474-COM-13253</v>
      </c>
      <c r="S594" s="157" t="str">
        <f>HYPERLINK("https://www.mouser.com/ProductDetail/" &amp;MouserListTable[[#This Row],[Mouser SKU]])</f>
        <v>https://www.mouser.com/ProductDetail/474-COM-13253</v>
      </c>
      <c r="T594" s="152">
        <v>1</v>
      </c>
      <c r="U594" s="152">
        <v>0</v>
      </c>
      <c r="V594" s="152">
        <v>0</v>
      </c>
      <c r="W594" s="152">
        <f>MouserListTable[[#This Row],['#/Unit]]*FilterSpecs!$C$3+MouserListTable[[#This Row],[Extra]]</f>
        <v>5</v>
      </c>
      <c r="X594" s="152">
        <f>IF(MouserListTable[[#This Row],[Tag]]=FilterSpecs!$F$7,MouserListTable[[#This Row],['#/Unit]]*MouserListTable[[#This Row],[Price (USD)]],0)</f>
        <v>1.95</v>
      </c>
      <c r="Y594" s="152">
        <f>MouserListTable[[#This Row],[Tot '#]]*MouserListTable[[#This Row],[Price (USD)]]</f>
        <v>9.75</v>
      </c>
    </row>
    <row r="595" spans="1:25" x14ac:dyDescent="0.25">
      <c r="A595" s="150" t="s">
        <v>890</v>
      </c>
      <c r="B595" s="150" t="s">
        <v>2010</v>
      </c>
      <c r="C595" s="150" t="s">
        <v>5</v>
      </c>
      <c r="D595" s="151" t="str">
        <f>IF(MouserListTable[[#This Row],[Vendor]]=FilterSpecs!$A$8,MouserListTable[[#This Row],[Mouser SKU]], MouserListTable[[#This Row],[Supplier SKU]])</f>
        <v>474-BOB-13098</v>
      </c>
      <c r="E595" s="152">
        <f>MouserListTable[[#This Row],[Tot '#]]-MouserListTable[[#This Row],['# Initial]]</f>
        <v>0</v>
      </c>
      <c r="F595" s="152">
        <f>IF(AND(MouserListTable[[#This Row],[Tag]]&lt;&gt;FilterSpecs!$F$12, MouserListTable[[#This Row],[Tag]]&lt;&gt;FilterSpecs!$F$9), MouserListTable[[#This Row],['#/Unit]]*FilterSpecs!$B$3+MouserListTable[[#This Row],[Extra Initial]],0)</f>
        <v>5</v>
      </c>
      <c r="G595" s="150" t="s">
        <v>1105</v>
      </c>
      <c r="H595" s="150" t="s">
        <v>1106</v>
      </c>
      <c r="I595" s="150" t="s">
        <v>1107</v>
      </c>
      <c r="J595" s="150">
        <v>1</v>
      </c>
      <c r="K595" s="154">
        <v>1.95</v>
      </c>
      <c r="L595" s="151" t="s">
        <v>1897</v>
      </c>
      <c r="M595" s="150"/>
      <c r="N595" s="154">
        <f>MouserListTable[[#This Row],['# Initial]]*MouserListTable[[#This Row],[Price (USD)]]</f>
        <v>9.75</v>
      </c>
      <c r="O595" s="151" t="s">
        <v>1104</v>
      </c>
      <c r="P595" s="150">
        <f t="shared" si="10"/>
        <v>582</v>
      </c>
      <c r="Q595" s="150" t="s">
        <v>5</v>
      </c>
      <c r="R59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474-BOB-13098</v>
      </c>
      <c r="S595" s="157" t="str">
        <f>HYPERLINK("https://www.mouser.com/ProductDetail/" &amp;MouserListTable[[#This Row],[Mouser SKU]])</f>
        <v>https://www.mouser.com/ProductDetail/474-BOB-13098</v>
      </c>
      <c r="T595" s="152">
        <v>1</v>
      </c>
      <c r="U595" s="152">
        <v>0</v>
      </c>
      <c r="V595" s="152">
        <v>0</v>
      </c>
      <c r="W595" s="152">
        <f>MouserListTable[[#This Row],['#/Unit]]*FilterSpecs!$C$3+MouserListTable[[#This Row],[Extra]]</f>
        <v>5</v>
      </c>
      <c r="X595" s="152">
        <f>IF(MouserListTable[[#This Row],[Tag]]=FilterSpecs!$F$7,MouserListTable[[#This Row],['#/Unit]]*MouserListTable[[#This Row],[Price (USD)]],0)</f>
        <v>1.95</v>
      </c>
      <c r="Y595" s="152">
        <f>MouserListTable[[#This Row],[Tot '#]]*MouserListTable[[#This Row],[Price (USD)]]</f>
        <v>9.75</v>
      </c>
    </row>
    <row r="596" spans="1:25" x14ac:dyDescent="0.25">
      <c r="A596" s="150" t="s">
        <v>890</v>
      </c>
      <c r="B596" s="150" t="s">
        <v>2010</v>
      </c>
      <c r="C596" s="150" t="s">
        <v>5</v>
      </c>
      <c r="D596" s="151" t="str">
        <f>IF(MouserListTable[[#This Row],[Vendor]]=FilterSpecs!$A$8,MouserListTable[[#This Row],[Mouser SKU]], MouserListTable[[#This Row],[Supplier SKU]])</f>
        <v>474-BOB-13099</v>
      </c>
      <c r="E596" s="152">
        <f>MouserListTable[[#This Row],[Tot '#]]-MouserListTable[[#This Row],['# Initial]]</f>
        <v>0</v>
      </c>
      <c r="F596" s="152">
        <f>IF(AND(MouserListTable[[#This Row],[Tag]]&lt;&gt;FilterSpecs!$F$12, MouserListTable[[#This Row],[Tag]]&lt;&gt;FilterSpecs!$F$9), MouserListTable[[#This Row],['#/Unit]]*FilterSpecs!$B$3+MouserListTable[[#This Row],[Extra Initial]],0)</f>
        <v>5</v>
      </c>
      <c r="G596" s="150" t="s">
        <v>1113</v>
      </c>
      <c r="H596" s="150" t="s">
        <v>1114</v>
      </c>
      <c r="I596" s="150" t="s">
        <v>1115</v>
      </c>
      <c r="J596" s="150">
        <v>1</v>
      </c>
      <c r="K596" s="154">
        <v>1.95</v>
      </c>
      <c r="L596" s="151" t="s">
        <v>1897</v>
      </c>
      <c r="M596" s="150"/>
      <c r="N596" s="154">
        <f>MouserListTable[[#This Row],['# Initial]]*MouserListTable[[#This Row],[Price (USD)]]</f>
        <v>9.75</v>
      </c>
      <c r="O596" s="151" t="s">
        <v>1112</v>
      </c>
      <c r="P596" s="150">
        <f t="shared" si="10"/>
        <v>583</v>
      </c>
      <c r="Q596" s="150" t="s">
        <v>5</v>
      </c>
      <c r="R59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474-BOB-13099</v>
      </c>
      <c r="S596" s="157" t="str">
        <f>HYPERLINK("https://www.mouser.com/ProductDetail/" &amp;MouserListTable[[#This Row],[Mouser SKU]])</f>
        <v>https://www.mouser.com/ProductDetail/474-BOB-13099</v>
      </c>
      <c r="T596" s="152">
        <v>1</v>
      </c>
      <c r="U596" s="152">
        <v>0</v>
      </c>
      <c r="V596" s="152">
        <v>0</v>
      </c>
      <c r="W596" s="152">
        <f>MouserListTable[[#This Row],['#/Unit]]*FilterSpecs!$C$3+MouserListTable[[#This Row],[Extra]]</f>
        <v>5</v>
      </c>
      <c r="X596" s="152">
        <f>IF(MouserListTable[[#This Row],[Tag]]=FilterSpecs!$F$7,MouserListTable[[#This Row],['#/Unit]]*MouserListTable[[#This Row],[Price (USD)]],0)</f>
        <v>1.95</v>
      </c>
      <c r="Y596" s="152">
        <f>MouserListTable[[#This Row],[Tot '#]]*MouserListTable[[#This Row],[Price (USD)]]</f>
        <v>9.75</v>
      </c>
    </row>
    <row r="597" spans="1:25" x14ac:dyDescent="0.25">
      <c r="A597" s="150" t="s">
        <v>890</v>
      </c>
      <c r="B597" s="150" t="s">
        <v>2010</v>
      </c>
      <c r="C597" s="150" t="s">
        <v>1884</v>
      </c>
      <c r="D597" s="151" t="str">
        <f>IF(MouserListTable[[#This Row],[Vendor]]=FilterSpecs!$A$8,MouserListTable[[#This Row],[Mouser SKU]], MouserListTable[[#This Row],[Supplier SKU]])</f>
        <v>485-2925</v>
      </c>
      <c r="E597" s="152">
        <f>MouserListTable[[#This Row],[Tot '#]]-MouserListTable[[#This Row],['# Initial]]</f>
        <v>0</v>
      </c>
      <c r="F597" s="152">
        <f>IF(AND(MouserListTable[[#This Row],[Tag]]&lt;&gt;FilterSpecs!$F$12, MouserListTable[[#This Row],[Tag]]&lt;&gt;FilterSpecs!$F$9), MouserListTable[[#This Row],['#/Unit]]*FilterSpecs!$B$3+MouserListTable[[#This Row],[Extra Initial]],0)</f>
        <v>0</v>
      </c>
      <c r="G597" s="150"/>
      <c r="H597" s="150"/>
      <c r="I597" s="150" t="s">
        <v>2213</v>
      </c>
      <c r="J597" s="153"/>
      <c r="K597" s="118">
        <v>1.95</v>
      </c>
      <c r="L597" s="97" t="s">
        <v>1896</v>
      </c>
      <c r="M597" s="153"/>
      <c r="N597" s="154">
        <f>MouserListTable[[#This Row],['# Initial]]*MouserListTable[[#This Row],[Price (USD)]]</f>
        <v>0</v>
      </c>
      <c r="O597" s="151" t="s">
        <v>2212</v>
      </c>
      <c r="P597" s="150">
        <f t="shared" si="10"/>
        <v>584</v>
      </c>
      <c r="Q597" s="150" t="s">
        <v>1884</v>
      </c>
      <c r="R59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485-2925</v>
      </c>
      <c r="S597" s="157" t="str">
        <f>HYPERLINK("https://www.mouser.com/ProductDetail/" &amp;MouserListTable[[#This Row],[Mouser SKU]])</f>
        <v>https://www.mouser.com/ProductDetail/485-2925</v>
      </c>
      <c r="T597" s="152">
        <v>0</v>
      </c>
      <c r="U597" s="152">
        <v>0</v>
      </c>
      <c r="V597" s="152">
        <v>0</v>
      </c>
      <c r="W597" s="152">
        <f>MouserListTable[[#This Row],['#/Unit]]*FilterSpecs!$C$3+MouserListTable[[#This Row],[Extra]]</f>
        <v>0</v>
      </c>
      <c r="X597" s="152">
        <f>IF(MouserListTable[[#This Row],[Tag]]=FilterSpecs!$F$7,MouserListTable[[#This Row],['#/Unit]]*MouserListTable[[#This Row],[Price (USD)]],0)</f>
        <v>0</v>
      </c>
      <c r="Y597" s="152">
        <f>MouserListTable[[#This Row],[Tot '#]]*MouserListTable[[#This Row],[Price (USD)]]</f>
        <v>0</v>
      </c>
    </row>
    <row r="598" spans="1:25" x14ac:dyDescent="0.25">
      <c r="A598" s="97" t="s">
        <v>890</v>
      </c>
      <c r="B598" s="97" t="s">
        <v>1598</v>
      </c>
      <c r="C598" s="150" t="s">
        <v>5</v>
      </c>
      <c r="D598" s="151" t="str">
        <f>IF(MouserListTable[[#This Row],[Vendor]]=FilterSpecs!$A$8,MouserListTable[[#This Row],[Mouser SKU]], MouserListTable[[#This Row],[Supplier SKU]])</f>
        <v>474-PRT-11367</v>
      </c>
      <c r="E598" s="152">
        <f>MouserListTable[[#This Row],[Tot '#]]-MouserListTable[[#This Row],['# Initial]]</f>
        <v>0</v>
      </c>
      <c r="F598" s="152">
        <f>IF(AND(MouserListTable[[#This Row],[Tag]]&lt;&gt;FilterSpecs!$F$12, MouserListTable[[#This Row],[Tag]]&lt;&gt;FilterSpecs!$F$9), MouserListTable[[#This Row],['#/Unit]]*FilterSpecs!$B$3+MouserListTable[[#This Row],[Extra Initial]],0)</f>
        <v>0</v>
      </c>
      <c r="G598" s="150" t="s">
        <v>1650</v>
      </c>
      <c r="H598" s="150" t="s">
        <v>1651</v>
      </c>
      <c r="I598" s="150" t="s">
        <v>1652</v>
      </c>
      <c r="J598" s="150">
        <v>1</v>
      </c>
      <c r="K598" s="154">
        <v>16.95</v>
      </c>
      <c r="L598" s="150" t="s">
        <v>1896</v>
      </c>
      <c r="M598" s="150"/>
      <c r="N598" s="154">
        <f>MouserListTable[[#This Row],['# Initial]]*MouserListTable[[#This Row],[Price (USD)]]</f>
        <v>0</v>
      </c>
      <c r="O598" s="151" t="s">
        <v>1649</v>
      </c>
      <c r="P598" s="150">
        <f t="shared" si="10"/>
        <v>585</v>
      </c>
      <c r="Q598" s="150" t="s">
        <v>5</v>
      </c>
      <c r="R59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474-PRT-11367</v>
      </c>
      <c r="S598" s="157" t="str">
        <f>HYPERLINK("https://www.mouser.com/ProductDetail/" &amp;MouserListTable[[#This Row],[Mouser SKU]])</f>
        <v>https://www.mouser.com/ProductDetail/474-PRT-11367</v>
      </c>
      <c r="T598" s="152">
        <v>0</v>
      </c>
      <c r="U598" s="152">
        <v>0</v>
      </c>
      <c r="V598" s="152">
        <v>0</v>
      </c>
      <c r="W598" s="152">
        <f>MouserListTable[[#This Row],['#/Unit]]*FilterSpecs!$C$3+MouserListTable[[#This Row],[Extra]]</f>
        <v>0</v>
      </c>
      <c r="X598" s="152">
        <f>IF(MouserListTable[[#This Row],[Tag]]=FilterSpecs!$F$7,MouserListTable[[#This Row],['#/Unit]]*MouserListTable[[#This Row],[Price (USD)]],0)</f>
        <v>0</v>
      </c>
      <c r="Y598" s="152">
        <f>MouserListTable[[#This Row],[Tot '#]]*MouserListTable[[#This Row],[Price (USD)]]</f>
        <v>0</v>
      </c>
    </row>
    <row r="599" spans="1:25" x14ac:dyDescent="0.25">
      <c r="A599" s="150" t="s">
        <v>890</v>
      </c>
      <c r="B599" s="150" t="s">
        <v>1598</v>
      </c>
      <c r="C599" s="150" t="s">
        <v>1884</v>
      </c>
      <c r="D599" s="151" t="str">
        <f>IF(MouserListTable[[#This Row],[Vendor]]=FilterSpecs!$A$8,MouserListTable[[#This Row],[Mouser SKU]], MouserListTable[[#This Row],[Supplier SKU]])</f>
        <v>485-3174</v>
      </c>
      <c r="E599" s="152">
        <f>MouserListTable[[#This Row],[Tot '#]]-MouserListTable[[#This Row],['# Initial]]</f>
        <v>0</v>
      </c>
      <c r="F599" s="152">
        <f>IF(AND(MouserListTable[[#This Row],[Tag]]&lt;&gt;FilterSpecs!$F$12, MouserListTable[[#This Row],[Tag]]&lt;&gt;FilterSpecs!$F$9), MouserListTable[[#This Row],['#/Unit]]*FilterSpecs!$B$3+MouserListTable[[#This Row],[Extra Initial]],0)</f>
        <v>1</v>
      </c>
      <c r="G599" s="150"/>
      <c r="H599" s="150"/>
      <c r="I599" s="150" t="s">
        <v>2440</v>
      </c>
      <c r="J599" s="113">
        <v>109</v>
      </c>
      <c r="K599" s="154">
        <v>27.5</v>
      </c>
      <c r="L599" s="150" t="s">
        <v>1896</v>
      </c>
      <c r="M599" s="151"/>
      <c r="N599" s="154">
        <f>MouserListTable[[#This Row],['# Initial]]*MouserListTable[[#This Row],[Price (USD)]]</f>
        <v>27.5</v>
      </c>
      <c r="O599" s="151" t="s">
        <v>2441</v>
      </c>
      <c r="P599" s="150">
        <f t="shared" si="10"/>
        <v>586</v>
      </c>
      <c r="Q599" s="150" t="s">
        <v>1884</v>
      </c>
      <c r="R59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485-3174</v>
      </c>
      <c r="S599" s="157" t="str">
        <f>HYPERLINK("https://www.mouser.com/ProductDetail/" &amp;MouserListTable[[#This Row],[Mouser SKU]])</f>
        <v>https://www.mouser.com/ProductDetail/485-3174</v>
      </c>
      <c r="T599" s="152">
        <v>0</v>
      </c>
      <c r="U599" s="152">
        <v>1</v>
      </c>
      <c r="V599" s="152">
        <v>1</v>
      </c>
      <c r="W599" s="152">
        <f>MouserListTable[[#This Row],['#/Unit]]*FilterSpecs!$C$3+MouserListTable[[#This Row],[Extra]]</f>
        <v>1</v>
      </c>
      <c r="X599" s="152">
        <f>IF(MouserListTable[[#This Row],[Tag]]=FilterSpecs!$F$7,MouserListTable[[#This Row],['#/Unit]]*MouserListTable[[#This Row],[Price (USD)]],0)</f>
        <v>0</v>
      </c>
      <c r="Y599" s="152">
        <f>MouserListTable[[#This Row],[Tot '#]]*MouserListTable[[#This Row],[Price (USD)]]</f>
        <v>27.5</v>
      </c>
    </row>
    <row r="600" spans="1:25" x14ac:dyDescent="0.25">
      <c r="A600" s="97" t="s">
        <v>890</v>
      </c>
      <c r="B600" s="97" t="s">
        <v>1598</v>
      </c>
      <c r="C600" s="150" t="s">
        <v>5</v>
      </c>
      <c r="D600" s="151" t="str">
        <f>IF(MouserListTable[[#This Row],[Vendor]]=FilterSpecs!$A$8,MouserListTable[[#This Row],[Mouser SKU]], MouserListTable[[#This Row],[Supplier SKU]])</f>
        <v>474-PRT-08023</v>
      </c>
      <c r="E600" s="152">
        <f>MouserListTable[[#This Row],[Tot '#]]-MouserListTable[[#This Row],['# Initial]]</f>
        <v>0</v>
      </c>
      <c r="F600" s="152">
        <f>IF(AND(MouserListTable[[#This Row],[Tag]]&lt;&gt;FilterSpecs!$F$12, MouserListTable[[#This Row],[Tag]]&lt;&gt;FilterSpecs!$F$9), MouserListTable[[#This Row],['#/Unit]]*FilterSpecs!$B$3+MouserListTable[[#This Row],[Extra Initial]],0)</f>
        <v>0</v>
      </c>
      <c r="G600" s="150" t="s">
        <v>1389</v>
      </c>
      <c r="H600" s="150" t="s">
        <v>1390</v>
      </c>
      <c r="I600" s="150" t="s">
        <v>1391</v>
      </c>
      <c r="J600" s="150">
        <v>1</v>
      </c>
      <c r="K600" s="154">
        <v>2.5</v>
      </c>
      <c r="L600" s="150" t="s">
        <v>1898</v>
      </c>
      <c r="M600" s="150"/>
      <c r="N600" s="154">
        <f>MouserListTable[[#This Row],['# Initial]]*MouserListTable[[#This Row],[Price (USD)]]</f>
        <v>0</v>
      </c>
      <c r="O600" s="151" t="s">
        <v>1388</v>
      </c>
      <c r="P600" s="150">
        <f t="shared" si="10"/>
        <v>587</v>
      </c>
      <c r="Q600" s="150" t="s">
        <v>5</v>
      </c>
      <c r="R60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474-PRT-08023</v>
      </c>
      <c r="S600" s="157" t="str">
        <f>HYPERLINK("https://www.mouser.com/ProductDetail/" &amp;MouserListTable[[#This Row],[Mouser SKU]])</f>
        <v>https://www.mouser.com/ProductDetail/474-PRT-08023</v>
      </c>
      <c r="T600" s="152">
        <v>0</v>
      </c>
      <c r="U600" s="152">
        <v>0</v>
      </c>
      <c r="V600" s="152">
        <v>0</v>
      </c>
      <c r="W600" s="152">
        <f>MouserListTable[[#This Row],['#/Unit]]*FilterSpecs!$C$3+MouserListTable[[#This Row],[Extra]]</f>
        <v>0</v>
      </c>
      <c r="X600" s="152">
        <f>IF(MouserListTable[[#This Row],[Tag]]=FilterSpecs!$F$7,MouserListTable[[#This Row],['#/Unit]]*MouserListTable[[#This Row],[Price (USD)]],0)</f>
        <v>0</v>
      </c>
      <c r="Y600" s="152">
        <f>MouserListTable[[#This Row],[Tot '#]]*MouserListTable[[#This Row],[Price (USD)]]</f>
        <v>0</v>
      </c>
    </row>
    <row r="601" spans="1:25" x14ac:dyDescent="0.25">
      <c r="A601" s="97" t="s">
        <v>890</v>
      </c>
      <c r="B601" s="97" t="s">
        <v>1598</v>
      </c>
      <c r="C601" s="150" t="s">
        <v>5</v>
      </c>
      <c r="D601" s="151" t="str">
        <f>IF(MouserListTable[[#This Row],[Vendor]]=FilterSpecs!$A$8,MouserListTable[[#This Row],[Mouser SKU]], MouserListTable[[#This Row],[Supplier SKU]])</f>
        <v>474-PRT-08024</v>
      </c>
      <c r="E601" s="152">
        <f>MouserListTable[[#This Row],[Tot '#]]-MouserListTable[[#This Row],['# Initial]]</f>
        <v>0</v>
      </c>
      <c r="F601" s="152">
        <f>IF(AND(MouserListTable[[#This Row],[Tag]]&lt;&gt;FilterSpecs!$F$12, MouserListTable[[#This Row],[Tag]]&lt;&gt;FilterSpecs!$F$9), MouserListTable[[#This Row],['#/Unit]]*FilterSpecs!$B$3+MouserListTable[[#This Row],[Extra Initial]],0)</f>
        <v>0</v>
      </c>
      <c r="G601" s="150" t="s">
        <v>1381</v>
      </c>
      <c r="H601" s="150" t="s">
        <v>1382</v>
      </c>
      <c r="I601" s="150" t="s">
        <v>1383</v>
      </c>
      <c r="J601" s="150">
        <v>1</v>
      </c>
      <c r="K601" s="154">
        <v>2.5</v>
      </c>
      <c r="L601" s="150" t="s">
        <v>1898</v>
      </c>
      <c r="M601" s="150"/>
      <c r="N601" s="154">
        <f>MouserListTable[[#This Row],['# Initial]]*MouserListTable[[#This Row],[Price (USD)]]</f>
        <v>0</v>
      </c>
      <c r="O601" s="151" t="s">
        <v>1380</v>
      </c>
      <c r="P601" s="150">
        <f t="shared" si="10"/>
        <v>588</v>
      </c>
      <c r="Q601" s="150" t="s">
        <v>5</v>
      </c>
      <c r="R60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474-PRT-08024</v>
      </c>
      <c r="S601" s="157" t="str">
        <f>HYPERLINK("https://www.mouser.com/ProductDetail/" &amp;MouserListTable[[#This Row],[Mouser SKU]])</f>
        <v>https://www.mouser.com/ProductDetail/474-PRT-08024</v>
      </c>
      <c r="T601" s="152">
        <v>0</v>
      </c>
      <c r="U601" s="152">
        <v>0</v>
      </c>
      <c r="V601" s="152">
        <v>0</v>
      </c>
      <c r="W601" s="152">
        <f>MouserListTable[[#This Row],['#/Unit]]*FilterSpecs!$C$3+MouserListTable[[#This Row],[Extra]]</f>
        <v>0</v>
      </c>
      <c r="X601" s="152">
        <f>IF(MouserListTable[[#This Row],[Tag]]=FilterSpecs!$F$7,MouserListTable[[#This Row],['#/Unit]]*MouserListTable[[#This Row],[Price (USD)]],0)</f>
        <v>0</v>
      </c>
      <c r="Y601" s="152">
        <f>MouserListTable[[#This Row],[Tot '#]]*MouserListTable[[#This Row],[Price (USD)]]</f>
        <v>0</v>
      </c>
    </row>
    <row r="602" spans="1:25" x14ac:dyDescent="0.25">
      <c r="A602" s="97" t="s">
        <v>890</v>
      </c>
      <c r="B602" s="97" t="s">
        <v>1598</v>
      </c>
      <c r="C602" s="150" t="s">
        <v>5</v>
      </c>
      <c r="D602" s="151" t="str">
        <f>IF(MouserListTable[[#This Row],[Vendor]]=FilterSpecs!$A$8,MouserListTable[[#This Row],[Mouser SKU]], MouserListTable[[#This Row],[Supplier SKU]])</f>
        <v>474-PRT-08022</v>
      </c>
      <c r="E602" s="152">
        <f>MouserListTable[[#This Row],[Tot '#]]-MouserListTable[[#This Row],['# Initial]]</f>
        <v>0</v>
      </c>
      <c r="F602" s="152">
        <f>IF(AND(MouserListTable[[#This Row],[Tag]]&lt;&gt;FilterSpecs!$F$12, MouserListTable[[#This Row],[Tag]]&lt;&gt;FilterSpecs!$F$9), MouserListTable[[#This Row],['#/Unit]]*FilterSpecs!$B$3+MouserListTable[[#This Row],[Extra Initial]],0)</f>
        <v>0</v>
      </c>
      <c r="G602" s="150" t="s">
        <v>1385</v>
      </c>
      <c r="H602" s="150" t="s">
        <v>1386</v>
      </c>
      <c r="I602" s="150" t="s">
        <v>1387</v>
      </c>
      <c r="J602" s="150">
        <v>1</v>
      </c>
      <c r="K602" s="154">
        <v>2.5</v>
      </c>
      <c r="L602" s="150" t="s">
        <v>1898</v>
      </c>
      <c r="M602" s="150"/>
      <c r="N602" s="154">
        <f>MouserListTable[[#This Row],['# Initial]]*MouserListTable[[#This Row],[Price (USD)]]</f>
        <v>0</v>
      </c>
      <c r="O602" s="151" t="s">
        <v>1384</v>
      </c>
      <c r="P602" s="150">
        <f t="shared" si="10"/>
        <v>589</v>
      </c>
      <c r="Q602" s="150" t="s">
        <v>5</v>
      </c>
      <c r="R60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474-PRT-08022</v>
      </c>
      <c r="S602" s="157" t="str">
        <f>HYPERLINK("https://www.mouser.com/ProductDetail/" &amp;MouserListTable[[#This Row],[Mouser SKU]])</f>
        <v>https://www.mouser.com/ProductDetail/474-PRT-08022</v>
      </c>
      <c r="T602" s="152">
        <v>0</v>
      </c>
      <c r="U602" s="152">
        <v>0</v>
      </c>
      <c r="V602" s="152">
        <v>0</v>
      </c>
      <c r="W602" s="152">
        <f>MouserListTable[[#This Row],['#/Unit]]*FilterSpecs!$C$3+MouserListTable[[#This Row],[Extra]]</f>
        <v>0</v>
      </c>
      <c r="X602" s="152">
        <f>IF(MouserListTable[[#This Row],[Tag]]=FilterSpecs!$F$7,MouserListTable[[#This Row],['#/Unit]]*MouserListTable[[#This Row],[Price (USD)]],0)</f>
        <v>0</v>
      </c>
      <c r="Y602" s="152">
        <f>MouserListTable[[#This Row],[Tot '#]]*MouserListTable[[#This Row],[Price (USD)]]</f>
        <v>0</v>
      </c>
    </row>
    <row r="603" spans="1:25" x14ac:dyDescent="0.25">
      <c r="A603" s="97" t="s">
        <v>890</v>
      </c>
      <c r="B603" s="97" t="s">
        <v>1598</v>
      </c>
      <c r="C603" s="150" t="s">
        <v>5</v>
      </c>
      <c r="D603" s="151" t="str">
        <f>IF(MouserListTable[[#This Row],[Vendor]]=FilterSpecs!$A$8,MouserListTable[[#This Row],[Mouser SKU]], MouserListTable[[#This Row],[Supplier SKU]])</f>
        <v>474-PRT-08025</v>
      </c>
      <c r="E603" s="152">
        <f>MouserListTable[[#This Row],[Tot '#]]-MouserListTable[[#This Row],['# Initial]]</f>
        <v>0</v>
      </c>
      <c r="F603" s="152">
        <f>IF(AND(MouserListTable[[#This Row],[Tag]]&lt;&gt;FilterSpecs!$F$12, MouserListTable[[#This Row],[Tag]]&lt;&gt;FilterSpecs!$F$9), MouserListTable[[#This Row],['#/Unit]]*FilterSpecs!$B$3+MouserListTable[[#This Row],[Extra Initial]],0)</f>
        <v>0</v>
      </c>
      <c r="G603" s="150" t="s">
        <v>1642</v>
      </c>
      <c r="H603" s="150" t="s">
        <v>1643</v>
      </c>
      <c r="I603" s="150" t="s">
        <v>1644</v>
      </c>
      <c r="J603" s="150"/>
      <c r="K603" s="154">
        <v>2.95</v>
      </c>
      <c r="L603" s="150" t="s">
        <v>1899</v>
      </c>
      <c r="M603" s="150"/>
      <c r="N603" s="154">
        <f>MouserListTable[[#This Row],['# Initial]]*MouserListTable[[#This Row],[Price (USD)]]</f>
        <v>0</v>
      </c>
      <c r="O603" s="151" t="s">
        <v>1641</v>
      </c>
      <c r="P603" s="150">
        <f t="shared" si="10"/>
        <v>590</v>
      </c>
      <c r="Q603" s="150" t="s">
        <v>5</v>
      </c>
      <c r="R60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474-PRT-08025</v>
      </c>
      <c r="S603" s="157" t="str">
        <f>HYPERLINK("https://www.mouser.com/ProductDetail/" &amp;MouserListTable[[#This Row],[Mouser SKU]])</f>
        <v>https://www.mouser.com/ProductDetail/474-PRT-08025</v>
      </c>
      <c r="T603" s="152">
        <v>0</v>
      </c>
      <c r="U603" s="152">
        <v>0</v>
      </c>
      <c r="V603" s="152">
        <v>0</v>
      </c>
      <c r="W603" s="152">
        <f>MouserListTable[[#This Row],['#/Unit]]*FilterSpecs!$C$3+MouserListTable[[#This Row],[Extra]]</f>
        <v>0</v>
      </c>
      <c r="X603" s="152">
        <f>IF(MouserListTable[[#This Row],[Tag]]=FilterSpecs!$F$7,MouserListTable[[#This Row],['#/Unit]]*MouserListTable[[#This Row],[Price (USD)]],0)</f>
        <v>0</v>
      </c>
      <c r="Y603" s="152">
        <f>MouserListTable[[#This Row],[Tot '#]]*MouserListTable[[#This Row],[Price (USD)]]</f>
        <v>0</v>
      </c>
    </row>
    <row r="604" spans="1:25" x14ac:dyDescent="0.25">
      <c r="A604" s="97" t="s">
        <v>890</v>
      </c>
      <c r="B604" s="97" t="s">
        <v>1598</v>
      </c>
      <c r="C604" s="150" t="s">
        <v>5</v>
      </c>
      <c r="D604" s="151" t="str">
        <f>IF(MouserListTable[[#This Row],[Vendor]]=FilterSpecs!$A$8,MouserListTable[[#This Row],[Mouser SKU]], MouserListTable[[#This Row],[Supplier SKU]])</f>
        <v>474-PRT-08026</v>
      </c>
      <c r="E604" s="152">
        <f>MouserListTable[[#This Row],[Tot '#]]-MouserListTable[[#This Row],['# Initial]]</f>
        <v>0</v>
      </c>
      <c r="F604" s="152">
        <f>IF(AND(MouserListTable[[#This Row],[Tag]]&lt;&gt;FilterSpecs!$F$12, MouserListTable[[#This Row],[Tag]]&lt;&gt;FilterSpecs!$F$9), MouserListTable[[#This Row],['#/Unit]]*FilterSpecs!$B$3+MouserListTable[[#This Row],[Extra Initial]],0)</f>
        <v>0</v>
      </c>
      <c r="G604" s="150" t="s">
        <v>1377</v>
      </c>
      <c r="H604" s="150" t="s">
        <v>1378</v>
      </c>
      <c r="I604" s="150" t="s">
        <v>1379</v>
      </c>
      <c r="J604" s="150">
        <v>1</v>
      </c>
      <c r="K604" s="154">
        <v>2.5</v>
      </c>
      <c r="L604" s="150" t="s">
        <v>1899</v>
      </c>
      <c r="M604" s="150"/>
      <c r="N604" s="154">
        <f>MouserListTable[[#This Row],['# Initial]]*MouserListTable[[#This Row],[Price (USD)]]</f>
        <v>0</v>
      </c>
      <c r="O604" s="151" t="s">
        <v>1376</v>
      </c>
      <c r="P604" s="150">
        <f t="shared" si="10"/>
        <v>591</v>
      </c>
      <c r="Q604" s="150" t="s">
        <v>5</v>
      </c>
      <c r="R60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474-PRT-08026</v>
      </c>
      <c r="S604" s="157" t="str">
        <f>HYPERLINK("https://www.mouser.com/ProductDetail/" &amp;MouserListTable[[#This Row],[Mouser SKU]])</f>
        <v>https://www.mouser.com/ProductDetail/474-PRT-08026</v>
      </c>
      <c r="T604" s="152">
        <v>0</v>
      </c>
      <c r="U604" s="152">
        <v>0</v>
      </c>
      <c r="V604" s="152">
        <v>0</v>
      </c>
      <c r="W604" s="152">
        <f>MouserListTable[[#This Row],['#/Unit]]*FilterSpecs!$C$3+MouserListTable[[#This Row],[Extra]]</f>
        <v>0</v>
      </c>
      <c r="X604" s="152">
        <f>IF(MouserListTable[[#This Row],[Tag]]=FilterSpecs!$F$7,MouserListTable[[#This Row],['#/Unit]]*MouserListTable[[#This Row],[Price (USD)]],0)</f>
        <v>0</v>
      </c>
      <c r="Y604" s="152">
        <f>MouserListTable[[#This Row],[Tot '#]]*MouserListTable[[#This Row],[Price (USD)]]</f>
        <v>0</v>
      </c>
    </row>
    <row r="605" spans="1:25" x14ac:dyDescent="0.25">
      <c r="A605" s="97" t="s">
        <v>890</v>
      </c>
      <c r="B605" s="97" t="s">
        <v>1598</v>
      </c>
      <c r="C605" s="150" t="s">
        <v>5</v>
      </c>
      <c r="D605" s="151" t="str">
        <f>IF(MouserListTable[[#This Row],[Vendor]]=FilterSpecs!$A$8,MouserListTable[[#This Row],[Mouser SKU]], MouserListTable[[#This Row],[Supplier SKU]])</f>
        <v>474-PRT-08027</v>
      </c>
      <c r="E605" s="152">
        <f>MouserListTable[[#This Row],[Tot '#]]-MouserListTable[[#This Row],['# Initial]]</f>
        <v>0</v>
      </c>
      <c r="F605" s="152">
        <f>IF(AND(MouserListTable[[#This Row],[Tag]]&lt;&gt;FilterSpecs!$F$12, MouserListTable[[#This Row],[Tag]]&lt;&gt;FilterSpecs!$F$9), MouserListTable[[#This Row],['#/Unit]]*FilterSpecs!$B$3+MouserListTable[[#This Row],[Extra Initial]],0)</f>
        <v>0</v>
      </c>
      <c r="G605" s="150" t="s">
        <v>1646</v>
      </c>
      <c r="H605" s="150" t="s">
        <v>1647</v>
      </c>
      <c r="I605" s="150" t="s">
        <v>1648</v>
      </c>
      <c r="J605" s="150"/>
      <c r="K605" s="154">
        <v>2.95</v>
      </c>
      <c r="L605" s="150" t="s">
        <v>1896</v>
      </c>
      <c r="M605" s="150"/>
      <c r="N605" s="154">
        <f>MouserListTable[[#This Row],['# Initial]]*MouserListTable[[#This Row],[Price (USD)]]</f>
        <v>0</v>
      </c>
      <c r="O605" s="151" t="s">
        <v>1645</v>
      </c>
      <c r="P605" s="150">
        <f t="shared" si="10"/>
        <v>592</v>
      </c>
      <c r="Q605" s="150" t="s">
        <v>5</v>
      </c>
      <c r="R60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474-PRT-08027</v>
      </c>
      <c r="S605" s="157" t="str">
        <f>HYPERLINK("https://www.mouser.com/ProductDetail/" &amp;MouserListTable[[#This Row],[Mouser SKU]])</f>
        <v>https://www.mouser.com/ProductDetail/474-PRT-08027</v>
      </c>
      <c r="T605" s="152">
        <v>0</v>
      </c>
      <c r="U605" s="152">
        <v>0</v>
      </c>
      <c r="V605" s="152">
        <v>0</v>
      </c>
      <c r="W605" s="152">
        <f>MouserListTable[[#This Row],['#/Unit]]*FilterSpecs!$C$3+MouserListTable[[#This Row],[Extra]]</f>
        <v>0</v>
      </c>
      <c r="X605" s="152">
        <f>IF(MouserListTable[[#This Row],[Tag]]=FilterSpecs!$F$7,MouserListTable[[#This Row],['#/Unit]]*MouserListTable[[#This Row],[Price (USD)]],0)</f>
        <v>0</v>
      </c>
      <c r="Y605" s="152">
        <f>MouserListTable[[#This Row],[Tot '#]]*MouserListTable[[#This Row],[Price (USD)]]</f>
        <v>0</v>
      </c>
    </row>
    <row r="606" spans="1:25" x14ac:dyDescent="0.25">
      <c r="A606" s="150" t="s">
        <v>890</v>
      </c>
      <c r="B606" s="150" t="s">
        <v>1598</v>
      </c>
      <c r="C606" s="150" t="s">
        <v>5</v>
      </c>
      <c r="D606" s="151" t="str">
        <f>IF(MouserListTable[[#This Row],[Vendor]]=FilterSpecs!$A$8,MouserListTable[[#This Row],[Mouser SKU]], MouserListTable[[#This Row],[Supplier SKU]])</f>
        <v>474-PRT-00124</v>
      </c>
      <c r="E606" s="152">
        <f>MouserListTable[[#This Row],[Tot '#]]-MouserListTable[[#This Row],['# Initial]]</f>
        <v>0</v>
      </c>
      <c r="F606" s="152">
        <f>IF(AND(MouserListTable[[#This Row],[Tag]]&lt;&gt;FilterSpecs!$F$12, MouserListTable[[#This Row],[Tag]]&lt;&gt;FilterSpecs!$F$9), MouserListTable[[#This Row],['#/Unit]]*FilterSpecs!$B$3+MouserListTable[[#This Row],[Extra Initial]],0)</f>
        <v>2</v>
      </c>
      <c r="G606" s="150" t="s">
        <v>411</v>
      </c>
      <c r="H606" s="150" t="s">
        <v>412</v>
      </c>
      <c r="I606" s="150" t="s">
        <v>413</v>
      </c>
      <c r="J606" s="150">
        <v>1</v>
      </c>
      <c r="K606" s="154">
        <v>6.95</v>
      </c>
      <c r="L606" s="150" t="s">
        <v>1896</v>
      </c>
      <c r="M606" s="150"/>
      <c r="N606" s="154">
        <f>MouserListTable[[#This Row],['# Initial]]*MouserListTable[[#This Row],[Price (USD)]]</f>
        <v>13.9</v>
      </c>
      <c r="O606" s="151" t="s">
        <v>410</v>
      </c>
      <c r="P606" s="150">
        <f t="shared" si="10"/>
        <v>593</v>
      </c>
      <c r="Q606" s="150" t="s">
        <v>5</v>
      </c>
      <c r="R60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474-PRT-00124</v>
      </c>
      <c r="S606" s="157" t="str">
        <f>HYPERLINK("https://www.mouser.com/ProductDetail/" &amp;MouserListTable[[#This Row],[Mouser SKU]])</f>
        <v>https://www.mouser.com/ProductDetail/474-PRT-00124</v>
      </c>
      <c r="T606" s="152">
        <v>0</v>
      </c>
      <c r="U606" s="152">
        <v>2</v>
      </c>
      <c r="V606" s="152">
        <v>2</v>
      </c>
      <c r="W606" s="152">
        <f>MouserListTable[[#This Row],['#/Unit]]*FilterSpecs!$C$3+MouserListTable[[#This Row],[Extra]]</f>
        <v>2</v>
      </c>
      <c r="X606" s="152">
        <f>IF(MouserListTable[[#This Row],[Tag]]=FilterSpecs!$F$7,MouserListTable[[#This Row],['#/Unit]]*MouserListTable[[#This Row],[Price (USD)]],0)</f>
        <v>0</v>
      </c>
      <c r="Y606" s="152">
        <f>MouserListTable[[#This Row],[Tot '#]]*MouserListTable[[#This Row],[Price (USD)]]</f>
        <v>13.9</v>
      </c>
    </row>
    <row r="607" spans="1:25" x14ac:dyDescent="0.25">
      <c r="A607" s="98" t="s">
        <v>890</v>
      </c>
      <c r="B607" s="98" t="s">
        <v>1598</v>
      </c>
      <c r="C607" s="150" t="s">
        <v>1884</v>
      </c>
      <c r="D607" s="151" t="str">
        <f>IF(MouserListTable[[#This Row],[Vendor]]=FilterSpecs!$A$8,MouserListTable[[#This Row],[Mouser SKU]], MouserListTable[[#This Row],[Supplier SKU]])</f>
        <v>485-3314</v>
      </c>
      <c r="E607" s="152">
        <f>MouserListTable[[#This Row],[Tot '#]]-MouserListTable[[#This Row],['# Initial]]</f>
        <v>0</v>
      </c>
      <c r="F607" s="152">
        <f>IF(AND(MouserListTable[[#This Row],[Tag]]&lt;&gt;FilterSpecs!$F$12, MouserListTable[[#This Row],[Tag]]&lt;&gt;FilterSpecs!$F$9), MouserListTable[[#This Row],['#/Unit]]*FilterSpecs!$B$3+MouserListTable[[#This Row],[Extra Initial]],0)</f>
        <v>0</v>
      </c>
      <c r="G607" s="150"/>
      <c r="H607" s="150"/>
      <c r="I607" s="150" t="s">
        <v>2442</v>
      </c>
      <c r="J607" s="113">
        <v>110</v>
      </c>
      <c r="K607" s="119">
        <v>7.95</v>
      </c>
      <c r="L607" s="97" t="s">
        <v>1896</v>
      </c>
      <c r="M607" s="153"/>
      <c r="N607" s="154">
        <f>MouserListTable[[#This Row],['# Initial]]*MouserListTable[[#This Row],[Price (USD)]]</f>
        <v>0</v>
      </c>
      <c r="O607" s="113" t="s">
        <v>2443</v>
      </c>
      <c r="P607" s="150">
        <f t="shared" si="10"/>
        <v>594</v>
      </c>
      <c r="Q607" s="150" t="s">
        <v>1884</v>
      </c>
      <c r="R60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485-3314</v>
      </c>
      <c r="S607" s="157" t="str">
        <f>HYPERLINK("https://www.mouser.com/ProductDetail/" &amp;MouserListTable[[#This Row],[Mouser SKU]])</f>
        <v>https://www.mouser.com/ProductDetail/485-3314</v>
      </c>
      <c r="T607" s="152">
        <v>0</v>
      </c>
      <c r="U607" s="152">
        <v>0</v>
      </c>
      <c r="V607" s="152">
        <v>0</v>
      </c>
      <c r="W607" s="152">
        <f>MouserListTable[[#This Row],['#/Unit]]*FilterSpecs!$C$3+MouserListTable[[#This Row],[Extra]]</f>
        <v>0</v>
      </c>
      <c r="X607" s="152">
        <f>IF(MouserListTable[[#This Row],[Tag]]=FilterSpecs!$F$7,MouserListTable[[#This Row],['#/Unit]]*MouserListTable[[#This Row],[Price (USD)]],0)</f>
        <v>0</v>
      </c>
      <c r="Y607" s="152">
        <f>MouserListTable[[#This Row],[Tot '#]]*MouserListTable[[#This Row],[Price (USD)]]</f>
        <v>0</v>
      </c>
    </row>
    <row r="608" spans="1:25" x14ac:dyDescent="0.25">
      <c r="A608" s="150" t="s">
        <v>13</v>
      </c>
      <c r="B608" s="150" t="s">
        <v>1600</v>
      </c>
      <c r="C608" s="150" t="s">
        <v>5</v>
      </c>
      <c r="D608" s="151" t="str">
        <f>IF(MouserListTable[[#This Row],[Vendor]]=FilterSpecs!$A$8,MouserListTable[[#This Row],[Mouser SKU]], MouserListTable[[#This Row],[Supplier SKU]])</f>
        <v>474-TOL-13086</v>
      </c>
      <c r="E608" s="152">
        <f>MouserListTable[[#This Row],[Tot '#]]-MouserListTable[[#This Row],['# Initial]]</f>
        <v>0</v>
      </c>
      <c r="F608" s="152">
        <f>IF(AND(MouserListTable[[#This Row],[Tag]]&lt;&gt;FilterSpecs!$F$12, MouserListTable[[#This Row],[Tag]]&lt;&gt;FilterSpecs!$F$9), MouserListTable[[#This Row],['#/Unit]]*FilterSpecs!$B$3+MouserListTable[[#This Row],[Extra Initial]],0)</f>
        <v>0</v>
      </c>
      <c r="G608" s="150" t="s">
        <v>1186</v>
      </c>
      <c r="H608" s="150" t="s">
        <v>1187</v>
      </c>
      <c r="I608" s="150" t="s">
        <v>1188</v>
      </c>
      <c r="J608" s="150">
        <v>1</v>
      </c>
      <c r="K608" s="154">
        <v>34.950000000000003</v>
      </c>
      <c r="L608" s="150" t="s">
        <v>1900</v>
      </c>
      <c r="M608" s="151"/>
      <c r="N608" s="154">
        <f>MouserListTable[[#This Row],['# Initial]]*MouserListTable[[#This Row],[Price (USD)]]</f>
        <v>0</v>
      </c>
      <c r="O608" s="151" t="s">
        <v>1185</v>
      </c>
      <c r="P608" s="150">
        <f t="shared" si="10"/>
        <v>595</v>
      </c>
      <c r="Q608" s="150" t="s">
        <v>5</v>
      </c>
      <c r="R60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474-TOL-13086</v>
      </c>
      <c r="S608" s="157" t="str">
        <f>HYPERLINK("https://www.mouser.com/ProductDetail/" &amp;MouserListTable[[#This Row],[Mouser SKU]])</f>
        <v>https://www.mouser.com/ProductDetail/474-TOL-13086</v>
      </c>
      <c r="T608" s="152">
        <v>0</v>
      </c>
      <c r="U608" s="152">
        <v>0</v>
      </c>
      <c r="V608" s="152">
        <v>0</v>
      </c>
      <c r="W608" s="152">
        <f>MouserListTable[[#This Row],['#/Unit]]*FilterSpecs!$C$3+MouserListTable[[#This Row],[Extra]]</f>
        <v>0</v>
      </c>
      <c r="X608" s="152">
        <f>IF(MouserListTable[[#This Row],[Tag]]=FilterSpecs!$F$7,MouserListTable[[#This Row],['#/Unit]]*MouserListTable[[#This Row],[Price (USD)]],0)</f>
        <v>0</v>
      </c>
      <c r="Y608" s="152">
        <f>MouserListTable[[#This Row],[Tot '#]]*MouserListTable[[#This Row],[Price (USD)]]</f>
        <v>0</v>
      </c>
    </row>
    <row r="609" spans="1:25" x14ac:dyDescent="0.25">
      <c r="A609" s="98" t="s">
        <v>13</v>
      </c>
      <c r="B609" s="98" t="s">
        <v>1600</v>
      </c>
      <c r="C609" s="150" t="s">
        <v>1884</v>
      </c>
      <c r="D609" s="151" t="str">
        <f>IF(MouserListTable[[#This Row],[Vendor]]=FilterSpecs!$A$8,MouserListTable[[#This Row],[Mouser SKU]], MouserListTable[[#This Row],[Supplier SKU]])</f>
        <v>485-136</v>
      </c>
      <c r="E609" s="152">
        <f>MouserListTable[[#This Row],[Tot '#]]-MouserListTable[[#This Row],['# Initial]]</f>
        <v>0</v>
      </c>
      <c r="F609" s="152">
        <f>IF(AND(MouserListTable[[#This Row],[Tag]]&lt;&gt;FilterSpecs!$F$12, MouserListTable[[#This Row],[Tag]]&lt;&gt;FilterSpecs!$F$9), MouserListTable[[#This Row],['#/Unit]]*FilterSpecs!$B$3+MouserListTable[[#This Row],[Extra Initial]],0)</f>
        <v>0</v>
      </c>
      <c r="G609" s="150"/>
      <c r="H609" s="150"/>
      <c r="I609" s="150" t="s">
        <v>2438</v>
      </c>
      <c r="J609" s="113">
        <v>108</v>
      </c>
      <c r="K609" s="119">
        <v>100</v>
      </c>
      <c r="L609" s="97" t="s">
        <v>1896</v>
      </c>
      <c r="M609" s="153"/>
      <c r="N609" s="154">
        <f>MouserListTable[[#This Row],['# Initial]]*MouserListTable[[#This Row],[Price (USD)]]</f>
        <v>0</v>
      </c>
      <c r="O609" s="113" t="s">
        <v>2439</v>
      </c>
      <c r="P609" s="150">
        <f t="shared" si="10"/>
        <v>596</v>
      </c>
      <c r="Q609" s="150" t="s">
        <v>1884</v>
      </c>
      <c r="R60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485-136</v>
      </c>
      <c r="S609" s="157" t="str">
        <f>HYPERLINK("https://www.mouser.com/ProductDetail/" &amp;MouserListTable[[#This Row],[Mouser SKU]])</f>
        <v>https://www.mouser.com/ProductDetail/485-136</v>
      </c>
      <c r="T609" s="152">
        <v>0</v>
      </c>
      <c r="U609" s="152">
        <v>0</v>
      </c>
      <c r="V609" s="152">
        <v>0</v>
      </c>
      <c r="W609" s="152">
        <f>MouserListTable[[#This Row],['#/Unit]]*FilterSpecs!$C$3+MouserListTable[[#This Row],[Extra]]</f>
        <v>0</v>
      </c>
      <c r="X609" s="152">
        <f>IF(MouserListTable[[#This Row],[Tag]]=FilterSpecs!$F$7,MouserListTable[[#This Row],['#/Unit]]*MouserListTable[[#This Row],[Price (USD)]],0)</f>
        <v>0</v>
      </c>
      <c r="Y609" s="152">
        <f>MouserListTable[[#This Row],[Tot '#]]*MouserListTable[[#This Row],[Price (USD)]]</f>
        <v>0</v>
      </c>
    </row>
    <row r="610" spans="1:25" x14ac:dyDescent="0.25">
      <c r="A610" s="97" t="s">
        <v>13</v>
      </c>
      <c r="B610" s="97" t="s">
        <v>1600</v>
      </c>
      <c r="C610" s="150" t="s">
        <v>5</v>
      </c>
      <c r="D610" s="151" t="str">
        <f>IF(MouserListTable[[#This Row],[Vendor]]=FilterSpecs!$A$8,MouserListTable[[#This Row],[Mouser SKU]], MouserListTable[[#This Row],[Supplier SKU]])</f>
        <v>474-TOL-14226</v>
      </c>
      <c r="E610" s="152">
        <f>MouserListTable[[#This Row],[Tot '#]]-MouserListTable[[#This Row],['# Initial]]</f>
        <v>0</v>
      </c>
      <c r="F610" s="152">
        <f>IF(AND(MouserListTable[[#This Row],[Tag]]&lt;&gt;FilterSpecs!$F$12, MouserListTable[[#This Row],[Tag]]&lt;&gt;FilterSpecs!$F$9), MouserListTable[[#This Row],['#/Unit]]*FilterSpecs!$B$3+MouserListTable[[#This Row],[Extra Initial]],0)</f>
        <v>0</v>
      </c>
      <c r="G610" s="150" t="s">
        <v>1629</v>
      </c>
      <c r="H610" s="150" t="s">
        <v>1630</v>
      </c>
      <c r="I610" s="150" t="s">
        <v>1631</v>
      </c>
      <c r="J610" s="150"/>
      <c r="K610" s="154">
        <v>59.95</v>
      </c>
      <c r="L610" s="150" t="s">
        <v>1900</v>
      </c>
      <c r="M610" s="153"/>
      <c r="N610" s="154">
        <f>MouserListTable[[#This Row],['# Initial]]*MouserListTable[[#This Row],[Price (USD)]]</f>
        <v>0</v>
      </c>
      <c r="O610" s="151" t="s">
        <v>1628</v>
      </c>
      <c r="P610" s="150">
        <f t="shared" si="10"/>
        <v>597</v>
      </c>
      <c r="Q610" s="150" t="s">
        <v>5</v>
      </c>
      <c r="R61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474-TOL-14226</v>
      </c>
      <c r="S610" s="157" t="str">
        <f>HYPERLINK("https://www.mouser.com/ProductDetail/" &amp;MouserListTable[[#This Row],[Mouser SKU]])</f>
        <v>https://www.mouser.com/ProductDetail/474-TOL-14226</v>
      </c>
      <c r="T610" s="152">
        <v>0</v>
      </c>
      <c r="U610" s="152">
        <v>0</v>
      </c>
      <c r="V610" s="152">
        <v>0</v>
      </c>
      <c r="W610" s="152">
        <f>MouserListTable[[#This Row],['#/Unit]]*FilterSpecs!$C$3+MouserListTable[[#This Row],[Extra]]</f>
        <v>0</v>
      </c>
      <c r="X610" s="152">
        <f>IF(MouserListTable[[#This Row],[Tag]]=FilterSpecs!$F$7,MouserListTable[[#This Row],['#/Unit]]*MouserListTable[[#This Row],[Price (USD)]],0)</f>
        <v>0</v>
      </c>
      <c r="Y610" s="152">
        <f>MouserListTable[[#This Row],[Tot '#]]*MouserListTable[[#This Row],[Price (USD)]]</f>
        <v>0</v>
      </c>
    </row>
    <row r="611" spans="1:25" x14ac:dyDescent="0.25">
      <c r="A611" s="150" t="s">
        <v>13</v>
      </c>
      <c r="B611" s="150" t="s">
        <v>1600</v>
      </c>
      <c r="C611" s="150" t="s">
        <v>5</v>
      </c>
      <c r="D611" s="151" t="str">
        <f>IF(MouserListTable[[#This Row],[Vendor]]=FilterSpecs!$A$8,MouserListTable[[#This Row],[Mouser SKU]], MouserListTable[[#This Row],[Supplier SKU]])</f>
        <v>474-TOL-13203</v>
      </c>
      <c r="E611" s="152">
        <f>MouserListTable[[#This Row],[Tot '#]]-MouserListTable[[#This Row],['# Initial]]</f>
        <v>0</v>
      </c>
      <c r="F611" s="152">
        <f>IF(AND(MouserListTable[[#This Row],[Tag]]&lt;&gt;FilterSpecs!$F$12, MouserListTable[[#This Row],[Tag]]&lt;&gt;FilterSpecs!$F$9), MouserListTable[[#This Row],['#/Unit]]*FilterSpecs!$B$3+MouserListTable[[#This Row],[Extra Initial]],0)</f>
        <v>0</v>
      </c>
      <c r="G611" s="150" t="s">
        <v>1637</v>
      </c>
      <c r="H611" s="150" t="s">
        <v>1638</v>
      </c>
      <c r="I611" s="150" t="s">
        <v>1639</v>
      </c>
      <c r="J611" s="150"/>
      <c r="K611" s="154">
        <v>4.95</v>
      </c>
      <c r="L611" s="150" t="s">
        <v>1900</v>
      </c>
      <c r="M611" s="151"/>
      <c r="N611" s="154">
        <f>MouserListTable[[#This Row],['# Initial]]*MouserListTable[[#This Row],[Price (USD)]]</f>
        <v>0</v>
      </c>
      <c r="O611" s="151" t="s">
        <v>1636</v>
      </c>
      <c r="P611" s="150">
        <f t="shared" si="10"/>
        <v>598</v>
      </c>
      <c r="Q611" s="150" t="s">
        <v>5</v>
      </c>
      <c r="R61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474-TOL-13203</v>
      </c>
      <c r="S611" s="157" t="str">
        <f>HYPERLINK("https://www.mouser.com/ProductDetail/" &amp;MouserListTable[[#This Row],[Mouser SKU]])</f>
        <v>https://www.mouser.com/ProductDetail/474-TOL-13203</v>
      </c>
      <c r="T611" s="152">
        <v>0</v>
      </c>
      <c r="U611" s="152">
        <v>0</v>
      </c>
      <c r="V611" s="152">
        <v>0</v>
      </c>
      <c r="W611" s="152">
        <f>MouserListTable[[#This Row],['#/Unit]]*FilterSpecs!$C$3+MouserListTable[[#This Row],[Extra]]</f>
        <v>0</v>
      </c>
      <c r="X611" s="152">
        <f>IF(MouserListTable[[#This Row],[Tag]]=FilterSpecs!$F$7,MouserListTable[[#This Row],['#/Unit]]*MouserListTable[[#This Row],[Price (USD)]],0)</f>
        <v>0</v>
      </c>
      <c r="Y611" s="152">
        <f>MouserListTable[[#This Row],[Tot '#]]*MouserListTable[[#This Row],[Price (USD)]]</f>
        <v>0</v>
      </c>
    </row>
    <row r="612" spans="1:25" x14ac:dyDescent="0.25">
      <c r="A612" s="150" t="s">
        <v>13</v>
      </c>
      <c r="B612" s="150" t="s">
        <v>1600</v>
      </c>
      <c r="C612" s="150" t="s">
        <v>5</v>
      </c>
      <c r="D612" s="151" t="str">
        <f>IF(MouserListTable[[#This Row],[Vendor]]=FilterSpecs!$A$8,MouserListTable[[#This Row],[Mouser SKU]], MouserListTable[[#This Row],[Supplier SKU]])</f>
        <v>474-TOL-08964</v>
      </c>
      <c r="E612" s="152">
        <f>MouserListTable[[#This Row],[Tot '#]]-MouserListTable[[#This Row],['# Initial]]</f>
        <v>0</v>
      </c>
      <c r="F612" s="152">
        <f>IF(AND(MouserListTable[[#This Row],[Tag]]&lt;&gt;FilterSpecs!$F$12, MouserListTable[[#This Row],[Tag]]&lt;&gt;FilterSpecs!$F$9), MouserListTable[[#This Row],['#/Unit]]*FilterSpecs!$B$3+MouserListTable[[#This Row],[Extra Initial]],0)</f>
        <v>0</v>
      </c>
      <c r="G612" s="150" t="s">
        <v>1609</v>
      </c>
      <c r="H612" s="150" t="s">
        <v>1610</v>
      </c>
      <c r="I612" s="150" t="s">
        <v>1611</v>
      </c>
      <c r="J612" s="150">
        <v>1</v>
      </c>
      <c r="K612" s="154">
        <v>2.95</v>
      </c>
      <c r="L612" s="150" t="s">
        <v>1900</v>
      </c>
      <c r="M612" s="151"/>
      <c r="N612" s="154">
        <f>MouserListTable[[#This Row],['# Initial]]*MouserListTable[[#This Row],[Price (USD)]]</f>
        <v>0</v>
      </c>
      <c r="O612" s="151" t="s">
        <v>1608</v>
      </c>
      <c r="P612" s="150">
        <f t="shared" si="10"/>
        <v>599</v>
      </c>
      <c r="Q612" s="150" t="s">
        <v>5</v>
      </c>
      <c r="R61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474-TOL-08964</v>
      </c>
      <c r="S612" s="157" t="str">
        <f>HYPERLINK("https://www.mouser.com/ProductDetail/" &amp;MouserListTable[[#This Row],[Mouser SKU]])</f>
        <v>https://www.mouser.com/ProductDetail/474-TOL-08964</v>
      </c>
      <c r="T612" s="152">
        <v>0</v>
      </c>
      <c r="U612" s="152">
        <v>0</v>
      </c>
      <c r="V612" s="152">
        <v>0</v>
      </c>
      <c r="W612" s="152">
        <f>MouserListTable[[#This Row],['#/Unit]]*FilterSpecs!$C$3+MouserListTable[[#This Row],[Extra]]</f>
        <v>0</v>
      </c>
      <c r="X612" s="152">
        <f>IF(MouserListTable[[#This Row],[Tag]]=FilterSpecs!$F$7,MouserListTable[[#This Row],['#/Unit]]*MouserListTable[[#This Row],[Price (USD)]],0)</f>
        <v>0</v>
      </c>
      <c r="Y612" s="152">
        <f>MouserListTable[[#This Row],[Tot '#]]*MouserListTable[[#This Row],[Price (USD)]]</f>
        <v>0</v>
      </c>
    </row>
    <row r="613" spans="1:25" x14ac:dyDescent="0.25">
      <c r="A613" s="150" t="s">
        <v>13</v>
      </c>
      <c r="B613" s="150" t="s">
        <v>1600</v>
      </c>
      <c r="C613" s="150" t="s">
        <v>5</v>
      </c>
      <c r="D613" s="151" t="str">
        <f>IF(MouserListTable[[#This Row],[Vendor]]=FilterSpecs!$A$8,MouserListTable[[#This Row],[Mouser SKU]], MouserListTable[[#This Row],[Supplier SKU]])</f>
        <v>474-TOL-12878</v>
      </c>
      <c r="E613" s="152">
        <f>MouserListTable[[#This Row],[Tot '#]]-MouserListTable[[#This Row],['# Initial]]</f>
        <v>0</v>
      </c>
      <c r="F613" s="152">
        <f>IF(AND(MouserListTable[[#This Row],[Tag]]&lt;&gt;FilterSpecs!$F$12, MouserListTable[[#This Row],[Tag]]&lt;&gt;FilterSpecs!$F$9), MouserListTable[[#This Row],['#/Unit]]*FilterSpecs!$B$3+MouserListTable[[#This Row],[Extra Initial]],0)</f>
        <v>1</v>
      </c>
      <c r="G613" s="150" t="s">
        <v>1429</v>
      </c>
      <c r="H613" s="150" t="s">
        <v>1430</v>
      </c>
      <c r="I613" s="150" t="s">
        <v>1431</v>
      </c>
      <c r="J613" s="150">
        <v>1</v>
      </c>
      <c r="K613" s="154">
        <v>16.95</v>
      </c>
      <c r="L613" s="150" t="s">
        <v>1900</v>
      </c>
      <c r="M613" s="151"/>
      <c r="N613" s="154">
        <f>MouserListTable[[#This Row],['# Initial]]*MouserListTable[[#This Row],[Price (USD)]]</f>
        <v>16.95</v>
      </c>
      <c r="O613" s="151" t="s">
        <v>1428</v>
      </c>
      <c r="P613" s="150">
        <f t="shared" si="10"/>
        <v>600</v>
      </c>
      <c r="Q613" s="150" t="s">
        <v>5</v>
      </c>
      <c r="R61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474-TOL-12878</v>
      </c>
      <c r="S613" s="157" t="str">
        <f>HYPERLINK("https://www.mouser.com/ProductDetail/" &amp;MouserListTable[[#This Row],[Mouser SKU]])</f>
        <v>https://www.mouser.com/ProductDetail/474-TOL-12878</v>
      </c>
      <c r="T613" s="152">
        <v>0</v>
      </c>
      <c r="U613" s="152">
        <v>1</v>
      </c>
      <c r="V613" s="152">
        <v>1</v>
      </c>
      <c r="W613" s="152">
        <f>MouserListTable[[#This Row],['#/Unit]]*FilterSpecs!$C$3+MouserListTable[[#This Row],[Extra]]</f>
        <v>1</v>
      </c>
      <c r="X613" s="152">
        <f>IF(MouserListTable[[#This Row],[Tag]]=FilterSpecs!$F$7,MouserListTable[[#This Row],['#/Unit]]*MouserListTable[[#This Row],[Price (USD)]],0)</f>
        <v>0</v>
      </c>
      <c r="Y613" s="152">
        <f>MouserListTable[[#This Row],[Tot '#]]*MouserListTable[[#This Row],[Price (USD)]]</f>
        <v>16.95</v>
      </c>
    </row>
    <row r="614" spans="1:25" x14ac:dyDescent="0.25">
      <c r="A614" s="150" t="s">
        <v>13</v>
      </c>
      <c r="B614" s="150" t="s">
        <v>1600</v>
      </c>
      <c r="C614" s="150" t="s">
        <v>5</v>
      </c>
      <c r="D614" s="151" t="str">
        <f>IF(MouserListTable[[#This Row],[Vendor]]=FilterSpecs!$A$8,MouserListTable[[#This Row],[Mouser SKU]], MouserListTable[[#This Row],[Supplier SKU]])</f>
        <v>474-TOL-10706</v>
      </c>
      <c r="E614" s="152">
        <f>MouserListTable[[#This Row],[Tot '#]]-MouserListTable[[#This Row],['# Initial]]</f>
        <v>0</v>
      </c>
      <c r="F614" s="152">
        <f>IF(AND(MouserListTable[[#This Row],[Tag]]&lt;&gt;FilterSpecs!$F$12, MouserListTable[[#This Row],[Tag]]&lt;&gt;FilterSpecs!$F$9), MouserListTable[[#This Row],['#/Unit]]*FilterSpecs!$B$3+MouserListTable[[#This Row],[Extra Initial]],0)</f>
        <v>0</v>
      </c>
      <c r="G614" s="150" t="s">
        <v>851</v>
      </c>
      <c r="H614" s="150" t="s">
        <v>852</v>
      </c>
      <c r="I614" s="150" t="s">
        <v>853</v>
      </c>
      <c r="J614" s="150"/>
      <c r="K614" s="154">
        <v>114.95</v>
      </c>
      <c r="L614" s="150" t="s">
        <v>1900</v>
      </c>
      <c r="M614" s="150"/>
      <c r="N614" s="154">
        <f>MouserListTable[[#This Row],['# Initial]]*MouserListTable[[#This Row],[Price (USD)]]</f>
        <v>0</v>
      </c>
      <c r="O614" s="151" t="s">
        <v>850</v>
      </c>
      <c r="P614" s="150">
        <f t="shared" si="10"/>
        <v>601</v>
      </c>
      <c r="Q614" s="150" t="s">
        <v>5</v>
      </c>
      <c r="R61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474-TOL-10706</v>
      </c>
      <c r="S614" s="157" t="str">
        <f>HYPERLINK("https://www.mouser.com/ProductDetail/" &amp;MouserListTable[[#This Row],[Mouser SKU]])</f>
        <v>https://www.mouser.com/ProductDetail/474-TOL-10706</v>
      </c>
      <c r="T614" s="152">
        <v>0</v>
      </c>
      <c r="U614" s="152">
        <v>0</v>
      </c>
      <c r="V614" s="152">
        <v>0</v>
      </c>
      <c r="W614" s="152">
        <f>MouserListTable[[#This Row],['#/Unit]]*FilterSpecs!$C$3+MouserListTable[[#This Row],[Extra]]</f>
        <v>0</v>
      </c>
      <c r="X614" s="152">
        <f>IF(MouserListTable[[#This Row],[Tag]]=FilterSpecs!$F$7,MouserListTable[[#This Row],['#/Unit]]*MouserListTable[[#This Row],[Price (USD)]],0)</f>
        <v>0</v>
      </c>
      <c r="Y614" s="152">
        <f>MouserListTable[[#This Row],[Tot '#]]*MouserListTable[[#This Row],[Price (USD)]]</f>
        <v>0</v>
      </c>
    </row>
    <row r="615" spans="1:25" x14ac:dyDescent="0.25">
      <c r="A615" s="150" t="s">
        <v>13</v>
      </c>
      <c r="B615" s="150" t="s">
        <v>1600</v>
      </c>
      <c r="C615" s="150" t="s">
        <v>1884</v>
      </c>
      <c r="D615" s="151" t="str">
        <f>IF(MouserListTable[[#This Row],[Vendor]]=FilterSpecs!$A$8,MouserListTable[[#This Row],[Mouser SKU]], MouserListTable[[#This Row],[Supplier SKU]])</f>
        <v>485-1869</v>
      </c>
      <c r="E615" s="152">
        <f>MouserListTable[[#This Row],[Tot '#]]-MouserListTable[[#This Row],['# Initial]]</f>
        <v>0</v>
      </c>
      <c r="F615" s="152">
        <f>IF(AND(MouserListTable[[#This Row],[Tag]]&lt;&gt;FilterSpecs!$F$12, MouserListTable[[#This Row],[Tag]]&lt;&gt;FilterSpecs!$F$9), MouserListTable[[#This Row],['#/Unit]]*FilterSpecs!$B$3+MouserListTable[[#This Row],[Extra Initial]],0)</f>
        <v>0</v>
      </c>
      <c r="G615" s="150"/>
      <c r="H615" s="150"/>
      <c r="I615" s="150" t="s">
        <v>2367</v>
      </c>
      <c r="J615" s="153"/>
      <c r="K615" s="118">
        <v>97.5</v>
      </c>
      <c r="L615" s="97" t="s">
        <v>1899</v>
      </c>
      <c r="M615" s="153"/>
      <c r="N615" s="154">
        <f>MouserListTable[[#This Row],['# Initial]]*MouserListTable[[#This Row],[Price (USD)]]</f>
        <v>0</v>
      </c>
      <c r="O615" s="151" t="s">
        <v>2366</v>
      </c>
      <c r="P615" s="150">
        <f t="shared" si="10"/>
        <v>602</v>
      </c>
      <c r="Q615" s="150" t="s">
        <v>1884</v>
      </c>
      <c r="R61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485-1869</v>
      </c>
      <c r="S615" s="157" t="str">
        <f>HYPERLINK("https://www.mouser.com/ProductDetail/" &amp;MouserListTable[[#This Row],[Mouser SKU]])</f>
        <v>https://www.mouser.com/ProductDetail/485-1869</v>
      </c>
      <c r="T615" s="152">
        <v>0</v>
      </c>
      <c r="U615" s="152">
        <v>0</v>
      </c>
      <c r="V615" s="152">
        <v>0</v>
      </c>
      <c r="W615" s="152">
        <f>MouserListTable[[#This Row],['#/Unit]]*FilterSpecs!$C$3+MouserListTable[[#This Row],[Extra]]</f>
        <v>0</v>
      </c>
      <c r="X615" s="152">
        <f>IF(MouserListTable[[#This Row],[Tag]]=FilterSpecs!$F$7,MouserListTable[[#This Row],['#/Unit]]*MouserListTable[[#This Row],[Price (USD)]],0)</f>
        <v>0</v>
      </c>
      <c r="Y615" s="152">
        <f>MouserListTable[[#This Row],[Tot '#]]*MouserListTable[[#This Row],[Price (USD)]]</f>
        <v>0</v>
      </c>
    </row>
    <row r="616" spans="1:25" x14ac:dyDescent="0.25">
      <c r="A616" s="150" t="s">
        <v>13</v>
      </c>
      <c r="B616" s="150" t="s">
        <v>1600</v>
      </c>
      <c r="C616" s="150" t="s">
        <v>5</v>
      </c>
      <c r="D616" s="151" t="str">
        <f>IF(MouserListTable[[#This Row],[Vendor]]=FilterSpecs!$A$8,MouserListTable[[#This Row],[Mouser SKU]], MouserListTable[[#This Row],[Supplier SKU]])</f>
        <v>474-TOL-07925</v>
      </c>
      <c r="E616" s="152">
        <f>MouserListTable[[#This Row],[Tot '#]]-MouserListTable[[#This Row],['# Initial]]</f>
        <v>0</v>
      </c>
      <c r="F616" s="152">
        <f>IF(AND(MouserListTable[[#This Row],[Tag]]&lt;&gt;FilterSpecs!$F$12, MouserListTable[[#This Row],[Tag]]&lt;&gt;FilterSpecs!$F$9), MouserListTable[[#This Row],['#/Unit]]*FilterSpecs!$B$3+MouserListTable[[#This Row],[Extra Initial]],0)</f>
        <v>0</v>
      </c>
      <c r="G616" s="150" t="s">
        <v>1625</v>
      </c>
      <c r="H616" s="150" t="s">
        <v>1626</v>
      </c>
      <c r="I616" s="150" t="s">
        <v>1627</v>
      </c>
      <c r="J616" s="150"/>
      <c r="K616" s="154">
        <v>14.95</v>
      </c>
      <c r="L616" s="150" t="s">
        <v>1900</v>
      </c>
      <c r="M616" s="151"/>
      <c r="N616" s="154">
        <f>MouserListTable[[#This Row],['# Initial]]*MouserListTable[[#This Row],[Price (USD)]]</f>
        <v>0</v>
      </c>
      <c r="O616" s="151" t="s">
        <v>1624</v>
      </c>
      <c r="P616" s="150">
        <f t="shared" si="10"/>
        <v>603</v>
      </c>
      <c r="Q616" s="150" t="s">
        <v>5</v>
      </c>
      <c r="R61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474-TOL-07925</v>
      </c>
      <c r="S616" s="157" t="str">
        <f>HYPERLINK("https://www.mouser.com/ProductDetail/" &amp;MouserListTable[[#This Row],[Mouser SKU]])</f>
        <v>https://www.mouser.com/ProductDetail/474-TOL-07925</v>
      </c>
      <c r="T616" s="152">
        <v>0</v>
      </c>
      <c r="U616" s="152">
        <v>0</v>
      </c>
      <c r="V616" s="152">
        <v>0</v>
      </c>
      <c r="W616" s="152">
        <f>MouserListTable[[#This Row],['#/Unit]]*FilterSpecs!$C$3+MouserListTable[[#This Row],[Extra]]</f>
        <v>0</v>
      </c>
      <c r="X616" s="152">
        <f>IF(MouserListTable[[#This Row],[Tag]]=FilterSpecs!$F$7,MouserListTable[[#This Row],['#/Unit]]*MouserListTable[[#This Row],[Price (USD)]],0)</f>
        <v>0</v>
      </c>
      <c r="Y616" s="152">
        <f>MouserListTable[[#This Row],[Tot '#]]*MouserListTable[[#This Row],[Price (USD)]]</f>
        <v>0</v>
      </c>
    </row>
    <row r="617" spans="1:25" x14ac:dyDescent="0.25">
      <c r="A617" s="97" t="s">
        <v>13</v>
      </c>
      <c r="B617" s="97" t="s">
        <v>1600</v>
      </c>
      <c r="C617" s="150" t="s">
        <v>5</v>
      </c>
      <c r="D617" s="151" t="str">
        <f>IF(MouserListTable[[#This Row],[Vendor]]=FilterSpecs!$A$8,MouserListTable[[#This Row],[Mouser SKU]], MouserListTable[[#This Row],[Supplier SKU]])</f>
        <v>474-TOL-10326</v>
      </c>
      <c r="E617" s="152">
        <f>MouserListTable[[#This Row],[Tot '#]]-MouserListTable[[#This Row],['# Initial]]</f>
        <v>0</v>
      </c>
      <c r="F617" s="152">
        <f>IF(AND(MouserListTable[[#This Row],[Tag]]&lt;&gt;FilterSpecs!$F$12, MouserListTable[[#This Row],[Tag]]&lt;&gt;FilterSpecs!$F$9), MouserListTable[[#This Row],['#/Unit]]*FilterSpecs!$B$3+MouserListTable[[#This Row],[Extra Initial]],0)</f>
        <v>0</v>
      </c>
      <c r="G617" s="150" t="s">
        <v>843</v>
      </c>
      <c r="H617" s="150" t="s">
        <v>844</v>
      </c>
      <c r="I617" s="150" t="s">
        <v>845</v>
      </c>
      <c r="J617" s="150">
        <v>1</v>
      </c>
      <c r="K617" s="154">
        <v>13.95</v>
      </c>
      <c r="L617" s="150" t="s">
        <v>1900</v>
      </c>
      <c r="M617" s="153" t="s">
        <v>1295</v>
      </c>
      <c r="N617" s="154">
        <f>MouserListTable[[#This Row],['# Initial]]*MouserListTable[[#This Row],[Price (USD)]]</f>
        <v>0</v>
      </c>
      <c r="O617" s="151" t="s">
        <v>842</v>
      </c>
      <c r="P617" s="150">
        <f t="shared" si="10"/>
        <v>604</v>
      </c>
      <c r="Q617" s="150" t="s">
        <v>5</v>
      </c>
      <c r="R61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474-TOL-10326</v>
      </c>
      <c r="S617" s="157" t="str">
        <f>HYPERLINK("https://www.mouser.com/ProductDetail/" &amp;MouserListTable[[#This Row],[Mouser SKU]])</f>
        <v>https://www.mouser.com/ProductDetail/474-TOL-10326</v>
      </c>
      <c r="T617" s="152">
        <v>0</v>
      </c>
      <c r="U617" s="152">
        <v>0</v>
      </c>
      <c r="V617" s="152">
        <v>0</v>
      </c>
      <c r="W617" s="152">
        <f>MouserListTable[[#This Row],['#/Unit]]*FilterSpecs!$C$3+MouserListTable[[#This Row],[Extra]]</f>
        <v>0</v>
      </c>
      <c r="X617" s="152">
        <f>IF(MouserListTable[[#This Row],[Tag]]=FilterSpecs!$F$7,MouserListTable[[#This Row],['#/Unit]]*MouserListTable[[#This Row],[Price (USD)]],0)</f>
        <v>0</v>
      </c>
      <c r="Y617" s="152">
        <f>MouserListTable[[#This Row],[Tot '#]]*MouserListTable[[#This Row],[Price (USD)]]</f>
        <v>0</v>
      </c>
    </row>
    <row r="618" spans="1:25" x14ac:dyDescent="0.25">
      <c r="A618" s="150" t="s">
        <v>13</v>
      </c>
      <c r="B618" s="150" t="s">
        <v>1600</v>
      </c>
      <c r="C618" s="150" t="s">
        <v>1884</v>
      </c>
      <c r="D618" s="151" t="str">
        <f>IF(MouserListTable[[#This Row],[Vendor]]=FilterSpecs!$A$8,MouserListTable[[#This Row],[Mouser SKU]], MouserListTable[[#This Row],[Supplier SKU]])</f>
        <v>485-3536</v>
      </c>
      <c r="E618" s="152">
        <f>MouserListTable[[#This Row],[Tot '#]]-MouserListTable[[#This Row],['# Initial]]</f>
        <v>0</v>
      </c>
      <c r="F618" s="152">
        <f>IF(AND(MouserListTable[[#This Row],[Tag]]&lt;&gt;FilterSpecs!$F$12, MouserListTable[[#This Row],[Tag]]&lt;&gt;FilterSpecs!$F$9), MouserListTable[[#This Row],['#/Unit]]*FilterSpecs!$B$3+MouserListTable[[#This Row],[Extra Initial]],0)</f>
        <v>0</v>
      </c>
      <c r="G618" s="150"/>
      <c r="H618" s="150"/>
      <c r="I618" s="150" t="s">
        <v>2371</v>
      </c>
      <c r="J618" s="153"/>
      <c r="K618" s="118">
        <v>9.9499999999999993</v>
      </c>
      <c r="L618" s="97" t="s">
        <v>1896</v>
      </c>
      <c r="M618" s="153"/>
      <c r="N618" s="154">
        <f>MouserListTable[[#This Row],['# Initial]]*MouserListTable[[#This Row],[Price (USD)]]</f>
        <v>0</v>
      </c>
      <c r="O618" s="151" t="s">
        <v>2370</v>
      </c>
      <c r="P618" s="150">
        <f t="shared" si="10"/>
        <v>605</v>
      </c>
      <c r="Q618" s="150" t="s">
        <v>1884</v>
      </c>
      <c r="R61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485-3536</v>
      </c>
      <c r="S618" s="157" t="str">
        <f>HYPERLINK("https://www.mouser.com/ProductDetail/" &amp;MouserListTable[[#This Row],[Mouser SKU]])</f>
        <v>https://www.mouser.com/ProductDetail/485-3536</v>
      </c>
      <c r="T618" s="152">
        <v>0</v>
      </c>
      <c r="U618" s="152">
        <v>0</v>
      </c>
      <c r="V618" s="152">
        <v>0</v>
      </c>
      <c r="W618" s="152">
        <f>MouserListTable[[#This Row],['#/Unit]]*FilterSpecs!$C$3+MouserListTable[[#This Row],[Extra]]</f>
        <v>0</v>
      </c>
      <c r="X618" s="152">
        <f>IF(MouserListTable[[#This Row],[Tag]]=FilterSpecs!$F$7,MouserListTable[[#This Row],['#/Unit]]*MouserListTable[[#This Row],[Price (USD)]],0)</f>
        <v>0</v>
      </c>
      <c r="Y618" s="152">
        <f>MouserListTable[[#This Row],[Tot '#]]*MouserListTable[[#This Row],[Price (USD)]]</f>
        <v>0</v>
      </c>
    </row>
    <row r="619" spans="1:25" x14ac:dyDescent="0.25">
      <c r="A619" s="150" t="s">
        <v>13</v>
      </c>
      <c r="B619" s="150" t="s">
        <v>1600</v>
      </c>
      <c r="C619" s="150" t="s">
        <v>5</v>
      </c>
      <c r="D619" s="151" t="str">
        <f>IF(MouserListTable[[#This Row],[Vendor]]=FilterSpecs!$A$8,MouserListTable[[#This Row],[Mouser SKU]], MouserListTable[[#This Row],[Supplier SKU]])</f>
        <v>474-KIT-11488</v>
      </c>
      <c r="E619" s="152">
        <f>MouserListTable[[#This Row],[Tot '#]]-MouserListTable[[#This Row],['# Initial]]</f>
        <v>0</v>
      </c>
      <c r="F619" s="152">
        <f>IF(AND(MouserListTable[[#This Row],[Tag]]&lt;&gt;FilterSpecs!$F$12, MouserListTable[[#This Row],[Tag]]&lt;&gt;FilterSpecs!$F$9), MouserListTable[[#This Row],['#/Unit]]*FilterSpecs!$B$3+MouserListTable[[#This Row],[Extra Initial]],0)</f>
        <v>0</v>
      </c>
      <c r="G619" s="150" t="s">
        <v>1190</v>
      </c>
      <c r="H619" s="150" t="s">
        <v>1191</v>
      </c>
      <c r="I619" s="150" t="s">
        <v>1192</v>
      </c>
      <c r="J619" s="150">
        <v>1</v>
      </c>
      <c r="K619" s="154">
        <v>59.95</v>
      </c>
      <c r="L619" s="97" t="s">
        <v>1896</v>
      </c>
      <c r="M619" s="153"/>
      <c r="N619" s="154">
        <f>MouserListTable[[#This Row],['# Initial]]*MouserListTable[[#This Row],[Price (USD)]]</f>
        <v>0</v>
      </c>
      <c r="O619" s="120" t="s">
        <v>1189</v>
      </c>
      <c r="P619" s="150">
        <f t="shared" si="10"/>
        <v>606</v>
      </c>
      <c r="Q619" s="150" t="s">
        <v>5</v>
      </c>
      <c r="R61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474-KIT-11488</v>
      </c>
      <c r="S619" s="157" t="str">
        <f>HYPERLINK("https://www.mouser.com/ProductDetail/" &amp;MouserListTable[[#This Row],[Mouser SKU]])</f>
        <v>https://www.mouser.com/ProductDetail/474-KIT-11488</v>
      </c>
      <c r="T619" s="152">
        <v>0</v>
      </c>
      <c r="U619" s="152">
        <v>0</v>
      </c>
      <c r="V619" s="152">
        <v>0</v>
      </c>
      <c r="W619" s="152">
        <f>MouserListTable[[#This Row],['#/Unit]]*FilterSpecs!$C$3+MouserListTable[[#This Row],[Extra]]</f>
        <v>0</v>
      </c>
      <c r="X619" s="152">
        <f>IF(MouserListTable[[#This Row],[Tag]]=FilterSpecs!$F$7,MouserListTable[[#This Row],['#/Unit]]*MouserListTable[[#This Row],[Price (USD)]],0)</f>
        <v>0</v>
      </c>
      <c r="Y619" s="152">
        <f>MouserListTable[[#This Row],[Tot '#]]*MouserListTable[[#This Row],[Price (USD)]]</f>
        <v>0</v>
      </c>
    </row>
    <row r="620" spans="1:25" x14ac:dyDescent="0.25">
      <c r="A620" s="97" t="s">
        <v>13</v>
      </c>
      <c r="B620" s="97" t="s">
        <v>1601</v>
      </c>
      <c r="C620" s="150" t="s">
        <v>5</v>
      </c>
      <c r="D620" s="151" t="str">
        <f>IF(MouserListTable[[#This Row],[Vendor]]=FilterSpecs!$A$8,MouserListTable[[#This Row],[Mouser SKU]], MouserListTable[[#This Row],[Supplier SKU]])</f>
        <v>474-TOL-10410</v>
      </c>
      <c r="E620" s="152">
        <f>MouserListTable[[#This Row],[Tot '#]]-MouserListTable[[#This Row],['# Initial]]</f>
        <v>1</v>
      </c>
      <c r="F620" s="152">
        <f>IF(AND(MouserListTable[[#This Row],[Tag]]&lt;&gt;FilterSpecs!$F$12, MouserListTable[[#This Row],[Tag]]&lt;&gt;FilterSpecs!$F$9), MouserListTable[[#This Row],['#/Unit]]*FilterSpecs!$B$3+MouserListTable[[#This Row],[Extra Initial]],0)</f>
        <v>0</v>
      </c>
      <c r="G620" s="150" t="s">
        <v>875</v>
      </c>
      <c r="H620" s="150" t="s">
        <v>876</v>
      </c>
      <c r="I620" s="150" t="s">
        <v>877</v>
      </c>
      <c r="J620" s="150"/>
      <c r="K620" s="154">
        <v>33.75</v>
      </c>
      <c r="L620" s="150" t="s">
        <v>1900</v>
      </c>
      <c r="M620" s="153"/>
      <c r="N620" s="154">
        <f>MouserListTable[[#This Row],['# Initial]]*MouserListTable[[#This Row],[Price (USD)]]</f>
        <v>0</v>
      </c>
      <c r="O620" s="151" t="s">
        <v>874</v>
      </c>
      <c r="P620" s="150">
        <f t="shared" si="10"/>
        <v>607</v>
      </c>
      <c r="Q620" s="150" t="s">
        <v>5</v>
      </c>
      <c r="R62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474-TOL-10410</v>
      </c>
      <c r="S620" s="157" t="str">
        <f>HYPERLINK("https://www.mouser.com/ProductDetail/" &amp;MouserListTable[[#This Row],[Mouser SKU]])</f>
        <v>https://www.mouser.com/ProductDetail/474-TOL-10410</v>
      </c>
      <c r="T620" s="152">
        <v>0</v>
      </c>
      <c r="U620" s="152">
        <v>1</v>
      </c>
      <c r="V620" s="152">
        <v>0</v>
      </c>
      <c r="W620" s="152">
        <f>MouserListTable[[#This Row],['#/Unit]]*FilterSpecs!$C$3+MouserListTable[[#This Row],[Extra]]</f>
        <v>1</v>
      </c>
      <c r="X620" s="152">
        <f>IF(MouserListTable[[#This Row],[Tag]]=FilterSpecs!$F$7,MouserListTable[[#This Row],['#/Unit]]*MouserListTable[[#This Row],[Price (USD)]],0)</f>
        <v>0</v>
      </c>
      <c r="Y620" s="152">
        <f>MouserListTable[[#This Row],[Tot '#]]*MouserListTable[[#This Row],[Price (USD)]]</f>
        <v>33.75</v>
      </c>
    </row>
    <row r="621" spans="1:25" x14ac:dyDescent="0.25">
      <c r="A621" s="97" t="s">
        <v>13</v>
      </c>
      <c r="B621" s="97" t="s">
        <v>1601</v>
      </c>
      <c r="C621" s="150" t="s">
        <v>1884</v>
      </c>
      <c r="D621" s="151" t="str">
        <f>IF(MouserListTable[[#This Row],[Vendor]]=FilterSpecs!$A$8,MouserListTable[[#This Row],[Mouser SKU]], MouserListTable[[#This Row],[Supplier SKU]])</f>
        <v>485-151</v>
      </c>
      <c r="E621" s="152">
        <f>MouserListTable[[#This Row],[Tot '#]]-MouserListTable[[#This Row],['# Initial]]</f>
        <v>0</v>
      </c>
      <c r="F621" s="152">
        <f>IF(AND(MouserListTable[[#This Row],[Tag]]&lt;&gt;FilterSpecs!$F$12, MouserListTable[[#This Row],[Tag]]&lt;&gt;FilterSpecs!$F$9), MouserListTable[[#This Row],['#/Unit]]*FilterSpecs!$B$3+MouserListTable[[#This Row],[Extra Initial]],0)</f>
        <v>1</v>
      </c>
      <c r="G621" s="150" t="s">
        <v>875</v>
      </c>
      <c r="H621" s="150" t="s">
        <v>876</v>
      </c>
      <c r="I621" s="150" t="s">
        <v>2570</v>
      </c>
      <c r="J621" s="150"/>
      <c r="K621" s="154">
        <v>31.25</v>
      </c>
      <c r="L621" s="150" t="s">
        <v>1896</v>
      </c>
      <c r="M621" s="153"/>
      <c r="N621" s="154">
        <f>MouserListTable[[#This Row],['# Initial]]*MouserListTable[[#This Row],[Price (USD)]]</f>
        <v>31.25</v>
      </c>
      <c r="O621" s="151">
        <v>151</v>
      </c>
      <c r="P621" s="150">
        <f t="shared" si="10"/>
        <v>608</v>
      </c>
      <c r="Q621" s="150" t="s">
        <v>1884</v>
      </c>
      <c r="R62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485-151</v>
      </c>
      <c r="S621" s="157" t="str">
        <f>HYPERLINK("https://www.mouser.com/ProductDetail/" &amp;MouserListTable[[#This Row],[Mouser SKU]])</f>
        <v>https://www.mouser.com/ProductDetail/485-151</v>
      </c>
      <c r="T621" s="152">
        <v>0</v>
      </c>
      <c r="U621" s="152">
        <v>1</v>
      </c>
      <c r="V621" s="152">
        <v>1</v>
      </c>
      <c r="W621" s="152">
        <f>MouserListTable[[#This Row],['#/Unit]]*FilterSpecs!$C$3+MouserListTable[[#This Row],[Extra]]</f>
        <v>1</v>
      </c>
      <c r="X621" s="152">
        <f>IF(MouserListTable[[#This Row],[Tag]]=FilterSpecs!$F$7,MouserListTable[[#This Row],['#/Unit]]*MouserListTable[[#This Row],[Price (USD)]],0)</f>
        <v>0</v>
      </c>
      <c r="Y621" s="152">
        <f>MouserListTable[[#This Row],[Tot '#]]*MouserListTable[[#This Row],[Price (USD)]]</f>
        <v>31.25</v>
      </c>
    </row>
    <row r="622" spans="1:25" x14ac:dyDescent="0.25">
      <c r="A622" s="97" t="s">
        <v>13</v>
      </c>
      <c r="B622" s="97" t="s">
        <v>1601</v>
      </c>
      <c r="C622" s="150" t="s">
        <v>5</v>
      </c>
      <c r="D622" s="151" t="str">
        <f>IF(MouserListTable[[#This Row],[Vendor]]=FilterSpecs!$A$8,MouserListTable[[#This Row],[Mouser SKU]], MouserListTable[[#This Row],[Supplier SKU]])</f>
        <v>474-TOL-11784</v>
      </c>
      <c r="E622" s="152">
        <f>MouserListTable[[#This Row],[Tot '#]]-MouserListTable[[#This Row],['# Initial]]</f>
        <v>0</v>
      </c>
      <c r="F622" s="152">
        <f>IF(AND(MouserListTable[[#This Row],[Tag]]&lt;&gt;FilterSpecs!$F$12, MouserListTable[[#This Row],[Tag]]&lt;&gt;FilterSpecs!$F$9), MouserListTable[[#This Row],['#/Unit]]*FilterSpecs!$B$3+MouserListTable[[#This Row],[Extra Initial]],0)</f>
        <v>0</v>
      </c>
      <c r="G622" s="150" t="s">
        <v>1133</v>
      </c>
      <c r="H622" s="150" t="s">
        <v>1134</v>
      </c>
      <c r="I622" s="150" t="s">
        <v>1135</v>
      </c>
      <c r="J622" s="150">
        <v>1</v>
      </c>
      <c r="K622" s="154">
        <v>29.95</v>
      </c>
      <c r="L622" s="150" t="s">
        <v>1900</v>
      </c>
      <c r="M622" s="153"/>
      <c r="N622" s="154">
        <f>MouserListTable[[#This Row],['# Initial]]*MouserListTable[[#This Row],[Price (USD)]]</f>
        <v>0</v>
      </c>
      <c r="O622" s="151" t="s">
        <v>1132</v>
      </c>
      <c r="P622" s="150">
        <f>IF($P620="List #",1,$P620+1)</f>
        <v>608</v>
      </c>
      <c r="Q622" s="150" t="s">
        <v>5</v>
      </c>
      <c r="R62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474-TOL-11784</v>
      </c>
      <c r="S622" s="157" t="str">
        <f>HYPERLINK("https://www.mouser.com/ProductDetail/" &amp;MouserListTable[[#This Row],[Mouser SKU]])</f>
        <v>https://www.mouser.com/ProductDetail/474-TOL-11784</v>
      </c>
      <c r="T622" s="152">
        <v>0</v>
      </c>
      <c r="U622" s="152">
        <v>0</v>
      </c>
      <c r="V622" s="152">
        <v>0</v>
      </c>
      <c r="W622" s="152">
        <f>MouserListTable[[#This Row],['#/Unit]]*FilterSpecs!$C$3+MouserListTable[[#This Row],[Extra]]</f>
        <v>0</v>
      </c>
      <c r="X622" s="152">
        <f>IF(MouserListTable[[#This Row],[Tag]]=FilterSpecs!$F$7,MouserListTable[[#This Row],['#/Unit]]*MouserListTable[[#This Row],[Price (USD)]],0)</f>
        <v>0</v>
      </c>
      <c r="Y622" s="152">
        <f>MouserListTable[[#This Row],[Tot '#]]*MouserListTable[[#This Row],[Price (USD)]]</f>
        <v>0</v>
      </c>
    </row>
    <row r="623" spans="1:25" x14ac:dyDescent="0.25">
      <c r="A623" s="97" t="s">
        <v>13</v>
      </c>
      <c r="B623" s="97" t="s">
        <v>1601</v>
      </c>
      <c r="C623" s="150" t="s">
        <v>5</v>
      </c>
      <c r="D623" s="151" t="str">
        <f>IF(MouserListTable[[#This Row],[Vendor]]=FilterSpecs!$A$8,MouserListTable[[#This Row],[Mouser SKU]], MouserListTable[[#This Row],[Supplier SKU]])</f>
        <v>474-TOL-09317</v>
      </c>
      <c r="E623" s="152">
        <f>MouserListTable[[#This Row],[Tot '#]]-MouserListTable[[#This Row],['# Initial]]</f>
        <v>0</v>
      </c>
      <c r="F623" s="152">
        <f>IF(AND(MouserListTable[[#This Row],[Tag]]&lt;&gt;FilterSpecs!$F$12, MouserListTable[[#This Row],[Tag]]&lt;&gt;FilterSpecs!$F$9), MouserListTable[[#This Row],['#/Unit]]*FilterSpecs!$B$3+MouserListTable[[#This Row],[Extra Initial]],0)</f>
        <v>0</v>
      </c>
      <c r="G623" s="150" t="s">
        <v>847</v>
      </c>
      <c r="H623" s="150" t="s">
        <v>848</v>
      </c>
      <c r="I623" s="150" t="s">
        <v>849</v>
      </c>
      <c r="J623" s="150">
        <v>1</v>
      </c>
      <c r="K623" s="154">
        <v>9.9499999999999993</v>
      </c>
      <c r="L623" s="150" t="s">
        <v>1900</v>
      </c>
      <c r="M623" s="153"/>
      <c r="N623" s="154">
        <f>MouserListTable[[#This Row],['# Initial]]*MouserListTable[[#This Row],[Price (USD)]]</f>
        <v>0</v>
      </c>
      <c r="O623" s="151" t="s">
        <v>846</v>
      </c>
      <c r="P623" s="150">
        <f t="shared" si="10"/>
        <v>609</v>
      </c>
      <c r="Q623" s="150" t="s">
        <v>5</v>
      </c>
      <c r="R62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474-TOL-09317</v>
      </c>
      <c r="S623" s="157" t="str">
        <f>HYPERLINK("https://www.mouser.com/ProductDetail/" &amp;MouserListTable[[#This Row],[Mouser SKU]])</f>
        <v>https://www.mouser.com/ProductDetail/474-TOL-09317</v>
      </c>
      <c r="T623" s="152">
        <v>0</v>
      </c>
      <c r="U623" s="152">
        <v>0</v>
      </c>
      <c r="V623" s="152">
        <v>0</v>
      </c>
      <c r="W623" s="152">
        <f>MouserListTable[[#This Row],['#/Unit]]*FilterSpecs!$C$3+MouserListTable[[#This Row],[Extra]]</f>
        <v>0</v>
      </c>
      <c r="X623" s="152">
        <f>IF(MouserListTable[[#This Row],[Tag]]=FilterSpecs!$F$7,MouserListTable[[#This Row],['#/Unit]]*MouserListTable[[#This Row],[Price (USD)]],0)</f>
        <v>0</v>
      </c>
      <c r="Y623" s="152">
        <f>MouserListTable[[#This Row],[Tot '#]]*MouserListTable[[#This Row],[Price (USD)]]</f>
        <v>0</v>
      </c>
    </row>
    <row r="624" spans="1:25" x14ac:dyDescent="0.25">
      <c r="A624" s="150" t="s">
        <v>13</v>
      </c>
      <c r="B624" s="150" t="s">
        <v>1601</v>
      </c>
      <c r="C624" s="150" t="s">
        <v>1884</v>
      </c>
      <c r="D624" s="151" t="str">
        <f>IF(MouserListTable[[#This Row],[Vendor]]=FilterSpecs!$A$8,MouserListTable[[#This Row],[Mouser SKU]], MouserListTable[[#This Row],[Supplier SKU]])</f>
        <v>485-3019</v>
      </c>
      <c r="E624" s="152">
        <f>MouserListTable[[#This Row],[Tot '#]]-MouserListTable[[#This Row],['# Initial]]</f>
        <v>0</v>
      </c>
      <c r="F624" s="152">
        <f>IF(AND(MouserListTable[[#This Row],[Tag]]&lt;&gt;FilterSpecs!$F$12, MouserListTable[[#This Row],[Tag]]&lt;&gt;FilterSpecs!$F$9), MouserListTable[[#This Row],['#/Unit]]*FilterSpecs!$B$3+MouserListTable[[#This Row],[Extra Initial]],0)</f>
        <v>1</v>
      </c>
      <c r="G624" s="150"/>
      <c r="H624" s="150"/>
      <c r="I624" s="150" t="s">
        <v>2369</v>
      </c>
      <c r="J624" s="153"/>
      <c r="K624" s="154">
        <v>68.69</v>
      </c>
      <c r="L624" s="150" t="s">
        <v>1900</v>
      </c>
      <c r="M624" s="151"/>
      <c r="N624" s="154">
        <f>MouserListTable[[#This Row],['# Initial]]*MouserListTable[[#This Row],[Price (USD)]]</f>
        <v>68.69</v>
      </c>
      <c r="O624" s="151" t="s">
        <v>2368</v>
      </c>
      <c r="P624" s="150">
        <f t="shared" si="10"/>
        <v>610</v>
      </c>
      <c r="Q624" s="150" t="s">
        <v>1884</v>
      </c>
      <c r="R62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485-3019</v>
      </c>
      <c r="S624" s="157" t="str">
        <f>HYPERLINK("https://www.mouser.com/ProductDetail/" &amp;MouserListTable[[#This Row],[Mouser SKU]])</f>
        <v>https://www.mouser.com/ProductDetail/485-3019</v>
      </c>
      <c r="T624" s="152">
        <v>0</v>
      </c>
      <c r="U624" s="152">
        <v>1</v>
      </c>
      <c r="V624" s="152">
        <v>1</v>
      </c>
      <c r="W624" s="152">
        <f>MouserListTable[[#This Row],['#/Unit]]*FilterSpecs!$C$3+MouserListTable[[#This Row],[Extra]]</f>
        <v>1</v>
      </c>
      <c r="X624" s="152">
        <f>IF(MouserListTable[[#This Row],[Tag]]=FilterSpecs!$F$7,MouserListTable[[#This Row],['#/Unit]]*MouserListTable[[#This Row],[Price (USD)]],0)</f>
        <v>0</v>
      </c>
      <c r="Y624" s="152">
        <f>MouserListTable[[#This Row],[Tot '#]]*MouserListTable[[#This Row],[Price (USD)]]</f>
        <v>68.69</v>
      </c>
    </row>
    <row r="625" spans="1:25" x14ac:dyDescent="0.25">
      <c r="A625" s="150" t="s">
        <v>13</v>
      </c>
      <c r="B625" s="150" t="s">
        <v>1601</v>
      </c>
      <c r="C625" s="150" t="s">
        <v>5</v>
      </c>
      <c r="D625" s="151" t="str">
        <f>IF(MouserListTable[[#This Row],[Vendor]]=FilterSpecs!$A$8,MouserListTable[[#This Row],[Mouser SKU]], MouserListTable[[#This Row],[Supplier SKU]])</f>
        <v>474-TOL-09316</v>
      </c>
      <c r="E625" s="152">
        <f>MouserListTable[[#This Row],[Tot '#]]-MouserListTable[[#This Row],['# Initial]]</f>
        <v>0</v>
      </c>
      <c r="F625" s="152">
        <f>IF(AND(MouserListTable[[#This Row],[Tag]]&lt;&gt;FilterSpecs!$F$12, MouserListTable[[#This Row],[Tag]]&lt;&gt;FilterSpecs!$F$9), MouserListTable[[#This Row],['#/Unit]]*FilterSpecs!$B$3+MouserListTable[[#This Row],[Extra Initial]],0)</f>
        <v>1</v>
      </c>
      <c r="G625" s="150" t="s">
        <v>867</v>
      </c>
      <c r="H625" s="150" t="s">
        <v>868</v>
      </c>
      <c r="I625" s="150" t="s">
        <v>869</v>
      </c>
      <c r="J625" s="150">
        <v>1</v>
      </c>
      <c r="K625" s="154">
        <v>9.9499999999999993</v>
      </c>
      <c r="L625" s="150" t="s">
        <v>1900</v>
      </c>
      <c r="M625" s="151"/>
      <c r="N625" s="154">
        <f>MouserListTable[[#This Row],['# Initial]]*MouserListTable[[#This Row],[Price (USD)]]</f>
        <v>9.9499999999999993</v>
      </c>
      <c r="O625" s="151" t="s">
        <v>866</v>
      </c>
      <c r="P625" s="150">
        <f t="shared" si="10"/>
        <v>611</v>
      </c>
      <c r="Q625" s="150" t="s">
        <v>5</v>
      </c>
      <c r="R62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474-TOL-09316</v>
      </c>
      <c r="S625" s="157" t="str">
        <f>HYPERLINK("https://www.mouser.com/ProductDetail/" &amp;MouserListTable[[#This Row],[Mouser SKU]])</f>
        <v>https://www.mouser.com/ProductDetail/474-TOL-09316</v>
      </c>
      <c r="T625" s="152">
        <v>0</v>
      </c>
      <c r="U625" s="152">
        <v>1</v>
      </c>
      <c r="V625" s="152">
        <v>1</v>
      </c>
      <c r="W625" s="152">
        <f>MouserListTable[[#This Row],['#/Unit]]*FilterSpecs!$C$3+MouserListTable[[#This Row],[Extra]]</f>
        <v>1</v>
      </c>
      <c r="X625" s="152">
        <f>IF(MouserListTable[[#This Row],[Tag]]=FilterSpecs!$F$7,MouserListTable[[#This Row],['#/Unit]]*MouserListTable[[#This Row],[Price (USD)]],0)</f>
        <v>0</v>
      </c>
      <c r="Y625" s="152">
        <f>MouserListTable[[#This Row],[Tot '#]]*MouserListTable[[#This Row],[Price (USD)]]</f>
        <v>9.9499999999999993</v>
      </c>
    </row>
    <row r="626" spans="1:25" x14ac:dyDescent="0.25">
      <c r="A626" s="150" t="s">
        <v>13</v>
      </c>
      <c r="B626" s="150" t="s">
        <v>1601</v>
      </c>
      <c r="C626" s="150" t="s">
        <v>5</v>
      </c>
      <c r="D626" s="151" t="str">
        <f>IF(MouserListTable[[#This Row],[Vendor]]=FilterSpecs!$A$8,MouserListTable[[#This Row],[Mouser SKU]], MouserListTable[[#This Row],[Supplier SKU]])</f>
        <v>474-COM-09906</v>
      </c>
      <c r="E626" s="152">
        <f>MouserListTable[[#This Row],[Tot '#]]-MouserListTable[[#This Row],['# Initial]]</f>
        <v>1</v>
      </c>
      <c r="F626" s="152">
        <f>IF(AND(MouserListTable[[#This Row],[Tag]]&lt;&gt;FilterSpecs!$F$12, MouserListTable[[#This Row],[Tag]]&lt;&gt;FilterSpecs!$F$9), MouserListTable[[#This Row],['#/Unit]]*FilterSpecs!$B$3+MouserListTable[[#This Row],[Extra Initial]],0)</f>
        <v>0</v>
      </c>
      <c r="G626" s="150" t="s">
        <v>123</v>
      </c>
      <c r="H626" s="150" t="s">
        <v>124</v>
      </c>
      <c r="I626" s="150" t="s">
        <v>125</v>
      </c>
      <c r="J626" s="150"/>
      <c r="K626" s="154">
        <v>14.95</v>
      </c>
      <c r="L626" s="150" t="s">
        <v>2461</v>
      </c>
      <c r="M626" s="151"/>
      <c r="N626" s="154">
        <f>MouserListTable[[#This Row],['# Initial]]*MouserListTable[[#This Row],[Price (USD)]]</f>
        <v>0</v>
      </c>
      <c r="O626" s="151" t="s">
        <v>122</v>
      </c>
      <c r="P626" s="150">
        <f t="shared" si="10"/>
        <v>612</v>
      </c>
      <c r="Q626" s="150" t="s">
        <v>5</v>
      </c>
      <c r="R62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474-COM-09906</v>
      </c>
      <c r="S626" s="157" t="str">
        <f>HYPERLINK("https://www.mouser.com/ProductDetail/" &amp;MouserListTable[[#This Row],[Mouser SKU]])</f>
        <v>https://www.mouser.com/ProductDetail/474-COM-09906</v>
      </c>
      <c r="T626" s="152">
        <v>0</v>
      </c>
      <c r="U626" s="152">
        <v>1</v>
      </c>
      <c r="V626" s="152">
        <v>0</v>
      </c>
      <c r="W626" s="152">
        <f>MouserListTable[[#This Row],['#/Unit]]*FilterSpecs!$C$3+MouserListTable[[#This Row],[Extra]]</f>
        <v>1</v>
      </c>
      <c r="X626" s="152">
        <f>IF(MouserListTable[[#This Row],[Tag]]=FilterSpecs!$F$7,MouserListTable[[#This Row],['#/Unit]]*MouserListTable[[#This Row],[Price (USD)]],0)</f>
        <v>0</v>
      </c>
      <c r="Y626" s="152">
        <f>MouserListTable[[#This Row],[Tot '#]]*MouserListTable[[#This Row],[Price (USD)]]</f>
        <v>14.95</v>
      </c>
    </row>
    <row r="627" spans="1:25" x14ac:dyDescent="0.25">
      <c r="A627" s="150" t="s">
        <v>13</v>
      </c>
      <c r="B627" s="150" t="s">
        <v>1601</v>
      </c>
      <c r="C627" s="150" t="s">
        <v>5</v>
      </c>
      <c r="D627" s="151" t="str">
        <f>IF(MouserListTable[[#This Row],[Vendor]]=FilterSpecs!$A$8,MouserListTable[[#This Row],[Mouser SKU]], MouserListTable[[#This Row],[Supplier SKU]])</f>
        <v>474-COM-08674</v>
      </c>
      <c r="E627" s="152">
        <f>MouserListTable[[#This Row],[Tot '#]]-MouserListTable[[#This Row],['# Initial]]</f>
        <v>1</v>
      </c>
      <c r="F627" s="152">
        <f>IF(AND(MouserListTable[[#This Row],[Tag]]&lt;&gt;FilterSpecs!$F$12, MouserListTable[[#This Row],[Tag]]&lt;&gt;FilterSpecs!$F$9), MouserListTable[[#This Row],['#/Unit]]*FilterSpecs!$B$3+MouserListTable[[#This Row],[Extra Initial]],0)</f>
        <v>0</v>
      </c>
      <c r="G627" s="150" t="s">
        <v>127</v>
      </c>
      <c r="H627" s="150" t="s">
        <v>128</v>
      </c>
      <c r="I627" s="150" t="s">
        <v>129</v>
      </c>
      <c r="J627" s="150">
        <v>1</v>
      </c>
      <c r="K627" s="154">
        <v>0.1</v>
      </c>
      <c r="L627" s="150" t="s">
        <v>1896</v>
      </c>
      <c r="M627" s="151"/>
      <c r="N627" s="154">
        <f>MouserListTable[[#This Row],['# Initial]]*MouserListTable[[#This Row],[Price (USD)]]</f>
        <v>0</v>
      </c>
      <c r="O627" s="151" t="s">
        <v>126</v>
      </c>
      <c r="P627" s="150">
        <f t="shared" si="10"/>
        <v>613</v>
      </c>
      <c r="Q627" s="150" t="s">
        <v>5</v>
      </c>
      <c r="R62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474-COM-08674</v>
      </c>
      <c r="S627" s="157" t="str">
        <f>HYPERLINK("https://www.mouser.com/ProductDetail/" &amp;MouserListTable[[#This Row],[Mouser SKU]])</f>
        <v>https://www.mouser.com/ProductDetail/474-COM-08674</v>
      </c>
      <c r="T627" s="152">
        <v>0</v>
      </c>
      <c r="U627" s="152">
        <v>1</v>
      </c>
      <c r="V627" s="152">
        <v>0</v>
      </c>
      <c r="W627" s="152">
        <f>MouserListTable[[#This Row],['#/Unit]]*FilterSpecs!$C$3+MouserListTable[[#This Row],[Extra]]</f>
        <v>1</v>
      </c>
      <c r="X627" s="152">
        <f>IF(MouserListTable[[#This Row],[Tag]]=FilterSpecs!$F$7,MouserListTable[[#This Row],['#/Unit]]*MouserListTable[[#This Row],[Price (USD)]],0)</f>
        <v>0</v>
      </c>
      <c r="Y627" s="152">
        <f>MouserListTable[[#This Row],[Tot '#]]*MouserListTable[[#This Row],[Price (USD)]]</f>
        <v>0.1</v>
      </c>
    </row>
    <row r="628" spans="1:25" x14ac:dyDescent="0.25">
      <c r="A628" s="150" t="s">
        <v>13</v>
      </c>
      <c r="B628" s="150" t="s">
        <v>1599</v>
      </c>
      <c r="C628" s="150" t="s">
        <v>5</v>
      </c>
      <c r="D628" s="151" t="str">
        <f>IF(MouserListTable[[#This Row],[Vendor]]=FilterSpecs!$A$8,MouserListTable[[#This Row],[Mouser SKU]], MouserListTable[[#This Row],[Supplier SKU]])</f>
        <v>474-TOL-12573</v>
      </c>
      <c r="E628" s="152">
        <f>MouserListTable[[#This Row],[Tot '#]]-MouserListTable[[#This Row],['# Initial]]</f>
        <v>0</v>
      </c>
      <c r="F628" s="152">
        <f>IF(AND(MouserListTable[[#This Row],[Tag]]&lt;&gt;FilterSpecs!$F$12, MouserListTable[[#This Row],[Tag]]&lt;&gt;FilterSpecs!$F$9), MouserListTable[[#This Row],['#/Unit]]*FilterSpecs!$B$3+MouserListTable[[#This Row],[Extra Initial]],0)</f>
        <v>0</v>
      </c>
      <c r="G628" s="150" t="s">
        <v>863</v>
      </c>
      <c r="H628" s="150" t="s">
        <v>864</v>
      </c>
      <c r="I628" s="150" t="s">
        <v>865</v>
      </c>
      <c r="J628" s="150">
        <v>1</v>
      </c>
      <c r="K628" s="154">
        <v>3.95</v>
      </c>
      <c r="L628" s="150" t="s">
        <v>1900</v>
      </c>
      <c r="M628" s="151"/>
      <c r="N628" s="154">
        <f>MouserListTable[[#This Row],['# Initial]]*MouserListTable[[#This Row],[Price (USD)]]</f>
        <v>0</v>
      </c>
      <c r="O628" s="151" t="s">
        <v>862</v>
      </c>
      <c r="P628" s="150">
        <f t="shared" si="10"/>
        <v>614</v>
      </c>
      <c r="Q628" s="150" t="s">
        <v>5</v>
      </c>
      <c r="R62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474-TOL-12573</v>
      </c>
      <c r="S628" s="157" t="str">
        <f>HYPERLINK("https://www.mouser.com/ProductDetail/" &amp;MouserListTable[[#This Row],[Mouser SKU]])</f>
        <v>https://www.mouser.com/ProductDetail/474-TOL-12573</v>
      </c>
      <c r="T628" s="152">
        <v>0</v>
      </c>
      <c r="U628" s="152">
        <v>0</v>
      </c>
      <c r="V628" s="152">
        <v>0</v>
      </c>
      <c r="W628" s="152">
        <f>MouserListTable[[#This Row],['#/Unit]]*FilterSpecs!$C$3+MouserListTable[[#This Row],[Extra]]</f>
        <v>0</v>
      </c>
      <c r="X628" s="152">
        <f>IF(MouserListTable[[#This Row],[Tag]]=FilterSpecs!$F$7,MouserListTable[[#This Row],['#/Unit]]*MouserListTable[[#This Row],[Price (USD)]],0)</f>
        <v>0</v>
      </c>
      <c r="Y628" s="152">
        <f>MouserListTable[[#This Row],[Tot '#]]*MouserListTable[[#This Row],[Price (USD)]]</f>
        <v>0</v>
      </c>
    </row>
    <row r="629" spans="1:25" x14ac:dyDescent="0.25">
      <c r="A629" s="150" t="s">
        <v>13</v>
      </c>
      <c r="B629" s="150" t="s">
        <v>1599</v>
      </c>
      <c r="C629" s="150" t="s">
        <v>5</v>
      </c>
      <c r="D629" s="151" t="str">
        <f>IF(MouserListTable[[#This Row],[Vendor]]=FilterSpecs!$A$8,MouserListTable[[#This Row],[Mouser SKU]], MouserListTable[[#This Row],[Supplier SKU]])</f>
        <v>474-TOL-10602</v>
      </c>
      <c r="E629" s="152">
        <f>MouserListTable[[#This Row],[Tot '#]]-MouserListTable[[#This Row],['# Initial]]</f>
        <v>0</v>
      </c>
      <c r="F629" s="152">
        <f>IF(AND(MouserListTable[[#This Row],[Tag]]&lt;&gt;FilterSpecs!$F$12, MouserListTable[[#This Row],[Tag]]&lt;&gt;FilterSpecs!$F$9), MouserListTable[[#This Row],['#/Unit]]*FilterSpecs!$B$3+MouserListTable[[#This Row],[Extra Initial]],0)</f>
        <v>0</v>
      </c>
      <c r="G629" s="150" t="s">
        <v>855</v>
      </c>
      <c r="H629" s="150" t="s">
        <v>856</v>
      </c>
      <c r="I629" s="150" t="s">
        <v>857</v>
      </c>
      <c r="J629" s="150">
        <v>1</v>
      </c>
      <c r="K629" s="154">
        <v>3.95</v>
      </c>
      <c r="L629" s="150" t="s">
        <v>1900</v>
      </c>
      <c r="M629" s="151"/>
      <c r="N629" s="154">
        <f>MouserListTable[[#This Row],['# Initial]]*MouserListTable[[#This Row],[Price (USD)]]</f>
        <v>0</v>
      </c>
      <c r="O629" s="151" t="s">
        <v>854</v>
      </c>
      <c r="P629" s="150">
        <f t="shared" si="10"/>
        <v>615</v>
      </c>
      <c r="Q629" s="150" t="s">
        <v>5</v>
      </c>
      <c r="R62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474-TOL-10602</v>
      </c>
      <c r="S629" s="157" t="str">
        <f>HYPERLINK("https://www.mouser.com/ProductDetail/" &amp;MouserListTable[[#This Row],[Mouser SKU]])</f>
        <v>https://www.mouser.com/ProductDetail/474-TOL-10602</v>
      </c>
      <c r="T629" s="152">
        <v>0</v>
      </c>
      <c r="U629" s="152">
        <v>0</v>
      </c>
      <c r="V629" s="152">
        <v>0</v>
      </c>
      <c r="W629" s="152">
        <f>MouserListTable[[#This Row],['#/Unit]]*FilterSpecs!$C$3+MouserListTable[[#This Row],[Extra]]</f>
        <v>0</v>
      </c>
      <c r="X629" s="152">
        <f>IF(MouserListTable[[#This Row],[Tag]]=FilterSpecs!$F$7,MouserListTable[[#This Row],['#/Unit]]*MouserListTable[[#This Row],[Price (USD)]],0)</f>
        <v>0</v>
      </c>
      <c r="Y629" s="152">
        <f>MouserListTable[[#This Row],[Tot '#]]*MouserListTable[[#This Row],[Price (USD)]]</f>
        <v>0</v>
      </c>
    </row>
    <row r="630" spans="1:25" x14ac:dyDescent="0.25">
      <c r="A630" s="150" t="s">
        <v>13</v>
      </c>
      <c r="B630" s="150" t="s">
        <v>1599</v>
      </c>
      <c r="C630" s="150" t="s">
        <v>5</v>
      </c>
      <c r="D630" s="151" t="str">
        <f>IF(MouserListTable[[#This Row],[Vendor]]=FilterSpecs!$A$8,MouserListTable[[#This Row],[Mouser SKU]], MouserListTable[[#This Row],[Supplier SKU]])</f>
        <v>474-TOL-12572</v>
      </c>
      <c r="E630" s="152">
        <f>MouserListTable[[#This Row],[Tot '#]]-MouserListTable[[#This Row],['# Initial]]</f>
        <v>0</v>
      </c>
      <c r="F630" s="152">
        <f>IF(AND(MouserListTable[[#This Row],[Tag]]&lt;&gt;FilterSpecs!$F$12, MouserListTable[[#This Row],[Tag]]&lt;&gt;FilterSpecs!$F$9), MouserListTable[[#This Row],['#/Unit]]*FilterSpecs!$B$3+MouserListTable[[#This Row],[Extra Initial]],0)</f>
        <v>0</v>
      </c>
      <c r="G630" s="150" t="s">
        <v>839</v>
      </c>
      <c r="H630" s="150" t="s">
        <v>840</v>
      </c>
      <c r="I630" s="150" t="s">
        <v>841</v>
      </c>
      <c r="J630" s="150">
        <v>1</v>
      </c>
      <c r="K630" s="154">
        <v>3.95</v>
      </c>
      <c r="L630" s="150" t="s">
        <v>1900</v>
      </c>
      <c r="M630" s="151"/>
      <c r="N630" s="154">
        <f>MouserListTable[[#This Row],['# Initial]]*MouserListTable[[#This Row],[Price (USD)]]</f>
        <v>0</v>
      </c>
      <c r="O630" s="151" t="s">
        <v>838</v>
      </c>
      <c r="P630" s="150">
        <f t="shared" si="10"/>
        <v>616</v>
      </c>
      <c r="Q630" s="150" t="s">
        <v>5</v>
      </c>
      <c r="R63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474-TOL-12572</v>
      </c>
      <c r="S630" s="157" t="str">
        <f>HYPERLINK("https://www.mouser.com/ProductDetail/" &amp;MouserListTable[[#This Row],[Mouser SKU]])</f>
        <v>https://www.mouser.com/ProductDetail/474-TOL-12572</v>
      </c>
      <c r="T630" s="152">
        <v>0</v>
      </c>
      <c r="U630" s="152">
        <v>0</v>
      </c>
      <c r="V630" s="152">
        <v>0</v>
      </c>
      <c r="W630" s="152">
        <f>MouserListTable[[#This Row],['#/Unit]]*FilterSpecs!$C$3+MouserListTable[[#This Row],[Extra]]</f>
        <v>0</v>
      </c>
      <c r="X630" s="152">
        <f>IF(MouserListTable[[#This Row],[Tag]]=FilterSpecs!$F$7,MouserListTable[[#This Row],['#/Unit]]*MouserListTable[[#This Row],[Price (USD)]],0)</f>
        <v>0</v>
      </c>
      <c r="Y630" s="152">
        <f>MouserListTable[[#This Row],[Tot '#]]*MouserListTable[[#This Row],[Price (USD)]]</f>
        <v>0</v>
      </c>
    </row>
    <row r="631" spans="1:25" x14ac:dyDescent="0.25">
      <c r="A631" s="150" t="s">
        <v>13</v>
      </c>
      <c r="B631" s="150" t="s">
        <v>1599</v>
      </c>
      <c r="C631" s="150" t="s">
        <v>5</v>
      </c>
      <c r="D631" s="151" t="str">
        <f>IF(MouserListTable[[#This Row],[Vendor]]=FilterSpecs!$A$8,MouserListTable[[#This Row],[Mouser SKU]], MouserListTable[[#This Row],[Supplier SKU]])</f>
        <v>474-TOL-08793</v>
      </c>
      <c r="E631" s="152">
        <f>MouserListTable[[#This Row],[Tot '#]]-MouserListTable[[#This Row],['# Initial]]</f>
        <v>1</v>
      </c>
      <c r="F631" s="152">
        <f>IF(AND(MouserListTable[[#This Row],[Tag]]&lt;&gt;FilterSpecs!$F$12, MouserListTable[[#This Row],[Tag]]&lt;&gt;FilterSpecs!$F$9), MouserListTable[[#This Row],['#/Unit]]*FilterSpecs!$B$3+MouserListTable[[#This Row],[Extra Initial]],0)</f>
        <v>0</v>
      </c>
      <c r="G631" s="150" t="s">
        <v>1633</v>
      </c>
      <c r="H631" s="150" t="s">
        <v>1634</v>
      </c>
      <c r="I631" s="150" t="s">
        <v>1635</v>
      </c>
      <c r="J631" s="150">
        <v>1</v>
      </c>
      <c r="K631" s="154">
        <v>1.95</v>
      </c>
      <c r="L631" s="150" t="s">
        <v>1900</v>
      </c>
      <c r="M631" s="151"/>
      <c r="N631" s="154">
        <f>MouserListTable[[#This Row],['# Initial]]*MouserListTable[[#This Row],[Price (USD)]]</f>
        <v>0</v>
      </c>
      <c r="O631" s="151" t="s">
        <v>1632</v>
      </c>
      <c r="P631" s="150">
        <f t="shared" si="10"/>
        <v>617</v>
      </c>
      <c r="Q631" s="150" t="s">
        <v>5</v>
      </c>
      <c r="R63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474-TOL-08793</v>
      </c>
      <c r="S631" s="157" t="str">
        <f>HYPERLINK("https://www.mouser.com/ProductDetail/" &amp;MouserListTable[[#This Row],[Mouser SKU]])</f>
        <v>https://www.mouser.com/ProductDetail/474-TOL-08793</v>
      </c>
      <c r="T631" s="152">
        <v>0</v>
      </c>
      <c r="U631" s="152">
        <v>1</v>
      </c>
      <c r="V631" s="152">
        <v>0</v>
      </c>
      <c r="W631" s="152">
        <f>MouserListTable[[#This Row],['#/Unit]]*FilterSpecs!$C$3+MouserListTable[[#This Row],[Extra]]</f>
        <v>1</v>
      </c>
      <c r="X631" s="152">
        <f>IF(MouserListTable[[#This Row],[Tag]]=FilterSpecs!$F$7,MouserListTable[[#This Row],['#/Unit]]*MouserListTable[[#This Row],[Price (USD)]],0)</f>
        <v>0</v>
      </c>
      <c r="Y631" s="152">
        <f>MouserListTable[[#This Row],[Tot '#]]*MouserListTable[[#This Row],[Price (USD)]]</f>
        <v>1.95</v>
      </c>
    </row>
    <row r="632" spans="1:25" x14ac:dyDescent="0.25">
      <c r="A632" s="98" t="s">
        <v>13</v>
      </c>
      <c r="B632" s="98" t="s">
        <v>1599</v>
      </c>
      <c r="C632" s="150" t="s">
        <v>1884</v>
      </c>
      <c r="D632" s="151" t="str">
        <f>IF(MouserListTable[[#This Row],[Vendor]]=FilterSpecs!$A$8,MouserListTable[[#This Row],[Mouser SKU]], MouserListTable[[#This Row],[Supplier SKU]])</f>
        <v>485-1368</v>
      </c>
      <c r="E632" s="152">
        <f>MouserListTable[[#This Row],[Tot '#]]-MouserListTable[[#This Row],['# Initial]]</f>
        <v>0</v>
      </c>
      <c r="F632" s="152">
        <f>IF(AND(MouserListTable[[#This Row],[Tag]]&lt;&gt;FilterSpecs!$F$12, MouserListTable[[#This Row],[Tag]]&lt;&gt;FilterSpecs!$F$9), MouserListTable[[#This Row],['#/Unit]]*FilterSpecs!$B$3+MouserListTable[[#This Row],[Extra Initial]],0)</f>
        <v>0</v>
      </c>
      <c r="G632" s="150"/>
      <c r="H632" s="150"/>
      <c r="I632" s="150" t="s">
        <v>2448</v>
      </c>
      <c r="J632" s="113">
        <v>113</v>
      </c>
      <c r="K632" s="119">
        <v>11.95</v>
      </c>
      <c r="L632" s="97" t="s">
        <v>1896</v>
      </c>
      <c r="M632" s="153"/>
      <c r="N632" s="154">
        <f>MouserListTable[[#This Row],['# Initial]]*MouserListTable[[#This Row],[Price (USD)]]</f>
        <v>0</v>
      </c>
      <c r="O632" s="113" t="s">
        <v>2449</v>
      </c>
      <c r="P632" s="150">
        <f t="shared" si="10"/>
        <v>618</v>
      </c>
      <c r="Q632" s="150" t="s">
        <v>1884</v>
      </c>
      <c r="R63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485-1368</v>
      </c>
      <c r="S632" s="157" t="str">
        <f>HYPERLINK("https://www.mouser.com/ProductDetail/" &amp;MouserListTable[[#This Row],[Mouser SKU]])</f>
        <v>https://www.mouser.com/ProductDetail/485-1368</v>
      </c>
      <c r="T632" s="152">
        <v>0</v>
      </c>
      <c r="U632" s="152">
        <v>0</v>
      </c>
      <c r="V632" s="152">
        <v>0</v>
      </c>
      <c r="W632" s="152">
        <f>MouserListTable[[#This Row],['#/Unit]]*FilterSpecs!$C$3+MouserListTable[[#This Row],[Extra]]</f>
        <v>0</v>
      </c>
      <c r="X632" s="152">
        <f>IF(MouserListTable[[#This Row],[Tag]]=FilterSpecs!$F$7,MouserListTable[[#This Row],['#/Unit]]*MouserListTable[[#This Row],[Price (USD)]],0)</f>
        <v>0</v>
      </c>
      <c r="Y632" s="152">
        <f>MouserListTable[[#This Row],[Tot '#]]*MouserListTable[[#This Row],[Price (USD)]]</f>
        <v>0</v>
      </c>
    </row>
    <row r="633" spans="1:25" x14ac:dyDescent="0.25">
      <c r="A633" s="98" t="s">
        <v>13</v>
      </c>
      <c r="B633" s="98" t="s">
        <v>1599</v>
      </c>
      <c r="C633" s="150" t="s">
        <v>1884</v>
      </c>
      <c r="D633" s="151" t="str">
        <f>IF(MouserListTable[[#This Row],[Vendor]]=FilterSpecs!$A$8,MouserListTable[[#This Row],[Mouser SKU]], MouserListTable[[#This Row],[Supplier SKU]])</f>
        <v>485-1598</v>
      </c>
      <c r="E633" s="152">
        <f>MouserListTable[[#This Row],[Tot '#]]-MouserListTable[[#This Row],['# Initial]]</f>
        <v>0</v>
      </c>
      <c r="F633" s="152">
        <f>IF(AND(MouserListTable[[#This Row],[Tag]]&lt;&gt;FilterSpecs!$F$12, MouserListTable[[#This Row],[Tag]]&lt;&gt;FilterSpecs!$F$9), MouserListTable[[#This Row],['#/Unit]]*FilterSpecs!$B$3+MouserListTable[[#This Row],[Extra Initial]],0)</f>
        <v>0</v>
      </c>
      <c r="G633" s="150"/>
      <c r="H633" s="150"/>
      <c r="I633" s="150" t="s">
        <v>2446</v>
      </c>
      <c r="J633" s="113">
        <v>112</v>
      </c>
      <c r="K633" s="119">
        <v>14.95</v>
      </c>
      <c r="L633" s="97" t="s">
        <v>1896</v>
      </c>
      <c r="M633" s="153"/>
      <c r="N633" s="154">
        <f>MouserListTable[[#This Row],['# Initial]]*MouserListTable[[#This Row],[Price (USD)]]</f>
        <v>0</v>
      </c>
      <c r="O633" s="113" t="s">
        <v>2447</v>
      </c>
      <c r="P633" s="150">
        <f t="shared" si="10"/>
        <v>619</v>
      </c>
      <c r="Q633" s="150" t="s">
        <v>1884</v>
      </c>
      <c r="R63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485-1598</v>
      </c>
      <c r="S633" s="157" t="str">
        <f>HYPERLINK("https://www.mouser.com/ProductDetail/" &amp;MouserListTable[[#This Row],[Mouser SKU]])</f>
        <v>https://www.mouser.com/ProductDetail/485-1598</v>
      </c>
      <c r="T633" s="152">
        <v>0</v>
      </c>
      <c r="U633" s="152">
        <v>0</v>
      </c>
      <c r="V633" s="152">
        <v>0</v>
      </c>
      <c r="W633" s="152">
        <f>MouserListTable[[#This Row],['#/Unit]]*FilterSpecs!$C$3+MouserListTable[[#This Row],[Extra]]</f>
        <v>0</v>
      </c>
      <c r="X633" s="152">
        <f>IF(MouserListTable[[#This Row],[Tag]]=FilterSpecs!$F$7,MouserListTable[[#This Row],['#/Unit]]*MouserListTable[[#This Row],[Price (USD)]],0)</f>
        <v>0</v>
      </c>
      <c r="Y633" s="152">
        <f>MouserListTable[[#This Row],[Tot '#]]*MouserListTable[[#This Row],[Price (USD)]]</f>
        <v>0</v>
      </c>
    </row>
    <row r="634" spans="1:25" x14ac:dyDescent="0.25">
      <c r="A634" s="150" t="s">
        <v>13</v>
      </c>
      <c r="B634" s="150" t="s">
        <v>1599</v>
      </c>
      <c r="C634" s="150" t="s">
        <v>5</v>
      </c>
      <c r="D634" s="151" t="str">
        <f>IF(MouserListTable[[#This Row],[Vendor]]=FilterSpecs!$A$8,MouserListTable[[#This Row],[Mouser SKU]], MouserListTable[[#This Row],[Supplier SKU]])</f>
        <v>474-TOL-12630</v>
      </c>
      <c r="E634" s="152">
        <f>MouserListTable[[#This Row],[Tot '#]]-MouserListTable[[#This Row],['# Initial]]</f>
        <v>1</v>
      </c>
      <c r="F634" s="152">
        <f>IF(AND(MouserListTable[[#This Row],[Tag]]&lt;&gt;FilterSpecs!$F$12, MouserListTable[[#This Row],[Tag]]&lt;&gt;FilterSpecs!$F$9), MouserListTable[[#This Row],['#/Unit]]*FilterSpecs!$B$3+MouserListTable[[#This Row],[Extra Initial]],0)</f>
        <v>0</v>
      </c>
      <c r="G634" s="150" t="s">
        <v>2420</v>
      </c>
      <c r="H634" s="150" t="s">
        <v>2421</v>
      </c>
      <c r="I634" s="150" t="s">
        <v>2422</v>
      </c>
      <c r="J634" s="150">
        <v>1</v>
      </c>
      <c r="K634" s="154">
        <v>9.9499999999999993</v>
      </c>
      <c r="L634" s="150" t="s">
        <v>1900</v>
      </c>
      <c r="M634" s="150"/>
      <c r="N634" s="154">
        <f>MouserListTable[[#This Row],['# Initial]]*MouserListTable[[#This Row],[Price (USD)]]</f>
        <v>0</v>
      </c>
      <c r="O634" s="151" t="s">
        <v>2419</v>
      </c>
      <c r="P634" s="150">
        <f t="shared" si="10"/>
        <v>620</v>
      </c>
      <c r="Q634" s="150" t="s">
        <v>5</v>
      </c>
      <c r="R63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474-TOL-12630</v>
      </c>
      <c r="S634" s="157" t="str">
        <f>HYPERLINK("https://www.mouser.com/ProductDetail/" &amp;MouserListTable[[#This Row],[Mouser SKU]])</f>
        <v>https://www.mouser.com/ProductDetail/474-TOL-12630</v>
      </c>
      <c r="T634" s="152">
        <v>0</v>
      </c>
      <c r="U634" s="152">
        <v>1</v>
      </c>
      <c r="V634" s="152">
        <v>0</v>
      </c>
      <c r="W634" s="152">
        <f>MouserListTable[[#This Row],['#/Unit]]*FilterSpecs!$C$3+MouserListTable[[#This Row],[Extra]]</f>
        <v>1</v>
      </c>
      <c r="X634" s="152">
        <f>IF(MouserListTable[[#This Row],[Tag]]=FilterSpecs!$F$7,MouserListTable[[#This Row],['#/Unit]]*MouserListTable[[#This Row],[Price (USD)]],0)</f>
        <v>0</v>
      </c>
      <c r="Y634" s="152">
        <f>MouserListTable[[#This Row],[Tot '#]]*MouserListTable[[#This Row],[Price (USD)]]</f>
        <v>9.9499999999999993</v>
      </c>
    </row>
    <row r="635" spans="1:25" x14ac:dyDescent="0.25">
      <c r="A635" s="98" t="s">
        <v>13</v>
      </c>
      <c r="B635" s="98" t="s">
        <v>1599</v>
      </c>
      <c r="C635" s="150" t="s">
        <v>1884</v>
      </c>
      <c r="D635" s="151" t="str">
        <f>IF(MouserListTable[[#This Row],[Vendor]]=FilterSpecs!$A$8,MouserListTable[[#This Row],[Mouser SKU]], MouserListTable[[#This Row],[Supplier SKU]])</f>
        <v>485-527</v>
      </c>
      <c r="E635" s="152">
        <f>MouserListTable[[#This Row],[Tot '#]]-MouserListTable[[#This Row],['# Initial]]</f>
        <v>0</v>
      </c>
      <c r="F635" s="152">
        <f>IF(AND(MouserListTable[[#This Row],[Tag]]&lt;&gt;FilterSpecs!$F$12, MouserListTable[[#This Row],[Tag]]&lt;&gt;FilterSpecs!$F$9), MouserListTable[[#This Row],['#/Unit]]*FilterSpecs!$B$3+MouserListTable[[#This Row],[Extra Initial]],0)</f>
        <v>0</v>
      </c>
      <c r="G635" s="150"/>
      <c r="H635" s="150"/>
      <c r="I635" s="150" t="s">
        <v>2444</v>
      </c>
      <c r="J635" s="113">
        <v>111</v>
      </c>
      <c r="K635" s="119">
        <v>14.95</v>
      </c>
      <c r="L635" s="97" t="s">
        <v>1896</v>
      </c>
      <c r="M635" s="153"/>
      <c r="N635" s="154">
        <f>MouserListTable[[#This Row],['# Initial]]*MouserListTable[[#This Row],[Price (USD)]]</f>
        <v>0</v>
      </c>
      <c r="O635" s="113" t="s">
        <v>2445</v>
      </c>
      <c r="P635" s="150">
        <f t="shared" si="10"/>
        <v>621</v>
      </c>
      <c r="Q635" s="150" t="s">
        <v>1884</v>
      </c>
      <c r="R63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485-527</v>
      </c>
      <c r="S635" s="157" t="str">
        <f>HYPERLINK("https://www.mouser.com/ProductDetail/" &amp;MouserListTable[[#This Row],[Mouser SKU]])</f>
        <v>https://www.mouser.com/ProductDetail/485-527</v>
      </c>
      <c r="T635" s="152">
        <v>0</v>
      </c>
      <c r="U635" s="152">
        <v>0</v>
      </c>
      <c r="V635" s="152">
        <v>0</v>
      </c>
      <c r="W635" s="152">
        <f>MouserListTable[[#This Row],['#/Unit]]*FilterSpecs!$C$3+MouserListTable[[#This Row],[Extra]]</f>
        <v>0</v>
      </c>
      <c r="X635" s="152">
        <f>IF(MouserListTable[[#This Row],[Tag]]=FilterSpecs!$F$7,MouserListTable[[#This Row],['#/Unit]]*MouserListTable[[#This Row],[Price (USD)]],0)</f>
        <v>0</v>
      </c>
      <c r="Y635" s="152">
        <f>MouserListTable[[#This Row],[Tot '#]]*MouserListTable[[#This Row],[Price (USD)]]</f>
        <v>0</v>
      </c>
    </row>
    <row r="636" spans="1:25" x14ac:dyDescent="0.25">
      <c r="A636" s="150" t="s">
        <v>13</v>
      </c>
      <c r="B636" s="150" t="s">
        <v>1599</v>
      </c>
      <c r="C636" s="150" t="s">
        <v>5</v>
      </c>
      <c r="D636" s="151" t="str">
        <f>IF(MouserListTable[[#This Row],[Vendor]]=FilterSpecs!$A$8,MouserListTable[[#This Row],[Mouser SKU]], MouserListTable[[#This Row],[Supplier SKU]])</f>
        <v>474-TOL-08794</v>
      </c>
      <c r="E636" s="152">
        <f>MouserListTable[[#This Row],[Tot '#]]-MouserListTable[[#This Row],['# Initial]]</f>
        <v>1</v>
      </c>
      <c r="F636" s="152">
        <f>IF(AND(MouserListTable[[#This Row],[Tag]]&lt;&gt;FilterSpecs!$F$12, MouserListTable[[#This Row],[Tag]]&lt;&gt;FilterSpecs!$F$9), MouserListTable[[#This Row],['#/Unit]]*FilterSpecs!$B$3+MouserListTable[[#This Row],[Extra Initial]],0)</f>
        <v>0</v>
      </c>
      <c r="G636" s="150" t="s">
        <v>835</v>
      </c>
      <c r="H636" s="150" t="s">
        <v>836</v>
      </c>
      <c r="I636" s="150" t="s">
        <v>837</v>
      </c>
      <c r="J636" s="150">
        <v>1</v>
      </c>
      <c r="K636" s="154">
        <v>1.95</v>
      </c>
      <c r="L636" s="150" t="s">
        <v>1900</v>
      </c>
      <c r="M636" s="150"/>
      <c r="N636" s="154">
        <f>MouserListTable[[#This Row],['# Initial]]*MouserListTable[[#This Row],[Price (USD)]]</f>
        <v>0</v>
      </c>
      <c r="O636" s="151" t="s">
        <v>834</v>
      </c>
      <c r="P636" s="150">
        <f t="shared" si="10"/>
        <v>622</v>
      </c>
      <c r="Q636" s="150" t="s">
        <v>5</v>
      </c>
      <c r="R63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474-TOL-08794</v>
      </c>
      <c r="S636" s="157" t="str">
        <f>HYPERLINK("https://www.mouser.com/ProductDetail/" &amp;MouserListTable[[#This Row],[Mouser SKU]])</f>
        <v>https://www.mouser.com/ProductDetail/474-TOL-08794</v>
      </c>
      <c r="T636" s="152">
        <v>0</v>
      </c>
      <c r="U636" s="152">
        <v>1</v>
      </c>
      <c r="V636" s="152">
        <v>0</v>
      </c>
      <c r="W636" s="152">
        <f>MouserListTable[[#This Row],['#/Unit]]*FilterSpecs!$C$3+MouserListTable[[#This Row],[Extra]]</f>
        <v>1</v>
      </c>
      <c r="X636" s="152">
        <f>IF(MouserListTable[[#This Row],[Tag]]=FilterSpecs!$F$7,MouserListTable[[#This Row],['#/Unit]]*MouserListTable[[#This Row],[Price (USD)]],0)</f>
        <v>0</v>
      </c>
      <c r="Y636" s="152">
        <f>MouserListTable[[#This Row],[Tot '#]]*MouserListTable[[#This Row],[Price (USD)]]</f>
        <v>1.95</v>
      </c>
    </row>
    <row r="637" spans="1:25" x14ac:dyDescent="0.25">
      <c r="A637" s="97" t="s">
        <v>13</v>
      </c>
      <c r="B637" s="97" t="s">
        <v>1599</v>
      </c>
      <c r="C637" s="150" t="s">
        <v>5</v>
      </c>
      <c r="D637" s="151" t="str">
        <f>IF(MouserListTable[[#This Row],[Vendor]]=FilterSpecs!$A$8,MouserListTable[[#This Row],[Mouser SKU]], MouserListTable[[#This Row],[Supplier SKU]])</f>
        <v>474-TOL-11952</v>
      </c>
      <c r="E637" s="152">
        <f>MouserListTable[[#This Row],[Tot '#]]-MouserListTable[[#This Row],['# Initial]]</f>
        <v>0</v>
      </c>
      <c r="F637" s="152">
        <f>IF(AND(MouserListTable[[#This Row],[Tag]]&lt;&gt;FilterSpecs!$F$12, MouserListTable[[#This Row],[Tag]]&lt;&gt;FilterSpecs!$F$9), MouserListTable[[#This Row],['#/Unit]]*FilterSpecs!$B$3+MouserListTable[[#This Row],[Extra Initial]],0)</f>
        <v>0</v>
      </c>
      <c r="G637" s="150" t="s">
        <v>871</v>
      </c>
      <c r="H637" s="150" t="s">
        <v>872</v>
      </c>
      <c r="I637" s="150" t="s">
        <v>873</v>
      </c>
      <c r="J637" s="150">
        <v>1</v>
      </c>
      <c r="K637" s="154">
        <v>6.95</v>
      </c>
      <c r="L637" s="150" t="s">
        <v>1900</v>
      </c>
      <c r="M637" s="150" t="s">
        <v>1197</v>
      </c>
      <c r="N637" s="154">
        <f>MouserListTable[[#This Row],['# Initial]]*MouserListTable[[#This Row],[Price (USD)]]</f>
        <v>0</v>
      </c>
      <c r="O637" s="151" t="s">
        <v>870</v>
      </c>
      <c r="P637" s="150">
        <f t="shared" si="10"/>
        <v>623</v>
      </c>
      <c r="Q637" s="150" t="s">
        <v>5</v>
      </c>
      <c r="R63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474-TOL-11952</v>
      </c>
      <c r="S637" s="157" t="str">
        <f>HYPERLINK("https://www.mouser.com/ProductDetail/" &amp;MouserListTable[[#This Row],[Mouser SKU]])</f>
        <v>https://www.mouser.com/ProductDetail/474-TOL-11952</v>
      </c>
      <c r="T637" s="152">
        <v>0</v>
      </c>
      <c r="U637" s="152">
        <v>0</v>
      </c>
      <c r="V637" s="152">
        <v>0</v>
      </c>
      <c r="W637" s="152">
        <f>MouserListTable[[#This Row],['#/Unit]]*FilterSpecs!$C$3+MouserListTable[[#This Row],[Extra]]</f>
        <v>0</v>
      </c>
      <c r="X637" s="152">
        <f>IF(MouserListTable[[#This Row],[Tag]]=FilterSpecs!$F$7,MouserListTable[[#This Row],['#/Unit]]*MouserListTable[[#This Row],[Price (USD)]],0)</f>
        <v>0</v>
      </c>
      <c r="Y637" s="152">
        <f>MouserListTable[[#This Row],[Tot '#]]*MouserListTable[[#This Row],[Price (USD)]]</f>
        <v>0</v>
      </c>
    </row>
    <row r="638" spans="1:25" x14ac:dyDescent="0.25">
      <c r="A638" s="150" t="s">
        <v>13</v>
      </c>
      <c r="B638" s="150" t="s">
        <v>1599</v>
      </c>
      <c r="C638" s="150" t="s">
        <v>5</v>
      </c>
      <c r="D638" s="151" t="str">
        <f>IF(MouserListTable[[#This Row],[Vendor]]=FilterSpecs!$A$8,MouserListTable[[#This Row],[Mouser SKU]], MouserListTable[[#This Row],[Supplier SKU]])</f>
        <v>474-TOL-09200</v>
      </c>
      <c r="E638" s="152">
        <f>MouserListTable[[#This Row],[Tot '#]]-MouserListTable[[#This Row],['# Initial]]</f>
        <v>0</v>
      </c>
      <c r="F638" s="152">
        <f>IF(AND(MouserListTable[[#This Row],[Tag]]&lt;&gt;FilterSpecs!$F$12, MouserListTable[[#This Row],[Tag]]&lt;&gt;FilterSpecs!$F$9), MouserListTable[[#This Row],['#/Unit]]*FilterSpecs!$B$3+MouserListTable[[#This Row],[Extra Initial]],0)</f>
        <v>1</v>
      </c>
      <c r="G638" s="150" t="s">
        <v>859</v>
      </c>
      <c r="H638" s="150" t="s">
        <v>860</v>
      </c>
      <c r="I638" s="150" t="s">
        <v>861</v>
      </c>
      <c r="J638" s="150">
        <v>1</v>
      </c>
      <c r="K638" s="154">
        <v>2.95</v>
      </c>
      <c r="L638" s="150" t="s">
        <v>1900</v>
      </c>
      <c r="M638" s="151"/>
      <c r="N638" s="154">
        <f>MouserListTable[[#This Row],['# Initial]]*MouserListTable[[#This Row],[Price (USD)]]</f>
        <v>2.95</v>
      </c>
      <c r="O638" s="151" t="s">
        <v>858</v>
      </c>
      <c r="P638" s="150">
        <f t="shared" si="10"/>
        <v>624</v>
      </c>
      <c r="Q638" s="150" t="s">
        <v>5</v>
      </c>
      <c r="R63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474-TOL-09200</v>
      </c>
      <c r="S638" s="157" t="str">
        <f>HYPERLINK("https://www.mouser.com/ProductDetail/" &amp;MouserListTable[[#This Row],[Mouser SKU]])</f>
        <v>https://www.mouser.com/ProductDetail/474-TOL-09200</v>
      </c>
      <c r="T638" s="152">
        <v>0</v>
      </c>
      <c r="U638" s="152">
        <v>1</v>
      </c>
      <c r="V638" s="152">
        <v>1</v>
      </c>
      <c r="W638" s="152">
        <f>MouserListTable[[#This Row],['#/Unit]]*FilterSpecs!$C$3+MouserListTable[[#This Row],[Extra]]</f>
        <v>1</v>
      </c>
      <c r="X638" s="152">
        <f>IF(MouserListTable[[#This Row],[Tag]]=FilterSpecs!$F$7,MouserListTable[[#This Row],['#/Unit]]*MouserListTable[[#This Row],[Price (USD)]],0)</f>
        <v>0</v>
      </c>
      <c r="Y638" s="152">
        <f>MouserListTable[[#This Row],[Tot '#]]*MouserListTable[[#This Row],[Price (USD)]]</f>
        <v>2.95</v>
      </c>
    </row>
    <row r="639" spans="1:25" x14ac:dyDescent="0.25">
      <c r="A639" s="150" t="s">
        <v>13</v>
      </c>
      <c r="B639" s="150" t="s">
        <v>1599</v>
      </c>
      <c r="C639" s="150" t="s">
        <v>5</v>
      </c>
      <c r="D639" s="151" t="str">
        <f>IF(MouserListTable[[#This Row],[Vendor]]=FilterSpecs!$A$8,MouserListTable[[#This Row],[Mouser SKU]], MouserListTable[[#This Row],[Supplier SKU]])</f>
        <v>474-TOL-10325</v>
      </c>
      <c r="E639" s="152">
        <f>MouserListTable[[#This Row],[Tot '#]]-MouserListTable[[#This Row],['# Initial]]</f>
        <v>0</v>
      </c>
      <c r="F639" s="152">
        <f>IF(AND(MouserListTable[[#This Row],[Tag]]&lt;&gt;FilterSpecs!$F$12, MouserListTable[[#This Row],[Tag]]&lt;&gt;FilterSpecs!$F$9), MouserListTable[[#This Row],['#/Unit]]*FilterSpecs!$B$3+MouserListTable[[#This Row],[Extra Initial]],0)</f>
        <v>1</v>
      </c>
      <c r="G639" s="150" t="s">
        <v>1165</v>
      </c>
      <c r="H639" s="150" t="s">
        <v>1166</v>
      </c>
      <c r="I639" s="150" t="s">
        <v>1167</v>
      </c>
      <c r="J639" s="150"/>
      <c r="K639" s="154">
        <v>1.95</v>
      </c>
      <c r="L639" s="150" t="s">
        <v>1900</v>
      </c>
      <c r="M639" s="151"/>
      <c r="N639" s="154">
        <f>MouserListTable[[#This Row],['# Initial]]*MouserListTable[[#This Row],[Price (USD)]]</f>
        <v>1.95</v>
      </c>
      <c r="O639" s="151" t="s">
        <v>1164</v>
      </c>
      <c r="P639" s="150">
        <f t="shared" si="10"/>
        <v>625</v>
      </c>
      <c r="Q639" s="150" t="s">
        <v>5</v>
      </c>
      <c r="R63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474-TOL-10325</v>
      </c>
      <c r="S639" s="157" t="str">
        <f>HYPERLINK("https://www.mouser.com/ProductDetail/" &amp;MouserListTable[[#This Row],[Mouser SKU]])</f>
        <v>https://www.mouser.com/ProductDetail/474-TOL-10325</v>
      </c>
      <c r="T639" s="152">
        <v>0</v>
      </c>
      <c r="U639" s="152">
        <v>1</v>
      </c>
      <c r="V639" s="152">
        <v>1</v>
      </c>
      <c r="W639" s="152">
        <f>MouserListTable[[#This Row],['#/Unit]]*FilterSpecs!$C$3+MouserListTable[[#This Row],[Extra]]</f>
        <v>1</v>
      </c>
      <c r="X639" s="152">
        <f>IF(MouserListTable[[#This Row],[Tag]]=FilterSpecs!$F$7,MouserListTable[[#This Row],['#/Unit]]*MouserListTable[[#This Row],[Price (USD)]],0)</f>
        <v>0</v>
      </c>
      <c r="Y639" s="152">
        <f>MouserListTable[[#This Row],[Tot '#]]*MouserListTable[[#This Row],[Price (USD)]]</f>
        <v>1.95</v>
      </c>
    </row>
    <row r="640" spans="1:25" x14ac:dyDescent="0.25">
      <c r="A640" s="150" t="s">
        <v>13</v>
      </c>
      <c r="B640" s="150" t="s">
        <v>1599</v>
      </c>
      <c r="C640" s="150" t="s">
        <v>5</v>
      </c>
      <c r="D640" s="151" t="str">
        <f>IF(MouserListTable[[#This Row],[Vendor]]=FilterSpecs!$A$8,MouserListTable[[#This Row],[Mouser SKU]], MouserListTable[[#This Row],[Supplier SKU]])</f>
        <v>474-TOL-13114</v>
      </c>
      <c r="E640" s="152">
        <f>MouserListTable[[#This Row],[Tot '#]]-MouserListTable[[#This Row],['# Initial]]</f>
        <v>0</v>
      </c>
      <c r="F640" s="152">
        <f>IF(AND(MouserListTable[[#This Row],[Tag]]&lt;&gt;FilterSpecs!$F$12, MouserListTable[[#This Row],[Tag]]&lt;&gt;FilterSpecs!$F$9), MouserListTable[[#This Row],['#/Unit]]*FilterSpecs!$B$3+MouserListTable[[#This Row],[Extra Initial]],0)</f>
        <v>1</v>
      </c>
      <c r="G640" s="150" t="s">
        <v>827</v>
      </c>
      <c r="H640" s="150" t="s">
        <v>828</v>
      </c>
      <c r="I640" s="150" t="s">
        <v>829</v>
      </c>
      <c r="J640" s="150"/>
      <c r="K640" s="154">
        <v>4.8</v>
      </c>
      <c r="L640" s="150" t="s">
        <v>1900</v>
      </c>
      <c r="M640" s="151"/>
      <c r="N640" s="154">
        <f>MouserListTable[[#This Row],['# Initial]]*MouserListTable[[#This Row],[Price (USD)]]</f>
        <v>4.8</v>
      </c>
      <c r="O640" s="151" t="s">
        <v>826</v>
      </c>
      <c r="P640" s="150">
        <f t="shared" si="10"/>
        <v>626</v>
      </c>
      <c r="Q640" s="150" t="s">
        <v>5</v>
      </c>
      <c r="R64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474-TOL-13114</v>
      </c>
      <c r="S640" s="157" t="str">
        <f>HYPERLINK("https://www.mouser.com/ProductDetail/" &amp;MouserListTable[[#This Row],[Mouser SKU]])</f>
        <v>https://www.mouser.com/ProductDetail/474-TOL-13114</v>
      </c>
      <c r="T640" s="152">
        <v>0</v>
      </c>
      <c r="U640" s="152">
        <v>1</v>
      </c>
      <c r="V640" s="152">
        <v>1</v>
      </c>
      <c r="W640" s="152">
        <f>MouserListTable[[#This Row],['#/Unit]]*FilterSpecs!$C$3+MouserListTable[[#This Row],[Extra]]</f>
        <v>1</v>
      </c>
      <c r="X640" s="152">
        <f>IF(MouserListTable[[#This Row],[Tag]]=FilterSpecs!$F$7,MouserListTable[[#This Row],['#/Unit]]*MouserListTable[[#This Row],[Price (USD)]],0)</f>
        <v>0</v>
      </c>
      <c r="Y640" s="152">
        <f>MouserListTable[[#This Row],[Tot '#]]*MouserListTable[[#This Row],[Price (USD)]]</f>
        <v>4.8</v>
      </c>
    </row>
    <row r="641" spans="1:25" x14ac:dyDescent="0.25">
      <c r="A641" s="97" t="s">
        <v>13</v>
      </c>
      <c r="B641" s="97" t="s">
        <v>1640</v>
      </c>
      <c r="C641" s="150" t="s">
        <v>5</v>
      </c>
      <c r="D641" s="151" t="str">
        <f>IF(MouserListTable[[#This Row],[Vendor]]=FilterSpecs!$A$8,MouserListTable[[#This Row],[Mouser SKU]], MouserListTable[[#This Row],[Supplier SKU]])</f>
        <v>474-TOL-11528</v>
      </c>
      <c r="E641" s="152">
        <f>MouserListTable[[#This Row],[Tot '#]]-MouserListTable[[#This Row],['# Initial]]</f>
        <v>0</v>
      </c>
      <c r="F641" s="152">
        <f>IF(AND(MouserListTable[[#This Row],[Tag]]&lt;&gt;FilterSpecs!$F$12, MouserListTable[[#This Row],[Tag]]&lt;&gt;FilterSpecs!$F$9), MouserListTable[[#This Row],['#/Unit]]*FilterSpecs!$B$3+MouserListTable[[#This Row],[Extra Initial]],0)</f>
        <v>0</v>
      </c>
      <c r="G641" s="150" t="s">
        <v>1617</v>
      </c>
      <c r="H641" s="150" t="s">
        <v>1618</v>
      </c>
      <c r="I641" s="150" t="s">
        <v>1619</v>
      </c>
      <c r="J641" s="150"/>
      <c r="K641" s="154">
        <v>3.95</v>
      </c>
      <c r="L641" s="150" t="s">
        <v>1896</v>
      </c>
      <c r="M641" s="153"/>
      <c r="N641" s="154">
        <f>MouserListTable[[#This Row],['# Initial]]*MouserListTable[[#This Row],[Price (USD)]]</f>
        <v>0</v>
      </c>
      <c r="O641" s="151" t="s">
        <v>1616</v>
      </c>
      <c r="P641" s="150">
        <f t="shared" si="10"/>
        <v>627</v>
      </c>
      <c r="Q641" s="150" t="s">
        <v>5</v>
      </c>
      <c r="R64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474-TOL-11528</v>
      </c>
      <c r="S641" s="157" t="str">
        <f>HYPERLINK("https://www.mouser.com/ProductDetail/" &amp;MouserListTable[[#This Row],[Mouser SKU]])</f>
        <v>https://www.mouser.com/ProductDetail/474-TOL-11528</v>
      </c>
      <c r="T641" s="152">
        <v>0</v>
      </c>
      <c r="U641" s="152">
        <v>0</v>
      </c>
      <c r="V641" s="152">
        <v>0</v>
      </c>
      <c r="W641" s="152">
        <f>MouserListTable[[#This Row],['#/Unit]]*FilterSpecs!$C$3+MouserListTable[[#This Row],[Extra]]</f>
        <v>0</v>
      </c>
      <c r="X641" s="152">
        <f>IF(MouserListTable[[#This Row],[Tag]]=FilterSpecs!$F$7,MouserListTable[[#This Row],['#/Unit]]*MouserListTable[[#This Row],[Price (USD)]],0)</f>
        <v>0</v>
      </c>
      <c r="Y641" s="152">
        <f>MouserListTable[[#This Row],[Tot '#]]*MouserListTable[[#This Row],[Price (USD)]]</f>
        <v>0</v>
      </c>
    </row>
    <row r="642" spans="1:25" x14ac:dyDescent="0.25">
      <c r="A642" s="97" t="s">
        <v>13</v>
      </c>
      <c r="B642" s="97" t="s">
        <v>1640</v>
      </c>
      <c r="C642" s="150" t="s">
        <v>5</v>
      </c>
      <c r="D642" s="151" t="str">
        <f>IF(MouserListTable[[#This Row],[Vendor]]=FilterSpecs!$A$8,MouserListTable[[#This Row],[Mouser SKU]], MouserListTable[[#This Row],[Supplier SKU]])</f>
        <v>474-TOL-11527</v>
      </c>
      <c r="E642" s="152">
        <f>MouserListTable[[#This Row],[Tot '#]]-MouserListTable[[#This Row],['# Initial]]</f>
        <v>0</v>
      </c>
      <c r="F642" s="152">
        <f>IF(AND(MouserListTable[[#This Row],[Tag]]&lt;&gt;FilterSpecs!$F$12, MouserListTable[[#This Row],[Tag]]&lt;&gt;FilterSpecs!$F$9), MouserListTable[[#This Row],['#/Unit]]*FilterSpecs!$B$3+MouserListTable[[#This Row],[Extra Initial]],0)</f>
        <v>0</v>
      </c>
      <c r="G642" s="150" t="s">
        <v>1621</v>
      </c>
      <c r="H642" s="150" t="s">
        <v>1622</v>
      </c>
      <c r="I642" s="150" t="s">
        <v>1623</v>
      </c>
      <c r="J642" s="150"/>
      <c r="K642" s="154">
        <v>3.95</v>
      </c>
      <c r="L642" s="150" t="s">
        <v>1896</v>
      </c>
      <c r="M642" s="153"/>
      <c r="N642" s="154">
        <f>MouserListTable[[#This Row],['# Initial]]*MouserListTable[[#This Row],[Price (USD)]]</f>
        <v>0</v>
      </c>
      <c r="O642" s="151" t="s">
        <v>1620</v>
      </c>
      <c r="P642" s="150">
        <f t="shared" si="10"/>
        <v>628</v>
      </c>
      <c r="Q642" s="150" t="s">
        <v>5</v>
      </c>
      <c r="R64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474-TOL-11527</v>
      </c>
      <c r="S642" s="157" t="str">
        <f>HYPERLINK("https://www.mouser.com/ProductDetail/" &amp;MouserListTable[[#This Row],[Mouser SKU]])</f>
        <v>https://www.mouser.com/ProductDetail/474-TOL-11527</v>
      </c>
      <c r="T642" s="152">
        <v>0</v>
      </c>
      <c r="U642" s="152">
        <v>0</v>
      </c>
      <c r="V642" s="152">
        <v>0</v>
      </c>
      <c r="W642" s="152">
        <f>MouserListTable[[#This Row],['#/Unit]]*FilterSpecs!$C$3+MouserListTable[[#This Row],[Extra]]</f>
        <v>0</v>
      </c>
      <c r="X642" s="152">
        <f>IF(MouserListTable[[#This Row],[Tag]]=FilterSpecs!$F$7,MouserListTable[[#This Row],['#/Unit]]*MouserListTable[[#This Row],[Price (USD)]],0)</f>
        <v>0</v>
      </c>
      <c r="Y642" s="152">
        <f>MouserListTable[[#This Row],[Tot '#]]*MouserListTable[[#This Row],[Price (USD)]]</f>
        <v>0</v>
      </c>
    </row>
    <row r="643" spans="1:25" x14ac:dyDescent="0.25">
      <c r="A643" s="150" t="s">
        <v>13</v>
      </c>
      <c r="B643" s="150" t="s">
        <v>1640</v>
      </c>
      <c r="C643" s="150" t="s">
        <v>1884</v>
      </c>
      <c r="D643" s="151" t="str">
        <f>IF(MouserListTable[[#This Row],[Vendor]]=FilterSpecs!$A$8,MouserListTable[[#This Row],[Mouser SKU]], MouserListTable[[#This Row],[Supplier SKU]])</f>
        <v>485-2938</v>
      </c>
      <c r="E643" s="152">
        <f>MouserListTable[[#This Row],[Tot '#]]-MouserListTable[[#This Row],['# Initial]]</f>
        <v>0</v>
      </c>
      <c r="F643" s="152">
        <f>IF(AND(MouserListTable[[#This Row],[Tag]]&lt;&gt;FilterSpecs!$F$12, MouserListTable[[#This Row],[Tag]]&lt;&gt;FilterSpecs!$F$9), MouserListTable[[#This Row],['#/Unit]]*FilterSpecs!$B$3+MouserListTable[[#This Row],[Extra Initial]],0)</f>
        <v>0</v>
      </c>
      <c r="G643" s="150"/>
      <c r="H643" s="150"/>
      <c r="I643" s="150" t="s">
        <v>2061</v>
      </c>
      <c r="J643" s="153"/>
      <c r="K643" s="118">
        <v>2.5</v>
      </c>
      <c r="L643" s="97" t="s">
        <v>1896</v>
      </c>
      <c r="M643" s="153"/>
      <c r="N643" s="154">
        <f>MouserListTable[[#This Row],['# Initial]]*MouserListTable[[#This Row],[Price (USD)]]</f>
        <v>0</v>
      </c>
      <c r="O643" s="151" t="s">
        <v>2062</v>
      </c>
      <c r="P643" s="150">
        <f t="shared" si="10"/>
        <v>629</v>
      </c>
      <c r="Q643" s="150" t="s">
        <v>1884</v>
      </c>
      <c r="R64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485-2938</v>
      </c>
      <c r="S643" s="157" t="str">
        <f>HYPERLINK("https://www.mouser.com/ProductDetail/" &amp;MouserListTable[[#This Row],[Mouser SKU]])</f>
        <v>https://www.mouser.com/ProductDetail/485-2938</v>
      </c>
      <c r="T643" s="152">
        <v>0</v>
      </c>
      <c r="U643" s="152">
        <v>0</v>
      </c>
      <c r="V643" s="152">
        <v>0</v>
      </c>
      <c r="W643" s="152">
        <f>MouserListTable[[#This Row],['#/Unit]]*FilterSpecs!$C$3+MouserListTable[[#This Row],[Extra]]</f>
        <v>0</v>
      </c>
      <c r="X643" s="152">
        <f>IF(MouserListTable[[#This Row],[Tag]]=FilterSpecs!$F$7,MouserListTable[[#This Row],['#/Unit]]*MouserListTable[[#This Row],[Price (USD)]],0)</f>
        <v>0</v>
      </c>
      <c r="Y643" s="152">
        <f>MouserListTable[[#This Row],[Tot '#]]*MouserListTable[[#This Row],[Price (USD)]]</f>
        <v>0</v>
      </c>
    </row>
    <row r="644" spans="1:25" x14ac:dyDescent="0.25">
      <c r="A644" s="150" t="s">
        <v>13</v>
      </c>
      <c r="B644" s="150" t="s">
        <v>1640</v>
      </c>
      <c r="C644" s="150" t="s">
        <v>1884</v>
      </c>
      <c r="D644" s="151" t="str">
        <f>IF(MouserListTable[[#This Row],[Vendor]]=FilterSpecs!$A$8,MouserListTable[[#This Row],[Mouser SKU]], MouserListTable[[#This Row],[Supplier SKU]])</f>
        <v>485-433</v>
      </c>
      <c r="E644" s="152">
        <f>MouserListTable[[#This Row],[Tot '#]]-MouserListTable[[#This Row],['# Initial]]</f>
        <v>0</v>
      </c>
      <c r="F644" s="152">
        <f>IF(AND(MouserListTable[[#This Row],[Tag]]&lt;&gt;FilterSpecs!$F$12, MouserListTable[[#This Row],[Tag]]&lt;&gt;FilterSpecs!$F$9), MouserListTable[[#This Row],['#/Unit]]*FilterSpecs!$B$3+MouserListTable[[#This Row],[Extra Initial]],0)</f>
        <v>1</v>
      </c>
      <c r="G644" s="150"/>
      <c r="H644" s="150"/>
      <c r="I644" s="150" t="s">
        <v>2059</v>
      </c>
      <c r="J644" s="153"/>
      <c r="K644" s="154">
        <v>2.95</v>
      </c>
      <c r="L644" s="150" t="s">
        <v>1896</v>
      </c>
      <c r="M644" s="151"/>
      <c r="N644" s="154">
        <f>MouserListTable[[#This Row],['# Initial]]*MouserListTable[[#This Row],[Price (USD)]]</f>
        <v>2.95</v>
      </c>
      <c r="O644" s="151" t="s">
        <v>2060</v>
      </c>
      <c r="P644" s="150">
        <f t="shared" si="10"/>
        <v>630</v>
      </c>
      <c r="Q644" s="150" t="s">
        <v>1884</v>
      </c>
      <c r="R64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485-433</v>
      </c>
      <c r="S644" s="157" t="str">
        <f>HYPERLINK("https://www.mouser.com/ProductDetail/" &amp;MouserListTable[[#This Row],[Mouser SKU]])</f>
        <v>https://www.mouser.com/ProductDetail/485-433</v>
      </c>
      <c r="T644" s="152">
        <v>0</v>
      </c>
      <c r="U644" s="152">
        <v>1</v>
      </c>
      <c r="V644" s="152">
        <v>1</v>
      </c>
      <c r="W644" s="152">
        <f>MouserListTable[[#This Row],['#/Unit]]*FilterSpecs!$C$3+MouserListTable[[#This Row],[Extra]]</f>
        <v>1</v>
      </c>
      <c r="X644" s="152">
        <f>IF(MouserListTable[[#This Row],[Tag]]=FilterSpecs!$F$7,MouserListTable[[#This Row],['#/Unit]]*MouserListTable[[#This Row],[Price (USD)]],0)</f>
        <v>0</v>
      </c>
      <c r="Y644" s="152">
        <f>MouserListTable[[#This Row],[Tot '#]]*MouserListTable[[#This Row],[Price (USD)]]</f>
        <v>2.95</v>
      </c>
    </row>
    <row r="645" spans="1:25" x14ac:dyDescent="0.25">
      <c r="A645" s="150" t="s">
        <v>13</v>
      </c>
      <c r="B645" s="150" t="s">
        <v>1640</v>
      </c>
      <c r="C645" s="150" t="s">
        <v>1884</v>
      </c>
      <c r="D645" s="151" t="str">
        <f>IF(MouserListTable[[#This Row],[Vendor]]=FilterSpecs!$A$8,MouserListTable[[#This Row],[Mouser SKU]], MouserListTable[[#This Row],[Supplier SKU]])</f>
        <v>485-432</v>
      </c>
      <c r="E645" s="152">
        <f>MouserListTable[[#This Row],[Tot '#]]-MouserListTable[[#This Row],['# Initial]]</f>
        <v>0</v>
      </c>
      <c r="F645" s="152">
        <f>IF(AND(MouserListTable[[#This Row],[Tag]]&lt;&gt;FilterSpecs!$F$12, MouserListTable[[#This Row],[Tag]]&lt;&gt;FilterSpecs!$F$9), MouserListTable[[#This Row],['#/Unit]]*FilterSpecs!$B$3+MouserListTable[[#This Row],[Extra Initial]],0)</f>
        <v>1</v>
      </c>
      <c r="G645" s="150"/>
      <c r="H645" s="150"/>
      <c r="I645" s="150" t="s">
        <v>2055</v>
      </c>
      <c r="J645" s="153"/>
      <c r="K645" s="154">
        <v>2.95</v>
      </c>
      <c r="L645" s="150" t="s">
        <v>1896</v>
      </c>
      <c r="M645" s="151"/>
      <c r="N645" s="154">
        <f>MouserListTable[[#This Row],['# Initial]]*MouserListTable[[#This Row],[Price (USD)]]</f>
        <v>2.95</v>
      </c>
      <c r="O645" s="151" t="s">
        <v>2056</v>
      </c>
      <c r="P645" s="150">
        <f t="shared" si="10"/>
        <v>631</v>
      </c>
      <c r="Q645" s="150" t="s">
        <v>1884</v>
      </c>
      <c r="R64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485-432</v>
      </c>
      <c r="S645" s="157" t="str">
        <f>HYPERLINK("https://www.mouser.com/ProductDetail/" &amp;MouserListTable[[#This Row],[Mouser SKU]])</f>
        <v>https://www.mouser.com/ProductDetail/485-432</v>
      </c>
      <c r="T645" s="152">
        <v>0</v>
      </c>
      <c r="U645" s="152">
        <v>1</v>
      </c>
      <c r="V645" s="152">
        <v>1</v>
      </c>
      <c r="W645" s="152">
        <f>MouserListTable[[#This Row],['#/Unit]]*FilterSpecs!$C$3+MouserListTable[[#This Row],[Extra]]</f>
        <v>1</v>
      </c>
      <c r="X645" s="152">
        <f>IF(MouserListTable[[#This Row],[Tag]]=FilterSpecs!$F$7,MouserListTable[[#This Row],['#/Unit]]*MouserListTable[[#This Row],[Price (USD)]],0)</f>
        <v>0</v>
      </c>
      <c r="Y645" s="152">
        <f>MouserListTable[[#This Row],[Tot '#]]*MouserListTable[[#This Row],[Price (USD)]]</f>
        <v>2.95</v>
      </c>
    </row>
    <row r="646" spans="1:25" x14ac:dyDescent="0.25">
      <c r="A646" s="150" t="s">
        <v>13</v>
      </c>
      <c r="B646" s="150" t="s">
        <v>1640</v>
      </c>
      <c r="C646" s="150" t="s">
        <v>1884</v>
      </c>
      <c r="D646" s="151" t="str">
        <f>IF(MouserListTable[[#This Row],[Vendor]]=FilterSpecs!$A$8,MouserListTable[[#This Row],[Mouser SKU]], MouserListTable[[#This Row],[Supplier SKU]])</f>
        <v>485-427</v>
      </c>
      <c r="E646" s="152">
        <f>MouserListTable[[#This Row],[Tot '#]]-MouserListTable[[#This Row],['# Initial]]</f>
        <v>0</v>
      </c>
      <c r="F646" s="152">
        <f>IF(AND(MouserListTable[[#This Row],[Tag]]&lt;&gt;FilterSpecs!$F$12, MouserListTable[[#This Row],[Tag]]&lt;&gt;FilterSpecs!$F$9), MouserListTable[[#This Row],['#/Unit]]*FilterSpecs!$B$3+MouserListTable[[#This Row],[Extra Initial]],0)</f>
        <v>1</v>
      </c>
      <c r="G646" s="150"/>
      <c r="H646" s="150"/>
      <c r="I646" s="150" t="s">
        <v>2057</v>
      </c>
      <c r="J646" s="153"/>
      <c r="K646" s="154">
        <v>4</v>
      </c>
      <c r="L646" s="150" t="s">
        <v>1896</v>
      </c>
      <c r="M646" s="151"/>
      <c r="N646" s="154">
        <f>MouserListTable[[#This Row],['# Initial]]*MouserListTable[[#This Row],[Price (USD)]]</f>
        <v>4</v>
      </c>
      <c r="O646" s="151" t="s">
        <v>2058</v>
      </c>
      <c r="P646" s="150">
        <f t="shared" si="10"/>
        <v>632</v>
      </c>
      <c r="Q646" s="150" t="s">
        <v>1884</v>
      </c>
      <c r="R64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485-427</v>
      </c>
      <c r="S646" s="157" t="str">
        <f>HYPERLINK("https://www.mouser.com/ProductDetail/" &amp;MouserListTable[[#This Row],[Mouser SKU]])</f>
        <v>https://www.mouser.com/ProductDetail/485-427</v>
      </c>
      <c r="T646" s="152">
        <v>0</v>
      </c>
      <c r="U646" s="152">
        <v>1</v>
      </c>
      <c r="V646" s="152">
        <v>1</v>
      </c>
      <c r="W646" s="152">
        <f>MouserListTable[[#This Row],['#/Unit]]*FilterSpecs!$C$3+MouserListTable[[#This Row],[Extra]]</f>
        <v>1</v>
      </c>
      <c r="X646" s="152">
        <f>IF(MouserListTable[[#This Row],[Tag]]=FilterSpecs!$F$7,MouserListTable[[#This Row],['#/Unit]]*MouserListTable[[#This Row],[Price (USD)]],0)</f>
        <v>0</v>
      </c>
      <c r="Y646" s="152">
        <f>MouserListTable[[#This Row],[Tot '#]]*MouserListTable[[#This Row],[Price (USD)]]</f>
        <v>4</v>
      </c>
    </row>
    <row r="647" spans="1:25" x14ac:dyDescent="0.25">
      <c r="A647" s="150" t="s">
        <v>13</v>
      </c>
      <c r="B647" s="150" t="s">
        <v>1640</v>
      </c>
      <c r="C647" s="150" t="s">
        <v>1884</v>
      </c>
      <c r="D647" s="151" t="str">
        <f>IF(MouserListTable[[#This Row],[Vendor]]=FilterSpecs!$A$8,MouserListTable[[#This Row],[Mouser SKU]], MouserListTable[[#This Row],[Supplier SKU]])</f>
        <v>485-431</v>
      </c>
      <c r="E647" s="152">
        <f>MouserListTable[[#This Row],[Tot '#]]-MouserListTable[[#This Row],['# Initial]]</f>
        <v>0</v>
      </c>
      <c r="F647" s="152">
        <f>IF(AND(MouserListTable[[#This Row],[Tag]]&lt;&gt;FilterSpecs!$F$12, MouserListTable[[#This Row],[Tag]]&lt;&gt;FilterSpecs!$F$9), MouserListTable[[#This Row],['#/Unit]]*FilterSpecs!$B$3+MouserListTable[[#This Row],[Extra Initial]],0)</f>
        <v>1</v>
      </c>
      <c r="G647" s="150"/>
      <c r="H647" s="150"/>
      <c r="I647" s="150" t="s">
        <v>2051</v>
      </c>
      <c r="J647" s="153"/>
      <c r="K647" s="154">
        <v>4</v>
      </c>
      <c r="L647" s="150" t="s">
        <v>1896</v>
      </c>
      <c r="M647" s="151"/>
      <c r="N647" s="154">
        <f>MouserListTable[[#This Row],['# Initial]]*MouserListTable[[#This Row],[Price (USD)]]</f>
        <v>4</v>
      </c>
      <c r="O647" s="151" t="s">
        <v>2052</v>
      </c>
      <c r="P647" s="150">
        <f t="shared" si="10"/>
        <v>633</v>
      </c>
      <c r="Q647" s="150" t="s">
        <v>1884</v>
      </c>
      <c r="R64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485-431</v>
      </c>
      <c r="S647" s="157" t="str">
        <f>HYPERLINK("https://www.mouser.com/ProductDetail/" &amp;MouserListTable[[#This Row],[Mouser SKU]])</f>
        <v>https://www.mouser.com/ProductDetail/485-431</v>
      </c>
      <c r="T647" s="152">
        <v>0</v>
      </c>
      <c r="U647" s="152">
        <v>1</v>
      </c>
      <c r="V647" s="152">
        <v>1</v>
      </c>
      <c r="W647" s="152">
        <f>MouserListTable[[#This Row],['#/Unit]]*FilterSpecs!$C$3+MouserListTable[[#This Row],[Extra]]</f>
        <v>1</v>
      </c>
      <c r="X647" s="152">
        <f>IF(MouserListTable[[#This Row],[Tag]]=FilterSpecs!$F$7,MouserListTable[[#This Row],['#/Unit]]*MouserListTable[[#This Row],[Price (USD)]],0)</f>
        <v>0</v>
      </c>
      <c r="Y647" s="152">
        <f>MouserListTable[[#This Row],[Tot '#]]*MouserListTable[[#This Row],[Price (USD)]]</f>
        <v>4</v>
      </c>
    </row>
    <row r="648" spans="1:25" ht="15.75" thickBot="1" x14ac:dyDescent="0.3">
      <c r="A648" s="149" t="s">
        <v>1398</v>
      </c>
      <c r="B648" s="149">
        <f>SUBTOTAL(103,InitialOrderTable2[Category])</f>
        <v>634</v>
      </c>
      <c r="D648" s="147"/>
      <c r="E648" s="147">
        <f>SUBTOTAL(109,InitialOrderTable2['# Left])</f>
        <v>253</v>
      </c>
      <c r="F648" s="147"/>
      <c r="G648" s="147"/>
      <c r="H648" s="147"/>
      <c r="I648" s="147"/>
      <c r="J648" s="147"/>
      <c r="K648" s="148">
        <f>SUBTOTAL(101,InitialOrderTable2[Price (USD)])</f>
        <v>11.102113564668691</v>
      </c>
      <c r="L648" s="148"/>
      <c r="M648" s="147">
        <f>SUBTOTAL(103,InitialOrderTable2[Description/Comments])</f>
        <v>71</v>
      </c>
      <c r="N648" s="148">
        <f>SUBTOTAL(109,InitialOrderTable2[Total Price])</f>
        <v>3962.6599999999939</v>
      </c>
      <c r="O648" s="147">
        <f>SUBTOTAL(103,InitialOrderTable2[Supplier SKU])</f>
        <v>634</v>
      </c>
      <c r="P648" s="147">
        <f>SUBTOTAL(104,InitialOrderTable2[List '#])</f>
        <v>633</v>
      </c>
      <c r="Q648" s="147"/>
      <c r="R648" s="147"/>
      <c r="S648" s="147"/>
      <c r="T648" s="147"/>
      <c r="U648" s="147"/>
      <c r="V648" s="147"/>
      <c r="W648" s="147"/>
      <c r="X648" s="147">
        <f>SUBTOTAL(109,InitialOrderTable2[$/Unit])</f>
        <v>674.02000000000078</v>
      </c>
      <c r="Y648" s="148">
        <f>SUBTOTAL(109,InitialOrderTable2[Total $])</f>
        <v>7334.6599999999808</v>
      </c>
    </row>
    <row r="649" spans="1:25" ht="20.25" thickTop="1" thickBot="1" x14ac:dyDescent="0.3">
      <c r="A649" s="126" t="s">
        <v>2554</v>
      </c>
      <c r="B649" s="126" t="s">
        <v>2555</v>
      </c>
      <c r="C649" s="127" t="s">
        <v>2556</v>
      </c>
      <c r="D649" s="147"/>
      <c r="E649" s="147"/>
      <c r="F649" s="147"/>
      <c r="G649" s="147"/>
      <c r="H649" s="147"/>
      <c r="I649" s="147"/>
      <c r="J649" s="147"/>
      <c r="K649" s="147"/>
      <c r="L649" s="147"/>
    </row>
    <row r="650" spans="1:25" ht="17.25" thickTop="1" thickBot="1" x14ac:dyDescent="0.3">
      <c r="A650" s="121" t="str">
        <f>FilterSpecs!C6</f>
        <v>Primary Component</v>
      </c>
      <c r="B650" s="122">
        <f>SUMIF(InitialOrderTable2[Type],"=" &amp; FilterSpecs!$C6,InitialOrderTable2[Total Price])</f>
        <v>2162.8500000000004</v>
      </c>
      <c r="C650" s="122">
        <f>SUMIF(InitialOrderTable2[Type],"=" &amp; FilterSpecs!$C6,InitialOrderTable2[Total $])</f>
        <v>3125.9</v>
      </c>
      <c r="D650" s="147"/>
      <c r="E650" s="147"/>
      <c r="F650" s="147"/>
      <c r="G650" s="147"/>
      <c r="H650" s="147"/>
      <c r="I650" s="147"/>
      <c r="J650" s="147"/>
      <c r="K650" s="147"/>
      <c r="L650" s="147"/>
    </row>
    <row r="651" spans="1:25" ht="17.25" thickTop="1" thickBot="1" x14ac:dyDescent="0.3">
      <c r="A651" s="121" t="str">
        <f>FilterSpecs!C7</f>
        <v>Secondary Component</v>
      </c>
      <c r="B651" s="123">
        <f>SUMIF(InitialOrderTable2[Type],"=" &amp; FilterSpecs!$C7,InitialOrderTable2[Total Price])</f>
        <v>331.12</v>
      </c>
      <c r="C651" s="123">
        <f>SUMIF(InitialOrderTable2[Type],"=" &amp; FilterSpecs!$C7,InitialOrderTable2[Total $])</f>
        <v>438.41999999999996</v>
      </c>
      <c r="D651" s="147"/>
      <c r="E651" s="147"/>
      <c r="F651" s="147"/>
      <c r="G651" s="147"/>
      <c r="H651" s="147"/>
      <c r="I651" s="147"/>
      <c r="J651" s="147"/>
      <c r="K651" s="147"/>
      <c r="L651" s="147"/>
    </row>
    <row r="652" spans="1:25" ht="17.25" thickTop="1" thickBot="1" x14ac:dyDescent="0.3">
      <c r="A652" s="121" t="str">
        <f>FilterSpecs!C8</f>
        <v>Advanced &amp; Optional Components</v>
      </c>
      <c r="B652" s="123">
        <f>SUMIF(InitialOrderTable2[Type],"=" &amp; FilterSpecs!$C8,InitialOrderTable2[Total Price])</f>
        <v>0</v>
      </c>
      <c r="C652" s="123">
        <f>SUMIF(InitialOrderTable2[Type],"=" &amp; FilterSpecs!$C8,InitialOrderTable2[Total $])</f>
        <v>1127.2500000000002</v>
      </c>
      <c r="D652" s="147"/>
      <c r="E652" s="147"/>
      <c r="F652" s="147"/>
      <c r="G652" s="147"/>
      <c r="H652" s="147"/>
      <c r="I652" s="147"/>
      <c r="J652" s="147"/>
      <c r="K652" s="147"/>
      <c r="L652" s="147"/>
    </row>
    <row r="653" spans="1:25" ht="17.25" thickTop="1" thickBot="1" x14ac:dyDescent="0.3">
      <c r="A653" s="121" t="str">
        <f>FilterSpecs!C9</f>
        <v>Smart-Home/IoT Network Integration (Fixed)</v>
      </c>
      <c r="B653" s="123">
        <f>SUMIF(InitialOrderTable2[Type],"=" &amp; FilterSpecs!$C9,InitialOrderTable2[Total Price])</f>
        <v>0</v>
      </c>
      <c r="C653" s="123">
        <f>SUMIF(InitialOrderTable2[Type],"=" &amp; FilterSpecs!$C9,InitialOrderTable2[Total $])</f>
        <v>605.09999999999991</v>
      </c>
      <c r="D653" s="147"/>
      <c r="E653" s="147"/>
      <c r="F653" s="147"/>
      <c r="G653" s="147"/>
      <c r="H653" s="147"/>
      <c r="I653" s="147"/>
      <c r="J653" s="147"/>
      <c r="K653" s="147"/>
      <c r="L653" s="147"/>
    </row>
    <row r="654" spans="1:25" ht="17.25" thickTop="1" thickBot="1" x14ac:dyDescent="0.3">
      <c r="A654" s="121" t="str">
        <f>FilterSpecs!C10</f>
        <v>Smart-Home/IoT Network Integration (Portable)</v>
      </c>
      <c r="B654" s="123">
        <f>SUMIF(InitialOrderTable2[Type],"=" &amp; FilterSpecs!$C10,InitialOrderTable2[Total Price])</f>
        <v>0</v>
      </c>
      <c r="C654" s="123">
        <f>SUMIF(InitialOrderTable2[Type],"=" &amp; FilterSpecs!$C10,InitialOrderTable2[Total $])</f>
        <v>193.8</v>
      </c>
      <c r="D654" s="147"/>
      <c r="E654" s="147"/>
      <c r="F654" s="147"/>
      <c r="G654" s="147"/>
      <c r="H654" s="147"/>
      <c r="I654" s="147"/>
      <c r="J654" s="147"/>
      <c r="K654" s="147"/>
      <c r="L654" s="147"/>
    </row>
    <row r="655" spans="1:25" ht="17.25" thickTop="1" thickBot="1" x14ac:dyDescent="0.3">
      <c r="A655" s="121" t="str">
        <f>FilterSpecs!C11</f>
        <v>Hardware Component</v>
      </c>
      <c r="B655" s="123">
        <f>SUMIF(InitialOrderTable2[Type],"=" &amp; FilterSpecs!$C11,InitialOrderTable2[Total Price])</f>
        <v>578.85000000000014</v>
      </c>
      <c r="C655" s="123">
        <f>SUMIF(InitialOrderTable2[Type],"=" &amp; FilterSpecs!$C11,InitialOrderTable2[Total $])</f>
        <v>725.25</v>
      </c>
      <c r="D655" s="147"/>
      <c r="E655" s="147"/>
      <c r="F655" s="147"/>
      <c r="G655" s="147"/>
      <c r="H655" s="147"/>
      <c r="I655" s="147"/>
      <c r="J655" s="147"/>
      <c r="K655" s="147"/>
      <c r="L655" s="147"/>
    </row>
    <row r="656" spans="1:25" ht="17.25" thickTop="1" thickBot="1" x14ac:dyDescent="0.3">
      <c r="A656" s="121" t="str">
        <f>FilterSpecs!C12</f>
        <v>Low-Level Electronics</v>
      </c>
      <c r="B656" s="123">
        <f>SUMIF(InitialOrderTable2[Type],"=" &amp; FilterSpecs!$C12,InitialOrderTable2[Total Price])</f>
        <v>739.40000000000009</v>
      </c>
      <c r="C656" s="123">
        <f>SUMIF(InitialOrderTable2[Type],"=" &amp; FilterSpecs!$C12,InitialOrderTable2[Total $])</f>
        <v>905.85000000000025</v>
      </c>
      <c r="D656" s="147"/>
      <c r="E656" s="147"/>
      <c r="F656" s="147"/>
      <c r="G656" s="147"/>
      <c r="H656" s="147"/>
      <c r="I656" s="147"/>
      <c r="J656" s="147"/>
      <c r="K656" s="147"/>
      <c r="L656" s="147"/>
    </row>
    <row r="657" spans="1:25" ht="17.25" thickTop="1" thickBot="1" x14ac:dyDescent="0.3">
      <c r="A657" s="124" t="str">
        <f>FilterSpecs!C13</f>
        <v>Tools</v>
      </c>
      <c r="B657" s="125">
        <f>SUMIF(InitialOrderTable2[Type],"=" &amp; FilterSpecs!$C13,InitialOrderTable2[Total Price])</f>
        <v>150.43999999999997</v>
      </c>
      <c r="C657" s="125">
        <f>SUMIF(InitialOrderTable2[Type],"=" &amp; FilterSpecs!$C13,InitialOrderTable2[Total $])</f>
        <v>213.08999999999989</v>
      </c>
      <c r="D657" s="147"/>
      <c r="E657" s="147"/>
      <c r="F657" s="147"/>
      <c r="G657" s="147"/>
      <c r="H657" s="147"/>
      <c r="I657" s="147"/>
      <c r="J657" s="147"/>
      <c r="K657" s="147"/>
      <c r="L657" s="147"/>
    </row>
    <row r="658" spans="1:25" ht="20.25" thickTop="1" thickBot="1" x14ac:dyDescent="0.3">
      <c r="A658" s="126">
        <f>SUBTOTAL(103,Table121614[Cost Breakdown])</f>
        <v>8</v>
      </c>
      <c r="B658" s="128">
        <f>SUBTOTAL(109,Table121614[Initial Order])</f>
        <v>3962.6600000000008</v>
      </c>
      <c r="C658" s="129">
        <f>SUBTOTAL(109,Table121614[Total Order])</f>
        <v>7334.6600000000008</v>
      </c>
      <c r="D658" s="147"/>
      <c r="E658" s="147"/>
      <c r="F658" s="147"/>
      <c r="G658" s="147"/>
      <c r="H658" s="147"/>
      <c r="I658" s="147"/>
      <c r="J658" s="147"/>
      <c r="K658" s="147"/>
      <c r="L658" s="147"/>
    </row>
    <row r="659" spans="1:25" ht="15.75" thickTop="1" x14ac:dyDescent="0.25">
      <c r="D659" s="147"/>
      <c r="E659" s="147"/>
      <c r="F659" s="147"/>
      <c r="G659" s="147"/>
    </row>
    <row r="660" spans="1:25" ht="33.75" x14ac:dyDescent="0.25">
      <c r="A660" s="171" t="s">
        <v>2459</v>
      </c>
      <c r="B660" s="171"/>
      <c r="C660" s="101"/>
      <c r="D660" s="147"/>
      <c r="E660" s="147"/>
      <c r="F660" s="147"/>
      <c r="G660" s="147"/>
      <c r="H660" s="104"/>
      <c r="I660" s="104"/>
      <c r="J660" s="104"/>
      <c r="K660" s="104"/>
      <c r="L660" s="104"/>
      <c r="M660" s="104"/>
      <c r="N660" s="104"/>
      <c r="O660" s="104"/>
      <c r="P660" s="104"/>
      <c r="Q660" s="104"/>
      <c r="R660" s="104"/>
      <c r="S660" s="104"/>
      <c r="T660" s="104"/>
      <c r="U660" s="104"/>
      <c r="V660" s="104"/>
      <c r="W660" s="104"/>
      <c r="X660" s="104"/>
      <c r="Y660" s="104"/>
    </row>
    <row r="661" spans="1:25" x14ac:dyDescent="0.25">
      <c r="A661" s="147" t="s">
        <v>889</v>
      </c>
      <c r="B661" s="147" t="s">
        <v>986</v>
      </c>
      <c r="C661" s="147" t="s">
        <v>5</v>
      </c>
      <c r="D661" s="147" t="s">
        <v>1757</v>
      </c>
      <c r="E661" s="64">
        <v>1</v>
      </c>
      <c r="F661" s="64">
        <v>1</v>
      </c>
      <c r="G661" s="147" t="s">
        <v>1758</v>
      </c>
      <c r="H661" s="147" t="s">
        <v>1759</v>
      </c>
      <c r="I661" s="147" t="s">
        <v>1760</v>
      </c>
      <c r="J661" s="147">
        <v>1</v>
      </c>
      <c r="K661" s="64">
        <v>9.9499999999999993</v>
      </c>
      <c r="L661" s="147" t="s">
        <v>1896</v>
      </c>
      <c r="M661" s="63"/>
      <c r="N661" s="63"/>
      <c r="O661" s="63"/>
      <c r="P661" s="63"/>
      <c r="Q661" s="63"/>
      <c r="R661" s="63"/>
      <c r="S661" s="63"/>
      <c r="T661" s="63"/>
      <c r="U661" s="63"/>
      <c r="V661" s="63"/>
      <c r="W661" s="63"/>
      <c r="X661" s="63"/>
      <c r="Y661" s="63"/>
    </row>
    <row r="662" spans="1:25" x14ac:dyDescent="0.25">
      <c r="A662" s="147" t="s">
        <v>889</v>
      </c>
      <c r="B662" s="147" t="s">
        <v>986</v>
      </c>
      <c r="C662" s="147" t="s">
        <v>1884</v>
      </c>
      <c r="D662" s="147" t="s">
        <v>2087</v>
      </c>
      <c r="E662" s="64">
        <v>0</v>
      </c>
      <c r="F662" s="64">
        <v>0</v>
      </c>
      <c r="G662" s="147"/>
      <c r="H662" s="147"/>
      <c r="I662" s="147" t="s">
        <v>2088</v>
      </c>
      <c r="J662" s="63"/>
      <c r="K662" s="64">
        <v>14.95</v>
      </c>
      <c r="L662" s="147" t="s">
        <v>1896</v>
      </c>
      <c r="M662" s="63"/>
      <c r="N662" s="63"/>
      <c r="O662" s="63"/>
      <c r="P662" s="63"/>
      <c r="Q662" s="63"/>
      <c r="R662" s="63"/>
      <c r="S662" s="63"/>
      <c r="T662" s="63"/>
      <c r="U662" s="63"/>
      <c r="V662" s="63"/>
      <c r="W662" s="63"/>
      <c r="X662" s="63"/>
      <c r="Y662" s="63"/>
    </row>
    <row r="663" spans="1:25" x14ac:dyDescent="0.25">
      <c r="A663" s="147" t="s">
        <v>889</v>
      </c>
      <c r="B663" s="147" t="s">
        <v>986</v>
      </c>
      <c r="C663" s="147" t="s">
        <v>1884</v>
      </c>
      <c r="D663" s="147" t="s">
        <v>2075</v>
      </c>
      <c r="E663" s="64">
        <v>0</v>
      </c>
      <c r="F663" s="64">
        <v>0</v>
      </c>
      <c r="G663" s="147"/>
      <c r="H663" s="147"/>
      <c r="I663" s="147" t="s">
        <v>2076</v>
      </c>
      <c r="J663" s="63"/>
      <c r="K663" s="64">
        <v>9.9499999999999993</v>
      </c>
      <c r="L663" s="147" t="s">
        <v>1896</v>
      </c>
      <c r="M663" s="63"/>
      <c r="N663" s="63"/>
      <c r="O663" s="63"/>
      <c r="P663" s="63"/>
      <c r="Q663" s="63"/>
      <c r="R663" s="63"/>
      <c r="S663" s="63"/>
      <c r="T663" s="63"/>
      <c r="U663" s="63"/>
      <c r="V663" s="63"/>
      <c r="W663" s="63"/>
      <c r="X663" s="63"/>
      <c r="Y663" s="63"/>
    </row>
    <row r="664" spans="1:25" x14ac:dyDescent="0.25">
      <c r="A664" s="147" t="s">
        <v>889</v>
      </c>
      <c r="B664" s="147" t="s">
        <v>986</v>
      </c>
      <c r="C664" s="147" t="s">
        <v>1884</v>
      </c>
      <c r="D664" s="147" t="s">
        <v>2079</v>
      </c>
      <c r="E664" s="64">
        <v>0</v>
      </c>
      <c r="F664" s="64">
        <v>0</v>
      </c>
      <c r="G664" s="147"/>
      <c r="H664" s="147"/>
      <c r="I664" s="147" t="s">
        <v>2080</v>
      </c>
      <c r="J664" s="63"/>
      <c r="K664" s="64">
        <v>14.95</v>
      </c>
      <c r="L664" s="147" t="s">
        <v>1896</v>
      </c>
      <c r="M664" s="63"/>
      <c r="N664" s="63"/>
      <c r="O664" s="63"/>
      <c r="P664" s="63"/>
      <c r="Q664" s="63"/>
      <c r="R664" s="63"/>
      <c r="S664" s="63"/>
      <c r="T664" s="63"/>
      <c r="U664" s="63"/>
      <c r="V664" s="63"/>
      <c r="W664" s="63"/>
      <c r="X664" s="63"/>
      <c r="Y664" s="63"/>
    </row>
    <row r="665" spans="1:25" x14ac:dyDescent="0.25">
      <c r="A665" s="150" t="s">
        <v>887</v>
      </c>
      <c r="B665" s="150" t="s">
        <v>2016</v>
      </c>
      <c r="C665" s="150" t="s">
        <v>5</v>
      </c>
      <c r="D665" s="150" t="s">
        <v>30</v>
      </c>
      <c r="E665" s="79">
        <v>5</v>
      </c>
      <c r="F665" s="79">
        <v>5</v>
      </c>
      <c r="G665" s="150" t="s">
        <v>31</v>
      </c>
      <c r="H665" s="150" t="s">
        <v>32</v>
      </c>
      <c r="I665" s="150" t="s">
        <v>33</v>
      </c>
      <c r="J665" s="151">
        <v>1</v>
      </c>
      <c r="K665" s="79">
        <v>29.95</v>
      </c>
      <c r="L665" s="150" t="s">
        <v>1897</v>
      </c>
      <c r="M665" s="151"/>
      <c r="N665" s="151">
        <v>149.75</v>
      </c>
      <c r="O665" s="151"/>
      <c r="P665" s="151"/>
      <c r="Q665" s="151"/>
      <c r="R665" s="151"/>
      <c r="S665" s="151"/>
      <c r="T665" s="151"/>
      <c r="U665" s="151"/>
      <c r="V665" s="151"/>
      <c r="W665" s="151"/>
      <c r="X665" s="151"/>
      <c r="Y665" s="151"/>
    </row>
    <row r="666" spans="1:25" x14ac:dyDescent="0.25">
      <c r="A666" s="150" t="s">
        <v>887</v>
      </c>
      <c r="B666" s="150" t="s">
        <v>2008</v>
      </c>
      <c r="C666" s="150" t="s">
        <v>5</v>
      </c>
      <c r="D666" s="150" t="s">
        <v>110</v>
      </c>
      <c r="E666" s="79">
        <v>5</v>
      </c>
      <c r="F666" s="79">
        <v>5</v>
      </c>
      <c r="G666" s="150" t="s">
        <v>111</v>
      </c>
      <c r="H666" s="150" t="s">
        <v>112</v>
      </c>
      <c r="I666" s="150" t="s">
        <v>113</v>
      </c>
      <c r="J666" s="150">
        <v>1</v>
      </c>
      <c r="K666" s="79">
        <v>12.95</v>
      </c>
      <c r="L666" s="150" t="s">
        <v>1897</v>
      </c>
      <c r="M666" s="151"/>
      <c r="N666" s="151">
        <v>64.75</v>
      </c>
      <c r="O666" s="151"/>
      <c r="P666" s="151"/>
      <c r="Q666" s="151"/>
      <c r="R666" s="151"/>
      <c r="S666" s="151"/>
      <c r="T666" s="151"/>
      <c r="U666" s="151"/>
      <c r="V666" s="151"/>
      <c r="W666" s="151"/>
      <c r="X666" s="151"/>
      <c r="Y666" s="151"/>
    </row>
    <row r="667" spans="1:25" x14ac:dyDescent="0.25">
      <c r="A667" s="150" t="s">
        <v>887</v>
      </c>
      <c r="B667" s="150" t="s">
        <v>9</v>
      </c>
      <c r="C667" s="150" t="s">
        <v>5</v>
      </c>
      <c r="D667" s="150" t="s">
        <v>253</v>
      </c>
      <c r="E667" s="79">
        <v>5</v>
      </c>
      <c r="F667" s="79">
        <v>5</v>
      </c>
      <c r="G667" s="150" t="s">
        <v>254</v>
      </c>
      <c r="H667" s="150" t="s">
        <v>255</v>
      </c>
      <c r="I667" s="150" t="s">
        <v>256</v>
      </c>
      <c r="J667" s="150">
        <v>1</v>
      </c>
      <c r="K667" s="79">
        <v>6.95</v>
      </c>
      <c r="L667" s="150" t="s">
        <v>1897</v>
      </c>
      <c r="M667" s="151"/>
      <c r="N667" s="151">
        <v>34.75</v>
      </c>
      <c r="O667" s="151"/>
      <c r="P667" s="151"/>
      <c r="Q667" s="151"/>
      <c r="R667" s="151"/>
      <c r="S667" s="151"/>
      <c r="T667" s="151"/>
      <c r="U667" s="151"/>
      <c r="V667" s="151"/>
      <c r="W667" s="151"/>
      <c r="X667" s="151"/>
      <c r="Y667" s="151"/>
    </row>
    <row r="668" spans="1:25" x14ac:dyDescent="0.25">
      <c r="A668" s="150" t="s">
        <v>888</v>
      </c>
      <c r="B668" s="150" t="s">
        <v>892</v>
      </c>
      <c r="C668" s="150" t="s">
        <v>5</v>
      </c>
      <c r="D668" s="150" t="s">
        <v>356</v>
      </c>
      <c r="E668" s="79">
        <v>0</v>
      </c>
      <c r="F668" s="79">
        <v>0</v>
      </c>
      <c r="G668" s="150" t="s">
        <v>357</v>
      </c>
      <c r="H668" s="150" t="s">
        <v>358</v>
      </c>
      <c r="I668" s="150" t="s">
        <v>359</v>
      </c>
      <c r="J668" s="150">
        <v>1</v>
      </c>
      <c r="K668" s="79">
        <v>2.95</v>
      </c>
      <c r="L668" s="150" t="s">
        <v>2461</v>
      </c>
      <c r="M668" s="150"/>
      <c r="N668" s="150">
        <v>0</v>
      </c>
      <c r="O668" s="151"/>
      <c r="P668" s="151"/>
      <c r="Q668" s="151"/>
      <c r="R668" s="151"/>
      <c r="S668" s="151"/>
      <c r="T668" s="151"/>
      <c r="U668" s="151"/>
      <c r="V668" s="151"/>
      <c r="W668" s="151"/>
      <c r="X668" s="151"/>
      <c r="Y668" s="151"/>
    </row>
    <row r="669" spans="1:25" x14ac:dyDescent="0.25">
      <c r="A669" s="150" t="s">
        <v>888</v>
      </c>
      <c r="B669" s="150" t="s">
        <v>892</v>
      </c>
      <c r="C669" s="150" t="s">
        <v>5</v>
      </c>
      <c r="D669" s="150" t="s">
        <v>1173</v>
      </c>
      <c r="E669" s="79">
        <v>0</v>
      </c>
      <c r="F669" s="79">
        <v>0</v>
      </c>
      <c r="G669" s="150" t="s">
        <v>1174</v>
      </c>
      <c r="H669" s="150" t="s">
        <v>1175</v>
      </c>
      <c r="I669" s="150" t="s">
        <v>1176</v>
      </c>
      <c r="J669" s="150">
        <v>1</v>
      </c>
      <c r="K669" s="79">
        <v>9.9499999999999993</v>
      </c>
      <c r="L669" s="150" t="s">
        <v>2461</v>
      </c>
      <c r="M669" s="151"/>
      <c r="N669" s="150">
        <v>0</v>
      </c>
      <c r="O669" s="151"/>
      <c r="P669" s="151"/>
      <c r="Q669" s="151"/>
      <c r="R669" s="151"/>
      <c r="S669" s="151"/>
      <c r="T669" s="151"/>
      <c r="U669" s="151"/>
      <c r="V669" s="151"/>
      <c r="W669" s="151"/>
      <c r="X669" s="151"/>
      <c r="Y669" s="151"/>
    </row>
    <row r="670" spans="1:25" x14ac:dyDescent="0.25">
      <c r="A670" s="147" t="s">
        <v>888</v>
      </c>
      <c r="B670" s="147" t="s">
        <v>1593</v>
      </c>
      <c r="C670" s="147" t="s">
        <v>5</v>
      </c>
      <c r="D670" s="147" t="s">
        <v>1096</v>
      </c>
      <c r="E670" s="64">
        <v>1</v>
      </c>
      <c r="F670" s="64">
        <v>1</v>
      </c>
      <c r="G670" s="147" t="s">
        <v>1097</v>
      </c>
      <c r="H670" s="147" t="s">
        <v>1098</v>
      </c>
      <c r="I670" s="147" t="s">
        <v>1099</v>
      </c>
      <c r="J670" s="147"/>
      <c r="K670" s="64">
        <v>24.95</v>
      </c>
      <c r="L670" s="147" t="s">
        <v>1896</v>
      </c>
      <c r="M670" s="63"/>
      <c r="N670" s="147">
        <v>24.95</v>
      </c>
      <c r="O670" s="63"/>
      <c r="P670" s="63"/>
      <c r="Q670" s="63"/>
      <c r="R670" s="63"/>
      <c r="S670" s="63"/>
      <c r="T670" s="63"/>
      <c r="U670" s="63"/>
      <c r="V670" s="63"/>
      <c r="W670" s="63"/>
      <c r="X670" s="63"/>
      <c r="Y670" s="63"/>
    </row>
    <row r="671" spans="1:25" x14ac:dyDescent="0.25">
      <c r="A671" s="48" t="s">
        <v>1058</v>
      </c>
      <c r="B671" s="108" t="s">
        <v>1005</v>
      </c>
      <c r="C671" s="108" t="s">
        <v>5</v>
      </c>
      <c r="D671" s="48" t="s">
        <v>981</v>
      </c>
      <c r="E671" s="73">
        <v>0</v>
      </c>
      <c r="F671" s="73">
        <v>0</v>
      </c>
      <c r="G671" s="48" t="s">
        <v>982</v>
      </c>
      <c r="H671" s="48" t="s">
        <v>983</v>
      </c>
      <c r="I671" s="48" t="s">
        <v>984</v>
      </c>
      <c r="J671" s="48">
        <v>1</v>
      </c>
      <c r="K671" s="73">
        <v>44.95</v>
      </c>
      <c r="L671" s="48" t="s">
        <v>1900</v>
      </c>
      <c r="M671" s="48" t="s">
        <v>1046</v>
      </c>
      <c r="N671" s="48">
        <v>0</v>
      </c>
      <c r="O671" s="109"/>
      <c r="P671" s="109"/>
      <c r="Q671" s="109"/>
      <c r="R671" s="109"/>
      <c r="S671" s="109"/>
      <c r="T671" s="109"/>
      <c r="U671" s="109"/>
      <c r="V671" s="109"/>
      <c r="W671" s="109"/>
      <c r="X671" s="109"/>
      <c r="Y671" s="109"/>
    </row>
    <row r="672" spans="1:25" x14ac:dyDescent="0.25">
      <c r="A672" s="147" t="s">
        <v>1058</v>
      </c>
      <c r="B672" s="147" t="s">
        <v>1005</v>
      </c>
      <c r="C672" s="147" t="s">
        <v>1884</v>
      </c>
      <c r="D672" s="147" t="s">
        <v>2069</v>
      </c>
      <c r="E672" s="64">
        <v>0</v>
      </c>
      <c r="F672" s="64">
        <v>0</v>
      </c>
      <c r="G672" s="147"/>
      <c r="H672" s="147"/>
      <c r="I672" s="147" t="s">
        <v>2070</v>
      </c>
      <c r="J672" s="147"/>
      <c r="K672" s="64">
        <v>44.95</v>
      </c>
      <c r="L672" s="147" t="s">
        <v>1896</v>
      </c>
      <c r="M672" s="63"/>
      <c r="N672" s="63"/>
      <c r="O672" s="63"/>
      <c r="P672" s="63"/>
      <c r="Q672" s="63"/>
      <c r="R672" s="63"/>
      <c r="S672" s="63"/>
      <c r="T672" s="63"/>
      <c r="U672" s="63"/>
      <c r="V672" s="63"/>
      <c r="W672" s="63"/>
      <c r="X672" s="63"/>
      <c r="Y672" s="63"/>
    </row>
    <row r="673" spans="1:25" x14ac:dyDescent="0.25">
      <c r="A673" s="147" t="s">
        <v>1058</v>
      </c>
      <c r="B673" s="147" t="s">
        <v>2040</v>
      </c>
      <c r="C673" s="147" t="s">
        <v>1884</v>
      </c>
      <c r="D673" s="147" t="s">
        <v>2048</v>
      </c>
      <c r="E673" s="64">
        <v>1</v>
      </c>
      <c r="F673" s="64">
        <v>1</v>
      </c>
      <c r="G673" s="147"/>
      <c r="H673" s="147"/>
      <c r="I673" s="147" t="s">
        <v>2047</v>
      </c>
      <c r="J673" s="147"/>
      <c r="K673" s="64">
        <v>39.950000000000003</v>
      </c>
      <c r="L673" s="147" t="s">
        <v>1896</v>
      </c>
      <c r="M673" s="63"/>
      <c r="N673" s="63"/>
      <c r="O673" s="63"/>
      <c r="P673" s="63"/>
      <c r="Q673" s="63"/>
      <c r="R673" s="63"/>
      <c r="S673" s="63"/>
      <c r="T673" s="63"/>
      <c r="U673" s="63"/>
      <c r="V673" s="63"/>
      <c r="W673" s="63"/>
      <c r="X673" s="63"/>
      <c r="Y673" s="63"/>
    </row>
    <row r="674" spans="1:25" x14ac:dyDescent="0.25">
      <c r="A674" s="147" t="s">
        <v>1058</v>
      </c>
      <c r="B674" s="110" t="s">
        <v>2005</v>
      </c>
      <c r="C674" s="147" t="s">
        <v>1884</v>
      </c>
      <c r="D674" s="147" t="s">
        <v>2073</v>
      </c>
      <c r="E674" s="64">
        <v>0</v>
      </c>
      <c r="F674" s="64">
        <v>0</v>
      </c>
      <c r="G674" s="147"/>
      <c r="H674" s="147"/>
      <c r="I674" s="147" t="s">
        <v>2074</v>
      </c>
      <c r="J674" s="63"/>
      <c r="K674" s="64">
        <v>44.95</v>
      </c>
      <c r="L674" s="147" t="s">
        <v>1896</v>
      </c>
      <c r="M674" s="63"/>
      <c r="N674" s="63"/>
      <c r="O674" s="63"/>
      <c r="P674" s="63"/>
      <c r="Q674" s="63"/>
      <c r="R674" s="63"/>
      <c r="S674" s="63"/>
      <c r="T674" s="63"/>
      <c r="U674" s="63"/>
      <c r="V674" s="63"/>
      <c r="W674" s="63"/>
      <c r="X674" s="63"/>
      <c r="Y674" s="63"/>
    </row>
    <row r="675" spans="1:25" x14ac:dyDescent="0.25">
      <c r="A675" s="77" t="s">
        <v>1058</v>
      </c>
      <c r="B675" s="90" t="s">
        <v>1424</v>
      </c>
      <c r="C675" s="90" t="s">
        <v>5</v>
      </c>
      <c r="D675" s="150" t="s">
        <v>969</v>
      </c>
      <c r="E675" s="79">
        <v>1</v>
      </c>
      <c r="F675" s="79">
        <v>1</v>
      </c>
      <c r="G675" s="150" t="s">
        <v>970</v>
      </c>
      <c r="H675" s="150" t="s">
        <v>971</v>
      </c>
      <c r="I675" s="150" t="s">
        <v>972</v>
      </c>
      <c r="J675" s="150">
        <v>1</v>
      </c>
      <c r="K675" s="79">
        <v>49.95</v>
      </c>
      <c r="L675" s="150" t="s">
        <v>1896</v>
      </c>
      <c r="M675" s="150" t="s">
        <v>1050</v>
      </c>
      <c r="N675" s="150">
        <v>49.95</v>
      </c>
      <c r="O675" s="80"/>
      <c r="P675" s="80"/>
      <c r="Q675" s="80"/>
      <c r="R675" s="80"/>
      <c r="S675" s="80"/>
      <c r="T675" s="80"/>
      <c r="U675" s="80"/>
      <c r="V675" s="80"/>
      <c r="W675" s="80"/>
      <c r="X675" s="80"/>
      <c r="Y675" s="80"/>
    </row>
    <row r="680" spans="1:25" x14ac:dyDescent="0.25">
      <c r="A680" s="61" t="s">
        <v>889</v>
      </c>
      <c r="B680" s="138" t="s">
        <v>1290</v>
      </c>
      <c r="C680" s="146" t="s">
        <v>5</v>
      </c>
      <c r="D680" s="147" t="s">
        <v>1220</v>
      </c>
      <c r="E680" s="147">
        <v>1</v>
      </c>
      <c r="G680" s="147" t="s">
        <v>1221</v>
      </c>
      <c r="H680" s="147" t="s">
        <v>1222</v>
      </c>
      <c r="I680" s="147" t="s">
        <v>1223</v>
      </c>
      <c r="J680" s="147">
        <v>1</v>
      </c>
      <c r="K680" s="147">
        <v>15.95</v>
      </c>
    </row>
    <row r="681" spans="1:25" x14ac:dyDescent="0.25">
      <c r="A681" s="61" t="s">
        <v>889</v>
      </c>
      <c r="B681" s="138" t="s">
        <v>1290</v>
      </c>
      <c r="C681" s="146" t="s">
        <v>5</v>
      </c>
      <c r="D681" s="147" t="s">
        <v>1224</v>
      </c>
      <c r="E681" s="147">
        <v>1</v>
      </c>
      <c r="G681" s="147" t="s">
        <v>1225</v>
      </c>
      <c r="H681" s="147" t="s">
        <v>1226</v>
      </c>
      <c r="I681" s="147" t="s">
        <v>1227</v>
      </c>
      <c r="J681" s="147"/>
      <c r="K681" s="147">
        <v>14.95</v>
      </c>
    </row>
    <row r="682" spans="1:25" x14ac:dyDescent="0.25">
      <c r="A682" s="61" t="s">
        <v>889</v>
      </c>
      <c r="B682" s="138" t="s">
        <v>1290</v>
      </c>
      <c r="C682" s="146" t="s">
        <v>5</v>
      </c>
      <c r="D682" s="147" t="s">
        <v>1200</v>
      </c>
      <c r="E682" s="147">
        <v>1</v>
      </c>
      <c r="G682" s="147" t="s">
        <v>1201</v>
      </c>
      <c r="H682" s="147" t="s">
        <v>1202</v>
      </c>
      <c r="I682" s="147" t="s">
        <v>1203</v>
      </c>
      <c r="J682" s="147"/>
      <c r="K682" s="147">
        <v>24.95</v>
      </c>
    </row>
    <row r="683" spans="1:25" x14ac:dyDescent="0.25">
      <c r="A683" s="61" t="s">
        <v>889</v>
      </c>
      <c r="B683" s="138" t="s">
        <v>1290</v>
      </c>
      <c r="C683" s="146" t="s">
        <v>5</v>
      </c>
      <c r="D683" s="147" t="s">
        <v>1240</v>
      </c>
      <c r="E683" s="147">
        <v>1</v>
      </c>
      <c r="G683" s="147" t="s">
        <v>1241</v>
      </c>
      <c r="H683" s="147" t="s">
        <v>1242</v>
      </c>
      <c r="I683" s="147" t="s">
        <v>1243</v>
      </c>
      <c r="J683" s="147"/>
      <c r="K683" s="147">
        <v>9.9499999999999993</v>
      </c>
    </row>
    <row r="684" spans="1:25" x14ac:dyDescent="0.25">
      <c r="A684" s="61" t="s">
        <v>889</v>
      </c>
      <c r="B684" s="138" t="s">
        <v>1290</v>
      </c>
      <c r="C684" s="146" t="s">
        <v>5</v>
      </c>
      <c r="D684" s="147" t="s">
        <v>1216</v>
      </c>
      <c r="E684" s="147">
        <v>1</v>
      </c>
      <c r="G684" s="147" t="s">
        <v>1217</v>
      </c>
      <c r="H684" s="147" t="s">
        <v>1218</v>
      </c>
      <c r="I684" s="147" t="s">
        <v>1219</v>
      </c>
      <c r="J684" s="147">
        <v>1</v>
      </c>
      <c r="K684" s="147">
        <v>19.95</v>
      </c>
    </row>
    <row r="685" spans="1:25" x14ac:dyDescent="0.25">
      <c r="A685" s="146" t="s">
        <v>890</v>
      </c>
      <c r="B685" s="158" t="s">
        <v>1603</v>
      </c>
      <c r="C685" s="146" t="s">
        <v>5</v>
      </c>
      <c r="D685" s="147" t="s">
        <v>1264</v>
      </c>
      <c r="E685" s="147">
        <v>1</v>
      </c>
      <c r="G685" s="147" t="s">
        <v>1265</v>
      </c>
      <c r="H685" s="147" t="s">
        <v>1266</v>
      </c>
      <c r="I685" s="147" t="s">
        <v>1267</v>
      </c>
      <c r="J685" s="147">
        <v>1</v>
      </c>
      <c r="K685" s="147">
        <v>0.25</v>
      </c>
    </row>
    <row r="686" spans="1:25" x14ac:dyDescent="0.25">
      <c r="A686" s="146" t="s">
        <v>890</v>
      </c>
      <c r="B686" s="158" t="s">
        <v>1603</v>
      </c>
      <c r="C686" s="146" t="s">
        <v>5</v>
      </c>
      <c r="D686" s="147" t="s">
        <v>1276</v>
      </c>
      <c r="E686" s="147">
        <v>1</v>
      </c>
      <c r="G686" s="147" t="s">
        <v>1277</v>
      </c>
      <c r="H686" s="147" t="s">
        <v>1278</v>
      </c>
      <c r="I686" s="147" t="s">
        <v>1279</v>
      </c>
      <c r="J686" s="147">
        <v>1</v>
      </c>
      <c r="K686" s="147">
        <v>1.5</v>
      </c>
    </row>
    <row r="687" spans="1:25" x14ac:dyDescent="0.25">
      <c r="A687" s="146" t="s">
        <v>890</v>
      </c>
      <c r="B687" s="158" t="s">
        <v>1603</v>
      </c>
      <c r="C687" s="146" t="s">
        <v>5</v>
      </c>
      <c r="D687" s="147" t="s">
        <v>1272</v>
      </c>
      <c r="E687" s="147">
        <v>1</v>
      </c>
      <c r="G687" s="147" t="s">
        <v>1273</v>
      </c>
      <c r="H687" s="147" t="s">
        <v>1274</v>
      </c>
      <c r="I687" s="147" t="s">
        <v>1275</v>
      </c>
      <c r="J687" s="147">
        <v>1</v>
      </c>
      <c r="K687" s="147">
        <v>0.1</v>
      </c>
    </row>
    <row r="688" spans="1:25" x14ac:dyDescent="0.25">
      <c r="A688" s="146" t="s">
        <v>890</v>
      </c>
      <c r="B688" s="158" t="s">
        <v>1603</v>
      </c>
      <c r="C688" s="146" t="s">
        <v>5</v>
      </c>
      <c r="D688" s="147" t="s">
        <v>1436</v>
      </c>
      <c r="E688" s="147">
        <v>1</v>
      </c>
      <c r="G688" s="147" t="s">
        <v>1437</v>
      </c>
      <c r="H688" s="147" t="s">
        <v>1438</v>
      </c>
      <c r="I688" s="147" t="s">
        <v>1439</v>
      </c>
      <c r="J688" s="147">
        <v>1</v>
      </c>
      <c r="K688" s="147">
        <v>1.95</v>
      </c>
    </row>
    <row r="689" spans="1:11" x14ac:dyDescent="0.25">
      <c r="A689" s="146" t="s">
        <v>890</v>
      </c>
      <c r="B689" s="158" t="s">
        <v>1603</v>
      </c>
      <c r="C689" s="146" t="s">
        <v>5</v>
      </c>
      <c r="D689" s="147" t="s">
        <v>1440</v>
      </c>
      <c r="E689" s="147">
        <v>1</v>
      </c>
      <c r="G689" s="147" t="s">
        <v>1441</v>
      </c>
      <c r="H689" s="147" t="s">
        <v>1442</v>
      </c>
      <c r="I689" s="147" t="s">
        <v>1443</v>
      </c>
      <c r="J689" s="147">
        <v>1</v>
      </c>
      <c r="K689" s="147">
        <v>1.95</v>
      </c>
    </row>
    <row r="690" spans="1:11" x14ac:dyDescent="0.25">
      <c r="A690" s="146" t="s">
        <v>890</v>
      </c>
      <c r="B690" s="158" t="s">
        <v>1603</v>
      </c>
      <c r="C690" s="146" t="s">
        <v>5</v>
      </c>
      <c r="D690" s="147" t="s">
        <v>1468</v>
      </c>
      <c r="E690" s="147">
        <v>1</v>
      </c>
      <c r="G690" s="147" t="s">
        <v>1469</v>
      </c>
      <c r="H690" s="147" t="s">
        <v>1470</v>
      </c>
      <c r="I690" s="147" t="s">
        <v>1471</v>
      </c>
      <c r="J690" s="147">
        <v>1</v>
      </c>
      <c r="K690" s="147">
        <v>1.95</v>
      </c>
    </row>
    <row r="691" spans="1:11" x14ac:dyDescent="0.25">
      <c r="A691" s="146" t="s">
        <v>890</v>
      </c>
      <c r="B691" s="146" t="s">
        <v>878</v>
      </c>
      <c r="C691" s="146" t="s">
        <v>5</v>
      </c>
      <c r="D691" s="147" t="s">
        <v>1565</v>
      </c>
      <c r="E691" s="147">
        <v>0</v>
      </c>
      <c r="G691" s="147" t="s">
        <v>1566</v>
      </c>
      <c r="H691" s="147" t="s">
        <v>1567</v>
      </c>
      <c r="I691" s="147" t="s">
        <v>1568</v>
      </c>
      <c r="J691" s="147">
        <v>1</v>
      </c>
      <c r="K691" s="147">
        <v>0.35</v>
      </c>
    </row>
    <row r="692" spans="1:11" x14ac:dyDescent="0.25">
      <c r="A692" s="146" t="s">
        <v>890</v>
      </c>
      <c r="B692" s="146" t="s">
        <v>878</v>
      </c>
      <c r="C692" s="146" t="s">
        <v>5</v>
      </c>
      <c r="D692" s="147" t="s">
        <v>1537</v>
      </c>
      <c r="E692" s="147">
        <v>0</v>
      </c>
      <c r="G692" s="147" t="s">
        <v>1538</v>
      </c>
      <c r="H692" s="147" t="s">
        <v>1539</v>
      </c>
      <c r="I692" s="147" t="s">
        <v>1540</v>
      </c>
      <c r="J692" s="147">
        <v>1</v>
      </c>
      <c r="K692" s="147">
        <v>0.35</v>
      </c>
    </row>
    <row r="693" spans="1:11" x14ac:dyDescent="0.25">
      <c r="A693" s="159" t="s">
        <v>887</v>
      </c>
      <c r="B693" s="138" t="s">
        <v>1602</v>
      </c>
      <c r="C693" s="146" t="s">
        <v>5</v>
      </c>
      <c r="D693" s="147" t="s">
        <v>1181</v>
      </c>
      <c r="E693" s="147">
        <v>1</v>
      </c>
      <c r="G693" s="147" t="s">
        <v>1182</v>
      </c>
      <c r="H693" s="147" t="s">
        <v>1183</v>
      </c>
      <c r="I693" s="147" t="s">
        <v>1184</v>
      </c>
      <c r="J693" s="147">
        <v>1</v>
      </c>
      <c r="K693" s="147">
        <v>29.95</v>
      </c>
    </row>
    <row r="694" spans="1:11" x14ac:dyDescent="0.25">
      <c r="A694" s="159" t="s">
        <v>887</v>
      </c>
      <c r="B694" s="138" t="s">
        <v>11</v>
      </c>
      <c r="C694" s="146" t="s">
        <v>5</v>
      </c>
      <c r="D694" s="147" t="s">
        <v>1204</v>
      </c>
      <c r="E694" s="147">
        <v>1</v>
      </c>
      <c r="G694" s="147" t="s">
        <v>1205</v>
      </c>
      <c r="H694" s="147" t="s">
        <v>1206</v>
      </c>
      <c r="I694" s="147" t="s">
        <v>1207</v>
      </c>
      <c r="J694" s="147">
        <v>1</v>
      </c>
      <c r="K694" s="147">
        <v>5.95</v>
      </c>
    </row>
    <row r="695" spans="1:11" x14ac:dyDescent="0.25">
      <c r="A695" s="159" t="s">
        <v>887</v>
      </c>
      <c r="B695" s="138" t="s">
        <v>11</v>
      </c>
      <c r="C695" s="146" t="s">
        <v>5</v>
      </c>
      <c r="D695" s="147" t="s">
        <v>1208</v>
      </c>
      <c r="E695" s="147">
        <v>1</v>
      </c>
      <c r="G695" s="147" t="s">
        <v>1209</v>
      </c>
      <c r="H695" s="147" t="s">
        <v>1210</v>
      </c>
      <c r="I695" s="147" t="s">
        <v>1211</v>
      </c>
      <c r="J695" s="147">
        <v>1</v>
      </c>
      <c r="K695" s="147">
        <v>14.95</v>
      </c>
    </row>
    <row r="696" spans="1:11" x14ac:dyDescent="0.25">
      <c r="A696" s="159" t="s">
        <v>887</v>
      </c>
      <c r="B696" s="138" t="s">
        <v>11</v>
      </c>
      <c r="C696" s="146" t="s">
        <v>5</v>
      </c>
      <c r="D696" s="147" t="s">
        <v>1212</v>
      </c>
      <c r="E696" s="147">
        <v>1</v>
      </c>
      <c r="G696" s="147" t="s">
        <v>1213</v>
      </c>
      <c r="H696" s="147" t="s">
        <v>1214</v>
      </c>
      <c r="I696" s="147" t="s">
        <v>1215</v>
      </c>
      <c r="J696" s="147">
        <v>1</v>
      </c>
      <c r="K696" s="147">
        <v>89.95</v>
      </c>
    </row>
    <row r="697" spans="1:11" x14ac:dyDescent="0.25">
      <c r="A697" s="159" t="s">
        <v>887</v>
      </c>
      <c r="B697" s="61" t="s">
        <v>881</v>
      </c>
      <c r="C697" s="146" t="s">
        <v>5</v>
      </c>
      <c r="D697" s="147" t="s">
        <v>1477</v>
      </c>
      <c r="E697" s="147">
        <v>1</v>
      </c>
      <c r="G697" s="147" t="s">
        <v>1478</v>
      </c>
      <c r="H697" s="147" t="s">
        <v>1479</v>
      </c>
      <c r="I697" s="147" t="s">
        <v>1480</v>
      </c>
      <c r="J697" s="147">
        <v>1</v>
      </c>
      <c r="K697" s="147">
        <v>49.95</v>
      </c>
    </row>
    <row r="698" spans="1:11" x14ac:dyDescent="0.25">
      <c r="A698" s="159" t="s">
        <v>887</v>
      </c>
      <c r="B698" s="61" t="s">
        <v>881</v>
      </c>
      <c r="C698" s="146" t="s">
        <v>5</v>
      </c>
      <c r="D698" s="147" t="s">
        <v>1481</v>
      </c>
      <c r="E698" s="147">
        <v>1</v>
      </c>
      <c r="G698" s="147" t="s">
        <v>1482</v>
      </c>
      <c r="H698" s="147" t="s">
        <v>1483</v>
      </c>
      <c r="I698" s="147" t="s">
        <v>1484</v>
      </c>
      <c r="J698" s="147">
        <v>1</v>
      </c>
      <c r="K698" s="147">
        <v>44.95</v>
      </c>
    </row>
    <row r="699" spans="1:11" x14ac:dyDescent="0.25">
      <c r="A699" s="159" t="s">
        <v>887</v>
      </c>
      <c r="B699" s="138" t="s">
        <v>1602</v>
      </c>
      <c r="C699" s="146" t="s">
        <v>5</v>
      </c>
      <c r="D699" s="147" t="s">
        <v>1725</v>
      </c>
      <c r="E699" s="147">
        <v>1</v>
      </c>
      <c r="G699" s="147" t="s">
        <v>1726</v>
      </c>
      <c r="H699" s="147" t="s">
        <v>1727</v>
      </c>
      <c r="I699" s="147" t="s">
        <v>1728</v>
      </c>
      <c r="J699" s="147">
        <v>1</v>
      </c>
      <c r="K699" s="147">
        <v>45</v>
      </c>
    </row>
    <row r="700" spans="1:11" x14ac:dyDescent="0.25">
      <c r="A700" s="159" t="s">
        <v>887</v>
      </c>
      <c r="B700" s="146" t="s">
        <v>2008</v>
      </c>
      <c r="C700" s="146" t="s">
        <v>5</v>
      </c>
      <c r="D700" s="147" t="s">
        <v>1781</v>
      </c>
      <c r="E700" s="147">
        <v>1</v>
      </c>
      <c r="G700" s="147" t="s">
        <v>1782</v>
      </c>
      <c r="H700" s="147" t="s">
        <v>1783</v>
      </c>
      <c r="I700" s="147" t="s">
        <v>1784</v>
      </c>
      <c r="J700" s="147">
        <v>1</v>
      </c>
      <c r="K700" s="147">
        <v>29.95</v>
      </c>
    </row>
    <row r="701" spans="1:11" x14ac:dyDescent="0.25">
      <c r="A701" s="159" t="s">
        <v>887</v>
      </c>
      <c r="B701" s="61" t="s">
        <v>2012</v>
      </c>
      <c r="C701" s="146" t="s">
        <v>5</v>
      </c>
      <c r="D701" s="147" t="s">
        <v>1785</v>
      </c>
      <c r="E701" s="147">
        <v>1</v>
      </c>
      <c r="G701" s="147" t="s">
        <v>1786</v>
      </c>
      <c r="H701" s="147" t="s">
        <v>1787</v>
      </c>
      <c r="I701" s="147" t="s">
        <v>1788</v>
      </c>
      <c r="J701" s="147">
        <v>1</v>
      </c>
      <c r="K701" s="147">
        <v>0.95</v>
      </c>
    </row>
    <row r="702" spans="1:11" x14ac:dyDescent="0.25">
      <c r="A702" s="160" t="s">
        <v>888</v>
      </c>
      <c r="B702" s="160" t="s">
        <v>12</v>
      </c>
      <c r="C702" s="146" t="s">
        <v>5</v>
      </c>
      <c r="D702" s="147" t="s">
        <v>1268</v>
      </c>
      <c r="E702" s="147">
        <v>1</v>
      </c>
      <c r="G702" s="147" t="s">
        <v>1269</v>
      </c>
      <c r="H702" s="147" t="s">
        <v>1270</v>
      </c>
      <c r="I702" s="147" t="s">
        <v>1271</v>
      </c>
      <c r="J702" s="147">
        <v>1</v>
      </c>
      <c r="K702" s="147">
        <v>0.95</v>
      </c>
    </row>
    <row r="703" spans="1:11" x14ac:dyDescent="0.25">
      <c r="A703" s="160" t="s">
        <v>888</v>
      </c>
      <c r="B703" s="160" t="s">
        <v>12</v>
      </c>
      <c r="C703" s="146" t="s">
        <v>5</v>
      </c>
      <c r="D703" s="147" t="s">
        <v>1444</v>
      </c>
      <c r="E703" s="147">
        <v>1</v>
      </c>
      <c r="G703" s="147" t="s">
        <v>1445</v>
      </c>
      <c r="H703" s="147" t="s">
        <v>1446</v>
      </c>
      <c r="I703" s="147" t="s">
        <v>1447</v>
      </c>
      <c r="J703" s="147">
        <v>1</v>
      </c>
      <c r="K703" s="147">
        <v>2.95</v>
      </c>
    </row>
    <row r="704" spans="1:11" x14ac:dyDescent="0.25">
      <c r="A704" s="160" t="s">
        <v>888</v>
      </c>
      <c r="B704" s="160" t="s">
        <v>12</v>
      </c>
      <c r="C704" s="146" t="s">
        <v>5</v>
      </c>
      <c r="D704" s="147" t="s">
        <v>1456</v>
      </c>
      <c r="E704" s="147">
        <v>1</v>
      </c>
      <c r="G704" s="147" t="s">
        <v>1457</v>
      </c>
      <c r="H704" s="147" t="s">
        <v>1458</v>
      </c>
      <c r="I704" s="147" t="s">
        <v>1459</v>
      </c>
      <c r="J704" s="147">
        <v>1</v>
      </c>
      <c r="K704" s="147">
        <v>2.95</v>
      </c>
    </row>
    <row r="705" spans="1:11" x14ac:dyDescent="0.25">
      <c r="A705" s="160" t="s">
        <v>888</v>
      </c>
      <c r="B705" s="160" t="s">
        <v>12</v>
      </c>
      <c r="C705" s="146" t="s">
        <v>5</v>
      </c>
      <c r="D705" s="147" t="s">
        <v>1452</v>
      </c>
      <c r="E705" s="147">
        <v>0</v>
      </c>
      <c r="G705" s="147" t="s">
        <v>1453</v>
      </c>
      <c r="H705" s="147" t="s">
        <v>1454</v>
      </c>
      <c r="I705" s="147" t="s">
        <v>1455</v>
      </c>
      <c r="J705" s="147">
        <v>1</v>
      </c>
      <c r="K705" s="147">
        <v>2.95</v>
      </c>
    </row>
    <row r="706" spans="1:11" x14ac:dyDescent="0.25">
      <c r="A706" s="160" t="s">
        <v>888</v>
      </c>
      <c r="B706" s="160" t="s">
        <v>12</v>
      </c>
      <c r="C706" s="146" t="s">
        <v>5</v>
      </c>
      <c r="D706" s="147" t="s">
        <v>1448</v>
      </c>
      <c r="E706" s="147">
        <v>1</v>
      </c>
      <c r="G706" s="147" t="s">
        <v>1449</v>
      </c>
      <c r="H706" s="147" t="s">
        <v>1450</v>
      </c>
      <c r="I706" s="147" t="s">
        <v>1451</v>
      </c>
      <c r="J706" s="147">
        <v>1</v>
      </c>
      <c r="K706" s="147">
        <v>3.95</v>
      </c>
    </row>
    <row r="707" spans="1:11" x14ac:dyDescent="0.25">
      <c r="A707" s="160" t="s">
        <v>888</v>
      </c>
      <c r="B707" s="160" t="s">
        <v>12</v>
      </c>
      <c r="C707" s="146" t="s">
        <v>5</v>
      </c>
      <c r="D707" s="147" t="s">
        <v>1472</v>
      </c>
      <c r="E707" s="147">
        <v>0</v>
      </c>
      <c r="G707" s="147" t="s">
        <v>1473</v>
      </c>
      <c r="H707" s="147" t="s">
        <v>1474</v>
      </c>
      <c r="I707" s="147" t="s">
        <v>1475</v>
      </c>
      <c r="J707" s="147">
        <v>1</v>
      </c>
      <c r="K707" s="147">
        <v>3.95</v>
      </c>
    </row>
    <row r="708" spans="1:11" x14ac:dyDescent="0.25">
      <c r="A708" s="160" t="s">
        <v>888</v>
      </c>
      <c r="B708" s="160" t="s">
        <v>12</v>
      </c>
      <c r="C708" s="146" t="s">
        <v>5</v>
      </c>
      <c r="D708" s="147" t="s">
        <v>1464</v>
      </c>
      <c r="E708" s="147">
        <v>1</v>
      </c>
      <c r="G708" s="147" t="s">
        <v>1465</v>
      </c>
      <c r="H708" s="147" t="s">
        <v>1466</v>
      </c>
      <c r="I708" s="147" t="s">
        <v>1467</v>
      </c>
      <c r="J708" s="147">
        <v>1</v>
      </c>
      <c r="K708" s="147">
        <v>3.95</v>
      </c>
    </row>
    <row r="709" spans="1:11" x14ac:dyDescent="0.25">
      <c r="A709" s="160" t="s">
        <v>888</v>
      </c>
      <c r="B709" s="160" t="s">
        <v>12</v>
      </c>
      <c r="C709" s="146" t="s">
        <v>5</v>
      </c>
      <c r="D709" s="147" t="s">
        <v>1460</v>
      </c>
      <c r="E709" s="147">
        <v>1</v>
      </c>
      <c r="G709" s="147" t="s">
        <v>1461</v>
      </c>
      <c r="H709" s="147" t="s">
        <v>1462</v>
      </c>
      <c r="I709" s="147" t="s">
        <v>1463</v>
      </c>
      <c r="J709" s="147">
        <v>1</v>
      </c>
      <c r="K709" s="147">
        <v>3.95</v>
      </c>
    </row>
    <row r="710" spans="1:11" x14ac:dyDescent="0.25">
      <c r="A710" s="160" t="s">
        <v>888</v>
      </c>
      <c r="B710" s="138" t="s">
        <v>1882</v>
      </c>
      <c r="C710" s="146" t="s">
        <v>5</v>
      </c>
      <c r="D710" s="147" t="s">
        <v>1845</v>
      </c>
      <c r="E710" s="147">
        <v>1</v>
      </c>
      <c r="G710" s="147" t="s">
        <v>1846</v>
      </c>
      <c r="H710" s="147" t="s">
        <v>1847</v>
      </c>
      <c r="I710" s="147" t="s">
        <v>1848</v>
      </c>
      <c r="J710" s="147">
        <v>1</v>
      </c>
      <c r="K710" s="147">
        <v>2.95</v>
      </c>
    </row>
    <row r="711" spans="1:11" x14ac:dyDescent="0.25">
      <c r="A711" s="160" t="s">
        <v>888</v>
      </c>
      <c r="B711" s="138" t="s">
        <v>1882</v>
      </c>
      <c r="C711" s="146" t="s">
        <v>5</v>
      </c>
      <c r="D711" s="147" t="s">
        <v>1849</v>
      </c>
      <c r="E711" s="147">
        <v>1</v>
      </c>
      <c r="G711" s="147" t="s">
        <v>1850</v>
      </c>
      <c r="H711" s="147" t="s">
        <v>1851</v>
      </c>
      <c r="I711" s="147" t="s">
        <v>1852</v>
      </c>
      <c r="J711" s="147"/>
      <c r="K711" s="147">
        <v>3.95</v>
      </c>
    </row>
    <row r="712" spans="1:11" x14ac:dyDescent="0.25">
      <c r="A712" s="160" t="s">
        <v>888</v>
      </c>
      <c r="B712" s="138" t="s">
        <v>1882</v>
      </c>
      <c r="C712" s="146" t="s">
        <v>5</v>
      </c>
      <c r="D712" s="147" t="s">
        <v>1853</v>
      </c>
      <c r="E712" s="147">
        <v>1</v>
      </c>
      <c r="G712" s="147" t="s">
        <v>1854</v>
      </c>
      <c r="H712" s="147" t="s">
        <v>1855</v>
      </c>
      <c r="I712" s="147" t="s">
        <v>1856</v>
      </c>
      <c r="J712" s="147"/>
      <c r="K712" s="147">
        <v>4.95</v>
      </c>
    </row>
    <row r="713" spans="1:11" x14ac:dyDescent="0.25">
      <c r="A713" s="160" t="s">
        <v>888</v>
      </c>
      <c r="B713" s="138" t="s">
        <v>1882</v>
      </c>
      <c r="C713" s="146" t="s">
        <v>5</v>
      </c>
      <c r="D713" s="147" t="s">
        <v>1857</v>
      </c>
      <c r="E713" s="147">
        <v>1</v>
      </c>
      <c r="G713" s="147" t="s">
        <v>1858</v>
      </c>
      <c r="H713" s="147" t="s">
        <v>1859</v>
      </c>
      <c r="I713" s="147" t="s">
        <v>1860</v>
      </c>
      <c r="J713" s="147">
        <v>1</v>
      </c>
      <c r="K713" s="147">
        <v>14.95</v>
      </c>
    </row>
    <row r="714" spans="1:11" x14ac:dyDescent="0.25">
      <c r="A714" s="160" t="s">
        <v>888</v>
      </c>
      <c r="B714" s="138" t="s">
        <v>1882</v>
      </c>
      <c r="C714" s="146" t="s">
        <v>5</v>
      </c>
      <c r="D714" s="147" t="s">
        <v>1861</v>
      </c>
      <c r="E714" s="147">
        <v>1</v>
      </c>
      <c r="G714" s="147" t="s">
        <v>1862</v>
      </c>
      <c r="H714" s="147" t="s">
        <v>1863</v>
      </c>
      <c r="I714" s="147" t="s">
        <v>1864</v>
      </c>
      <c r="J714" s="147"/>
      <c r="K714" s="147">
        <v>4.95</v>
      </c>
    </row>
    <row r="715" spans="1:11" x14ac:dyDescent="0.25">
      <c r="A715" s="160" t="s">
        <v>888</v>
      </c>
      <c r="B715" s="138" t="s">
        <v>1882</v>
      </c>
      <c r="C715" s="146" t="s">
        <v>5</v>
      </c>
      <c r="D715" s="147" t="s">
        <v>1865</v>
      </c>
      <c r="E715" s="147">
        <v>1</v>
      </c>
      <c r="G715" s="147" t="s">
        <v>1866</v>
      </c>
      <c r="H715" s="147" t="s">
        <v>1867</v>
      </c>
      <c r="I715" s="147" t="s">
        <v>1868</v>
      </c>
      <c r="J715" s="147"/>
      <c r="K715" s="147">
        <v>27.95</v>
      </c>
    </row>
    <row r="716" spans="1:11" x14ac:dyDescent="0.25">
      <c r="A716" s="146" t="s">
        <v>13</v>
      </c>
      <c r="B716" s="138" t="s">
        <v>1600</v>
      </c>
      <c r="C716" s="146" t="s">
        <v>5</v>
      </c>
      <c r="D716" s="147" t="s">
        <v>1189</v>
      </c>
      <c r="E716" s="147">
        <v>1</v>
      </c>
      <c r="G716" s="147" t="s">
        <v>1190</v>
      </c>
      <c r="H716" s="147" t="s">
        <v>1191</v>
      </c>
      <c r="I716" s="147" t="s">
        <v>1192</v>
      </c>
      <c r="J716" s="147">
        <v>1</v>
      </c>
      <c r="K716" s="147">
        <v>59.95</v>
      </c>
    </row>
  </sheetData>
  <mergeCells count="1">
    <mergeCell ref="A660:B660"/>
  </mergeCells>
  <conditionalFormatting sqref="F661:F675">
    <cfRule type="expression" dxfId="644" priority="170">
      <formula>AND(($E661=0),NOT(ISBLANK($E661)))</formula>
    </cfRule>
  </conditionalFormatting>
  <conditionalFormatting sqref="B706 B710:B714 B708 B680:B684 B686:B696">
    <cfRule type="expression" dxfId="643" priority="195">
      <formula>AND(($G680=0),NOT(ISBLANK($G680)))</formula>
    </cfRule>
  </conditionalFormatting>
  <conditionalFormatting sqref="F22:I647">
    <cfRule type="expression" dxfId="642" priority="1">
      <formula>AND(($F22=0),NOT(ISBLANK($F22)))</formula>
    </cfRule>
  </conditionalFormatting>
  <conditionalFormatting sqref="R164:S166 K113:M113 R51:Y58 R176:Y176 R201:Y208 Q167:Y175 Q177:Y200 Q59:Y163 Q209:Y620 Q15:Y50 P15:P620 O15:O24 O452:O620 O417:O445 O359:O414 O59:O70 O27:O50 O167:O175 O73:O163 O177:O200 O209:O353 N15:N620 A14:B414 A417:B647 D15:M21 D417:E647 D14:Y14 J209:M353 J177:M200 J114:M163 J167:M175 J59:M70 J27:M50 J73:M112 J359:M414 J417:M445 J452:M620 D22:E414 J22:M24 J621:Y647">
    <cfRule type="expression" dxfId="641" priority="153">
      <formula>AND(($F14=0),NOT(ISBLANK($F14)))</formula>
    </cfRule>
  </conditionalFormatting>
  <conditionalFormatting sqref="N14:N647">
    <cfRule type="dataBar" priority="161">
      <dataBar>
        <cfvo type="min"/>
        <cfvo type="max"/>
        <color rgb="FFFFB628"/>
      </dataBar>
      <extLst>
        <ext xmlns:x14="http://schemas.microsoft.com/office/spreadsheetml/2009/9/main" uri="{B025F937-C7B1-47D3-B67F-A62EFF666E3E}">
          <x14:id>{15A3888A-D934-4C47-A658-7F7F40C80C03}</x14:id>
        </ext>
      </extLst>
    </cfRule>
  </conditionalFormatting>
  <conditionalFormatting sqref="Y14:Y163 Y167:Y647">
    <cfRule type="dataBar" priority="162">
      <dataBar>
        <cfvo type="min"/>
        <cfvo type="max"/>
        <color rgb="FFFFB628"/>
      </dataBar>
      <extLst>
        <ext xmlns:x14="http://schemas.microsoft.com/office/spreadsheetml/2009/9/main" uri="{B025F937-C7B1-47D3-B67F-A62EFF666E3E}">
          <x14:id>{19351E5B-5E5E-4219-9D9C-FA5957737934}</x14:id>
        </ext>
      </extLst>
    </cfRule>
  </conditionalFormatting>
  <conditionalFormatting sqref="Q164:Q166">
    <cfRule type="expression" dxfId="640" priority="145">
      <formula>AND(($F164=0),NOT(ISBLANK($F164)))</formula>
    </cfRule>
  </conditionalFormatting>
  <conditionalFormatting sqref="K164:M166 O164:O166">
    <cfRule type="expression" dxfId="639" priority="137">
      <formula>AND(($F164=0),NOT(ISBLANK($F164)))</formula>
    </cfRule>
  </conditionalFormatting>
  <conditionalFormatting sqref="J25:M26 O25:O26">
    <cfRule type="expression" dxfId="638" priority="129">
      <formula>AND(($F25=0),NOT(ISBLANK($F25)))</formula>
    </cfRule>
  </conditionalFormatting>
  <conditionalFormatting sqref="J51:M58 Q51:Q58 O51:O58">
    <cfRule type="expression" dxfId="637" priority="121">
      <formula>AND(($F51=0),NOT(ISBLANK($F51)))</formula>
    </cfRule>
  </conditionalFormatting>
  <conditionalFormatting sqref="Q176">
    <cfRule type="expression" dxfId="636" priority="105">
      <formula>AND(($F176=0),NOT(ISBLANK($F176)))</formula>
    </cfRule>
  </conditionalFormatting>
  <conditionalFormatting sqref="J71:M72 O71:O72">
    <cfRule type="expression" dxfId="635" priority="113">
      <formula>AND(($F71=0),NOT(ISBLANK($F71)))</formula>
    </cfRule>
  </conditionalFormatting>
  <conditionalFormatting sqref="J176:M176 O176">
    <cfRule type="expression" dxfId="634" priority="97">
      <formula>AND(($F176=0),NOT(ISBLANK($F176)))</formula>
    </cfRule>
  </conditionalFormatting>
  <conditionalFormatting sqref="Q201:Q208">
    <cfRule type="expression" dxfId="633" priority="89">
      <formula>AND(($F201=0),NOT(ISBLANK($F201)))</formula>
    </cfRule>
  </conditionalFormatting>
  <conditionalFormatting sqref="J201:M208 O201:O208">
    <cfRule type="expression" dxfId="632" priority="81">
      <formula>AND(($F201=0),NOT(ISBLANK($F201)))</formula>
    </cfRule>
  </conditionalFormatting>
  <conditionalFormatting sqref="J354:M358 O354:O358">
    <cfRule type="expression" dxfId="631" priority="73">
      <formula>AND(($F354=0),NOT(ISBLANK($F354)))</formula>
    </cfRule>
  </conditionalFormatting>
  <conditionalFormatting sqref="A415:B416 D415:E416">
    <cfRule type="expression" dxfId="630" priority="65">
      <formula>AND(($F415=0),NOT(ISBLANK($F415)))</formula>
    </cfRule>
  </conditionalFormatting>
  <conditionalFormatting sqref="J446:M451 O446:O451">
    <cfRule type="expression" dxfId="629" priority="49">
      <formula>AND(($F446=0),NOT(ISBLANK($F446)))</formula>
    </cfRule>
  </conditionalFormatting>
  <conditionalFormatting sqref="J415:M416 O415:O416">
    <cfRule type="expression" dxfId="628" priority="57">
      <formula>AND(($F415=0),NOT(ISBLANK($F415)))</formula>
    </cfRule>
  </conditionalFormatting>
  <conditionalFormatting sqref="C167:C175 C177:C200 C59:C163 C209:C647 C14:C50">
    <cfRule type="expression" dxfId="627" priority="41">
      <formula>AND(($F14=0),NOT(ISBLANK($F14)))</formula>
    </cfRule>
  </conditionalFormatting>
  <conditionalFormatting sqref="C164:C166">
    <cfRule type="expression" dxfId="626" priority="33">
      <formula>AND(($F164=0),NOT(ISBLANK($F164)))</formula>
    </cfRule>
  </conditionalFormatting>
  <conditionalFormatting sqref="C51:C58">
    <cfRule type="expression" dxfId="625" priority="25">
      <formula>AND(($F51=0),NOT(ISBLANK($F51)))</formula>
    </cfRule>
  </conditionalFormatting>
  <conditionalFormatting sqref="C176">
    <cfRule type="expression" dxfId="624" priority="17">
      <formula>AND(($F176=0),NOT(ISBLANK($F176)))</formula>
    </cfRule>
  </conditionalFormatting>
  <conditionalFormatting sqref="C201:C208">
    <cfRule type="expression" dxfId="623" priority="9">
      <formula>AND(($F201=0),NOT(ISBLANK($F201)))</formula>
    </cfRule>
  </conditionalFormatting>
  <dataValidations count="4">
    <dataValidation type="list" allowBlank="1" showInputMessage="1" showErrorMessage="1" sqref="A697:A714 A681:A685 A689:A693 A297" xr:uid="{1067910B-E533-4385-8644-B565F0C04F51}">
      <formula1>$C$6:$C$13</formula1>
    </dataValidation>
    <dataValidation allowBlank="1" showInputMessage="1" showErrorMessage="1" prompt="Title of this worksheet is in this cell" sqref="A11" xr:uid="{38D71C5B-9038-4BCF-B404-B376C9D9EC11}"/>
    <dataValidation allowBlank="1" showInputMessage="1" showErrorMessage="1" prompt="Title of this worksheet is in cells B1 through D1" sqref="A660" xr:uid="{54F0B4CD-D3D6-4321-9AD0-D585FD6565DF}"/>
    <dataValidation allowBlank="1" showInputMessage="1" showErrorMessage="1" prompt="Total Estimated Value of All Items is automatically calculated in cell at right. Enter Inventory Date in cell I2" sqref="A649:C649" xr:uid="{CE422A40-BA9A-4CF4-8DBF-9629AB95B16F}"/>
  </dataValidations>
  <pageMargins left="0.7" right="0.7" top="0.75" bottom="0.75" header="0.3" footer="0.3"/>
  <pageSetup orientation="portrait" horizontalDpi="4294967294" verticalDpi="0" r:id="rId1"/>
  <drawing r:id="rId2"/>
  <tableParts count="2">
    <tablePart r:id="rId3"/>
    <tablePart r:id="rId4"/>
  </tableParts>
  <extLst>
    <ext xmlns:x14="http://schemas.microsoft.com/office/spreadsheetml/2009/9/main" uri="{78C0D931-6437-407d-A8EE-F0AAD7539E65}">
      <x14:conditionalFormattings>
        <x14:conditionalFormatting xmlns:xm="http://schemas.microsoft.com/office/excel/2006/main">
          <x14:cfRule type="dataBar" id="{15A3888A-D934-4C47-A658-7F7F40C80C03}">
            <x14:dataBar minLength="0" maxLength="100" border="1" negativeBarBorderColorSameAsPositive="0">
              <x14:cfvo type="autoMin"/>
              <x14:cfvo type="autoMax"/>
              <x14:borderColor rgb="FFFFB628"/>
              <x14:negativeFillColor rgb="FFFF0000"/>
              <x14:negativeBorderColor rgb="FFFF0000"/>
              <x14:axisColor rgb="FF000000"/>
            </x14:dataBar>
          </x14:cfRule>
          <xm:sqref>N14:N647</xm:sqref>
        </x14:conditionalFormatting>
        <x14:conditionalFormatting xmlns:xm="http://schemas.microsoft.com/office/excel/2006/main">
          <x14:cfRule type="dataBar" id="{19351E5B-5E5E-4219-9D9C-FA5957737934}">
            <x14:dataBar minLength="0" maxLength="100" border="1" negativeBarBorderColorSameAsPositive="0">
              <x14:cfvo type="autoMin"/>
              <x14:cfvo type="autoMax"/>
              <x14:borderColor rgb="FFFFB628"/>
              <x14:negativeFillColor rgb="FFFF0000"/>
              <x14:negativeBorderColor rgb="FFFF0000"/>
              <x14:axisColor rgb="FF000000"/>
            </x14:dataBar>
          </x14:cfRule>
          <xm:sqref>Y14:Y163 Y167:Y647</xm:sqref>
        </x14:conditionalFormatting>
        <x14:conditionalFormatting xmlns:xm="http://schemas.microsoft.com/office/excel/2006/main">
          <x14:cfRule type="expression" priority="179" id="{F7260324-45D8-4C75-B847-5D7FFAD7201A}">
            <xm:f>$M661=FilterSpecs!$F$13</xm:f>
            <x14:dxf>
              <font>
                <b/>
                <i val="0"/>
                <color theme="0"/>
              </font>
              <fill>
                <patternFill>
                  <bgColor theme="9" tint="-0.499984740745262"/>
                </patternFill>
              </fill>
            </x14:dxf>
          </x14:cfRule>
          <x14:cfRule type="expression" priority="180" id="{32DF11A2-7019-4BD9-BA88-37A62E6856DD}">
            <xm:f>$M661=FilterSpecs!$F$12</xm:f>
            <x14:dxf>
              <font>
                <b/>
                <i val="0"/>
                <color theme="0"/>
              </font>
              <fill>
                <patternFill>
                  <bgColor rgb="FFEC6E6E"/>
                </patternFill>
              </fill>
            </x14:dxf>
          </x14:cfRule>
          <x14:cfRule type="expression" priority="181" id="{59972A33-3F72-4803-AFCC-785A29C138F5}">
            <xm:f>$M661=FilterSpecs!$F$11</xm:f>
            <x14:dxf>
              <font>
                <b/>
                <i val="0"/>
                <color theme="0"/>
              </font>
              <fill>
                <patternFill>
                  <bgColor rgb="FF00B050"/>
                </patternFill>
              </fill>
            </x14:dxf>
          </x14:cfRule>
          <x14:cfRule type="expression" priority="182" id="{A485F9E0-B8E1-4F41-B53A-1887AAEF7BCB}">
            <xm:f>$M661=FilterSpecs!$F$10</xm:f>
            <x14:dxf>
              <font>
                <b/>
                <i val="0"/>
                <color theme="0"/>
              </font>
              <fill>
                <patternFill>
                  <bgColor rgb="FF002060"/>
                </patternFill>
              </fill>
            </x14:dxf>
          </x14:cfRule>
          <x14:cfRule type="expression" priority="183" id="{C3890530-BBE9-4101-ACAD-2BAC67723116}">
            <xm:f>$M661=FilterSpecs!$F$9</xm:f>
            <x14:dxf>
              <font>
                <b/>
                <i val="0"/>
                <color theme="0"/>
              </font>
              <fill>
                <patternFill>
                  <bgColor rgb="FFFF0000"/>
                </patternFill>
              </fill>
            </x14:dxf>
          </x14:cfRule>
          <x14:cfRule type="expression" priority="184" id="{D9D49437-6D28-4713-8C12-0B424434061B}">
            <xm:f>$M661=FilterSpecs!$F$8</xm:f>
            <x14:dxf>
              <font>
                <b/>
                <i val="0"/>
                <color theme="0"/>
              </font>
              <fill>
                <patternFill>
                  <bgColor rgb="FFFFC000"/>
                </patternFill>
              </fill>
            </x14:dxf>
          </x14:cfRule>
          <x14:cfRule type="expression" priority="185" id="{D469FE75-D1DA-4F9F-AA54-46653D6F774F}">
            <xm:f>$M661=FilterSpecs!$F$6</xm:f>
            <x14:dxf>
              <font>
                <b val="0"/>
                <i val="0"/>
              </font>
              <fill>
                <patternFill patternType="none">
                  <bgColor auto="1"/>
                </patternFill>
              </fill>
            </x14:dxf>
          </x14:cfRule>
          <x14:cfRule type="expression" priority="186" id="{A23D98DE-493B-4956-8100-66E97E8FCAD1}">
            <xm:f>$M661=FilterSpecs!$F$7</xm:f>
            <x14:dxf>
              <font>
                <b/>
                <i val="0"/>
                <color theme="0"/>
              </font>
              <fill>
                <patternFill>
                  <bgColor rgb="FF00B0F0"/>
                </patternFill>
              </fill>
            </x14:dxf>
          </x14:cfRule>
          <xm:sqref>G661:S675 D661:E675</xm:sqref>
        </x14:conditionalFormatting>
        <x14:conditionalFormatting xmlns:xm="http://schemas.microsoft.com/office/excel/2006/main">
          <x14:cfRule type="expression" priority="171" id="{ED6DBEAF-C176-4E8D-9794-AF259654B539}">
            <xm:f>$M661=FilterSpecs!$F$13</xm:f>
            <x14:dxf>
              <font>
                <b/>
                <i val="0"/>
                <color theme="0"/>
              </font>
              <fill>
                <patternFill>
                  <bgColor theme="9" tint="-0.499984740745262"/>
                </patternFill>
              </fill>
            </x14:dxf>
          </x14:cfRule>
          <x14:cfRule type="expression" priority="172" id="{7D815A1D-5970-444A-8F9D-B388A91BF89A}">
            <xm:f>$M661=FilterSpecs!$F$12</xm:f>
            <x14:dxf>
              <font>
                <b/>
                <i val="0"/>
                <color theme="0"/>
              </font>
              <fill>
                <patternFill>
                  <bgColor rgb="FFEC6E6E"/>
                </patternFill>
              </fill>
            </x14:dxf>
          </x14:cfRule>
          <x14:cfRule type="expression" priority="173" id="{19AC8112-AEAD-4736-ABEC-7B1FAF23C222}">
            <xm:f>$M661=FilterSpecs!$F$11</xm:f>
            <x14:dxf>
              <font>
                <b/>
                <i val="0"/>
                <color theme="0"/>
              </font>
              <fill>
                <patternFill>
                  <bgColor rgb="FF00B050"/>
                </patternFill>
              </fill>
            </x14:dxf>
          </x14:cfRule>
          <x14:cfRule type="expression" priority="174" id="{881C3969-D9CF-4E80-903B-9229E731F482}">
            <xm:f>$M661=FilterSpecs!$F$10</xm:f>
            <x14:dxf>
              <font>
                <b/>
                <i val="0"/>
                <color theme="0"/>
              </font>
              <fill>
                <patternFill>
                  <bgColor rgb="FF002060"/>
                </patternFill>
              </fill>
            </x14:dxf>
          </x14:cfRule>
          <x14:cfRule type="expression" priority="175" id="{64A4DD2A-AB80-44C2-B61D-845D6D2D11CF}">
            <xm:f>$M661=FilterSpecs!$F$9</xm:f>
            <x14:dxf>
              <font>
                <b/>
                <i val="0"/>
                <color theme="0"/>
              </font>
              <fill>
                <patternFill>
                  <bgColor rgb="FFFF0000"/>
                </patternFill>
              </fill>
            </x14:dxf>
          </x14:cfRule>
          <x14:cfRule type="expression" priority="176" id="{00D31419-1048-4635-843A-3135046487FA}">
            <xm:f>$M661=FilterSpecs!$F$8</xm:f>
            <x14:dxf>
              <font>
                <b/>
                <i val="0"/>
                <color theme="0"/>
              </font>
              <fill>
                <patternFill>
                  <bgColor rgb="FFFFC000"/>
                </patternFill>
              </fill>
            </x14:dxf>
          </x14:cfRule>
          <x14:cfRule type="expression" priority="177" id="{3029DA96-0322-40E9-BBEF-1F1B619FDF6E}">
            <xm:f>$M661=FilterSpecs!$F$6</xm:f>
            <x14:dxf>
              <font>
                <b val="0"/>
                <i val="0"/>
              </font>
              <fill>
                <patternFill patternType="none">
                  <bgColor auto="1"/>
                </patternFill>
              </fill>
            </x14:dxf>
          </x14:cfRule>
          <x14:cfRule type="expression" priority="178" id="{BA6D9B34-6005-423D-B6D3-AF251E120D42}">
            <xm:f>$M661=FilterSpecs!$F$7</xm:f>
            <x14:dxf>
              <font>
                <b/>
                <i val="0"/>
                <color theme="0"/>
              </font>
              <fill>
                <patternFill>
                  <bgColor rgb="FF00B0F0"/>
                </patternFill>
              </fill>
            </x14:dxf>
          </x14:cfRule>
          <xm:sqref>F661:F675</xm:sqref>
        </x14:conditionalFormatting>
        <x14:conditionalFormatting xmlns:xm="http://schemas.microsoft.com/office/excel/2006/main">
          <x14:cfRule type="expression" priority="187" id="{EF6ACBC5-EC23-4223-85E1-9B734D9A5044}">
            <xm:f>$M661=FilterSpecs!$F$13</xm:f>
            <x14:dxf>
              <font>
                <b/>
                <i val="0"/>
                <color theme="0"/>
              </font>
              <fill>
                <patternFill>
                  <bgColor theme="9" tint="-0.499984740745262"/>
                </patternFill>
              </fill>
            </x14:dxf>
          </x14:cfRule>
          <x14:cfRule type="expression" priority="188" id="{6B38CF49-0950-42E0-A213-B5B738A6F4ED}">
            <xm:f>$M661=FilterSpecs!$F$12</xm:f>
            <x14:dxf>
              <font>
                <b/>
                <i val="0"/>
                <color theme="0"/>
              </font>
              <fill>
                <patternFill>
                  <bgColor rgb="FFEC6E6E"/>
                </patternFill>
              </fill>
            </x14:dxf>
          </x14:cfRule>
          <x14:cfRule type="expression" priority="189" id="{E24FB8F7-95EA-4D0E-A5D9-295892B73967}">
            <xm:f>$M661=FilterSpecs!$F$11</xm:f>
            <x14:dxf>
              <font>
                <b/>
                <i val="0"/>
                <color theme="0"/>
              </font>
              <fill>
                <patternFill>
                  <bgColor rgb="FF00B050"/>
                </patternFill>
              </fill>
            </x14:dxf>
          </x14:cfRule>
          <x14:cfRule type="expression" priority="190" id="{22BB1CF1-43E7-4277-AAE0-BECAD4BCB4C2}">
            <xm:f>$M661=FilterSpecs!$F$10</xm:f>
            <x14:dxf>
              <font>
                <b/>
                <i val="0"/>
                <color theme="0"/>
              </font>
              <fill>
                <patternFill>
                  <bgColor rgb="FF002060"/>
                </patternFill>
              </fill>
            </x14:dxf>
          </x14:cfRule>
          <x14:cfRule type="expression" priority="191" id="{A3E1DA57-A823-452C-84B1-9E99B8104006}">
            <xm:f>$M661=FilterSpecs!$F$9</xm:f>
            <x14:dxf>
              <font>
                <b/>
                <i val="0"/>
                <color theme="0"/>
              </font>
              <fill>
                <patternFill>
                  <bgColor rgb="FFFF0000"/>
                </patternFill>
              </fill>
            </x14:dxf>
          </x14:cfRule>
          <x14:cfRule type="expression" priority="192" id="{A1D5D09D-0B42-4538-ACB0-666F390A2055}">
            <xm:f>$M661=FilterSpecs!$F$8</xm:f>
            <x14:dxf>
              <font>
                <b/>
                <i val="0"/>
                <color theme="0"/>
              </font>
              <fill>
                <patternFill>
                  <bgColor rgb="FFFFC000"/>
                </patternFill>
              </fill>
            </x14:dxf>
          </x14:cfRule>
          <x14:cfRule type="expression" priority="193" id="{7A51FB07-C1A1-4612-B216-94FA8412DAB7}">
            <xm:f>$M661=FilterSpecs!$F$6</xm:f>
            <x14:dxf>
              <font>
                <b val="0"/>
                <i val="0"/>
              </font>
              <fill>
                <patternFill patternType="none">
                  <bgColor auto="1"/>
                </patternFill>
              </fill>
            </x14:dxf>
          </x14:cfRule>
          <x14:cfRule type="expression" priority="194" id="{CEE2608E-2185-41C6-81DB-946676E3C2C1}">
            <xm:f>$M661=FilterSpecs!$F$7</xm:f>
            <x14:dxf>
              <font>
                <b/>
                <i val="0"/>
                <color theme="0"/>
              </font>
              <fill>
                <patternFill>
                  <bgColor rgb="FF00B0F0"/>
                </patternFill>
              </fill>
            </x14:dxf>
          </x14:cfRule>
          <xm:sqref>A661:C675</xm:sqref>
        </x14:conditionalFormatting>
        <x14:conditionalFormatting xmlns:xm="http://schemas.microsoft.com/office/excel/2006/main">
          <x14:cfRule type="expression" priority="163" id="{EDA7726C-50B5-4740-A3F2-BB26B9D16BBB}">
            <xm:f>#REF!=FilterSpecs!$F$13</xm:f>
            <x14:dxf>
              <font>
                <b/>
                <i val="0"/>
                <color theme="0"/>
              </font>
              <fill>
                <patternFill>
                  <bgColor theme="9" tint="-0.499984740745262"/>
                </patternFill>
              </fill>
            </x14:dxf>
          </x14:cfRule>
          <x14:cfRule type="expression" priority="164" id="{724BF6B1-E454-4C69-9D32-7FB778C24E8C}">
            <xm:f>#REF!=FilterSpecs!$F$11</xm:f>
            <x14:dxf>
              <font>
                <b/>
                <i val="0"/>
                <color theme="0"/>
              </font>
              <fill>
                <patternFill>
                  <bgColor rgb="FF00B050"/>
                </patternFill>
              </fill>
            </x14:dxf>
          </x14:cfRule>
          <x14:cfRule type="expression" priority="165" id="{A836A517-BE9C-4A81-9B76-5CDCE8F8F71D}">
            <xm:f>#REF!=FilterSpecs!$F$10</xm:f>
            <x14:dxf>
              <font>
                <b/>
                <i val="0"/>
                <color theme="0"/>
              </font>
              <fill>
                <patternFill>
                  <bgColor rgb="FF002060"/>
                </patternFill>
              </fill>
            </x14:dxf>
          </x14:cfRule>
          <x14:cfRule type="expression" priority="166" id="{2474DF28-A891-4B5E-BF3A-58ECB32938D4}">
            <xm:f>#REF!=FilterSpecs!$F$9</xm:f>
            <x14:dxf>
              <font>
                <b/>
                <i val="0"/>
                <color theme="0"/>
              </font>
              <fill>
                <patternFill>
                  <bgColor rgb="FFFF0000"/>
                </patternFill>
              </fill>
            </x14:dxf>
          </x14:cfRule>
          <x14:cfRule type="expression" priority="167" id="{BAA08171-BC0F-4F5C-A757-D4005576DB79}">
            <xm:f>#REF!=FilterSpecs!$F$8</xm:f>
            <x14:dxf>
              <font>
                <b/>
                <i val="0"/>
                <color theme="0"/>
              </font>
              <fill>
                <patternFill>
                  <bgColor rgb="FFFFC000"/>
                </patternFill>
              </fill>
            </x14:dxf>
          </x14:cfRule>
          <x14:cfRule type="expression" priority="168" id="{A62CD919-A591-468E-B125-6FFF2AEFC47A}">
            <xm:f>#REF!=FilterSpecs!$F$6</xm:f>
            <x14:dxf>
              <font>
                <b val="0"/>
                <i val="0"/>
              </font>
              <fill>
                <patternFill patternType="none">
                  <bgColor auto="1"/>
                </patternFill>
              </fill>
            </x14:dxf>
          </x14:cfRule>
          <x14:cfRule type="expression" priority="169" id="{B614F611-D453-427F-B5A8-CBC2111FAFE6}">
            <xm:f>#REF!=FilterSpecs!$F$7</xm:f>
            <x14:dxf>
              <font>
                <b/>
                <i val="0"/>
                <color theme="0"/>
              </font>
              <fill>
                <patternFill>
                  <bgColor rgb="FF00B0F0"/>
                </patternFill>
              </fill>
            </x14:dxf>
          </x14:cfRule>
          <xm:sqref>B706 B710:B714 B708 B680:B684 B686:B696</xm:sqref>
        </x14:conditionalFormatting>
        <x14:conditionalFormatting xmlns:xm="http://schemas.microsoft.com/office/excel/2006/main">
          <x14:cfRule type="expression" priority="2" id="{49176E19-C03F-413D-A75E-237ADCA828FB}">
            <xm:f>$L22=FilterSpecs!$F$13</xm:f>
            <x14:dxf>
              <font>
                <b/>
                <i val="0"/>
                <color theme="0"/>
              </font>
              <fill>
                <patternFill>
                  <bgColor theme="9" tint="-0.499984740745262"/>
                </patternFill>
              </fill>
            </x14:dxf>
          </x14:cfRule>
          <x14:cfRule type="expression" priority="3" id="{ECAAB549-580F-4B9F-9B7E-3750C76CB2F7}">
            <xm:f>$L22=FilterSpecs!$F$11</xm:f>
            <x14:dxf>
              <font>
                <b/>
                <i val="0"/>
                <color theme="0"/>
              </font>
              <fill>
                <patternFill>
                  <bgColor rgb="FF00B050"/>
                </patternFill>
              </fill>
            </x14:dxf>
          </x14:cfRule>
          <x14:cfRule type="expression" priority="4" id="{44C1464C-44B4-4D69-82E8-4CD207AD108A}">
            <xm:f>$L22=FilterSpecs!$F$10</xm:f>
            <x14:dxf>
              <font>
                <b/>
                <i val="0"/>
                <color theme="0"/>
              </font>
              <fill>
                <patternFill>
                  <bgColor rgb="FF002060"/>
                </patternFill>
              </fill>
            </x14:dxf>
          </x14:cfRule>
          <x14:cfRule type="expression" priority="5" id="{9B9B3BF0-B4CF-4989-9292-88A2ACE1D260}">
            <xm:f>$L22=FilterSpecs!$F$9</xm:f>
            <x14:dxf>
              <font>
                <b/>
                <i val="0"/>
                <color theme="0"/>
              </font>
              <fill>
                <patternFill>
                  <bgColor rgb="FFFF0000"/>
                </patternFill>
              </fill>
            </x14:dxf>
          </x14:cfRule>
          <x14:cfRule type="expression" priority="6" id="{B3F70403-C658-4CF1-976B-FE5209852A85}">
            <xm:f>$L22=FilterSpecs!$F$8</xm:f>
            <x14:dxf>
              <font>
                <b/>
                <i val="0"/>
                <color theme="0"/>
              </font>
              <fill>
                <patternFill>
                  <bgColor rgb="FFFFC000"/>
                </patternFill>
              </fill>
            </x14:dxf>
          </x14:cfRule>
          <x14:cfRule type="expression" priority="7" id="{1B0B36BE-F216-437B-BA7B-29ED9D04769D}">
            <xm:f>$L22=FilterSpecs!$F$6</xm:f>
            <x14:dxf>
              <font>
                <b val="0"/>
                <i val="0"/>
              </font>
              <fill>
                <patternFill patternType="none">
                  <bgColor auto="1"/>
                </patternFill>
              </fill>
            </x14:dxf>
          </x14:cfRule>
          <x14:cfRule type="expression" priority="8" id="{4628F0C1-34B1-445E-A63F-97AD8297DC1D}">
            <xm:f>$L22=FilterSpecs!$F$7</xm:f>
            <x14:dxf>
              <font>
                <b/>
                <i val="0"/>
                <color theme="0"/>
              </font>
              <fill>
                <patternFill>
                  <bgColor rgb="FF00B0F0"/>
                </patternFill>
              </fill>
            </x14:dxf>
          </x14:cfRule>
          <xm:sqref>F22:I647</xm:sqref>
        </x14:conditionalFormatting>
        <x14:conditionalFormatting xmlns:xm="http://schemas.microsoft.com/office/excel/2006/main">
          <x14:cfRule type="expression" priority="154" id="{3381732C-0E7B-41F8-9B84-2E3F2B99AB61}">
            <xm:f>$L14=FilterSpecs!$F$13</xm:f>
            <x14:dxf>
              <font>
                <b/>
                <i val="0"/>
                <color theme="0"/>
              </font>
              <fill>
                <patternFill>
                  <bgColor theme="9" tint="-0.499984740745262"/>
                </patternFill>
              </fill>
            </x14:dxf>
          </x14:cfRule>
          <x14:cfRule type="expression" priority="155" id="{D626280F-E8D0-4C64-B03D-15619318ADA7}">
            <xm:f>$L14=FilterSpecs!$F$11</xm:f>
            <x14:dxf>
              <font>
                <b/>
                <i val="0"/>
                <color theme="0"/>
              </font>
              <fill>
                <patternFill>
                  <bgColor rgb="FF00B050"/>
                </patternFill>
              </fill>
            </x14:dxf>
          </x14:cfRule>
          <x14:cfRule type="expression" priority="156" id="{DB06D7FF-095B-4E13-9A94-B3A65873F3AA}">
            <xm:f>$L14=FilterSpecs!$F$10</xm:f>
            <x14:dxf>
              <font>
                <b/>
                <i val="0"/>
                <color theme="0"/>
              </font>
              <fill>
                <patternFill>
                  <bgColor rgb="FF002060"/>
                </patternFill>
              </fill>
            </x14:dxf>
          </x14:cfRule>
          <x14:cfRule type="expression" priority="157" id="{FEE50988-1807-4D44-A2D8-54A4A7365254}">
            <xm:f>$L14=FilterSpecs!$F$9</xm:f>
            <x14:dxf>
              <font>
                <b/>
                <i val="0"/>
                <color theme="0"/>
              </font>
              <fill>
                <patternFill>
                  <bgColor rgb="FFFF0000"/>
                </patternFill>
              </fill>
            </x14:dxf>
          </x14:cfRule>
          <x14:cfRule type="expression" priority="158" id="{41BB0155-A30D-4C15-87AF-E924F51F62D8}">
            <xm:f>$L14=FilterSpecs!$F$8</xm:f>
            <x14:dxf>
              <font>
                <b/>
                <i val="0"/>
                <color theme="0"/>
              </font>
              <fill>
                <patternFill>
                  <bgColor rgb="FFFFC000"/>
                </patternFill>
              </fill>
            </x14:dxf>
          </x14:cfRule>
          <x14:cfRule type="expression" priority="159" id="{7BD9650F-C05B-4715-A116-5EA2BD67F0DE}">
            <xm:f>$L14=FilterSpecs!$F$6</xm:f>
            <x14:dxf>
              <font>
                <b val="0"/>
                <i val="0"/>
              </font>
              <fill>
                <patternFill patternType="none">
                  <bgColor auto="1"/>
                </patternFill>
              </fill>
            </x14:dxf>
          </x14:cfRule>
          <x14:cfRule type="expression" priority="160" id="{9DEBE305-715E-4AD7-82FB-1A24BF62FE10}">
            <xm:f>$L14=FilterSpecs!$F$7</xm:f>
            <x14:dxf>
              <font>
                <b/>
                <i val="0"/>
                <color theme="0"/>
              </font>
              <fill>
                <patternFill>
                  <bgColor rgb="FF00B0F0"/>
                </patternFill>
              </fill>
            </x14:dxf>
          </x14:cfRule>
          <xm:sqref>R164:S166 K113:M113 R51:Y58 R176:Y176 R201:Y208 Q167:Y175 Q177:Y200 Q59:Y163 Q209:Y620 Q15:Y50 P15:P620 O15:O24 O452:O620 O417:O445 O359:O414 O59:O70 O27:O50 O167:O175 O73:O163 O177:O200 O209:O353 N15:N620 A14:B414 A417:B647 D15:M21 D417:E647 D14:Y14 J209:M353 J177:M200 J114:M163 J167:M175 J59:M70 J27:M50 J73:M112 J359:M414 J417:M445 J452:M620 D22:E414 J22:M24 J621:Y647</xm:sqref>
        </x14:conditionalFormatting>
        <x14:conditionalFormatting xmlns:xm="http://schemas.microsoft.com/office/excel/2006/main">
          <x14:cfRule type="expression" priority="146" id="{5F8FD6A5-D2FE-4235-909D-D6A9ED188F74}">
            <xm:f>$L164=FilterSpecs!$F$13</xm:f>
            <x14:dxf>
              <font>
                <b/>
                <i val="0"/>
                <color theme="0"/>
              </font>
              <fill>
                <patternFill>
                  <bgColor theme="9" tint="-0.499984740745262"/>
                </patternFill>
              </fill>
            </x14:dxf>
          </x14:cfRule>
          <x14:cfRule type="expression" priority="147" id="{1FE9C541-538A-4E2E-9452-477776F423CA}">
            <xm:f>$L164=FilterSpecs!$F$11</xm:f>
            <x14:dxf>
              <font>
                <b/>
                <i val="0"/>
                <color theme="0"/>
              </font>
              <fill>
                <patternFill>
                  <bgColor rgb="FF00B050"/>
                </patternFill>
              </fill>
            </x14:dxf>
          </x14:cfRule>
          <x14:cfRule type="expression" priority="148" id="{D0630DC2-08E7-4B31-9E61-4FE6315177F4}">
            <xm:f>$L164=FilterSpecs!$F$10</xm:f>
            <x14:dxf>
              <font>
                <b/>
                <i val="0"/>
                <color theme="0"/>
              </font>
              <fill>
                <patternFill>
                  <bgColor rgb="FF002060"/>
                </patternFill>
              </fill>
            </x14:dxf>
          </x14:cfRule>
          <x14:cfRule type="expression" priority="149" id="{F8F6850C-3229-408C-97CB-DD03811F91DA}">
            <xm:f>$L164=FilterSpecs!$F$9</xm:f>
            <x14:dxf>
              <font>
                <b/>
                <i val="0"/>
                <color theme="0"/>
              </font>
              <fill>
                <patternFill>
                  <bgColor rgb="FFFF0000"/>
                </patternFill>
              </fill>
            </x14:dxf>
          </x14:cfRule>
          <x14:cfRule type="expression" priority="150" id="{B3C11FCC-E206-40FD-AD53-44CE6105A710}">
            <xm:f>$L164=FilterSpecs!$F$8</xm:f>
            <x14:dxf>
              <font>
                <b/>
                <i val="0"/>
                <color theme="0"/>
              </font>
              <fill>
                <patternFill>
                  <bgColor rgb="FFFFC000"/>
                </patternFill>
              </fill>
            </x14:dxf>
          </x14:cfRule>
          <x14:cfRule type="expression" priority="151" id="{405C3C1C-DCCA-47A3-888B-A6CED5CF1670}">
            <xm:f>$L164=FilterSpecs!$F$6</xm:f>
            <x14:dxf>
              <font>
                <b val="0"/>
                <i val="0"/>
              </font>
              <fill>
                <patternFill patternType="none">
                  <bgColor auto="1"/>
                </patternFill>
              </fill>
            </x14:dxf>
          </x14:cfRule>
          <x14:cfRule type="expression" priority="152" id="{CF783C75-6DB5-4E2E-AC27-6634E71D5B0A}">
            <xm:f>$L164=FilterSpecs!$F$7</xm:f>
            <x14:dxf>
              <font>
                <b/>
                <i val="0"/>
                <color theme="0"/>
              </font>
              <fill>
                <patternFill>
                  <bgColor rgb="FF00B0F0"/>
                </patternFill>
              </fill>
            </x14:dxf>
          </x14:cfRule>
          <xm:sqref>Q164:Q166</xm:sqref>
        </x14:conditionalFormatting>
        <x14:conditionalFormatting xmlns:xm="http://schemas.microsoft.com/office/excel/2006/main">
          <x14:cfRule type="expression" priority="138" id="{28E9FAB9-9DAA-4DA9-9184-4F9191BB431A}">
            <xm:f>$L164=FilterSpecs!$F$13</xm:f>
            <x14:dxf>
              <font>
                <b/>
                <i val="0"/>
                <color theme="0"/>
              </font>
              <fill>
                <patternFill>
                  <bgColor theme="9" tint="-0.499984740745262"/>
                </patternFill>
              </fill>
            </x14:dxf>
          </x14:cfRule>
          <x14:cfRule type="expression" priority="139" id="{82A483B3-DA1F-4944-A7FC-B0F97363F693}">
            <xm:f>$L164=FilterSpecs!$F$11</xm:f>
            <x14:dxf>
              <font>
                <b/>
                <i val="0"/>
                <color theme="0"/>
              </font>
              <fill>
                <patternFill>
                  <bgColor rgb="FF00B050"/>
                </patternFill>
              </fill>
            </x14:dxf>
          </x14:cfRule>
          <x14:cfRule type="expression" priority="140" id="{94D8F14D-837D-47D1-97C0-20181960219A}">
            <xm:f>$L164=FilterSpecs!$F$10</xm:f>
            <x14:dxf>
              <font>
                <b/>
                <i val="0"/>
                <color theme="0"/>
              </font>
              <fill>
                <patternFill>
                  <bgColor rgb="FF002060"/>
                </patternFill>
              </fill>
            </x14:dxf>
          </x14:cfRule>
          <x14:cfRule type="expression" priority="141" id="{C16A87A9-702B-45AE-9AA0-E088335ED3C9}">
            <xm:f>$L164=FilterSpecs!$F$9</xm:f>
            <x14:dxf>
              <font>
                <b/>
                <i val="0"/>
                <color theme="0"/>
              </font>
              <fill>
                <patternFill>
                  <bgColor rgb="FFFF0000"/>
                </patternFill>
              </fill>
            </x14:dxf>
          </x14:cfRule>
          <x14:cfRule type="expression" priority="142" id="{E2C29AC4-8C18-428E-BAB7-DD6D3FC403E8}">
            <xm:f>$L164=FilterSpecs!$F$8</xm:f>
            <x14:dxf>
              <font>
                <b/>
                <i val="0"/>
                <color theme="0"/>
              </font>
              <fill>
                <patternFill>
                  <bgColor rgb="FFFFC000"/>
                </patternFill>
              </fill>
            </x14:dxf>
          </x14:cfRule>
          <x14:cfRule type="expression" priority="143" id="{A75C0BB1-1C3C-4446-BDA2-AC52F7B0B29D}">
            <xm:f>$L164=FilterSpecs!$F$6</xm:f>
            <x14:dxf>
              <font>
                <b val="0"/>
                <i val="0"/>
              </font>
              <fill>
                <patternFill patternType="none">
                  <bgColor auto="1"/>
                </patternFill>
              </fill>
            </x14:dxf>
          </x14:cfRule>
          <x14:cfRule type="expression" priority="144" id="{7B087129-FE93-445B-927F-101649AD76E5}">
            <xm:f>$L164=FilterSpecs!$F$7</xm:f>
            <x14:dxf>
              <font>
                <b/>
                <i val="0"/>
                <color theme="0"/>
              </font>
              <fill>
                <patternFill>
                  <bgColor rgb="FF00B0F0"/>
                </patternFill>
              </fill>
            </x14:dxf>
          </x14:cfRule>
          <xm:sqref>K164:M166 O164:O166</xm:sqref>
        </x14:conditionalFormatting>
        <x14:conditionalFormatting xmlns:xm="http://schemas.microsoft.com/office/excel/2006/main">
          <x14:cfRule type="expression" priority="130" id="{DCD3DDA4-70C4-4C54-8052-0109BDF93958}">
            <xm:f>$L25=FilterSpecs!$F$13</xm:f>
            <x14:dxf>
              <font>
                <b/>
                <i val="0"/>
                <color theme="0"/>
              </font>
              <fill>
                <patternFill>
                  <bgColor theme="9" tint="-0.499984740745262"/>
                </patternFill>
              </fill>
            </x14:dxf>
          </x14:cfRule>
          <x14:cfRule type="expression" priority="131" id="{CFB35D66-2726-4370-8E25-EAE95A886246}">
            <xm:f>$L25=FilterSpecs!$F$11</xm:f>
            <x14:dxf>
              <font>
                <b/>
                <i val="0"/>
                <color theme="0"/>
              </font>
              <fill>
                <patternFill>
                  <bgColor rgb="FF00B050"/>
                </patternFill>
              </fill>
            </x14:dxf>
          </x14:cfRule>
          <x14:cfRule type="expression" priority="132" id="{DD13B1ED-8643-4F7F-9038-6AD60E7FF234}">
            <xm:f>$L25=FilterSpecs!$F$10</xm:f>
            <x14:dxf>
              <font>
                <b/>
                <i val="0"/>
                <color theme="0"/>
              </font>
              <fill>
                <patternFill>
                  <bgColor rgb="FF002060"/>
                </patternFill>
              </fill>
            </x14:dxf>
          </x14:cfRule>
          <x14:cfRule type="expression" priority="133" id="{A5AE5CED-1B4F-483B-9A44-627D1ABAA4C8}">
            <xm:f>$L25=FilterSpecs!$F$9</xm:f>
            <x14:dxf>
              <font>
                <b/>
                <i val="0"/>
                <color theme="0"/>
              </font>
              <fill>
                <patternFill>
                  <bgColor rgb="FFFF0000"/>
                </patternFill>
              </fill>
            </x14:dxf>
          </x14:cfRule>
          <x14:cfRule type="expression" priority="134" id="{4053F016-199D-4A79-AEDD-57FD53041F4D}">
            <xm:f>$L25=FilterSpecs!$F$8</xm:f>
            <x14:dxf>
              <font>
                <b/>
                <i val="0"/>
                <color theme="0"/>
              </font>
              <fill>
                <patternFill>
                  <bgColor rgb="FFFFC000"/>
                </patternFill>
              </fill>
            </x14:dxf>
          </x14:cfRule>
          <x14:cfRule type="expression" priority="135" id="{74AB89A3-E97A-4CE2-B2E9-21DECCB2C73D}">
            <xm:f>$L25=FilterSpecs!$F$6</xm:f>
            <x14:dxf>
              <font>
                <b val="0"/>
                <i val="0"/>
              </font>
              <fill>
                <patternFill patternType="none">
                  <bgColor auto="1"/>
                </patternFill>
              </fill>
            </x14:dxf>
          </x14:cfRule>
          <x14:cfRule type="expression" priority="136" id="{41B7AD68-057C-4E6A-A2BC-8B6AEABC53D1}">
            <xm:f>$L25=FilterSpecs!$F$7</xm:f>
            <x14:dxf>
              <font>
                <b/>
                <i val="0"/>
                <color theme="0"/>
              </font>
              <fill>
                <patternFill>
                  <bgColor rgb="FF00B0F0"/>
                </patternFill>
              </fill>
            </x14:dxf>
          </x14:cfRule>
          <xm:sqref>J25:M26 O25:O26</xm:sqref>
        </x14:conditionalFormatting>
        <x14:conditionalFormatting xmlns:xm="http://schemas.microsoft.com/office/excel/2006/main">
          <x14:cfRule type="expression" priority="122" id="{6D0036C5-C547-4735-A345-504448D0B3FD}">
            <xm:f>$L51=FilterSpecs!$F$13</xm:f>
            <x14:dxf>
              <font>
                <b/>
                <i val="0"/>
                <color theme="0"/>
              </font>
              <fill>
                <patternFill>
                  <bgColor theme="9" tint="-0.499984740745262"/>
                </patternFill>
              </fill>
            </x14:dxf>
          </x14:cfRule>
          <x14:cfRule type="expression" priority="123" id="{8C10B6FA-A2D9-49CC-ACAD-0408709255EF}">
            <xm:f>$L51=FilterSpecs!$F$11</xm:f>
            <x14:dxf>
              <font>
                <b/>
                <i val="0"/>
                <color theme="0"/>
              </font>
              <fill>
                <patternFill>
                  <bgColor rgb="FF00B050"/>
                </patternFill>
              </fill>
            </x14:dxf>
          </x14:cfRule>
          <x14:cfRule type="expression" priority="124" id="{73547B3C-6774-4C17-B498-A7186A6A6E3D}">
            <xm:f>$L51=FilterSpecs!$F$10</xm:f>
            <x14:dxf>
              <font>
                <b/>
                <i val="0"/>
                <color theme="0"/>
              </font>
              <fill>
                <patternFill>
                  <bgColor rgb="FF002060"/>
                </patternFill>
              </fill>
            </x14:dxf>
          </x14:cfRule>
          <x14:cfRule type="expression" priority="125" id="{2DF93F15-F3E8-4E2F-8AC5-A3D1DC5AF1FF}">
            <xm:f>$L51=FilterSpecs!$F$9</xm:f>
            <x14:dxf>
              <font>
                <b/>
                <i val="0"/>
                <color theme="0"/>
              </font>
              <fill>
                <patternFill>
                  <bgColor rgb="FFFF0000"/>
                </patternFill>
              </fill>
            </x14:dxf>
          </x14:cfRule>
          <x14:cfRule type="expression" priority="126" id="{B370C1B4-B6E2-4B4D-9B14-94AFCE4F1D08}">
            <xm:f>$L51=FilterSpecs!$F$8</xm:f>
            <x14:dxf>
              <font>
                <b/>
                <i val="0"/>
                <color theme="0"/>
              </font>
              <fill>
                <patternFill>
                  <bgColor rgb="FFFFC000"/>
                </patternFill>
              </fill>
            </x14:dxf>
          </x14:cfRule>
          <x14:cfRule type="expression" priority="127" id="{EAC96711-EE85-4910-B549-7D7247D59EE1}">
            <xm:f>$L51=FilterSpecs!$F$6</xm:f>
            <x14:dxf>
              <font>
                <b val="0"/>
                <i val="0"/>
              </font>
              <fill>
                <patternFill patternType="none">
                  <bgColor auto="1"/>
                </patternFill>
              </fill>
            </x14:dxf>
          </x14:cfRule>
          <x14:cfRule type="expression" priority="128" id="{53CF762E-2EF7-465A-B82B-0E947ABF56DE}">
            <xm:f>$L51=FilterSpecs!$F$7</xm:f>
            <x14:dxf>
              <font>
                <b/>
                <i val="0"/>
                <color theme="0"/>
              </font>
              <fill>
                <patternFill>
                  <bgColor rgb="FF00B0F0"/>
                </patternFill>
              </fill>
            </x14:dxf>
          </x14:cfRule>
          <xm:sqref>J51:M58 Q51:Q58 O51:O58</xm:sqref>
        </x14:conditionalFormatting>
        <x14:conditionalFormatting xmlns:xm="http://schemas.microsoft.com/office/excel/2006/main">
          <x14:cfRule type="expression" priority="114" id="{E17866D6-AE7E-496D-ABA4-6E18E0C8A7EC}">
            <xm:f>$L71=FilterSpecs!$F$13</xm:f>
            <x14:dxf>
              <font>
                <b/>
                <i val="0"/>
                <color theme="0"/>
              </font>
              <fill>
                <patternFill>
                  <bgColor theme="9" tint="-0.499984740745262"/>
                </patternFill>
              </fill>
            </x14:dxf>
          </x14:cfRule>
          <x14:cfRule type="expression" priority="115" id="{2E4DBE23-5BCD-40D7-BD97-849848A5DD17}">
            <xm:f>$L71=FilterSpecs!$F$11</xm:f>
            <x14:dxf>
              <font>
                <b/>
                <i val="0"/>
                <color theme="0"/>
              </font>
              <fill>
                <patternFill>
                  <bgColor rgb="FF00B050"/>
                </patternFill>
              </fill>
            </x14:dxf>
          </x14:cfRule>
          <x14:cfRule type="expression" priority="116" id="{4341CFF9-8F90-444B-B682-4D6B62033F8D}">
            <xm:f>$L71=FilterSpecs!$F$10</xm:f>
            <x14:dxf>
              <font>
                <b/>
                <i val="0"/>
                <color theme="0"/>
              </font>
              <fill>
                <patternFill>
                  <bgColor rgb="FF002060"/>
                </patternFill>
              </fill>
            </x14:dxf>
          </x14:cfRule>
          <x14:cfRule type="expression" priority="117" id="{0620DB6E-FA69-4283-8395-5FA1B9918B84}">
            <xm:f>$L71=FilterSpecs!$F$9</xm:f>
            <x14:dxf>
              <font>
                <b/>
                <i val="0"/>
                <color theme="0"/>
              </font>
              <fill>
                <patternFill>
                  <bgColor rgb="FFFF0000"/>
                </patternFill>
              </fill>
            </x14:dxf>
          </x14:cfRule>
          <x14:cfRule type="expression" priority="118" id="{EF0E56F5-000F-4820-8CDB-B17C031D456D}">
            <xm:f>$L71=FilterSpecs!$F$8</xm:f>
            <x14:dxf>
              <font>
                <b/>
                <i val="0"/>
                <color theme="0"/>
              </font>
              <fill>
                <patternFill>
                  <bgColor rgb="FFFFC000"/>
                </patternFill>
              </fill>
            </x14:dxf>
          </x14:cfRule>
          <x14:cfRule type="expression" priority="119" id="{44BC9E1E-3AE2-4B4A-9B26-D4A21BE01E8F}">
            <xm:f>$L71=FilterSpecs!$F$6</xm:f>
            <x14:dxf>
              <font>
                <b val="0"/>
                <i val="0"/>
              </font>
              <fill>
                <patternFill patternType="none">
                  <bgColor auto="1"/>
                </patternFill>
              </fill>
            </x14:dxf>
          </x14:cfRule>
          <x14:cfRule type="expression" priority="120" id="{07A55B19-F241-4226-A6A1-4AA491C1E3BD}">
            <xm:f>$L71=FilterSpecs!$F$7</xm:f>
            <x14:dxf>
              <font>
                <b/>
                <i val="0"/>
                <color theme="0"/>
              </font>
              <fill>
                <patternFill>
                  <bgColor rgb="FF00B0F0"/>
                </patternFill>
              </fill>
            </x14:dxf>
          </x14:cfRule>
          <xm:sqref>J71:M72 O71:O72</xm:sqref>
        </x14:conditionalFormatting>
        <x14:conditionalFormatting xmlns:xm="http://schemas.microsoft.com/office/excel/2006/main">
          <x14:cfRule type="expression" priority="106" id="{4453D328-7622-4B2E-B320-A896883FBA8D}">
            <xm:f>$L176=FilterSpecs!$F$13</xm:f>
            <x14:dxf>
              <font>
                <b/>
                <i val="0"/>
                <color theme="0"/>
              </font>
              <fill>
                <patternFill>
                  <bgColor theme="9" tint="-0.499984740745262"/>
                </patternFill>
              </fill>
            </x14:dxf>
          </x14:cfRule>
          <x14:cfRule type="expression" priority="107" id="{A6CA8049-D06F-4317-A4D0-4385B59B2D88}">
            <xm:f>$L176=FilterSpecs!$F$11</xm:f>
            <x14:dxf>
              <font>
                <b/>
                <i val="0"/>
                <color theme="0"/>
              </font>
              <fill>
                <patternFill>
                  <bgColor rgb="FF00B050"/>
                </patternFill>
              </fill>
            </x14:dxf>
          </x14:cfRule>
          <x14:cfRule type="expression" priority="108" id="{5F1FECE0-6467-482B-BB95-033F6DAB7BA4}">
            <xm:f>$L176=FilterSpecs!$F$10</xm:f>
            <x14:dxf>
              <font>
                <b/>
                <i val="0"/>
                <color theme="0"/>
              </font>
              <fill>
                <patternFill>
                  <bgColor rgb="FF002060"/>
                </patternFill>
              </fill>
            </x14:dxf>
          </x14:cfRule>
          <x14:cfRule type="expression" priority="109" id="{1E8E876E-68A9-4BB7-A752-9EF505127B31}">
            <xm:f>$L176=FilterSpecs!$F$9</xm:f>
            <x14:dxf>
              <font>
                <b/>
                <i val="0"/>
                <color theme="0"/>
              </font>
              <fill>
                <patternFill>
                  <bgColor rgb="FFFF0000"/>
                </patternFill>
              </fill>
            </x14:dxf>
          </x14:cfRule>
          <x14:cfRule type="expression" priority="110" id="{4963A89D-D32A-4E02-A3B0-4C6DE9664A90}">
            <xm:f>$L176=FilterSpecs!$F$8</xm:f>
            <x14:dxf>
              <font>
                <b/>
                <i val="0"/>
                <color theme="0"/>
              </font>
              <fill>
                <patternFill>
                  <bgColor rgb="FFFFC000"/>
                </patternFill>
              </fill>
            </x14:dxf>
          </x14:cfRule>
          <x14:cfRule type="expression" priority="111" id="{C15C1B9C-742E-4D14-9A8B-B8DDBCCEEDB9}">
            <xm:f>$L176=FilterSpecs!$F$6</xm:f>
            <x14:dxf>
              <font>
                <b val="0"/>
                <i val="0"/>
              </font>
              <fill>
                <patternFill patternType="none">
                  <bgColor auto="1"/>
                </patternFill>
              </fill>
            </x14:dxf>
          </x14:cfRule>
          <x14:cfRule type="expression" priority="112" id="{9BE66CA8-DBA2-4F1F-8002-D44D60A2BC1A}">
            <xm:f>$L176=FilterSpecs!$F$7</xm:f>
            <x14:dxf>
              <font>
                <b/>
                <i val="0"/>
                <color theme="0"/>
              </font>
              <fill>
                <patternFill>
                  <bgColor rgb="FF00B0F0"/>
                </patternFill>
              </fill>
            </x14:dxf>
          </x14:cfRule>
          <xm:sqref>Q176</xm:sqref>
        </x14:conditionalFormatting>
        <x14:conditionalFormatting xmlns:xm="http://schemas.microsoft.com/office/excel/2006/main">
          <x14:cfRule type="expression" priority="98" id="{620EC9DB-1CFD-430D-9AE9-7F1D09C048EB}">
            <xm:f>$L176=FilterSpecs!$F$13</xm:f>
            <x14:dxf>
              <font>
                <b/>
                <i val="0"/>
                <color theme="0"/>
              </font>
              <fill>
                <patternFill>
                  <bgColor theme="9" tint="-0.499984740745262"/>
                </patternFill>
              </fill>
            </x14:dxf>
          </x14:cfRule>
          <x14:cfRule type="expression" priority="99" id="{F1A26DDC-11F3-403F-84E7-661B641732CF}">
            <xm:f>$L176=FilterSpecs!$F$11</xm:f>
            <x14:dxf>
              <font>
                <b/>
                <i val="0"/>
                <color theme="0"/>
              </font>
              <fill>
                <patternFill>
                  <bgColor rgb="FF00B050"/>
                </patternFill>
              </fill>
            </x14:dxf>
          </x14:cfRule>
          <x14:cfRule type="expression" priority="100" id="{9354E5EA-8BAA-422D-872F-28AA62A9E9F0}">
            <xm:f>$L176=FilterSpecs!$F$10</xm:f>
            <x14:dxf>
              <font>
                <b/>
                <i val="0"/>
                <color theme="0"/>
              </font>
              <fill>
                <patternFill>
                  <bgColor rgb="FF002060"/>
                </patternFill>
              </fill>
            </x14:dxf>
          </x14:cfRule>
          <x14:cfRule type="expression" priority="101" id="{13E70077-8CDC-4C12-8BFF-032BA3BF85B3}">
            <xm:f>$L176=FilterSpecs!$F$9</xm:f>
            <x14:dxf>
              <font>
                <b/>
                <i val="0"/>
                <color theme="0"/>
              </font>
              <fill>
                <patternFill>
                  <bgColor rgb="FFFF0000"/>
                </patternFill>
              </fill>
            </x14:dxf>
          </x14:cfRule>
          <x14:cfRule type="expression" priority="102" id="{0EF94E04-B38C-4150-AA4A-2DD64F5A7FF7}">
            <xm:f>$L176=FilterSpecs!$F$8</xm:f>
            <x14:dxf>
              <font>
                <b/>
                <i val="0"/>
                <color theme="0"/>
              </font>
              <fill>
                <patternFill>
                  <bgColor rgb="FFFFC000"/>
                </patternFill>
              </fill>
            </x14:dxf>
          </x14:cfRule>
          <x14:cfRule type="expression" priority="103" id="{FE7E5F10-A2B1-44F2-9895-BCE4E23666B6}">
            <xm:f>$L176=FilterSpecs!$F$6</xm:f>
            <x14:dxf>
              <font>
                <b val="0"/>
                <i val="0"/>
              </font>
              <fill>
                <patternFill patternType="none">
                  <bgColor auto="1"/>
                </patternFill>
              </fill>
            </x14:dxf>
          </x14:cfRule>
          <x14:cfRule type="expression" priority="104" id="{CABA29C8-5CDB-45EC-A693-A7A8A0904A42}">
            <xm:f>$L176=FilterSpecs!$F$7</xm:f>
            <x14:dxf>
              <font>
                <b/>
                <i val="0"/>
                <color theme="0"/>
              </font>
              <fill>
                <patternFill>
                  <bgColor rgb="FF00B0F0"/>
                </patternFill>
              </fill>
            </x14:dxf>
          </x14:cfRule>
          <xm:sqref>J176:M176 O176</xm:sqref>
        </x14:conditionalFormatting>
        <x14:conditionalFormatting xmlns:xm="http://schemas.microsoft.com/office/excel/2006/main">
          <x14:cfRule type="expression" priority="90" id="{E736164D-035F-4F05-9246-F648F81979BC}">
            <xm:f>$L201=FilterSpecs!$F$13</xm:f>
            <x14:dxf>
              <font>
                <b/>
                <i val="0"/>
                <color theme="0"/>
              </font>
              <fill>
                <patternFill>
                  <bgColor theme="9" tint="-0.499984740745262"/>
                </patternFill>
              </fill>
            </x14:dxf>
          </x14:cfRule>
          <x14:cfRule type="expression" priority="91" id="{650A7FC6-F6F5-4390-99EB-BA0A4F62992A}">
            <xm:f>$L201=FilterSpecs!$F$11</xm:f>
            <x14:dxf>
              <font>
                <b/>
                <i val="0"/>
                <color theme="0"/>
              </font>
              <fill>
                <patternFill>
                  <bgColor rgb="FF00B050"/>
                </patternFill>
              </fill>
            </x14:dxf>
          </x14:cfRule>
          <x14:cfRule type="expression" priority="92" id="{B899CDC6-AB90-4E98-AA23-3A264A92EDEA}">
            <xm:f>$L201=FilterSpecs!$F$10</xm:f>
            <x14:dxf>
              <font>
                <b/>
                <i val="0"/>
                <color theme="0"/>
              </font>
              <fill>
                <patternFill>
                  <bgColor rgb="FF002060"/>
                </patternFill>
              </fill>
            </x14:dxf>
          </x14:cfRule>
          <x14:cfRule type="expression" priority="93" id="{F58398BF-34C8-4B4C-B07B-2849797CCFCB}">
            <xm:f>$L201=FilterSpecs!$F$9</xm:f>
            <x14:dxf>
              <font>
                <b/>
                <i val="0"/>
                <color theme="0"/>
              </font>
              <fill>
                <patternFill>
                  <bgColor rgb="FFFF0000"/>
                </patternFill>
              </fill>
            </x14:dxf>
          </x14:cfRule>
          <x14:cfRule type="expression" priority="94" id="{34976B08-3BFF-46FD-9263-4F909DF88711}">
            <xm:f>$L201=FilterSpecs!$F$8</xm:f>
            <x14:dxf>
              <font>
                <b/>
                <i val="0"/>
                <color theme="0"/>
              </font>
              <fill>
                <patternFill>
                  <bgColor rgb="FFFFC000"/>
                </patternFill>
              </fill>
            </x14:dxf>
          </x14:cfRule>
          <x14:cfRule type="expression" priority="95" id="{4D6746D8-34B5-4ED1-B6F4-F1A6C7D4E40C}">
            <xm:f>$L201=FilterSpecs!$F$6</xm:f>
            <x14:dxf>
              <font>
                <b val="0"/>
                <i val="0"/>
              </font>
              <fill>
                <patternFill patternType="none">
                  <bgColor auto="1"/>
                </patternFill>
              </fill>
            </x14:dxf>
          </x14:cfRule>
          <x14:cfRule type="expression" priority="96" id="{30A71522-AB0C-4C68-BB90-9FEC9818639C}">
            <xm:f>$L201=FilterSpecs!$F$7</xm:f>
            <x14:dxf>
              <font>
                <b/>
                <i val="0"/>
                <color theme="0"/>
              </font>
              <fill>
                <patternFill>
                  <bgColor rgb="FF00B0F0"/>
                </patternFill>
              </fill>
            </x14:dxf>
          </x14:cfRule>
          <xm:sqref>Q201:Q208</xm:sqref>
        </x14:conditionalFormatting>
        <x14:conditionalFormatting xmlns:xm="http://schemas.microsoft.com/office/excel/2006/main">
          <x14:cfRule type="expression" priority="82" id="{0F7A4F40-ECC8-4318-BFAC-3F9F511D99F4}">
            <xm:f>$L201=FilterSpecs!$F$13</xm:f>
            <x14:dxf>
              <font>
                <b/>
                <i val="0"/>
                <color theme="0"/>
              </font>
              <fill>
                <patternFill>
                  <bgColor theme="9" tint="-0.499984740745262"/>
                </patternFill>
              </fill>
            </x14:dxf>
          </x14:cfRule>
          <x14:cfRule type="expression" priority="83" id="{DA1E45B8-6472-4C93-8B92-1BA4FF66AC4A}">
            <xm:f>$L201=FilterSpecs!$F$11</xm:f>
            <x14:dxf>
              <font>
                <b/>
                <i val="0"/>
                <color theme="0"/>
              </font>
              <fill>
                <patternFill>
                  <bgColor rgb="FF00B050"/>
                </patternFill>
              </fill>
            </x14:dxf>
          </x14:cfRule>
          <x14:cfRule type="expression" priority="84" id="{2C152AAB-3125-4B79-AFB8-371E2ABCAEE3}">
            <xm:f>$L201=FilterSpecs!$F$10</xm:f>
            <x14:dxf>
              <font>
                <b/>
                <i val="0"/>
                <color theme="0"/>
              </font>
              <fill>
                <patternFill>
                  <bgColor rgb="FF002060"/>
                </patternFill>
              </fill>
            </x14:dxf>
          </x14:cfRule>
          <x14:cfRule type="expression" priority="85" id="{E37BF64D-02FD-4F0F-9D15-32BBA1260912}">
            <xm:f>$L201=FilterSpecs!$F$9</xm:f>
            <x14:dxf>
              <font>
                <b/>
                <i val="0"/>
                <color theme="0"/>
              </font>
              <fill>
                <patternFill>
                  <bgColor rgb="FFFF0000"/>
                </patternFill>
              </fill>
            </x14:dxf>
          </x14:cfRule>
          <x14:cfRule type="expression" priority="86" id="{F3911A32-9DB1-4DF7-83D8-53CAF4011C66}">
            <xm:f>$L201=FilterSpecs!$F$8</xm:f>
            <x14:dxf>
              <font>
                <b/>
                <i val="0"/>
                <color theme="0"/>
              </font>
              <fill>
                <patternFill>
                  <bgColor rgb="FFFFC000"/>
                </patternFill>
              </fill>
            </x14:dxf>
          </x14:cfRule>
          <x14:cfRule type="expression" priority="87" id="{224C47DE-A398-48B2-9EA3-2A70823B6FC8}">
            <xm:f>$L201=FilterSpecs!$F$6</xm:f>
            <x14:dxf>
              <font>
                <b val="0"/>
                <i val="0"/>
              </font>
              <fill>
                <patternFill patternType="none">
                  <bgColor auto="1"/>
                </patternFill>
              </fill>
            </x14:dxf>
          </x14:cfRule>
          <x14:cfRule type="expression" priority="88" id="{EF07693D-6E3C-4320-9C61-C11637519D9B}">
            <xm:f>$L201=FilterSpecs!$F$7</xm:f>
            <x14:dxf>
              <font>
                <b/>
                <i val="0"/>
                <color theme="0"/>
              </font>
              <fill>
                <patternFill>
                  <bgColor rgb="FF00B0F0"/>
                </patternFill>
              </fill>
            </x14:dxf>
          </x14:cfRule>
          <xm:sqref>J201:M208 O201:O208</xm:sqref>
        </x14:conditionalFormatting>
        <x14:conditionalFormatting xmlns:xm="http://schemas.microsoft.com/office/excel/2006/main">
          <x14:cfRule type="expression" priority="74" id="{CCD4EC32-1B5B-4918-9137-D4667EB2EFED}">
            <xm:f>$L354=FilterSpecs!$F$13</xm:f>
            <x14:dxf>
              <font>
                <b/>
                <i val="0"/>
                <color theme="0"/>
              </font>
              <fill>
                <patternFill>
                  <bgColor theme="9" tint="-0.499984740745262"/>
                </patternFill>
              </fill>
            </x14:dxf>
          </x14:cfRule>
          <x14:cfRule type="expression" priority="75" id="{2413CAD6-2A0F-48CB-9984-BE29A06C81B7}">
            <xm:f>$L354=FilterSpecs!$F$11</xm:f>
            <x14:dxf>
              <font>
                <b/>
                <i val="0"/>
                <color theme="0"/>
              </font>
              <fill>
                <patternFill>
                  <bgColor rgb="FF00B050"/>
                </patternFill>
              </fill>
            </x14:dxf>
          </x14:cfRule>
          <x14:cfRule type="expression" priority="76" id="{84552964-962A-4C8E-86B3-DE36FAF0627D}">
            <xm:f>$L354=FilterSpecs!$F$10</xm:f>
            <x14:dxf>
              <font>
                <b/>
                <i val="0"/>
                <color theme="0"/>
              </font>
              <fill>
                <patternFill>
                  <bgColor rgb="FF002060"/>
                </patternFill>
              </fill>
            </x14:dxf>
          </x14:cfRule>
          <x14:cfRule type="expression" priority="77" id="{1328DF8D-0C42-479A-85F2-2635D3794FD4}">
            <xm:f>$L354=FilterSpecs!$F$9</xm:f>
            <x14:dxf>
              <font>
                <b/>
                <i val="0"/>
                <color theme="0"/>
              </font>
              <fill>
                <patternFill>
                  <bgColor rgb="FFFF0000"/>
                </patternFill>
              </fill>
            </x14:dxf>
          </x14:cfRule>
          <x14:cfRule type="expression" priority="78" id="{6DF888C9-58B6-454B-A79C-1DF2617FCEF7}">
            <xm:f>$L354=FilterSpecs!$F$8</xm:f>
            <x14:dxf>
              <font>
                <b/>
                <i val="0"/>
                <color theme="0"/>
              </font>
              <fill>
                <patternFill>
                  <bgColor rgb="FFFFC000"/>
                </patternFill>
              </fill>
            </x14:dxf>
          </x14:cfRule>
          <x14:cfRule type="expression" priority="79" id="{FAB03E15-CC86-4B85-888F-E6E4F833F166}">
            <xm:f>$L354=FilterSpecs!$F$6</xm:f>
            <x14:dxf>
              <font>
                <b val="0"/>
                <i val="0"/>
              </font>
              <fill>
                <patternFill patternType="none">
                  <bgColor auto="1"/>
                </patternFill>
              </fill>
            </x14:dxf>
          </x14:cfRule>
          <x14:cfRule type="expression" priority="80" id="{2BCCD38B-8D61-417A-B1CD-F692283A184B}">
            <xm:f>$L354=FilterSpecs!$F$7</xm:f>
            <x14:dxf>
              <font>
                <b/>
                <i val="0"/>
                <color theme="0"/>
              </font>
              <fill>
                <patternFill>
                  <bgColor rgb="FF00B0F0"/>
                </patternFill>
              </fill>
            </x14:dxf>
          </x14:cfRule>
          <xm:sqref>J354:M358 O354:O358</xm:sqref>
        </x14:conditionalFormatting>
        <x14:conditionalFormatting xmlns:xm="http://schemas.microsoft.com/office/excel/2006/main">
          <x14:cfRule type="expression" priority="66" id="{0E1FC5F9-1711-48AD-A693-603B8CAB5A00}">
            <xm:f>$L415=FilterSpecs!$F$13</xm:f>
            <x14:dxf>
              <font>
                <b/>
                <i val="0"/>
                <color theme="0"/>
              </font>
              <fill>
                <patternFill>
                  <bgColor theme="9" tint="-0.499984740745262"/>
                </patternFill>
              </fill>
            </x14:dxf>
          </x14:cfRule>
          <x14:cfRule type="expression" priority="67" id="{6D832576-E83E-4475-999E-9872A844D150}">
            <xm:f>$L415=FilterSpecs!$F$11</xm:f>
            <x14:dxf>
              <font>
                <b/>
                <i val="0"/>
                <color theme="0"/>
              </font>
              <fill>
                <patternFill>
                  <bgColor rgb="FF00B050"/>
                </patternFill>
              </fill>
            </x14:dxf>
          </x14:cfRule>
          <x14:cfRule type="expression" priority="68" id="{88A0153E-E633-4004-B470-21396D9B68BB}">
            <xm:f>$L415=FilterSpecs!$F$10</xm:f>
            <x14:dxf>
              <font>
                <b/>
                <i val="0"/>
                <color theme="0"/>
              </font>
              <fill>
                <patternFill>
                  <bgColor rgb="FF002060"/>
                </patternFill>
              </fill>
            </x14:dxf>
          </x14:cfRule>
          <x14:cfRule type="expression" priority="69" id="{05AFE074-CA15-4AF1-9518-417FCF8160EC}">
            <xm:f>$L415=FilterSpecs!$F$9</xm:f>
            <x14:dxf>
              <font>
                <b/>
                <i val="0"/>
                <color theme="0"/>
              </font>
              <fill>
                <patternFill>
                  <bgColor rgb="FFFF0000"/>
                </patternFill>
              </fill>
            </x14:dxf>
          </x14:cfRule>
          <x14:cfRule type="expression" priority="70" id="{AB36C6B9-F656-4E5A-A858-9BFF91CBE855}">
            <xm:f>$L415=FilterSpecs!$F$8</xm:f>
            <x14:dxf>
              <font>
                <b/>
                <i val="0"/>
                <color theme="0"/>
              </font>
              <fill>
                <patternFill>
                  <bgColor rgb="FFFFC000"/>
                </patternFill>
              </fill>
            </x14:dxf>
          </x14:cfRule>
          <x14:cfRule type="expression" priority="71" id="{B7FA6689-39D5-4522-95E9-4933FCDE57BC}">
            <xm:f>$L415=FilterSpecs!$F$6</xm:f>
            <x14:dxf>
              <font>
                <b val="0"/>
                <i val="0"/>
              </font>
              <fill>
                <patternFill patternType="none">
                  <bgColor auto="1"/>
                </patternFill>
              </fill>
            </x14:dxf>
          </x14:cfRule>
          <x14:cfRule type="expression" priority="72" id="{C27E5D29-7552-424E-8F43-5E81CB2AEA1D}">
            <xm:f>$L415=FilterSpecs!$F$7</xm:f>
            <x14:dxf>
              <font>
                <b/>
                <i val="0"/>
                <color theme="0"/>
              </font>
              <fill>
                <patternFill>
                  <bgColor rgb="FF00B0F0"/>
                </patternFill>
              </fill>
            </x14:dxf>
          </x14:cfRule>
          <xm:sqref>A415:B416 D415:E416</xm:sqref>
        </x14:conditionalFormatting>
        <x14:conditionalFormatting xmlns:xm="http://schemas.microsoft.com/office/excel/2006/main">
          <x14:cfRule type="expression" priority="58" id="{56DB29E2-5306-49F5-B313-5BDFBC489C43}">
            <xm:f>$L415=FilterSpecs!$F$13</xm:f>
            <x14:dxf>
              <font>
                <b/>
                <i val="0"/>
                <color theme="0"/>
              </font>
              <fill>
                <patternFill>
                  <bgColor theme="9" tint="-0.499984740745262"/>
                </patternFill>
              </fill>
            </x14:dxf>
          </x14:cfRule>
          <x14:cfRule type="expression" priority="59" id="{B65DF012-CC5E-4F07-B7C8-D399120085D9}">
            <xm:f>$L415=FilterSpecs!$F$11</xm:f>
            <x14:dxf>
              <font>
                <b/>
                <i val="0"/>
                <color theme="0"/>
              </font>
              <fill>
                <patternFill>
                  <bgColor rgb="FF00B050"/>
                </patternFill>
              </fill>
            </x14:dxf>
          </x14:cfRule>
          <x14:cfRule type="expression" priority="60" id="{4AC83F7B-4A26-4939-9889-1E91AD69F123}">
            <xm:f>$L415=FilterSpecs!$F$10</xm:f>
            <x14:dxf>
              <font>
                <b/>
                <i val="0"/>
                <color theme="0"/>
              </font>
              <fill>
                <patternFill>
                  <bgColor rgb="FF002060"/>
                </patternFill>
              </fill>
            </x14:dxf>
          </x14:cfRule>
          <x14:cfRule type="expression" priority="61" id="{D916FFF1-E7D0-4A07-91D6-9B6C6FFA2035}">
            <xm:f>$L415=FilterSpecs!$F$9</xm:f>
            <x14:dxf>
              <font>
                <b/>
                <i val="0"/>
                <color theme="0"/>
              </font>
              <fill>
                <patternFill>
                  <bgColor rgb="FFFF0000"/>
                </patternFill>
              </fill>
            </x14:dxf>
          </x14:cfRule>
          <x14:cfRule type="expression" priority="62" id="{60F4C5EB-178F-4CDA-97A7-1FEA651D1359}">
            <xm:f>$L415=FilterSpecs!$F$8</xm:f>
            <x14:dxf>
              <font>
                <b/>
                <i val="0"/>
                <color theme="0"/>
              </font>
              <fill>
                <patternFill>
                  <bgColor rgb="FFFFC000"/>
                </patternFill>
              </fill>
            </x14:dxf>
          </x14:cfRule>
          <x14:cfRule type="expression" priority="63" id="{2E21AE76-3F0F-4B16-9426-A39C6818F5C4}">
            <xm:f>$L415=FilterSpecs!$F$6</xm:f>
            <x14:dxf>
              <font>
                <b val="0"/>
                <i val="0"/>
              </font>
              <fill>
                <patternFill patternType="none">
                  <bgColor auto="1"/>
                </patternFill>
              </fill>
            </x14:dxf>
          </x14:cfRule>
          <x14:cfRule type="expression" priority="64" id="{420FB176-F333-4B3B-8940-7A5B48A9DA6E}">
            <xm:f>$L415=FilterSpecs!$F$7</xm:f>
            <x14:dxf>
              <font>
                <b/>
                <i val="0"/>
                <color theme="0"/>
              </font>
              <fill>
                <patternFill>
                  <bgColor rgb="FF00B0F0"/>
                </patternFill>
              </fill>
            </x14:dxf>
          </x14:cfRule>
          <xm:sqref>J415:M416 O415:O416</xm:sqref>
        </x14:conditionalFormatting>
        <x14:conditionalFormatting xmlns:xm="http://schemas.microsoft.com/office/excel/2006/main">
          <x14:cfRule type="expression" priority="50" id="{C9F52F7F-7399-459A-9B7A-D5176EC13A45}">
            <xm:f>$L446=FilterSpecs!$F$13</xm:f>
            <x14:dxf>
              <font>
                <b/>
                <i val="0"/>
                <color theme="0"/>
              </font>
              <fill>
                <patternFill>
                  <bgColor theme="9" tint="-0.499984740745262"/>
                </patternFill>
              </fill>
            </x14:dxf>
          </x14:cfRule>
          <x14:cfRule type="expression" priority="51" id="{D1B78847-FDEB-4851-8342-1F3159F93E98}">
            <xm:f>$L446=FilterSpecs!$F$11</xm:f>
            <x14:dxf>
              <font>
                <b/>
                <i val="0"/>
                <color theme="0"/>
              </font>
              <fill>
                <patternFill>
                  <bgColor rgb="FF00B050"/>
                </patternFill>
              </fill>
            </x14:dxf>
          </x14:cfRule>
          <x14:cfRule type="expression" priority="52" id="{ECFDF35C-4814-4CC8-8544-EE1F81ADE8F9}">
            <xm:f>$L446=FilterSpecs!$F$10</xm:f>
            <x14:dxf>
              <font>
                <b/>
                <i val="0"/>
                <color theme="0"/>
              </font>
              <fill>
                <patternFill>
                  <bgColor rgb="FF002060"/>
                </patternFill>
              </fill>
            </x14:dxf>
          </x14:cfRule>
          <x14:cfRule type="expression" priority="53" id="{BACFF86C-A731-49C3-9A39-572C4AAE6E32}">
            <xm:f>$L446=FilterSpecs!$F$9</xm:f>
            <x14:dxf>
              <font>
                <b/>
                <i val="0"/>
                <color theme="0"/>
              </font>
              <fill>
                <patternFill>
                  <bgColor rgb="FFFF0000"/>
                </patternFill>
              </fill>
            </x14:dxf>
          </x14:cfRule>
          <x14:cfRule type="expression" priority="54" id="{10D6CEC4-D085-44A9-8D91-BBEDDCA68EFF}">
            <xm:f>$L446=FilterSpecs!$F$8</xm:f>
            <x14:dxf>
              <font>
                <b/>
                <i val="0"/>
                <color theme="0"/>
              </font>
              <fill>
                <patternFill>
                  <bgColor rgb="FFFFC000"/>
                </patternFill>
              </fill>
            </x14:dxf>
          </x14:cfRule>
          <x14:cfRule type="expression" priority="55" id="{EC38ED5D-9FF6-4B7B-8192-D220B530A901}">
            <xm:f>$L446=FilterSpecs!$F$6</xm:f>
            <x14:dxf>
              <font>
                <b val="0"/>
                <i val="0"/>
              </font>
              <fill>
                <patternFill patternType="none">
                  <bgColor auto="1"/>
                </patternFill>
              </fill>
            </x14:dxf>
          </x14:cfRule>
          <x14:cfRule type="expression" priority="56" id="{4C8622B5-C5B9-4F18-A5AC-0CCBEA9E4A81}">
            <xm:f>$L446=FilterSpecs!$F$7</xm:f>
            <x14:dxf>
              <font>
                <b/>
                <i val="0"/>
                <color theme="0"/>
              </font>
              <fill>
                <patternFill>
                  <bgColor rgb="FF00B0F0"/>
                </patternFill>
              </fill>
            </x14:dxf>
          </x14:cfRule>
          <xm:sqref>J446:M451 O446:O451</xm:sqref>
        </x14:conditionalFormatting>
        <x14:conditionalFormatting xmlns:xm="http://schemas.microsoft.com/office/excel/2006/main">
          <x14:cfRule type="expression" priority="42" id="{EFB9B2B1-775A-4CBB-862E-78B4201B75BC}">
            <xm:f>$L14=FilterSpecs!$F$13</xm:f>
            <x14:dxf>
              <font>
                <b/>
                <i val="0"/>
                <color theme="0"/>
              </font>
              <fill>
                <patternFill>
                  <bgColor theme="9" tint="-0.499984740745262"/>
                </patternFill>
              </fill>
            </x14:dxf>
          </x14:cfRule>
          <x14:cfRule type="expression" priority="43" id="{D1C293A0-4ED6-4BBF-82F7-A176D6233D0A}">
            <xm:f>$L14=FilterSpecs!$F$11</xm:f>
            <x14:dxf>
              <font>
                <b/>
                <i val="0"/>
                <color theme="0"/>
              </font>
              <fill>
                <patternFill>
                  <bgColor rgb="FF00B050"/>
                </patternFill>
              </fill>
            </x14:dxf>
          </x14:cfRule>
          <x14:cfRule type="expression" priority="44" id="{26B9D9FD-3E73-4FA1-8CFC-ACEC61FF79EC}">
            <xm:f>$L14=FilterSpecs!$F$10</xm:f>
            <x14:dxf>
              <font>
                <b/>
                <i val="0"/>
                <color theme="0"/>
              </font>
              <fill>
                <patternFill>
                  <bgColor rgb="FF002060"/>
                </patternFill>
              </fill>
            </x14:dxf>
          </x14:cfRule>
          <x14:cfRule type="expression" priority="45" id="{3B84394E-3388-4A44-84DE-C16CB69C6989}">
            <xm:f>$L14=FilterSpecs!$F$9</xm:f>
            <x14:dxf>
              <font>
                <b/>
                <i val="0"/>
                <color theme="0"/>
              </font>
              <fill>
                <patternFill>
                  <bgColor rgb="FFFF0000"/>
                </patternFill>
              </fill>
            </x14:dxf>
          </x14:cfRule>
          <x14:cfRule type="expression" priority="46" id="{EB0CA4F1-55D0-4A7A-9D30-7F591C93AAD6}">
            <xm:f>$L14=FilterSpecs!$F$8</xm:f>
            <x14:dxf>
              <font>
                <b/>
                <i val="0"/>
                <color theme="0"/>
              </font>
              <fill>
                <patternFill>
                  <bgColor rgb="FFFFC000"/>
                </patternFill>
              </fill>
            </x14:dxf>
          </x14:cfRule>
          <x14:cfRule type="expression" priority="47" id="{36EACA4E-1848-438A-8A75-14D00F496FD9}">
            <xm:f>$L14=FilterSpecs!$F$6</xm:f>
            <x14:dxf>
              <font>
                <b val="0"/>
                <i val="0"/>
              </font>
              <fill>
                <patternFill patternType="none">
                  <bgColor auto="1"/>
                </patternFill>
              </fill>
            </x14:dxf>
          </x14:cfRule>
          <x14:cfRule type="expression" priority="48" id="{2141F1E5-FAED-4505-BC1C-124F299A4F5A}">
            <xm:f>$L14=FilterSpecs!$F$7</xm:f>
            <x14:dxf>
              <font>
                <b/>
                <i val="0"/>
                <color theme="0"/>
              </font>
              <fill>
                <patternFill>
                  <bgColor rgb="FF00B0F0"/>
                </patternFill>
              </fill>
            </x14:dxf>
          </x14:cfRule>
          <xm:sqref>C167:C175 C177:C200 C59:C163 C209:C647 C14:C50</xm:sqref>
        </x14:conditionalFormatting>
        <x14:conditionalFormatting xmlns:xm="http://schemas.microsoft.com/office/excel/2006/main">
          <x14:cfRule type="expression" priority="34" id="{E3F6D427-86A2-4413-BA60-A9702E43514A}">
            <xm:f>$L164=FilterSpecs!$F$13</xm:f>
            <x14:dxf>
              <font>
                <b/>
                <i val="0"/>
                <color theme="0"/>
              </font>
              <fill>
                <patternFill>
                  <bgColor theme="9" tint="-0.499984740745262"/>
                </patternFill>
              </fill>
            </x14:dxf>
          </x14:cfRule>
          <x14:cfRule type="expression" priority="35" id="{AD68695B-3754-467F-827A-33637B010B4C}">
            <xm:f>$L164=FilterSpecs!$F$11</xm:f>
            <x14:dxf>
              <font>
                <b/>
                <i val="0"/>
                <color theme="0"/>
              </font>
              <fill>
                <patternFill>
                  <bgColor rgb="FF00B050"/>
                </patternFill>
              </fill>
            </x14:dxf>
          </x14:cfRule>
          <x14:cfRule type="expression" priority="36" id="{4EA5537A-4633-494F-ACA8-A75289EDCECD}">
            <xm:f>$L164=FilterSpecs!$F$10</xm:f>
            <x14:dxf>
              <font>
                <b/>
                <i val="0"/>
                <color theme="0"/>
              </font>
              <fill>
                <patternFill>
                  <bgColor rgb="FF002060"/>
                </patternFill>
              </fill>
            </x14:dxf>
          </x14:cfRule>
          <x14:cfRule type="expression" priority="37" id="{888FF35D-F617-478D-8890-2C11D03F4B5E}">
            <xm:f>$L164=FilterSpecs!$F$9</xm:f>
            <x14:dxf>
              <font>
                <b/>
                <i val="0"/>
                <color theme="0"/>
              </font>
              <fill>
                <patternFill>
                  <bgColor rgb="FFFF0000"/>
                </patternFill>
              </fill>
            </x14:dxf>
          </x14:cfRule>
          <x14:cfRule type="expression" priority="38" id="{9697AA5B-8BA4-4742-9DEF-6D522F52F7D1}">
            <xm:f>$L164=FilterSpecs!$F$8</xm:f>
            <x14:dxf>
              <font>
                <b/>
                <i val="0"/>
                <color theme="0"/>
              </font>
              <fill>
                <patternFill>
                  <bgColor rgb="FFFFC000"/>
                </patternFill>
              </fill>
            </x14:dxf>
          </x14:cfRule>
          <x14:cfRule type="expression" priority="39" id="{C7741D5E-24B0-44E5-A677-C9A4364A815F}">
            <xm:f>$L164=FilterSpecs!$F$6</xm:f>
            <x14:dxf>
              <font>
                <b val="0"/>
                <i val="0"/>
              </font>
              <fill>
                <patternFill patternType="none">
                  <bgColor auto="1"/>
                </patternFill>
              </fill>
            </x14:dxf>
          </x14:cfRule>
          <x14:cfRule type="expression" priority="40" id="{9AAF623A-BFDB-454C-A213-B7B36565E334}">
            <xm:f>$L164=FilterSpecs!$F$7</xm:f>
            <x14:dxf>
              <font>
                <b/>
                <i val="0"/>
                <color theme="0"/>
              </font>
              <fill>
                <patternFill>
                  <bgColor rgb="FF00B0F0"/>
                </patternFill>
              </fill>
            </x14:dxf>
          </x14:cfRule>
          <xm:sqref>C164:C166</xm:sqref>
        </x14:conditionalFormatting>
        <x14:conditionalFormatting xmlns:xm="http://schemas.microsoft.com/office/excel/2006/main">
          <x14:cfRule type="expression" priority="26" id="{DF120BB8-3DDD-40C0-9D6F-709B022E322C}">
            <xm:f>$L51=FilterSpecs!$F$13</xm:f>
            <x14:dxf>
              <font>
                <b/>
                <i val="0"/>
                <color theme="0"/>
              </font>
              <fill>
                <patternFill>
                  <bgColor theme="9" tint="-0.499984740745262"/>
                </patternFill>
              </fill>
            </x14:dxf>
          </x14:cfRule>
          <x14:cfRule type="expression" priority="27" id="{61364426-F7AD-4582-A0D2-367F73DE28DD}">
            <xm:f>$L51=FilterSpecs!$F$11</xm:f>
            <x14:dxf>
              <font>
                <b/>
                <i val="0"/>
                <color theme="0"/>
              </font>
              <fill>
                <patternFill>
                  <bgColor rgb="FF00B050"/>
                </patternFill>
              </fill>
            </x14:dxf>
          </x14:cfRule>
          <x14:cfRule type="expression" priority="28" id="{93E9CD5C-4AA2-4EB7-93DF-3A17EC2DA4D9}">
            <xm:f>$L51=FilterSpecs!$F$10</xm:f>
            <x14:dxf>
              <font>
                <b/>
                <i val="0"/>
                <color theme="0"/>
              </font>
              <fill>
                <patternFill>
                  <bgColor rgb="FF002060"/>
                </patternFill>
              </fill>
            </x14:dxf>
          </x14:cfRule>
          <x14:cfRule type="expression" priority="29" id="{13B40C16-85D4-432F-925E-0CF862BE10AA}">
            <xm:f>$L51=FilterSpecs!$F$9</xm:f>
            <x14:dxf>
              <font>
                <b/>
                <i val="0"/>
                <color theme="0"/>
              </font>
              <fill>
                <patternFill>
                  <bgColor rgb="FFFF0000"/>
                </patternFill>
              </fill>
            </x14:dxf>
          </x14:cfRule>
          <x14:cfRule type="expression" priority="30" id="{0D6C5D98-6668-4CC5-AAE1-F735CEBBDB50}">
            <xm:f>$L51=FilterSpecs!$F$8</xm:f>
            <x14:dxf>
              <font>
                <b/>
                <i val="0"/>
                <color theme="0"/>
              </font>
              <fill>
                <patternFill>
                  <bgColor rgb="FFFFC000"/>
                </patternFill>
              </fill>
            </x14:dxf>
          </x14:cfRule>
          <x14:cfRule type="expression" priority="31" id="{F022860A-4AF1-472C-AE43-AB808C2FA7CD}">
            <xm:f>$L51=FilterSpecs!$F$6</xm:f>
            <x14:dxf>
              <font>
                <b val="0"/>
                <i val="0"/>
              </font>
              <fill>
                <patternFill patternType="none">
                  <bgColor auto="1"/>
                </patternFill>
              </fill>
            </x14:dxf>
          </x14:cfRule>
          <x14:cfRule type="expression" priority="32" id="{978DAD0A-6629-4641-A549-98D3D45AF6FE}">
            <xm:f>$L51=FilterSpecs!$F$7</xm:f>
            <x14:dxf>
              <font>
                <b/>
                <i val="0"/>
                <color theme="0"/>
              </font>
              <fill>
                <patternFill>
                  <bgColor rgb="FF00B0F0"/>
                </patternFill>
              </fill>
            </x14:dxf>
          </x14:cfRule>
          <xm:sqref>C51:C58</xm:sqref>
        </x14:conditionalFormatting>
        <x14:conditionalFormatting xmlns:xm="http://schemas.microsoft.com/office/excel/2006/main">
          <x14:cfRule type="expression" priority="18" id="{571A0708-E15A-4C4F-9461-C82A5F2BEE98}">
            <xm:f>$L176=FilterSpecs!$F$13</xm:f>
            <x14:dxf>
              <font>
                <b/>
                <i val="0"/>
                <color theme="0"/>
              </font>
              <fill>
                <patternFill>
                  <bgColor theme="9" tint="-0.499984740745262"/>
                </patternFill>
              </fill>
            </x14:dxf>
          </x14:cfRule>
          <x14:cfRule type="expression" priority="19" id="{CDE0BF6D-BC81-456E-9E5D-1EE60C600728}">
            <xm:f>$L176=FilterSpecs!$F$11</xm:f>
            <x14:dxf>
              <font>
                <b/>
                <i val="0"/>
                <color theme="0"/>
              </font>
              <fill>
                <patternFill>
                  <bgColor rgb="FF00B050"/>
                </patternFill>
              </fill>
            </x14:dxf>
          </x14:cfRule>
          <x14:cfRule type="expression" priority="20" id="{04BCBB97-E023-40D5-8AFC-4121E7D29BA5}">
            <xm:f>$L176=FilterSpecs!$F$10</xm:f>
            <x14:dxf>
              <font>
                <b/>
                <i val="0"/>
                <color theme="0"/>
              </font>
              <fill>
                <patternFill>
                  <bgColor rgb="FF002060"/>
                </patternFill>
              </fill>
            </x14:dxf>
          </x14:cfRule>
          <x14:cfRule type="expression" priority="21" id="{9DF74DFC-FC9B-471D-9986-80ECF29AC078}">
            <xm:f>$L176=FilterSpecs!$F$9</xm:f>
            <x14:dxf>
              <font>
                <b/>
                <i val="0"/>
                <color theme="0"/>
              </font>
              <fill>
                <patternFill>
                  <bgColor rgb="FFFF0000"/>
                </patternFill>
              </fill>
            </x14:dxf>
          </x14:cfRule>
          <x14:cfRule type="expression" priority="22" id="{4BE2E2E9-D475-40BA-88DF-8F2300039DE2}">
            <xm:f>$L176=FilterSpecs!$F$8</xm:f>
            <x14:dxf>
              <font>
                <b/>
                <i val="0"/>
                <color theme="0"/>
              </font>
              <fill>
                <patternFill>
                  <bgColor rgb="FFFFC000"/>
                </patternFill>
              </fill>
            </x14:dxf>
          </x14:cfRule>
          <x14:cfRule type="expression" priority="23" id="{14223364-7389-468E-B419-D54A13431986}">
            <xm:f>$L176=FilterSpecs!$F$6</xm:f>
            <x14:dxf>
              <font>
                <b val="0"/>
                <i val="0"/>
              </font>
              <fill>
                <patternFill patternType="none">
                  <bgColor auto="1"/>
                </patternFill>
              </fill>
            </x14:dxf>
          </x14:cfRule>
          <x14:cfRule type="expression" priority="24" id="{0850957D-FD49-486C-8387-113C20E9598F}">
            <xm:f>$L176=FilterSpecs!$F$7</xm:f>
            <x14:dxf>
              <font>
                <b/>
                <i val="0"/>
                <color theme="0"/>
              </font>
              <fill>
                <patternFill>
                  <bgColor rgb="FF00B0F0"/>
                </patternFill>
              </fill>
            </x14:dxf>
          </x14:cfRule>
          <xm:sqref>C176</xm:sqref>
        </x14:conditionalFormatting>
        <x14:conditionalFormatting xmlns:xm="http://schemas.microsoft.com/office/excel/2006/main">
          <x14:cfRule type="expression" priority="10" id="{9B31A64C-0DCA-4A87-B51E-10E040B81C0D}">
            <xm:f>$L201=FilterSpecs!$F$13</xm:f>
            <x14:dxf>
              <font>
                <b/>
                <i val="0"/>
                <color theme="0"/>
              </font>
              <fill>
                <patternFill>
                  <bgColor theme="9" tint="-0.499984740745262"/>
                </patternFill>
              </fill>
            </x14:dxf>
          </x14:cfRule>
          <x14:cfRule type="expression" priority="11" id="{64ADAB09-D1A7-4656-B755-8BBDFBDD3AB8}">
            <xm:f>$L201=FilterSpecs!$F$11</xm:f>
            <x14:dxf>
              <font>
                <b/>
                <i val="0"/>
                <color theme="0"/>
              </font>
              <fill>
                <patternFill>
                  <bgColor rgb="FF00B050"/>
                </patternFill>
              </fill>
            </x14:dxf>
          </x14:cfRule>
          <x14:cfRule type="expression" priority="12" id="{63352089-AD80-4496-ACD7-0C4E1AA1A902}">
            <xm:f>$L201=FilterSpecs!$F$10</xm:f>
            <x14:dxf>
              <font>
                <b/>
                <i val="0"/>
                <color theme="0"/>
              </font>
              <fill>
                <patternFill>
                  <bgColor rgb="FF002060"/>
                </patternFill>
              </fill>
            </x14:dxf>
          </x14:cfRule>
          <x14:cfRule type="expression" priority="13" id="{D9353F40-3000-405E-82A5-E040F9F60F91}">
            <xm:f>$L201=FilterSpecs!$F$9</xm:f>
            <x14:dxf>
              <font>
                <b/>
                <i val="0"/>
                <color theme="0"/>
              </font>
              <fill>
                <patternFill>
                  <bgColor rgb="FFFF0000"/>
                </patternFill>
              </fill>
            </x14:dxf>
          </x14:cfRule>
          <x14:cfRule type="expression" priority="14" id="{903F4AE8-B0ED-4FB2-957B-C0921BD44DBD}">
            <xm:f>$L201=FilterSpecs!$F$8</xm:f>
            <x14:dxf>
              <font>
                <b/>
                <i val="0"/>
                <color theme="0"/>
              </font>
              <fill>
                <patternFill>
                  <bgColor rgb="FFFFC000"/>
                </patternFill>
              </fill>
            </x14:dxf>
          </x14:cfRule>
          <x14:cfRule type="expression" priority="15" id="{B494B12C-DFAE-4268-9838-25A67C9DFFD6}">
            <xm:f>$L201=FilterSpecs!$F$6</xm:f>
            <x14:dxf>
              <font>
                <b val="0"/>
                <i val="0"/>
              </font>
              <fill>
                <patternFill patternType="none">
                  <bgColor auto="1"/>
                </patternFill>
              </fill>
            </x14:dxf>
          </x14:cfRule>
          <x14:cfRule type="expression" priority="16" id="{1827C162-1CC3-472C-8BCB-54160C0CDAF4}">
            <xm:f>$L201=FilterSpecs!$F$7</xm:f>
            <x14:dxf>
              <font>
                <b/>
                <i val="0"/>
                <color theme="0"/>
              </font>
              <fill>
                <patternFill>
                  <bgColor rgb="FF00B0F0"/>
                </patternFill>
              </fill>
            </x14:dxf>
          </x14:cfRule>
          <xm:sqref>C201:C208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9460E91-14AF-4EB4-B71A-B72A0BD1FDFD}">
          <x14:formula1>
            <xm:f>FilterSpecs!$C$6:$C$13</xm:f>
          </x14:formula1>
          <xm:sqref>A298:B298</xm:sqref>
        </x14:dataValidation>
      </x14:dataValidations>
    </ext>
    <ext xmlns:x15="http://schemas.microsoft.com/office/spreadsheetml/2010/11/main" uri="{3A4CF648-6AED-40f4-86FF-DC5316D8AED3}">
      <x14:slicerList xmlns:x14="http://schemas.microsoft.com/office/spreadsheetml/2009/9/main">
        <x14:slicer r:id="rId5"/>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09DC33-4439-4874-A082-1132673585FE}">
  <sheetPr codeName="Sheet1">
    <tabColor rgb="FF92D050"/>
  </sheetPr>
  <dimension ref="A1:AD32"/>
  <sheetViews>
    <sheetView workbookViewId="0">
      <selection activeCell="A14" sqref="A14"/>
    </sheetView>
  </sheetViews>
  <sheetFormatPr defaultRowHeight="15" x14ac:dyDescent="0.25"/>
  <cols>
    <col min="1" max="1" width="23.140625" customWidth="1"/>
    <col min="30" max="30" width="37.28515625" customWidth="1"/>
  </cols>
  <sheetData>
    <row r="1" spans="1:30" x14ac:dyDescent="0.25">
      <c r="A1" s="29" t="e">
        <f>[1]!nonzeroQtysOfList('Initial Order'!$F$14, 'Initial Order'!$Q$14,InitialOrderTable[Name], 'Initial Order'!$AN$14)</f>
        <v>#VALUE!</v>
      </c>
    </row>
    <row r="13" spans="1:30" x14ac:dyDescent="0.25">
      <c r="A13" s="29" t="str">
        <f>[1]!nonzeroQtysOfList('Initial Order'!$F$14, 'Initial Order'!$Q$14,InitialOrderTable[Name], 'Initial Order'!$AN$14)</f>
        <v>WAV Trigger</v>
      </c>
    </row>
    <row r="14" spans="1:30" x14ac:dyDescent="0.25">
      <c r="A14" s="29" t="str">
        <f>[1]!nonzeroQtysOfList('Initial Order'!$F$14, 'Initial Order'!$Q$14,InitialOrderTable[Name], 'Initial Order'!$AN$14)</f>
        <v>Pogo Pin Probe Clip</v>
      </c>
      <c r="B14" s="29" t="str">
        <f>[1]!nonzeroQtysOfList('Initial Order'!$F$14, 'Initial Order'!$Q$14, InitialOrderTable[Name], 'Initial Order'!$AN$14)</f>
        <v>Pogo Pin Probe Clip</v>
      </c>
      <c r="C14" s="29" t="str">
        <f>[1]!nonzeroQtysOfList('Initial Order'!$F$14, 'Initial Order'!$Q$14, InitialOrderTable[Name], 'Initial Order'!$AN$14)</f>
        <v>Pogo Pin Probe Clip</v>
      </c>
      <c r="D14" s="29" t="str">
        <f>[1]!nonzeroQtysOfList('Initial Order'!$F$14, 'Initial Order'!$Q$14, InitialOrderTable[Name], 'Initial Order'!$AN$14)</f>
        <v>Pogo Pin Probe Clip</v>
      </c>
      <c r="E14" s="29" t="str">
        <f>[1]!nonzeroQtysOfList('Initial Order'!$F$14, 'Initial Order'!$Q$14, InitialOrderTable[Name], 'Initial Order'!$AN$14)</f>
        <v>Pogo Pin Probe Clip</v>
      </c>
      <c r="F14" s="29" t="str">
        <f>[1]!nonzeroQtysOfList('Initial Order'!$F$14, 'Initial Order'!$Q$14, InitialOrderTable[Name], 'Initial Order'!$AN$14)</f>
        <v>Pogo Pin Probe Clip</v>
      </c>
      <c r="G14" s="29" t="str">
        <f>[1]!nonzeroQtysOfList('Initial Order'!$F$14, 'Initial Order'!$Q$14, InitialOrderTable[Name], 'Initial Order'!$AN$14)</f>
        <v>Pogo Pin Probe Clip</v>
      </c>
      <c r="H14" s="29" t="str">
        <f>[1]!nonzeroQtysOfList('Initial Order'!$F$14, 'Initial Order'!$Q$14, InitialOrderTable[Name], 'Initial Order'!$AN$14)</f>
        <v>Pogo Pin Probe Clip</v>
      </c>
      <c r="I14" s="29" t="str">
        <f>[1]!nonzeroQtysOfList('Initial Order'!$F$14, 'Initial Order'!$Q$14, InitialOrderTable[Name], 'Initial Order'!$AN$14)</f>
        <v>Pogo Pin Probe Clip</v>
      </c>
      <c r="J14" s="29" t="str">
        <f>[1]!nonzeroQtysOfList('Initial Order'!$F$14, 'Initial Order'!$Q$14, InitialOrderTable[Name], 'Initial Order'!$AN$14)</f>
        <v>Pogo Pin Probe Clip</v>
      </c>
      <c r="K14" s="29" t="str">
        <f>[1]!nonzeroQtysOfList('Initial Order'!$F$14, 'Initial Order'!$Q$14, InitialOrderTable[Name], 'Initial Order'!$AN$14)</f>
        <v>Pogo Pin Probe Clip</v>
      </c>
      <c r="L14" s="29" t="str">
        <f>[1]!nonzeroQtysOfList('Initial Order'!$F$14, 'Initial Order'!$Q$14, InitialOrderTable[Name], 'Initial Order'!$AN$14)</f>
        <v>Pogo Pin Probe Clip</v>
      </c>
      <c r="M14" s="29" t="str">
        <f>[1]!nonzeroQtysOfList('Initial Order'!$F$14, 'Initial Order'!$Q$14, InitialOrderTable[Name], 'Initial Order'!$AN$14)</f>
        <v>Pogo Pin Probe Clip</v>
      </c>
      <c r="N14" s="29" t="str">
        <f>[1]!nonzeroQtysOfList('Initial Order'!$F$14, 'Initial Order'!$Q$14, InitialOrderTable[Name], 'Initial Order'!$AN$14)</f>
        <v>Pogo Pin Probe Clip</v>
      </c>
      <c r="O14" s="29" t="str">
        <f>[1]!nonzeroQtysOfList('Initial Order'!$F$14, 'Initial Order'!$Q$14, InitialOrderTable[Name], 'Initial Order'!$AN$14)</f>
        <v>Pogo Pin Probe Clip</v>
      </c>
      <c r="P14" s="29" t="str">
        <f>[1]!nonzeroQtysOfList('Initial Order'!$F$14, 'Initial Order'!$Q$14, InitialOrderTable[Name], 'Initial Order'!$AN$14)</f>
        <v>Pogo Pin Probe Clip</v>
      </c>
      <c r="Q14" s="29" t="str">
        <f>[1]!nonzeroQtysOfList('Initial Order'!$F$14, 'Initial Order'!$Q$14, InitialOrderTable[Name], 'Initial Order'!$AN$14)</f>
        <v>Pogo Pin Probe Clip</v>
      </c>
      <c r="R14" s="29" t="str">
        <f>[1]!nonzeroQtysOfList('Initial Order'!$F$14, 'Initial Order'!$Q$14, InitialOrderTable[Name], 'Initial Order'!$AN$14)</f>
        <v>Pogo Pin Probe Clip</v>
      </c>
      <c r="S14" s="29" t="str">
        <f>[1]!nonzeroQtysOfList('Initial Order'!$F$14, 'Initial Order'!$Q$14, InitialOrderTable[Name], 'Initial Order'!$AN$14)</f>
        <v>Pogo Pin Probe Clip</v>
      </c>
      <c r="T14" s="29" t="str">
        <f>[1]!nonzeroQtysOfList('Initial Order'!$F$14, 'Initial Order'!$Q$14, InitialOrderTable[Name], 'Initial Order'!$AN$14)</f>
        <v>Pogo Pin Probe Clip</v>
      </c>
      <c r="AD14" s="29" t="str">
        <f>[1]!nonzeroQtysOfList('Initial Order'!$F$14, 'Initial Order'!$Q$14, 'Initial Order'!$I$14, 'Initial Order'!$AN$13)</f>
        <v>SparkFun XBee Explorer Regulated</v>
      </c>
    </row>
    <row r="15" spans="1:30" x14ac:dyDescent="0.25">
      <c r="A15" s="29" t="str">
        <f>[1]!nonzeroQtysOfList('Initial Order'!$F$14, 'Initial Order'!$Q$14, InitialOrderTable[Name], 'Initial Order'!$AN$14)</f>
        <v>5V 2A Switching Power Supply w/ USB-A Connector</v>
      </c>
      <c r="B15" s="29" t="str">
        <f>[1]!nonzeroQtysOfList('Initial Order'!$F$14, 'Initial Order'!$Q$14, InitialOrderTable[Name], 'Initial Order'!$AN$14)</f>
        <v>5V 2A Switching Power Supply w/ USB-A Connector</v>
      </c>
      <c r="C15" s="29" t="str">
        <f>[1]!nonzeroQtysOfList('Initial Order'!$F$14, 'Initial Order'!$Q$14, InitialOrderTable[Name], 'Initial Order'!$AN$14)</f>
        <v>5V 2A Switching Power Supply w/ USB-A Connector</v>
      </c>
      <c r="D15" s="29" t="str">
        <f>[1]!nonzeroQtysOfList('Initial Order'!$F$14, 'Initial Order'!$Q$14, InitialOrderTable[Name], 'Initial Order'!$AN$14)</f>
        <v>5V 2A Switching Power Supply w/ USB-A Connector</v>
      </c>
      <c r="E15" s="29" t="str">
        <f>[1]!nonzeroQtysOfList('Initial Order'!$F$14, 'Initial Order'!$Q$14, InitialOrderTable[Name], 'Initial Order'!$AN$14)</f>
        <v>5V 2A Switching Power Supply w/ USB-A Connector</v>
      </c>
      <c r="F15" s="29" t="str">
        <f>[1]!nonzeroQtysOfList('Initial Order'!$F$14, 'Initial Order'!$Q$14, InitialOrderTable[Name], 'Initial Order'!$AN$14)</f>
        <v>5V 2A Switching Power Supply w/ USB-A Connector</v>
      </c>
      <c r="G15" s="29" t="str">
        <f>[1]!nonzeroQtysOfList('Initial Order'!$F$14, 'Initial Order'!$Q$14, InitialOrderTable[Name], 'Initial Order'!$AN$14)</f>
        <v>5V 2A Switching Power Supply w/ USB-A Connector</v>
      </c>
      <c r="H15" s="29" t="str">
        <f>[1]!nonzeroQtysOfList('Initial Order'!$F$14, 'Initial Order'!$Q$14, InitialOrderTable[Name], 'Initial Order'!$AN$14)</f>
        <v>5V 2A Switching Power Supply w/ USB-A Connector</v>
      </c>
      <c r="I15" s="29" t="str">
        <f>[1]!nonzeroQtysOfList('Initial Order'!$F$14, 'Initial Order'!$Q$14, InitialOrderTable[Name], 'Initial Order'!$AN$14)</f>
        <v>5V 2A Switching Power Supply w/ USB-A Connector</v>
      </c>
      <c r="J15" s="29" t="str">
        <f>[1]!nonzeroQtysOfList('Initial Order'!$F$14, 'Initial Order'!$Q$14, InitialOrderTable[Name], 'Initial Order'!$AN$14)</f>
        <v>5V 2A Switching Power Supply w/ USB-A Connector</v>
      </c>
      <c r="K15" s="29" t="str">
        <f>[1]!nonzeroQtysOfList('Initial Order'!$F$14, 'Initial Order'!$Q$14, InitialOrderTable[Name], 'Initial Order'!$AN$14)</f>
        <v>5V 2A Switching Power Supply w/ USB-A Connector</v>
      </c>
      <c r="L15" s="29" t="str">
        <f>[1]!nonzeroQtysOfList('Initial Order'!$F$14, 'Initial Order'!$Q$14, InitialOrderTable[Name], 'Initial Order'!$AN$14)</f>
        <v>5V 2A Switching Power Supply w/ USB-A Connector</v>
      </c>
      <c r="M15" s="29" t="str">
        <f>[1]!nonzeroQtysOfList('Initial Order'!$F$14, 'Initial Order'!$Q$14, InitialOrderTable[Name], 'Initial Order'!$AN$14)</f>
        <v>5V 2A Switching Power Supply w/ USB-A Connector</v>
      </c>
      <c r="N15" s="29" t="str">
        <f>[1]!nonzeroQtysOfList('Initial Order'!$F$14, 'Initial Order'!$Q$14, InitialOrderTable[Name], 'Initial Order'!$AN$14)</f>
        <v>5V 2A Switching Power Supply w/ USB-A Connector</v>
      </c>
      <c r="O15" s="29" t="str">
        <f>[1]!nonzeroQtysOfList('Initial Order'!$F$14, 'Initial Order'!$Q$14, InitialOrderTable[Name], 'Initial Order'!$AN$14)</f>
        <v>5V 2A Switching Power Supply w/ USB-A Connector</v>
      </c>
      <c r="P15" s="29" t="str">
        <f>[1]!nonzeroQtysOfList('Initial Order'!$F$14, 'Initial Order'!$Q$14, InitialOrderTable[Name], 'Initial Order'!$AN$14)</f>
        <v>5V 2A Switching Power Supply w/ USB-A Connector</v>
      </c>
      <c r="Q15" s="29" t="str">
        <f>[1]!nonzeroQtysOfList('Initial Order'!$F$14, 'Initial Order'!$Q$14, InitialOrderTable[Name], 'Initial Order'!$AN$14)</f>
        <v>5V 2A Switching Power Supply w/ USB-A Connector</v>
      </c>
      <c r="R15" s="29" t="str">
        <f>[1]!nonzeroQtysOfList('Initial Order'!$F$14, 'Initial Order'!$Q$14, InitialOrderTable[Name], 'Initial Order'!$AN$14)</f>
        <v>5V 2A Switching Power Supply w/ USB-A Connector</v>
      </c>
      <c r="S15" s="29" t="str">
        <f>[1]!nonzeroQtysOfList('Initial Order'!$F$14, 'Initial Order'!$Q$14, InitialOrderTable[Name], 'Initial Order'!$AN$14)</f>
        <v>5V 2A Switching Power Supply w/ USB-A Connector</v>
      </c>
      <c r="T15" s="29" t="str">
        <f>[1]!nonzeroQtysOfList('Initial Order'!$F$14, 'Initial Order'!$Q$14, InitialOrderTable[Name], 'Initial Order'!$AN$14)</f>
        <v>5V 2A Switching Power Supply w/ USB-A Connector</v>
      </c>
      <c r="AD15" s="29" t="str">
        <f>[1]!nonzeroQtysOfList('Initial Order'!$F$14, 'Initial Order'!$Q$14, 'Initial Order'!$I$14, 'Initial Order'!$AN$13)</f>
        <v>SparkFun XBee Explorer Dongle</v>
      </c>
    </row>
    <row r="16" spans="1:30" x14ac:dyDescent="0.25">
      <c r="A16" s="29" t="str">
        <f>[1]!nonzeroQtysOfList('Initial Order'!$F$14, 'Initial Order'!$Q$14, InitialOrderTable[Name], 'Initial Order'!$AN$14)</f>
        <v>MicroUSB to 5.5/2.1mm DC Barrel Jack Adapter</v>
      </c>
      <c r="B16" s="29" t="str">
        <f>[1]!nonzeroQtysOfList('Initial Order'!$F$14, 'Initial Order'!$Q$14, InitialOrderTable[Name], 'Initial Order'!$AN$14)</f>
        <v>MicroUSB to 5.5/2.1mm DC Barrel Jack Adapter</v>
      </c>
      <c r="C16" s="29" t="str">
        <f>[1]!nonzeroQtysOfList('Initial Order'!$F$14, 'Initial Order'!$Q$14, InitialOrderTable[Name], 'Initial Order'!$AN$14)</f>
        <v>MicroUSB to 5.5/2.1mm DC Barrel Jack Adapter</v>
      </c>
      <c r="D16" s="29" t="str">
        <f>[1]!nonzeroQtysOfList('Initial Order'!$F$14, 'Initial Order'!$Q$14, InitialOrderTable[Name], 'Initial Order'!$AN$14)</f>
        <v>MicroUSB to 5.5/2.1mm DC Barrel Jack Adapter</v>
      </c>
      <c r="E16" s="29" t="str">
        <f>[1]!nonzeroQtysOfList('Initial Order'!$F$14, 'Initial Order'!$Q$14, InitialOrderTable[Name], 'Initial Order'!$AN$14)</f>
        <v>MicroUSB to 5.5/2.1mm DC Barrel Jack Adapter</v>
      </c>
      <c r="F16" s="29" t="str">
        <f>[1]!nonzeroQtysOfList('Initial Order'!$F$14, 'Initial Order'!$Q$14, InitialOrderTable[Name], 'Initial Order'!$AN$14)</f>
        <v>MicroUSB to 5.5/2.1mm DC Barrel Jack Adapter</v>
      </c>
      <c r="G16" s="29" t="str">
        <f>[1]!nonzeroQtysOfList('Initial Order'!$F$14, 'Initial Order'!$Q$14, InitialOrderTable[Name], 'Initial Order'!$AN$14)</f>
        <v>MicroUSB to 5.5/2.1mm DC Barrel Jack Adapter</v>
      </c>
      <c r="H16" s="29" t="str">
        <f>[1]!nonzeroQtysOfList('Initial Order'!$F$14, 'Initial Order'!$Q$14, InitialOrderTable[Name], 'Initial Order'!$AN$14)</f>
        <v>MicroUSB to 5.5/2.1mm DC Barrel Jack Adapter</v>
      </c>
      <c r="I16" s="29" t="str">
        <f>[1]!nonzeroQtysOfList('Initial Order'!$F$14, 'Initial Order'!$Q$14, InitialOrderTable[Name], 'Initial Order'!$AN$14)</f>
        <v>MicroUSB to 5.5/2.1mm DC Barrel Jack Adapter</v>
      </c>
      <c r="J16" s="29" t="str">
        <f>[1]!nonzeroQtysOfList('Initial Order'!$F$14, 'Initial Order'!$Q$14, InitialOrderTable[Name], 'Initial Order'!$AN$14)</f>
        <v>MicroUSB to 5.5/2.1mm DC Barrel Jack Adapter</v>
      </c>
      <c r="K16" s="29" t="str">
        <f>[1]!nonzeroQtysOfList('Initial Order'!$F$14, 'Initial Order'!$Q$14, InitialOrderTable[Name], 'Initial Order'!$AN$14)</f>
        <v>MicroUSB to 5.5/2.1mm DC Barrel Jack Adapter</v>
      </c>
      <c r="L16" s="29" t="str">
        <f>[1]!nonzeroQtysOfList('Initial Order'!$F$14, 'Initial Order'!$Q$14, InitialOrderTable[Name], 'Initial Order'!$AN$14)</f>
        <v>MicroUSB to 5.5/2.1mm DC Barrel Jack Adapter</v>
      </c>
      <c r="M16" s="29" t="str">
        <f>[1]!nonzeroQtysOfList('Initial Order'!$F$14, 'Initial Order'!$Q$14, InitialOrderTable[Name], 'Initial Order'!$AN$14)</f>
        <v>MicroUSB to 5.5/2.1mm DC Barrel Jack Adapter</v>
      </c>
      <c r="N16" s="29" t="str">
        <f>[1]!nonzeroQtysOfList('Initial Order'!$F$14, 'Initial Order'!$Q$14, InitialOrderTable[Name], 'Initial Order'!$AN$14)</f>
        <v>MicroUSB to 5.5/2.1mm DC Barrel Jack Adapter</v>
      </c>
      <c r="O16" s="29" t="str">
        <f>[1]!nonzeroQtysOfList('Initial Order'!$F$14, 'Initial Order'!$Q$14, InitialOrderTable[Name], 'Initial Order'!$AN$14)</f>
        <v>MicroUSB to 5.5/2.1mm DC Barrel Jack Adapter</v>
      </c>
      <c r="P16" s="29" t="str">
        <f>[1]!nonzeroQtysOfList('Initial Order'!$F$14, 'Initial Order'!$Q$14, InitialOrderTable[Name], 'Initial Order'!$AN$14)</f>
        <v>MicroUSB to 5.5/2.1mm DC Barrel Jack Adapter</v>
      </c>
      <c r="Q16" s="29" t="str">
        <f>[1]!nonzeroQtysOfList('Initial Order'!$F$14, 'Initial Order'!$Q$14, InitialOrderTable[Name], 'Initial Order'!$AN$14)</f>
        <v>MicroUSB to 5.5/2.1mm DC Barrel Jack Adapter</v>
      </c>
      <c r="R16" s="29" t="str">
        <f>[1]!nonzeroQtysOfList('Initial Order'!$F$14, 'Initial Order'!$Q$14, InitialOrderTable[Name], 'Initial Order'!$AN$14)</f>
        <v>MicroUSB to 5.5/2.1mm DC Barrel Jack Adapter</v>
      </c>
      <c r="S16" s="29" t="str">
        <f>[1]!nonzeroQtysOfList('Initial Order'!$F$14, 'Initial Order'!$Q$14, InitialOrderTable[Name], 'Initial Order'!$AN$14)</f>
        <v>MicroUSB to 5.5/2.1mm DC Barrel Jack Adapter</v>
      </c>
      <c r="T16" s="29" t="str">
        <f>[1]!nonzeroQtysOfList('Initial Order'!$F$14, 'Initial Order'!$Q$14, InitialOrderTable[Name], 'Initial Order'!$AN$14)</f>
        <v>MicroUSB to 5.5/2.1mm DC Barrel Jack Adapter</v>
      </c>
      <c r="AD16" s="29" t="str">
        <f>[1]!nonzeroQtysOfList('Initial Order'!$F$14, 'Initial Order'!$Q$14, 'Initial Order'!$I$14, 'Initial Order'!$AN$13)</f>
        <v>RN42-XV Bluetooth Module - PCB Antenna</v>
      </c>
    </row>
    <row r="17" spans="1:30" x14ac:dyDescent="0.25">
      <c r="A17" s="29" t="str">
        <f>[1]!nonzeroQtysOfList('Initial Order'!$F$14, 'Initial Order'!$Q$14, InitialOrderTable[Name], 'Initial Order'!$AN$14)</f>
        <v>Waterproof DC Power Cable Set - 5.5/2.1mm</v>
      </c>
      <c r="B17" s="29" t="str">
        <f>[1]!nonzeroQtysOfList('Initial Order'!$F$14, 'Initial Order'!$Q$14, InitialOrderTable[Name], 'Initial Order'!$AN$14)</f>
        <v>Waterproof DC Power Cable Set - 5.5/2.1mm</v>
      </c>
      <c r="C17" s="29" t="str">
        <f>[1]!nonzeroQtysOfList('Initial Order'!$F$14, 'Initial Order'!$Q$14, InitialOrderTable[Name], 'Initial Order'!$AN$14)</f>
        <v>Waterproof DC Power Cable Set - 5.5/2.1mm</v>
      </c>
      <c r="D17" s="29" t="str">
        <f>[1]!nonzeroQtysOfList('Initial Order'!$F$14, 'Initial Order'!$Q$14, InitialOrderTable[Name], 'Initial Order'!$AN$14)</f>
        <v>Waterproof DC Power Cable Set - 5.5/2.1mm</v>
      </c>
      <c r="E17" s="29" t="str">
        <f>[1]!nonzeroQtysOfList('Initial Order'!$F$14, 'Initial Order'!$Q$14, InitialOrderTable[Name], 'Initial Order'!$AN$14)</f>
        <v>Waterproof DC Power Cable Set - 5.5/2.1mm</v>
      </c>
      <c r="F17" s="29" t="str">
        <f>[1]!nonzeroQtysOfList('Initial Order'!$F$14, 'Initial Order'!$Q$14, InitialOrderTable[Name], 'Initial Order'!$AN$14)</f>
        <v>Waterproof DC Power Cable Set - 5.5/2.1mm</v>
      </c>
      <c r="G17" s="29" t="str">
        <f>[1]!nonzeroQtysOfList('Initial Order'!$F$14, 'Initial Order'!$Q$14, InitialOrderTable[Name], 'Initial Order'!$AN$14)</f>
        <v>Waterproof DC Power Cable Set - 5.5/2.1mm</v>
      </c>
      <c r="H17" s="29" t="str">
        <f>[1]!nonzeroQtysOfList('Initial Order'!$F$14, 'Initial Order'!$Q$14, InitialOrderTable[Name], 'Initial Order'!$AN$14)</f>
        <v>Waterproof DC Power Cable Set - 5.5/2.1mm</v>
      </c>
      <c r="I17" s="29" t="str">
        <f>[1]!nonzeroQtysOfList('Initial Order'!$F$14, 'Initial Order'!$Q$14, InitialOrderTable[Name], 'Initial Order'!$AN$14)</f>
        <v>Waterproof DC Power Cable Set - 5.5/2.1mm</v>
      </c>
      <c r="J17" s="29" t="str">
        <f>[1]!nonzeroQtysOfList('Initial Order'!$F$14, 'Initial Order'!$Q$14, InitialOrderTable[Name], 'Initial Order'!$AN$14)</f>
        <v>Waterproof DC Power Cable Set - 5.5/2.1mm</v>
      </c>
      <c r="K17" s="29" t="str">
        <f>[1]!nonzeroQtysOfList('Initial Order'!$F$14, 'Initial Order'!$Q$14, InitialOrderTable[Name], 'Initial Order'!$AN$14)</f>
        <v>Waterproof DC Power Cable Set - 5.5/2.1mm</v>
      </c>
      <c r="L17" s="29" t="str">
        <f>[1]!nonzeroQtysOfList('Initial Order'!$F$14, 'Initial Order'!$Q$14, InitialOrderTable[Name], 'Initial Order'!$AN$14)</f>
        <v>Waterproof DC Power Cable Set - 5.5/2.1mm</v>
      </c>
      <c r="M17" s="29" t="str">
        <f>[1]!nonzeroQtysOfList('Initial Order'!$F$14, 'Initial Order'!$Q$14, InitialOrderTable[Name], 'Initial Order'!$AN$14)</f>
        <v>Waterproof DC Power Cable Set - 5.5/2.1mm</v>
      </c>
      <c r="N17" s="29" t="str">
        <f>[1]!nonzeroQtysOfList('Initial Order'!$F$14, 'Initial Order'!$Q$14, InitialOrderTable[Name], 'Initial Order'!$AN$14)</f>
        <v>Waterproof DC Power Cable Set - 5.5/2.1mm</v>
      </c>
      <c r="O17" s="29" t="str">
        <f>[1]!nonzeroQtysOfList('Initial Order'!$F$14, 'Initial Order'!$Q$14, InitialOrderTable[Name], 'Initial Order'!$AN$14)</f>
        <v>Waterproof DC Power Cable Set - 5.5/2.1mm</v>
      </c>
      <c r="P17" s="29" t="str">
        <f>[1]!nonzeroQtysOfList('Initial Order'!$F$14, 'Initial Order'!$Q$14, InitialOrderTable[Name], 'Initial Order'!$AN$14)</f>
        <v>Waterproof DC Power Cable Set - 5.5/2.1mm</v>
      </c>
      <c r="Q17" s="29" t="str">
        <f>[1]!nonzeroQtysOfList('Initial Order'!$F$14, 'Initial Order'!$Q$14, InitialOrderTable[Name], 'Initial Order'!$AN$14)</f>
        <v>Waterproof DC Power Cable Set - 5.5/2.1mm</v>
      </c>
      <c r="R17" s="29" t="str">
        <f>[1]!nonzeroQtysOfList('Initial Order'!$F$14, 'Initial Order'!$Q$14, InitialOrderTable[Name], 'Initial Order'!$AN$14)</f>
        <v>Waterproof DC Power Cable Set - 5.5/2.1mm</v>
      </c>
      <c r="S17" s="29" t="str">
        <f>[1]!nonzeroQtysOfList('Initial Order'!$F$14, 'Initial Order'!$Q$14, InitialOrderTable[Name], 'Initial Order'!$AN$14)</f>
        <v>Waterproof DC Power Cable Set - 5.5/2.1mm</v>
      </c>
      <c r="T17" s="29" t="str">
        <f>[1]!nonzeroQtysOfList('Initial Order'!$F$14, 'Initial Order'!$Q$14, InitialOrderTable[Name], 'Initial Order'!$AN$14)</f>
        <v>Waterproof DC Power Cable Set - 5.5/2.1mm</v>
      </c>
      <c r="AD17" s="29" t="str">
        <f>[1]!nonzeroQtysOfList('Initial Order'!$F$14, 'Initial Order'!$Q$14, 'Initial Order'!$I$14, 'Initial Order'!$AN$13)</f>
        <v>microSD USB Reader</v>
      </c>
    </row>
    <row r="18" spans="1:30" x14ac:dyDescent="0.25">
      <c r="A18" s="29" t="str">
        <f>[1]!nonzeroQtysOfList('Initial Order'!$F$14, 'Initial Order'!$Q$14, InitialOrderTable[Name], 'Initial Order'!$AN$14)</f>
        <v>Adafruit VL53L0X Time of Flight Distance Sensor - ~30 to 1000mm</v>
      </c>
      <c r="B18" s="29" t="str">
        <f>[1]!nonzeroQtysOfList('Initial Order'!$F$14, 'Initial Order'!$Q$14, InitialOrderTable[Name], 'Initial Order'!$AN$14)</f>
        <v>Adafruit VL53L0X Time of Flight Distance Sensor - ~30 to 1000mm</v>
      </c>
      <c r="C18" s="29" t="str">
        <f>[1]!nonzeroQtysOfList('Initial Order'!$F$14, 'Initial Order'!$Q$14, InitialOrderTable[Name], 'Initial Order'!$AN$14)</f>
        <v>Adafruit VL53L0X Time of Flight Distance Sensor - ~30 to 1000mm</v>
      </c>
      <c r="D18" s="29" t="str">
        <f>[1]!nonzeroQtysOfList('Initial Order'!$F$14, 'Initial Order'!$Q$14, InitialOrderTable[Name], 'Initial Order'!$AN$14)</f>
        <v>Adafruit VL53L0X Time of Flight Distance Sensor - ~30 to 1000mm</v>
      </c>
      <c r="E18" s="29" t="str">
        <f>[1]!nonzeroQtysOfList('Initial Order'!$F$14, 'Initial Order'!$Q$14, InitialOrderTable[Name], 'Initial Order'!$AN$14)</f>
        <v>Adafruit VL53L0X Time of Flight Distance Sensor - ~30 to 1000mm</v>
      </c>
      <c r="F18" s="29" t="str">
        <f>[1]!nonzeroQtysOfList('Initial Order'!$F$14, 'Initial Order'!$Q$14, InitialOrderTable[Name], 'Initial Order'!$AN$14)</f>
        <v>Adafruit VL53L0X Time of Flight Distance Sensor - ~30 to 1000mm</v>
      </c>
      <c r="G18" s="29" t="str">
        <f>[1]!nonzeroQtysOfList('Initial Order'!$F$14, 'Initial Order'!$Q$14, InitialOrderTable[Name], 'Initial Order'!$AN$14)</f>
        <v>Adafruit VL53L0X Time of Flight Distance Sensor - ~30 to 1000mm</v>
      </c>
      <c r="H18" s="29" t="str">
        <f>[1]!nonzeroQtysOfList('Initial Order'!$F$14, 'Initial Order'!$Q$14, InitialOrderTable[Name], 'Initial Order'!$AN$14)</f>
        <v>Adafruit VL53L0X Time of Flight Distance Sensor - ~30 to 1000mm</v>
      </c>
      <c r="I18" s="29" t="str">
        <f>[1]!nonzeroQtysOfList('Initial Order'!$F$14, 'Initial Order'!$Q$14, InitialOrderTable[Name], 'Initial Order'!$AN$14)</f>
        <v>Adafruit VL53L0X Time of Flight Distance Sensor - ~30 to 1000mm</v>
      </c>
      <c r="J18" s="29" t="str">
        <f>[1]!nonzeroQtysOfList('Initial Order'!$F$14, 'Initial Order'!$Q$14, InitialOrderTable[Name], 'Initial Order'!$AN$14)</f>
        <v>Adafruit VL53L0X Time of Flight Distance Sensor - ~30 to 1000mm</v>
      </c>
      <c r="K18" s="29" t="str">
        <f>[1]!nonzeroQtysOfList('Initial Order'!$F$14, 'Initial Order'!$Q$14, InitialOrderTable[Name], 'Initial Order'!$AN$14)</f>
        <v>Adafruit VL53L0X Time of Flight Distance Sensor - ~30 to 1000mm</v>
      </c>
      <c r="L18" s="29" t="str">
        <f>[1]!nonzeroQtysOfList('Initial Order'!$F$14, 'Initial Order'!$Q$14, InitialOrderTable[Name], 'Initial Order'!$AN$14)</f>
        <v>Adafruit VL53L0X Time of Flight Distance Sensor - ~30 to 1000mm</v>
      </c>
      <c r="M18" s="29" t="str">
        <f>[1]!nonzeroQtysOfList('Initial Order'!$F$14, 'Initial Order'!$Q$14, InitialOrderTable[Name], 'Initial Order'!$AN$14)</f>
        <v>Adafruit VL53L0X Time of Flight Distance Sensor - ~30 to 1000mm</v>
      </c>
      <c r="N18" s="29" t="str">
        <f>[1]!nonzeroQtysOfList('Initial Order'!$F$14, 'Initial Order'!$Q$14, InitialOrderTable[Name], 'Initial Order'!$AN$14)</f>
        <v>Adafruit VL53L0X Time of Flight Distance Sensor - ~30 to 1000mm</v>
      </c>
      <c r="O18" s="29" t="str">
        <f>[1]!nonzeroQtysOfList('Initial Order'!$F$14, 'Initial Order'!$Q$14, InitialOrderTable[Name], 'Initial Order'!$AN$14)</f>
        <v>Adafruit VL53L0X Time of Flight Distance Sensor - ~30 to 1000mm</v>
      </c>
      <c r="P18" s="29" t="str">
        <f>[1]!nonzeroQtysOfList('Initial Order'!$F$14, 'Initial Order'!$Q$14, InitialOrderTable[Name], 'Initial Order'!$AN$14)</f>
        <v>Adafruit VL53L0X Time of Flight Distance Sensor - ~30 to 1000mm</v>
      </c>
      <c r="Q18" s="29" t="str">
        <f>[1]!nonzeroQtysOfList('Initial Order'!$F$14, 'Initial Order'!$Q$14, InitialOrderTable[Name], 'Initial Order'!$AN$14)</f>
        <v>Adafruit VL53L0X Time of Flight Distance Sensor - ~30 to 1000mm</v>
      </c>
      <c r="R18" s="29" t="str">
        <f>[1]!nonzeroQtysOfList('Initial Order'!$F$14, 'Initial Order'!$Q$14, InitialOrderTable[Name], 'Initial Order'!$AN$14)</f>
        <v>Adafruit VL53L0X Time of Flight Distance Sensor - ~30 to 1000mm</v>
      </c>
      <c r="S18" s="29" t="str">
        <f>[1]!nonzeroQtysOfList('Initial Order'!$F$14, 'Initial Order'!$Q$14, InitialOrderTable[Name], 'Initial Order'!$AN$14)</f>
        <v>Adafruit VL53L0X Time of Flight Distance Sensor - ~30 to 1000mm</v>
      </c>
      <c r="T18" s="29" t="str">
        <f>[1]!nonzeroQtysOfList('Initial Order'!$F$14, 'Initial Order'!$Q$14, InitialOrderTable[Name], 'Initial Order'!$AN$14)</f>
        <v>Adafruit VL53L0X Time of Flight Distance Sensor - ~30 to 1000mm</v>
      </c>
      <c r="AD18" s="29" t="str">
        <f>[1]!nonzeroQtysOfList('Initial Order'!$F$14, 'Initial Order'!$Q$14, 'Initial Order'!$I$14, 'Initial Order'!$AN$13)</f>
        <v>SparkFun microSD Sniffer</v>
      </c>
    </row>
    <row r="19" spans="1:30" x14ac:dyDescent="0.25">
      <c r="A19" s="29" t="str">
        <f>[1]!nonzeroQtysOfList('Initial Order'!$F$14, 'Initial Order'!$Q$14, InitialOrderTable[Name], 'Initial Order'!$AN$14)</f>
        <v>Pressure-Sensitive Conductive Sheet (Velostat/Linqstat)</v>
      </c>
      <c r="B19" s="29" t="str">
        <f>[1]!nonzeroQtysOfList('Initial Order'!$F$14, 'Initial Order'!$Q$14, InitialOrderTable[Name], 'Initial Order'!$AN$14)</f>
        <v>Pressure-Sensitive Conductive Sheet (Velostat/Linqstat)</v>
      </c>
      <c r="C19" s="29" t="str">
        <f>[1]!nonzeroQtysOfList('Initial Order'!$F$14, 'Initial Order'!$Q$14, InitialOrderTable[Name], 'Initial Order'!$AN$14)</f>
        <v>Pressure-Sensitive Conductive Sheet (Velostat/Linqstat)</v>
      </c>
      <c r="D19" s="29" t="str">
        <f>[1]!nonzeroQtysOfList('Initial Order'!$F$14, 'Initial Order'!$Q$14, InitialOrderTable[Name], 'Initial Order'!$AN$14)</f>
        <v>Pressure-Sensitive Conductive Sheet (Velostat/Linqstat)</v>
      </c>
      <c r="E19" s="29" t="str">
        <f>[1]!nonzeroQtysOfList('Initial Order'!$F$14, 'Initial Order'!$Q$14, InitialOrderTable[Name], 'Initial Order'!$AN$14)</f>
        <v>Pressure-Sensitive Conductive Sheet (Velostat/Linqstat)</v>
      </c>
      <c r="F19" s="29" t="str">
        <f>[1]!nonzeroQtysOfList('Initial Order'!$F$14, 'Initial Order'!$Q$14, InitialOrderTable[Name], 'Initial Order'!$AN$14)</f>
        <v>Pressure-Sensitive Conductive Sheet (Velostat/Linqstat)</v>
      </c>
      <c r="G19" s="29" t="str">
        <f>[1]!nonzeroQtysOfList('Initial Order'!$F$14, 'Initial Order'!$Q$14, InitialOrderTable[Name], 'Initial Order'!$AN$14)</f>
        <v>Pressure-Sensitive Conductive Sheet (Velostat/Linqstat)</v>
      </c>
      <c r="H19" s="29" t="str">
        <f>[1]!nonzeroQtysOfList('Initial Order'!$F$14, 'Initial Order'!$Q$14, InitialOrderTable[Name], 'Initial Order'!$AN$14)</f>
        <v>Pressure-Sensitive Conductive Sheet (Velostat/Linqstat)</v>
      </c>
      <c r="I19" s="29" t="str">
        <f>[1]!nonzeroQtysOfList('Initial Order'!$F$14, 'Initial Order'!$Q$14, InitialOrderTable[Name], 'Initial Order'!$AN$14)</f>
        <v>Pressure-Sensitive Conductive Sheet (Velostat/Linqstat)</v>
      </c>
      <c r="J19" s="29" t="str">
        <f>[1]!nonzeroQtysOfList('Initial Order'!$F$14, 'Initial Order'!$Q$14, InitialOrderTable[Name], 'Initial Order'!$AN$14)</f>
        <v>Pressure-Sensitive Conductive Sheet (Velostat/Linqstat)</v>
      </c>
      <c r="K19" s="29" t="str">
        <f>[1]!nonzeroQtysOfList('Initial Order'!$F$14, 'Initial Order'!$Q$14, InitialOrderTable[Name], 'Initial Order'!$AN$14)</f>
        <v>Pressure-Sensitive Conductive Sheet (Velostat/Linqstat)</v>
      </c>
      <c r="L19" s="29" t="str">
        <f>[1]!nonzeroQtysOfList('Initial Order'!$F$14, 'Initial Order'!$Q$14, InitialOrderTable[Name], 'Initial Order'!$AN$14)</f>
        <v>Pressure-Sensitive Conductive Sheet (Velostat/Linqstat)</v>
      </c>
      <c r="M19" s="29" t="str">
        <f>[1]!nonzeroQtysOfList('Initial Order'!$F$14, 'Initial Order'!$Q$14, InitialOrderTable[Name], 'Initial Order'!$AN$14)</f>
        <v>Pressure-Sensitive Conductive Sheet (Velostat/Linqstat)</v>
      </c>
      <c r="N19" s="29" t="str">
        <f>[1]!nonzeroQtysOfList('Initial Order'!$F$14, 'Initial Order'!$Q$14, InitialOrderTable[Name], 'Initial Order'!$AN$14)</f>
        <v>Pressure-Sensitive Conductive Sheet (Velostat/Linqstat)</v>
      </c>
      <c r="O19" s="29" t="str">
        <f>[1]!nonzeroQtysOfList('Initial Order'!$F$14, 'Initial Order'!$Q$14, InitialOrderTable[Name], 'Initial Order'!$AN$14)</f>
        <v>Pressure-Sensitive Conductive Sheet (Velostat/Linqstat)</v>
      </c>
      <c r="P19" s="29" t="str">
        <f>[1]!nonzeroQtysOfList('Initial Order'!$F$14, 'Initial Order'!$Q$14, InitialOrderTable[Name], 'Initial Order'!$AN$14)</f>
        <v>Pressure-Sensitive Conductive Sheet (Velostat/Linqstat)</v>
      </c>
      <c r="Q19" s="29" t="str">
        <f>[1]!nonzeroQtysOfList('Initial Order'!$F$14, 'Initial Order'!$Q$14, InitialOrderTable[Name], 'Initial Order'!$AN$14)</f>
        <v>Pressure-Sensitive Conductive Sheet (Velostat/Linqstat)</v>
      </c>
      <c r="R19" s="29" t="str">
        <f>[1]!nonzeroQtysOfList('Initial Order'!$F$14, 'Initial Order'!$Q$14, InitialOrderTable[Name], 'Initial Order'!$AN$14)</f>
        <v>Pressure-Sensitive Conductive Sheet (Velostat/Linqstat)</v>
      </c>
      <c r="S19" s="29" t="str">
        <f>[1]!nonzeroQtysOfList('Initial Order'!$F$14, 'Initial Order'!$Q$14, InitialOrderTable[Name], 'Initial Order'!$AN$14)</f>
        <v>Pressure-Sensitive Conductive Sheet (Velostat/Linqstat)</v>
      </c>
      <c r="T19" s="29" t="str">
        <f>[1]!nonzeroQtysOfList('Initial Order'!$F$14, 'Initial Order'!$Q$14, InitialOrderTable[Name], 'Initial Order'!$AN$14)</f>
        <v>Pressure-Sensitive Conductive Sheet (Velostat/Linqstat)</v>
      </c>
      <c r="AD19" s="29" t="str">
        <f>[1]!nonzeroQtysOfList('Initial Order'!$F$14, 'Initial Order'!$Q$14, 'Initial Order'!$I$14, 'Initial Order'!$AN$13)</f>
        <v>SparkFun Level Shifting microSD Breakout</v>
      </c>
    </row>
    <row r="20" spans="1:30" x14ac:dyDescent="0.25">
      <c r="A20" s="29" t="str">
        <f>[1]!nonzeroQtysOfList('Initial Order'!$F$14, 'Initial Order'!$Q$14, InitialOrderTable[Name], 'Initial Order'!$AN$14)</f>
        <v>Woven Conductive Fabric - 20cm square</v>
      </c>
      <c r="B20" s="29" t="str">
        <f>[1]!nonzeroQtysOfList('Initial Order'!$F$14, 'Initial Order'!$Q$14, InitialOrderTable[Name], 'Initial Order'!$AN$14)</f>
        <v>Woven Conductive Fabric - 20cm square</v>
      </c>
      <c r="C20" s="29" t="str">
        <f>[1]!nonzeroQtysOfList('Initial Order'!$F$14, 'Initial Order'!$Q$14, InitialOrderTable[Name], 'Initial Order'!$AN$14)</f>
        <v>Woven Conductive Fabric - 20cm square</v>
      </c>
      <c r="D20" s="29" t="str">
        <f>[1]!nonzeroQtysOfList('Initial Order'!$F$14, 'Initial Order'!$Q$14, InitialOrderTable[Name], 'Initial Order'!$AN$14)</f>
        <v>Woven Conductive Fabric - 20cm square</v>
      </c>
      <c r="E20" s="29" t="str">
        <f>[1]!nonzeroQtysOfList('Initial Order'!$F$14, 'Initial Order'!$Q$14, InitialOrderTable[Name], 'Initial Order'!$AN$14)</f>
        <v>Woven Conductive Fabric - 20cm square</v>
      </c>
      <c r="F20" s="29" t="str">
        <f>[1]!nonzeroQtysOfList('Initial Order'!$F$14, 'Initial Order'!$Q$14, InitialOrderTable[Name], 'Initial Order'!$AN$14)</f>
        <v>Woven Conductive Fabric - 20cm square</v>
      </c>
      <c r="G20" s="29" t="str">
        <f>[1]!nonzeroQtysOfList('Initial Order'!$F$14, 'Initial Order'!$Q$14, InitialOrderTable[Name], 'Initial Order'!$AN$14)</f>
        <v>Woven Conductive Fabric - 20cm square</v>
      </c>
      <c r="H20" s="29" t="str">
        <f>[1]!nonzeroQtysOfList('Initial Order'!$F$14, 'Initial Order'!$Q$14, InitialOrderTable[Name], 'Initial Order'!$AN$14)</f>
        <v>Woven Conductive Fabric - 20cm square</v>
      </c>
      <c r="I20" s="29" t="str">
        <f>[1]!nonzeroQtysOfList('Initial Order'!$F$14, 'Initial Order'!$Q$14, InitialOrderTable[Name], 'Initial Order'!$AN$14)</f>
        <v>Woven Conductive Fabric - 20cm square</v>
      </c>
      <c r="J20" s="29" t="str">
        <f>[1]!nonzeroQtysOfList('Initial Order'!$F$14, 'Initial Order'!$Q$14, InitialOrderTable[Name], 'Initial Order'!$AN$14)</f>
        <v>Woven Conductive Fabric - 20cm square</v>
      </c>
      <c r="K20" s="29" t="str">
        <f>[1]!nonzeroQtysOfList('Initial Order'!$F$14, 'Initial Order'!$Q$14, InitialOrderTable[Name], 'Initial Order'!$AN$14)</f>
        <v>Woven Conductive Fabric - 20cm square</v>
      </c>
      <c r="L20" s="29" t="str">
        <f>[1]!nonzeroQtysOfList('Initial Order'!$F$14, 'Initial Order'!$Q$14, InitialOrderTable[Name], 'Initial Order'!$AN$14)</f>
        <v>Woven Conductive Fabric - 20cm square</v>
      </c>
      <c r="M20" s="29" t="str">
        <f>[1]!nonzeroQtysOfList('Initial Order'!$F$14, 'Initial Order'!$Q$14, InitialOrderTable[Name], 'Initial Order'!$AN$14)</f>
        <v>Woven Conductive Fabric - 20cm square</v>
      </c>
      <c r="N20" s="29" t="str">
        <f>[1]!nonzeroQtysOfList('Initial Order'!$F$14, 'Initial Order'!$Q$14, InitialOrderTable[Name], 'Initial Order'!$AN$14)</f>
        <v>Woven Conductive Fabric - 20cm square</v>
      </c>
      <c r="O20" s="29" t="str">
        <f>[1]!nonzeroQtysOfList('Initial Order'!$F$14, 'Initial Order'!$Q$14, InitialOrderTable[Name], 'Initial Order'!$AN$14)</f>
        <v>Woven Conductive Fabric - 20cm square</v>
      </c>
      <c r="P20" s="29" t="str">
        <f>[1]!nonzeroQtysOfList('Initial Order'!$F$14, 'Initial Order'!$Q$14, InitialOrderTable[Name], 'Initial Order'!$AN$14)</f>
        <v>Woven Conductive Fabric - 20cm square</v>
      </c>
      <c r="Q20" s="29" t="str">
        <f>[1]!nonzeroQtysOfList('Initial Order'!$F$14, 'Initial Order'!$Q$14, InitialOrderTable[Name], 'Initial Order'!$AN$14)</f>
        <v>Woven Conductive Fabric - 20cm square</v>
      </c>
      <c r="R20" s="29" t="str">
        <f>[1]!nonzeroQtysOfList('Initial Order'!$F$14, 'Initial Order'!$Q$14, InitialOrderTable[Name], 'Initial Order'!$AN$14)</f>
        <v>Woven Conductive Fabric - 20cm square</v>
      </c>
      <c r="S20" s="29" t="str">
        <f>[1]!nonzeroQtysOfList('Initial Order'!$F$14, 'Initial Order'!$Q$14, InitialOrderTable[Name], 'Initial Order'!$AN$14)</f>
        <v>Woven Conductive Fabric - 20cm square</v>
      </c>
      <c r="T20" s="29" t="str">
        <f>[1]!nonzeroQtysOfList('Initial Order'!$F$14, 'Initial Order'!$Q$14, InitialOrderTable[Name], 'Initial Order'!$AN$14)</f>
        <v>Woven Conductive Fabric - 20cm square</v>
      </c>
      <c r="AD20" s="29" t="str">
        <f>[1]!nonzeroQtysOfList('Initial Order'!$F$14, 'Initial Order'!$Q$14, 'Initial Order'!$I$14, 'Initial Order'!$AN$13)</f>
        <v>microSD Card with Adapter - 16GB (Class 10)</v>
      </c>
    </row>
    <row r="21" spans="1:30" x14ac:dyDescent="0.25">
      <c r="A21" s="29" t="str">
        <f>[1]!nonzeroQtysOfList('Initial Order'!$F$14, 'Initial Order'!$Q$14, InitialOrderTable[Name], 'Initial Order'!$AN$14)</f>
        <v>RGB LCD Shield Kit w/ 16x2 Character Display - Only 2 pins used! - POSITIVE DISPLAY</v>
      </c>
      <c r="B21" s="29" t="str">
        <f>[1]!nonzeroQtysOfList('Initial Order'!$F$14, 'Initial Order'!$Q$14, InitialOrderTable[Name], 'Initial Order'!$AN$14)</f>
        <v>RGB LCD Shield Kit w/ 16x2 Character Display - Only 2 pins used! - POSITIVE DISPLAY</v>
      </c>
      <c r="C21" s="29" t="str">
        <f>[1]!nonzeroQtysOfList('Initial Order'!$F$14, 'Initial Order'!$Q$14, InitialOrderTable[Name], 'Initial Order'!$AN$14)</f>
        <v>RGB LCD Shield Kit w/ 16x2 Character Display - Only 2 pins used! - POSITIVE DISPLAY</v>
      </c>
      <c r="D21" s="29" t="str">
        <f>[1]!nonzeroQtysOfList('Initial Order'!$F$14, 'Initial Order'!$Q$14, InitialOrderTable[Name], 'Initial Order'!$AN$14)</f>
        <v>RGB LCD Shield Kit w/ 16x2 Character Display - Only 2 pins used! - POSITIVE DISPLAY</v>
      </c>
      <c r="E21" s="29" t="str">
        <f>[1]!nonzeroQtysOfList('Initial Order'!$F$14, 'Initial Order'!$Q$14, InitialOrderTable[Name], 'Initial Order'!$AN$14)</f>
        <v>RGB LCD Shield Kit w/ 16x2 Character Display - Only 2 pins used! - POSITIVE DISPLAY</v>
      </c>
      <c r="F21" s="29" t="str">
        <f>[1]!nonzeroQtysOfList('Initial Order'!$F$14, 'Initial Order'!$Q$14, InitialOrderTable[Name], 'Initial Order'!$AN$14)</f>
        <v>RGB LCD Shield Kit w/ 16x2 Character Display - Only 2 pins used! - POSITIVE DISPLAY</v>
      </c>
      <c r="G21" s="29" t="str">
        <f>[1]!nonzeroQtysOfList('Initial Order'!$F$14, 'Initial Order'!$Q$14, InitialOrderTable[Name], 'Initial Order'!$AN$14)</f>
        <v>RGB LCD Shield Kit w/ 16x2 Character Display - Only 2 pins used! - POSITIVE DISPLAY</v>
      </c>
      <c r="H21" s="29" t="str">
        <f>[1]!nonzeroQtysOfList('Initial Order'!$F$14, 'Initial Order'!$Q$14, InitialOrderTable[Name], 'Initial Order'!$AN$14)</f>
        <v>RGB LCD Shield Kit w/ 16x2 Character Display - Only 2 pins used! - POSITIVE DISPLAY</v>
      </c>
      <c r="I21" s="29" t="str">
        <f>[1]!nonzeroQtysOfList('Initial Order'!$F$14, 'Initial Order'!$Q$14, InitialOrderTable[Name], 'Initial Order'!$AN$14)</f>
        <v>RGB LCD Shield Kit w/ 16x2 Character Display - Only 2 pins used! - POSITIVE DISPLAY</v>
      </c>
      <c r="J21" s="29" t="str">
        <f>[1]!nonzeroQtysOfList('Initial Order'!$F$14, 'Initial Order'!$Q$14, InitialOrderTable[Name], 'Initial Order'!$AN$14)</f>
        <v>RGB LCD Shield Kit w/ 16x2 Character Display - Only 2 pins used! - POSITIVE DISPLAY</v>
      </c>
      <c r="K21" s="29" t="str">
        <f>[1]!nonzeroQtysOfList('Initial Order'!$F$14, 'Initial Order'!$Q$14, InitialOrderTable[Name], 'Initial Order'!$AN$14)</f>
        <v>RGB LCD Shield Kit w/ 16x2 Character Display - Only 2 pins used! - POSITIVE DISPLAY</v>
      </c>
      <c r="L21" s="29" t="str">
        <f>[1]!nonzeroQtysOfList('Initial Order'!$F$14, 'Initial Order'!$Q$14, InitialOrderTable[Name], 'Initial Order'!$AN$14)</f>
        <v>RGB LCD Shield Kit w/ 16x2 Character Display - Only 2 pins used! - POSITIVE DISPLAY</v>
      </c>
      <c r="M21" s="29" t="str">
        <f>[1]!nonzeroQtysOfList('Initial Order'!$F$14, 'Initial Order'!$Q$14, InitialOrderTable[Name], 'Initial Order'!$AN$14)</f>
        <v>RGB LCD Shield Kit w/ 16x2 Character Display - Only 2 pins used! - POSITIVE DISPLAY</v>
      </c>
      <c r="N21" s="29" t="str">
        <f>[1]!nonzeroQtysOfList('Initial Order'!$F$14, 'Initial Order'!$Q$14, InitialOrderTable[Name], 'Initial Order'!$AN$14)</f>
        <v>RGB LCD Shield Kit w/ 16x2 Character Display - Only 2 pins used! - POSITIVE DISPLAY</v>
      </c>
      <c r="O21" s="29" t="str">
        <f>[1]!nonzeroQtysOfList('Initial Order'!$F$14, 'Initial Order'!$Q$14, InitialOrderTable[Name], 'Initial Order'!$AN$14)</f>
        <v>RGB LCD Shield Kit w/ 16x2 Character Display - Only 2 pins used! - POSITIVE DISPLAY</v>
      </c>
      <c r="P21" s="29" t="str">
        <f>[1]!nonzeroQtysOfList('Initial Order'!$F$14, 'Initial Order'!$Q$14, InitialOrderTable[Name], 'Initial Order'!$AN$14)</f>
        <v>RGB LCD Shield Kit w/ 16x2 Character Display - Only 2 pins used! - POSITIVE DISPLAY</v>
      </c>
      <c r="Q21" s="29" t="str">
        <f>[1]!nonzeroQtysOfList('Initial Order'!$F$14, 'Initial Order'!$Q$14, InitialOrderTable[Name], 'Initial Order'!$AN$14)</f>
        <v>RGB LCD Shield Kit w/ 16x2 Character Display - Only 2 pins used! - POSITIVE DISPLAY</v>
      </c>
      <c r="R21" s="29" t="str">
        <f>[1]!nonzeroQtysOfList('Initial Order'!$F$14, 'Initial Order'!$Q$14, InitialOrderTable[Name], 'Initial Order'!$AN$14)</f>
        <v>RGB LCD Shield Kit w/ 16x2 Character Display - Only 2 pins used! - POSITIVE DISPLAY</v>
      </c>
      <c r="S21" s="29" t="str">
        <f>[1]!nonzeroQtysOfList('Initial Order'!$F$14, 'Initial Order'!$Q$14, InitialOrderTable[Name], 'Initial Order'!$AN$14)</f>
        <v>RGB LCD Shield Kit w/ 16x2 Character Display - Only 2 pins used! - POSITIVE DISPLAY</v>
      </c>
      <c r="T21" s="29" t="str">
        <f>[1]!nonzeroQtysOfList('Initial Order'!$F$14, 'Initial Order'!$Q$14, InitialOrderTable[Name], 'Initial Order'!$AN$14)</f>
        <v>RGB LCD Shield Kit w/ 16x2 Character Display - Only 2 pins used! - POSITIVE DISPLAY</v>
      </c>
      <c r="AD21" s="29" t="str">
        <f>[1]!nonzeroQtysOfList('Initial Order'!$F$14, 'Initial Order'!$Q$14, 'Initial Order'!I21, 'Initial Order'!$AN$13)</f>
        <v>Multimeter Probes - Tweezers</v>
      </c>
    </row>
    <row r="22" spans="1:30" x14ac:dyDescent="0.25">
      <c r="A22" s="29" t="str">
        <f>[1]!nonzeroQtysOfList('Initial Order'!$F$14, 'Initial Order'!$Q$14, InitialOrderTable[Name], 'Initial Order'!$AN$14)</f>
        <v xml:space="preserve">Membrane 3x4 Matrix Keypad + extras - 3x4 </v>
      </c>
      <c r="B22" s="29" t="str">
        <f>[1]!nonzeroQtysOfList('Initial Order'!$F$14, 'Initial Order'!$Q$14, InitialOrderTable[Name], 'Initial Order'!$AN$14)</f>
        <v xml:space="preserve">Membrane 3x4 Matrix Keypad + extras - 3x4 </v>
      </c>
      <c r="C22" s="29" t="str">
        <f>[1]!nonzeroQtysOfList('Initial Order'!$F$14, 'Initial Order'!$Q$14, InitialOrderTable[Name], 'Initial Order'!$AN$14)</f>
        <v xml:space="preserve">Membrane 3x4 Matrix Keypad + extras - 3x4 </v>
      </c>
      <c r="D22" s="29" t="str">
        <f>[1]!nonzeroQtysOfList('Initial Order'!$F$14, 'Initial Order'!$Q$14, InitialOrderTable[Name], 'Initial Order'!$AN$14)</f>
        <v xml:space="preserve">Membrane 3x4 Matrix Keypad + extras - 3x4 </v>
      </c>
      <c r="E22" s="29" t="str">
        <f>[1]!nonzeroQtysOfList('Initial Order'!$F$14, 'Initial Order'!$Q$14, InitialOrderTable[Name], 'Initial Order'!$AN$14)</f>
        <v xml:space="preserve">Membrane 3x4 Matrix Keypad + extras - 3x4 </v>
      </c>
      <c r="F22" s="29" t="str">
        <f>[1]!nonzeroQtysOfList('Initial Order'!$F$14, 'Initial Order'!$Q$14, InitialOrderTable[Name], 'Initial Order'!$AN$14)</f>
        <v xml:space="preserve">Membrane 3x4 Matrix Keypad + extras - 3x4 </v>
      </c>
      <c r="G22" s="29" t="str">
        <f>[1]!nonzeroQtysOfList('Initial Order'!$F$14, 'Initial Order'!$Q$14, InitialOrderTable[Name], 'Initial Order'!$AN$14)</f>
        <v xml:space="preserve">Membrane 3x4 Matrix Keypad + extras - 3x4 </v>
      </c>
      <c r="H22" s="29" t="str">
        <f>[1]!nonzeroQtysOfList('Initial Order'!$F$14, 'Initial Order'!$Q$14, InitialOrderTable[Name], 'Initial Order'!$AN$14)</f>
        <v xml:space="preserve">Membrane 3x4 Matrix Keypad + extras - 3x4 </v>
      </c>
      <c r="I22" s="29" t="str">
        <f>[1]!nonzeroQtysOfList('Initial Order'!$F$14, 'Initial Order'!$Q$14, InitialOrderTable[Name], 'Initial Order'!$AN$14)</f>
        <v xml:space="preserve">Membrane 3x4 Matrix Keypad + extras - 3x4 </v>
      </c>
      <c r="J22" s="29" t="str">
        <f>[1]!nonzeroQtysOfList('Initial Order'!$F$14, 'Initial Order'!$Q$14, InitialOrderTable[Name], 'Initial Order'!$AN$14)</f>
        <v xml:space="preserve">Membrane 3x4 Matrix Keypad + extras - 3x4 </v>
      </c>
      <c r="K22" s="29" t="str">
        <f>[1]!nonzeroQtysOfList('Initial Order'!$F$14, 'Initial Order'!$Q$14, InitialOrderTable[Name], 'Initial Order'!$AN$14)</f>
        <v xml:space="preserve">Membrane 3x4 Matrix Keypad + extras - 3x4 </v>
      </c>
      <c r="L22" s="29" t="str">
        <f>[1]!nonzeroQtysOfList('Initial Order'!$F$14, 'Initial Order'!$Q$14, InitialOrderTable[Name], 'Initial Order'!$AN$14)</f>
        <v xml:space="preserve">Membrane 3x4 Matrix Keypad + extras - 3x4 </v>
      </c>
      <c r="M22" s="29" t="str">
        <f>[1]!nonzeroQtysOfList('Initial Order'!$F$14, 'Initial Order'!$Q$14, InitialOrderTable[Name], 'Initial Order'!$AN$14)</f>
        <v xml:space="preserve">Membrane 3x4 Matrix Keypad + extras - 3x4 </v>
      </c>
      <c r="N22" s="29" t="str">
        <f>[1]!nonzeroQtysOfList('Initial Order'!$F$14, 'Initial Order'!$Q$14, InitialOrderTable[Name], 'Initial Order'!$AN$14)</f>
        <v xml:space="preserve">Membrane 3x4 Matrix Keypad + extras - 3x4 </v>
      </c>
      <c r="O22" s="29" t="str">
        <f>[1]!nonzeroQtysOfList('Initial Order'!$F$14, 'Initial Order'!$Q$14, InitialOrderTable[Name], 'Initial Order'!$AN$14)</f>
        <v xml:space="preserve">Membrane 3x4 Matrix Keypad + extras - 3x4 </v>
      </c>
      <c r="P22" s="29" t="str">
        <f>[1]!nonzeroQtysOfList('Initial Order'!$F$14, 'Initial Order'!$Q$14, InitialOrderTable[Name], 'Initial Order'!$AN$14)</f>
        <v xml:space="preserve">Membrane 3x4 Matrix Keypad + extras - 3x4 </v>
      </c>
      <c r="Q22" s="29" t="str">
        <f>[1]!nonzeroQtysOfList('Initial Order'!$F$14, 'Initial Order'!$Q$14, InitialOrderTable[Name], 'Initial Order'!$AN$14)</f>
        <v xml:space="preserve">Membrane 3x4 Matrix Keypad + extras - 3x4 </v>
      </c>
      <c r="R22" s="29" t="str">
        <f>[1]!nonzeroQtysOfList('Initial Order'!$F$14, 'Initial Order'!$Q$14, InitialOrderTable[Name], 'Initial Order'!$AN$14)</f>
        <v xml:space="preserve">Membrane 3x4 Matrix Keypad + extras - 3x4 </v>
      </c>
      <c r="S22" s="29" t="str">
        <f>[1]!nonzeroQtysOfList('Initial Order'!$F$14, 'Initial Order'!$Q$14, InitialOrderTable[Name], 'Initial Order'!$AN$14)</f>
        <v xml:space="preserve">Membrane 3x4 Matrix Keypad + extras - 3x4 </v>
      </c>
      <c r="T22" s="29" t="str">
        <f>[1]!nonzeroQtysOfList('Initial Order'!$F$14, 'Initial Order'!$Q$14, InitialOrderTable[Name], 'Initial Order'!$AN$14)</f>
        <v xml:space="preserve">Membrane 3x4 Matrix Keypad + extras - 3x4 </v>
      </c>
      <c r="AD22" s="29" t="str">
        <f>[1]!nonzeroQtysOfList('Initial Order'!$F$14, 'Initial Order'!$Q$14, 'Initial Order'!I22, 'Initial Order'!$AN$13)</f>
        <v>10 Segment LED Bar Graph - Green</v>
      </c>
    </row>
    <row r="23" spans="1:30" x14ac:dyDescent="0.25">
      <c r="A23" s="29" t="str">
        <f>[1]!nonzeroQtysOfList('Initial Order'!$F$14, 'Initial Order'!$Q$14, InitialOrderTable[Name], 'Initial Order'!$AN$14)</f>
        <v>Bluetooth / WiFi Combination USB Dongle</v>
      </c>
      <c r="B23" s="29" t="str">
        <f>[1]!nonzeroQtysOfList('Initial Order'!$F$14, 'Initial Order'!$Q$14, InitialOrderTable[Name], 'Initial Order'!$AN$14)</f>
        <v>Bluetooth / WiFi Combination USB Dongle</v>
      </c>
      <c r="C23" s="29" t="str">
        <f>[1]!nonzeroQtysOfList('Initial Order'!$F$14, 'Initial Order'!$Q$14, InitialOrderTable[Name], 'Initial Order'!$AN$14)</f>
        <v>Bluetooth / WiFi Combination USB Dongle</v>
      </c>
      <c r="D23" s="29" t="str">
        <f>[1]!nonzeroQtysOfList('Initial Order'!$F$14, 'Initial Order'!$Q$14, InitialOrderTable[Name], 'Initial Order'!$AN$14)</f>
        <v>Bluetooth / WiFi Combination USB Dongle</v>
      </c>
      <c r="E23" s="29" t="str">
        <f>[1]!nonzeroQtysOfList('Initial Order'!$F$14, 'Initial Order'!$Q$14, InitialOrderTable[Name], 'Initial Order'!$AN$14)</f>
        <v>Bluetooth / WiFi Combination USB Dongle</v>
      </c>
      <c r="F23" s="29" t="str">
        <f>[1]!nonzeroQtysOfList('Initial Order'!$F$14, 'Initial Order'!$Q$14, InitialOrderTable[Name], 'Initial Order'!$AN$14)</f>
        <v>Bluetooth / WiFi Combination USB Dongle</v>
      </c>
      <c r="G23" s="29" t="str">
        <f>[1]!nonzeroQtysOfList('Initial Order'!$F$14, 'Initial Order'!$Q$14, InitialOrderTable[Name], 'Initial Order'!$AN$14)</f>
        <v>Bluetooth / WiFi Combination USB Dongle</v>
      </c>
      <c r="H23" s="29" t="str">
        <f>[1]!nonzeroQtysOfList('Initial Order'!$F$14, 'Initial Order'!$Q$14, InitialOrderTable[Name], 'Initial Order'!$AN$14)</f>
        <v>Bluetooth / WiFi Combination USB Dongle</v>
      </c>
      <c r="I23" s="29" t="str">
        <f>[1]!nonzeroQtysOfList('Initial Order'!$F$14, 'Initial Order'!$Q$14, InitialOrderTable[Name], 'Initial Order'!$AN$14)</f>
        <v>Bluetooth / WiFi Combination USB Dongle</v>
      </c>
      <c r="J23" s="29" t="str">
        <f>[1]!nonzeroQtysOfList('Initial Order'!$F$14, 'Initial Order'!$Q$14, InitialOrderTable[Name], 'Initial Order'!$AN$14)</f>
        <v>Bluetooth / WiFi Combination USB Dongle</v>
      </c>
      <c r="K23" s="29" t="str">
        <f>[1]!nonzeroQtysOfList('Initial Order'!$F$14, 'Initial Order'!$Q$14, InitialOrderTable[Name], 'Initial Order'!$AN$14)</f>
        <v>Bluetooth / WiFi Combination USB Dongle</v>
      </c>
      <c r="L23" s="29" t="str">
        <f>[1]!nonzeroQtysOfList('Initial Order'!$F$14, 'Initial Order'!$Q$14, InitialOrderTable[Name], 'Initial Order'!$AN$14)</f>
        <v>Bluetooth / WiFi Combination USB Dongle</v>
      </c>
      <c r="M23" s="29" t="str">
        <f>[1]!nonzeroQtysOfList('Initial Order'!$F$14, 'Initial Order'!$Q$14, InitialOrderTable[Name], 'Initial Order'!$AN$14)</f>
        <v>Bluetooth / WiFi Combination USB Dongle</v>
      </c>
      <c r="N23" s="29" t="str">
        <f>[1]!nonzeroQtysOfList('Initial Order'!$F$14, 'Initial Order'!$Q$14, InitialOrderTable[Name], 'Initial Order'!$AN$14)</f>
        <v>Bluetooth / WiFi Combination USB Dongle</v>
      </c>
      <c r="O23" s="29" t="str">
        <f>[1]!nonzeroQtysOfList('Initial Order'!$F$14, 'Initial Order'!$Q$14, InitialOrderTable[Name], 'Initial Order'!$AN$14)</f>
        <v>Bluetooth / WiFi Combination USB Dongle</v>
      </c>
      <c r="P23" s="29" t="str">
        <f>[1]!nonzeroQtysOfList('Initial Order'!$F$14, 'Initial Order'!$Q$14, InitialOrderTable[Name], 'Initial Order'!$AN$14)</f>
        <v>Bluetooth / WiFi Combination USB Dongle</v>
      </c>
      <c r="Q23" s="29" t="str">
        <f>[1]!nonzeroQtysOfList('Initial Order'!$F$14, 'Initial Order'!$Q$14, InitialOrderTable[Name], 'Initial Order'!$AN$14)</f>
        <v>Bluetooth / WiFi Combination USB Dongle</v>
      </c>
      <c r="R23" s="29" t="str">
        <f>[1]!nonzeroQtysOfList('Initial Order'!$F$14, 'Initial Order'!$Q$14, InitialOrderTable[Name], 'Initial Order'!$AN$14)</f>
        <v>Bluetooth / WiFi Combination USB Dongle</v>
      </c>
      <c r="S23" s="29" t="str">
        <f>[1]!nonzeroQtysOfList('Initial Order'!$F$14, 'Initial Order'!$Q$14, InitialOrderTable[Name], 'Initial Order'!$AN$14)</f>
        <v>Bluetooth / WiFi Combination USB Dongle</v>
      </c>
      <c r="T23" s="29" t="str">
        <f>[1]!nonzeroQtysOfList('Initial Order'!$F$14, 'Initial Order'!$Q$14, InitialOrderTable[Name], 'Initial Order'!$AN$14)</f>
        <v>Bluetooth / WiFi Combination USB Dongle</v>
      </c>
      <c r="AD23" s="29" t="str">
        <f>[1]!nonzeroQtysOfList('Initial Order'!$F$14, 'Initial Order'!$Q$14, 'Initial Order'!I23, 'Initial Order'!$AN$13)</f>
        <v xml:space="preserve">SparkFun LED Driver Breakout - LP55231 </v>
      </c>
    </row>
    <row r="24" spans="1:30" x14ac:dyDescent="0.25">
      <c r="A24" s="29" t="str">
        <f>[1]!nonzeroQtysOfList('Initial Order'!$F$14, 'Initial Order'!$Q$14, InitialOrderTable[Name], 'Initial Order'!$AN$14)</f>
        <v>Tiny OTG Adapter - USB Micro to USB</v>
      </c>
      <c r="B24" s="29" t="str">
        <f>[1]!nonzeroQtysOfList('Initial Order'!$F$14, 'Initial Order'!$Q$14, InitialOrderTable[Name], 'Initial Order'!$AN$14)</f>
        <v>Tiny OTG Adapter - USB Micro to USB</v>
      </c>
      <c r="C24" s="29" t="str">
        <f>[1]!nonzeroQtysOfList('Initial Order'!$F$14, 'Initial Order'!$Q$14, InitialOrderTable[Name], 'Initial Order'!$AN$14)</f>
        <v>Tiny OTG Adapter - USB Micro to USB</v>
      </c>
      <c r="D24" s="29" t="str">
        <f>[1]!nonzeroQtysOfList('Initial Order'!$F$14, 'Initial Order'!$Q$14, InitialOrderTable[Name], 'Initial Order'!$AN$14)</f>
        <v>Tiny OTG Adapter - USB Micro to USB</v>
      </c>
      <c r="E24" s="29" t="str">
        <f>[1]!nonzeroQtysOfList('Initial Order'!$F$14, 'Initial Order'!$Q$14, InitialOrderTable[Name], 'Initial Order'!$AN$14)</f>
        <v>Tiny OTG Adapter - USB Micro to USB</v>
      </c>
      <c r="F24" s="29" t="str">
        <f>[1]!nonzeroQtysOfList('Initial Order'!$F$14, 'Initial Order'!$Q$14, InitialOrderTable[Name], 'Initial Order'!$AN$14)</f>
        <v>Tiny OTG Adapter - USB Micro to USB</v>
      </c>
      <c r="G24" s="29" t="str">
        <f>[1]!nonzeroQtysOfList('Initial Order'!$F$14, 'Initial Order'!$Q$14, InitialOrderTable[Name], 'Initial Order'!$AN$14)</f>
        <v>Tiny OTG Adapter - USB Micro to USB</v>
      </c>
      <c r="H24" s="29" t="str">
        <f>[1]!nonzeroQtysOfList('Initial Order'!$F$14, 'Initial Order'!$Q$14, InitialOrderTable[Name], 'Initial Order'!$AN$14)</f>
        <v>Tiny OTG Adapter - USB Micro to USB</v>
      </c>
      <c r="I24" s="29" t="str">
        <f>[1]!nonzeroQtysOfList('Initial Order'!$F$14, 'Initial Order'!$Q$14, InitialOrderTable[Name], 'Initial Order'!$AN$14)</f>
        <v>Tiny OTG Adapter - USB Micro to USB</v>
      </c>
      <c r="J24" s="29" t="str">
        <f>[1]!nonzeroQtysOfList('Initial Order'!$F$14, 'Initial Order'!$Q$14, InitialOrderTable[Name], 'Initial Order'!$AN$14)</f>
        <v>Tiny OTG Adapter - USB Micro to USB</v>
      </c>
      <c r="K24" s="29" t="str">
        <f>[1]!nonzeroQtysOfList('Initial Order'!$F$14, 'Initial Order'!$Q$14, InitialOrderTable[Name], 'Initial Order'!$AN$14)</f>
        <v>Tiny OTG Adapter - USB Micro to USB</v>
      </c>
      <c r="L24" s="29" t="str">
        <f>[1]!nonzeroQtysOfList('Initial Order'!$F$14, 'Initial Order'!$Q$14, InitialOrderTable[Name], 'Initial Order'!$AN$14)</f>
        <v>Tiny OTG Adapter - USB Micro to USB</v>
      </c>
      <c r="M24" s="29" t="str">
        <f>[1]!nonzeroQtysOfList('Initial Order'!$F$14, 'Initial Order'!$Q$14, InitialOrderTable[Name], 'Initial Order'!$AN$14)</f>
        <v>Tiny OTG Adapter - USB Micro to USB</v>
      </c>
      <c r="N24" s="29" t="str">
        <f>[1]!nonzeroQtysOfList('Initial Order'!$F$14, 'Initial Order'!$Q$14, InitialOrderTable[Name], 'Initial Order'!$AN$14)</f>
        <v>Tiny OTG Adapter - USB Micro to USB</v>
      </c>
      <c r="O24" s="29" t="str">
        <f>[1]!nonzeroQtysOfList('Initial Order'!$F$14, 'Initial Order'!$Q$14, InitialOrderTable[Name], 'Initial Order'!$AN$14)</f>
        <v>Tiny OTG Adapter - USB Micro to USB</v>
      </c>
      <c r="P24" s="29" t="str">
        <f>[1]!nonzeroQtysOfList('Initial Order'!$F$14, 'Initial Order'!$Q$14, InitialOrderTable[Name], 'Initial Order'!$AN$14)</f>
        <v>Tiny OTG Adapter - USB Micro to USB</v>
      </c>
      <c r="Q24" s="29" t="str">
        <f>[1]!nonzeroQtysOfList('Initial Order'!$F$14, 'Initial Order'!$Q$14, InitialOrderTable[Name], 'Initial Order'!$AN$14)</f>
        <v>Tiny OTG Adapter - USB Micro to USB</v>
      </c>
      <c r="R24" s="29" t="str">
        <f>[1]!nonzeroQtysOfList('Initial Order'!$F$14, 'Initial Order'!$Q$14, InitialOrderTable[Name], 'Initial Order'!$AN$14)</f>
        <v>Tiny OTG Adapter - USB Micro to USB</v>
      </c>
      <c r="S24" s="29" t="str">
        <f>[1]!nonzeroQtysOfList('Initial Order'!$F$14, 'Initial Order'!$Q$14, InitialOrderTable[Name], 'Initial Order'!$AN$14)</f>
        <v>Tiny OTG Adapter - USB Micro to USB</v>
      </c>
      <c r="T24" s="29" t="str">
        <f>[1]!nonzeroQtysOfList('Initial Order'!$F$14, 'Initial Order'!$Q$14, InitialOrderTable[Name], 'Initial Order'!$AN$14)</f>
        <v>Tiny OTG Adapter - USB Micro to USB</v>
      </c>
      <c r="AD24" s="29" t="str">
        <f>[1]!nonzeroQtysOfList('Initial Order'!$F$14, 'Initial Order'!$Q$14, 'Initial Order'!I24, 'Initial Order'!$AN$13)</f>
        <v>Barrel Jack Extension Cable - M-F (6 ft)</v>
      </c>
    </row>
    <row r="25" spans="1:30" x14ac:dyDescent="0.25">
      <c r="A25" s="29" t="str">
        <f>[1]!nonzeroQtysOfList('Initial Order'!$F$14, 'Initial Order'!$Q$14, InitialOrderTable[Name], 'Initial Order'!$AN$14)</f>
        <v>Hand-Moldable Plastic - Low Temperature Thermoplastic - 100g Bag</v>
      </c>
      <c r="B25" s="29" t="str">
        <f>[1]!nonzeroQtysOfList('Initial Order'!$F$14, 'Initial Order'!$Q$14, InitialOrderTable[Name], 'Initial Order'!$AN$14)</f>
        <v>Hand-Moldable Plastic - Low Temperature Thermoplastic - 100g Bag</v>
      </c>
      <c r="C25" s="29" t="str">
        <f>[1]!nonzeroQtysOfList('Initial Order'!$F$14, 'Initial Order'!$Q$14, InitialOrderTable[Name], 'Initial Order'!$AN$14)</f>
        <v>Hand-Moldable Plastic - Low Temperature Thermoplastic - 100g Bag</v>
      </c>
      <c r="D25" s="29" t="str">
        <f>[1]!nonzeroQtysOfList('Initial Order'!$F$14, 'Initial Order'!$Q$14, InitialOrderTable[Name], 'Initial Order'!$AN$14)</f>
        <v>Hand-Moldable Plastic - Low Temperature Thermoplastic - 100g Bag</v>
      </c>
      <c r="E25" s="29" t="str">
        <f>[1]!nonzeroQtysOfList('Initial Order'!$F$14, 'Initial Order'!$Q$14, InitialOrderTable[Name], 'Initial Order'!$AN$14)</f>
        <v>Hand-Moldable Plastic - Low Temperature Thermoplastic - 100g Bag</v>
      </c>
      <c r="F25" s="29" t="str">
        <f>[1]!nonzeroQtysOfList('Initial Order'!$F$14, 'Initial Order'!$Q$14, InitialOrderTable[Name], 'Initial Order'!$AN$14)</f>
        <v>Hand-Moldable Plastic - Low Temperature Thermoplastic - 100g Bag</v>
      </c>
      <c r="G25" s="29" t="str">
        <f>[1]!nonzeroQtysOfList('Initial Order'!$F$14, 'Initial Order'!$Q$14, InitialOrderTable[Name], 'Initial Order'!$AN$14)</f>
        <v>Hand-Moldable Plastic - Low Temperature Thermoplastic - 100g Bag</v>
      </c>
      <c r="H25" s="29" t="str">
        <f>[1]!nonzeroQtysOfList('Initial Order'!$F$14, 'Initial Order'!$Q$14, InitialOrderTable[Name], 'Initial Order'!$AN$14)</f>
        <v>Hand-Moldable Plastic - Low Temperature Thermoplastic - 100g Bag</v>
      </c>
      <c r="I25" s="29" t="str">
        <f>[1]!nonzeroQtysOfList('Initial Order'!$F$14, 'Initial Order'!$Q$14, InitialOrderTable[Name], 'Initial Order'!$AN$14)</f>
        <v>Hand-Moldable Plastic - Low Temperature Thermoplastic - 100g Bag</v>
      </c>
      <c r="J25" s="29" t="str">
        <f>[1]!nonzeroQtysOfList('Initial Order'!$F$14, 'Initial Order'!$Q$14, InitialOrderTable[Name], 'Initial Order'!$AN$14)</f>
        <v>Hand-Moldable Plastic - Low Temperature Thermoplastic - 100g Bag</v>
      </c>
      <c r="K25" s="29" t="str">
        <f>[1]!nonzeroQtysOfList('Initial Order'!$F$14, 'Initial Order'!$Q$14, InitialOrderTable[Name], 'Initial Order'!$AN$14)</f>
        <v>Hand-Moldable Plastic - Low Temperature Thermoplastic - 100g Bag</v>
      </c>
      <c r="L25" s="29" t="str">
        <f>[1]!nonzeroQtysOfList('Initial Order'!$F$14, 'Initial Order'!$Q$14, InitialOrderTable[Name], 'Initial Order'!$AN$14)</f>
        <v>Hand-Moldable Plastic - Low Temperature Thermoplastic - 100g Bag</v>
      </c>
      <c r="M25" s="29" t="str">
        <f>[1]!nonzeroQtysOfList('Initial Order'!$F$14, 'Initial Order'!$Q$14, InitialOrderTable[Name], 'Initial Order'!$AN$14)</f>
        <v>Hand-Moldable Plastic - Low Temperature Thermoplastic - 100g Bag</v>
      </c>
      <c r="N25" s="29" t="str">
        <f>[1]!nonzeroQtysOfList('Initial Order'!$F$14, 'Initial Order'!$Q$14, InitialOrderTable[Name], 'Initial Order'!$AN$14)</f>
        <v>Hand-Moldable Plastic - Low Temperature Thermoplastic - 100g Bag</v>
      </c>
      <c r="O25" s="29" t="str">
        <f>[1]!nonzeroQtysOfList('Initial Order'!$F$14, 'Initial Order'!$Q$14, InitialOrderTable[Name], 'Initial Order'!$AN$14)</f>
        <v>Hand-Moldable Plastic - Low Temperature Thermoplastic - 100g Bag</v>
      </c>
      <c r="P25" s="29" t="str">
        <f>[1]!nonzeroQtysOfList('Initial Order'!$F$14, 'Initial Order'!$Q$14, InitialOrderTable[Name], 'Initial Order'!$AN$14)</f>
        <v>Hand-Moldable Plastic - Low Temperature Thermoplastic - 100g Bag</v>
      </c>
      <c r="Q25" s="29" t="str">
        <f>[1]!nonzeroQtysOfList('Initial Order'!$F$14, 'Initial Order'!$Q$14, InitialOrderTable[Name], 'Initial Order'!$AN$14)</f>
        <v>Hand-Moldable Plastic - Low Temperature Thermoplastic - 100g Bag</v>
      </c>
      <c r="R25" s="29" t="str">
        <f>[1]!nonzeroQtysOfList('Initial Order'!$F$14, 'Initial Order'!$Q$14, InitialOrderTable[Name], 'Initial Order'!$AN$14)</f>
        <v>Hand-Moldable Plastic - Low Temperature Thermoplastic - 100g Bag</v>
      </c>
      <c r="S25" s="29" t="str">
        <f>[1]!nonzeroQtysOfList('Initial Order'!$F$14, 'Initial Order'!$Q$14, InitialOrderTable[Name], 'Initial Order'!$AN$14)</f>
        <v>Hand-Moldable Plastic - Low Temperature Thermoplastic - 100g Bag</v>
      </c>
      <c r="T25" s="29" t="str">
        <f>[1]!nonzeroQtysOfList('Initial Order'!$F$14, 'Initial Order'!$Q$14, InitialOrderTable[Name], 'Initial Order'!$AN$14)</f>
        <v>Hand-Moldable Plastic - Low Temperature Thermoplastic - 100g Bag</v>
      </c>
    </row>
    <row r="26" spans="1:30" x14ac:dyDescent="0.25">
      <c r="A26" s="29" t="str">
        <f>[1]!nonzeroQtysOfList('Initial Order'!$F$14, 'Initial Order'!$Q$14, InitialOrderTable[Name], 'Initial Order'!$AN$14)</f>
        <v>Sugru - Black and White Pack</v>
      </c>
      <c r="B26" s="29" t="str">
        <f>[1]!nonzeroQtysOfList('Initial Order'!$F$14, 'Initial Order'!$Q$14, InitialOrderTable[Name], 'Initial Order'!$AN$14)</f>
        <v>Sugru - Black and White Pack</v>
      </c>
      <c r="C26" s="29" t="str">
        <f>[1]!nonzeroQtysOfList('Initial Order'!$F$14, 'Initial Order'!$Q$14, InitialOrderTable[Name], 'Initial Order'!$AN$14)</f>
        <v>Sugru - Black and White Pack</v>
      </c>
      <c r="D26" s="29" t="str">
        <f>[1]!nonzeroQtysOfList('Initial Order'!$F$14, 'Initial Order'!$Q$14, InitialOrderTable[Name], 'Initial Order'!$AN$14)</f>
        <v>Sugru - Black and White Pack</v>
      </c>
      <c r="E26" s="29" t="str">
        <f>[1]!nonzeroQtysOfList('Initial Order'!$F$14, 'Initial Order'!$Q$14, InitialOrderTable[Name], 'Initial Order'!$AN$14)</f>
        <v>Sugru - Black and White Pack</v>
      </c>
      <c r="F26" s="29" t="str">
        <f>[1]!nonzeroQtysOfList('Initial Order'!$F$14, 'Initial Order'!$Q$14, InitialOrderTable[Name], 'Initial Order'!$AN$14)</f>
        <v>Sugru - Black and White Pack</v>
      </c>
      <c r="G26" s="29" t="str">
        <f>[1]!nonzeroQtysOfList('Initial Order'!$F$14, 'Initial Order'!$Q$14, InitialOrderTable[Name], 'Initial Order'!$AN$14)</f>
        <v>Sugru - Black and White Pack</v>
      </c>
      <c r="H26" s="29" t="str">
        <f>[1]!nonzeroQtysOfList('Initial Order'!$F$14, 'Initial Order'!$Q$14, InitialOrderTable[Name], 'Initial Order'!$AN$14)</f>
        <v>Sugru - Black and White Pack</v>
      </c>
      <c r="I26" s="29" t="str">
        <f>[1]!nonzeroQtysOfList('Initial Order'!$F$14, 'Initial Order'!$Q$14, InitialOrderTable[Name], 'Initial Order'!$AN$14)</f>
        <v>Sugru - Black and White Pack</v>
      </c>
      <c r="J26" s="29" t="str">
        <f>[1]!nonzeroQtysOfList('Initial Order'!$F$14, 'Initial Order'!$Q$14, InitialOrderTable[Name], 'Initial Order'!$AN$14)</f>
        <v>Sugru - Black and White Pack</v>
      </c>
      <c r="K26" s="29" t="str">
        <f>[1]!nonzeroQtysOfList('Initial Order'!$F$14, 'Initial Order'!$Q$14, InitialOrderTable[Name], 'Initial Order'!$AN$14)</f>
        <v>Sugru - Black and White Pack</v>
      </c>
      <c r="L26" s="29" t="str">
        <f>[1]!nonzeroQtysOfList('Initial Order'!$F$14, 'Initial Order'!$Q$14, InitialOrderTable[Name], 'Initial Order'!$AN$14)</f>
        <v>Sugru - Black and White Pack</v>
      </c>
      <c r="M26" s="29" t="str">
        <f>[1]!nonzeroQtysOfList('Initial Order'!$F$14, 'Initial Order'!$Q$14, InitialOrderTable[Name], 'Initial Order'!$AN$14)</f>
        <v>Sugru - Black and White Pack</v>
      </c>
      <c r="N26" s="29" t="str">
        <f>[1]!nonzeroQtysOfList('Initial Order'!$F$14, 'Initial Order'!$Q$14, InitialOrderTable[Name], 'Initial Order'!$AN$14)</f>
        <v>Sugru - Black and White Pack</v>
      </c>
      <c r="O26" s="29" t="str">
        <f>[1]!nonzeroQtysOfList('Initial Order'!$F$14, 'Initial Order'!$Q$14, InitialOrderTable[Name], 'Initial Order'!$AN$14)</f>
        <v>Sugru - Black and White Pack</v>
      </c>
      <c r="P26" s="29" t="str">
        <f>[1]!nonzeroQtysOfList('Initial Order'!$F$14, 'Initial Order'!$Q$14, InitialOrderTable[Name], 'Initial Order'!$AN$14)</f>
        <v>Sugru - Black and White Pack</v>
      </c>
      <c r="Q26" s="29" t="str">
        <f>[1]!nonzeroQtysOfList('Initial Order'!$F$14, 'Initial Order'!$Q$14, InitialOrderTable[Name], 'Initial Order'!$AN$14)</f>
        <v>Sugru - Black and White Pack</v>
      </c>
      <c r="R26" s="29" t="str">
        <f>[1]!nonzeroQtysOfList('Initial Order'!$F$14, 'Initial Order'!$Q$14, InitialOrderTable[Name], 'Initial Order'!$AN$14)</f>
        <v>Sugru - Black and White Pack</v>
      </c>
      <c r="S26" s="29" t="str">
        <f>[1]!nonzeroQtysOfList('Initial Order'!$F$14, 'Initial Order'!$Q$14, InitialOrderTable[Name], 'Initial Order'!$AN$14)</f>
        <v>Sugru - Black and White Pack</v>
      </c>
      <c r="T26" s="29" t="str">
        <f>[1]!nonzeroQtysOfList('Initial Order'!$F$14, 'Initial Order'!$Q$14, InitialOrderTable[Name], 'Initial Order'!$AN$14)</f>
        <v>Sugru - Black and White Pack</v>
      </c>
    </row>
    <row r="27" spans="1:30" x14ac:dyDescent="0.25">
      <c r="A27" s="29" t="str">
        <f>[1]!nonzeroQtysOfList('Initial Order'!$F$14, 'Initial Order'!$Q$14, InitialOrderTable[Name], 'Initial Order'!$AN$14)</f>
        <v xml:space="preserve">TO-220 Clip-On Heatsink </v>
      </c>
      <c r="B27" s="29" t="str">
        <f>[1]!nonzeroQtysOfList('Initial Order'!$F$14, 'Initial Order'!$Q$14, InitialOrderTable[Name], 'Initial Order'!$AN$14)</f>
        <v xml:space="preserve">TO-220 Clip-On Heatsink </v>
      </c>
      <c r="C27" s="29" t="str">
        <f>[1]!nonzeroQtysOfList('Initial Order'!$F$14, 'Initial Order'!$Q$14, InitialOrderTable[Name], 'Initial Order'!$AN$14)</f>
        <v xml:space="preserve">TO-220 Clip-On Heatsink </v>
      </c>
      <c r="D27" s="29" t="str">
        <f>[1]!nonzeroQtysOfList('Initial Order'!$F$14, 'Initial Order'!$Q$14, InitialOrderTable[Name], 'Initial Order'!$AN$14)</f>
        <v xml:space="preserve">TO-220 Clip-On Heatsink </v>
      </c>
      <c r="E27" s="29" t="str">
        <f>[1]!nonzeroQtysOfList('Initial Order'!$F$14, 'Initial Order'!$Q$14, InitialOrderTable[Name], 'Initial Order'!$AN$14)</f>
        <v xml:space="preserve">TO-220 Clip-On Heatsink </v>
      </c>
      <c r="F27" s="29" t="str">
        <f>[1]!nonzeroQtysOfList('Initial Order'!$F$14, 'Initial Order'!$Q$14, InitialOrderTable[Name], 'Initial Order'!$AN$14)</f>
        <v xml:space="preserve">TO-220 Clip-On Heatsink </v>
      </c>
      <c r="G27" s="29" t="str">
        <f>[1]!nonzeroQtysOfList('Initial Order'!$F$14, 'Initial Order'!$Q$14, InitialOrderTable[Name], 'Initial Order'!$AN$14)</f>
        <v xml:space="preserve">TO-220 Clip-On Heatsink </v>
      </c>
      <c r="H27" s="29" t="str">
        <f>[1]!nonzeroQtysOfList('Initial Order'!$F$14, 'Initial Order'!$Q$14, InitialOrderTable[Name], 'Initial Order'!$AN$14)</f>
        <v xml:space="preserve">TO-220 Clip-On Heatsink </v>
      </c>
      <c r="I27" s="29" t="str">
        <f>[1]!nonzeroQtysOfList('Initial Order'!$F$14, 'Initial Order'!$Q$14, InitialOrderTable[Name], 'Initial Order'!$AN$14)</f>
        <v xml:space="preserve">TO-220 Clip-On Heatsink </v>
      </c>
      <c r="J27" s="29" t="str">
        <f>[1]!nonzeroQtysOfList('Initial Order'!$F$14, 'Initial Order'!$Q$14, InitialOrderTable[Name], 'Initial Order'!$AN$14)</f>
        <v xml:space="preserve">TO-220 Clip-On Heatsink </v>
      </c>
      <c r="K27" s="29" t="str">
        <f>[1]!nonzeroQtysOfList('Initial Order'!$F$14, 'Initial Order'!$Q$14, InitialOrderTable[Name], 'Initial Order'!$AN$14)</f>
        <v xml:space="preserve">TO-220 Clip-On Heatsink </v>
      </c>
      <c r="L27" s="29" t="str">
        <f>[1]!nonzeroQtysOfList('Initial Order'!$F$14, 'Initial Order'!$Q$14, InitialOrderTable[Name], 'Initial Order'!$AN$14)</f>
        <v xml:space="preserve">TO-220 Clip-On Heatsink </v>
      </c>
      <c r="M27" s="29" t="str">
        <f>[1]!nonzeroQtysOfList('Initial Order'!$F$14, 'Initial Order'!$Q$14, InitialOrderTable[Name], 'Initial Order'!$AN$14)</f>
        <v xml:space="preserve">TO-220 Clip-On Heatsink </v>
      </c>
      <c r="N27" s="29" t="str">
        <f>[1]!nonzeroQtysOfList('Initial Order'!$F$14, 'Initial Order'!$Q$14, InitialOrderTable[Name], 'Initial Order'!$AN$14)</f>
        <v xml:space="preserve">TO-220 Clip-On Heatsink </v>
      </c>
      <c r="O27" s="29" t="str">
        <f>[1]!nonzeroQtysOfList('Initial Order'!$F$14, 'Initial Order'!$Q$14, InitialOrderTable[Name], 'Initial Order'!$AN$14)</f>
        <v xml:space="preserve">TO-220 Clip-On Heatsink </v>
      </c>
      <c r="P27" s="29" t="str">
        <f>[1]!nonzeroQtysOfList('Initial Order'!$F$14, 'Initial Order'!$Q$14, InitialOrderTable[Name], 'Initial Order'!$AN$14)</f>
        <v xml:space="preserve">TO-220 Clip-On Heatsink </v>
      </c>
      <c r="Q27" s="29" t="str">
        <f>[1]!nonzeroQtysOfList('Initial Order'!$F$14, 'Initial Order'!$Q$14, InitialOrderTable[Name], 'Initial Order'!$AN$14)</f>
        <v xml:space="preserve">TO-220 Clip-On Heatsink </v>
      </c>
      <c r="R27" s="29" t="str">
        <f>[1]!nonzeroQtysOfList('Initial Order'!$F$14, 'Initial Order'!$Q$14, InitialOrderTable[Name], 'Initial Order'!$AN$14)</f>
        <v xml:space="preserve">TO-220 Clip-On Heatsink </v>
      </c>
      <c r="S27" s="29" t="str">
        <f>[1]!nonzeroQtysOfList('Initial Order'!$F$14, 'Initial Order'!$Q$14, InitialOrderTable[Name], 'Initial Order'!$AN$14)</f>
        <v xml:space="preserve">TO-220 Clip-On Heatsink </v>
      </c>
      <c r="T27" s="29" t="str">
        <f>[1]!nonzeroQtysOfList('Initial Order'!$F$14, 'Initial Order'!$Q$14, InitialOrderTable[Name], 'Initial Order'!$AN$14)</f>
        <v xml:space="preserve">TO-220 Clip-On Heatsink </v>
      </c>
    </row>
    <row r="28" spans="1:30" x14ac:dyDescent="0.25">
      <c r="A28" s="29" t="str">
        <f>[1]!nonzeroQtysOfList('Initial Order'!$F$14, 'Initial Order'!$Q$14, InitialOrderTable[Name], 'Initial Order'!$AN$14)</f>
        <v xml:space="preserve">Potentiometer Knob - Soft Touch T18 - White </v>
      </c>
      <c r="B28" s="29" t="str">
        <f>[1]!nonzeroQtysOfList('Initial Order'!$F$14, 'Initial Order'!$Q$14, InitialOrderTable[Name], 'Initial Order'!$AN$14)</f>
        <v xml:space="preserve">Potentiometer Knob - Soft Touch T18 - White </v>
      </c>
      <c r="C28" s="29" t="str">
        <f>[1]!nonzeroQtysOfList('Initial Order'!$F$14, 'Initial Order'!$Q$14, InitialOrderTable[Name], 'Initial Order'!$AN$14)</f>
        <v xml:space="preserve">Potentiometer Knob - Soft Touch T18 - White </v>
      </c>
      <c r="D28" s="29" t="str">
        <f>[1]!nonzeroQtysOfList('Initial Order'!$F$14, 'Initial Order'!$Q$14, InitialOrderTable[Name], 'Initial Order'!$AN$14)</f>
        <v xml:space="preserve">Potentiometer Knob - Soft Touch T18 - White </v>
      </c>
      <c r="E28" s="29" t="str">
        <f>[1]!nonzeroQtysOfList('Initial Order'!$F$14, 'Initial Order'!$Q$14, InitialOrderTable[Name], 'Initial Order'!$AN$14)</f>
        <v xml:space="preserve">Potentiometer Knob - Soft Touch T18 - White </v>
      </c>
      <c r="F28" s="29" t="str">
        <f>[1]!nonzeroQtysOfList('Initial Order'!$F$14, 'Initial Order'!$Q$14, InitialOrderTable[Name], 'Initial Order'!$AN$14)</f>
        <v xml:space="preserve">Potentiometer Knob - Soft Touch T18 - White </v>
      </c>
      <c r="G28" s="29" t="str">
        <f>[1]!nonzeroQtysOfList('Initial Order'!$F$14, 'Initial Order'!$Q$14, InitialOrderTable[Name], 'Initial Order'!$AN$14)</f>
        <v xml:space="preserve">Potentiometer Knob - Soft Touch T18 - White </v>
      </c>
      <c r="H28" s="29" t="str">
        <f>[1]!nonzeroQtysOfList('Initial Order'!$F$14, 'Initial Order'!$Q$14, InitialOrderTable[Name], 'Initial Order'!$AN$14)</f>
        <v xml:space="preserve">Potentiometer Knob - Soft Touch T18 - White </v>
      </c>
      <c r="I28" s="29" t="str">
        <f>[1]!nonzeroQtysOfList('Initial Order'!$F$14, 'Initial Order'!$Q$14, InitialOrderTable[Name], 'Initial Order'!$AN$14)</f>
        <v xml:space="preserve">Potentiometer Knob - Soft Touch T18 - White </v>
      </c>
      <c r="J28" s="29" t="str">
        <f>[1]!nonzeroQtysOfList('Initial Order'!$F$14, 'Initial Order'!$Q$14, InitialOrderTable[Name], 'Initial Order'!$AN$14)</f>
        <v xml:space="preserve">Potentiometer Knob - Soft Touch T18 - White </v>
      </c>
      <c r="K28" s="29" t="str">
        <f>[1]!nonzeroQtysOfList('Initial Order'!$F$14, 'Initial Order'!$Q$14, InitialOrderTable[Name], 'Initial Order'!$AN$14)</f>
        <v xml:space="preserve">Potentiometer Knob - Soft Touch T18 - White </v>
      </c>
      <c r="L28" s="29" t="str">
        <f>[1]!nonzeroQtysOfList('Initial Order'!$F$14, 'Initial Order'!$Q$14, InitialOrderTable[Name], 'Initial Order'!$AN$14)</f>
        <v xml:space="preserve">Potentiometer Knob - Soft Touch T18 - White </v>
      </c>
      <c r="M28" s="29" t="str">
        <f>[1]!nonzeroQtysOfList('Initial Order'!$F$14, 'Initial Order'!$Q$14, InitialOrderTable[Name], 'Initial Order'!$AN$14)</f>
        <v xml:space="preserve">Potentiometer Knob - Soft Touch T18 - White </v>
      </c>
      <c r="N28" s="29" t="str">
        <f>[1]!nonzeroQtysOfList('Initial Order'!$F$14, 'Initial Order'!$Q$14, InitialOrderTable[Name], 'Initial Order'!$AN$14)</f>
        <v xml:space="preserve">Potentiometer Knob - Soft Touch T18 - White </v>
      </c>
      <c r="O28" s="29" t="str">
        <f>[1]!nonzeroQtysOfList('Initial Order'!$F$14, 'Initial Order'!$Q$14, InitialOrderTable[Name], 'Initial Order'!$AN$14)</f>
        <v xml:space="preserve">Potentiometer Knob - Soft Touch T18 - White </v>
      </c>
      <c r="P28" s="29" t="str">
        <f>[1]!nonzeroQtysOfList('Initial Order'!$F$14, 'Initial Order'!$Q$14, InitialOrderTable[Name], 'Initial Order'!$AN$14)</f>
        <v xml:space="preserve">Potentiometer Knob - Soft Touch T18 - White </v>
      </c>
      <c r="Q28" s="29" t="str">
        <f>[1]!nonzeroQtysOfList('Initial Order'!$F$14, 'Initial Order'!$Q$14, InitialOrderTable[Name], 'Initial Order'!$AN$14)</f>
        <v xml:space="preserve">Potentiometer Knob - Soft Touch T18 - White </v>
      </c>
      <c r="R28" s="29" t="str">
        <f>[1]!nonzeroQtysOfList('Initial Order'!$F$14, 'Initial Order'!$Q$14, InitialOrderTable[Name], 'Initial Order'!$AN$14)</f>
        <v xml:space="preserve">Potentiometer Knob - Soft Touch T18 - White </v>
      </c>
      <c r="S28" s="29" t="str">
        <f>[1]!nonzeroQtysOfList('Initial Order'!$F$14, 'Initial Order'!$Q$14, InitialOrderTable[Name], 'Initial Order'!$AN$14)</f>
        <v xml:space="preserve">Potentiometer Knob - Soft Touch T18 - White </v>
      </c>
      <c r="T28" s="29" t="str">
        <f>[1]!nonzeroQtysOfList('Initial Order'!$F$14, 'Initial Order'!$Q$14, InitialOrderTable[Name], 'Initial Order'!$AN$14)</f>
        <v xml:space="preserve">Potentiometer Knob - Soft Touch T18 - White </v>
      </c>
    </row>
    <row r="29" spans="1:30" x14ac:dyDescent="0.25">
      <c r="A29" s="29" t="str">
        <f>[1]!nonzeroQtysOfList('Initial Order'!$F$14, 'Initial Order'!$Q$14, InitialOrderTable[Name], 'Initial Order'!$AN$14)</f>
        <v>IDC Breakout Helper - 2x5 (10 pin)</v>
      </c>
      <c r="B29" s="29" t="str">
        <f>[1]!nonzeroQtysOfList('Initial Order'!$F$14, 'Initial Order'!$Q$14, InitialOrderTable[Name], 'Initial Order'!$AN$14)</f>
        <v>IDC Breakout Helper - 2x5 (10 pin)</v>
      </c>
      <c r="C29" s="29" t="str">
        <f>[1]!nonzeroQtysOfList('Initial Order'!$F$14, 'Initial Order'!$Q$14, InitialOrderTable[Name], 'Initial Order'!$AN$14)</f>
        <v>IDC Breakout Helper - 2x5 (10 pin)</v>
      </c>
      <c r="D29" s="29" t="str">
        <f>[1]!nonzeroQtysOfList('Initial Order'!$F$14, 'Initial Order'!$Q$14, InitialOrderTable[Name], 'Initial Order'!$AN$14)</f>
        <v>IDC Breakout Helper - 2x5 (10 pin)</v>
      </c>
      <c r="E29" s="29" t="str">
        <f>[1]!nonzeroQtysOfList('Initial Order'!$F$14, 'Initial Order'!$Q$14, InitialOrderTable[Name], 'Initial Order'!$AN$14)</f>
        <v>IDC Breakout Helper - 2x5 (10 pin)</v>
      </c>
      <c r="F29" s="29" t="str">
        <f>[1]!nonzeroQtysOfList('Initial Order'!$F$14, 'Initial Order'!$Q$14, InitialOrderTable[Name], 'Initial Order'!$AN$14)</f>
        <v>IDC Breakout Helper - 2x5 (10 pin)</v>
      </c>
      <c r="G29" s="29" t="str">
        <f>[1]!nonzeroQtysOfList('Initial Order'!$F$14, 'Initial Order'!$Q$14, InitialOrderTable[Name], 'Initial Order'!$AN$14)</f>
        <v>IDC Breakout Helper - 2x5 (10 pin)</v>
      </c>
      <c r="H29" s="29" t="str">
        <f>[1]!nonzeroQtysOfList('Initial Order'!$F$14, 'Initial Order'!$Q$14, InitialOrderTable[Name], 'Initial Order'!$AN$14)</f>
        <v>IDC Breakout Helper - 2x5 (10 pin)</v>
      </c>
      <c r="I29" s="29" t="str">
        <f>[1]!nonzeroQtysOfList('Initial Order'!$F$14, 'Initial Order'!$Q$14, InitialOrderTable[Name], 'Initial Order'!$AN$14)</f>
        <v>IDC Breakout Helper - 2x5 (10 pin)</v>
      </c>
      <c r="J29" s="29" t="str">
        <f>[1]!nonzeroQtysOfList('Initial Order'!$F$14, 'Initial Order'!$Q$14, InitialOrderTable[Name], 'Initial Order'!$AN$14)</f>
        <v>IDC Breakout Helper - 2x5 (10 pin)</v>
      </c>
      <c r="K29" s="29" t="str">
        <f>[1]!nonzeroQtysOfList('Initial Order'!$F$14, 'Initial Order'!$Q$14, InitialOrderTable[Name], 'Initial Order'!$AN$14)</f>
        <v>IDC Breakout Helper - 2x5 (10 pin)</v>
      </c>
      <c r="L29" s="29" t="str">
        <f>[1]!nonzeroQtysOfList('Initial Order'!$F$14, 'Initial Order'!$Q$14, InitialOrderTable[Name], 'Initial Order'!$AN$14)</f>
        <v>IDC Breakout Helper - 2x5 (10 pin)</v>
      </c>
      <c r="M29" s="29" t="str">
        <f>[1]!nonzeroQtysOfList('Initial Order'!$F$14, 'Initial Order'!$Q$14, InitialOrderTable[Name], 'Initial Order'!$AN$14)</f>
        <v>IDC Breakout Helper - 2x5 (10 pin)</v>
      </c>
      <c r="N29" s="29" t="str">
        <f>[1]!nonzeroQtysOfList('Initial Order'!$F$14, 'Initial Order'!$Q$14, InitialOrderTable[Name], 'Initial Order'!$AN$14)</f>
        <v>IDC Breakout Helper - 2x5 (10 pin)</v>
      </c>
      <c r="O29" s="29" t="str">
        <f>[1]!nonzeroQtysOfList('Initial Order'!$F$14, 'Initial Order'!$Q$14, InitialOrderTable[Name], 'Initial Order'!$AN$14)</f>
        <v>IDC Breakout Helper - 2x5 (10 pin)</v>
      </c>
      <c r="P29" s="29" t="str">
        <f>[1]!nonzeroQtysOfList('Initial Order'!$F$14, 'Initial Order'!$Q$14, InitialOrderTable[Name], 'Initial Order'!$AN$14)</f>
        <v>IDC Breakout Helper - 2x5 (10 pin)</v>
      </c>
      <c r="Q29" s="29" t="str">
        <f>[1]!nonzeroQtysOfList('Initial Order'!$F$14, 'Initial Order'!$Q$14, InitialOrderTable[Name], 'Initial Order'!$AN$14)</f>
        <v>IDC Breakout Helper - 2x5 (10 pin)</v>
      </c>
      <c r="R29" s="29" t="str">
        <f>[1]!nonzeroQtysOfList('Initial Order'!$F$14, 'Initial Order'!$Q$14, InitialOrderTable[Name], 'Initial Order'!$AN$14)</f>
        <v>IDC Breakout Helper - 2x5 (10 pin)</v>
      </c>
      <c r="S29" s="29" t="str">
        <f>[1]!nonzeroQtysOfList('Initial Order'!$F$14, 'Initial Order'!$Q$14, InitialOrderTable[Name], 'Initial Order'!$AN$14)</f>
        <v>IDC Breakout Helper - 2x5 (10 pin)</v>
      </c>
      <c r="T29" s="29" t="str">
        <f>[1]!nonzeroQtysOfList('Initial Order'!$F$14, 'Initial Order'!$Q$14, InitialOrderTable[Name], 'Initial Order'!$AN$14)</f>
        <v>IDC Breakout Helper - 2x5 (10 pin)</v>
      </c>
    </row>
    <row r="30" spans="1:30" x14ac:dyDescent="0.25">
      <c r="A30" s="29" t="str">
        <f>[1]!nonzeroQtysOfList('Initial Order'!$F$14, 'Initial Order'!$Q$14, InitialOrderTable[Name], 'Initial Order'!$AN$14)</f>
        <v xml:space="preserve">Jumper Shunt with Handle (0.1" / 2.54mm) – 10 Pack </v>
      </c>
      <c r="B30" s="29" t="str">
        <f>[1]!nonzeroQtysOfList('Initial Order'!$F$14, 'Initial Order'!$Q$14, InitialOrderTable[Name], 'Initial Order'!$AN$14)</f>
        <v xml:space="preserve">Jumper Shunt with Handle (0.1" / 2.54mm) – 10 Pack </v>
      </c>
      <c r="C30" s="29" t="str">
        <f>[1]!nonzeroQtysOfList('Initial Order'!$F$14, 'Initial Order'!$Q$14, InitialOrderTable[Name], 'Initial Order'!$AN$14)</f>
        <v xml:space="preserve">Jumper Shunt with Handle (0.1" / 2.54mm) – 10 Pack </v>
      </c>
      <c r="D30" s="29" t="str">
        <f>[1]!nonzeroQtysOfList('Initial Order'!$F$14, 'Initial Order'!$Q$14, InitialOrderTable[Name], 'Initial Order'!$AN$14)</f>
        <v xml:space="preserve">Jumper Shunt with Handle (0.1" / 2.54mm) – 10 Pack </v>
      </c>
      <c r="E30" s="29" t="str">
        <f>[1]!nonzeroQtysOfList('Initial Order'!$F$14, 'Initial Order'!$Q$14, InitialOrderTable[Name], 'Initial Order'!$AN$14)</f>
        <v xml:space="preserve">Jumper Shunt with Handle (0.1" / 2.54mm) – 10 Pack </v>
      </c>
      <c r="F30" s="29" t="str">
        <f>[1]!nonzeroQtysOfList('Initial Order'!$F$14, 'Initial Order'!$Q$14, InitialOrderTable[Name], 'Initial Order'!$AN$14)</f>
        <v xml:space="preserve">Jumper Shunt with Handle (0.1" / 2.54mm) – 10 Pack </v>
      </c>
      <c r="G30" s="29" t="str">
        <f>[1]!nonzeroQtysOfList('Initial Order'!$F$14, 'Initial Order'!$Q$14, InitialOrderTable[Name], 'Initial Order'!$AN$14)</f>
        <v xml:space="preserve">Jumper Shunt with Handle (0.1" / 2.54mm) – 10 Pack </v>
      </c>
      <c r="H30" s="29" t="str">
        <f>[1]!nonzeroQtysOfList('Initial Order'!$F$14, 'Initial Order'!$Q$14, InitialOrderTable[Name], 'Initial Order'!$AN$14)</f>
        <v xml:space="preserve">Jumper Shunt with Handle (0.1" / 2.54mm) – 10 Pack </v>
      </c>
      <c r="I30" s="29" t="str">
        <f>[1]!nonzeroQtysOfList('Initial Order'!$F$14, 'Initial Order'!$Q$14, InitialOrderTable[Name], 'Initial Order'!$AN$14)</f>
        <v xml:space="preserve">Jumper Shunt with Handle (0.1" / 2.54mm) – 10 Pack </v>
      </c>
      <c r="J30" s="29" t="str">
        <f>[1]!nonzeroQtysOfList('Initial Order'!$F$14, 'Initial Order'!$Q$14, InitialOrderTable[Name], 'Initial Order'!$AN$14)</f>
        <v xml:space="preserve">Jumper Shunt with Handle (0.1" / 2.54mm) – 10 Pack </v>
      </c>
      <c r="K30" s="29" t="str">
        <f>[1]!nonzeroQtysOfList('Initial Order'!$F$14, 'Initial Order'!$Q$14, InitialOrderTable[Name], 'Initial Order'!$AN$14)</f>
        <v xml:space="preserve">Jumper Shunt with Handle (0.1" / 2.54mm) – 10 Pack </v>
      </c>
      <c r="L30" s="29" t="str">
        <f>[1]!nonzeroQtysOfList('Initial Order'!$F$14, 'Initial Order'!$Q$14, InitialOrderTable[Name], 'Initial Order'!$AN$14)</f>
        <v xml:space="preserve">Jumper Shunt with Handle (0.1" / 2.54mm) – 10 Pack </v>
      </c>
      <c r="M30" s="29" t="str">
        <f>[1]!nonzeroQtysOfList('Initial Order'!$F$14, 'Initial Order'!$Q$14, InitialOrderTable[Name], 'Initial Order'!$AN$14)</f>
        <v xml:space="preserve">Jumper Shunt with Handle (0.1" / 2.54mm) – 10 Pack </v>
      </c>
      <c r="N30" s="29" t="str">
        <f>[1]!nonzeroQtysOfList('Initial Order'!$F$14, 'Initial Order'!$Q$14, InitialOrderTable[Name], 'Initial Order'!$AN$14)</f>
        <v xml:space="preserve">Jumper Shunt with Handle (0.1" / 2.54mm) – 10 Pack </v>
      </c>
      <c r="O30" s="29" t="str">
        <f>[1]!nonzeroQtysOfList('Initial Order'!$F$14, 'Initial Order'!$Q$14, InitialOrderTable[Name], 'Initial Order'!$AN$14)</f>
        <v xml:space="preserve">Jumper Shunt with Handle (0.1" / 2.54mm) – 10 Pack </v>
      </c>
      <c r="P30" s="29" t="str">
        <f>[1]!nonzeroQtysOfList('Initial Order'!$F$14, 'Initial Order'!$Q$14, InitialOrderTable[Name], 'Initial Order'!$AN$14)</f>
        <v xml:space="preserve">Jumper Shunt with Handle (0.1" / 2.54mm) – 10 Pack </v>
      </c>
      <c r="Q30" s="29" t="str">
        <f>[1]!nonzeroQtysOfList('Initial Order'!$F$14, 'Initial Order'!$Q$14, InitialOrderTable[Name], 'Initial Order'!$AN$14)</f>
        <v xml:space="preserve">Jumper Shunt with Handle (0.1" / 2.54mm) – 10 Pack </v>
      </c>
      <c r="R30" s="29" t="str">
        <f>[1]!nonzeroQtysOfList('Initial Order'!$F$14, 'Initial Order'!$Q$14, InitialOrderTable[Name], 'Initial Order'!$AN$14)</f>
        <v xml:space="preserve">Jumper Shunt with Handle (0.1" / 2.54mm) – 10 Pack </v>
      </c>
      <c r="S30" s="29" t="str">
        <f>[1]!nonzeroQtysOfList('Initial Order'!$F$14, 'Initial Order'!$Q$14, InitialOrderTable[Name], 'Initial Order'!$AN$14)</f>
        <v xml:space="preserve">Jumper Shunt with Handle (0.1" / 2.54mm) – 10 Pack </v>
      </c>
      <c r="T30" s="29" t="str">
        <f>[1]!nonzeroQtysOfList('Initial Order'!$F$14, 'Initial Order'!$Q$14, InitialOrderTable[Name], 'Initial Order'!$AN$14)</f>
        <v xml:space="preserve">Jumper Shunt with Handle (0.1" / 2.54mm) – 10 Pack </v>
      </c>
    </row>
    <row r="31" spans="1:30" x14ac:dyDescent="0.25">
      <c r="A31" s="29" t="str">
        <f>[1]!nonzeroQtysOfList('Initial Order'!$F$14, 'Initial Order'!$Q$14, InitialOrderTable[Name], 'Initial Order'!$AN$14)</f>
        <v>Adafruit Parts Pal</v>
      </c>
      <c r="B31" s="29" t="str">
        <f>[1]!nonzeroQtysOfList('Initial Order'!$F$14, 'Initial Order'!$Q$14, InitialOrderTable[Name], 'Initial Order'!$AN$14)</f>
        <v>Adafruit Parts Pal</v>
      </c>
      <c r="C31" s="29" t="str">
        <f>[1]!nonzeroQtysOfList('Initial Order'!$F$14, 'Initial Order'!$Q$14, InitialOrderTable[Name], 'Initial Order'!$AN$14)</f>
        <v>Adafruit Parts Pal</v>
      </c>
      <c r="D31" s="29" t="str">
        <f>[1]!nonzeroQtysOfList('Initial Order'!$F$14, 'Initial Order'!$Q$14, InitialOrderTable[Name], 'Initial Order'!$AN$14)</f>
        <v>Adafruit Parts Pal</v>
      </c>
      <c r="E31" s="29" t="str">
        <f>[1]!nonzeroQtysOfList('Initial Order'!$F$14, 'Initial Order'!$Q$14, InitialOrderTable[Name], 'Initial Order'!$AN$14)</f>
        <v>Adafruit Parts Pal</v>
      </c>
      <c r="F31" s="29" t="str">
        <f>[1]!nonzeroQtysOfList('Initial Order'!$F$14, 'Initial Order'!$Q$14, InitialOrderTable[Name], 'Initial Order'!$AN$14)</f>
        <v>Adafruit Parts Pal</v>
      </c>
      <c r="G31" s="29" t="str">
        <f>[1]!nonzeroQtysOfList('Initial Order'!$F$14, 'Initial Order'!$Q$14, InitialOrderTable[Name], 'Initial Order'!$AN$14)</f>
        <v>Adafruit Parts Pal</v>
      </c>
      <c r="H31" s="29" t="str">
        <f>[1]!nonzeroQtysOfList('Initial Order'!$F$14, 'Initial Order'!$Q$14, InitialOrderTable[Name], 'Initial Order'!$AN$14)</f>
        <v>Adafruit Parts Pal</v>
      </c>
      <c r="I31" s="29" t="str">
        <f>[1]!nonzeroQtysOfList('Initial Order'!$F$14, 'Initial Order'!$Q$14, InitialOrderTable[Name], 'Initial Order'!$AN$14)</f>
        <v>Adafruit Parts Pal</v>
      </c>
      <c r="J31" s="29" t="str">
        <f>[1]!nonzeroQtysOfList('Initial Order'!$F$14, 'Initial Order'!$Q$14, InitialOrderTable[Name], 'Initial Order'!$AN$14)</f>
        <v>Adafruit Parts Pal</v>
      </c>
      <c r="K31" s="29" t="str">
        <f>[1]!nonzeroQtysOfList('Initial Order'!$F$14, 'Initial Order'!$Q$14, InitialOrderTable[Name], 'Initial Order'!$AN$14)</f>
        <v>Adafruit Parts Pal</v>
      </c>
      <c r="L31" s="29" t="str">
        <f>[1]!nonzeroQtysOfList('Initial Order'!$F$14, 'Initial Order'!$Q$14, InitialOrderTable[Name], 'Initial Order'!$AN$14)</f>
        <v>Adafruit Parts Pal</v>
      </c>
      <c r="M31" s="29" t="str">
        <f>[1]!nonzeroQtysOfList('Initial Order'!$F$14, 'Initial Order'!$Q$14, InitialOrderTable[Name], 'Initial Order'!$AN$14)</f>
        <v>Adafruit Parts Pal</v>
      </c>
      <c r="N31" s="29" t="str">
        <f>[1]!nonzeroQtysOfList('Initial Order'!$F$14, 'Initial Order'!$Q$14, InitialOrderTable[Name], 'Initial Order'!$AN$14)</f>
        <v>Adafruit Parts Pal</v>
      </c>
      <c r="O31" s="29" t="str">
        <f>[1]!nonzeroQtysOfList('Initial Order'!$F$14, 'Initial Order'!$Q$14, InitialOrderTable[Name], 'Initial Order'!$AN$14)</f>
        <v>Adafruit Parts Pal</v>
      </c>
      <c r="P31" s="29" t="str">
        <f>[1]!nonzeroQtysOfList('Initial Order'!$F$14, 'Initial Order'!$Q$14, InitialOrderTable[Name], 'Initial Order'!$AN$14)</f>
        <v>Adafruit Parts Pal</v>
      </c>
      <c r="Q31" s="29" t="str">
        <f>[1]!nonzeroQtysOfList('Initial Order'!$F$14, 'Initial Order'!$Q$14, InitialOrderTable[Name], 'Initial Order'!$AN$14)</f>
        <v>Adafruit Parts Pal</v>
      </c>
      <c r="R31" s="29" t="str">
        <f>[1]!nonzeroQtysOfList('Initial Order'!$F$14, 'Initial Order'!$Q$14, InitialOrderTable[Name], 'Initial Order'!$AN$14)</f>
        <v>Adafruit Parts Pal</v>
      </c>
      <c r="S31" s="29" t="str">
        <f>[1]!nonzeroQtysOfList('Initial Order'!$F$14, 'Initial Order'!$Q$14, InitialOrderTable[Name], 'Initial Order'!$AN$14)</f>
        <v>Adafruit Parts Pal</v>
      </c>
      <c r="T31" s="29" t="str">
        <f>[1]!nonzeroQtysOfList('Initial Order'!$F$14, 'Initial Order'!$Q$14, InitialOrderTable[Name], 'Initial Order'!$AN$14)</f>
        <v>Adafruit Parts Pal</v>
      </c>
    </row>
    <row r="32" spans="1:30" x14ac:dyDescent="0.25">
      <c r="A32" s="29" t="str">
        <f>[1]!nonzeroQtysOfList('Initial Order'!$F$14, 'Initial Order'!$Q$14, InitialOrderTable[Name], 'Initial Order'!$AN$14)</f>
        <v>Shield stacking headers for Arduino (R3 Compatible)</v>
      </c>
      <c r="B32" s="29" t="str">
        <f>[1]!nonzeroQtysOfList('Initial Order'!$F$14, 'Initial Order'!$Q$14, InitialOrderTable[Name], 'Initial Order'!$AN$14)</f>
        <v>Shield stacking headers for Arduino (R3 Compatible)</v>
      </c>
      <c r="C32" s="29" t="str">
        <f>[1]!nonzeroQtysOfList('Initial Order'!$F$14, 'Initial Order'!$Q$14, InitialOrderTable[Name], 'Initial Order'!$AN$14)</f>
        <v>Shield stacking headers for Arduino (R3 Compatible)</v>
      </c>
      <c r="D32" s="29" t="str">
        <f>[1]!nonzeroQtysOfList('Initial Order'!$F$14, 'Initial Order'!$Q$14, InitialOrderTable[Name], 'Initial Order'!$AN$14)</f>
        <v>Shield stacking headers for Arduino (R3 Compatible)</v>
      </c>
      <c r="E32" s="29" t="str">
        <f>[1]!nonzeroQtysOfList('Initial Order'!$F$14, 'Initial Order'!$Q$14, InitialOrderTable[Name], 'Initial Order'!$AN$14)</f>
        <v>Shield stacking headers for Arduino (R3 Compatible)</v>
      </c>
      <c r="F32" s="29" t="str">
        <f>[1]!nonzeroQtysOfList('Initial Order'!$F$14, 'Initial Order'!$Q$14, InitialOrderTable[Name], 'Initial Order'!$AN$14)</f>
        <v>Shield stacking headers for Arduino (R3 Compatible)</v>
      </c>
      <c r="G32" s="29" t="str">
        <f>[1]!nonzeroQtysOfList('Initial Order'!$F$14, 'Initial Order'!$Q$14, InitialOrderTable[Name], 'Initial Order'!$AN$14)</f>
        <v>Shield stacking headers for Arduino (R3 Compatible)</v>
      </c>
      <c r="H32" s="29" t="str">
        <f>[1]!nonzeroQtysOfList('Initial Order'!$F$14, 'Initial Order'!$Q$14, InitialOrderTable[Name], 'Initial Order'!$AN$14)</f>
        <v>Shield stacking headers for Arduino (R3 Compatible)</v>
      </c>
      <c r="I32" s="29" t="str">
        <f>[1]!nonzeroQtysOfList('Initial Order'!$F$14, 'Initial Order'!$Q$14, InitialOrderTable[Name], 'Initial Order'!$AN$14)</f>
        <v>Shield stacking headers for Arduino (R3 Compatible)</v>
      </c>
      <c r="J32" s="29" t="str">
        <f>[1]!nonzeroQtysOfList('Initial Order'!$F$14, 'Initial Order'!$Q$14, InitialOrderTable[Name], 'Initial Order'!$AN$14)</f>
        <v>Shield stacking headers for Arduino (R3 Compatible)</v>
      </c>
      <c r="K32" s="29" t="str">
        <f>[1]!nonzeroQtysOfList('Initial Order'!$F$14, 'Initial Order'!$Q$14, InitialOrderTable[Name], 'Initial Order'!$AN$14)</f>
        <v>Shield stacking headers for Arduino (R3 Compatible)</v>
      </c>
      <c r="L32" s="29" t="str">
        <f>[1]!nonzeroQtysOfList('Initial Order'!$F$14, 'Initial Order'!$Q$14, InitialOrderTable[Name], 'Initial Order'!$AN$14)</f>
        <v>Shield stacking headers for Arduino (R3 Compatible)</v>
      </c>
      <c r="M32" s="29" t="str">
        <f>[1]!nonzeroQtysOfList('Initial Order'!$F$14, 'Initial Order'!$Q$14, InitialOrderTable[Name], 'Initial Order'!$AN$14)</f>
        <v>Shield stacking headers for Arduino (R3 Compatible)</v>
      </c>
      <c r="N32" s="29" t="str">
        <f>[1]!nonzeroQtysOfList('Initial Order'!$F$14, 'Initial Order'!$Q$14, InitialOrderTable[Name], 'Initial Order'!$AN$14)</f>
        <v>Shield stacking headers for Arduino (R3 Compatible)</v>
      </c>
      <c r="O32" s="29" t="str">
        <f>[1]!nonzeroQtysOfList('Initial Order'!$F$14, 'Initial Order'!$Q$14, InitialOrderTable[Name], 'Initial Order'!$AN$14)</f>
        <v>Shield stacking headers for Arduino (R3 Compatible)</v>
      </c>
      <c r="P32" s="29" t="str">
        <f>[1]!nonzeroQtysOfList('Initial Order'!$F$14, 'Initial Order'!$Q$14, InitialOrderTable[Name], 'Initial Order'!$AN$14)</f>
        <v>Shield stacking headers for Arduino (R3 Compatible)</v>
      </c>
      <c r="Q32" s="29" t="str">
        <f>[1]!nonzeroQtysOfList('Initial Order'!$F$14, 'Initial Order'!$Q$14, InitialOrderTable[Name], 'Initial Order'!$AN$14)</f>
        <v>Shield stacking headers for Arduino (R3 Compatible)</v>
      </c>
      <c r="R32" s="29" t="str">
        <f>[1]!nonzeroQtysOfList('Initial Order'!$F$14, 'Initial Order'!$Q$14, InitialOrderTable[Name], 'Initial Order'!$AN$14)</f>
        <v>Shield stacking headers for Arduino (R3 Compatible)</v>
      </c>
      <c r="S32" s="29" t="str">
        <f>[1]!nonzeroQtysOfList('Initial Order'!$F$14, 'Initial Order'!$Q$14, InitialOrderTable[Name], 'Initial Order'!$AN$14)</f>
        <v>Shield stacking headers for Arduino (R3 Compatible)</v>
      </c>
      <c r="T32" s="29" t="str">
        <f>[1]!nonzeroQtysOfList('Initial Order'!$F$14, 'Initial Order'!$Q$14, InitialOrderTable[Name], 'Initial Order'!$AN$14)</f>
        <v>Shield stacking headers for Arduino (R3 Compatible)</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D841E9-9751-48B6-AAC3-C08435E3A33B}">
  <sheetPr codeName="Sheet26">
    <tabColor rgb="FF92D050"/>
  </sheetPr>
  <dimension ref="A1:AE216"/>
  <sheetViews>
    <sheetView topLeftCell="A10" zoomScale="85" zoomScaleNormal="85" workbookViewId="0">
      <selection activeCell="A13" sqref="A13:Y146"/>
    </sheetView>
  </sheetViews>
  <sheetFormatPr defaultColWidth="8.85546875" defaultRowHeight="15" x14ac:dyDescent="0.25"/>
  <cols>
    <col min="1" max="1" width="37.7109375" style="149" customWidth="1"/>
    <col min="2" max="2" width="46.140625" style="149" bestFit="1" customWidth="1"/>
    <col min="3" max="3" width="17.140625" style="149" customWidth="1"/>
    <col min="4" max="4" width="14" style="149" customWidth="1"/>
    <col min="5" max="5" width="7.7109375" style="149" customWidth="1"/>
    <col min="6" max="6" width="10.140625" style="146" customWidth="1"/>
    <col min="7" max="7" width="2.5703125" style="146" hidden="1" customWidth="1"/>
    <col min="8" max="8" width="92.42578125" style="149" hidden="1" customWidth="1"/>
    <col min="9" max="9" width="63.140625" style="146" customWidth="1"/>
    <col min="10" max="10" width="0.140625" style="149" hidden="1" customWidth="1"/>
    <col min="11" max="11" width="9.5703125" style="149" customWidth="1"/>
    <col min="12" max="12" width="5" style="146" customWidth="1"/>
    <col min="13" max="13" width="7.28515625" style="146" hidden="1" customWidth="1"/>
    <col min="14" max="14" width="13.28515625" style="146" bestFit="1" customWidth="1"/>
    <col min="15" max="15" width="11.5703125" style="146" customWidth="1"/>
    <col min="16" max="16" width="8.140625" style="146" bestFit="1" customWidth="1"/>
    <col min="17" max="17" width="18.7109375" style="146" bestFit="1" customWidth="1"/>
    <col min="18" max="18" width="19.140625" style="146" bestFit="1" customWidth="1"/>
    <col min="19" max="19" width="57.7109375" style="146" bestFit="1" customWidth="1"/>
    <col min="20" max="20" width="7.28515625" style="146" customWidth="1"/>
    <col min="21" max="21" width="12.140625" style="146" customWidth="1"/>
    <col min="22" max="22" width="7.7109375" style="146" customWidth="1"/>
    <col min="23" max="24" width="8.85546875" style="146"/>
    <col min="25" max="25" width="10.140625" style="146" bestFit="1" customWidth="1"/>
    <col min="26" max="26" width="8.85546875" style="146"/>
    <col min="27" max="27" width="62.7109375" style="146" bestFit="1" customWidth="1"/>
    <col min="28" max="28" width="20.7109375" style="146" customWidth="1"/>
    <col min="29" max="29" width="8.85546875" style="146"/>
    <col min="30" max="30" width="14.7109375" style="146" bestFit="1" customWidth="1"/>
    <col min="31" max="31" width="9.5703125" style="146" bestFit="1" customWidth="1"/>
    <col min="32" max="16384" width="8.85546875" style="146"/>
  </cols>
  <sheetData>
    <row r="1" spans="1:31" x14ac:dyDescent="0.25">
      <c r="AD1" s="153" t="s">
        <v>50</v>
      </c>
      <c r="AE1" s="153">
        <v>5</v>
      </c>
    </row>
    <row r="2" spans="1:31" x14ac:dyDescent="0.25">
      <c r="AD2" s="153" t="s">
        <v>54</v>
      </c>
      <c r="AE2" s="153">
        <v>5</v>
      </c>
    </row>
    <row r="3" spans="1:31" x14ac:dyDescent="0.25">
      <c r="AD3" s="153" t="s">
        <v>58</v>
      </c>
      <c r="AE3" s="153">
        <v>0</v>
      </c>
    </row>
    <row r="4" spans="1:31" x14ac:dyDescent="0.25">
      <c r="AD4" s="153" t="s">
        <v>62</v>
      </c>
      <c r="AE4" s="153">
        <v>10</v>
      </c>
    </row>
    <row r="5" spans="1:31" x14ac:dyDescent="0.25">
      <c r="AD5" s="153" t="s">
        <v>223</v>
      </c>
      <c r="AE5" s="153">
        <v>0</v>
      </c>
    </row>
    <row r="6" spans="1:31" x14ac:dyDescent="0.25">
      <c r="AD6" s="153" t="s">
        <v>1817</v>
      </c>
      <c r="AE6" s="153">
        <v>0</v>
      </c>
    </row>
    <row r="7" spans="1:31" x14ac:dyDescent="0.25">
      <c r="AD7" s="104" t="s">
        <v>2481</v>
      </c>
      <c r="AE7" s="104">
        <v>0</v>
      </c>
    </row>
    <row r="8" spans="1:31" x14ac:dyDescent="0.25">
      <c r="AD8" s="153" t="s">
        <v>340</v>
      </c>
      <c r="AE8" s="153">
        <v>5</v>
      </c>
    </row>
    <row r="9" spans="1:31" x14ac:dyDescent="0.25">
      <c r="AD9" s="153" t="s">
        <v>226</v>
      </c>
      <c r="AE9" s="153">
        <v>1</v>
      </c>
    </row>
    <row r="10" spans="1:31" x14ac:dyDescent="0.25">
      <c r="AD10" s="153" t="s">
        <v>279</v>
      </c>
      <c r="AE10" s="153">
        <v>0</v>
      </c>
    </row>
    <row r="11" spans="1:31" ht="72" customHeight="1" thickBot="1" x14ac:dyDescent="0.3">
      <c r="A11" s="38"/>
      <c r="AD11" s="153" t="s">
        <v>407</v>
      </c>
      <c r="AE11" s="153">
        <v>5</v>
      </c>
    </row>
    <row r="12" spans="1:31" ht="6.6" customHeight="1" thickTop="1" x14ac:dyDescent="0.25">
      <c r="A12" s="83"/>
      <c r="B12" s="83"/>
      <c r="C12" s="83"/>
      <c r="D12" s="83"/>
      <c r="E12" s="83"/>
      <c r="F12" s="83"/>
      <c r="G12" s="83"/>
      <c r="H12" s="83"/>
      <c r="I12" s="83"/>
      <c r="J12" s="83"/>
      <c r="K12" s="83"/>
      <c r="L12" s="83"/>
      <c r="M12" s="83"/>
      <c r="N12" s="83"/>
      <c r="O12" s="83"/>
      <c r="P12" s="83"/>
      <c r="AD12" s="153" t="s">
        <v>628</v>
      </c>
      <c r="AE12" s="153">
        <v>5</v>
      </c>
    </row>
    <row r="13" spans="1:31" x14ac:dyDescent="0.25">
      <c r="A13" s="149" t="s">
        <v>886</v>
      </c>
      <c r="B13" s="72" t="s">
        <v>156</v>
      </c>
      <c r="C13" s="72" t="s">
        <v>4</v>
      </c>
      <c r="D13" s="147" t="s">
        <v>20</v>
      </c>
      <c r="E13" s="147" t="s">
        <v>2536</v>
      </c>
      <c r="F13" s="147" t="s">
        <v>2537</v>
      </c>
      <c r="G13" s="147" t="s">
        <v>21</v>
      </c>
      <c r="H13" s="147" t="s">
        <v>22</v>
      </c>
      <c r="I13" s="147" t="s">
        <v>23</v>
      </c>
      <c r="J13" s="147" t="s">
        <v>24</v>
      </c>
      <c r="K13" s="147" t="s">
        <v>25</v>
      </c>
      <c r="L13" s="147" t="s">
        <v>1904</v>
      </c>
      <c r="M13" s="147" t="s">
        <v>1607</v>
      </c>
      <c r="N13" s="147" t="s">
        <v>1399</v>
      </c>
      <c r="O13" s="147" t="s">
        <v>2557</v>
      </c>
      <c r="P13" s="147" t="s">
        <v>2519</v>
      </c>
      <c r="Q13" s="147" t="s">
        <v>2533</v>
      </c>
      <c r="R13" s="147" t="s">
        <v>2529</v>
      </c>
      <c r="S13" s="147" t="s">
        <v>2374</v>
      </c>
      <c r="T13" s="147" t="s">
        <v>2539</v>
      </c>
      <c r="U13" s="147" t="s">
        <v>2535</v>
      </c>
      <c r="V13" s="147" t="s">
        <v>2534</v>
      </c>
      <c r="W13" s="147" t="s">
        <v>2538</v>
      </c>
      <c r="X13" s="147" t="s">
        <v>2552</v>
      </c>
      <c r="Y13" s="147" t="s">
        <v>2553</v>
      </c>
      <c r="AD13" s="153" t="s">
        <v>2242</v>
      </c>
      <c r="AE13" s="153">
        <v>0</v>
      </c>
    </row>
    <row r="14" spans="1:31" s="153" customFormat="1" x14ac:dyDescent="0.25">
      <c r="A14" s="150" t="s">
        <v>887</v>
      </c>
      <c r="B14" s="150" t="s">
        <v>8</v>
      </c>
      <c r="C14" s="150" t="s">
        <v>5</v>
      </c>
      <c r="D14" s="151" t="str">
        <f>IF(SparkfunListTable[[#This Row],[Vendor]]=FilterSpecs!$A$8,SparkfunListTable[[#This Row],[Mouser SKU]], SparkfunListTable[[#This Row],[Supplier SKU]])</f>
        <v>WRL-11373</v>
      </c>
      <c r="E14" s="152">
        <f>SparkfunListTable[[#This Row],[Tot '#]]-SparkfunListTable[[#This Row],['# Initial]]</f>
        <v>0</v>
      </c>
      <c r="F14" s="152">
        <f>IF(AND(SparkfunListTable[[#This Row],[Tag]]&lt;&gt;FilterSpecs!$F$12, SparkfunListTable[[#This Row],[Tag]]&lt;&gt;FilterSpecs!$F$9), SparkfunListTable[[#This Row],['#/Unit]]*FilterSpecs!$B$3+SparkfunListTable[[#This Row],[Extra Initial]],0)</f>
        <v>5</v>
      </c>
      <c r="G14" s="150" t="s">
        <v>51</v>
      </c>
      <c r="H14" s="150" t="s">
        <v>52</v>
      </c>
      <c r="I14" s="150" t="s">
        <v>53</v>
      </c>
      <c r="J14" s="150">
        <v>1</v>
      </c>
      <c r="K14" s="154">
        <v>9.9499999999999993</v>
      </c>
      <c r="L14" s="150" t="s">
        <v>1897</v>
      </c>
      <c r="M14" s="151"/>
      <c r="N14" s="154">
        <f>SparkfunListTable[[#This Row],['# Initial]]*SparkfunListTable[[#This Row],[Price (USD)]]</f>
        <v>49.75</v>
      </c>
      <c r="O14" s="151" t="s">
        <v>50</v>
      </c>
      <c r="P14" s="150" t="e">
        <f>IF(#REF!="List #",1,#REF!+1)</f>
        <v>#REF!</v>
      </c>
      <c r="Q14" s="150" t="s">
        <v>5</v>
      </c>
      <c r="R14"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474-WRL-11373</v>
      </c>
      <c r="S14" s="157" t="str">
        <f>HYPERLINK("https://www.mouser.com/ProductDetail/" &amp;SparkfunListTable[[#This Row],[Mouser SKU]])</f>
        <v>https://www.mouser.com/ProductDetail/474-WRL-11373</v>
      </c>
      <c r="T14" s="152">
        <v>1</v>
      </c>
      <c r="U14" s="152">
        <v>0</v>
      </c>
      <c r="V14" s="152">
        <v>0</v>
      </c>
      <c r="W14" s="152">
        <f>SparkfunListTable[[#This Row],['#/Unit]]*FilterSpecs!$C$3+SparkfunListTable[[#This Row],[Extra]]</f>
        <v>5</v>
      </c>
      <c r="X14" s="152">
        <f>IF(SparkfunListTable[[#This Row],[Tag]]=FilterSpecs!$F$7,SparkfunListTable[[#This Row],['#/Unit]]*SparkfunListTable[[#This Row],[Price (USD)]],0)</f>
        <v>9.9499999999999993</v>
      </c>
      <c r="Y14" s="152">
        <f>SparkfunListTable[[#This Row],[Tot '#]]*SparkfunListTable[[#This Row],[Price (USD)]]</f>
        <v>49.75</v>
      </c>
      <c r="Z14" s="146"/>
      <c r="AA14" s="153" t="str">
        <f>SparkfunListTable[[#This Row],[SKU]]</f>
        <v>WRL-11373</v>
      </c>
      <c r="AB14" s="153">
        <f>VALUE(SparkfunListTable[[#This Row],['# Initial]])</f>
        <v>5</v>
      </c>
      <c r="AD14" s="153" t="s">
        <v>50</v>
      </c>
      <c r="AE14" s="153">
        <v>5</v>
      </c>
    </row>
    <row r="15" spans="1:31" s="153" customFormat="1" x14ac:dyDescent="0.25">
      <c r="A15" s="150" t="s">
        <v>887</v>
      </c>
      <c r="B15" s="150" t="s">
        <v>8</v>
      </c>
      <c r="C15" s="150" t="s">
        <v>5</v>
      </c>
      <c r="D15" s="151" t="str">
        <f>IF(SparkfunListTable[[#This Row],[Vendor]]=FilterSpecs!$A$8,SparkfunListTable[[#This Row],[Mouser SKU]], SparkfunListTable[[#This Row],[Supplier SKU]])</f>
        <v>WRL-11697</v>
      </c>
      <c r="E15" s="152">
        <f>SparkfunListTable[[#This Row],[Tot '#]]-SparkfunListTable[[#This Row],['# Initial]]</f>
        <v>0</v>
      </c>
      <c r="F15" s="152">
        <f>IF(AND(SparkfunListTable[[#This Row],[Tag]]&lt;&gt;FilterSpecs!$F$12, SparkfunListTable[[#This Row],[Tag]]&lt;&gt;FilterSpecs!$F$9), SparkfunListTable[[#This Row],['#/Unit]]*FilterSpecs!$B$3+SparkfunListTable[[#This Row],[Extra Initial]],0)</f>
        <v>5</v>
      </c>
      <c r="G15" s="150" t="s">
        <v>55</v>
      </c>
      <c r="H15" s="150" t="s">
        <v>56</v>
      </c>
      <c r="I15" s="150" t="s">
        <v>57</v>
      </c>
      <c r="J15" s="150">
        <v>1</v>
      </c>
      <c r="K15" s="154">
        <v>24.95</v>
      </c>
      <c r="L15" s="150" t="s">
        <v>1897</v>
      </c>
      <c r="M15" s="151"/>
      <c r="N15" s="154">
        <f>SparkfunListTable[[#This Row],['# Initial]]*SparkfunListTable[[#This Row],[Price (USD)]]</f>
        <v>124.75</v>
      </c>
      <c r="O15" s="151" t="s">
        <v>54</v>
      </c>
      <c r="P15" s="150" t="e">
        <f t="shared" ref="P15:P20" si="0">IF($P14="List #",1,$P14+1)</f>
        <v>#REF!</v>
      </c>
      <c r="Q15" s="150" t="s">
        <v>5</v>
      </c>
      <c r="R15"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474-WRL-11697</v>
      </c>
      <c r="S15" s="157" t="str">
        <f>HYPERLINK("https://www.mouser.com/ProductDetail/" &amp;SparkfunListTable[[#This Row],[Mouser SKU]])</f>
        <v>https://www.mouser.com/ProductDetail/474-WRL-11697</v>
      </c>
      <c r="T15" s="152">
        <v>1</v>
      </c>
      <c r="U15" s="152">
        <v>0</v>
      </c>
      <c r="V15" s="152">
        <v>0</v>
      </c>
      <c r="W15" s="152">
        <f>SparkfunListTable[[#This Row],['#/Unit]]*FilterSpecs!$C$3+SparkfunListTable[[#This Row],[Extra]]</f>
        <v>5</v>
      </c>
      <c r="X15" s="152">
        <f>IF(SparkfunListTable[[#This Row],[Tag]]=FilterSpecs!$F$7,SparkfunListTable[[#This Row],['#/Unit]]*SparkfunListTable[[#This Row],[Price (USD)]],0)</f>
        <v>24.95</v>
      </c>
      <c r="Y15" s="152">
        <f>SparkfunListTable[[#This Row],[Tot '#]]*SparkfunListTable[[#This Row],[Price (USD)]]</f>
        <v>124.75</v>
      </c>
      <c r="Z15" s="146"/>
      <c r="AA15" s="153" t="str">
        <f>SparkfunListTable[[#This Row],[SKU]]</f>
        <v>WRL-11697</v>
      </c>
      <c r="AB15" s="153">
        <f>VALUE(SparkfunListTable[[#This Row],['# Initial]])</f>
        <v>5</v>
      </c>
      <c r="AD15" s="153" t="s">
        <v>54</v>
      </c>
      <c r="AE15" s="153">
        <v>5</v>
      </c>
    </row>
    <row r="16" spans="1:31" s="153" customFormat="1" x14ac:dyDescent="0.25">
      <c r="A16" s="150" t="s">
        <v>887</v>
      </c>
      <c r="B16" s="150" t="s">
        <v>8</v>
      </c>
      <c r="C16" s="150" t="s">
        <v>5</v>
      </c>
      <c r="D16" s="151" t="str">
        <f>IF(SparkfunListTable[[#This Row],[Vendor]]=FilterSpecs!$A$8,SparkfunListTable[[#This Row],[Mouser SKU]], SparkfunListTable[[#This Row],[Supplier SKU]])</f>
        <v>WRL-11601</v>
      </c>
      <c r="E16" s="152">
        <f>SparkfunListTable[[#This Row],[Tot '#]]-SparkfunListTable[[#This Row],['# Initial]]</f>
        <v>0</v>
      </c>
      <c r="F16" s="152">
        <f>IF(AND(SparkfunListTable[[#This Row],[Tag]]&lt;&gt;FilterSpecs!$F$12, SparkfunListTable[[#This Row],[Tag]]&lt;&gt;FilterSpecs!$F$9), SparkfunListTable[[#This Row],['#/Unit]]*FilterSpecs!$B$3+SparkfunListTable[[#This Row],[Extra Initial]],0)</f>
        <v>10</v>
      </c>
      <c r="G16" s="150" t="s">
        <v>63</v>
      </c>
      <c r="H16" s="150" t="s">
        <v>64</v>
      </c>
      <c r="I16" s="150" t="s">
        <v>65</v>
      </c>
      <c r="J16" s="150">
        <v>1</v>
      </c>
      <c r="K16" s="154">
        <v>24.95</v>
      </c>
      <c r="L16" s="150" t="s">
        <v>1897</v>
      </c>
      <c r="M16" s="151"/>
      <c r="N16" s="154">
        <f>SparkfunListTable[[#This Row],['# Initial]]*SparkfunListTable[[#This Row],[Price (USD)]]</f>
        <v>249.5</v>
      </c>
      <c r="O16" s="151" t="s">
        <v>62</v>
      </c>
      <c r="P16" s="150" t="e">
        <f>IF(#REF!="List #",1,#REF!+1)</f>
        <v>#REF!</v>
      </c>
      <c r="Q16" s="150" t="s">
        <v>5</v>
      </c>
      <c r="R16"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474-WRL-11601</v>
      </c>
      <c r="S16" s="157" t="str">
        <f>HYPERLINK("https://www.mouser.com/ProductDetail/" &amp;SparkfunListTable[[#This Row],[Mouser SKU]])</f>
        <v>https://www.mouser.com/ProductDetail/474-WRL-11601</v>
      </c>
      <c r="T16" s="152">
        <v>2</v>
      </c>
      <c r="U16" s="152">
        <v>0</v>
      </c>
      <c r="V16" s="152">
        <v>0</v>
      </c>
      <c r="W16" s="152">
        <f>SparkfunListTable[[#This Row],['#/Unit]]*FilterSpecs!$C$3+SparkfunListTable[[#This Row],[Extra]]</f>
        <v>10</v>
      </c>
      <c r="X16" s="152">
        <f>IF(SparkfunListTable[[#This Row],[Tag]]=FilterSpecs!$F$7,SparkfunListTable[[#This Row],['#/Unit]]*SparkfunListTable[[#This Row],[Price (USD)]],0)</f>
        <v>49.9</v>
      </c>
      <c r="Y16" s="152">
        <f>SparkfunListTable[[#This Row],[Tot '#]]*SparkfunListTable[[#This Row],[Price (USD)]]</f>
        <v>249.5</v>
      </c>
      <c r="Z16" s="146"/>
      <c r="AA16" s="153" t="str">
        <f>SparkfunListTable[[#This Row],[SKU]]</f>
        <v>WRL-11601</v>
      </c>
      <c r="AB16" s="153">
        <f>VALUE(SparkfunListTable[[#This Row],['# Initial]])</f>
        <v>10</v>
      </c>
      <c r="AD16" s="153" t="s">
        <v>62</v>
      </c>
      <c r="AE16" s="153">
        <v>10</v>
      </c>
    </row>
    <row r="17" spans="1:31" s="153" customFormat="1" x14ac:dyDescent="0.25">
      <c r="A17" s="150" t="s">
        <v>887</v>
      </c>
      <c r="B17" s="150" t="s">
        <v>1882</v>
      </c>
      <c r="C17" s="150" t="s">
        <v>5</v>
      </c>
      <c r="D17" s="151" t="str">
        <f>IF(SparkfunListTable[[#This Row],[Vendor]]=FilterSpecs!$A$8,SparkfunListTable[[#This Row],[Mouser SKU]], SparkfunListTable[[#This Row],[Supplier SKU]])</f>
        <v>COM-13004</v>
      </c>
      <c r="E17" s="152">
        <f>SparkfunListTable[[#This Row],[Tot '#]]-SparkfunListTable[[#This Row],['# Initial]]</f>
        <v>0</v>
      </c>
      <c r="F17" s="152">
        <f>IF(AND(SparkfunListTable[[#This Row],[Tag]]&lt;&gt;FilterSpecs!$F$12, SparkfunListTable[[#This Row],[Tag]]&lt;&gt;FilterSpecs!$F$9), SparkfunListTable[[#This Row],['#/Unit]]*FilterSpecs!$B$3+SparkfunListTable[[#This Row],[Extra Initial]],0)</f>
        <v>5</v>
      </c>
      <c r="G17" s="150" t="s">
        <v>341</v>
      </c>
      <c r="H17" s="150" t="s">
        <v>342</v>
      </c>
      <c r="I17" s="150" t="s">
        <v>343</v>
      </c>
      <c r="K17" s="154">
        <v>4.95</v>
      </c>
      <c r="L17" s="150" t="s">
        <v>1897</v>
      </c>
      <c r="M17" s="151"/>
      <c r="N17" s="154">
        <f>SparkfunListTable[[#This Row],['# Initial]]*SparkfunListTable[[#This Row],[Price (USD)]]</f>
        <v>24.75</v>
      </c>
      <c r="O17" s="151" t="s">
        <v>340</v>
      </c>
      <c r="P17" s="150" t="e">
        <f>IF(#REF!="List #",1,#REF!+1)</f>
        <v>#REF!</v>
      </c>
      <c r="Q17" s="150" t="s">
        <v>5</v>
      </c>
      <c r="R17"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474-COM-13004</v>
      </c>
      <c r="S17" s="157" t="str">
        <f>HYPERLINK("https://www.mouser.com/ProductDetail/" &amp;SparkfunListTable[[#This Row],[Mouser SKU]])</f>
        <v>https://www.mouser.com/ProductDetail/474-COM-13004</v>
      </c>
      <c r="T17" s="152">
        <v>1</v>
      </c>
      <c r="U17" s="152">
        <v>0</v>
      </c>
      <c r="V17" s="152">
        <v>0</v>
      </c>
      <c r="W17" s="152">
        <f>SparkfunListTable[[#This Row],['#/Unit]]*FilterSpecs!$C$3+SparkfunListTable[[#This Row],[Extra]]</f>
        <v>5</v>
      </c>
      <c r="X17" s="152">
        <f>IF(SparkfunListTable[[#This Row],[Tag]]=FilterSpecs!$F$7,SparkfunListTable[[#This Row],['#/Unit]]*SparkfunListTable[[#This Row],[Price (USD)]],0)</f>
        <v>4.95</v>
      </c>
      <c r="Y17" s="152">
        <f>SparkfunListTable[[#This Row],[Tot '#]]*SparkfunListTable[[#This Row],[Price (USD)]]</f>
        <v>24.75</v>
      </c>
      <c r="Z17" s="146"/>
      <c r="AA17" s="153" t="str">
        <f>SparkfunListTable[[#This Row],[SKU]]</f>
        <v>COM-13004</v>
      </c>
      <c r="AB17" s="153">
        <f>VALUE(SparkfunListTable[[#This Row],['# Initial]])</f>
        <v>5</v>
      </c>
      <c r="AD17" s="153" t="s">
        <v>340</v>
      </c>
      <c r="AE17" s="153">
        <v>5</v>
      </c>
    </row>
    <row r="18" spans="1:31" s="153" customFormat="1" x14ac:dyDescent="0.25">
      <c r="A18" s="150" t="s">
        <v>887</v>
      </c>
      <c r="B18" s="150" t="s">
        <v>1882</v>
      </c>
      <c r="C18" s="150" t="s">
        <v>5</v>
      </c>
      <c r="D18" s="151" t="str">
        <f>IF(SparkfunListTable[[#This Row],[Vendor]]=FilterSpecs!$A$8,SparkfunListTable[[#This Row],[Mouser SKU]], SparkfunListTable[[#This Row],[Supplier SKU]])</f>
        <v>TOL-09419</v>
      </c>
      <c r="E18" s="152">
        <f>SparkfunListTable[[#This Row],[Tot '#]]-SparkfunListTable[[#This Row],['# Initial]]</f>
        <v>0</v>
      </c>
      <c r="F18" s="152">
        <f>IF(AND(SparkfunListTable[[#This Row],[Tag]]&lt;&gt;FilterSpecs!$F$12, SparkfunListTable[[#This Row],[Tag]]&lt;&gt;FilterSpecs!$F$9), SparkfunListTable[[#This Row],['#/Unit]]*FilterSpecs!$B$3+SparkfunListTable[[#This Row],[Extra Initial]],0)</f>
        <v>1</v>
      </c>
      <c r="G18" s="150" t="s">
        <v>227</v>
      </c>
      <c r="H18" s="150" t="s">
        <v>228</v>
      </c>
      <c r="I18" s="150" t="s">
        <v>198</v>
      </c>
      <c r="J18" s="150">
        <v>1</v>
      </c>
      <c r="K18" s="154">
        <v>9.9499999999999993</v>
      </c>
      <c r="L18" s="150" t="s">
        <v>1900</v>
      </c>
      <c r="M18" s="151"/>
      <c r="N18" s="154">
        <f>SparkfunListTable[[#This Row],['# Initial]]*SparkfunListTable[[#This Row],[Price (USD)]]</f>
        <v>9.9499999999999993</v>
      </c>
      <c r="O18" s="151" t="s">
        <v>226</v>
      </c>
      <c r="P18" s="150" t="e">
        <f t="shared" si="0"/>
        <v>#REF!</v>
      </c>
      <c r="Q18" s="150" t="s">
        <v>5</v>
      </c>
      <c r="R18"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474-TOL-09419</v>
      </c>
      <c r="S18" s="157" t="str">
        <f>HYPERLINK("https://www.mouser.com/ProductDetail/" &amp;SparkfunListTable[[#This Row],[Mouser SKU]])</f>
        <v>https://www.mouser.com/ProductDetail/474-TOL-09419</v>
      </c>
      <c r="T18" s="152">
        <v>0</v>
      </c>
      <c r="U18" s="152">
        <v>1</v>
      </c>
      <c r="V18" s="152">
        <v>1</v>
      </c>
      <c r="W18" s="152">
        <f>SparkfunListTable[[#This Row],['#/Unit]]*FilterSpecs!$C$3+SparkfunListTable[[#This Row],[Extra]]</f>
        <v>1</v>
      </c>
      <c r="X18" s="152">
        <f>IF(SparkfunListTable[[#This Row],[Tag]]=FilterSpecs!$F$7,SparkfunListTable[[#This Row],['#/Unit]]*SparkfunListTable[[#This Row],[Price (USD)]],0)</f>
        <v>0</v>
      </c>
      <c r="Y18" s="152">
        <f>SparkfunListTable[[#This Row],[Tot '#]]*SparkfunListTable[[#This Row],[Price (USD)]]</f>
        <v>9.9499999999999993</v>
      </c>
      <c r="Z18" s="146"/>
      <c r="AA18" s="153" t="str">
        <f>SparkfunListTable[[#This Row],[SKU]]</f>
        <v>TOL-09419</v>
      </c>
      <c r="AB18" s="153">
        <f>VALUE(SparkfunListTable[[#This Row],['# Initial]])</f>
        <v>1</v>
      </c>
      <c r="AD18" s="153" t="s">
        <v>226</v>
      </c>
      <c r="AE18" s="153">
        <v>1</v>
      </c>
    </row>
    <row r="19" spans="1:31" s="153" customFormat="1" x14ac:dyDescent="0.25">
      <c r="A19" s="150" t="s">
        <v>887</v>
      </c>
      <c r="B19" s="150" t="s">
        <v>1882</v>
      </c>
      <c r="C19" s="150" t="s">
        <v>5</v>
      </c>
      <c r="D19" s="151" t="str">
        <f>IF(SparkfunListTable[[#This Row],[Vendor]]=FilterSpecs!$A$8,SparkfunListTable[[#This Row],[Mouser SKU]], SparkfunListTable[[#This Row],[Supplier SKU]])</f>
        <v>DEV-13743</v>
      </c>
      <c r="E19" s="152">
        <f>SparkfunListTable[[#This Row],[Tot '#]]-SparkfunListTable[[#This Row],['# Initial]]</f>
        <v>0</v>
      </c>
      <c r="F19" s="152">
        <f>IF(AND(SparkfunListTable[[#This Row],[Tag]]&lt;&gt;FilterSpecs!$F$12, SparkfunListTable[[#This Row],[Tag]]&lt;&gt;FilterSpecs!$F$9), SparkfunListTable[[#This Row],['#/Unit]]*FilterSpecs!$B$3+SparkfunListTable[[#This Row],[Extra Initial]],0)</f>
        <v>5</v>
      </c>
      <c r="G19" s="150" t="s">
        <v>408</v>
      </c>
      <c r="H19" s="150" t="s">
        <v>409</v>
      </c>
      <c r="I19" s="150" t="s">
        <v>216</v>
      </c>
      <c r="J19" s="150">
        <v>1</v>
      </c>
      <c r="K19" s="154">
        <v>4.95</v>
      </c>
      <c r="L19" s="150" t="s">
        <v>1897</v>
      </c>
      <c r="M19" s="151"/>
      <c r="N19" s="154">
        <f>SparkfunListTable[[#This Row],['# Initial]]*SparkfunListTable[[#This Row],[Price (USD)]]</f>
        <v>24.75</v>
      </c>
      <c r="O19" s="151" t="s">
        <v>407</v>
      </c>
      <c r="P19" s="150" t="e">
        <f>IF(#REF!="List #",1,#REF!+1)</f>
        <v>#REF!</v>
      </c>
      <c r="Q19" s="150" t="s">
        <v>5</v>
      </c>
      <c r="R19"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474-DEV-13743</v>
      </c>
      <c r="S19" s="157" t="str">
        <f>HYPERLINK("https://www.mouser.com/ProductDetail/" &amp;SparkfunListTable[[#This Row],[Mouser SKU]])</f>
        <v>https://www.mouser.com/ProductDetail/474-DEV-13743</v>
      </c>
      <c r="T19" s="152">
        <v>1</v>
      </c>
      <c r="U19" s="152">
        <v>0</v>
      </c>
      <c r="V19" s="152">
        <v>0</v>
      </c>
      <c r="W19" s="152">
        <f>SparkfunListTable[[#This Row],['#/Unit]]*FilterSpecs!$C$3+SparkfunListTable[[#This Row],[Extra]]</f>
        <v>5</v>
      </c>
      <c r="X19" s="152">
        <f>IF(SparkfunListTable[[#This Row],[Tag]]=FilterSpecs!$F$7,SparkfunListTable[[#This Row],['#/Unit]]*SparkfunListTable[[#This Row],[Price (USD)]],0)</f>
        <v>4.95</v>
      </c>
      <c r="Y19" s="152">
        <f>SparkfunListTable[[#This Row],[Tot '#]]*SparkfunListTable[[#This Row],[Price (USD)]]</f>
        <v>24.75</v>
      </c>
      <c r="Z19" s="146"/>
      <c r="AA19" s="153" t="str">
        <f>SparkfunListTable[[#This Row],[SKU]]</f>
        <v>DEV-13743</v>
      </c>
      <c r="AB19" s="153">
        <f>VALUE(SparkfunListTable[[#This Row],['# Initial]])</f>
        <v>5</v>
      </c>
      <c r="AD19" s="153" t="s">
        <v>407</v>
      </c>
      <c r="AE19" s="153">
        <v>5</v>
      </c>
    </row>
    <row r="20" spans="1:31" s="153" customFormat="1" x14ac:dyDescent="0.25">
      <c r="A20" s="150" t="s">
        <v>887</v>
      </c>
      <c r="B20" s="150" t="s">
        <v>1882</v>
      </c>
      <c r="C20" s="150" t="s">
        <v>5</v>
      </c>
      <c r="D20" s="151" t="str">
        <f>IF(SparkfunListTable[[#This Row],[Vendor]]=FilterSpecs!$A$8,SparkfunListTable[[#This Row],[Mouser SKU]], SparkfunListTable[[#This Row],[Supplier SKU]])</f>
        <v>COM-13833</v>
      </c>
      <c r="E20" s="152">
        <f>SparkfunListTable[[#This Row],[Tot '#]]-SparkfunListTable[[#This Row],['# Initial]]</f>
        <v>1</v>
      </c>
      <c r="F20" s="152">
        <f>IF(AND(SparkfunListTable[[#This Row],[Tag]]&lt;&gt;FilterSpecs!$F$12, SparkfunListTable[[#This Row],[Tag]]&lt;&gt;FilterSpecs!$F$9), SparkfunListTable[[#This Row],['#/Unit]]*FilterSpecs!$B$3+SparkfunListTable[[#This Row],[Extra Initial]],0)</f>
        <v>5</v>
      </c>
      <c r="G20" s="150" t="s">
        <v>629</v>
      </c>
      <c r="H20" s="150" t="s">
        <v>630</v>
      </c>
      <c r="I20" s="150" t="s">
        <v>631</v>
      </c>
      <c r="J20" s="150">
        <v>1</v>
      </c>
      <c r="K20" s="154">
        <v>19.95</v>
      </c>
      <c r="L20" s="150" t="s">
        <v>1897</v>
      </c>
      <c r="M20" s="151"/>
      <c r="N20" s="154">
        <f>SparkfunListTable[[#This Row],['# Initial]]*SparkfunListTable[[#This Row],[Price (USD)]]</f>
        <v>99.75</v>
      </c>
      <c r="O20" s="151" t="s">
        <v>628</v>
      </c>
      <c r="P20" s="150" t="e">
        <f t="shared" si="0"/>
        <v>#REF!</v>
      </c>
      <c r="Q20" s="150" t="s">
        <v>5</v>
      </c>
      <c r="R20"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474-COM-13833</v>
      </c>
      <c r="S20" s="157" t="str">
        <f>HYPERLINK("https://www.mouser.com/ProductDetail/" &amp;SparkfunListTable[[#This Row],[Mouser SKU]])</f>
        <v>https://www.mouser.com/ProductDetail/474-COM-13833</v>
      </c>
      <c r="T20" s="152">
        <v>1</v>
      </c>
      <c r="U20" s="152">
        <v>1</v>
      </c>
      <c r="V20" s="152">
        <v>0</v>
      </c>
      <c r="W20" s="152">
        <f>SparkfunListTable[[#This Row],['#/Unit]]*FilterSpecs!$C$3+SparkfunListTable[[#This Row],[Extra]]</f>
        <v>6</v>
      </c>
      <c r="X20" s="152">
        <f>IF(SparkfunListTable[[#This Row],[Tag]]=FilterSpecs!$F$7,SparkfunListTable[[#This Row],['#/Unit]]*SparkfunListTable[[#This Row],[Price (USD)]],0)</f>
        <v>19.95</v>
      </c>
      <c r="Y20" s="152">
        <f>SparkfunListTable[[#This Row],[Tot '#]]*SparkfunListTable[[#This Row],[Price (USD)]]</f>
        <v>119.69999999999999</v>
      </c>
      <c r="Z20" s="146"/>
      <c r="AA20" s="153" t="str">
        <f>SparkfunListTable[[#This Row],[SKU]]</f>
        <v>COM-13833</v>
      </c>
      <c r="AB20" s="153">
        <f>VALUE(SparkfunListTable[[#This Row],['# Initial]])</f>
        <v>5</v>
      </c>
      <c r="AD20" s="153" t="s">
        <v>628</v>
      </c>
      <c r="AE20" s="153">
        <v>5</v>
      </c>
    </row>
    <row r="21" spans="1:31" s="153" customFormat="1" x14ac:dyDescent="0.25">
      <c r="A21" s="150" t="s">
        <v>887</v>
      </c>
      <c r="B21" s="150" t="s">
        <v>1882</v>
      </c>
      <c r="C21" s="150" t="s">
        <v>5</v>
      </c>
      <c r="D21" s="151" t="str">
        <f>IF(SparkfunListTable[[#This Row],[Vendor]]=FilterSpecs!$A$8,SparkfunListTable[[#This Row],[Mouser SKU]], SparkfunListTable[[#This Row],[Supplier SKU]])</f>
        <v>TOL-11060</v>
      </c>
      <c r="E21" s="152">
        <f>SparkfunListTable[[#This Row],[Tot '#]]-SparkfunListTable[[#This Row],['# Initial]]</f>
        <v>0</v>
      </c>
      <c r="F21" s="152">
        <f>IF(AND(SparkfunListTable[[#This Row],[Tag]]&lt;&gt;FilterSpecs!$F$12, SparkfunListTable[[#This Row],[Tag]]&lt;&gt;FilterSpecs!$F$9), SparkfunListTable[[#This Row],['#/Unit]]*FilterSpecs!$B$3+SparkfunListTable[[#This Row],[Extra Initial]],0)</f>
        <v>1</v>
      </c>
      <c r="G21" s="150" t="s">
        <v>831</v>
      </c>
      <c r="H21" s="150" t="s">
        <v>832</v>
      </c>
      <c r="I21" s="150" t="s">
        <v>833</v>
      </c>
      <c r="J21" s="150"/>
      <c r="K21" s="154">
        <v>4.95</v>
      </c>
      <c r="L21" s="150" t="s">
        <v>1900</v>
      </c>
      <c r="M21" s="151"/>
      <c r="N21" s="154">
        <f>SparkfunListTable[[#This Row],['# Initial]]*SparkfunListTable[[#This Row],[Price (USD)]]</f>
        <v>4.95</v>
      </c>
      <c r="O21" s="151" t="s">
        <v>830</v>
      </c>
      <c r="P21" s="150" t="e">
        <f>IF(#REF!="List #",1,#REF!+1)</f>
        <v>#REF!</v>
      </c>
      <c r="Q21" s="150" t="s">
        <v>5</v>
      </c>
      <c r="R21"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474-TOL-11060</v>
      </c>
      <c r="S21" s="157" t="str">
        <f>HYPERLINK("https://www.mouser.com/ProductDetail/" &amp;SparkfunListTable[[#This Row],[Mouser SKU]])</f>
        <v>https://www.mouser.com/ProductDetail/474-TOL-11060</v>
      </c>
      <c r="T21" s="152">
        <v>0</v>
      </c>
      <c r="U21" s="152">
        <v>1</v>
      </c>
      <c r="V21" s="152">
        <v>1</v>
      </c>
      <c r="W21" s="152">
        <f>SparkfunListTable[[#This Row],['#/Unit]]*FilterSpecs!$C$3+SparkfunListTable[[#This Row],[Extra]]</f>
        <v>1</v>
      </c>
      <c r="X21" s="152">
        <f>IF(SparkfunListTable[[#This Row],[Tag]]=FilterSpecs!$F$7,SparkfunListTable[[#This Row],['#/Unit]]*SparkfunListTable[[#This Row],[Price (USD)]],0)</f>
        <v>0</v>
      </c>
      <c r="Y21" s="152">
        <f>SparkfunListTable[[#This Row],[Tot '#]]*SparkfunListTable[[#This Row],[Price (USD)]]</f>
        <v>4.95</v>
      </c>
      <c r="Z21" s="146"/>
      <c r="AA21" s="153" t="str">
        <f>SparkfunListTable[[#This Row],[SKU]]</f>
        <v>TOL-11060</v>
      </c>
      <c r="AB21" s="153">
        <f>VALUE(SparkfunListTable[[#This Row],['# Initial]])</f>
        <v>1</v>
      </c>
      <c r="AD21" s="153" t="s">
        <v>830</v>
      </c>
      <c r="AE21" s="153">
        <v>1</v>
      </c>
    </row>
    <row r="22" spans="1:31" s="153" customFormat="1" x14ac:dyDescent="0.25">
      <c r="A22" s="150" t="s">
        <v>887</v>
      </c>
      <c r="B22" s="150" t="s">
        <v>2007</v>
      </c>
      <c r="C22" s="150" t="s">
        <v>5</v>
      </c>
      <c r="D22" s="151" t="str">
        <f>IF(SparkfunListTable[[#This Row],[Vendor]]=FilterSpecs!$A$8,SparkfunListTable[[#This Row],[Mouser SKU]], SparkfunListTable[[#This Row],[Supplier SKU]])</f>
        <v>COM-09938</v>
      </c>
      <c r="E22" s="152">
        <f>SparkfunListTable[[#This Row],[Tot '#]]-SparkfunListTable[[#This Row],['# Initial]]</f>
        <v>0</v>
      </c>
      <c r="F22" s="152">
        <f>IF(AND(SparkfunListTable[[#This Row],[Tag]]&lt;&gt;FilterSpecs!$F$12, SparkfunListTable[[#This Row],[Tag]]&lt;&gt;FilterSpecs!$F$9), SparkfunListTable[[#This Row],['#/Unit]]*FilterSpecs!$B$3+SparkfunListTable[[#This Row],[Extra Initial]],0)</f>
        <v>10</v>
      </c>
      <c r="G22" s="150" t="s">
        <v>1433</v>
      </c>
      <c r="H22" s="150" t="s">
        <v>1434</v>
      </c>
      <c r="I22" s="150" t="s">
        <v>1435</v>
      </c>
      <c r="J22" s="150">
        <v>1</v>
      </c>
      <c r="K22" s="154">
        <v>1.95</v>
      </c>
      <c r="L22" s="150" t="s">
        <v>1897</v>
      </c>
      <c r="M22" s="151"/>
      <c r="N22" s="154">
        <f>SparkfunListTable[[#This Row],['# Initial]]*SparkfunListTable[[#This Row],[Price (USD)]]</f>
        <v>19.5</v>
      </c>
      <c r="O22" s="151" t="s">
        <v>1432</v>
      </c>
      <c r="P22" s="150" t="e">
        <f>IF(#REF!="List #",1,#REF!+1)</f>
        <v>#REF!</v>
      </c>
      <c r="Q22" s="150" t="s">
        <v>5</v>
      </c>
      <c r="R22"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474-COM-09938</v>
      </c>
      <c r="S22" s="157" t="str">
        <f>HYPERLINK("https://www.mouser.com/ProductDetail/" &amp;SparkfunListTable[[#This Row],[Mouser SKU]])</f>
        <v>https://www.mouser.com/ProductDetail/474-COM-09938</v>
      </c>
      <c r="T22" s="152">
        <v>2</v>
      </c>
      <c r="U22" s="152">
        <v>0</v>
      </c>
      <c r="V22" s="152">
        <v>0</v>
      </c>
      <c r="W22" s="152">
        <f>SparkfunListTable[[#This Row],['#/Unit]]*FilterSpecs!$C$3+SparkfunListTable[[#This Row],[Extra]]</f>
        <v>10</v>
      </c>
      <c r="X22" s="152">
        <f>IF(SparkfunListTable[[#This Row],[Tag]]=FilterSpecs!$F$7,SparkfunListTable[[#This Row],['#/Unit]]*SparkfunListTable[[#This Row],[Price (USD)]],0)</f>
        <v>3.9</v>
      </c>
      <c r="Y22" s="152">
        <f>SparkfunListTable[[#This Row],[Tot '#]]*SparkfunListTable[[#This Row],[Price (USD)]]</f>
        <v>19.5</v>
      </c>
      <c r="Z22" s="146"/>
      <c r="AA22" s="153" t="str">
        <f>SparkfunListTable[[#This Row],[SKU]]</f>
        <v>COM-09938</v>
      </c>
      <c r="AB22" s="153">
        <f>VALUE(SparkfunListTable[[#This Row],['# Initial]])</f>
        <v>10</v>
      </c>
      <c r="AD22" s="153" t="s">
        <v>1432</v>
      </c>
      <c r="AE22" s="153">
        <v>10</v>
      </c>
    </row>
    <row r="23" spans="1:31" s="153" customFormat="1" x14ac:dyDescent="0.25">
      <c r="A23" s="150" t="s">
        <v>887</v>
      </c>
      <c r="B23" s="150" t="s">
        <v>2007</v>
      </c>
      <c r="C23" s="150" t="s">
        <v>5</v>
      </c>
      <c r="D23" s="151" t="str">
        <f>IF(SparkfunListTable[[#This Row],[Vendor]]=FilterSpecs!$A$8,SparkfunListTable[[#This Row],[Mouser SKU]], SparkfunListTable[[#This Row],[Supplier SKU]])</f>
        <v>BOB-13884</v>
      </c>
      <c r="E23" s="152">
        <f>SparkfunListTable[[#This Row],[Tot '#]]-SparkfunListTable[[#This Row],['# Initial]]</f>
        <v>0</v>
      </c>
      <c r="F23" s="152">
        <f>IF(AND(SparkfunListTable[[#This Row],[Tag]]&lt;&gt;FilterSpecs!$F$12, SparkfunListTable[[#This Row],[Tag]]&lt;&gt;FilterSpecs!$F$9), SparkfunListTable[[#This Row],['#/Unit]]*FilterSpecs!$B$3+SparkfunListTable[[#This Row],[Extra Initial]],0)</f>
        <v>5</v>
      </c>
      <c r="G23" s="150" t="s">
        <v>1121</v>
      </c>
      <c r="H23" s="150" t="s">
        <v>1122</v>
      </c>
      <c r="I23" s="150" t="s">
        <v>1123</v>
      </c>
      <c r="J23" s="150">
        <v>1</v>
      </c>
      <c r="K23" s="154">
        <v>7.95</v>
      </c>
      <c r="L23" s="150" t="s">
        <v>1897</v>
      </c>
      <c r="M23" s="151"/>
      <c r="N23" s="154">
        <f>SparkfunListTable[[#This Row],['# Initial]]*SparkfunListTable[[#This Row],[Price (USD)]]</f>
        <v>39.75</v>
      </c>
      <c r="O23" s="151" t="s">
        <v>1120</v>
      </c>
      <c r="P23" s="150" t="e">
        <f>IF(#REF!="List #",1,#REF!+1)</f>
        <v>#REF!</v>
      </c>
      <c r="Q23" s="150" t="s">
        <v>5</v>
      </c>
      <c r="R23"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474-BOB-13884</v>
      </c>
      <c r="S23" s="157" t="str">
        <f>HYPERLINK("https://www.mouser.com/ProductDetail/" &amp;SparkfunListTable[[#This Row],[Mouser SKU]])</f>
        <v>https://www.mouser.com/ProductDetail/474-BOB-13884</v>
      </c>
      <c r="T23" s="152">
        <v>1</v>
      </c>
      <c r="U23" s="152">
        <v>0</v>
      </c>
      <c r="V23" s="152">
        <v>0</v>
      </c>
      <c r="W23" s="152">
        <f>SparkfunListTable[[#This Row],['#/Unit]]*FilterSpecs!$C$3+SparkfunListTable[[#This Row],[Extra]]</f>
        <v>5</v>
      </c>
      <c r="X23" s="152">
        <f>IF(SparkfunListTable[[#This Row],[Tag]]=FilterSpecs!$F$7,SparkfunListTable[[#This Row],['#/Unit]]*SparkfunListTable[[#This Row],[Price (USD)]],0)</f>
        <v>7.95</v>
      </c>
      <c r="Y23" s="152">
        <f>SparkfunListTable[[#This Row],[Tot '#]]*SparkfunListTable[[#This Row],[Price (USD)]]</f>
        <v>39.75</v>
      </c>
      <c r="Z23" s="146"/>
      <c r="AA23" s="153" t="str">
        <f>SparkfunListTable[[#This Row],[SKU]]</f>
        <v>BOB-13884</v>
      </c>
      <c r="AB23" s="153">
        <f>VALUE(SparkfunListTable[[#This Row],['# Initial]])</f>
        <v>5</v>
      </c>
      <c r="AD23" s="153" t="s">
        <v>1120</v>
      </c>
      <c r="AE23" s="153">
        <v>5</v>
      </c>
    </row>
    <row r="24" spans="1:31" s="153" customFormat="1" x14ac:dyDescent="0.25">
      <c r="A24" s="150" t="s">
        <v>887</v>
      </c>
      <c r="B24" s="150" t="s">
        <v>2018</v>
      </c>
      <c r="C24" s="150" t="s">
        <v>5</v>
      </c>
      <c r="D24" s="151" t="str">
        <f>IF(SparkfunListTable[[#This Row],[Vendor]]=FilterSpecs!$A$8,SparkfunListTable[[#This Row],[Mouser SKU]], SparkfunListTable[[#This Row],[Supplier SKU]])</f>
        <v>COM-11707</v>
      </c>
      <c r="E24" s="152">
        <f>SparkfunListTable[[#This Row],[Tot '#]]-SparkfunListTable[[#This Row],['# Initial]]</f>
        <v>0</v>
      </c>
      <c r="F24" s="152">
        <f>IF(AND(SparkfunListTable[[#This Row],[Tag]]&lt;&gt;FilterSpecs!$F$12, SparkfunListTable[[#This Row],[Tag]]&lt;&gt;FilterSpecs!$F$9), SparkfunListTable[[#This Row],['#/Unit]]*FilterSpecs!$B$3+SparkfunListTable[[#This Row],[Extra Initial]],0)</f>
        <v>5</v>
      </c>
      <c r="G24" s="150" t="s">
        <v>381</v>
      </c>
      <c r="H24" s="150" t="s">
        <v>382</v>
      </c>
      <c r="I24" s="150" t="s">
        <v>383</v>
      </c>
      <c r="J24" s="150"/>
      <c r="K24" s="154">
        <v>1.95</v>
      </c>
      <c r="L24" s="150" t="s">
        <v>1897</v>
      </c>
      <c r="M24" s="151"/>
      <c r="N24" s="154">
        <f>SparkfunListTable[[#This Row],['# Initial]]*SparkfunListTable[[#This Row],[Price (USD)]]</f>
        <v>9.75</v>
      </c>
      <c r="O24" s="151" t="s">
        <v>380</v>
      </c>
      <c r="P24" s="150" t="e">
        <f>IF(#REF!="List #",1,#REF!+1)</f>
        <v>#REF!</v>
      </c>
      <c r="Q24" s="150" t="s">
        <v>5</v>
      </c>
      <c r="R24"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474-COM-11707</v>
      </c>
      <c r="S24" s="157" t="str">
        <f>HYPERLINK("https://www.mouser.com/ProductDetail/" &amp;SparkfunListTable[[#This Row],[Mouser SKU]])</f>
        <v>https://www.mouser.com/ProductDetail/474-COM-11707</v>
      </c>
      <c r="T24" s="152">
        <v>1</v>
      </c>
      <c r="U24" s="152">
        <v>0</v>
      </c>
      <c r="V24" s="152">
        <v>0</v>
      </c>
      <c r="W24" s="152">
        <f>SparkfunListTable[[#This Row],['#/Unit]]*FilterSpecs!$C$3+SparkfunListTable[[#This Row],[Extra]]</f>
        <v>5</v>
      </c>
      <c r="X24" s="152">
        <f>IF(SparkfunListTable[[#This Row],[Tag]]=FilterSpecs!$F$7,SparkfunListTable[[#This Row],['#/Unit]]*SparkfunListTable[[#This Row],[Price (USD)]],0)</f>
        <v>1.95</v>
      </c>
      <c r="Y24" s="152">
        <f>SparkfunListTable[[#This Row],[Tot '#]]*SparkfunListTable[[#This Row],[Price (USD)]]</f>
        <v>9.75</v>
      </c>
      <c r="Z24" s="146"/>
      <c r="AA24" s="153" t="str">
        <f>SparkfunListTable[[#This Row],[SKU]]</f>
        <v>COM-11707</v>
      </c>
      <c r="AB24" s="153">
        <f>VALUE(SparkfunListTable[[#This Row],['# Initial]])</f>
        <v>5</v>
      </c>
      <c r="AD24" s="153" t="s">
        <v>380</v>
      </c>
      <c r="AE24" s="153">
        <v>5</v>
      </c>
    </row>
    <row r="25" spans="1:31" s="153" customFormat="1" x14ac:dyDescent="0.25">
      <c r="A25" s="150" t="s">
        <v>887</v>
      </c>
      <c r="B25" s="150" t="s">
        <v>2018</v>
      </c>
      <c r="C25" s="150" t="s">
        <v>5</v>
      </c>
      <c r="D25" s="151" t="str">
        <f>IF(SparkfunListTable[[#This Row],[Vendor]]=FilterSpecs!$A$8,SparkfunListTable[[#This Row],[Mouser SKU]], SparkfunListTable[[#This Row],[Supplier SKU]])</f>
        <v>TOL-08734</v>
      </c>
      <c r="E25" s="152">
        <f>SparkfunListTable[[#This Row],[Tot '#]]-SparkfunListTable[[#This Row],['# Initial]]</f>
        <v>0</v>
      </c>
      <c r="F25" s="152">
        <f>IF(AND(SparkfunListTable[[#This Row],[Tag]]&lt;&gt;FilterSpecs!$F$12, SparkfunListTable[[#This Row],[Tag]]&lt;&gt;FilterSpecs!$F$9), SparkfunListTable[[#This Row],['#/Unit]]*FilterSpecs!$B$3+SparkfunListTable[[#This Row],[Extra Initial]],0)</f>
        <v>5</v>
      </c>
      <c r="G25" s="150" t="s">
        <v>797</v>
      </c>
      <c r="H25" s="150" t="s">
        <v>798</v>
      </c>
      <c r="I25" s="150" t="s">
        <v>799</v>
      </c>
      <c r="J25" s="150">
        <v>1</v>
      </c>
      <c r="K25" s="154">
        <v>2.95</v>
      </c>
      <c r="L25" s="150" t="s">
        <v>1897</v>
      </c>
      <c r="M25" s="151"/>
      <c r="N25" s="154">
        <f>SparkfunListTable[[#This Row],['# Initial]]*SparkfunListTable[[#This Row],[Price (USD)]]</f>
        <v>14.75</v>
      </c>
      <c r="O25" s="151" t="s">
        <v>796</v>
      </c>
      <c r="P25" s="150" t="e">
        <f t="shared" ref="P25:P40" si="1">IF($P24="List #",1,$P24+1)</f>
        <v>#REF!</v>
      </c>
      <c r="Q25" s="150" t="s">
        <v>5</v>
      </c>
      <c r="R25"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474-TOL-08734</v>
      </c>
      <c r="S25" s="157" t="str">
        <f>HYPERLINK("https://www.mouser.com/ProductDetail/" &amp;SparkfunListTable[[#This Row],[Mouser SKU]])</f>
        <v>https://www.mouser.com/ProductDetail/474-TOL-08734</v>
      </c>
      <c r="T25" s="152">
        <v>1</v>
      </c>
      <c r="U25" s="152">
        <v>0</v>
      </c>
      <c r="V25" s="152">
        <v>0</v>
      </c>
      <c r="W25" s="152">
        <f>SparkfunListTable[[#This Row],['#/Unit]]*FilterSpecs!$C$3+SparkfunListTable[[#This Row],[Extra]]</f>
        <v>5</v>
      </c>
      <c r="X25" s="152">
        <f>IF(SparkfunListTable[[#This Row],[Tag]]=FilterSpecs!$F$7,SparkfunListTable[[#This Row],['#/Unit]]*SparkfunListTable[[#This Row],[Price (USD)]],0)</f>
        <v>2.95</v>
      </c>
      <c r="Y25" s="152">
        <f>SparkfunListTable[[#This Row],[Tot '#]]*SparkfunListTable[[#This Row],[Price (USD)]]</f>
        <v>14.75</v>
      </c>
      <c r="Z25" s="146"/>
      <c r="AA25" s="153" t="str">
        <f>SparkfunListTable[[#This Row],[SKU]]</f>
        <v>TOL-08734</v>
      </c>
      <c r="AB25" s="153">
        <f>VALUE(SparkfunListTable[[#This Row],['# Initial]])</f>
        <v>5</v>
      </c>
      <c r="AD25" s="153" t="s">
        <v>796</v>
      </c>
      <c r="AE25" s="153">
        <v>5</v>
      </c>
    </row>
    <row r="26" spans="1:31" s="153" customFormat="1" x14ac:dyDescent="0.25">
      <c r="A26" s="150" t="s">
        <v>887</v>
      </c>
      <c r="B26" s="150" t="s">
        <v>2018</v>
      </c>
      <c r="C26" s="150" t="s">
        <v>5</v>
      </c>
      <c r="D26" s="151" t="str">
        <f>IF(SparkfunListTable[[#This Row],[Vendor]]=FilterSpecs!$A$8,SparkfunListTable[[#This Row],[Mouser SKU]], SparkfunListTable[[#This Row],[Supplier SKU]])</f>
        <v>TOL-08639</v>
      </c>
      <c r="E26" s="152">
        <f>SparkfunListTable[[#This Row],[Tot '#]]-SparkfunListTable[[#This Row],['# Initial]]</f>
        <v>0</v>
      </c>
      <c r="F26" s="152">
        <f>IF(AND(SparkfunListTable[[#This Row],[Tag]]&lt;&gt;FilterSpecs!$F$12, SparkfunListTable[[#This Row],[Tag]]&lt;&gt;FilterSpecs!$F$9), SparkfunListTable[[#This Row],['#/Unit]]*FilterSpecs!$B$3+SparkfunListTable[[#This Row],[Extra Initial]],0)</f>
        <v>5</v>
      </c>
      <c r="G26" s="150" t="s">
        <v>455</v>
      </c>
      <c r="H26" s="150" t="s">
        <v>456</v>
      </c>
      <c r="I26" s="150" t="s">
        <v>457</v>
      </c>
      <c r="J26" s="150">
        <v>1</v>
      </c>
      <c r="K26" s="154">
        <v>2.95</v>
      </c>
      <c r="L26" s="150" t="s">
        <v>1897</v>
      </c>
      <c r="M26" s="151"/>
      <c r="N26" s="154">
        <f>SparkfunListTable[[#This Row],['# Initial]]*SparkfunListTable[[#This Row],[Price (USD)]]</f>
        <v>14.75</v>
      </c>
      <c r="O26" s="151" t="s">
        <v>454</v>
      </c>
      <c r="P26" s="150" t="e">
        <f t="shared" si="1"/>
        <v>#REF!</v>
      </c>
      <c r="Q26" s="150" t="s">
        <v>5</v>
      </c>
      <c r="R26"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474-TOL-08639</v>
      </c>
      <c r="S26" s="157" t="str">
        <f>HYPERLINK("https://www.mouser.com/ProductDetail/" &amp;SparkfunListTable[[#This Row],[Mouser SKU]])</f>
        <v>https://www.mouser.com/ProductDetail/474-TOL-08639</v>
      </c>
      <c r="T26" s="152">
        <v>1</v>
      </c>
      <c r="U26" s="152">
        <v>0</v>
      </c>
      <c r="V26" s="152">
        <v>0</v>
      </c>
      <c r="W26" s="152">
        <f>SparkfunListTable[[#This Row],['#/Unit]]*FilterSpecs!$C$3+SparkfunListTable[[#This Row],[Extra]]</f>
        <v>5</v>
      </c>
      <c r="X26" s="152">
        <f>IF(SparkfunListTable[[#This Row],[Tag]]=FilterSpecs!$F$7,SparkfunListTable[[#This Row],['#/Unit]]*SparkfunListTable[[#This Row],[Price (USD)]],0)</f>
        <v>2.95</v>
      </c>
      <c r="Y26" s="152">
        <f>SparkfunListTable[[#This Row],[Tot '#]]*SparkfunListTable[[#This Row],[Price (USD)]]</f>
        <v>14.75</v>
      </c>
      <c r="Z26" s="146"/>
      <c r="AA26" s="153" t="str">
        <f>SparkfunListTable[[#This Row],[SKU]]</f>
        <v>TOL-08639</v>
      </c>
      <c r="AB26" s="153">
        <f>VALUE(SparkfunListTable[[#This Row],['# Initial]])</f>
        <v>5</v>
      </c>
      <c r="AD26" s="153" t="s">
        <v>454</v>
      </c>
      <c r="AE26" s="153">
        <v>5</v>
      </c>
    </row>
    <row r="27" spans="1:31" s="153" customFormat="1" x14ac:dyDescent="0.25">
      <c r="A27" s="150" t="s">
        <v>887</v>
      </c>
      <c r="B27" s="150" t="s">
        <v>2018</v>
      </c>
      <c r="C27" s="150" t="s">
        <v>5</v>
      </c>
      <c r="D27" s="151" t="str">
        <f>IF(SparkfunListTable[[#This Row],[Vendor]]=FilterSpecs!$A$8,SparkfunListTable[[#This Row],[Mouser SKU]], SparkfunListTable[[#This Row],[Supplier SKU]])</f>
        <v>COM-11705</v>
      </c>
      <c r="E27" s="152">
        <f>SparkfunListTable[[#This Row],[Tot '#]]-SparkfunListTable[[#This Row],['# Initial]]</f>
        <v>0</v>
      </c>
      <c r="F27" s="152">
        <f>IF(AND(SparkfunListTable[[#This Row],[Tag]]&lt;&gt;FilterSpecs!$F$12, SparkfunListTable[[#This Row],[Tag]]&lt;&gt;FilterSpecs!$F$9), SparkfunListTable[[#This Row],['#/Unit]]*FilterSpecs!$B$3+SparkfunListTable[[#This Row],[Extra Initial]],0)</f>
        <v>5</v>
      </c>
      <c r="G27" s="150" t="s">
        <v>805</v>
      </c>
      <c r="H27" s="150" t="s">
        <v>806</v>
      </c>
      <c r="I27" s="150" t="s">
        <v>807</v>
      </c>
      <c r="J27" s="150"/>
      <c r="K27" s="154">
        <v>2.5</v>
      </c>
      <c r="L27" s="151" t="s">
        <v>1897</v>
      </c>
      <c r="M27" s="151"/>
      <c r="N27" s="154">
        <f>SparkfunListTable[[#This Row],['# Initial]]*SparkfunListTable[[#This Row],[Price (USD)]]</f>
        <v>12.5</v>
      </c>
      <c r="O27" s="151" t="s">
        <v>804</v>
      </c>
      <c r="P27" s="150" t="e">
        <f t="shared" si="1"/>
        <v>#REF!</v>
      </c>
      <c r="Q27" s="150" t="s">
        <v>5</v>
      </c>
      <c r="R27"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474-COM-11705</v>
      </c>
      <c r="S27" s="157" t="str">
        <f>HYPERLINK("https://www.mouser.com/ProductDetail/" &amp;SparkfunListTable[[#This Row],[Mouser SKU]])</f>
        <v>https://www.mouser.com/ProductDetail/474-COM-11705</v>
      </c>
      <c r="T27" s="152">
        <v>1</v>
      </c>
      <c r="U27" s="152">
        <v>0</v>
      </c>
      <c r="V27" s="152">
        <v>0</v>
      </c>
      <c r="W27" s="152">
        <f>SparkfunListTable[[#This Row],['#/Unit]]*FilterSpecs!$C$3+SparkfunListTable[[#This Row],[Extra]]</f>
        <v>5</v>
      </c>
      <c r="X27" s="152">
        <f>IF(SparkfunListTable[[#This Row],[Tag]]=FilterSpecs!$F$7,SparkfunListTable[[#This Row],['#/Unit]]*SparkfunListTable[[#This Row],[Price (USD)]],0)</f>
        <v>2.5</v>
      </c>
      <c r="Y27" s="152">
        <f>SparkfunListTable[[#This Row],[Tot '#]]*SparkfunListTable[[#This Row],[Price (USD)]]</f>
        <v>12.5</v>
      </c>
      <c r="Z27" s="146"/>
      <c r="AA27" s="153" t="str">
        <f>SparkfunListTable[[#This Row],[SKU]]</f>
        <v>COM-11705</v>
      </c>
      <c r="AB27" s="153">
        <f>VALUE(SparkfunListTable[[#This Row],['# Initial]])</f>
        <v>5</v>
      </c>
      <c r="AD27" s="153" t="s">
        <v>804</v>
      </c>
      <c r="AE27" s="153">
        <v>5</v>
      </c>
    </row>
    <row r="28" spans="1:31" s="104" customFormat="1" x14ac:dyDescent="0.25">
      <c r="A28" s="150" t="s">
        <v>887</v>
      </c>
      <c r="B28" s="150" t="s">
        <v>2013</v>
      </c>
      <c r="C28" s="150" t="s">
        <v>5</v>
      </c>
      <c r="D28" s="151" t="str">
        <f>IF(SparkfunListTable[[#This Row],[Vendor]]=FilterSpecs!$A$8,SparkfunListTable[[#This Row],[Mouser SKU]], SparkfunListTable[[#This Row],[Supplier SKU]])</f>
        <v>CAB-00512</v>
      </c>
      <c r="E28" s="152">
        <f>SparkfunListTable[[#This Row],[Tot '#]]-SparkfunListTable[[#This Row],['# Initial]]</f>
        <v>0</v>
      </c>
      <c r="F28" s="152">
        <f>IF(AND(SparkfunListTable[[#This Row],[Tag]]&lt;&gt;FilterSpecs!$F$12, SparkfunListTable[[#This Row],[Tag]]&lt;&gt;FilterSpecs!$F$9), SparkfunListTable[[#This Row],['#/Unit]]*FilterSpecs!$B$3+SparkfunListTable[[#This Row],[Extra Initial]],0)</f>
        <v>5</v>
      </c>
      <c r="G28" s="150" t="s">
        <v>2466</v>
      </c>
      <c r="H28" s="150" t="s">
        <v>2467</v>
      </c>
      <c r="I28" s="150" t="s">
        <v>2468</v>
      </c>
      <c r="J28" s="150">
        <v>1</v>
      </c>
      <c r="K28" s="154">
        <v>3.95</v>
      </c>
      <c r="L28" s="150" t="s">
        <v>1897</v>
      </c>
      <c r="M28" s="150"/>
      <c r="N28" s="154">
        <f>SparkfunListTable[[#This Row],['# Initial]]*SparkfunListTable[[#This Row],[Price (USD)]]</f>
        <v>19.75</v>
      </c>
      <c r="O28" s="151" t="s">
        <v>2465</v>
      </c>
      <c r="P28" s="150" t="e">
        <f>IF(#REF!="List #",1,#REF!+1)</f>
        <v>#REF!</v>
      </c>
      <c r="Q28" s="150" t="s">
        <v>5</v>
      </c>
      <c r="R28"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474-CAB-00512</v>
      </c>
      <c r="S28" s="157" t="str">
        <f>HYPERLINK("https://www.mouser.com/ProductDetail/" &amp;SparkfunListTable[[#This Row],[Mouser SKU]])</f>
        <v>https://www.mouser.com/ProductDetail/474-CAB-00512</v>
      </c>
      <c r="T28" s="152">
        <v>1</v>
      </c>
      <c r="U28" s="152">
        <v>0</v>
      </c>
      <c r="V28" s="152">
        <v>0</v>
      </c>
      <c r="W28" s="152">
        <f>SparkfunListTable[[#This Row],['#/Unit]]*FilterSpecs!$C$3+SparkfunListTable[[#This Row],[Extra]]</f>
        <v>5</v>
      </c>
      <c r="X28" s="152">
        <f>IF(SparkfunListTable[[#This Row],[Tag]]=FilterSpecs!$F$7,SparkfunListTable[[#This Row],['#/Unit]]*SparkfunListTable[[#This Row],[Price (USD)]],0)</f>
        <v>3.95</v>
      </c>
      <c r="Y28" s="152">
        <f>SparkfunListTable[[#This Row],[Tot '#]]*SparkfunListTable[[#This Row],[Price (USD)]]</f>
        <v>19.75</v>
      </c>
      <c r="Z28" s="146"/>
      <c r="AA28" s="153" t="str">
        <f>SparkfunListTable[[#This Row],[SKU]]</f>
        <v>CAB-00512</v>
      </c>
      <c r="AB28" s="153">
        <f>VALUE(SparkfunListTable[[#This Row],['# Initial]])</f>
        <v>5</v>
      </c>
      <c r="AD28" s="104" t="s">
        <v>2465</v>
      </c>
      <c r="AE28" s="104">
        <v>5</v>
      </c>
    </row>
    <row r="29" spans="1:31" s="104" customFormat="1" x14ac:dyDescent="0.25">
      <c r="A29" s="150" t="s">
        <v>887</v>
      </c>
      <c r="B29" s="150" t="s">
        <v>2013</v>
      </c>
      <c r="C29" s="150" t="s">
        <v>5</v>
      </c>
      <c r="D29" s="151" t="str">
        <f>IF(SparkfunListTable[[#This Row],[Vendor]]=FilterSpecs!$A$8,SparkfunListTable[[#This Row],[Mouser SKU]], SparkfunListTable[[#This Row],[Supplier SKU]])</f>
        <v>CAB-11301</v>
      </c>
      <c r="E29" s="152">
        <f>SparkfunListTable[[#This Row],[Tot '#]]-SparkfunListTable[[#This Row],['# Initial]]</f>
        <v>0</v>
      </c>
      <c r="F29" s="152">
        <f>IF(AND(SparkfunListTable[[#This Row],[Tag]]&lt;&gt;FilterSpecs!$F$12, SparkfunListTable[[#This Row],[Tag]]&lt;&gt;FilterSpecs!$F$9), SparkfunListTable[[#This Row],['#/Unit]]*FilterSpecs!$B$3+SparkfunListTable[[#This Row],[Extra Initial]],0)</f>
        <v>5</v>
      </c>
      <c r="G29" s="150" t="s">
        <v>2470</v>
      </c>
      <c r="H29" s="150" t="s">
        <v>2471</v>
      </c>
      <c r="I29" s="150" t="s">
        <v>2472</v>
      </c>
      <c r="J29" s="150">
        <v>1</v>
      </c>
      <c r="K29" s="154">
        <v>3.95</v>
      </c>
      <c r="L29" s="150" t="s">
        <v>1897</v>
      </c>
      <c r="M29" s="150"/>
      <c r="N29" s="154">
        <f>SparkfunListTable[[#This Row],['# Initial]]*SparkfunListTable[[#This Row],[Price (USD)]]</f>
        <v>19.75</v>
      </c>
      <c r="O29" s="151" t="s">
        <v>2469</v>
      </c>
      <c r="P29" s="150" t="e">
        <f t="shared" si="1"/>
        <v>#REF!</v>
      </c>
      <c r="Q29" s="150" t="s">
        <v>5</v>
      </c>
      <c r="R29"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474-CAB-11301</v>
      </c>
      <c r="S29" s="157" t="str">
        <f>HYPERLINK("https://www.mouser.com/ProductDetail/" &amp;SparkfunListTable[[#This Row],[Mouser SKU]])</f>
        <v>https://www.mouser.com/ProductDetail/474-CAB-11301</v>
      </c>
      <c r="T29" s="152">
        <v>1</v>
      </c>
      <c r="U29" s="152">
        <v>0</v>
      </c>
      <c r="V29" s="152">
        <v>0</v>
      </c>
      <c r="W29" s="152">
        <f>SparkfunListTable[[#This Row],['#/Unit]]*FilterSpecs!$C$3+SparkfunListTable[[#This Row],[Extra]]</f>
        <v>5</v>
      </c>
      <c r="X29" s="152">
        <f>IF(SparkfunListTable[[#This Row],[Tag]]=FilterSpecs!$F$7,SparkfunListTable[[#This Row],['#/Unit]]*SparkfunListTable[[#This Row],[Price (USD)]],0)</f>
        <v>3.95</v>
      </c>
      <c r="Y29" s="152">
        <f>SparkfunListTable[[#This Row],[Tot '#]]*SparkfunListTable[[#This Row],[Price (USD)]]</f>
        <v>19.75</v>
      </c>
      <c r="Z29" s="146"/>
      <c r="AA29" s="153" t="str">
        <f>SparkfunListTable[[#This Row],[SKU]]</f>
        <v>CAB-11301</v>
      </c>
      <c r="AB29" s="153">
        <f>VALUE(SparkfunListTable[[#This Row],['# Initial]])</f>
        <v>5</v>
      </c>
      <c r="AD29" s="104" t="s">
        <v>2469</v>
      </c>
      <c r="AE29" s="104">
        <v>5</v>
      </c>
    </row>
    <row r="30" spans="1:31" s="104" customFormat="1" x14ac:dyDescent="0.25">
      <c r="A30" s="150" t="s">
        <v>887</v>
      </c>
      <c r="B30" s="150" t="s">
        <v>2013</v>
      </c>
      <c r="C30" s="150" t="s">
        <v>5</v>
      </c>
      <c r="D30" s="151" t="str">
        <f>IF(SparkfunListTable[[#This Row],[Vendor]]=FilterSpecs!$A$8,SparkfunListTable[[#This Row],[Mouser SKU]], SparkfunListTable[[#This Row],[Supplier SKU]])</f>
        <v>CAB-10215</v>
      </c>
      <c r="E30" s="152">
        <f>SparkfunListTable[[#This Row],[Tot '#]]-SparkfunListTable[[#This Row],['# Initial]]</f>
        <v>0</v>
      </c>
      <c r="F30" s="152">
        <f>IF(AND(SparkfunListTable[[#This Row],[Tag]]&lt;&gt;FilterSpecs!$F$12, SparkfunListTable[[#This Row],[Tag]]&lt;&gt;FilterSpecs!$F$9), SparkfunListTable[[#This Row],['#/Unit]]*FilterSpecs!$B$3+SparkfunListTable[[#This Row],[Extra Initial]],0)</f>
        <v>5</v>
      </c>
      <c r="G30" s="150" t="s">
        <v>1494</v>
      </c>
      <c r="H30" s="150" t="s">
        <v>1495</v>
      </c>
      <c r="I30" s="150" t="s">
        <v>1496</v>
      </c>
      <c r="J30" s="150">
        <v>1</v>
      </c>
      <c r="K30" s="154">
        <v>4.95</v>
      </c>
      <c r="L30" s="150" t="s">
        <v>1897</v>
      </c>
      <c r="M30" s="150"/>
      <c r="N30" s="154">
        <f>SparkfunListTable[[#This Row],['# Initial]]*SparkfunListTable[[#This Row],[Price (USD)]]</f>
        <v>24.75</v>
      </c>
      <c r="O30" s="151" t="s">
        <v>1493</v>
      </c>
      <c r="P30" s="150" t="e">
        <f>IF(#REF!="List #",1,#REF!+1)</f>
        <v>#REF!</v>
      </c>
      <c r="Q30" s="150" t="s">
        <v>5</v>
      </c>
      <c r="R30"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474-CAB-10215</v>
      </c>
      <c r="S30" s="157" t="str">
        <f>HYPERLINK("https://www.mouser.com/ProductDetail/" &amp;SparkfunListTable[[#This Row],[Mouser SKU]])</f>
        <v>https://www.mouser.com/ProductDetail/474-CAB-10215</v>
      </c>
      <c r="T30" s="152">
        <v>1</v>
      </c>
      <c r="U30" s="152">
        <v>0</v>
      </c>
      <c r="V30" s="152">
        <v>0</v>
      </c>
      <c r="W30" s="152">
        <f>SparkfunListTable[[#This Row],['#/Unit]]*FilterSpecs!$C$3+SparkfunListTable[[#This Row],[Extra]]</f>
        <v>5</v>
      </c>
      <c r="X30" s="152">
        <f>IF(SparkfunListTable[[#This Row],[Tag]]=FilterSpecs!$F$7,SparkfunListTable[[#This Row],['#/Unit]]*SparkfunListTable[[#This Row],[Price (USD)]],0)</f>
        <v>4.95</v>
      </c>
      <c r="Y30" s="152">
        <f>SparkfunListTable[[#This Row],[Tot '#]]*SparkfunListTable[[#This Row],[Price (USD)]]</f>
        <v>24.75</v>
      </c>
      <c r="Z30" s="146"/>
      <c r="AA30" s="153" t="str">
        <f>SparkfunListTable[[#This Row],[SKU]]</f>
        <v>CAB-10215</v>
      </c>
      <c r="AB30" s="153">
        <f>VALUE(SparkfunListTable[[#This Row],['# Initial]])</f>
        <v>5</v>
      </c>
      <c r="AD30" s="104" t="s">
        <v>1493</v>
      </c>
      <c r="AE30" s="104">
        <v>5</v>
      </c>
    </row>
    <row r="31" spans="1:31" s="153" customFormat="1" x14ac:dyDescent="0.25">
      <c r="A31" s="150" t="s">
        <v>887</v>
      </c>
      <c r="B31" s="150" t="s">
        <v>2016</v>
      </c>
      <c r="C31" s="150" t="s">
        <v>5</v>
      </c>
      <c r="D31" s="151" t="str">
        <f>IF(SparkfunListTable[[#This Row],[Vendor]]=FilterSpecs!$A$8,SparkfunListTable[[#This Row],[Mouser SKU]], SparkfunListTable[[#This Row],[Supplier SKU]])</f>
        <v>DEV-13158</v>
      </c>
      <c r="E31" s="152">
        <f>SparkfunListTable[[#This Row],[Tot '#]]-SparkfunListTable[[#This Row],['# Initial]]</f>
        <v>0</v>
      </c>
      <c r="F31" s="152">
        <f>IF(AND(SparkfunListTable[[#This Row],[Tag]]&lt;&gt;FilterSpecs!$F$12, SparkfunListTable[[#This Row],[Tag]]&lt;&gt;FilterSpecs!$F$9), SparkfunListTable[[#This Row],['#/Unit]]*FilterSpecs!$B$3+SparkfunListTable[[#This Row],[Extra Initial]],0)</f>
        <v>5</v>
      </c>
      <c r="G31" s="150" t="s">
        <v>31</v>
      </c>
      <c r="H31" s="150" t="s">
        <v>32</v>
      </c>
      <c r="I31" s="150" t="s">
        <v>33</v>
      </c>
      <c r="J31" s="153">
        <v>1</v>
      </c>
      <c r="K31" s="154">
        <v>29.95</v>
      </c>
      <c r="L31" s="150" t="s">
        <v>1897</v>
      </c>
      <c r="M31" s="151"/>
      <c r="N31" s="154">
        <f>SparkfunListTable[[#This Row],['# Initial]]*SparkfunListTable[[#This Row],[Price (USD)]]</f>
        <v>149.75</v>
      </c>
      <c r="O31" s="151" t="s">
        <v>30</v>
      </c>
      <c r="P31" s="150" t="e">
        <f>IF(#REF!="List #",1,#REF!+1)</f>
        <v>#REF!</v>
      </c>
      <c r="Q31" s="150" t="s">
        <v>5</v>
      </c>
      <c r="R31"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474-DEV-13158</v>
      </c>
      <c r="S31" s="157" t="str">
        <f>HYPERLINK("https://www.mouser.com/ProductDetail/" &amp;SparkfunListTable[[#This Row],[Mouser SKU]])</f>
        <v>https://www.mouser.com/ProductDetail/474-DEV-13158</v>
      </c>
      <c r="T31" s="152">
        <v>1</v>
      </c>
      <c r="U31" s="152">
        <v>0</v>
      </c>
      <c r="V31" s="152">
        <v>0</v>
      </c>
      <c r="W31" s="152">
        <f>SparkfunListTable[[#This Row],['#/Unit]]*FilterSpecs!$C$3+SparkfunListTable[[#This Row],[Extra]]</f>
        <v>5</v>
      </c>
      <c r="X31" s="152">
        <f>IF(SparkfunListTable[[#This Row],[Tag]]=FilterSpecs!$F$7,SparkfunListTable[[#This Row],['#/Unit]]*SparkfunListTable[[#This Row],[Price (USD)]],0)</f>
        <v>29.95</v>
      </c>
      <c r="Y31" s="152">
        <f>SparkfunListTable[[#This Row],[Tot '#]]*SparkfunListTable[[#This Row],[Price (USD)]]</f>
        <v>149.75</v>
      </c>
      <c r="Z31" s="146"/>
      <c r="AA31" s="153" t="str">
        <f>SparkfunListTable[[#This Row],[SKU]]</f>
        <v>DEV-13158</v>
      </c>
      <c r="AB31" s="153">
        <f>VALUE(SparkfunListTable[[#This Row],['# Initial]])</f>
        <v>5</v>
      </c>
      <c r="AD31" s="153" t="s">
        <v>30</v>
      </c>
      <c r="AE31" s="153">
        <v>5</v>
      </c>
    </row>
    <row r="32" spans="1:31" s="153" customFormat="1" x14ac:dyDescent="0.25">
      <c r="A32" s="150" t="s">
        <v>887</v>
      </c>
      <c r="B32" s="150" t="s">
        <v>2016</v>
      </c>
      <c r="C32" s="150" t="s">
        <v>5</v>
      </c>
      <c r="D32" s="151" t="str">
        <f>IF(SparkfunListTable[[#This Row],[Vendor]]=FilterSpecs!$A$8,SparkfunListTable[[#This Row],[Mouser SKU]], SparkfunListTable[[#This Row],[Supplier SKU]])</f>
        <v>PRT-12711</v>
      </c>
      <c r="E32" s="152">
        <f>SparkfunListTable[[#This Row],[Tot '#]]-SparkfunListTable[[#This Row],['# Initial]]</f>
        <v>0</v>
      </c>
      <c r="F32" s="152">
        <f>IF(AND(SparkfunListTable[[#This Row],[Tag]]&lt;&gt;FilterSpecs!$F$12, SparkfunListTable[[#This Row],[Tag]]&lt;&gt;FilterSpecs!$F$9), SparkfunListTable[[#This Row],['#/Unit]]*FilterSpecs!$B$3+SparkfunListTable[[#This Row],[Extra Initial]],0)</f>
        <v>5</v>
      </c>
      <c r="G32" s="150" t="s">
        <v>35</v>
      </c>
      <c r="H32" s="150" t="s">
        <v>36</v>
      </c>
      <c r="I32" s="150" t="s">
        <v>37</v>
      </c>
      <c r="J32" s="153">
        <v>1</v>
      </c>
      <c r="K32" s="154">
        <v>14.95</v>
      </c>
      <c r="L32" s="150" t="s">
        <v>1897</v>
      </c>
      <c r="M32" s="151"/>
      <c r="N32" s="154">
        <f>SparkfunListTable[[#This Row],['# Initial]]*SparkfunListTable[[#This Row],[Price (USD)]]</f>
        <v>74.75</v>
      </c>
      <c r="O32" s="151" t="s">
        <v>34</v>
      </c>
      <c r="P32" s="150" t="e">
        <f t="shared" si="1"/>
        <v>#REF!</v>
      </c>
      <c r="Q32" s="150" t="s">
        <v>5</v>
      </c>
      <c r="R32"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474-PRT-12711</v>
      </c>
      <c r="S32" s="157" t="str">
        <f>HYPERLINK("https://www.mouser.com/ProductDetail/" &amp;SparkfunListTable[[#This Row],[Mouser SKU]])</f>
        <v>https://www.mouser.com/ProductDetail/474-PRT-12711</v>
      </c>
      <c r="T32" s="152">
        <v>1</v>
      </c>
      <c r="U32" s="152">
        <v>0</v>
      </c>
      <c r="V32" s="152">
        <v>0</v>
      </c>
      <c r="W32" s="152">
        <f>SparkfunListTable[[#This Row],['#/Unit]]*FilterSpecs!$C$3+SparkfunListTable[[#This Row],[Extra]]</f>
        <v>5</v>
      </c>
      <c r="X32" s="152">
        <f>IF(SparkfunListTable[[#This Row],[Tag]]=FilterSpecs!$F$7,SparkfunListTable[[#This Row],['#/Unit]]*SparkfunListTable[[#This Row],[Price (USD)]],0)</f>
        <v>14.95</v>
      </c>
      <c r="Y32" s="152">
        <f>SparkfunListTable[[#This Row],[Tot '#]]*SparkfunListTable[[#This Row],[Price (USD)]]</f>
        <v>74.75</v>
      </c>
      <c r="Z32" s="146"/>
      <c r="AA32" s="153" t="str">
        <f>SparkfunListTable[[#This Row],[SKU]]</f>
        <v>PRT-12711</v>
      </c>
      <c r="AB32" s="153">
        <f>VALUE(SparkfunListTable[[#This Row],['# Initial]])</f>
        <v>5</v>
      </c>
      <c r="AD32" s="153" t="s">
        <v>34</v>
      </c>
      <c r="AE32" s="153">
        <v>5</v>
      </c>
    </row>
    <row r="33" spans="1:31" s="153" customFormat="1" x14ac:dyDescent="0.25">
      <c r="A33" s="150" t="s">
        <v>887</v>
      </c>
      <c r="B33" s="150" t="s">
        <v>2016</v>
      </c>
      <c r="C33" s="150" t="s">
        <v>5</v>
      </c>
      <c r="D33" s="151" t="str">
        <f>IF(SparkfunListTable[[#This Row],[Vendor]]=FilterSpecs!$A$8,SparkfunListTable[[#This Row],[Mouser SKU]], SparkfunListTable[[#This Row],[Supplier SKU]])</f>
        <v>PRT-13856</v>
      </c>
      <c r="E33" s="152">
        <f>SparkfunListTable[[#This Row],[Tot '#]]-SparkfunListTable[[#This Row],['# Initial]]</f>
        <v>1</v>
      </c>
      <c r="F33" s="152">
        <f>IF(AND(SparkfunListTable[[#This Row],[Tag]]&lt;&gt;FilterSpecs!$F$12, SparkfunListTable[[#This Row],[Tag]]&lt;&gt;FilterSpecs!$F$9), SparkfunListTable[[#This Row],['#/Unit]]*FilterSpecs!$B$3+SparkfunListTable[[#This Row],[Extra Initial]],0)</f>
        <v>5</v>
      </c>
      <c r="G33" s="150" t="s">
        <v>47</v>
      </c>
      <c r="H33" s="150" t="s">
        <v>48</v>
      </c>
      <c r="I33" s="150" t="s">
        <v>49</v>
      </c>
      <c r="J33" s="153">
        <v>1</v>
      </c>
      <c r="K33" s="154">
        <v>29.95</v>
      </c>
      <c r="L33" s="150" t="s">
        <v>1897</v>
      </c>
      <c r="M33" s="151"/>
      <c r="N33" s="154">
        <f>SparkfunListTable[[#This Row],['# Initial]]*SparkfunListTable[[#This Row],[Price (USD)]]</f>
        <v>149.75</v>
      </c>
      <c r="O33" s="151" t="s">
        <v>46</v>
      </c>
      <c r="P33" s="150" t="e">
        <f>IF(#REF!="List #",1,#REF!+1)</f>
        <v>#REF!</v>
      </c>
      <c r="Q33" s="150" t="s">
        <v>5</v>
      </c>
      <c r="R33"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474-PRT-13856</v>
      </c>
      <c r="S33" s="157" t="str">
        <f>HYPERLINK("https://www.mouser.com/ProductDetail/" &amp;SparkfunListTable[[#This Row],[Mouser SKU]])</f>
        <v>https://www.mouser.com/ProductDetail/474-PRT-13856</v>
      </c>
      <c r="T33" s="152">
        <v>1</v>
      </c>
      <c r="U33" s="152">
        <v>1</v>
      </c>
      <c r="V33" s="152">
        <v>0</v>
      </c>
      <c r="W33" s="152">
        <f>SparkfunListTable[[#This Row],['#/Unit]]*FilterSpecs!$C$3+SparkfunListTable[[#This Row],[Extra]]</f>
        <v>6</v>
      </c>
      <c r="X33" s="152">
        <f>IF(SparkfunListTable[[#This Row],[Tag]]=FilterSpecs!$F$7,SparkfunListTable[[#This Row],['#/Unit]]*SparkfunListTable[[#This Row],[Price (USD)]],0)</f>
        <v>29.95</v>
      </c>
      <c r="Y33" s="152">
        <f>SparkfunListTable[[#This Row],[Tot '#]]*SparkfunListTable[[#This Row],[Price (USD)]]</f>
        <v>179.7</v>
      </c>
      <c r="Z33" s="146"/>
      <c r="AA33" s="153" t="str">
        <f>SparkfunListTable[[#This Row],[SKU]]</f>
        <v>PRT-13856</v>
      </c>
      <c r="AB33" s="153">
        <f>VALUE(SparkfunListTable[[#This Row],['# Initial]])</f>
        <v>5</v>
      </c>
      <c r="AD33" s="153" t="s">
        <v>46</v>
      </c>
      <c r="AE33" s="153">
        <v>5</v>
      </c>
    </row>
    <row r="34" spans="1:31" s="153" customFormat="1" x14ac:dyDescent="0.25">
      <c r="A34" s="150" t="s">
        <v>887</v>
      </c>
      <c r="B34" s="150" t="s">
        <v>2011</v>
      </c>
      <c r="C34" s="150" t="s">
        <v>5</v>
      </c>
      <c r="D34" s="151" t="str">
        <f>IF(SparkfunListTable[[#This Row],[Vendor]]=FilterSpecs!$A$8,SparkfunListTable[[#This Row],[Mouser SKU]], SparkfunListTable[[#This Row],[Supplier SKU]])</f>
        <v>PRT-13032</v>
      </c>
      <c r="E34" s="152">
        <f>SparkfunListTable[[#This Row],[Tot '#]]-SparkfunListTable[[#This Row],['# Initial]]</f>
        <v>0</v>
      </c>
      <c r="F34" s="152">
        <f>IF(AND(SparkfunListTable[[#This Row],[Tag]]&lt;&gt;FilterSpecs!$F$12, SparkfunListTable[[#This Row],[Tag]]&lt;&gt;FilterSpecs!$F$9), SparkfunListTable[[#This Row],['#/Unit]]*FilterSpecs!$B$3+SparkfunListTable[[#This Row],[Extra Initial]],0)</f>
        <v>5</v>
      </c>
      <c r="G34" s="150" t="s">
        <v>39</v>
      </c>
      <c r="H34" s="150" t="s">
        <v>40</v>
      </c>
      <c r="I34" s="150" t="s">
        <v>41</v>
      </c>
      <c r="J34" s="153">
        <v>1</v>
      </c>
      <c r="K34" s="154">
        <v>9.9499999999999993</v>
      </c>
      <c r="L34" s="150" t="s">
        <v>1897</v>
      </c>
      <c r="M34" s="151"/>
      <c r="N34" s="154">
        <f>SparkfunListTable[[#This Row],['# Initial]]*SparkfunListTable[[#This Row],[Price (USD)]]</f>
        <v>49.75</v>
      </c>
      <c r="O34" s="151" t="s">
        <v>38</v>
      </c>
      <c r="P34" s="150" t="e">
        <f>IF(#REF!="List #",1,#REF!+1)</f>
        <v>#REF!</v>
      </c>
      <c r="Q34" s="150" t="s">
        <v>5</v>
      </c>
      <c r="R34"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474-PRT-13032</v>
      </c>
      <c r="S34" s="157" t="str">
        <f>HYPERLINK("https://www.mouser.com/ProductDetail/" &amp;SparkfunListTable[[#This Row],[Mouser SKU]])</f>
        <v>https://www.mouser.com/ProductDetail/474-PRT-13032</v>
      </c>
      <c r="T34" s="152">
        <v>1</v>
      </c>
      <c r="U34" s="152">
        <v>0</v>
      </c>
      <c r="V34" s="152">
        <v>0</v>
      </c>
      <c r="W34" s="152">
        <f>SparkfunListTable[[#This Row],['#/Unit]]*FilterSpecs!$C$3+SparkfunListTable[[#This Row],[Extra]]</f>
        <v>5</v>
      </c>
      <c r="X34" s="152">
        <f>IF(SparkfunListTable[[#This Row],[Tag]]=FilterSpecs!$F$7,SparkfunListTable[[#This Row],['#/Unit]]*SparkfunListTable[[#This Row],[Price (USD)]],0)</f>
        <v>9.9499999999999993</v>
      </c>
      <c r="Y34" s="152">
        <f>SparkfunListTable[[#This Row],[Tot '#]]*SparkfunListTable[[#This Row],[Price (USD)]]</f>
        <v>49.75</v>
      </c>
      <c r="Z34" s="146"/>
      <c r="AA34" s="153" t="str">
        <f>SparkfunListTable[[#This Row],[SKU]]</f>
        <v>PRT-13032</v>
      </c>
      <c r="AB34" s="153">
        <f>VALUE(SparkfunListTable[[#This Row],['# Initial]])</f>
        <v>5</v>
      </c>
      <c r="AD34" s="153" t="s">
        <v>38</v>
      </c>
      <c r="AE34" s="153">
        <v>5</v>
      </c>
    </row>
    <row r="35" spans="1:31" s="153" customFormat="1" x14ac:dyDescent="0.25">
      <c r="A35" s="150" t="s">
        <v>887</v>
      </c>
      <c r="B35" s="150" t="s">
        <v>2011</v>
      </c>
      <c r="C35" s="150" t="s">
        <v>5</v>
      </c>
      <c r="D35" s="151" t="str">
        <f>IF(SparkfunListTable[[#This Row],[Vendor]]=FilterSpecs!$A$8,SparkfunListTable[[#This Row],[Mouser SKU]], SparkfunListTable[[#This Row],[Supplier SKU]])</f>
        <v>PRT-10811</v>
      </c>
      <c r="E35" s="152">
        <f>SparkfunListTable[[#This Row],[Tot '#]]-SparkfunListTable[[#This Row],['# Initial]]</f>
        <v>1</v>
      </c>
      <c r="F35" s="152">
        <f>IF(AND(SparkfunListTable[[#This Row],[Tag]]&lt;&gt;FilterSpecs!$F$12, SparkfunListTable[[#This Row],[Tag]]&lt;&gt;FilterSpecs!$F$9), SparkfunListTable[[#This Row],['#/Unit]]*FilterSpecs!$B$3+SparkfunListTable[[#This Row],[Extra Initial]],0)</f>
        <v>5</v>
      </c>
      <c r="G35" s="150" t="s">
        <v>565</v>
      </c>
      <c r="H35" s="150" t="s">
        <v>566</v>
      </c>
      <c r="I35" s="150" t="s">
        <v>567</v>
      </c>
      <c r="K35" s="154">
        <v>0.95</v>
      </c>
      <c r="L35" s="150" t="s">
        <v>1897</v>
      </c>
      <c r="M35" s="151"/>
      <c r="N35" s="154">
        <f>SparkfunListTable[[#This Row],['# Initial]]*SparkfunListTable[[#This Row],[Price (USD)]]</f>
        <v>4.75</v>
      </c>
      <c r="O35" s="151" t="s">
        <v>564</v>
      </c>
      <c r="P35" s="150" t="e">
        <f>IF(#REF!="List #",1,#REF!+1)</f>
        <v>#REF!</v>
      </c>
      <c r="Q35" s="150" t="s">
        <v>5</v>
      </c>
      <c r="R35"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474-PRT-10811</v>
      </c>
      <c r="S35" s="157" t="str">
        <f>HYPERLINK("https://www.mouser.com/ProductDetail/" &amp;SparkfunListTable[[#This Row],[Mouser SKU]])</f>
        <v>https://www.mouser.com/ProductDetail/474-PRT-10811</v>
      </c>
      <c r="T35" s="152">
        <v>1</v>
      </c>
      <c r="U35" s="152">
        <v>1</v>
      </c>
      <c r="V35" s="152">
        <v>0</v>
      </c>
      <c r="W35" s="152">
        <f>SparkfunListTable[[#This Row],['#/Unit]]*FilterSpecs!$C$3+SparkfunListTable[[#This Row],[Extra]]</f>
        <v>6</v>
      </c>
      <c r="X35" s="152">
        <f>IF(SparkfunListTable[[#This Row],[Tag]]=FilterSpecs!$F$7,SparkfunListTable[[#This Row],['#/Unit]]*SparkfunListTable[[#This Row],[Price (USD)]],0)</f>
        <v>0.95</v>
      </c>
      <c r="Y35" s="152">
        <f>SparkfunListTable[[#This Row],[Tot '#]]*SparkfunListTable[[#This Row],[Price (USD)]]</f>
        <v>5.6999999999999993</v>
      </c>
      <c r="Z35" s="146"/>
      <c r="AA35" s="153" t="str">
        <f>SparkfunListTable[[#This Row],[SKU]]</f>
        <v>PRT-10811</v>
      </c>
      <c r="AB35" s="153">
        <f>VALUE(SparkfunListTable[[#This Row],['# Initial]])</f>
        <v>5</v>
      </c>
      <c r="AD35" s="153" t="s">
        <v>564</v>
      </c>
      <c r="AE35" s="153">
        <v>5</v>
      </c>
    </row>
    <row r="36" spans="1:31" s="153" customFormat="1" x14ac:dyDescent="0.25">
      <c r="A36" s="150" t="s">
        <v>887</v>
      </c>
      <c r="B36" s="151" t="s">
        <v>2012</v>
      </c>
      <c r="C36" s="150" t="s">
        <v>5</v>
      </c>
      <c r="D36" s="151" t="str">
        <f>IF(SparkfunListTable[[#This Row],[Vendor]]=FilterSpecs!$A$8,SparkfunListTable[[#This Row],[Mouser SKU]], SparkfunListTable[[#This Row],[Supplier SKU]])</f>
        <v>PRT-11214</v>
      </c>
      <c r="E36" s="152">
        <f>SparkfunListTable[[#This Row],[Tot '#]]-SparkfunListTable[[#This Row],['# Initial]]</f>
        <v>0</v>
      </c>
      <c r="F36" s="152">
        <f>IF(AND(SparkfunListTable[[#This Row],[Tag]]&lt;&gt;FilterSpecs!$F$12, SparkfunListTable[[#This Row],[Tag]]&lt;&gt;FilterSpecs!$F$9), SparkfunListTable[[#This Row],['#/Unit]]*FilterSpecs!$B$3+SparkfunListTable[[#This Row],[Extra Initial]],0)</f>
        <v>5</v>
      </c>
      <c r="G36" s="150" t="s">
        <v>801</v>
      </c>
      <c r="H36" s="150" t="s">
        <v>802</v>
      </c>
      <c r="I36" s="150" t="s">
        <v>803</v>
      </c>
      <c r="J36" s="150">
        <v>1</v>
      </c>
      <c r="K36" s="154">
        <v>6.95</v>
      </c>
      <c r="L36" s="150" t="s">
        <v>1897</v>
      </c>
      <c r="M36" s="151"/>
      <c r="N36" s="154">
        <f>SparkfunListTable[[#This Row],['# Initial]]*SparkfunListTable[[#This Row],[Price (USD)]]</f>
        <v>34.75</v>
      </c>
      <c r="O36" s="151" t="s">
        <v>800</v>
      </c>
      <c r="P36" s="150" t="e">
        <f>IF(#REF!="List #",1,#REF!+1)</f>
        <v>#REF!</v>
      </c>
      <c r="Q36" s="150" t="s">
        <v>5</v>
      </c>
      <c r="R36"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474-PRT-11214</v>
      </c>
      <c r="S36" s="157" t="str">
        <f>HYPERLINK("https://www.mouser.com/ProductDetail/" &amp;SparkfunListTable[[#This Row],[Mouser SKU]])</f>
        <v>https://www.mouser.com/ProductDetail/474-PRT-11214</v>
      </c>
      <c r="T36" s="152">
        <v>1</v>
      </c>
      <c r="U36" s="152">
        <v>0</v>
      </c>
      <c r="V36" s="152">
        <v>0</v>
      </c>
      <c r="W36" s="152">
        <f>SparkfunListTable[[#This Row],['#/Unit]]*FilterSpecs!$C$3+SparkfunListTable[[#This Row],[Extra]]</f>
        <v>5</v>
      </c>
      <c r="X36" s="152">
        <f>IF(SparkfunListTable[[#This Row],[Tag]]=FilterSpecs!$F$7,SparkfunListTable[[#This Row],['#/Unit]]*SparkfunListTable[[#This Row],[Price (USD)]],0)</f>
        <v>6.95</v>
      </c>
      <c r="Y36" s="152">
        <f>SparkfunListTable[[#This Row],[Tot '#]]*SparkfunListTable[[#This Row],[Price (USD)]]</f>
        <v>34.75</v>
      </c>
      <c r="Z36" s="146"/>
      <c r="AA36" s="153" t="str">
        <f>SparkfunListTable[[#This Row],[SKU]]</f>
        <v>PRT-11214</v>
      </c>
      <c r="AB36" s="153">
        <f>VALUE(SparkfunListTable[[#This Row],['# Initial]])</f>
        <v>5</v>
      </c>
      <c r="AD36" s="153" t="s">
        <v>800</v>
      </c>
      <c r="AE36" s="153">
        <v>5</v>
      </c>
    </row>
    <row r="37" spans="1:31" s="153" customFormat="1" x14ac:dyDescent="0.25">
      <c r="A37" s="150" t="s">
        <v>887</v>
      </c>
      <c r="B37" s="150" t="s">
        <v>2014</v>
      </c>
      <c r="C37" s="150" t="s">
        <v>5</v>
      </c>
      <c r="D37" s="151" t="str">
        <f>IF(SparkfunListTable[[#This Row],[Vendor]]=FilterSpecs!$A$8,SparkfunListTable[[#This Row],[Mouser SKU]], SparkfunListTable[[#This Row],[Supplier SKU]])</f>
        <v>PRT-11476</v>
      </c>
      <c r="E37" s="152">
        <f>SparkfunListTable[[#This Row],[Tot '#]]-SparkfunListTable[[#This Row],['# Initial]]</f>
        <v>1</v>
      </c>
      <c r="F37" s="152">
        <f>IF(AND(SparkfunListTable[[#This Row],[Tag]]&lt;&gt;FilterSpecs!$F$12, SparkfunListTable[[#This Row],[Tag]]&lt;&gt;FilterSpecs!$F$9), SparkfunListTable[[#This Row],['#/Unit]]*FilterSpecs!$B$3+SparkfunListTable[[#This Row],[Extra Initial]],0)</f>
        <v>5</v>
      </c>
      <c r="G37" s="150" t="s">
        <v>1016</v>
      </c>
      <c r="H37" s="150" t="s">
        <v>1017</v>
      </c>
      <c r="I37" s="150" t="s">
        <v>1018</v>
      </c>
      <c r="J37" s="153">
        <v>1</v>
      </c>
      <c r="K37" s="154">
        <v>0.95</v>
      </c>
      <c r="L37" s="150" t="s">
        <v>1897</v>
      </c>
      <c r="M37" s="151"/>
      <c r="N37" s="154">
        <f>SparkfunListTable[[#This Row],['# Initial]]*SparkfunListTable[[#This Row],[Price (USD)]]</f>
        <v>4.75</v>
      </c>
      <c r="O37" s="151" t="s">
        <v>1015</v>
      </c>
      <c r="P37" s="150" t="e">
        <f>IF(#REF!="List #",1,#REF!+1)</f>
        <v>#REF!</v>
      </c>
      <c r="Q37" s="150" t="s">
        <v>5</v>
      </c>
      <c r="R37"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474-PRT-11476</v>
      </c>
      <c r="S37" s="157" t="str">
        <f>HYPERLINK("https://www.mouser.com/ProductDetail/" &amp;SparkfunListTable[[#This Row],[Mouser SKU]])</f>
        <v>https://www.mouser.com/ProductDetail/474-PRT-11476</v>
      </c>
      <c r="T37" s="152">
        <v>1</v>
      </c>
      <c r="U37" s="152">
        <v>1</v>
      </c>
      <c r="V37" s="152">
        <v>0</v>
      </c>
      <c r="W37" s="152">
        <f>SparkfunListTable[[#This Row],['#/Unit]]*FilterSpecs!$C$3+SparkfunListTable[[#This Row],[Extra]]</f>
        <v>6</v>
      </c>
      <c r="X37" s="152">
        <f>IF(SparkfunListTable[[#This Row],[Tag]]=FilterSpecs!$F$7,SparkfunListTable[[#This Row],['#/Unit]]*SparkfunListTable[[#This Row],[Price (USD)]],0)</f>
        <v>0.95</v>
      </c>
      <c r="Y37" s="152">
        <f>SparkfunListTable[[#This Row],[Tot '#]]*SparkfunListTable[[#This Row],[Price (USD)]]</f>
        <v>5.6999999999999993</v>
      </c>
      <c r="Z37" s="146"/>
      <c r="AA37" s="153" t="str">
        <f>SparkfunListTable[[#This Row],[SKU]]</f>
        <v>PRT-11476</v>
      </c>
      <c r="AB37" s="153">
        <f>VALUE(SparkfunListTable[[#This Row],['# Initial]])</f>
        <v>5</v>
      </c>
      <c r="AD37" s="153" t="s">
        <v>1015</v>
      </c>
      <c r="AE37" s="153">
        <v>5</v>
      </c>
    </row>
    <row r="38" spans="1:31" s="153" customFormat="1" x14ac:dyDescent="0.25">
      <c r="A38" s="150" t="s">
        <v>887</v>
      </c>
      <c r="B38" s="150" t="s">
        <v>10</v>
      </c>
      <c r="C38" s="150" t="s">
        <v>5</v>
      </c>
      <c r="D38" s="151" t="str">
        <f>IF(SparkfunListTable[[#This Row],[Vendor]]=FilterSpecs!$A$8,SparkfunListTable[[#This Row],[Mouser SKU]], SparkfunListTable[[#This Row],[Supplier SKU]])</f>
        <v>SEN-00241</v>
      </c>
      <c r="E38" s="152">
        <f>SparkfunListTable[[#This Row],[Tot '#]]-SparkfunListTable[[#This Row],['# Initial]]</f>
        <v>0</v>
      </c>
      <c r="F38" s="152">
        <f>IF(AND(SparkfunListTable[[#This Row],[Tag]]&lt;&gt;FilterSpecs!$F$12, SparkfunListTable[[#This Row],[Tag]]&lt;&gt;FilterSpecs!$F$9), SparkfunListTable[[#This Row],['#/Unit]]*FilterSpecs!$B$3+SparkfunListTable[[#This Row],[Extra Initial]],0)</f>
        <v>20</v>
      </c>
      <c r="G38" s="150" t="s">
        <v>71</v>
      </c>
      <c r="H38" s="150" t="s">
        <v>72</v>
      </c>
      <c r="I38" s="150" t="s">
        <v>73</v>
      </c>
      <c r="J38" s="150">
        <v>1</v>
      </c>
      <c r="K38" s="154">
        <v>1.95</v>
      </c>
      <c r="L38" s="150" t="s">
        <v>1897</v>
      </c>
      <c r="M38" s="151"/>
      <c r="N38" s="154">
        <f>SparkfunListTable[[#This Row],['# Initial]]*SparkfunListTable[[#This Row],[Price (USD)]]</f>
        <v>39</v>
      </c>
      <c r="O38" s="151" t="s">
        <v>70</v>
      </c>
      <c r="P38" s="150" t="e">
        <f>IF(#REF!="List #",1,#REF!+1)</f>
        <v>#REF!</v>
      </c>
      <c r="Q38" s="150" t="s">
        <v>5</v>
      </c>
      <c r="R38"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474-SEN-00241</v>
      </c>
      <c r="S38" s="157" t="str">
        <f>HYPERLINK("https://www.mouser.com/ProductDetail/" &amp;SparkfunListTable[[#This Row],[Mouser SKU]])</f>
        <v>https://www.mouser.com/ProductDetail/474-SEN-00241</v>
      </c>
      <c r="T38" s="152">
        <v>4</v>
      </c>
      <c r="U38" s="152">
        <v>0</v>
      </c>
      <c r="V38" s="152">
        <v>0</v>
      </c>
      <c r="W38" s="152">
        <f>SparkfunListTable[[#This Row],['#/Unit]]*FilterSpecs!$C$3+SparkfunListTable[[#This Row],[Extra]]</f>
        <v>20</v>
      </c>
      <c r="X38" s="152">
        <f>IF(SparkfunListTable[[#This Row],[Tag]]=FilterSpecs!$F$7,SparkfunListTable[[#This Row],['#/Unit]]*SparkfunListTable[[#This Row],[Price (USD)]],0)</f>
        <v>7.8</v>
      </c>
      <c r="Y38" s="152">
        <f>SparkfunListTable[[#This Row],[Tot '#]]*SparkfunListTable[[#This Row],[Price (USD)]]</f>
        <v>39</v>
      </c>
      <c r="Z38" s="146"/>
      <c r="AA38" s="153" t="str">
        <f>SparkfunListTable[[#This Row],[SKU]]</f>
        <v>SEN-00241</v>
      </c>
      <c r="AB38" s="153">
        <f>VALUE(SparkfunListTable[[#This Row],['# Initial]])</f>
        <v>20</v>
      </c>
      <c r="AD38" s="153" t="s">
        <v>70</v>
      </c>
      <c r="AE38" s="153">
        <v>20</v>
      </c>
    </row>
    <row r="39" spans="1:31" s="153" customFormat="1" x14ac:dyDescent="0.25">
      <c r="A39" s="150" t="s">
        <v>887</v>
      </c>
      <c r="B39" s="150" t="s">
        <v>10</v>
      </c>
      <c r="C39" s="150" t="s">
        <v>5</v>
      </c>
      <c r="D39" s="151" t="str">
        <f>IF(SparkfunListTable[[#This Row],[Vendor]]=FilterSpecs!$A$8,SparkfunListTable[[#This Row],[Mouser SKU]], SparkfunListTable[[#This Row],[Supplier SKU]])</f>
        <v>SEN-13968</v>
      </c>
      <c r="E39" s="152">
        <f>SparkfunListTable[[#This Row],[Tot '#]]-SparkfunListTable[[#This Row],['# Initial]]</f>
        <v>0</v>
      </c>
      <c r="F39" s="152">
        <f>IF(AND(SparkfunListTable[[#This Row],[Tag]]&lt;&gt;FilterSpecs!$F$12, SparkfunListTable[[#This Row],[Tag]]&lt;&gt;FilterSpecs!$F$9), SparkfunListTable[[#This Row],['#/Unit]]*FilterSpecs!$B$3+SparkfunListTable[[#This Row],[Extra Initial]],0)</f>
        <v>5</v>
      </c>
      <c r="G39" s="150" t="s">
        <v>75</v>
      </c>
      <c r="H39" s="150" t="s">
        <v>76</v>
      </c>
      <c r="I39" s="150" t="s">
        <v>77</v>
      </c>
      <c r="J39" s="150"/>
      <c r="K39" s="154">
        <v>14.95</v>
      </c>
      <c r="L39" s="89" t="s">
        <v>1897</v>
      </c>
      <c r="M39" s="151"/>
      <c r="N39" s="154">
        <f>SparkfunListTable[[#This Row],['# Initial]]*SparkfunListTable[[#This Row],[Price (USD)]]</f>
        <v>74.75</v>
      </c>
      <c r="O39" s="151" t="s">
        <v>74</v>
      </c>
      <c r="P39" s="150" t="e">
        <f t="shared" si="1"/>
        <v>#REF!</v>
      </c>
      <c r="Q39" s="150" t="s">
        <v>5</v>
      </c>
      <c r="R39"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474-SEN-13968</v>
      </c>
      <c r="S39" s="157" t="str">
        <f>HYPERLINK("https://www.mouser.com/ProductDetail/" &amp;SparkfunListTable[[#This Row],[Mouser SKU]])</f>
        <v>https://www.mouser.com/ProductDetail/474-SEN-13968</v>
      </c>
      <c r="T39" s="152">
        <v>1</v>
      </c>
      <c r="U39" s="152">
        <v>0</v>
      </c>
      <c r="V39" s="152">
        <v>0</v>
      </c>
      <c r="W39" s="152">
        <f>SparkfunListTable[[#This Row],['#/Unit]]*FilterSpecs!$C$3+SparkfunListTable[[#This Row],[Extra]]</f>
        <v>5</v>
      </c>
      <c r="X39" s="152">
        <f>IF(SparkfunListTable[[#This Row],[Tag]]=FilterSpecs!$F$7,SparkfunListTable[[#This Row],['#/Unit]]*SparkfunListTable[[#This Row],[Price (USD)]],0)</f>
        <v>14.95</v>
      </c>
      <c r="Y39" s="152">
        <f>SparkfunListTable[[#This Row],[Tot '#]]*SparkfunListTable[[#This Row],[Price (USD)]]</f>
        <v>74.75</v>
      </c>
      <c r="Z39" s="146"/>
      <c r="AA39" s="153" t="str">
        <f>SparkfunListTable[[#This Row],[SKU]]</f>
        <v>SEN-13968</v>
      </c>
      <c r="AB39" s="153">
        <f>VALUE(SparkfunListTable[[#This Row],['# Initial]])</f>
        <v>5</v>
      </c>
      <c r="AD39" s="153" t="s">
        <v>74</v>
      </c>
      <c r="AE39" s="153">
        <v>5</v>
      </c>
    </row>
    <row r="40" spans="1:31" s="153" customFormat="1" x14ac:dyDescent="0.25">
      <c r="A40" s="150" t="s">
        <v>887</v>
      </c>
      <c r="B40" s="150" t="s">
        <v>10</v>
      </c>
      <c r="C40" s="150" t="s">
        <v>5</v>
      </c>
      <c r="D40" s="151" t="str">
        <f>IF(SparkfunListTable[[#This Row],[Vendor]]=FilterSpecs!$A$8,SparkfunListTable[[#This Row],[Mouser SKU]], SparkfunListTable[[#This Row],[Supplier SKU]])</f>
        <v>SEN-13959</v>
      </c>
      <c r="E40" s="152">
        <f>SparkfunListTable[[#This Row],[Tot '#]]-SparkfunListTable[[#This Row],['# Initial]]</f>
        <v>0</v>
      </c>
      <c r="F40" s="152">
        <f>IF(AND(SparkfunListTable[[#This Row],[Tag]]&lt;&gt;FilterSpecs!$F$12, SparkfunListTable[[#This Row],[Tag]]&lt;&gt;FilterSpecs!$F$9), SparkfunListTable[[#This Row],['#/Unit]]*FilterSpecs!$B$3+SparkfunListTable[[#This Row],[Extra Initial]],0)</f>
        <v>5</v>
      </c>
      <c r="G40" s="150" t="s">
        <v>79</v>
      </c>
      <c r="H40" s="150" t="s">
        <v>80</v>
      </c>
      <c r="I40" s="150" t="s">
        <v>81</v>
      </c>
      <c r="J40" s="150">
        <v>1</v>
      </c>
      <c r="K40" s="154">
        <v>3.95</v>
      </c>
      <c r="L40" s="150" t="s">
        <v>1897</v>
      </c>
      <c r="M40" s="151"/>
      <c r="N40" s="154">
        <f>SparkfunListTable[[#This Row],['# Initial]]*SparkfunListTable[[#This Row],[Price (USD)]]</f>
        <v>19.75</v>
      </c>
      <c r="O40" s="151" t="s">
        <v>78</v>
      </c>
      <c r="P40" s="150" t="e">
        <f t="shared" si="1"/>
        <v>#REF!</v>
      </c>
      <c r="Q40" s="150" t="s">
        <v>5</v>
      </c>
      <c r="R40"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474-SEN-13959</v>
      </c>
      <c r="S40" s="157" t="str">
        <f>HYPERLINK("https://www.mouser.com/ProductDetail/" &amp;SparkfunListTable[[#This Row],[Mouser SKU]])</f>
        <v>https://www.mouser.com/ProductDetail/474-SEN-13959</v>
      </c>
      <c r="T40" s="152">
        <v>1</v>
      </c>
      <c r="U40" s="152">
        <v>0</v>
      </c>
      <c r="V40" s="152">
        <v>0</v>
      </c>
      <c r="W40" s="152">
        <f>SparkfunListTable[[#This Row],['#/Unit]]*FilterSpecs!$C$3+SparkfunListTable[[#This Row],[Extra]]</f>
        <v>5</v>
      </c>
      <c r="X40" s="152">
        <f>IF(SparkfunListTable[[#This Row],[Tag]]=FilterSpecs!$F$7,SparkfunListTable[[#This Row],['#/Unit]]*SparkfunListTable[[#This Row],[Price (USD)]],0)</f>
        <v>3.95</v>
      </c>
      <c r="Y40" s="152">
        <f>SparkfunListTable[[#This Row],[Tot '#]]*SparkfunListTable[[#This Row],[Price (USD)]]</f>
        <v>19.75</v>
      </c>
      <c r="Z40" s="146"/>
      <c r="AA40" s="153" t="str">
        <f>SparkfunListTable[[#This Row],[SKU]]</f>
        <v>SEN-13959</v>
      </c>
      <c r="AB40" s="153">
        <f>VALUE(SparkfunListTable[[#This Row],['# Initial]])</f>
        <v>5</v>
      </c>
      <c r="AD40" s="153" t="s">
        <v>78</v>
      </c>
      <c r="AE40" s="153">
        <v>5</v>
      </c>
    </row>
    <row r="41" spans="1:31" s="153" customFormat="1" x14ac:dyDescent="0.25">
      <c r="A41" s="150" t="s">
        <v>887</v>
      </c>
      <c r="B41" s="150" t="s">
        <v>11</v>
      </c>
      <c r="C41" s="150" t="s">
        <v>5</v>
      </c>
      <c r="D41" s="151" t="str">
        <f>IF(SparkfunListTable[[#This Row],[Vendor]]=FilterSpecs!$A$8,SparkfunListTable[[#This Row],[Mouser SKU]], SparkfunListTable[[#This Row],[Supplier SKU]])</f>
        <v>SEN-09196</v>
      </c>
      <c r="E41" s="152">
        <f>SparkfunListTable[[#This Row],[Tot '#]]-SparkfunListTable[[#This Row],['# Initial]]</f>
        <v>0</v>
      </c>
      <c r="F41" s="152">
        <f>IF(AND(SparkfunListTable[[#This Row],[Tag]]&lt;&gt;FilterSpecs!$F$12, SparkfunListTable[[#This Row],[Tag]]&lt;&gt;FilterSpecs!$F$9), SparkfunListTable[[#This Row],['#/Unit]]*FilterSpecs!$B$3+SparkfunListTable[[#This Row],[Extra Initial]],0)</f>
        <v>5</v>
      </c>
      <c r="G41" s="150" t="s">
        <v>103</v>
      </c>
      <c r="H41" s="150" t="s">
        <v>104</v>
      </c>
      <c r="I41" s="150" t="s">
        <v>105</v>
      </c>
      <c r="J41" s="153">
        <v>1</v>
      </c>
      <c r="K41" s="154">
        <v>2.95</v>
      </c>
      <c r="L41" s="150" t="s">
        <v>1897</v>
      </c>
      <c r="M41" s="151"/>
      <c r="N41" s="154">
        <f>SparkfunListTable[[#This Row],['# Initial]]*SparkfunListTable[[#This Row],[Price (USD)]]</f>
        <v>14.75</v>
      </c>
      <c r="O41" s="151" t="s">
        <v>102</v>
      </c>
      <c r="P41" s="150" t="e">
        <f>IF(#REF!="List #",1,#REF!+1)</f>
        <v>#REF!</v>
      </c>
      <c r="Q41" s="150" t="s">
        <v>5</v>
      </c>
      <c r="R41"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474-SEN-09196</v>
      </c>
      <c r="S41" s="157" t="str">
        <f>HYPERLINK("https://www.mouser.com/ProductDetail/" &amp;SparkfunListTable[[#This Row],[Mouser SKU]])</f>
        <v>https://www.mouser.com/ProductDetail/474-SEN-09196</v>
      </c>
      <c r="T41" s="152">
        <v>1</v>
      </c>
      <c r="U41" s="152">
        <v>0</v>
      </c>
      <c r="V41" s="152">
        <v>0</v>
      </c>
      <c r="W41" s="152">
        <f>SparkfunListTable[[#This Row],['#/Unit]]*FilterSpecs!$C$3+SparkfunListTable[[#This Row],[Extra]]</f>
        <v>5</v>
      </c>
      <c r="X41" s="152">
        <f>IF(SparkfunListTable[[#This Row],[Tag]]=FilterSpecs!$F$7,SparkfunListTable[[#This Row],['#/Unit]]*SparkfunListTable[[#This Row],[Price (USD)]],0)</f>
        <v>2.95</v>
      </c>
      <c r="Y41" s="152">
        <f>SparkfunListTable[[#This Row],[Tot '#]]*SparkfunListTable[[#This Row],[Price (USD)]]</f>
        <v>14.75</v>
      </c>
      <c r="Z41" s="146"/>
      <c r="AA41" s="153" t="str">
        <f>SparkfunListTable[[#This Row],[SKU]]</f>
        <v>SEN-09196</v>
      </c>
      <c r="AB41" s="153">
        <f>VALUE(SparkfunListTable[[#This Row],['# Initial]])</f>
        <v>5</v>
      </c>
      <c r="AD41" s="153" t="s">
        <v>102</v>
      </c>
      <c r="AE41" s="153">
        <v>5</v>
      </c>
    </row>
    <row r="42" spans="1:31" s="153" customFormat="1" x14ac:dyDescent="0.25">
      <c r="A42" s="150" t="s">
        <v>887</v>
      </c>
      <c r="B42" s="150" t="s">
        <v>11</v>
      </c>
      <c r="C42" s="150" t="s">
        <v>5</v>
      </c>
      <c r="D42" s="151" t="str">
        <f>IF(SparkfunListTable[[#This Row],[Vendor]]=FilterSpecs!$A$8,SparkfunListTable[[#This Row],[Mouser SKU]], SparkfunListTable[[#This Row],[Supplier SKU]])</f>
        <v>SEN-10289</v>
      </c>
      <c r="E42" s="152">
        <f>SparkfunListTable[[#This Row],[Tot '#]]-SparkfunListTable[[#This Row],['# Initial]]</f>
        <v>0</v>
      </c>
      <c r="F42" s="152">
        <f>IF(AND(SparkfunListTable[[#This Row],[Tag]]&lt;&gt;FilterSpecs!$F$12, SparkfunListTable[[#This Row],[Tag]]&lt;&gt;FilterSpecs!$F$9), SparkfunListTable[[#This Row],['#/Unit]]*FilterSpecs!$B$3+SparkfunListTable[[#This Row],[Extra Initial]],0)</f>
        <v>5</v>
      </c>
      <c r="G42" s="150" t="s">
        <v>283</v>
      </c>
      <c r="H42" s="150" t="s">
        <v>284</v>
      </c>
      <c r="I42" s="150" t="s">
        <v>285</v>
      </c>
      <c r="J42" s="150">
        <v>1</v>
      </c>
      <c r="K42" s="154">
        <v>1.95</v>
      </c>
      <c r="L42" s="150" t="s">
        <v>1897</v>
      </c>
      <c r="M42" s="151"/>
      <c r="N42" s="154">
        <f>SparkfunListTable[[#This Row],['# Initial]]*SparkfunListTable[[#This Row],[Price (USD)]]</f>
        <v>9.75</v>
      </c>
      <c r="O42" s="151" t="s">
        <v>282</v>
      </c>
      <c r="P42" s="150" t="e">
        <f>IF(#REF!="List #",1,#REF!+1)</f>
        <v>#REF!</v>
      </c>
      <c r="Q42" s="150" t="s">
        <v>5</v>
      </c>
      <c r="R42"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474-SEN-10289</v>
      </c>
      <c r="S42" s="157" t="str">
        <f>HYPERLINK("https://www.mouser.com/ProductDetail/" &amp;SparkfunListTable[[#This Row],[Mouser SKU]])</f>
        <v>https://www.mouser.com/ProductDetail/474-SEN-10289</v>
      </c>
      <c r="T42" s="152">
        <v>1</v>
      </c>
      <c r="U42" s="152">
        <v>0</v>
      </c>
      <c r="V42" s="152">
        <v>0</v>
      </c>
      <c r="W42" s="152">
        <f>SparkfunListTable[[#This Row],['#/Unit]]*FilterSpecs!$C$3+SparkfunListTable[[#This Row],[Extra]]</f>
        <v>5</v>
      </c>
      <c r="X42" s="152">
        <f>IF(SparkfunListTable[[#This Row],[Tag]]=FilterSpecs!$F$7,SparkfunListTable[[#This Row],['#/Unit]]*SparkfunListTable[[#This Row],[Price (USD)]],0)</f>
        <v>1.95</v>
      </c>
      <c r="Y42" s="152">
        <f>SparkfunListTable[[#This Row],[Tot '#]]*SparkfunListTable[[#This Row],[Price (USD)]]</f>
        <v>9.75</v>
      </c>
      <c r="Z42" s="146"/>
      <c r="AA42" s="153" t="str">
        <f>SparkfunListTable[[#This Row],[SKU]]</f>
        <v>SEN-10289</v>
      </c>
      <c r="AB42" s="153">
        <f>VALUE(SparkfunListTable[[#This Row],['# Initial]])</f>
        <v>5</v>
      </c>
      <c r="AD42" s="153" t="s">
        <v>282</v>
      </c>
      <c r="AE42" s="153">
        <v>5</v>
      </c>
    </row>
    <row r="43" spans="1:31" s="153" customFormat="1" x14ac:dyDescent="0.25">
      <c r="A43" s="97" t="s">
        <v>887</v>
      </c>
      <c r="B43" s="97" t="s">
        <v>11</v>
      </c>
      <c r="C43" s="150" t="s">
        <v>5</v>
      </c>
      <c r="D43" s="151" t="str">
        <f>IF(SparkfunListTable[[#This Row],[Vendor]]=FilterSpecs!$A$8,SparkfunListTable[[#This Row],[Mouser SKU]], SparkfunListTable[[#This Row],[Supplier SKU]])</f>
        <v>COM-14111</v>
      </c>
      <c r="E43" s="152">
        <f>SparkfunListTable[[#This Row],[Tot '#]]-SparkfunListTable[[#This Row],['# Initial]]</f>
        <v>0</v>
      </c>
      <c r="F43" s="152">
        <f>IF(AND(SparkfunListTable[[#This Row],[Tag]]&lt;&gt;FilterSpecs!$F$12, SparkfunListTable[[#This Row],[Tag]]&lt;&gt;FilterSpecs!$F$9), SparkfunListTable[[#This Row],['#/Unit]]*FilterSpecs!$B$3+SparkfunListTable[[#This Row],[Extra Initial]],0)</f>
        <v>2</v>
      </c>
      <c r="G43" s="150" t="s">
        <v>107</v>
      </c>
      <c r="H43" s="150" t="s">
        <v>108</v>
      </c>
      <c r="I43" s="150" t="s">
        <v>109</v>
      </c>
      <c r="J43" s="150">
        <v>1</v>
      </c>
      <c r="K43" s="154">
        <v>25</v>
      </c>
      <c r="L43" s="150" t="s">
        <v>1896</v>
      </c>
      <c r="M43" s="151"/>
      <c r="N43" s="154">
        <f>SparkfunListTable[[#This Row],['# Initial]]*SparkfunListTable[[#This Row],[Price (USD)]]</f>
        <v>50</v>
      </c>
      <c r="O43" s="151" t="s">
        <v>106</v>
      </c>
      <c r="P43" s="150" t="e">
        <f>IF(#REF!="List #",1,#REF!+1)</f>
        <v>#REF!</v>
      </c>
      <c r="Q43" s="150" t="s">
        <v>5</v>
      </c>
      <c r="R43"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474-COM-14111</v>
      </c>
      <c r="S43" s="157" t="str">
        <f>HYPERLINK("https://www.mouser.com/ProductDetail/" &amp;SparkfunListTable[[#This Row],[Mouser SKU]])</f>
        <v>https://www.mouser.com/ProductDetail/474-COM-14111</v>
      </c>
      <c r="T43" s="152">
        <v>0</v>
      </c>
      <c r="U43" s="152">
        <v>2</v>
      </c>
      <c r="V43" s="152">
        <v>2</v>
      </c>
      <c r="W43" s="152">
        <f>SparkfunListTable[[#This Row],['#/Unit]]*FilterSpecs!$C$3+SparkfunListTable[[#This Row],[Extra]]</f>
        <v>2</v>
      </c>
      <c r="X43" s="152">
        <f>IF(SparkfunListTable[[#This Row],[Tag]]=FilterSpecs!$F$7,SparkfunListTable[[#This Row],['#/Unit]]*SparkfunListTable[[#This Row],[Price (USD)]],0)</f>
        <v>0</v>
      </c>
      <c r="Y43" s="152">
        <f>SparkfunListTable[[#This Row],[Tot '#]]*SparkfunListTable[[#This Row],[Price (USD)]]</f>
        <v>50</v>
      </c>
      <c r="Z43" s="146"/>
      <c r="AA43" s="153" t="str">
        <f>SparkfunListTable[[#This Row],[SKU]]</f>
        <v>COM-14111</v>
      </c>
      <c r="AB43" s="153">
        <f>VALUE(SparkfunListTable[[#This Row],['# Initial]])</f>
        <v>2</v>
      </c>
      <c r="AD43" s="153" t="s">
        <v>106</v>
      </c>
      <c r="AE43" s="153">
        <v>2</v>
      </c>
    </row>
    <row r="44" spans="1:31" s="104" customFormat="1" x14ac:dyDescent="0.25">
      <c r="A44" s="150" t="s">
        <v>887</v>
      </c>
      <c r="B44" s="150" t="s">
        <v>9</v>
      </c>
      <c r="C44" s="150" t="s">
        <v>5</v>
      </c>
      <c r="D44" s="151" t="str">
        <f>IF(SparkfunListTable[[#This Row],[Vendor]]=FilterSpecs!$A$8,SparkfunListTable[[#This Row],[Mouser SKU]], SparkfunListTable[[#This Row],[Supplier SKU]])</f>
        <v>WRL-11320</v>
      </c>
      <c r="E44" s="152">
        <f>SparkfunListTable[[#This Row],[Tot '#]]-SparkfunListTable[[#This Row],['# Initial]]</f>
        <v>0</v>
      </c>
      <c r="F44" s="152">
        <f>IF(AND(SparkfunListTable[[#This Row],[Tag]]&lt;&gt;FilterSpecs!$F$12, SparkfunListTable[[#This Row],[Tag]]&lt;&gt;FilterSpecs!$F$9), SparkfunListTable[[#This Row],['#/Unit]]*FilterSpecs!$B$3+SparkfunListTable[[#This Row],[Extra Initial]],0)</f>
        <v>5</v>
      </c>
      <c r="G44" s="150" t="s">
        <v>2512</v>
      </c>
      <c r="H44" s="150" t="s">
        <v>2513</v>
      </c>
      <c r="I44" s="150" t="s">
        <v>2514</v>
      </c>
      <c r="J44" s="151"/>
      <c r="K44" s="154">
        <v>5</v>
      </c>
      <c r="L44" s="150" t="s">
        <v>1897</v>
      </c>
      <c r="M44" s="151"/>
      <c r="N44" s="154">
        <f>SparkfunListTable[[#This Row],['# Initial]]*SparkfunListTable[[#This Row],[Price (USD)]]</f>
        <v>25</v>
      </c>
      <c r="O44" s="151" t="s">
        <v>2511</v>
      </c>
      <c r="P44" s="150" t="e">
        <f>IF(#REF!="List #",1,#REF!+1)</f>
        <v>#REF!</v>
      </c>
      <c r="Q44" s="150" t="s">
        <v>5</v>
      </c>
      <c r="R44"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474-WRL-11320</v>
      </c>
      <c r="S44" s="157" t="str">
        <f>HYPERLINK("https://www.mouser.com/ProductDetail/" &amp;SparkfunListTable[[#This Row],[Mouser SKU]])</f>
        <v>https://www.mouser.com/ProductDetail/474-WRL-11320</v>
      </c>
      <c r="T44" s="152">
        <v>1</v>
      </c>
      <c r="U44" s="152">
        <v>0</v>
      </c>
      <c r="V44" s="152">
        <v>0</v>
      </c>
      <c r="W44" s="152">
        <f>SparkfunListTable[[#This Row],['#/Unit]]*FilterSpecs!$C$3+SparkfunListTable[[#This Row],[Extra]]</f>
        <v>5</v>
      </c>
      <c r="X44" s="152">
        <f>IF(SparkfunListTable[[#This Row],[Tag]]=FilterSpecs!$F$7,SparkfunListTable[[#This Row],['#/Unit]]*SparkfunListTable[[#This Row],[Price (USD)]],0)</f>
        <v>5</v>
      </c>
      <c r="Y44" s="152">
        <f>SparkfunListTable[[#This Row],[Tot '#]]*SparkfunListTable[[#This Row],[Price (USD)]]</f>
        <v>25</v>
      </c>
      <c r="Z44" s="146"/>
      <c r="AA44" s="153" t="str">
        <f>SparkfunListTable[[#This Row],[SKU]]</f>
        <v>WRL-11320</v>
      </c>
      <c r="AB44" s="153">
        <f>VALUE(SparkfunListTable[[#This Row],['# Initial]])</f>
        <v>5</v>
      </c>
      <c r="AD44" s="104" t="s">
        <v>2511</v>
      </c>
      <c r="AE44" s="104">
        <v>5</v>
      </c>
    </row>
    <row r="45" spans="1:31" s="104" customFormat="1" x14ac:dyDescent="0.25">
      <c r="A45" s="150" t="s">
        <v>887</v>
      </c>
      <c r="B45" s="150" t="s">
        <v>9</v>
      </c>
      <c r="C45" s="150" t="s">
        <v>5</v>
      </c>
      <c r="D45" s="151" t="str">
        <f>IF(SparkfunListTable[[#This Row],[Vendor]]=FilterSpecs!$A$8,SparkfunListTable[[#This Row],[Mouser SKU]], SparkfunListTable[[#This Row],[Supplier SKU]])</f>
        <v>WRL-13287</v>
      </c>
      <c r="E45" s="152">
        <f>SparkfunListTable[[#This Row],[Tot '#]]-SparkfunListTable[[#This Row],['# Initial]]</f>
        <v>0</v>
      </c>
      <c r="F45" s="152">
        <f>IF(AND(SparkfunListTable[[#This Row],[Tag]]&lt;&gt;FilterSpecs!$F$12, SparkfunListTable[[#This Row],[Tag]]&lt;&gt;FilterSpecs!$F$9), SparkfunListTable[[#This Row],['#/Unit]]*FilterSpecs!$B$3+SparkfunListTable[[#This Row],[Extra Initial]],0)</f>
        <v>5</v>
      </c>
      <c r="G45" s="150" t="s">
        <v>2516</v>
      </c>
      <c r="H45" s="150" t="s">
        <v>2517</v>
      </c>
      <c r="I45" s="151" t="s">
        <v>2518</v>
      </c>
      <c r="J45" s="151">
        <v>1</v>
      </c>
      <c r="K45" s="154">
        <v>14.95</v>
      </c>
      <c r="L45" s="150" t="s">
        <v>1897</v>
      </c>
      <c r="M45" s="151"/>
      <c r="N45" s="154">
        <f>SparkfunListTable[[#This Row],['# Initial]]*SparkfunListTable[[#This Row],[Price (USD)]]</f>
        <v>74.75</v>
      </c>
      <c r="O45" s="151" t="s">
        <v>2515</v>
      </c>
      <c r="P45" s="150" t="e">
        <f t="shared" ref="P45:P49" si="2">IF($P44="List #",1,$P44+1)</f>
        <v>#REF!</v>
      </c>
      <c r="Q45" s="150" t="s">
        <v>5</v>
      </c>
      <c r="R45"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474-WRL-13287</v>
      </c>
      <c r="S45" s="157" t="str">
        <f>HYPERLINK("https://www.mouser.com/ProductDetail/" &amp;SparkfunListTable[[#This Row],[Mouser SKU]])</f>
        <v>https://www.mouser.com/ProductDetail/474-WRL-13287</v>
      </c>
      <c r="T45" s="152">
        <v>1</v>
      </c>
      <c r="U45" s="152">
        <v>0</v>
      </c>
      <c r="V45" s="152">
        <v>0</v>
      </c>
      <c r="W45" s="152">
        <f>SparkfunListTable[[#This Row],['#/Unit]]*FilterSpecs!$C$3+SparkfunListTable[[#This Row],[Extra]]</f>
        <v>5</v>
      </c>
      <c r="X45" s="152">
        <f>IF(SparkfunListTable[[#This Row],[Tag]]=FilterSpecs!$F$7,SparkfunListTable[[#This Row],['#/Unit]]*SparkfunListTable[[#This Row],[Price (USD)]],0)</f>
        <v>14.95</v>
      </c>
      <c r="Y45" s="152">
        <f>SparkfunListTable[[#This Row],[Tot '#]]*SparkfunListTable[[#This Row],[Price (USD)]]</f>
        <v>74.75</v>
      </c>
      <c r="Z45" s="146"/>
      <c r="AA45" s="153" t="str">
        <f>SparkfunListTable[[#This Row],[SKU]]</f>
        <v>WRL-13287</v>
      </c>
      <c r="AB45" s="153">
        <f>VALUE(SparkfunListTable[[#This Row],['# Initial]])</f>
        <v>5</v>
      </c>
      <c r="AD45" s="104" t="s">
        <v>2515</v>
      </c>
      <c r="AE45" s="104">
        <v>5</v>
      </c>
    </row>
    <row r="46" spans="1:31" s="153" customFormat="1" x14ac:dyDescent="0.25">
      <c r="A46" s="150" t="s">
        <v>888</v>
      </c>
      <c r="B46" s="150" t="s">
        <v>12</v>
      </c>
      <c r="C46" s="150" t="s">
        <v>5</v>
      </c>
      <c r="D46" s="151" t="str">
        <f>IF(SparkfunListTable[[#This Row],[Vendor]]=FilterSpecs!$A$8,SparkfunListTable[[#This Row],[Mouser SKU]], SparkfunListTable[[#This Row],[Supplier SKU]])</f>
        <v>BOB-12009</v>
      </c>
      <c r="E46" s="152">
        <f>SparkfunListTable[[#This Row],[Tot '#]]-SparkfunListTable[[#This Row],['# Initial]]</f>
        <v>0</v>
      </c>
      <c r="F46" s="152">
        <f>IF(AND(SparkfunListTable[[#This Row],[Tag]]&lt;&gt;FilterSpecs!$F$12, SparkfunListTable[[#This Row],[Tag]]&lt;&gt;FilterSpecs!$F$9), SparkfunListTable[[#This Row],['#/Unit]]*FilterSpecs!$B$3+SparkfunListTable[[#This Row],[Extra Initial]],0)</f>
        <v>15</v>
      </c>
      <c r="G46" s="150" t="s">
        <v>258</v>
      </c>
      <c r="H46" s="150" t="s">
        <v>259</v>
      </c>
      <c r="I46" s="150" t="s">
        <v>260</v>
      </c>
      <c r="J46" s="150">
        <v>1</v>
      </c>
      <c r="K46" s="154">
        <v>2.95</v>
      </c>
      <c r="L46" s="150" t="s">
        <v>1897</v>
      </c>
      <c r="M46" s="150"/>
      <c r="N46" s="154">
        <f>SparkfunListTable[[#This Row],['# Initial]]*SparkfunListTable[[#This Row],[Price (USD)]]</f>
        <v>44.25</v>
      </c>
      <c r="O46" s="151" t="s">
        <v>257</v>
      </c>
      <c r="P46" s="150" t="e">
        <f>IF(#REF!="List #",1,#REF!+1)</f>
        <v>#REF!</v>
      </c>
      <c r="Q46" s="150" t="s">
        <v>5</v>
      </c>
      <c r="R46"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474-BOB-12009</v>
      </c>
      <c r="S46" s="157" t="str">
        <f>HYPERLINK("https://www.mouser.com/ProductDetail/" &amp;SparkfunListTable[[#This Row],[Mouser SKU]])</f>
        <v>https://www.mouser.com/ProductDetail/474-BOB-12009</v>
      </c>
      <c r="T46" s="152">
        <v>3</v>
      </c>
      <c r="U46" s="152">
        <v>0</v>
      </c>
      <c r="V46" s="152">
        <v>0</v>
      </c>
      <c r="W46" s="152">
        <f>SparkfunListTable[[#This Row],['#/Unit]]*FilterSpecs!$C$3+SparkfunListTable[[#This Row],[Extra]]</f>
        <v>15</v>
      </c>
      <c r="X46" s="152">
        <f>IF(SparkfunListTable[[#This Row],[Tag]]=FilterSpecs!$F$7,SparkfunListTable[[#This Row],['#/Unit]]*SparkfunListTable[[#This Row],[Price (USD)]],0)</f>
        <v>8.8500000000000014</v>
      </c>
      <c r="Y46" s="152">
        <f>SparkfunListTable[[#This Row],[Tot '#]]*SparkfunListTable[[#This Row],[Price (USD)]]</f>
        <v>44.25</v>
      </c>
      <c r="Z46" s="146"/>
      <c r="AA46" s="153" t="str">
        <f>SparkfunListTable[[#This Row],[SKU]]</f>
        <v>BOB-12009</v>
      </c>
      <c r="AB46" s="153">
        <f>VALUE(SparkfunListTable[[#This Row],['# Initial]])</f>
        <v>15</v>
      </c>
      <c r="AD46" s="153" t="s">
        <v>257</v>
      </c>
      <c r="AE46" s="153">
        <v>15</v>
      </c>
    </row>
    <row r="47" spans="1:31" s="153" customFormat="1" x14ac:dyDescent="0.25">
      <c r="A47" s="150" t="s">
        <v>888</v>
      </c>
      <c r="B47" s="150" t="s">
        <v>12</v>
      </c>
      <c r="C47" s="150" t="s">
        <v>5</v>
      </c>
      <c r="D47" s="151" t="str">
        <f>IF(SparkfunListTable[[#This Row],[Vendor]]=FilterSpecs!$A$8,SparkfunListTable[[#This Row],[Mouser SKU]], SparkfunListTable[[#This Row],[Supplier SKU]])</f>
        <v>BOB-11955</v>
      </c>
      <c r="E47" s="152">
        <f>SparkfunListTable[[#This Row],[Tot '#]]-SparkfunListTable[[#This Row],['# Initial]]</f>
        <v>0</v>
      </c>
      <c r="F47" s="152">
        <f>IF(AND(SparkfunListTable[[#This Row],[Tag]]&lt;&gt;FilterSpecs!$F$12, SparkfunListTable[[#This Row],[Tag]]&lt;&gt;FilterSpecs!$F$9), SparkfunListTable[[#This Row],['#/Unit]]*FilterSpecs!$B$3+SparkfunListTable[[#This Row],[Extra Initial]],0)</f>
        <v>5</v>
      </c>
      <c r="G47" s="150" t="s">
        <v>287</v>
      </c>
      <c r="H47" s="150" t="s">
        <v>288</v>
      </c>
      <c r="I47" s="150" t="s">
        <v>289</v>
      </c>
      <c r="J47" s="150">
        <v>1</v>
      </c>
      <c r="K47" s="154">
        <v>6.95</v>
      </c>
      <c r="L47" s="150" t="s">
        <v>1897</v>
      </c>
      <c r="M47" s="150"/>
      <c r="N47" s="154">
        <f>SparkfunListTable[[#This Row],['# Initial]]*SparkfunListTable[[#This Row],[Price (USD)]]</f>
        <v>34.75</v>
      </c>
      <c r="O47" s="151" t="s">
        <v>286</v>
      </c>
      <c r="P47" s="150" t="e">
        <f t="shared" si="2"/>
        <v>#REF!</v>
      </c>
      <c r="Q47" s="150" t="s">
        <v>5</v>
      </c>
      <c r="R47"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474-BOB-11955</v>
      </c>
      <c r="S47" s="157" t="str">
        <f>HYPERLINK("https://www.mouser.com/ProductDetail/" &amp;SparkfunListTable[[#This Row],[Mouser SKU]])</f>
        <v>https://www.mouser.com/ProductDetail/474-BOB-11955</v>
      </c>
      <c r="T47" s="152">
        <v>1</v>
      </c>
      <c r="U47" s="152">
        <v>0</v>
      </c>
      <c r="V47" s="152">
        <v>0</v>
      </c>
      <c r="W47" s="152">
        <f>SparkfunListTable[[#This Row],['#/Unit]]*FilterSpecs!$C$3+SparkfunListTable[[#This Row],[Extra]]</f>
        <v>5</v>
      </c>
      <c r="X47" s="152">
        <f>IF(SparkfunListTable[[#This Row],[Tag]]=FilterSpecs!$F$7,SparkfunListTable[[#This Row],['#/Unit]]*SparkfunListTable[[#This Row],[Price (USD)]],0)</f>
        <v>6.95</v>
      </c>
      <c r="Y47" s="152">
        <f>SparkfunListTable[[#This Row],[Tot '#]]*SparkfunListTable[[#This Row],[Price (USD)]]</f>
        <v>34.75</v>
      </c>
      <c r="Z47" s="146"/>
      <c r="AA47" s="153" t="str">
        <f>SparkfunListTable[[#This Row],[SKU]]</f>
        <v>BOB-11955</v>
      </c>
      <c r="AB47" s="153">
        <f>VALUE(SparkfunListTable[[#This Row],['# Initial]])</f>
        <v>5</v>
      </c>
      <c r="AD47" s="153" t="s">
        <v>286</v>
      </c>
      <c r="AE47" s="153">
        <v>5</v>
      </c>
    </row>
    <row r="48" spans="1:31" s="153" customFormat="1" x14ac:dyDescent="0.25">
      <c r="A48" s="150" t="s">
        <v>888</v>
      </c>
      <c r="B48" s="150" t="s">
        <v>12</v>
      </c>
      <c r="C48" s="150" t="s">
        <v>5</v>
      </c>
      <c r="D48" s="151" t="str">
        <f>IF(SparkfunListTable[[#This Row],[Vendor]]=FilterSpecs!$A$8,SparkfunListTable[[#This Row],[Mouser SKU]], SparkfunListTable[[#This Row],[Supplier SKU]])</f>
        <v>BOB-11771</v>
      </c>
      <c r="E48" s="152">
        <f>SparkfunListTable[[#This Row],[Tot '#]]-SparkfunListTable[[#This Row],['# Initial]]</f>
        <v>0</v>
      </c>
      <c r="F48" s="152">
        <f>IF(AND(SparkfunListTable[[#This Row],[Tag]]&lt;&gt;FilterSpecs!$F$12, SparkfunListTable[[#This Row],[Tag]]&lt;&gt;FilterSpecs!$F$9), SparkfunListTable[[#This Row],['#/Unit]]*FilterSpecs!$B$3+SparkfunListTable[[#This Row],[Extra Initial]],0)</f>
        <v>5</v>
      </c>
      <c r="G48" s="150" t="s">
        <v>291</v>
      </c>
      <c r="H48" s="150" t="s">
        <v>292</v>
      </c>
      <c r="I48" s="150" t="s">
        <v>209</v>
      </c>
      <c r="J48" s="150">
        <v>1</v>
      </c>
      <c r="K48" s="154">
        <v>3.95</v>
      </c>
      <c r="L48" s="150" t="s">
        <v>1897</v>
      </c>
      <c r="M48" s="150"/>
      <c r="N48" s="154">
        <f>SparkfunListTable[[#This Row],['# Initial]]*SparkfunListTable[[#This Row],[Price (USD)]]</f>
        <v>19.75</v>
      </c>
      <c r="O48" s="151" t="s">
        <v>290</v>
      </c>
      <c r="P48" s="150" t="e">
        <f t="shared" si="2"/>
        <v>#REF!</v>
      </c>
      <c r="Q48" s="150" t="s">
        <v>5</v>
      </c>
      <c r="R48"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474-BOB-11771</v>
      </c>
      <c r="S48" s="157" t="str">
        <f>HYPERLINK("https://www.mouser.com/ProductDetail/" &amp;SparkfunListTable[[#This Row],[Mouser SKU]])</f>
        <v>https://www.mouser.com/ProductDetail/474-BOB-11771</v>
      </c>
      <c r="T48" s="152">
        <v>1</v>
      </c>
      <c r="U48" s="152">
        <v>0</v>
      </c>
      <c r="V48" s="152">
        <v>0</v>
      </c>
      <c r="W48" s="152">
        <f>SparkfunListTable[[#This Row],['#/Unit]]*FilterSpecs!$C$3+SparkfunListTable[[#This Row],[Extra]]</f>
        <v>5</v>
      </c>
      <c r="X48" s="152">
        <f>IF(SparkfunListTable[[#This Row],[Tag]]=FilterSpecs!$F$7,SparkfunListTable[[#This Row],['#/Unit]]*SparkfunListTable[[#This Row],[Price (USD)]],0)</f>
        <v>3.95</v>
      </c>
      <c r="Y48" s="152">
        <f>SparkfunListTable[[#This Row],[Tot '#]]*SparkfunListTable[[#This Row],[Price (USD)]]</f>
        <v>19.75</v>
      </c>
      <c r="Z48" s="146"/>
      <c r="AA48" s="153" t="str">
        <f>SparkfunListTable[[#This Row],[SKU]]</f>
        <v>BOB-11771</v>
      </c>
      <c r="AB48" s="153">
        <f>VALUE(SparkfunListTable[[#This Row],['# Initial]])</f>
        <v>5</v>
      </c>
      <c r="AD48" s="153" t="s">
        <v>290</v>
      </c>
      <c r="AE48" s="153">
        <v>5</v>
      </c>
    </row>
    <row r="49" spans="1:31" s="153" customFormat="1" x14ac:dyDescent="0.25">
      <c r="A49" s="150" t="s">
        <v>888</v>
      </c>
      <c r="B49" s="150" t="s">
        <v>12</v>
      </c>
      <c r="C49" s="150" t="s">
        <v>5</v>
      </c>
      <c r="D49" s="151" t="str">
        <f>IF(SparkfunListTable[[#This Row],[Vendor]]=FilterSpecs!$A$8,SparkfunListTable[[#This Row],[Mouser SKU]], SparkfunListTable[[#This Row],[Supplier SKU]])</f>
        <v>BOB-12918</v>
      </c>
      <c r="E49" s="152">
        <f>SparkfunListTable[[#This Row],[Tot '#]]-SparkfunListTable[[#This Row],['# Initial]]</f>
        <v>0</v>
      </c>
      <c r="F49" s="152">
        <f>IF(AND(SparkfunListTable[[#This Row],[Tag]]&lt;&gt;FilterSpecs!$F$12, SparkfunListTable[[#This Row],[Tag]]&lt;&gt;FilterSpecs!$F$9), SparkfunListTable[[#This Row],['#/Unit]]*FilterSpecs!$B$3+SparkfunListTable[[#This Row],[Extra Initial]],0)</f>
        <v>5</v>
      </c>
      <c r="G49" s="150" t="s">
        <v>338</v>
      </c>
      <c r="H49" s="150" t="s">
        <v>339</v>
      </c>
      <c r="I49" s="150" t="s">
        <v>206</v>
      </c>
      <c r="J49" s="150">
        <v>1</v>
      </c>
      <c r="K49" s="154">
        <v>4.95</v>
      </c>
      <c r="L49" s="150" t="s">
        <v>1897</v>
      </c>
      <c r="M49" s="150"/>
      <c r="N49" s="154">
        <f>SparkfunListTable[[#This Row],['# Initial]]*SparkfunListTable[[#This Row],[Price (USD)]]</f>
        <v>24.75</v>
      </c>
      <c r="O49" s="151" t="s">
        <v>337</v>
      </c>
      <c r="P49" s="150" t="e">
        <f t="shared" si="2"/>
        <v>#REF!</v>
      </c>
      <c r="Q49" s="150" t="s">
        <v>5</v>
      </c>
      <c r="R49"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474-BOB-12918</v>
      </c>
      <c r="S49" s="157" t="str">
        <f>HYPERLINK("https://www.mouser.com/ProductDetail/" &amp;SparkfunListTable[[#This Row],[Mouser SKU]])</f>
        <v>https://www.mouser.com/ProductDetail/474-BOB-12918</v>
      </c>
      <c r="T49" s="152">
        <v>1</v>
      </c>
      <c r="U49" s="152">
        <v>0</v>
      </c>
      <c r="V49" s="152">
        <v>0</v>
      </c>
      <c r="W49" s="152">
        <f>SparkfunListTable[[#This Row],['#/Unit]]*FilterSpecs!$C$3+SparkfunListTable[[#This Row],[Extra]]</f>
        <v>5</v>
      </c>
      <c r="X49" s="152">
        <f>IF(SparkfunListTable[[#This Row],[Tag]]=FilterSpecs!$F$7,SparkfunListTable[[#This Row],['#/Unit]]*SparkfunListTable[[#This Row],[Price (USD)]],0)</f>
        <v>4.95</v>
      </c>
      <c r="Y49" s="152">
        <f>SparkfunListTable[[#This Row],[Tot '#]]*SparkfunListTable[[#This Row],[Price (USD)]]</f>
        <v>24.75</v>
      </c>
      <c r="Z49" s="146"/>
      <c r="AA49" s="153" t="str">
        <f>SparkfunListTable[[#This Row],[SKU]]</f>
        <v>BOB-12918</v>
      </c>
      <c r="AB49" s="153">
        <f>VALUE(SparkfunListTable[[#This Row],['# Initial]])</f>
        <v>5</v>
      </c>
      <c r="AD49" s="153" t="s">
        <v>337</v>
      </c>
      <c r="AE49" s="153">
        <v>5</v>
      </c>
    </row>
    <row r="50" spans="1:31" s="104" customFormat="1" x14ac:dyDescent="0.25">
      <c r="A50" s="150" t="s">
        <v>888</v>
      </c>
      <c r="B50" s="150" t="s">
        <v>1593</v>
      </c>
      <c r="C50" s="150" t="s">
        <v>5</v>
      </c>
      <c r="D50" s="151" t="str">
        <f>IF(SparkfunListTable[[#This Row],[Vendor]]=FilterSpecs!$A$8,SparkfunListTable[[#This Row],[Mouser SKU]], SparkfunListTable[[#This Row],[Supplier SKU]])</f>
        <v>BOB-09056</v>
      </c>
      <c r="E50" s="152">
        <f>SparkfunListTable[[#This Row],[Tot '#]]-SparkfunListTable[[#This Row],['# Initial]]</f>
        <v>1</v>
      </c>
      <c r="F50" s="152">
        <f>IF(AND(SparkfunListTable[[#This Row],[Tag]]&lt;&gt;FilterSpecs!$F$12, SparkfunListTable[[#This Row],[Tag]]&lt;&gt;FilterSpecs!$F$9), SparkfunListTable[[#This Row],['#/Unit]]*FilterSpecs!$B$3+SparkfunListTable[[#This Row],[Extra Initial]],0)</f>
        <v>5</v>
      </c>
      <c r="G50" s="150" t="s">
        <v>487</v>
      </c>
      <c r="H50" s="150" t="s">
        <v>488</v>
      </c>
      <c r="I50" s="150" t="s">
        <v>211</v>
      </c>
      <c r="J50" s="150">
        <v>1</v>
      </c>
      <c r="K50" s="154">
        <v>4.95</v>
      </c>
      <c r="L50" s="150" t="s">
        <v>1897</v>
      </c>
      <c r="M50" s="150"/>
      <c r="N50" s="154">
        <f>SparkfunListTable[[#This Row],['# Initial]]*SparkfunListTable[[#This Row],[Price (USD)]]</f>
        <v>24.75</v>
      </c>
      <c r="O50" s="151" t="s">
        <v>486</v>
      </c>
      <c r="P50" s="150" t="e">
        <f>IF(#REF!="List #",1,#REF!+1)</f>
        <v>#REF!</v>
      </c>
      <c r="Q50" s="150" t="s">
        <v>5</v>
      </c>
      <c r="R50"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474-BOB-09056</v>
      </c>
      <c r="S50" s="157" t="str">
        <f>HYPERLINK("https://www.mouser.com/ProductDetail/" &amp;SparkfunListTable[[#This Row],[Mouser SKU]])</f>
        <v>https://www.mouser.com/ProductDetail/474-BOB-09056</v>
      </c>
      <c r="T50" s="152">
        <v>1</v>
      </c>
      <c r="U50" s="152">
        <v>1</v>
      </c>
      <c r="V50" s="152">
        <v>0</v>
      </c>
      <c r="W50" s="152">
        <f>SparkfunListTable[[#This Row],['#/Unit]]*FilterSpecs!$C$3+SparkfunListTable[[#This Row],[Extra]]</f>
        <v>6</v>
      </c>
      <c r="X50" s="152">
        <f>IF(SparkfunListTable[[#This Row],[Tag]]=FilterSpecs!$F$7,SparkfunListTable[[#This Row],['#/Unit]]*SparkfunListTable[[#This Row],[Price (USD)]],0)</f>
        <v>4.95</v>
      </c>
      <c r="Y50" s="152">
        <f>SparkfunListTable[[#This Row],[Tot '#]]*SparkfunListTable[[#This Row],[Price (USD)]]</f>
        <v>29.700000000000003</v>
      </c>
      <c r="Z50" s="146"/>
      <c r="AA50" s="153" t="str">
        <f>SparkfunListTable[[#This Row],[SKU]]</f>
        <v>BOB-09056</v>
      </c>
      <c r="AB50" s="153">
        <f>VALUE(SparkfunListTable[[#This Row],['# Initial]])</f>
        <v>5</v>
      </c>
      <c r="AD50" s="104" t="s">
        <v>486</v>
      </c>
      <c r="AE50" s="104">
        <v>5</v>
      </c>
    </row>
    <row r="51" spans="1:31" s="104" customFormat="1" x14ac:dyDescent="0.25">
      <c r="A51" s="150" t="s">
        <v>888</v>
      </c>
      <c r="B51" s="150" t="s">
        <v>1593</v>
      </c>
      <c r="C51" s="150" t="s">
        <v>5</v>
      </c>
      <c r="D51" s="151" t="str">
        <f>IF(SparkfunListTable[[#This Row],[Vendor]]=FilterSpecs!$A$8,SparkfunListTable[[#This Row],[Mouser SKU]], SparkfunListTable[[#This Row],[Supplier SKU]])</f>
        <v>BOB-09118</v>
      </c>
      <c r="E51" s="152">
        <f>SparkfunListTable[[#This Row],[Tot '#]]-SparkfunListTable[[#This Row],['# Initial]]</f>
        <v>3</v>
      </c>
      <c r="F51" s="152">
        <f>IF(AND(SparkfunListTable[[#This Row],[Tag]]&lt;&gt;FilterSpecs!$F$12, SparkfunListTable[[#This Row],[Tag]]&lt;&gt;FilterSpecs!$F$9), SparkfunListTable[[#This Row],['#/Unit]]*FilterSpecs!$B$3+SparkfunListTable[[#This Row],[Extra Initial]],0)</f>
        <v>5</v>
      </c>
      <c r="G51" s="150" t="s">
        <v>490</v>
      </c>
      <c r="H51" s="150" t="s">
        <v>491</v>
      </c>
      <c r="I51" s="150" t="s">
        <v>207</v>
      </c>
      <c r="J51" s="150">
        <v>1</v>
      </c>
      <c r="K51" s="154">
        <v>4.95</v>
      </c>
      <c r="L51" s="150" t="s">
        <v>1897</v>
      </c>
      <c r="M51" s="150"/>
      <c r="N51" s="154">
        <f>SparkfunListTable[[#This Row],['# Initial]]*SparkfunListTable[[#This Row],[Price (USD)]]</f>
        <v>24.75</v>
      </c>
      <c r="O51" s="151" t="s">
        <v>489</v>
      </c>
      <c r="P51" s="150" t="e">
        <f>IF(#REF!="List #",1,#REF!+1)</f>
        <v>#REF!</v>
      </c>
      <c r="Q51" s="150" t="s">
        <v>5</v>
      </c>
      <c r="R51"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474-BOB-09118</v>
      </c>
      <c r="S51" s="157" t="str">
        <f>HYPERLINK("https://www.mouser.com/ProductDetail/" &amp;SparkfunListTable[[#This Row],[Mouser SKU]])</f>
        <v>https://www.mouser.com/ProductDetail/474-BOB-09118</v>
      </c>
      <c r="T51" s="152">
        <v>1</v>
      </c>
      <c r="U51" s="152">
        <v>3</v>
      </c>
      <c r="V51" s="152">
        <v>0</v>
      </c>
      <c r="W51" s="152">
        <f>SparkfunListTable[[#This Row],['#/Unit]]*FilterSpecs!$C$3+SparkfunListTable[[#This Row],[Extra]]</f>
        <v>8</v>
      </c>
      <c r="X51" s="152">
        <f>IF(SparkfunListTable[[#This Row],[Tag]]=FilterSpecs!$F$7,SparkfunListTable[[#This Row],['#/Unit]]*SparkfunListTable[[#This Row],[Price (USD)]],0)</f>
        <v>4.95</v>
      </c>
      <c r="Y51" s="152">
        <f>SparkfunListTable[[#This Row],[Tot '#]]*SparkfunListTable[[#This Row],[Price (USD)]]</f>
        <v>39.6</v>
      </c>
      <c r="Z51" s="146"/>
      <c r="AA51" s="153" t="str">
        <f>SparkfunListTable[[#This Row],[SKU]]</f>
        <v>BOB-09118</v>
      </c>
      <c r="AB51" s="153">
        <f>VALUE(SparkfunListTable[[#This Row],['# Initial]])</f>
        <v>5</v>
      </c>
      <c r="AD51" s="104" t="s">
        <v>489</v>
      </c>
      <c r="AE51" s="104">
        <v>5</v>
      </c>
    </row>
    <row r="52" spans="1:31" s="153" customFormat="1" x14ac:dyDescent="0.25">
      <c r="A52" s="150" t="s">
        <v>888</v>
      </c>
      <c r="B52" s="150" t="s">
        <v>2017</v>
      </c>
      <c r="C52" s="150" t="s">
        <v>5</v>
      </c>
      <c r="D52" s="151" t="str">
        <f>IF(SparkfunListTable[[#This Row],[Vendor]]=FilterSpecs!$A$8,SparkfunListTable[[#This Row],[Mouser SKU]], SparkfunListTable[[#This Row],[Supplier SKU]])</f>
        <v>CAB-12016</v>
      </c>
      <c r="E52" s="152">
        <f>SparkfunListTable[[#This Row],[Tot '#]]-SparkfunListTable[[#This Row],['# Initial]]</f>
        <v>0</v>
      </c>
      <c r="F52" s="152">
        <f>IF(AND(SparkfunListTable[[#This Row],[Tag]]&lt;&gt;FilterSpecs!$F$12, SparkfunListTable[[#This Row],[Tag]]&lt;&gt;FilterSpecs!$F$9), SparkfunListTable[[#This Row],['#/Unit]]*FilterSpecs!$B$3+SparkfunListTable[[#This Row],[Extra Initial]],0)</f>
        <v>1</v>
      </c>
      <c r="G52" s="150" t="s">
        <v>246</v>
      </c>
      <c r="H52" s="150" t="s">
        <v>247</v>
      </c>
      <c r="I52" s="150" t="s">
        <v>248</v>
      </c>
      <c r="K52" s="154">
        <v>6.97</v>
      </c>
      <c r="L52" s="150" t="s">
        <v>1896</v>
      </c>
      <c r="M52" s="151"/>
      <c r="N52" s="154">
        <f>SparkfunListTable[[#This Row],['# Initial]]*SparkfunListTable[[#This Row],[Price (USD)]]</f>
        <v>6.97</v>
      </c>
      <c r="O52" s="151" t="s">
        <v>245</v>
      </c>
      <c r="P52" s="150" t="e">
        <f>IF(#REF!="List #",1,#REF!+1)</f>
        <v>#REF!</v>
      </c>
      <c r="Q52" s="150" t="s">
        <v>5</v>
      </c>
      <c r="R52"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474-CAB-12016</v>
      </c>
      <c r="S52" s="157" t="str">
        <f>HYPERLINK("https://www.mouser.com/ProductDetail/" &amp;SparkfunListTable[[#This Row],[Mouser SKU]])</f>
        <v>https://www.mouser.com/ProductDetail/474-CAB-12016</v>
      </c>
      <c r="T52" s="152">
        <v>0</v>
      </c>
      <c r="U52" s="152">
        <v>1</v>
      </c>
      <c r="V52" s="152">
        <v>1</v>
      </c>
      <c r="W52" s="152">
        <f>SparkfunListTable[[#This Row],['#/Unit]]*FilterSpecs!$C$3+SparkfunListTable[[#This Row],[Extra]]</f>
        <v>1</v>
      </c>
      <c r="X52" s="152">
        <f>IF(SparkfunListTable[[#This Row],[Tag]]=FilterSpecs!$F$7,SparkfunListTable[[#This Row],['#/Unit]]*SparkfunListTable[[#This Row],[Price (USD)]],0)</f>
        <v>0</v>
      </c>
      <c r="Y52" s="152">
        <f>SparkfunListTable[[#This Row],[Tot '#]]*SparkfunListTable[[#This Row],[Price (USD)]]</f>
        <v>6.97</v>
      </c>
      <c r="Z52" s="146"/>
      <c r="AA52" s="153" t="str">
        <f>SparkfunListTable[[#This Row],[SKU]]</f>
        <v>CAB-12016</v>
      </c>
      <c r="AB52" s="153">
        <f>VALUE(SparkfunListTable[[#This Row],['# Initial]])</f>
        <v>1</v>
      </c>
      <c r="AD52" s="153" t="s">
        <v>245</v>
      </c>
      <c r="AE52" s="153">
        <v>1</v>
      </c>
    </row>
    <row r="53" spans="1:31" s="153" customFormat="1" x14ac:dyDescent="0.25">
      <c r="A53" s="150" t="s">
        <v>888</v>
      </c>
      <c r="B53" s="150" t="s">
        <v>1590</v>
      </c>
      <c r="C53" s="150" t="s">
        <v>5</v>
      </c>
      <c r="D53" s="151" t="str">
        <f>IF(SparkfunListTable[[#This Row],[Vendor]]=FilterSpecs!$A$8,SparkfunListTable[[#This Row],[Mouser SKU]], SparkfunListTable[[#This Row],[Supplier SKU]])</f>
        <v>DEV-14050</v>
      </c>
      <c r="E53" s="152">
        <f>SparkfunListTable[[#This Row],[Tot '#]]-SparkfunListTable[[#This Row],['# Initial]]</f>
        <v>0</v>
      </c>
      <c r="F53" s="152">
        <f>IF(AND(SparkfunListTable[[#This Row],[Tag]]&lt;&gt;FilterSpecs!$F$12, SparkfunListTable[[#This Row],[Tag]]&lt;&gt;FilterSpecs!$F$9), SparkfunListTable[[#This Row],['#/Unit]]*FilterSpecs!$B$3+SparkfunListTable[[#This Row],[Extra Initial]],0)</f>
        <v>5</v>
      </c>
      <c r="G53" s="150" t="s">
        <v>274</v>
      </c>
      <c r="H53" s="150" t="s">
        <v>275</v>
      </c>
      <c r="I53" s="150" t="s">
        <v>217</v>
      </c>
      <c r="J53" s="150"/>
      <c r="K53" s="154">
        <v>7.95</v>
      </c>
      <c r="L53" s="150" t="s">
        <v>1897</v>
      </c>
      <c r="M53" s="150"/>
      <c r="N53" s="154">
        <f>SparkfunListTable[[#This Row],['# Initial]]*SparkfunListTable[[#This Row],[Price (USD)]]</f>
        <v>39.75</v>
      </c>
      <c r="O53" s="151" t="s">
        <v>273</v>
      </c>
      <c r="P53" s="150" t="e">
        <f t="shared" ref="P53:P56" si="3">IF($P52="List #",1,$P52+1)</f>
        <v>#REF!</v>
      </c>
      <c r="Q53" s="150" t="s">
        <v>5</v>
      </c>
      <c r="R53"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474-DEV-14050</v>
      </c>
      <c r="S53" s="157" t="str">
        <f>HYPERLINK("https://www.mouser.com/ProductDetail/" &amp;SparkfunListTable[[#This Row],[Mouser SKU]])</f>
        <v>https://www.mouser.com/ProductDetail/474-DEV-14050</v>
      </c>
      <c r="T53" s="152">
        <v>1</v>
      </c>
      <c r="U53" s="152">
        <v>0</v>
      </c>
      <c r="V53" s="152">
        <v>0</v>
      </c>
      <c r="W53" s="152">
        <f>SparkfunListTable[[#This Row],['#/Unit]]*FilterSpecs!$C$3+SparkfunListTable[[#This Row],[Extra]]</f>
        <v>5</v>
      </c>
      <c r="X53" s="152">
        <f>IF(SparkfunListTable[[#This Row],[Tag]]=FilterSpecs!$F$7,SparkfunListTable[[#This Row],['#/Unit]]*SparkfunListTable[[#This Row],[Price (USD)]],0)</f>
        <v>7.95</v>
      </c>
      <c r="Y53" s="152">
        <f>SparkfunListTable[[#This Row],[Tot '#]]*SparkfunListTable[[#This Row],[Price (USD)]]</f>
        <v>39.75</v>
      </c>
      <c r="Z53" s="146"/>
      <c r="AA53" s="153" t="str">
        <f>SparkfunListTable[[#This Row],[SKU]]</f>
        <v>DEV-14050</v>
      </c>
      <c r="AB53" s="153">
        <f>VALUE(SparkfunListTable[[#This Row],['# Initial]])</f>
        <v>5</v>
      </c>
      <c r="AD53" s="153" t="s">
        <v>273</v>
      </c>
      <c r="AE53" s="153">
        <v>5</v>
      </c>
    </row>
    <row r="54" spans="1:31" s="153" customFormat="1" x14ac:dyDescent="0.25">
      <c r="A54" s="150" t="s">
        <v>888</v>
      </c>
      <c r="B54" s="150" t="s">
        <v>1590</v>
      </c>
      <c r="C54" s="150" t="s">
        <v>5</v>
      </c>
      <c r="D54" s="151" t="str">
        <f>IF(SparkfunListTable[[#This Row],[Vendor]]=FilterSpecs!$A$8,SparkfunListTable[[#This Row],[Mouser SKU]], SparkfunListTable[[#This Row],[Supplier SKU]])</f>
        <v>BOB-13830</v>
      </c>
      <c r="E54" s="152">
        <f>SparkfunListTable[[#This Row],[Tot '#]]-SparkfunListTable[[#This Row],['# Initial]]</f>
        <v>0</v>
      </c>
      <c r="F54" s="152">
        <f>IF(AND(SparkfunListTable[[#This Row],[Tag]]&lt;&gt;FilterSpecs!$F$12, SparkfunListTable[[#This Row],[Tag]]&lt;&gt;FilterSpecs!$F$9), SparkfunListTable[[#This Row],['#/Unit]]*FilterSpecs!$B$3+SparkfunListTable[[#This Row],[Extra Initial]],0)</f>
        <v>5</v>
      </c>
      <c r="G54" s="150" t="s">
        <v>277</v>
      </c>
      <c r="H54" s="150" t="s">
        <v>278</v>
      </c>
      <c r="I54" s="150" t="s">
        <v>203</v>
      </c>
      <c r="J54" s="150">
        <v>1</v>
      </c>
      <c r="K54" s="154">
        <v>12.95</v>
      </c>
      <c r="L54" s="150" t="s">
        <v>1897</v>
      </c>
      <c r="M54" s="150"/>
      <c r="N54" s="154">
        <f>SparkfunListTable[[#This Row],['# Initial]]*SparkfunListTable[[#This Row],[Price (USD)]]</f>
        <v>64.75</v>
      </c>
      <c r="O54" s="151" t="s">
        <v>276</v>
      </c>
      <c r="P54" s="150" t="e">
        <f t="shared" si="3"/>
        <v>#REF!</v>
      </c>
      <c r="Q54" s="150" t="s">
        <v>5</v>
      </c>
      <c r="R54"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474-BOB-13830</v>
      </c>
      <c r="S54" s="157" t="str">
        <f>HYPERLINK("https://www.mouser.com/ProductDetail/" &amp;SparkfunListTable[[#This Row],[Mouser SKU]])</f>
        <v>https://www.mouser.com/ProductDetail/474-BOB-13830</v>
      </c>
      <c r="T54" s="152">
        <v>1</v>
      </c>
      <c r="U54" s="152">
        <v>0</v>
      </c>
      <c r="V54" s="152">
        <v>0</v>
      </c>
      <c r="W54" s="152">
        <f>SparkfunListTable[[#This Row],['#/Unit]]*FilterSpecs!$C$3+SparkfunListTable[[#This Row],[Extra]]</f>
        <v>5</v>
      </c>
      <c r="X54" s="152">
        <f>IF(SparkfunListTable[[#This Row],[Tag]]=FilterSpecs!$F$7,SparkfunListTable[[#This Row],['#/Unit]]*SparkfunListTable[[#This Row],[Price (USD)]],0)</f>
        <v>12.95</v>
      </c>
      <c r="Y54" s="152">
        <f>SparkfunListTable[[#This Row],[Tot '#]]*SparkfunListTable[[#This Row],[Price (USD)]]</f>
        <v>64.75</v>
      </c>
      <c r="Z54" s="146"/>
      <c r="AA54" s="153" t="str">
        <f>SparkfunListTable[[#This Row],[SKU]]</f>
        <v>BOB-13830</v>
      </c>
      <c r="AB54" s="153">
        <f>VALUE(SparkfunListTable[[#This Row],['# Initial]])</f>
        <v>5</v>
      </c>
      <c r="AD54" s="153" t="s">
        <v>276</v>
      </c>
      <c r="AE54" s="153">
        <v>5</v>
      </c>
    </row>
    <row r="55" spans="1:31" s="153" customFormat="1" x14ac:dyDescent="0.25">
      <c r="A55" s="150" t="s">
        <v>888</v>
      </c>
      <c r="B55" s="150" t="s">
        <v>1590</v>
      </c>
      <c r="C55" s="150" t="s">
        <v>5</v>
      </c>
      <c r="D55" s="151" t="str">
        <f>IF(SparkfunListTable[[#This Row],[Vendor]]=FilterSpecs!$A$8,SparkfunListTable[[#This Row],[Mouser SKU]], SparkfunListTable[[#This Row],[Supplier SKU]])</f>
        <v>BOB-13263</v>
      </c>
      <c r="E55" s="152">
        <f>SparkfunListTable[[#This Row],[Tot '#]]-SparkfunListTable[[#This Row],['# Initial]]</f>
        <v>0</v>
      </c>
      <c r="F55" s="152">
        <f>IF(AND(SparkfunListTable[[#This Row],[Tag]]&lt;&gt;FilterSpecs!$F$12, SparkfunListTable[[#This Row],[Tag]]&lt;&gt;FilterSpecs!$F$9), SparkfunListTable[[#This Row],['#/Unit]]*FilterSpecs!$B$3+SparkfunListTable[[#This Row],[Extra Initial]],0)</f>
        <v>1</v>
      </c>
      <c r="G55" s="150" t="s">
        <v>1008</v>
      </c>
      <c r="H55" s="150" t="s">
        <v>1009</v>
      </c>
      <c r="I55" s="150" t="s">
        <v>1010</v>
      </c>
      <c r="J55" s="150">
        <v>1</v>
      </c>
      <c r="K55" s="154">
        <v>11.95</v>
      </c>
      <c r="L55" s="150" t="s">
        <v>1896</v>
      </c>
      <c r="M55" s="150"/>
      <c r="N55" s="154">
        <f>SparkfunListTable[[#This Row],['# Initial]]*SparkfunListTable[[#This Row],[Price (USD)]]</f>
        <v>11.95</v>
      </c>
      <c r="O55" s="151" t="s">
        <v>1007</v>
      </c>
      <c r="P55" s="150" t="e">
        <f>IF(#REF!="List #",1,#REF!+1)</f>
        <v>#REF!</v>
      </c>
      <c r="Q55" s="150" t="s">
        <v>5</v>
      </c>
      <c r="R55"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474-BOB-13263</v>
      </c>
      <c r="S55" s="157" t="str">
        <f>HYPERLINK("https://www.mouser.com/ProductDetail/" &amp;SparkfunListTable[[#This Row],[Mouser SKU]])</f>
        <v>https://www.mouser.com/ProductDetail/474-BOB-13263</v>
      </c>
      <c r="T55" s="152">
        <v>0</v>
      </c>
      <c r="U55" s="152">
        <v>1</v>
      </c>
      <c r="V55" s="152">
        <v>1</v>
      </c>
      <c r="W55" s="152">
        <f>SparkfunListTable[[#This Row],['#/Unit]]*FilterSpecs!$C$3+SparkfunListTable[[#This Row],[Extra]]</f>
        <v>1</v>
      </c>
      <c r="X55" s="152">
        <f>IF(SparkfunListTable[[#This Row],[Tag]]=FilterSpecs!$F$7,SparkfunListTable[[#This Row],['#/Unit]]*SparkfunListTable[[#This Row],[Price (USD)]],0)</f>
        <v>0</v>
      </c>
      <c r="Y55" s="152">
        <f>SparkfunListTable[[#This Row],[Tot '#]]*SparkfunListTable[[#This Row],[Price (USD)]]</f>
        <v>11.95</v>
      </c>
      <c r="Z55" s="146"/>
      <c r="AA55" s="153" t="str">
        <f>SparkfunListTable[[#This Row],[SKU]]</f>
        <v>BOB-13263</v>
      </c>
      <c r="AB55" s="153">
        <f>VALUE(SparkfunListTable[[#This Row],['# Initial]])</f>
        <v>1</v>
      </c>
      <c r="AD55" s="153" t="s">
        <v>1007</v>
      </c>
      <c r="AE55" s="153">
        <v>1</v>
      </c>
    </row>
    <row r="56" spans="1:31" s="153" customFormat="1" x14ac:dyDescent="0.25">
      <c r="A56" s="150" t="s">
        <v>888</v>
      </c>
      <c r="B56" s="150" t="s">
        <v>1590</v>
      </c>
      <c r="C56" s="150" t="s">
        <v>5</v>
      </c>
      <c r="D56" s="151" t="str">
        <f>IF(SparkfunListTable[[#This Row],[Vendor]]=FilterSpecs!$A$8,SparkfunListTable[[#This Row],[Mouser SKU]], SparkfunListTable[[#This Row],[Supplier SKU]])</f>
        <v>DEV-12935</v>
      </c>
      <c r="E56" s="152">
        <f>SparkfunListTable[[#This Row],[Tot '#]]-SparkfunListTable[[#This Row],['# Initial]]</f>
        <v>0</v>
      </c>
      <c r="F56" s="152">
        <f>IF(AND(SparkfunListTable[[#This Row],[Tag]]&lt;&gt;FilterSpecs!$F$12, SparkfunListTable[[#This Row],[Tag]]&lt;&gt;FilterSpecs!$F$9), SparkfunListTable[[#This Row],['#/Unit]]*FilterSpecs!$B$3+SparkfunListTable[[#This Row],[Extra Initial]],0)</f>
        <v>1</v>
      </c>
      <c r="G56" s="150" t="s">
        <v>1012</v>
      </c>
      <c r="H56" s="150" t="s">
        <v>1013</v>
      </c>
      <c r="I56" s="150" t="s">
        <v>1014</v>
      </c>
      <c r="J56" s="150">
        <v>1</v>
      </c>
      <c r="K56" s="154">
        <v>19.95</v>
      </c>
      <c r="L56" s="150" t="s">
        <v>1896</v>
      </c>
      <c r="M56" s="150"/>
      <c r="N56" s="154">
        <f>SparkfunListTable[[#This Row],['# Initial]]*SparkfunListTable[[#This Row],[Price (USD)]]</f>
        <v>19.95</v>
      </c>
      <c r="O56" s="151" t="s">
        <v>1011</v>
      </c>
      <c r="P56" s="150" t="e">
        <f t="shared" si="3"/>
        <v>#REF!</v>
      </c>
      <c r="Q56" s="150" t="s">
        <v>5</v>
      </c>
      <c r="R56"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474-DEV-12935</v>
      </c>
      <c r="S56" s="157" t="str">
        <f>HYPERLINK("https://www.mouser.com/ProductDetail/" &amp;SparkfunListTable[[#This Row],[Mouser SKU]])</f>
        <v>https://www.mouser.com/ProductDetail/474-DEV-12935</v>
      </c>
      <c r="T56" s="152">
        <v>0</v>
      </c>
      <c r="U56" s="152">
        <v>1</v>
      </c>
      <c r="V56" s="152">
        <v>1</v>
      </c>
      <c r="W56" s="152">
        <f>SparkfunListTable[[#This Row],['#/Unit]]*FilterSpecs!$C$3+SparkfunListTable[[#This Row],[Extra]]</f>
        <v>1</v>
      </c>
      <c r="X56" s="152">
        <f>IF(SparkfunListTable[[#This Row],[Tag]]=FilterSpecs!$F$7,SparkfunListTable[[#This Row],['#/Unit]]*SparkfunListTable[[#This Row],[Price (USD)]],0)</f>
        <v>0</v>
      </c>
      <c r="Y56" s="152">
        <f>SparkfunListTable[[#This Row],[Tot '#]]*SparkfunListTable[[#This Row],[Price (USD)]]</f>
        <v>19.95</v>
      </c>
      <c r="Z56" s="146"/>
      <c r="AA56" s="153" t="str">
        <f>SparkfunListTable[[#This Row],[SKU]]</f>
        <v>DEV-12935</v>
      </c>
      <c r="AB56" s="153">
        <f>VALUE(SparkfunListTable[[#This Row],['# Initial]])</f>
        <v>1</v>
      </c>
      <c r="AD56" s="153" t="s">
        <v>1011</v>
      </c>
      <c r="AE56" s="153">
        <v>1</v>
      </c>
    </row>
    <row r="57" spans="1:31" s="153" customFormat="1" x14ac:dyDescent="0.25">
      <c r="A57" s="150" t="s">
        <v>889</v>
      </c>
      <c r="B57" s="150" t="s">
        <v>986</v>
      </c>
      <c r="C57" s="150" t="s">
        <v>5</v>
      </c>
      <c r="D57" s="151" t="str">
        <f>IF(SparkfunListTable[[#This Row],[Vendor]]=FilterSpecs!$A$8,SparkfunListTable[[#This Row],[Mouser SKU]], SparkfunListTable[[#This Row],[Supplier SKU]])</f>
        <v>PRT-12047</v>
      </c>
      <c r="E57" s="152">
        <f>SparkfunListTable[[#This Row],[Tot '#]]-SparkfunListTable[[#This Row],['# Initial]]</f>
        <v>0</v>
      </c>
      <c r="F57" s="152">
        <f>IF(AND(SparkfunListTable[[#This Row],[Tag]]&lt;&gt;FilterSpecs!$F$12, SparkfunListTable[[#This Row],[Tag]]&lt;&gt;FilterSpecs!$F$9), SparkfunListTable[[#This Row],['#/Unit]]*FilterSpecs!$B$3+SparkfunListTable[[#This Row],[Extra Initial]],0)</f>
        <v>20</v>
      </c>
      <c r="G57" s="150" t="s">
        <v>1298</v>
      </c>
      <c r="H57" s="150" t="s">
        <v>1299</v>
      </c>
      <c r="I57" s="150" t="s">
        <v>1300</v>
      </c>
      <c r="J57" s="150">
        <v>1</v>
      </c>
      <c r="K57" s="154">
        <v>3.95</v>
      </c>
      <c r="L57" s="150" t="s">
        <v>1897</v>
      </c>
      <c r="M57" s="150" t="s">
        <v>1296</v>
      </c>
      <c r="N57" s="154">
        <f>SparkfunListTable[[#This Row],['# Initial]]*SparkfunListTable[[#This Row],[Price (USD)]]</f>
        <v>79</v>
      </c>
      <c r="O57" s="151" t="s">
        <v>1297</v>
      </c>
      <c r="P57" s="150" t="e">
        <f>IF(#REF!="List #",1,#REF!+1)</f>
        <v>#REF!</v>
      </c>
      <c r="Q57" s="150" t="s">
        <v>5</v>
      </c>
      <c r="R57"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474-PRT-12047</v>
      </c>
      <c r="S57" s="157" t="str">
        <f>HYPERLINK("https://www.mouser.com/ProductDetail/" &amp;SparkfunListTable[[#This Row],[Mouser SKU]])</f>
        <v>https://www.mouser.com/ProductDetail/474-PRT-12047</v>
      </c>
      <c r="T57" s="152">
        <v>4</v>
      </c>
      <c r="U57" s="152">
        <v>0</v>
      </c>
      <c r="V57" s="152">
        <v>0</v>
      </c>
      <c r="W57" s="152">
        <f>SparkfunListTable[[#This Row],['#/Unit]]*FilterSpecs!$C$3+SparkfunListTable[[#This Row],[Extra]]</f>
        <v>20</v>
      </c>
      <c r="X57" s="152">
        <f>IF(SparkfunListTable[[#This Row],[Tag]]=FilterSpecs!$F$7,SparkfunListTable[[#This Row],['#/Unit]]*SparkfunListTable[[#This Row],[Price (USD)]],0)</f>
        <v>15.8</v>
      </c>
      <c r="Y57" s="152">
        <f>SparkfunListTable[[#This Row],[Tot '#]]*SparkfunListTable[[#This Row],[Price (USD)]]</f>
        <v>79</v>
      </c>
      <c r="Z57" s="146"/>
      <c r="AA57" s="153" t="str">
        <f>SparkfunListTable[[#This Row],[SKU]]</f>
        <v>PRT-12047</v>
      </c>
      <c r="AB57" s="153">
        <f>VALUE(SparkfunListTable[[#This Row],['# Initial]])</f>
        <v>20</v>
      </c>
      <c r="AD57" s="153" t="s">
        <v>1297</v>
      </c>
      <c r="AE57" s="153">
        <v>20</v>
      </c>
    </row>
    <row r="58" spans="1:31" s="153" customFormat="1" x14ac:dyDescent="0.25">
      <c r="A58" s="150" t="s">
        <v>889</v>
      </c>
      <c r="B58" s="150" t="s">
        <v>986</v>
      </c>
      <c r="C58" s="150" t="s">
        <v>5</v>
      </c>
      <c r="D58" s="151" t="str">
        <f>IF(SparkfunListTable[[#This Row],[Vendor]]=FilterSpecs!$A$8,SparkfunListTable[[#This Row],[Mouser SKU]], SparkfunListTable[[#This Row],[Supplier SKU]])</f>
        <v>PRT-12699</v>
      </c>
      <c r="E58" s="152">
        <f>SparkfunListTable[[#This Row],[Tot '#]]-SparkfunListTable[[#This Row],['# Initial]]</f>
        <v>0</v>
      </c>
      <c r="F58" s="152">
        <f>IF(AND(SparkfunListTable[[#This Row],[Tag]]&lt;&gt;FilterSpecs!$F$12, SparkfunListTable[[#This Row],[Tag]]&lt;&gt;FilterSpecs!$F$9), SparkfunListTable[[#This Row],['#/Unit]]*FilterSpecs!$B$3+SparkfunListTable[[#This Row],[Extra Initial]],0)</f>
        <v>10</v>
      </c>
      <c r="G58" s="150" t="s">
        <v>926</v>
      </c>
      <c r="H58" s="150" t="s">
        <v>927</v>
      </c>
      <c r="I58" s="150" t="s">
        <v>928</v>
      </c>
      <c r="J58" s="150">
        <v>1</v>
      </c>
      <c r="K58" s="154">
        <v>8.9499999999999993</v>
      </c>
      <c r="L58" s="150" t="s">
        <v>1897</v>
      </c>
      <c r="M58" s="151"/>
      <c r="N58" s="154">
        <f>SparkfunListTable[[#This Row],['# Initial]]*SparkfunListTable[[#This Row],[Price (USD)]]</f>
        <v>89.5</v>
      </c>
      <c r="O58" s="151" t="s">
        <v>925</v>
      </c>
      <c r="P58" s="150" t="e">
        <f>IF(#REF!="List #",1,#REF!+1)</f>
        <v>#REF!</v>
      </c>
      <c r="Q58" s="150" t="s">
        <v>5</v>
      </c>
      <c r="R58"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474-PRT-12699</v>
      </c>
      <c r="S58" s="157" t="str">
        <f>HYPERLINK("https://www.mouser.com/ProductDetail/" &amp;SparkfunListTable[[#This Row],[Mouser SKU]])</f>
        <v>https://www.mouser.com/ProductDetail/474-PRT-12699</v>
      </c>
      <c r="T58" s="152">
        <v>2</v>
      </c>
      <c r="U58" s="152">
        <v>0</v>
      </c>
      <c r="V58" s="152">
        <v>0</v>
      </c>
      <c r="W58" s="152">
        <f>SparkfunListTable[[#This Row],['#/Unit]]*FilterSpecs!$C$3+SparkfunListTable[[#This Row],[Extra]]</f>
        <v>10</v>
      </c>
      <c r="X58" s="152">
        <f>IF(SparkfunListTable[[#This Row],[Tag]]=FilterSpecs!$F$7,SparkfunListTable[[#This Row],['#/Unit]]*SparkfunListTable[[#This Row],[Price (USD)]],0)</f>
        <v>17.899999999999999</v>
      </c>
      <c r="Y58" s="152">
        <f>SparkfunListTable[[#This Row],[Tot '#]]*SparkfunListTable[[#This Row],[Price (USD)]]</f>
        <v>89.5</v>
      </c>
      <c r="Z58" s="146"/>
      <c r="AA58" s="153" t="str">
        <f>SparkfunListTable[[#This Row],[SKU]]</f>
        <v>PRT-12699</v>
      </c>
      <c r="AB58" s="153">
        <f>VALUE(SparkfunListTable[[#This Row],['# Initial]])</f>
        <v>10</v>
      </c>
      <c r="AD58" s="153" t="s">
        <v>925</v>
      </c>
      <c r="AE58" s="153">
        <v>10</v>
      </c>
    </row>
    <row r="59" spans="1:31" s="153" customFormat="1" x14ac:dyDescent="0.25">
      <c r="A59" s="150" t="s">
        <v>889</v>
      </c>
      <c r="B59" s="150" t="s">
        <v>986</v>
      </c>
      <c r="C59" s="150" t="s">
        <v>5</v>
      </c>
      <c r="D59" s="151" t="str">
        <f>IF(SparkfunListTable[[#This Row],[Vendor]]=FilterSpecs!$A$8,SparkfunListTable[[#This Row],[Mouser SKU]], SparkfunListTable[[#This Row],[Supplier SKU]])</f>
        <v>DEV-07914</v>
      </c>
      <c r="E59" s="152">
        <f>SparkfunListTable[[#This Row],[Tot '#]]-SparkfunListTable[[#This Row],['# Initial]]</f>
        <v>1</v>
      </c>
      <c r="F59" s="152">
        <f>IF(AND(SparkfunListTable[[#This Row],[Tag]]&lt;&gt;FilterSpecs!$F$12, SparkfunListTable[[#This Row],[Tag]]&lt;&gt;FilterSpecs!$F$9), SparkfunListTable[[#This Row],['#/Unit]]*FilterSpecs!$B$3+SparkfunListTable[[#This Row],[Extra Initial]],0)</f>
        <v>5</v>
      </c>
      <c r="G59" s="150" t="s">
        <v>1758</v>
      </c>
      <c r="H59" s="150" t="s">
        <v>1759</v>
      </c>
      <c r="I59" s="150" t="s">
        <v>1760</v>
      </c>
      <c r="J59" s="150">
        <v>1</v>
      </c>
      <c r="K59" s="154">
        <v>9.9499999999999993</v>
      </c>
      <c r="L59" s="150" t="s">
        <v>1897</v>
      </c>
      <c r="M59" s="151"/>
      <c r="N59" s="154">
        <f>SparkfunListTable[[#This Row],['# Initial]]*SparkfunListTable[[#This Row],[Price (USD)]]</f>
        <v>49.75</v>
      </c>
      <c r="O59" s="151" t="s">
        <v>1757</v>
      </c>
      <c r="P59" s="150" t="e">
        <f>IF(#REF!="List #",1,#REF!+1)</f>
        <v>#REF!</v>
      </c>
      <c r="Q59" s="150" t="s">
        <v>5</v>
      </c>
      <c r="R59"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474-DEV-07914</v>
      </c>
      <c r="S59" s="157" t="str">
        <f>HYPERLINK("https://www.mouser.com/ProductDetail/" &amp;SparkfunListTable[[#This Row],[Mouser SKU]])</f>
        <v>https://www.mouser.com/ProductDetail/474-DEV-07914</v>
      </c>
      <c r="T59" s="152">
        <v>1</v>
      </c>
      <c r="U59" s="152">
        <v>1</v>
      </c>
      <c r="V59" s="152">
        <v>0</v>
      </c>
      <c r="W59" s="152">
        <f>SparkfunListTable[[#This Row],['#/Unit]]*FilterSpecs!$C$3+SparkfunListTable[[#This Row],[Extra]]</f>
        <v>6</v>
      </c>
      <c r="X59" s="152">
        <f>IF(SparkfunListTable[[#This Row],[Tag]]=FilterSpecs!$F$7,SparkfunListTable[[#This Row],['#/Unit]]*SparkfunListTable[[#This Row],[Price (USD)]],0)</f>
        <v>9.9499999999999993</v>
      </c>
      <c r="Y59" s="152">
        <f>SparkfunListTable[[#This Row],[Tot '#]]*SparkfunListTable[[#This Row],[Price (USD)]]</f>
        <v>59.699999999999996</v>
      </c>
      <c r="Z59" s="146"/>
      <c r="AA59" s="153" t="str">
        <f>SparkfunListTable[[#This Row],[SKU]]</f>
        <v>DEV-07914</v>
      </c>
      <c r="AB59" s="153">
        <f>VALUE(SparkfunListTable[[#This Row],['# Initial]])</f>
        <v>5</v>
      </c>
      <c r="AD59" s="153" t="s">
        <v>1757</v>
      </c>
      <c r="AE59" s="153">
        <v>5</v>
      </c>
    </row>
    <row r="60" spans="1:31" s="153" customFormat="1" x14ac:dyDescent="0.25">
      <c r="A60" s="150" t="s">
        <v>889</v>
      </c>
      <c r="B60" s="150" t="s">
        <v>986</v>
      </c>
      <c r="C60" s="150" t="s">
        <v>5</v>
      </c>
      <c r="D60" s="151" t="str">
        <f>IF(SparkfunListTable[[#This Row],[Vendor]]=FilterSpecs!$A$8,SparkfunListTable[[#This Row],[Mouser SKU]], SparkfunListTable[[#This Row],[Supplier SKU]])</f>
        <v>PRT-13268</v>
      </c>
      <c r="E60" s="152">
        <f>SparkfunListTable[[#This Row],[Tot '#]]-SparkfunListTable[[#This Row],['# Initial]]</f>
        <v>0</v>
      </c>
      <c r="F60" s="152">
        <f>IF(AND(SparkfunListTable[[#This Row],[Tag]]&lt;&gt;FilterSpecs!$F$12, SparkfunListTable[[#This Row],[Tag]]&lt;&gt;FilterSpecs!$F$9), SparkfunListTable[[#This Row],['#/Unit]]*FilterSpecs!$B$3+SparkfunListTable[[#This Row],[Extra Initial]],0)</f>
        <v>2</v>
      </c>
      <c r="G60" s="150" t="s">
        <v>938</v>
      </c>
      <c r="H60" s="150" t="s">
        <v>939</v>
      </c>
      <c r="I60" s="150" t="s">
        <v>940</v>
      </c>
      <c r="J60" s="150">
        <v>1</v>
      </c>
      <c r="K60" s="154">
        <v>7.95</v>
      </c>
      <c r="L60" s="150" t="s">
        <v>1896</v>
      </c>
      <c r="M60" s="151"/>
      <c r="N60" s="154">
        <f>SparkfunListTable[[#This Row],['# Initial]]*SparkfunListTable[[#This Row],[Price (USD)]]</f>
        <v>15.9</v>
      </c>
      <c r="O60" s="151" t="s">
        <v>937</v>
      </c>
      <c r="P60" s="150" t="e">
        <f>IF(#REF!="List #",1,#REF!+1)</f>
        <v>#REF!</v>
      </c>
      <c r="Q60" s="150" t="s">
        <v>5</v>
      </c>
      <c r="R60"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474-PRT-13268</v>
      </c>
      <c r="S60" s="157" t="str">
        <f>HYPERLINK("https://www.mouser.com/ProductDetail/" &amp;SparkfunListTable[[#This Row],[Mouser SKU]])</f>
        <v>https://www.mouser.com/ProductDetail/474-PRT-13268</v>
      </c>
      <c r="T60" s="152">
        <v>0</v>
      </c>
      <c r="U60" s="152">
        <v>2</v>
      </c>
      <c r="V60" s="152">
        <v>2</v>
      </c>
      <c r="W60" s="152">
        <f>SparkfunListTable[[#This Row],['#/Unit]]*FilterSpecs!$C$3+SparkfunListTable[[#This Row],[Extra]]</f>
        <v>2</v>
      </c>
      <c r="X60" s="152">
        <f>IF(SparkfunListTable[[#This Row],[Tag]]=FilterSpecs!$F$7,SparkfunListTable[[#This Row],['#/Unit]]*SparkfunListTable[[#This Row],[Price (USD)]],0)</f>
        <v>0</v>
      </c>
      <c r="Y60" s="152">
        <f>SparkfunListTable[[#This Row],[Tot '#]]*SparkfunListTable[[#This Row],[Price (USD)]]</f>
        <v>15.9</v>
      </c>
      <c r="Z60" s="146"/>
      <c r="AA60" s="153" t="str">
        <f>SparkfunListTable[[#This Row],[SKU]]</f>
        <v>PRT-13268</v>
      </c>
      <c r="AB60" s="153">
        <f>VALUE(SparkfunListTable[[#This Row],['# Initial]])</f>
        <v>2</v>
      </c>
      <c r="AD60" s="153" t="s">
        <v>937</v>
      </c>
      <c r="AE60" s="153">
        <v>2</v>
      </c>
    </row>
    <row r="61" spans="1:31" s="153" customFormat="1" x14ac:dyDescent="0.25">
      <c r="A61" s="150" t="s">
        <v>889</v>
      </c>
      <c r="B61" s="150" t="s">
        <v>986</v>
      </c>
      <c r="C61" s="150" t="s">
        <v>5</v>
      </c>
      <c r="D61" s="151" t="str">
        <f>IF(SparkfunListTable[[#This Row],[Vendor]]=FilterSpecs!$A$8,SparkfunListTable[[#This Row],[Mouser SKU]], SparkfunListTable[[#This Row],[Supplier SKU]])</f>
        <v>DEV-13317</v>
      </c>
      <c r="E61" s="152">
        <f>SparkfunListTable[[#This Row],[Tot '#]]-SparkfunListTable[[#This Row],['# Initial]]</f>
        <v>0</v>
      </c>
      <c r="F61" s="152">
        <f>IF(AND(SparkfunListTable[[#This Row],[Tag]]&lt;&gt;FilterSpecs!$F$12, SparkfunListTable[[#This Row],[Tag]]&lt;&gt;FilterSpecs!$F$9), SparkfunListTable[[#This Row],['#/Unit]]*FilterSpecs!$B$3+SparkfunListTable[[#This Row],[Extra Initial]],0)</f>
        <v>10</v>
      </c>
      <c r="G61" s="150" t="s">
        <v>934</v>
      </c>
      <c r="H61" s="150" t="s">
        <v>935</v>
      </c>
      <c r="I61" s="150" t="s">
        <v>936</v>
      </c>
      <c r="J61" s="150">
        <v>1</v>
      </c>
      <c r="K61" s="154">
        <v>7.95</v>
      </c>
      <c r="L61" s="150" t="s">
        <v>1897</v>
      </c>
      <c r="M61" s="151"/>
      <c r="N61" s="154">
        <f>SparkfunListTable[[#This Row],['# Initial]]*SparkfunListTable[[#This Row],[Price (USD)]]</f>
        <v>79.5</v>
      </c>
      <c r="O61" s="151" t="s">
        <v>933</v>
      </c>
      <c r="P61" s="150" t="e">
        <f t="shared" ref="P61:P63" si="4">IF($P60="List #",1,$P60+1)</f>
        <v>#REF!</v>
      </c>
      <c r="Q61" s="150" t="s">
        <v>5</v>
      </c>
      <c r="R61"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474-DEV-13317</v>
      </c>
      <c r="S61" s="157" t="str">
        <f>HYPERLINK("https://www.mouser.com/ProductDetail/" &amp;SparkfunListTable[[#This Row],[Mouser SKU]])</f>
        <v>https://www.mouser.com/ProductDetail/474-DEV-13317</v>
      </c>
      <c r="T61" s="152">
        <v>2</v>
      </c>
      <c r="U61" s="152">
        <v>0</v>
      </c>
      <c r="V61" s="152">
        <v>0</v>
      </c>
      <c r="W61" s="152">
        <f>SparkfunListTable[[#This Row],['#/Unit]]*FilterSpecs!$C$3+SparkfunListTable[[#This Row],[Extra]]</f>
        <v>10</v>
      </c>
      <c r="X61" s="152">
        <f>IF(SparkfunListTable[[#This Row],[Tag]]=FilterSpecs!$F$7,SparkfunListTable[[#This Row],['#/Unit]]*SparkfunListTable[[#This Row],[Price (USD)]],0)</f>
        <v>15.9</v>
      </c>
      <c r="Y61" s="152">
        <f>SparkfunListTable[[#This Row],[Tot '#]]*SparkfunListTable[[#This Row],[Price (USD)]]</f>
        <v>79.5</v>
      </c>
      <c r="Z61" s="146"/>
      <c r="AA61" s="153" t="str">
        <f>SparkfunListTable[[#This Row],[SKU]]</f>
        <v>DEV-13317</v>
      </c>
      <c r="AB61" s="153">
        <f>VALUE(SparkfunListTable[[#This Row],['# Initial]])</f>
        <v>10</v>
      </c>
      <c r="AD61" s="153" t="s">
        <v>933</v>
      </c>
      <c r="AE61" s="153">
        <v>10</v>
      </c>
    </row>
    <row r="62" spans="1:31" s="153" customFormat="1" x14ac:dyDescent="0.25">
      <c r="A62" s="150" t="s">
        <v>889</v>
      </c>
      <c r="B62" s="150" t="s">
        <v>883</v>
      </c>
      <c r="C62" s="150" t="s">
        <v>5</v>
      </c>
      <c r="D62" s="151" t="str">
        <f>IF(SparkfunListTable[[#This Row],[Vendor]]=FilterSpecs!$A$8,SparkfunListTable[[#This Row],[Mouser SKU]], SparkfunListTable[[#This Row],[Supplier SKU]])</f>
        <v>COM-10594</v>
      </c>
      <c r="E62" s="152">
        <f>SparkfunListTable[[#This Row],[Tot '#]]-SparkfunListTable[[#This Row],['# Initial]]</f>
        <v>0</v>
      </c>
      <c r="F62" s="152">
        <f>IF(AND(SparkfunListTable[[#This Row],[Tag]]&lt;&gt;FilterSpecs!$F$12, SparkfunListTable[[#This Row],[Tag]]&lt;&gt;FilterSpecs!$F$9), SparkfunListTable[[#This Row],['#/Unit]]*FilterSpecs!$B$3+SparkfunListTable[[#This Row],[Extra Initial]],0)</f>
        <v>5</v>
      </c>
      <c r="G62" s="150" t="s">
        <v>641</v>
      </c>
      <c r="H62" s="150" t="s">
        <v>642</v>
      </c>
      <c r="I62" s="150" t="s">
        <v>643</v>
      </c>
      <c r="J62" s="150">
        <v>1</v>
      </c>
      <c r="K62" s="154">
        <v>0.95</v>
      </c>
      <c r="L62" s="150" t="s">
        <v>1897</v>
      </c>
      <c r="M62" s="151"/>
      <c r="N62" s="154">
        <f>SparkfunListTable[[#This Row],['# Initial]]*SparkfunListTable[[#This Row],[Price (USD)]]</f>
        <v>4.75</v>
      </c>
      <c r="O62" s="151" t="s">
        <v>640</v>
      </c>
      <c r="P62" s="150" t="e">
        <f>IF(#REF!="List #",1,#REF!+1)</f>
        <v>#REF!</v>
      </c>
      <c r="Q62" s="150" t="s">
        <v>5</v>
      </c>
      <c r="R62"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474-COM-10594</v>
      </c>
      <c r="S62" s="157" t="str">
        <f>HYPERLINK("https://www.mouser.com/ProductDetail/" &amp;SparkfunListTable[[#This Row],[Mouser SKU]])</f>
        <v>https://www.mouser.com/ProductDetail/474-COM-10594</v>
      </c>
      <c r="T62" s="152">
        <v>1</v>
      </c>
      <c r="U62" s="152">
        <v>0</v>
      </c>
      <c r="V62" s="152">
        <v>0</v>
      </c>
      <c r="W62" s="152">
        <f>SparkfunListTable[[#This Row],['#/Unit]]*FilterSpecs!$C$3+SparkfunListTable[[#This Row],[Extra]]</f>
        <v>5</v>
      </c>
      <c r="X62" s="152">
        <f>IF(SparkfunListTable[[#This Row],[Tag]]=FilterSpecs!$F$7,SparkfunListTable[[#This Row],['#/Unit]]*SparkfunListTable[[#This Row],[Price (USD)]],0)</f>
        <v>0.95</v>
      </c>
      <c r="Y62" s="152">
        <f>SparkfunListTable[[#This Row],[Tot '#]]*SparkfunListTable[[#This Row],[Price (USD)]]</f>
        <v>4.75</v>
      </c>
      <c r="Z62" s="146"/>
      <c r="AA62" s="153" t="str">
        <f>SparkfunListTable[[#This Row],[SKU]]</f>
        <v>COM-10594</v>
      </c>
      <c r="AB62" s="153">
        <f>VALUE(SparkfunListTable[[#This Row],['# Initial]])</f>
        <v>5</v>
      </c>
      <c r="AD62" s="153" t="s">
        <v>640</v>
      </c>
      <c r="AE62" s="153">
        <v>5</v>
      </c>
    </row>
    <row r="63" spans="1:31" s="153" customFormat="1" x14ac:dyDescent="0.25">
      <c r="A63" s="150" t="s">
        <v>889</v>
      </c>
      <c r="B63" s="150" t="s">
        <v>883</v>
      </c>
      <c r="C63" s="150" t="s">
        <v>5</v>
      </c>
      <c r="D63" s="151" t="str">
        <f>IF(SparkfunListTable[[#This Row],[Vendor]]=FilterSpecs!$A$8,SparkfunListTable[[#This Row],[Mouser SKU]], SparkfunListTable[[#This Row],[Supplier SKU]])</f>
        <v>PRT-10230</v>
      </c>
      <c r="E63" s="152">
        <f>SparkfunListTable[[#This Row],[Tot '#]]-SparkfunListTable[[#This Row],['# Initial]]</f>
        <v>0</v>
      </c>
      <c r="F63" s="152">
        <f>IF(AND(SparkfunListTable[[#This Row],[Tag]]&lt;&gt;FilterSpecs!$F$12, SparkfunListTable[[#This Row],[Tag]]&lt;&gt;FilterSpecs!$F$9), SparkfunListTable[[#This Row],['#/Unit]]*FilterSpecs!$B$3+SparkfunListTable[[#This Row],[Extra Initial]],0)</f>
        <v>5</v>
      </c>
      <c r="G63" s="150" t="s">
        <v>649</v>
      </c>
      <c r="H63" s="150" t="s">
        <v>650</v>
      </c>
      <c r="I63" s="150" t="s">
        <v>651</v>
      </c>
      <c r="J63" s="150">
        <v>1</v>
      </c>
      <c r="K63" s="154">
        <v>0.95</v>
      </c>
      <c r="L63" s="150" t="s">
        <v>1897</v>
      </c>
      <c r="M63" s="151"/>
      <c r="N63" s="154">
        <f>SparkfunListTable[[#This Row],['# Initial]]*SparkfunListTable[[#This Row],[Price (USD)]]</f>
        <v>4.75</v>
      </c>
      <c r="O63" s="151" t="s">
        <v>648</v>
      </c>
      <c r="P63" s="150" t="e">
        <f t="shared" si="4"/>
        <v>#REF!</v>
      </c>
      <c r="Q63" s="150" t="s">
        <v>5</v>
      </c>
      <c r="R63"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474-PRT-10230</v>
      </c>
      <c r="S63" s="157" t="str">
        <f>HYPERLINK("https://www.mouser.com/ProductDetail/" &amp;SparkfunListTable[[#This Row],[Mouser SKU]])</f>
        <v>https://www.mouser.com/ProductDetail/474-PRT-10230</v>
      </c>
      <c r="T63" s="152">
        <v>1</v>
      </c>
      <c r="U63" s="152">
        <v>0</v>
      </c>
      <c r="V63" s="152">
        <v>0</v>
      </c>
      <c r="W63" s="152">
        <f>SparkfunListTable[[#This Row],['#/Unit]]*FilterSpecs!$C$3+SparkfunListTable[[#This Row],[Extra]]</f>
        <v>5</v>
      </c>
      <c r="X63" s="152">
        <f>IF(SparkfunListTable[[#This Row],[Tag]]=FilterSpecs!$F$7,SparkfunListTable[[#This Row],['#/Unit]]*SparkfunListTable[[#This Row],[Price (USD)]],0)</f>
        <v>0.95</v>
      </c>
      <c r="Y63" s="152">
        <f>SparkfunListTable[[#This Row],[Tot '#]]*SparkfunListTable[[#This Row],[Price (USD)]]</f>
        <v>4.75</v>
      </c>
      <c r="Z63" s="146"/>
      <c r="AA63" s="153" t="str">
        <f>SparkfunListTable[[#This Row],[SKU]]</f>
        <v>PRT-10230</v>
      </c>
      <c r="AB63" s="153">
        <f>VALUE(SparkfunListTable[[#This Row],['# Initial]])</f>
        <v>5</v>
      </c>
      <c r="AD63" s="153" t="s">
        <v>648</v>
      </c>
      <c r="AE63" s="153">
        <v>5</v>
      </c>
    </row>
    <row r="64" spans="1:31" s="104" customFormat="1" x14ac:dyDescent="0.25">
      <c r="A64" s="97" t="s">
        <v>889</v>
      </c>
      <c r="B64" s="97" t="s">
        <v>2003</v>
      </c>
      <c r="C64" s="150" t="s">
        <v>5</v>
      </c>
      <c r="D64" s="151" t="str">
        <f>IF(SparkfunListTable[[#This Row],[Vendor]]=FilterSpecs!$A$8,SparkfunListTable[[#This Row],[Mouser SKU]], SparkfunListTable[[#This Row],[Supplier SKU]])</f>
        <v>TOL-10950</v>
      </c>
      <c r="E64" s="152">
        <f>SparkfunListTable[[#This Row],[Tot '#]]-SparkfunListTable[[#This Row],['# Initial]]</f>
        <v>0</v>
      </c>
      <c r="F64" s="152">
        <f>IF(AND(SparkfunListTable[[#This Row],[Tag]]&lt;&gt;FilterSpecs!$F$12, SparkfunListTable[[#This Row],[Tag]]&lt;&gt;FilterSpecs!$F$9), SparkfunListTable[[#This Row],['#/Unit]]*FilterSpecs!$B$3+SparkfunListTable[[#This Row],[Extra Initial]],0)</f>
        <v>2</v>
      </c>
      <c r="G64" s="150" t="s">
        <v>1249</v>
      </c>
      <c r="H64" s="150" t="s">
        <v>1250</v>
      </c>
      <c r="I64" s="150" t="s">
        <v>1251</v>
      </c>
      <c r="J64" s="150">
        <v>1</v>
      </c>
      <c r="K64" s="154">
        <v>9.9499999999999993</v>
      </c>
      <c r="L64" s="150" t="s">
        <v>1896</v>
      </c>
      <c r="M64" s="153"/>
      <c r="N64" s="154">
        <f>SparkfunListTable[[#This Row],['# Initial]]*SparkfunListTable[[#This Row],[Price (USD)]]</f>
        <v>19.899999999999999</v>
      </c>
      <c r="O64" s="151" t="s">
        <v>1248</v>
      </c>
      <c r="P64" s="150" t="e">
        <f>IF(#REF!="List #",1,#REF!+1)</f>
        <v>#REF!</v>
      </c>
      <c r="Q64" s="150" t="s">
        <v>5</v>
      </c>
      <c r="R64"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474-TOL-10950</v>
      </c>
      <c r="S64" s="157" t="str">
        <f>HYPERLINK("https://www.mouser.com/ProductDetail/" &amp;SparkfunListTable[[#This Row],[Mouser SKU]])</f>
        <v>https://www.mouser.com/ProductDetail/474-TOL-10950</v>
      </c>
      <c r="T64" s="152">
        <v>0</v>
      </c>
      <c r="U64" s="152">
        <v>2</v>
      </c>
      <c r="V64" s="152">
        <v>2</v>
      </c>
      <c r="W64" s="152">
        <f>SparkfunListTable[[#This Row],['#/Unit]]*FilterSpecs!$C$3+SparkfunListTable[[#This Row],[Extra]]</f>
        <v>2</v>
      </c>
      <c r="X64" s="152">
        <f>IF(SparkfunListTable[[#This Row],[Tag]]=FilterSpecs!$F$7,SparkfunListTable[[#This Row],['#/Unit]]*SparkfunListTable[[#This Row],[Price (USD)]],0)</f>
        <v>0</v>
      </c>
      <c r="Y64" s="152">
        <f>SparkfunListTable[[#This Row],[Tot '#]]*SparkfunListTable[[#This Row],[Price (USD)]]</f>
        <v>19.899999999999999</v>
      </c>
      <c r="Z64" s="146"/>
      <c r="AA64" s="153" t="str">
        <f>SparkfunListTable[[#This Row],[SKU]]</f>
        <v>TOL-10950</v>
      </c>
      <c r="AB64" s="153">
        <f>VALUE(SparkfunListTable[[#This Row],['# Initial]])</f>
        <v>2</v>
      </c>
      <c r="AD64" s="104" t="s">
        <v>1248</v>
      </c>
      <c r="AE64" s="104">
        <v>2</v>
      </c>
    </row>
    <row r="65" spans="1:31" s="104" customFormat="1" x14ac:dyDescent="0.25">
      <c r="A65" s="150" t="s">
        <v>889</v>
      </c>
      <c r="B65" s="150" t="s">
        <v>1289</v>
      </c>
      <c r="C65" s="150" t="s">
        <v>5</v>
      </c>
      <c r="D65" s="151" t="str">
        <f>IF(SparkfunListTable[[#This Row],[Vendor]]=FilterSpecs!$A$8,SparkfunListTable[[#This Row],[Mouser SKU]], SparkfunListTable[[#This Row],[Supplier SKU]])</f>
        <v>PRT-11510</v>
      </c>
      <c r="E65" s="152">
        <f>SparkfunListTable[[#This Row],[Tot '#]]-SparkfunListTable[[#This Row],['# Initial]]</f>
        <v>0</v>
      </c>
      <c r="F65" s="152">
        <f>IF(AND(SparkfunListTable[[#This Row],[Tag]]&lt;&gt;FilterSpecs!$F$12, SparkfunListTable[[#This Row],[Tag]]&lt;&gt;FilterSpecs!$F$9), SparkfunListTable[[#This Row],['#/Unit]]*FilterSpecs!$B$3+SparkfunListTable[[#This Row],[Extra Initial]],0)</f>
        <v>5</v>
      </c>
      <c r="G65" s="150" t="s">
        <v>1077</v>
      </c>
      <c r="H65" s="150" t="s">
        <v>1078</v>
      </c>
      <c r="I65" s="150" t="s">
        <v>1079</v>
      </c>
      <c r="J65" s="150">
        <v>1</v>
      </c>
      <c r="K65" s="154">
        <v>1.95</v>
      </c>
      <c r="L65" s="150" t="s">
        <v>1897</v>
      </c>
      <c r="M65" s="150" t="s">
        <v>1198</v>
      </c>
      <c r="N65" s="154">
        <f>SparkfunListTable[[#This Row],['# Initial]]*SparkfunListTable[[#This Row],[Price (USD)]]</f>
        <v>9.75</v>
      </c>
      <c r="O65" s="151" t="s">
        <v>1076</v>
      </c>
      <c r="P65" s="150" t="e">
        <f>IF(#REF!="List #",1,#REF!+1)</f>
        <v>#REF!</v>
      </c>
      <c r="Q65" s="150" t="s">
        <v>5</v>
      </c>
      <c r="R65"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474-PRT-11510</v>
      </c>
      <c r="S65" s="157" t="str">
        <f>HYPERLINK("https://www.mouser.com/ProductDetail/" &amp;SparkfunListTable[[#This Row],[Mouser SKU]])</f>
        <v>https://www.mouser.com/ProductDetail/474-PRT-11510</v>
      </c>
      <c r="T65" s="152">
        <v>1</v>
      </c>
      <c r="U65" s="152">
        <v>0</v>
      </c>
      <c r="V65" s="152">
        <v>0</v>
      </c>
      <c r="W65" s="152">
        <f>SparkfunListTable[[#This Row],['#/Unit]]*FilterSpecs!$C$3+SparkfunListTable[[#This Row],[Extra]]</f>
        <v>5</v>
      </c>
      <c r="X65" s="152">
        <f>IF(SparkfunListTable[[#This Row],[Tag]]=FilterSpecs!$F$7,SparkfunListTable[[#This Row],['#/Unit]]*SparkfunListTable[[#This Row],[Price (USD)]],0)</f>
        <v>1.95</v>
      </c>
      <c r="Y65" s="152">
        <f>SparkfunListTable[[#This Row],[Tot '#]]*SparkfunListTable[[#This Row],[Price (USD)]]</f>
        <v>9.75</v>
      </c>
      <c r="Z65" s="146"/>
      <c r="AA65" s="153" t="str">
        <f>SparkfunListTable[[#This Row],[SKU]]</f>
        <v>PRT-11510</v>
      </c>
      <c r="AB65" s="153">
        <f>VALUE(SparkfunListTable[[#This Row],['# Initial]])</f>
        <v>5</v>
      </c>
      <c r="AD65" s="104" t="s">
        <v>1076</v>
      </c>
      <c r="AE65" s="104">
        <v>5</v>
      </c>
    </row>
    <row r="66" spans="1:31" s="104" customFormat="1" x14ac:dyDescent="0.25">
      <c r="A66" s="150" t="s">
        <v>889</v>
      </c>
      <c r="B66" s="150" t="s">
        <v>1289</v>
      </c>
      <c r="C66" s="150" t="s">
        <v>5</v>
      </c>
      <c r="D66" s="151" t="str">
        <f>IF(SparkfunListTable[[#This Row],[Vendor]]=FilterSpecs!$A$8,SparkfunListTable[[#This Row],[Mouser SKU]], SparkfunListTable[[#This Row],[Supplier SKU]])</f>
        <v>PRT-14340</v>
      </c>
      <c r="E66" s="152">
        <f>SparkfunListTable[[#This Row],[Tot '#]]-SparkfunListTable[[#This Row],['# Initial]]</f>
        <v>0</v>
      </c>
      <c r="F66" s="152">
        <f>IF(AND(SparkfunListTable[[#This Row],[Tag]]&lt;&gt;FilterSpecs!$F$12, SparkfunListTable[[#This Row],[Tag]]&lt;&gt;FilterSpecs!$F$9), SparkfunListTable[[#This Row],['#/Unit]]*FilterSpecs!$B$3+SparkfunListTable[[#This Row],[Extra Initial]],0)</f>
        <v>5</v>
      </c>
      <c r="G66" s="150" t="s">
        <v>1257</v>
      </c>
      <c r="H66" s="150" t="s">
        <v>1258</v>
      </c>
      <c r="I66" s="150" t="s">
        <v>1259</v>
      </c>
      <c r="J66" s="150"/>
      <c r="K66" s="154">
        <v>1.57</v>
      </c>
      <c r="L66" s="150" t="s">
        <v>1897</v>
      </c>
      <c r="M66" s="151"/>
      <c r="N66" s="154">
        <f>SparkfunListTable[[#This Row],['# Initial]]*SparkfunListTable[[#This Row],[Price (USD)]]</f>
        <v>7.8500000000000005</v>
      </c>
      <c r="O66" s="151" t="s">
        <v>1256</v>
      </c>
      <c r="P66" s="150" t="e">
        <f t="shared" ref="P66:P89" si="5">IF($P65="List #",1,$P65+1)</f>
        <v>#REF!</v>
      </c>
      <c r="Q66" s="150" t="s">
        <v>5</v>
      </c>
      <c r="R66"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474-PRT-14340</v>
      </c>
      <c r="S66" s="157" t="str">
        <f>HYPERLINK("https://www.mouser.com/ProductDetail/" &amp;SparkfunListTable[[#This Row],[Mouser SKU]])</f>
        <v>https://www.mouser.com/ProductDetail/474-PRT-14340</v>
      </c>
      <c r="T66" s="152">
        <v>1</v>
      </c>
      <c r="U66" s="152">
        <v>0</v>
      </c>
      <c r="V66" s="152">
        <v>0</v>
      </c>
      <c r="W66" s="152">
        <f>SparkfunListTable[[#This Row],['#/Unit]]*FilterSpecs!$C$3+SparkfunListTable[[#This Row],[Extra]]</f>
        <v>5</v>
      </c>
      <c r="X66" s="152">
        <f>IF(SparkfunListTable[[#This Row],[Tag]]=FilterSpecs!$F$7,SparkfunListTable[[#This Row],['#/Unit]]*SparkfunListTable[[#This Row],[Price (USD)]],0)</f>
        <v>1.57</v>
      </c>
      <c r="Y66" s="152">
        <f>SparkfunListTable[[#This Row],[Tot '#]]*SparkfunListTable[[#This Row],[Price (USD)]]</f>
        <v>7.8500000000000005</v>
      </c>
      <c r="Z66" s="146"/>
      <c r="AA66" s="153" t="str">
        <f>SparkfunListTable[[#This Row],[SKU]]</f>
        <v>PRT-14340</v>
      </c>
      <c r="AB66" s="153">
        <f>VALUE(SparkfunListTable[[#This Row],['# Initial]])</f>
        <v>5</v>
      </c>
      <c r="AD66" s="104" t="s">
        <v>1256</v>
      </c>
      <c r="AE66" s="104">
        <v>5</v>
      </c>
    </row>
    <row r="67" spans="1:31" s="104" customFormat="1" x14ac:dyDescent="0.25">
      <c r="A67" s="150" t="s">
        <v>889</v>
      </c>
      <c r="B67" s="150" t="s">
        <v>1289</v>
      </c>
      <c r="C67" s="150" t="s">
        <v>5</v>
      </c>
      <c r="D67" s="151" t="str">
        <f>IF(SparkfunListTable[[#This Row],[Vendor]]=FilterSpecs!$A$8,SparkfunListTable[[#This Row],[Mouser SKU]], SparkfunListTable[[#This Row],[Supplier SKU]])</f>
        <v>PRT-00121</v>
      </c>
      <c r="E67" s="152">
        <f>SparkfunListTable[[#This Row],[Tot '#]]-SparkfunListTable[[#This Row],['# Initial]]</f>
        <v>0</v>
      </c>
      <c r="F67" s="152">
        <f>IF(AND(SparkfunListTable[[#This Row],[Tag]]&lt;&gt;FilterSpecs!$F$12, SparkfunListTable[[#This Row],[Tag]]&lt;&gt;FilterSpecs!$F$9), SparkfunListTable[[#This Row],['#/Unit]]*FilterSpecs!$B$3+SparkfunListTable[[#This Row],[Extra Initial]],0)</f>
        <v>5</v>
      </c>
      <c r="G67" s="150" t="s">
        <v>1073</v>
      </c>
      <c r="H67" s="150" t="s">
        <v>1074</v>
      </c>
      <c r="I67" s="150" t="s">
        <v>1075</v>
      </c>
      <c r="J67" s="150">
        <v>1</v>
      </c>
      <c r="K67" s="154">
        <v>0.95</v>
      </c>
      <c r="L67" s="150" t="s">
        <v>1897</v>
      </c>
      <c r="M67" s="150" t="s">
        <v>1198</v>
      </c>
      <c r="N67" s="154">
        <f>SparkfunListTable[[#This Row],['# Initial]]*SparkfunListTable[[#This Row],[Price (USD)]]</f>
        <v>4.75</v>
      </c>
      <c r="O67" s="151" t="s">
        <v>1072</v>
      </c>
      <c r="P67" s="150" t="e">
        <f t="shared" si="5"/>
        <v>#REF!</v>
      </c>
      <c r="Q67" s="150" t="s">
        <v>5</v>
      </c>
      <c r="R67"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474-PRT-00121</v>
      </c>
      <c r="S67" s="157" t="str">
        <f>HYPERLINK("https://www.mouser.com/ProductDetail/" &amp;SparkfunListTable[[#This Row],[Mouser SKU]])</f>
        <v>https://www.mouser.com/ProductDetail/474-PRT-00121</v>
      </c>
      <c r="T67" s="152">
        <v>1</v>
      </c>
      <c r="U67" s="152">
        <v>0</v>
      </c>
      <c r="V67" s="152">
        <v>0</v>
      </c>
      <c r="W67" s="152">
        <f>SparkfunListTable[[#This Row],['#/Unit]]*FilterSpecs!$C$3+SparkfunListTable[[#This Row],[Extra]]</f>
        <v>5</v>
      </c>
      <c r="X67" s="152">
        <f>IF(SparkfunListTable[[#This Row],[Tag]]=FilterSpecs!$F$7,SparkfunListTable[[#This Row],['#/Unit]]*SparkfunListTable[[#This Row],[Price (USD)]],0)</f>
        <v>0.95</v>
      </c>
      <c r="Y67" s="152">
        <f>SparkfunListTable[[#This Row],[Tot '#]]*SparkfunListTable[[#This Row],[Price (USD)]]</f>
        <v>4.75</v>
      </c>
      <c r="Z67" s="146"/>
      <c r="AA67" s="153" t="str">
        <f>SparkfunListTable[[#This Row],[SKU]]</f>
        <v>PRT-00121</v>
      </c>
      <c r="AB67" s="153">
        <f>VALUE(SparkfunListTable[[#This Row],['# Initial]])</f>
        <v>5</v>
      </c>
      <c r="AD67" s="104" t="s">
        <v>1072</v>
      </c>
      <c r="AE67" s="104">
        <v>5</v>
      </c>
    </row>
    <row r="68" spans="1:31" s="104" customFormat="1" x14ac:dyDescent="0.25">
      <c r="A68" s="150" t="s">
        <v>889</v>
      </c>
      <c r="B68" s="150" t="s">
        <v>1289</v>
      </c>
      <c r="C68" s="150" t="s">
        <v>5</v>
      </c>
      <c r="D68" s="151" t="str">
        <f>IF(SparkfunListTable[[#This Row],[Vendor]]=FilterSpecs!$A$8,SparkfunListTable[[#This Row],[Mouser SKU]], SparkfunListTable[[#This Row],[Supplier SKU]])</f>
        <v>PRT-09599</v>
      </c>
      <c r="E68" s="152">
        <f>SparkfunListTable[[#This Row],[Tot '#]]-SparkfunListTable[[#This Row],['# Initial]]</f>
        <v>0</v>
      </c>
      <c r="F68" s="152">
        <f>IF(AND(SparkfunListTable[[#This Row],[Tag]]&lt;&gt;FilterSpecs!$F$12, SparkfunListTable[[#This Row],[Tag]]&lt;&gt;FilterSpecs!$F$9), SparkfunListTable[[#This Row],['#/Unit]]*FilterSpecs!$B$3+SparkfunListTable[[#This Row],[Extra Initial]],0)</f>
        <v>2</v>
      </c>
      <c r="G68" s="150" t="s">
        <v>1253</v>
      </c>
      <c r="H68" s="150" t="s">
        <v>1254</v>
      </c>
      <c r="I68" s="150" t="s">
        <v>1255</v>
      </c>
      <c r="J68" s="150">
        <v>1</v>
      </c>
      <c r="K68" s="154">
        <v>1.95</v>
      </c>
      <c r="L68" s="150" t="s">
        <v>1896</v>
      </c>
      <c r="M68" s="151"/>
      <c r="N68" s="154">
        <f>SparkfunListTable[[#This Row],['# Initial]]*SparkfunListTable[[#This Row],[Price (USD)]]</f>
        <v>3.9</v>
      </c>
      <c r="O68" s="151" t="s">
        <v>1252</v>
      </c>
      <c r="P68" s="150" t="e">
        <f>IF(#REF!="List #",1,#REF!+1)</f>
        <v>#REF!</v>
      </c>
      <c r="Q68" s="150" t="s">
        <v>5</v>
      </c>
      <c r="R68"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474-PRT-09599</v>
      </c>
      <c r="S68" s="157" t="str">
        <f>HYPERLINK("https://www.mouser.com/ProductDetail/" &amp;SparkfunListTable[[#This Row],[Mouser SKU]])</f>
        <v>https://www.mouser.com/ProductDetail/474-PRT-09599</v>
      </c>
      <c r="T68" s="152">
        <v>0</v>
      </c>
      <c r="U68" s="152">
        <v>2</v>
      </c>
      <c r="V68" s="152">
        <v>2</v>
      </c>
      <c r="W68" s="152">
        <f>SparkfunListTable[[#This Row],['#/Unit]]*FilterSpecs!$C$3+SparkfunListTable[[#This Row],[Extra]]</f>
        <v>2</v>
      </c>
      <c r="X68" s="152">
        <f>IF(SparkfunListTable[[#This Row],[Tag]]=FilterSpecs!$F$7,SparkfunListTable[[#This Row],['#/Unit]]*SparkfunListTable[[#This Row],[Price (USD)]],0)</f>
        <v>0</v>
      </c>
      <c r="Y68" s="152">
        <f>SparkfunListTable[[#This Row],[Tot '#]]*SparkfunListTable[[#This Row],[Price (USD)]]</f>
        <v>3.9</v>
      </c>
      <c r="Z68" s="146"/>
      <c r="AA68" s="153" t="str">
        <f>SparkfunListTable[[#This Row],[SKU]]</f>
        <v>PRT-09599</v>
      </c>
      <c r="AB68" s="153">
        <f>VALUE(SparkfunListTable[[#This Row],['# Initial]])</f>
        <v>2</v>
      </c>
      <c r="AD68" s="104" t="s">
        <v>1252</v>
      </c>
      <c r="AE68" s="104">
        <v>2</v>
      </c>
    </row>
    <row r="69" spans="1:31" s="104" customFormat="1" x14ac:dyDescent="0.25">
      <c r="A69" s="150" t="s">
        <v>889</v>
      </c>
      <c r="B69" s="150" t="s">
        <v>1289</v>
      </c>
      <c r="C69" s="150" t="s">
        <v>5</v>
      </c>
      <c r="D69" s="151" t="str">
        <f>IF(SparkfunListTable[[#This Row],[Vendor]]=FilterSpecs!$A$8,SparkfunListTable[[#This Row],[Mouser SKU]], SparkfunListTable[[#This Row],[Supplier SKU]])</f>
        <v>PRT-09771</v>
      </c>
      <c r="E69" s="152">
        <f>SparkfunListTable[[#This Row],[Tot '#]]-SparkfunListTable[[#This Row],['# Initial]]</f>
        <v>0</v>
      </c>
      <c r="F69" s="152">
        <f>IF(AND(SparkfunListTable[[#This Row],[Tag]]&lt;&gt;FilterSpecs!$F$12, SparkfunListTable[[#This Row],[Tag]]&lt;&gt;FilterSpecs!$F$9), SparkfunListTable[[#This Row],['#/Unit]]*FilterSpecs!$B$3+SparkfunListTable[[#This Row],[Extra Initial]],0)</f>
        <v>3</v>
      </c>
      <c r="G69" s="150" t="s">
        <v>1069</v>
      </c>
      <c r="H69" s="150" t="s">
        <v>1070</v>
      </c>
      <c r="I69" s="150" t="s">
        <v>1071</v>
      </c>
      <c r="J69" s="150"/>
      <c r="K69" s="154">
        <v>3.95</v>
      </c>
      <c r="L69" s="150" t="s">
        <v>1896</v>
      </c>
      <c r="M69" s="151"/>
      <c r="N69" s="154">
        <f>SparkfunListTable[[#This Row],['# Initial]]*SparkfunListTable[[#This Row],[Price (USD)]]</f>
        <v>11.850000000000001</v>
      </c>
      <c r="O69" s="151" t="s">
        <v>1068</v>
      </c>
      <c r="P69" s="150" t="e">
        <f t="shared" si="5"/>
        <v>#REF!</v>
      </c>
      <c r="Q69" s="150" t="s">
        <v>5</v>
      </c>
      <c r="R69"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474-PRT-09771</v>
      </c>
      <c r="S69" s="157" t="str">
        <f>HYPERLINK("https://www.mouser.com/ProductDetail/" &amp;SparkfunListTable[[#This Row],[Mouser SKU]])</f>
        <v>https://www.mouser.com/ProductDetail/474-PRT-09771</v>
      </c>
      <c r="T69" s="152">
        <v>0</v>
      </c>
      <c r="U69" s="152">
        <v>3</v>
      </c>
      <c r="V69" s="152">
        <v>3</v>
      </c>
      <c r="W69" s="152">
        <f>SparkfunListTable[[#This Row],['#/Unit]]*FilterSpecs!$C$3+SparkfunListTable[[#This Row],[Extra]]</f>
        <v>3</v>
      </c>
      <c r="X69" s="152">
        <f>IF(SparkfunListTable[[#This Row],[Tag]]=FilterSpecs!$F$7,SparkfunListTable[[#This Row],['#/Unit]]*SparkfunListTable[[#This Row],[Price (USD)]],0)</f>
        <v>0</v>
      </c>
      <c r="Y69" s="152">
        <f>SparkfunListTable[[#This Row],[Tot '#]]*SparkfunListTable[[#This Row],[Price (USD)]]</f>
        <v>11.850000000000001</v>
      </c>
      <c r="Z69" s="146"/>
      <c r="AA69" s="153" t="str">
        <f>SparkfunListTable[[#This Row],[SKU]]</f>
        <v>PRT-09771</v>
      </c>
      <c r="AB69" s="153">
        <f>VALUE(SparkfunListTable[[#This Row],['# Initial]])</f>
        <v>3</v>
      </c>
      <c r="AD69" s="104" t="s">
        <v>1068</v>
      </c>
      <c r="AE69" s="104">
        <v>3</v>
      </c>
    </row>
    <row r="70" spans="1:31" s="104" customFormat="1" x14ac:dyDescent="0.25">
      <c r="A70" s="150" t="s">
        <v>889</v>
      </c>
      <c r="B70" s="150" t="s">
        <v>987</v>
      </c>
      <c r="C70" s="150" t="s">
        <v>5</v>
      </c>
      <c r="D70" s="151" t="str">
        <f>IF(SparkfunListTable[[#This Row],[Vendor]]=FilterSpecs!$A$8,SparkfunListTable[[#This Row],[Mouser SKU]], SparkfunListTable[[#This Row],[Supplier SKU]])</f>
        <v>PRT-11796</v>
      </c>
      <c r="E70" s="152">
        <f>SparkfunListTable[[#This Row],[Tot '#]]-SparkfunListTable[[#This Row],['# Initial]]</f>
        <v>0</v>
      </c>
      <c r="F70" s="152">
        <f>IF(AND(SparkfunListTable[[#This Row],[Tag]]&lt;&gt;FilterSpecs!$F$12, SparkfunListTable[[#This Row],[Tag]]&lt;&gt;FilterSpecs!$F$9), SparkfunListTable[[#This Row],['#/Unit]]*FilterSpecs!$B$3+SparkfunListTable[[#This Row],[Extra Initial]],0)</f>
        <v>5</v>
      </c>
      <c r="G70" s="150" t="s">
        <v>637</v>
      </c>
      <c r="H70" s="150" t="s">
        <v>638</v>
      </c>
      <c r="I70" s="150" t="s">
        <v>639</v>
      </c>
      <c r="J70" s="150"/>
      <c r="K70" s="154">
        <v>3.95</v>
      </c>
      <c r="L70" s="150" t="s">
        <v>1897</v>
      </c>
      <c r="M70" s="151"/>
      <c r="N70" s="154">
        <f>SparkfunListTable[[#This Row],['# Initial]]*SparkfunListTable[[#This Row],[Price (USD)]]</f>
        <v>19.75</v>
      </c>
      <c r="O70" s="151" t="s">
        <v>636</v>
      </c>
      <c r="P70" s="150" t="e">
        <f t="shared" si="5"/>
        <v>#REF!</v>
      </c>
      <c r="Q70" s="150" t="s">
        <v>5</v>
      </c>
      <c r="R70"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474-PRT-11796</v>
      </c>
      <c r="S70" s="157" t="str">
        <f>HYPERLINK("https://www.mouser.com/ProductDetail/" &amp;SparkfunListTable[[#This Row],[Mouser SKU]])</f>
        <v>https://www.mouser.com/ProductDetail/474-PRT-11796</v>
      </c>
      <c r="T70" s="152">
        <v>1</v>
      </c>
      <c r="U70" s="152">
        <v>0</v>
      </c>
      <c r="V70" s="152">
        <v>0</v>
      </c>
      <c r="W70" s="152">
        <f>SparkfunListTable[[#This Row],['#/Unit]]*FilterSpecs!$C$3+SparkfunListTable[[#This Row],[Extra]]</f>
        <v>5</v>
      </c>
      <c r="X70" s="152">
        <f>IF(SparkfunListTable[[#This Row],[Tag]]=FilterSpecs!$F$7,SparkfunListTable[[#This Row],['#/Unit]]*SparkfunListTable[[#This Row],[Price (USD)]],0)</f>
        <v>3.95</v>
      </c>
      <c r="Y70" s="152">
        <f>SparkfunListTable[[#This Row],[Tot '#]]*SparkfunListTable[[#This Row],[Price (USD)]]</f>
        <v>19.75</v>
      </c>
      <c r="Z70" s="146"/>
      <c r="AA70" s="153" t="str">
        <f>SparkfunListTable[[#This Row],[SKU]]</f>
        <v>PRT-11796</v>
      </c>
      <c r="AB70" s="153">
        <f>VALUE(SparkfunListTable[[#This Row],['# Initial]])</f>
        <v>5</v>
      </c>
      <c r="AD70" s="104" t="s">
        <v>636</v>
      </c>
      <c r="AE70" s="104">
        <v>5</v>
      </c>
    </row>
    <row r="71" spans="1:31" s="104" customFormat="1" x14ac:dyDescent="0.25">
      <c r="A71" s="150" t="s">
        <v>889</v>
      </c>
      <c r="B71" s="150" t="s">
        <v>987</v>
      </c>
      <c r="C71" s="150" t="s">
        <v>5</v>
      </c>
      <c r="D71" s="151" t="str">
        <f>IF(SparkfunListTable[[#This Row],[Vendor]]=FilterSpecs!$A$8,SparkfunListTable[[#This Row],[Mouser SKU]], SparkfunListTable[[#This Row],[Supplier SKU]])</f>
        <v>PRT-10927</v>
      </c>
      <c r="E71" s="152">
        <f>SparkfunListTable[[#This Row],[Tot '#]]-SparkfunListTable[[#This Row],['# Initial]]</f>
        <v>0</v>
      </c>
      <c r="F71" s="152">
        <f>IF(AND(SparkfunListTable[[#This Row],[Tag]]&lt;&gt;FilterSpecs!$F$12, SparkfunListTable[[#This Row],[Tag]]&lt;&gt;FilterSpecs!$F$9), SparkfunListTable[[#This Row],['#/Unit]]*FilterSpecs!$B$3+SparkfunListTable[[#This Row],[Extra Initial]],0)</f>
        <v>5</v>
      </c>
      <c r="G71" s="150" t="s">
        <v>645</v>
      </c>
      <c r="H71" s="150" t="s">
        <v>646</v>
      </c>
      <c r="I71" s="150" t="s">
        <v>647</v>
      </c>
      <c r="J71" s="150">
        <v>1</v>
      </c>
      <c r="K71" s="154">
        <v>2.95</v>
      </c>
      <c r="L71" s="150" t="s">
        <v>1897</v>
      </c>
      <c r="M71" s="151"/>
      <c r="N71" s="154">
        <f>SparkfunListTable[[#This Row],['# Initial]]*SparkfunListTable[[#This Row],[Price (USD)]]</f>
        <v>14.75</v>
      </c>
      <c r="O71" s="151" t="s">
        <v>644</v>
      </c>
      <c r="P71" s="150" t="e">
        <f t="shared" si="5"/>
        <v>#REF!</v>
      </c>
      <c r="Q71" s="150" t="s">
        <v>5</v>
      </c>
      <c r="R71"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474-PRT-10927</v>
      </c>
      <c r="S71" s="157" t="str">
        <f>HYPERLINK("https://www.mouser.com/ProductDetail/" &amp;SparkfunListTable[[#This Row],[Mouser SKU]])</f>
        <v>https://www.mouser.com/ProductDetail/474-PRT-10927</v>
      </c>
      <c r="T71" s="152">
        <v>1</v>
      </c>
      <c r="U71" s="152">
        <v>0</v>
      </c>
      <c r="V71" s="152">
        <v>0</v>
      </c>
      <c r="W71" s="152">
        <f>SparkfunListTable[[#This Row],['#/Unit]]*FilterSpecs!$C$3+SparkfunListTable[[#This Row],[Extra]]</f>
        <v>5</v>
      </c>
      <c r="X71" s="152">
        <f>IF(SparkfunListTable[[#This Row],[Tag]]=FilterSpecs!$F$7,SparkfunListTable[[#This Row],['#/Unit]]*SparkfunListTable[[#This Row],[Price (USD)]],0)</f>
        <v>2.95</v>
      </c>
      <c r="Y71" s="152">
        <f>SparkfunListTable[[#This Row],[Tot '#]]*SparkfunListTable[[#This Row],[Price (USD)]]</f>
        <v>14.75</v>
      </c>
      <c r="Z71" s="146"/>
      <c r="AA71" s="153" t="str">
        <f>SparkfunListTable[[#This Row],[SKU]]</f>
        <v>PRT-10927</v>
      </c>
      <c r="AB71" s="153">
        <f>VALUE(SparkfunListTable[[#This Row],['# Initial]])</f>
        <v>5</v>
      </c>
      <c r="AD71" s="104" t="s">
        <v>644</v>
      </c>
      <c r="AE71" s="104">
        <v>5</v>
      </c>
    </row>
    <row r="72" spans="1:31" s="104" customFormat="1" x14ac:dyDescent="0.25">
      <c r="A72" s="150" t="s">
        <v>889</v>
      </c>
      <c r="B72" s="150" t="s">
        <v>987</v>
      </c>
      <c r="C72" s="150" t="s">
        <v>5</v>
      </c>
      <c r="D72" s="151" t="str">
        <f>IF(SparkfunListTable[[#This Row],[Vendor]]=FilterSpecs!$A$8,SparkfunListTable[[#This Row],[Mouser SKU]], SparkfunListTable[[#This Row],[Supplier SKU]])</f>
        <v>PRT-10453</v>
      </c>
      <c r="E72" s="152">
        <f>SparkfunListTable[[#This Row],[Tot '#]]-SparkfunListTable[[#This Row],['# Initial]]</f>
        <v>0</v>
      </c>
      <c r="F72" s="152">
        <f>IF(AND(SparkfunListTable[[#This Row],[Tag]]&lt;&gt;FilterSpecs!$F$12, SparkfunListTable[[#This Row],[Tag]]&lt;&gt;FilterSpecs!$F$9), SparkfunListTable[[#This Row],['#/Unit]]*FilterSpecs!$B$3+SparkfunListTable[[#This Row],[Extra Initial]],0)</f>
        <v>5</v>
      </c>
      <c r="G72" s="150" t="s">
        <v>701</v>
      </c>
      <c r="H72" s="150" t="s">
        <v>702</v>
      </c>
      <c r="I72" s="150" t="s">
        <v>703</v>
      </c>
      <c r="J72" s="150">
        <v>1</v>
      </c>
      <c r="K72" s="154">
        <v>1.5</v>
      </c>
      <c r="L72" s="150" t="s">
        <v>1897</v>
      </c>
      <c r="M72" s="151"/>
      <c r="N72" s="154">
        <f>SparkfunListTable[[#This Row],['# Initial]]*SparkfunListTable[[#This Row],[Price (USD)]]</f>
        <v>7.5</v>
      </c>
      <c r="O72" s="151" t="s">
        <v>700</v>
      </c>
      <c r="P72" s="150" t="e">
        <f t="shared" si="5"/>
        <v>#REF!</v>
      </c>
      <c r="Q72" s="150" t="s">
        <v>5</v>
      </c>
      <c r="R72"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474-PRT-10453</v>
      </c>
      <c r="S72" s="157" t="str">
        <f>HYPERLINK("https://www.mouser.com/ProductDetail/" &amp;SparkfunListTable[[#This Row],[Mouser SKU]])</f>
        <v>https://www.mouser.com/ProductDetail/474-PRT-10453</v>
      </c>
      <c r="T72" s="152">
        <v>1</v>
      </c>
      <c r="U72" s="152">
        <v>0</v>
      </c>
      <c r="V72" s="152">
        <v>0</v>
      </c>
      <c r="W72" s="152">
        <f>SparkfunListTable[[#This Row],['#/Unit]]*FilterSpecs!$C$3+SparkfunListTable[[#This Row],[Extra]]</f>
        <v>5</v>
      </c>
      <c r="X72" s="152">
        <f>IF(SparkfunListTable[[#This Row],[Tag]]=FilterSpecs!$F$7,SparkfunListTable[[#This Row],['#/Unit]]*SparkfunListTable[[#This Row],[Price (USD)]],0)</f>
        <v>1.5</v>
      </c>
      <c r="Y72" s="152">
        <f>SparkfunListTable[[#This Row],[Tot '#]]*SparkfunListTable[[#This Row],[Price (USD)]]</f>
        <v>7.5</v>
      </c>
      <c r="Z72" s="146"/>
      <c r="AA72" s="153" t="str">
        <f>SparkfunListTable[[#This Row],[SKU]]</f>
        <v>PRT-10453</v>
      </c>
      <c r="AB72" s="153">
        <f>VALUE(SparkfunListTable[[#This Row],['# Initial]])</f>
        <v>5</v>
      </c>
      <c r="AD72" s="104" t="s">
        <v>700</v>
      </c>
      <c r="AE72" s="104">
        <v>5</v>
      </c>
    </row>
    <row r="73" spans="1:31" s="104" customFormat="1" x14ac:dyDescent="0.25">
      <c r="A73" s="150" t="s">
        <v>889</v>
      </c>
      <c r="B73" s="150" t="s">
        <v>987</v>
      </c>
      <c r="C73" s="150" t="s">
        <v>5</v>
      </c>
      <c r="D73" s="151" t="str">
        <f>IF(SparkfunListTable[[#This Row],[Vendor]]=FilterSpecs!$A$8,SparkfunListTable[[#This Row],[Mouser SKU]], SparkfunListTable[[#This Row],[Supplier SKU]])</f>
        <v>PRT-10738</v>
      </c>
      <c r="E73" s="152">
        <f>SparkfunListTable[[#This Row],[Tot '#]]-SparkfunListTable[[#This Row],['# Initial]]</f>
        <v>0</v>
      </c>
      <c r="F73" s="152">
        <f>IF(AND(SparkfunListTable[[#This Row],[Tag]]&lt;&gt;FilterSpecs!$F$12, SparkfunListTable[[#This Row],[Tag]]&lt;&gt;FilterSpecs!$F$9), SparkfunListTable[[#This Row],['#/Unit]]*FilterSpecs!$B$3+SparkfunListTable[[#This Row],[Extra Initial]],0)</f>
        <v>5</v>
      </c>
      <c r="G73" s="150" t="s">
        <v>902</v>
      </c>
      <c r="H73" s="150" t="s">
        <v>903</v>
      </c>
      <c r="I73" s="150" t="s">
        <v>904</v>
      </c>
      <c r="J73" s="150">
        <v>1</v>
      </c>
      <c r="K73" s="154">
        <v>3.95</v>
      </c>
      <c r="L73" s="150" t="s">
        <v>1897</v>
      </c>
      <c r="M73" s="151"/>
      <c r="N73" s="154">
        <f>SparkfunListTable[[#This Row],['# Initial]]*SparkfunListTable[[#This Row],[Price (USD)]]</f>
        <v>19.75</v>
      </c>
      <c r="O73" s="151" t="s">
        <v>901</v>
      </c>
      <c r="P73" s="150" t="e">
        <f t="shared" si="5"/>
        <v>#REF!</v>
      </c>
      <c r="Q73" s="150" t="s">
        <v>5</v>
      </c>
      <c r="R73"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474-PRT-10738</v>
      </c>
      <c r="S73" s="157" t="str">
        <f>HYPERLINK("https://www.mouser.com/ProductDetail/" &amp;SparkfunListTable[[#This Row],[Mouser SKU]])</f>
        <v>https://www.mouser.com/ProductDetail/474-PRT-10738</v>
      </c>
      <c r="T73" s="152">
        <v>1</v>
      </c>
      <c r="U73" s="152">
        <v>0</v>
      </c>
      <c r="V73" s="152">
        <v>0</v>
      </c>
      <c r="W73" s="152">
        <f>SparkfunListTable[[#This Row],['#/Unit]]*FilterSpecs!$C$3+SparkfunListTable[[#This Row],[Extra]]</f>
        <v>5</v>
      </c>
      <c r="X73" s="152">
        <f>IF(SparkfunListTable[[#This Row],[Tag]]=FilterSpecs!$F$7,SparkfunListTable[[#This Row],['#/Unit]]*SparkfunListTable[[#This Row],[Price (USD)]],0)</f>
        <v>3.95</v>
      </c>
      <c r="Y73" s="152">
        <f>SparkfunListTable[[#This Row],[Tot '#]]*SparkfunListTable[[#This Row],[Price (USD)]]</f>
        <v>19.75</v>
      </c>
      <c r="Z73" s="146"/>
      <c r="AA73" s="153" t="str">
        <f>SparkfunListTable[[#This Row],[SKU]]</f>
        <v>PRT-10738</v>
      </c>
      <c r="AB73" s="153">
        <f>VALUE(SparkfunListTable[[#This Row],['# Initial]])</f>
        <v>5</v>
      </c>
      <c r="AD73" s="104" t="s">
        <v>901</v>
      </c>
      <c r="AE73" s="104">
        <v>5</v>
      </c>
    </row>
    <row r="74" spans="1:31" s="104" customFormat="1" x14ac:dyDescent="0.25">
      <c r="A74" s="150" t="s">
        <v>889</v>
      </c>
      <c r="B74" s="150" t="s">
        <v>987</v>
      </c>
      <c r="C74" s="150" t="s">
        <v>5</v>
      </c>
      <c r="D74" s="151" t="str">
        <f>IF(SparkfunListTable[[#This Row],[Vendor]]=FilterSpecs!$A$8,SparkfunListTable[[#This Row],[Mouser SKU]], SparkfunListTable[[#This Row],[Supplier SKU]])</f>
        <v>PRT-10450</v>
      </c>
      <c r="E74" s="152">
        <f>SparkfunListTable[[#This Row],[Tot '#]]-SparkfunListTable[[#This Row],['# Initial]]</f>
        <v>0</v>
      </c>
      <c r="F74" s="152">
        <f>IF(AND(SparkfunListTable[[#This Row],[Tag]]&lt;&gt;FilterSpecs!$F$12, SparkfunListTable[[#This Row],[Tag]]&lt;&gt;FilterSpecs!$F$9), SparkfunListTable[[#This Row],['#/Unit]]*FilterSpecs!$B$3+SparkfunListTable[[#This Row],[Extra Initial]],0)</f>
        <v>5</v>
      </c>
      <c r="G74" s="150" t="s">
        <v>906</v>
      </c>
      <c r="H74" s="150" t="s">
        <v>907</v>
      </c>
      <c r="I74" s="150" t="s">
        <v>908</v>
      </c>
      <c r="J74" s="150">
        <v>1</v>
      </c>
      <c r="K74" s="154">
        <v>1.5</v>
      </c>
      <c r="L74" s="150" t="s">
        <v>1897</v>
      </c>
      <c r="M74" s="151"/>
      <c r="N74" s="154">
        <f>SparkfunListTable[[#This Row],['# Initial]]*SparkfunListTable[[#This Row],[Price (USD)]]</f>
        <v>7.5</v>
      </c>
      <c r="O74" s="151" t="s">
        <v>905</v>
      </c>
      <c r="P74" s="150" t="e">
        <f t="shared" si="5"/>
        <v>#REF!</v>
      </c>
      <c r="Q74" s="150" t="s">
        <v>5</v>
      </c>
      <c r="R74"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474-PRT-10450</v>
      </c>
      <c r="S74" s="157" t="str">
        <f>HYPERLINK("https://www.mouser.com/ProductDetail/" &amp;SparkfunListTable[[#This Row],[Mouser SKU]])</f>
        <v>https://www.mouser.com/ProductDetail/474-PRT-10450</v>
      </c>
      <c r="T74" s="152">
        <v>1</v>
      </c>
      <c r="U74" s="152">
        <v>0</v>
      </c>
      <c r="V74" s="152">
        <v>0</v>
      </c>
      <c r="W74" s="152">
        <f>SparkfunListTable[[#This Row],['#/Unit]]*FilterSpecs!$C$3+SparkfunListTable[[#This Row],[Extra]]</f>
        <v>5</v>
      </c>
      <c r="X74" s="152">
        <f>IF(SparkfunListTable[[#This Row],[Tag]]=FilterSpecs!$F$7,SparkfunListTable[[#This Row],['#/Unit]]*SparkfunListTable[[#This Row],[Price (USD)]],0)</f>
        <v>1.5</v>
      </c>
      <c r="Y74" s="152">
        <f>SparkfunListTable[[#This Row],[Tot '#]]*SparkfunListTable[[#This Row],[Price (USD)]]</f>
        <v>7.5</v>
      </c>
      <c r="Z74" s="146"/>
      <c r="AA74" s="153" t="str">
        <f>SparkfunListTable[[#This Row],[SKU]]</f>
        <v>PRT-10450</v>
      </c>
      <c r="AB74" s="153">
        <f>VALUE(SparkfunListTable[[#This Row],['# Initial]])</f>
        <v>5</v>
      </c>
      <c r="AD74" s="104" t="s">
        <v>905</v>
      </c>
      <c r="AE74" s="104">
        <v>5</v>
      </c>
    </row>
    <row r="75" spans="1:31" s="104" customFormat="1" x14ac:dyDescent="0.25">
      <c r="A75" s="150" t="s">
        <v>889</v>
      </c>
      <c r="B75" s="150" t="s">
        <v>987</v>
      </c>
      <c r="C75" s="150" t="s">
        <v>5</v>
      </c>
      <c r="D75" s="151" t="str">
        <f>IF(SparkfunListTable[[#This Row],[Vendor]]=FilterSpecs!$A$8,SparkfunListTable[[#This Row],[Mouser SKU]], SparkfunListTable[[#This Row],[Supplier SKU]])</f>
        <v>PRT-10463</v>
      </c>
      <c r="E75" s="152">
        <f>SparkfunListTable[[#This Row],[Tot '#]]-SparkfunListTable[[#This Row],['# Initial]]</f>
        <v>0</v>
      </c>
      <c r="F75" s="152">
        <f>IF(AND(SparkfunListTable[[#This Row],[Tag]]&lt;&gt;FilterSpecs!$F$12, SparkfunListTable[[#This Row],[Tag]]&lt;&gt;FilterSpecs!$F$9), SparkfunListTable[[#This Row],['#/Unit]]*FilterSpecs!$B$3+SparkfunListTable[[#This Row],[Extra Initial]],0)</f>
        <v>20</v>
      </c>
      <c r="G75" s="150" t="s">
        <v>930</v>
      </c>
      <c r="H75" s="150" t="s">
        <v>931</v>
      </c>
      <c r="I75" s="150" t="s">
        <v>932</v>
      </c>
      <c r="J75" s="150">
        <v>1</v>
      </c>
      <c r="K75" s="154">
        <v>3.95</v>
      </c>
      <c r="L75" s="150" t="s">
        <v>1897</v>
      </c>
      <c r="M75" s="151"/>
      <c r="N75" s="154">
        <f>SparkfunListTable[[#This Row],['# Initial]]*SparkfunListTable[[#This Row],[Price (USD)]]</f>
        <v>79</v>
      </c>
      <c r="O75" s="151" t="s">
        <v>929</v>
      </c>
      <c r="P75" s="150" t="e">
        <f t="shared" si="5"/>
        <v>#REF!</v>
      </c>
      <c r="Q75" s="150" t="s">
        <v>5</v>
      </c>
      <c r="R75"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474-PRT-10463</v>
      </c>
      <c r="S75" s="157" t="str">
        <f>HYPERLINK("https://www.mouser.com/ProductDetail/" &amp;SparkfunListTable[[#This Row],[Mouser SKU]])</f>
        <v>https://www.mouser.com/ProductDetail/474-PRT-10463</v>
      </c>
      <c r="T75" s="152">
        <v>4</v>
      </c>
      <c r="U75" s="152">
        <v>0</v>
      </c>
      <c r="V75" s="152">
        <v>0</v>
      </c>
      <c r="W75" s="152">
        <f>SparkfunListTable[[#This Row],['#/Unit]]*FilterSpecs!$C$3+SparkfunListTable[[#This Row],[Extra]]</f>
        <v>20</v>
      </c>
      <c r="X75" s="152">
        <f>IF(SparkfunListTable[[#This Row],[Tag]]=FilterSpecs!$F$7,SparkfunListTable[[#This Row],['#/Unit]]*SparkfunListTable[[#This Row],[Price (USD)]],0)</f>
        <v>15.8</v>
      </c>
      <c r="Y75" s="152">
        <f>SparkfunListTable[[#This Row],[Tot '#]]*SparkfunListTable[[#This Row],[Price (USD)]]</f>
        <v>79</v>
      </c>
      <c r="Z75" s="146"/>
      <c r="AA75" s="153" t="str">
        <f>SparkfunListTable[[#This Row],[SKU]]</f>
        <v>PRT-10463</v>
      </c>
      <c r="AB75" s="153">
        <f>VALUE(SparkfunListTable[[#This Row],['# Initial]])</f>
        <v>20</v>
      </c>
      <c r="AD75" s="104" t="s">
        <v>929</v>
      </c>
      <c r="AE75" s="104">
        <v>20</v>
      </c>
    </row>
    <row r="76" spans="1:31" s="153" customFormat="1" x14ac:dyDescent="0.25">
      <c r="A76" s="150" t="s">
        <v>889</v>
      </c>
      <c r="B76" s="150" t="s">
        <v>1290</v>
      </c>
      <c r="C76" s="150" t="s">
        <v>5</v>
      </c>
      <c r="D76" s="151" t="str">
        <f>IF(SparkfunListTable[[#This Row],[Vendor]]=FilterSpecs!$A$8,SparkfunListTable[[#This Row],[Mouser SKU]], SparkfunListTable[[#This Row],[Supplier SKU]])</f>
        <v>PRT-10561</v>
      </c>
      <c r="E76" s="152">
        <f>SparkfunListTable[[#This Row],[Tot '#]]-SparkfunListTable[[#This Row],['# Initial]]</f>
        <v>0</v>
      </c>
      <c r="F76" s="152">
        <f>IF(AND(SparkfunListTable[[#This Row],[Tag]]&lt;&gt;FilterSpecs!$F$12, SparkfunListTable[[#This Row],[Tag]]&lt;&gt;FilterSpecs!$F$9), SparkfunListTable[[#This Row],['#/Unit]]*FilterSpecs!$B$3+SparkfunListTable[[#This Row],[Extra Initial]],0)</f>
        <v>1</v>
      </c>
      <c r="G76" s="150" t="s">
        <v>1229</v>
      </c>
      <c r="H76" s="150" t="s">
        <v>1230</v>
      </c>
      <c r="I76" s="150" t="s">
        <v>1231</v>
      </c>
      <c r="J76" s="150">
        <v>1</v>
      </c>
      <c r="K76" s="154">
        <v>2.95</v>
      </c>
      <c r="L76" s="150" t="s">
        <v>1896</v>
      </c>
      <c r="M76" s="151"/>
      <c r="N76" s="154">
        <f>SparkfunListTable[[#This Row],['# Initial]]*SparkfunListTable[[#This Row],[Price (USD)]]</f>
        <v>2.95</v>
      </c>
      <c r="O76" s="151" t="s">
        <v>1228</v>
      </c>
      <c r="P76" s="150" t="e">
        <f t="shared" si="5"/>
        <v>#REF!</v>
      </c>
      <c r="Q76" s="150" t="s">
        <v>5</v>
      </c>
      <c r="R76"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474-PRT-10561</v>
      </c>
      <c r="S76" s="157" t="str">
        <f>HYPERLINK("https://www.mouser.com/ProductDetail/" &amp;SparkfunListTable[[#This Row],[Mouser SKU]])</f>
        <v>https://www.mouser.com/ProductDetail/474-PRT-10561</v>
      </c>
      <c r="T76" s="152">
        <v>0</v>
      </c>
      <c r="U76" s="152">
        <v>1</v>
      </c>
      <c r="V76" s="152">
        <v>1</v>
      </c>
      <c r="W76" s="152">
        <f>SparkfunListTable[[#This Row],['#/Unit]]*FilterSpecs!$C$3+SparkfunListTable[[#This Row],[Extra]]</f>
        <v>1</v>
      </c>
      <c r="X76" s="152">
        <f>IF(SparkfunListTable[[#This Row],[Tag]]=FilterSpecs!$F$7,SparkfunListTable[[#This Row],['#/Unit]]*SparkfunListTable[[#This Row],[Price (USD)]],0)</f>
        <v>0</v>
      </c>
      <c r="Y76" s="152">
        <f>SparkfunListTable[[#This Row],[Tot '#]]*SparkfunListTable[[#This Row],[Price (USD)]]</f>
        <v>2.95</v>
      </c>
      <c r="Z76" s="146"/>
      <c r="AA76" s="153" t="str">
        <f>SparkfunListTable[[#This Row],[SKU]]</f>
        <v>PRT-10561</v>
      </c>
      <c r="AB76" s="153">
        <f>VALUE(SparkfunListTable[[#This Row],['# Initial]])</f>
        <v>1</v>
      </c>
      <c r="AD76" s="153" t="s">
        <v>1228</v>
      </c>
      <c r="AE76" s="153">
        <v>1</v>
      </c>
    </row>
    <row r="77" spans="1:31" s="153" customFormat="1" ht="15.6" customHeight="1" x14ac:dyDescent="0.25">
      <c r="A77" s="150" t="s">
        <v>889</v>
      </c>
      <c r="B77" s="150" t="s">
        <v>1290</v>
      </c>
      <c r="C77" s="150" t="s">
        <v>5</v>
      </c>
      <c r="D77" s="151" t="str">
        <f>IF(SparkfunListTable[[#This Row],[Vendor]]=FilterSpecs!$A$8,SparkfunListTable[[#This Row],[Mouser SKU]], SparkfunListTable[[#This Row],[Supplier SKU]])</f>
        <v>PRT-13827</v>
      </c>
      <c r="E77" s="152">
        <f>SparkfunListTable[[#This Row],[Tot '#]]-SparkfunListTable[[#This Row],['# Initial]]</f>
        <v>0</v>
      </c>
      <c r="F77" s="152">
        <f>IF(AND(SparkfunListTable[[#This Row],[Tag]]&lt;&gt;FilterSpecs!$F$12, SparkfunListTable[[#This Row],[Tag]]&lt;&gt;FilterSpecs!$F$9), SparkfunListTable[[#This Row],['#/Unit]]*FilterSpecs!$B$3+SparkfunListTable[[#This Row],[Extra Initial]],0)</f>
        <v>1</v>
      </c>
      <c r="G77" s="150" t="s">
        <v>1233</v>
      </c>
      <c r="H77" s="150" t="s">
        <v>1234</v>
      </c>
      <c r="I77" s="150" t="s">
        <v>1235</v>
      </c>
      <c r="J77" s="150">
        <v>1</v>
      </c>
      <c r="K77" s="154">
        <v>3.95</v>
      </c>
      <c r="L77" s="150" t="s">
        <v>1896</v>
      </c>
      <c r="M77" s="151"/>
      <c r="N77" s="154">
        <f>SparkfunListTable[[#This Row],['# Initial]]*SparkfunListTable[[#This Row],[Price (USD)]]</f>
        <v>3.95</v>
      </c>
      <c r="O77" s="151" t="s">
        <v>1232</v>
      </c>
      <c r="P77" s="150" t="e">
        <f t="shared" si="5"/>
        <v>#REF!</v>
      </c>
      <c r="Q77" s="150" t="s">
        <v>5</v>
      </c>
      <c r="R77"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474-PRT-13827</v>
      </c>
      <c r="S77" s="157" t="str">
        <f>HYPERLINK("https://www.mouser.com/ProductDetail/" &amp;SparkfunListTable[[#This Row],[Mouser SKU]])</f>
        <v>https://www.mouser.com/ProductDetail/474-PRT-13827</v>
      </c>
      <c r="T77" s="152">
        <v>0</v>
      </c>
      <c r="U77" s="152">
        <v>1</v>
      </c>
      <c r="V77" s="152">
        <v>1</v>
      </c>
      <c r="W77" s="152">
        <f>SparkfunListTable[[#This Row],['#/Unit]]*FilterSpecs!$C$3+SparkfunListTable[[#This Row],[Extra]]</f>
        <v>1</v>
      </c>
      <c r="X77" s="152">
        <f>IF(SparkfunListTable[[#This Row],[Tag]]=FilterSpecs!$F$7,SparkfunListTable[[#This Row],['#/Unit]]*SparkfunListTable[[#This Row],[Price (USD)]],0)</f>
        <v>0</v>
      </c>
      <c r="Y77" s="152">
        <f>SparkfunListTable[[#This Row],[Tot '#]]*SparkfunListTable[[#This Row],[Price (USD)]]</f>
        <v>3.95</v>
      </c>
      <c r="Z77" s="146"/>
      <c r="AA77" s="153" t="str">
        <f>SparkfunListTable[[#This Row],[SKU]]</f>
        <v>PRT-13827</v>
      </c>
      <c r="AB77" s="153">
        <f>VALUE(SparkfunListTable[[#This Row],['# Initial]])</f>
        <v>1</v>
      </c>
      <c r="AD77" s="153" t="s">
        <v>1232</v>
      </c>
      <c r="AE77" s="153">
        <v>1</v>
      </c>
    </row>
    <row r="78" spans="1:31" s="153" customFormat="1" x14ac:dyDescent="0.25">
      <c r="A78" s="150" t="s">
        <v>890</v>
      </c>
      <c r="B78" s="150" t="s">
        <v>884</v>
      </c>
      <c r="C78" s="150" t="s">
        <v>5</v>
      </c>
      <c r="D78" s="151" t="str">
        <f>IF(SparkfunListTable[[#This Row],[Vendor]]=FilterSpecs!$A$8,SparkfunListTable[[#This Row],[Mouser SKU]], SparkfunListTable[[#This Row],[Supplier SKU]])</f>
        <v>BOB-10467</v>
      </c>
      <c r="E78" s="152">
        <f>SparkfunListTable[[#This Row],[Tot '#]]-SparkfunListTable[[#This Row],['# Initial]]</f>
        <v>0</v>
      </c>
      <c r="F78" s="152">
        <f>IF(AND(SparkfunListTable[[#This Row],[Tag]]&lt;&gt;FilterSpecs!$F$12, SparkfunListTable[[#This Row],[Tag]]&lt;&gt;FilterSpecs!$F$9), SparkfunListTable[[#This Row],['#/Unit]]*FilterSpecs!$B$3+SparkfunListTable[[#This Row],[Extra Initial]],0)</f>
        <v>5</v>
      </c>
      <c r="G78" s="150" t="s">
        <v>1283</v>
      </c>
      <c r="H78" s="150" t="s">
        <v>1284</v>
      </c>
      <c r="I78" s="150" t="s">
        <v>1285</v>
      </c>
      <c r="J78" s="150">
        <v>1</v>
      </c>
      <c r="K78" s="154">
        <v>1.5</v>
      </c>
      <c r="L78" s="151" t="s">
        <v>1897</v>
      </c>
      <c r="M78" s="150"/>
      <c r="N78" s="154">
        <f>SparkfunListTable[[#This Row],['# Initial]]*SparkfunListTable[[#This Row],[Price (USD)]]</f>
        <v>7.5</v>
      </c>
      <c r="O78" s="151" t="s">
        <v>1282</v>
      </c>
      <c r="P78" s="150" t="e">
        <f>IF(#REF!="List #",1,#REF!+1)</f>
        <v>#REF!</v>
      </c>
      <c r="Q78" s="150" t="s">
        <v>5</v>
      </c>
      <c r="R78"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474-BOB-10467</v>
      </c>
      <c r="S78" s="157" t="str">
        <f>HYPERLINK("https://www.mouser.com/ProductDetail/" &amp;SparkfunListTable[[#This Row],[Mouser SKU]])</f>
        <v>https://www.mouser.com/ProductDetail/474-BOB-10467</v>
      </c>
      <c r="T78" s="152">
        <v>1</v>
      </c>
      <c r="U78" s="152">
        <v>0</v>
      </c>
      <c r="V78" s="152">
        <v>0</v>
      </c>
      <c r="W78" s="152">
        <f>SparkfunListTable[[#This Row],['#/Unit]]*FilterSpecs!$C$3+SparkfunListTable[[#This Row],[Extra]]</f>
        <v>5</v>
      </c>
      <c r="X78" s="152">
        <f>IF(SparkfunListTable[[#This Row],[Tag]]=FilterSpecs!$F$7,SparkfunListTable[[#This Row],['#/Unit]]*SparkfunListTable[[#This Row],[Price (USD)]],0)</f>
        <v>1.5</v>
      </c>
      <c r="Y78" s="152">
        <f>SparkfunListTable[[#This Row],[Tot '#]]*SparkfunListTable[[#This Row],[Price (USD)]]</f>
        <v>7.5</v>
      </c>
      <c r="Z78" s="146"/>
      <c r="AA78" s="153" t="str">
        <f>SparkfunListTable[[#This Row],[SKU]]</f>
        <v>BOB-10467</v>
      </c>
      <c r="AB78" s="153">
        <f>VALUE(SparkfunListTable[[#This Row],['# Initial]])</f>
        <v>5</v>
      </c>
      <c r="AD78" s="153" t="s">
        <v>1282</v>
      </c>
      <c r="AE78" s="153">
        <v>5</v>
      </c>
    </row>
    <row r="79" spans="1:31" s="153" customFormat="1" x14ac:dyDescent="0.25">
      <c r="A79" s="150" t="s">
        <v>890</v>
      </c>
      <c r="B79" s="150" t="s">
        <v>884</v>
      </c>
      <c r="C79" s="150" t="s">
        <v>5</v>
      </c>
      <c r="D79" s="151" t="str">
        <f>IF(SparkfunListTable[[#This Row],[Vendor]]=FilterSpecs!$A$8,SparkfunListTable[[#This Row],[Mouser SKU]], SparkfunListTable[[#This Row],[Supplier SKU]])</f>
        <v>COM-10443</v>
      </c>
      <c r="E79" s="152">
        <f>SparkfunListTable[[#This Row],[Tot '#]]-SparkfunListTable[[#This Row],['# Initial]]</f>
        <v>0</v>
      </c>
      <c r="F79" s="152">
        <f>IF(AND(SparkfunListTable[[#This Row],[Tag]]&lt;&gt;FilterSpecs!$F$12, SparkfunListTable[[#This Row],[Tag]]&lt;&gt;FilterSpecs!$F$9), SparkfunListTable[[#This Row],['#/Unit]]*FilterSpecs!$B$3+SparkfunListTable[[#This Row],[Extra Initial]],0)</f>
        <v>5</v>
      </c>
      <c r="G79" s="150" t="s">
        <v>597</v>
      </c>
      <c r="H79" s="150" t="s">
        <v>598</v>
      </c>
      <c r="I79" s="150" t="s">
        <v>599</v>
      </c>
      <c r="J79" s="150"/>
      <c r="K79" s="154">
        <v>1.95</v>
      </c>
      <c r="L79" s="150" t="s">
        <v>1897</v>
      </c>
      <c r="M79" s="150"/>
      <c r="N79" s="154">
        <f>SparkfunListTable[[#This Row],['# Initial]]*SparkfunListTable[[#This Row],[Price (USD)]]</f>
        <v>9.75</v>
      </c>
      <c r="O79" s="151" t="s">
        <v>596</v>
      </c>
      <c r="P79" s="150" t="e">
        <f t="shared" si="5"/>
        <v>#REF!</v>
      </c>
      <c r="Q79" s="150" t="s">
        <v>5</v>
      </c>
      <c r="R79"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474-COM-10443</v>
      </c>
      <c r="S79" s="157" t="str">
        <f>HYPERLINK("https://www.mouser.com/ProductDetail/" &amp;SparkfunListTable[[#This Row],[Mouser SKU]])</f>
        <v>https://www.mouser.com/ProductDetail/474-COM-10443</v>
      </c>
      <c r="T79" s="152">
        <v>1</v>
      </c>
      <c r="U79" s="152">
        <v>0</v>
      </c>
      <c r="V79" s="152">
        <v>0</v>
      </c>
      <c r="W79" s="152">
        <f>SparkfunListTable[[#This Row],['#/Unit]]*FilterSpecs!$C$3+SparkfunListTable[[#This Row],[Extra]]</f>
        <v>5</v>
      </c>
      <c r="X79" s="152">
        <f>IF(SparkfunListTable[[#This Row],[Tag]]=FilterSpecs!$F$7,SparkfunListTable[[#This Row],['#/Unit]]*SparkfunListTable[[#This Row],[Price (USD)]],0)</f>
        <v>1.95</v>
      </c>
      <c r="Y79" s="152">
        <f>SparkfunListTable[[#This Row],[Tot '#]]*SparkfunListTable[[#This Row],[Price (USD)]]</f>
        <v>9.75</v>
      </c>
      <c r="Z79" s="146"/>
      <c r="AA79" s="153" t="str">
        <f>SparkfunListTable[[#This Row],[SKU]]</f>
        <v>COM-10443</v>
      </c>
      <c r="AB79" s="153">
        <f>VALUE(SparkfunListTable[[#This Row],['# Initial]])</f>
        <v>5</v>
      </c>
      <c r="AD79" s="153" t="s">
        <v>596</v>
      </c>
      <c r="AE79" s="153">
        <v>5</v>
      </c>
    </row>
    <row r="80" spans="1:31" s="153" customFormat="1" x14ac:dyDescent="0.25">
      <c r="A80" s="150" t="s">
        <v>890</v>
      </c>
      <c r="B80" s="150" t="s">
        <v>884</v>
      </c>
      <c r="C80" s="150" t="s">
        <v>5</v>
      </c>
      <c r="D80" s="151" t="str">
        <f>IF(SparkfunListTable[[#This Row],[Vendor]]=FilterSpecs!$A$8,SparkfunListTable[[#This Row],[Mouser SKU]], SparkfunListTable[[#This Row],[Supplier SKU]])</f>
        <v>COM-10440</v>
      </c>
      <c r="E80" s="152">
        <f>SparkfunListTable[[#This Row],[Tot '#]]-SparkfunListTable[[#This Row],['# Initial]]</f>
        <v>0</v>
      </c>
      <c r="F80" s="152">
        <f>IF(AND(SparkfunListTable[[#This Row],[Tag]]&lt;&gt;FilterSpecs!$F$12, SparkfunListTable[[#This Row],[Tag]]&lt;&gt;FilterSpecs!$F$9), SparkfunListTable[[#This Row],['#/Unit]]*FilterSpecs!$B$3+SparkfunListTable[[#This Row],[Extra Initial]],0)</f>
        <v>5</v>
      </c>
      <c r="G80" s="150" t="s">
        <v>601</v>
      </c>
      <c r="H80" s="150" t="s">
        <v>602</v>
      </c>
      <c r="I80" s="150" t="s">
        <v>603</v>
      </c>
      <c r="J80" s="150"/>
      <c r="K80" s="154">
        <v>1.95</v>
      </c>
      <c r="L80" s="150" t="s">
        <v>1897</v>
      </c>
      <c r="M80" s="150"/>
      <c r="N80" s="154">
        <f>SparkfunListTable[[#This Row],['# Initial]]*SparkfunListTable[[#This Row],[Price (USD)]]</f>
        <v>9.75</v>
      </c>
      <c r="O80" s="151" t="s">
        <v>600</v>
      </c>
      <c r="P80" s="150" t="e">
        <f t="shared" si="5"/>
        <v>#REF!</v>
      </c>
      <c r="Q80" s="150" t="s">
        <v>5</v>
      </c>
      <c r="R80"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474-COM-10440</v>
      </c>
      <c r="S80" s="157" t="str">
        <f>HYPERLINK("https://www.mouser.com/ProductDetail/" &amp;SparkfunListTable[[#This Row],[Mouser SKU]])</f>
        <v>https://www.mouser.com/ProductDetail/474-COM-10440</v>
      </c>
      <c r="T80" s="152">
        <v>1</v>
      </c>
      <c r="U80" s="152">
        <v>0</v>
      </c>
      <c r="V80" s="152">
        <v>0</v>
      </c>
      <c r="W80" s="152">
        <f>SparkfunListTable[[#This Row],['#/Unit]]*FilterSpecs!$C$3+SparkfunListTable[[#This Row],[Extra]]</f>
        <v>5</v>
      </c>
      <c r="X80" s="152">
        <f>IF(SparkfunListTable[[#This Row],[Tag]]=FilterSpecs!$F$7,SparkfunListTable[[#This Row],['#/Unit]]*SparkfunListTable[[#This Row],[Price (USD)]],0)</f>
        <v>1.95</v>
      </c>
      <c r="Y80" s="152">
        <f>SparkfunListTable[[#This Row],[Tot '#]]*SparkfunListTable[[#This Row],[Price (USD)]]</f>
        <v>9.75</v>
      </c>
      <c r="Z80" s="146"/>
      <c r="AA80" s="153" t="str">
        <f>SparkfunListTable[[#This Row],[SKU]]</f>
        <v>COM-10440</v>
      </c>
      <c r="AB80" s="153">
        <f>VALUE(SparkfunListTable[[#This Row],['# Initial]])</f>
        <v>5</v>
      </c>
      <c r="AD80" s="153" t="s">
        <v>600</v>
      </c>
      <c r="AE80" s="153">
        <v>5</v>
      </c>
    </row>
    <row r="81" spans="1:31" s="153" customFormat="1" x14ac:dyDescent="0.25">
      <c r="A81" s="150" t="s">
        <v>890</v>
      </c>
      <c r="B81" s="150" t="s">
        <v>884</v>
      </c>
      <c r="C81" s="150" t="s">
        <v>5</v>
      </c>
      <c r="D81" s="151" t="str">
        <f>IF(SparkfunListTable[[#This Row],[Vendor]]=FilterSpecs!$A$8,SparkfunListTable[[#This Row],[Mouser SKU]], SparkfunListTable[[#This Row],[Supplier SKU]])</f>
        <v>COM-10442</v>
      </c>
      <c r="E81" s="152">
        <f>SparkfunListTable[[#This Row],[Tot '#]]-SparkfunListTable[[#This Row],['# Initial]]</f>
        <v>0</v>
      </c>
      <c r="F81" s="152">
        <f>IF(AND(SparkfunListTable[[#This Row],[Tag]]&lt;&gt;FilterSpecs!$F$12, SparkfunListTable[[#This Row],[Tag]]&lt;&gt;FilterSpecs!$F$9), SparkfunListTable[[#This Row],['#/Unit]]*FilterSpecs!$B$3+SparkfunListTable[[#This Row],[Extra Initial]],0)</f>
        <v>5</v>
      </c>
      <c r="G81" s="150" t="s">
        <v>1286</v>
      </c>
      <c r="H81" s="150" t="s">
        <v>1287</v>
      </c>
      <c r="I81" s="150" t="s">
        <v>1281</v>
      </c>
      <c r="J81" s="150"/>
      <c r="K81" s="154">
        <v>1.95</v>
      </c>
      <c r="L81" s="150" t="s">
        <v>1897</v>
      </c>
      <c r="M81" s="150"/>
      <c r="N81" s="154">
        <f>SparkfunListTable[[#This Row],['# Initial]]*SparkfunListTable[[#This Row],[Price (USD)]]</f>
        <v>9.75</v>
      </c>
      <c r="O81" s="151" t="s">
        <v>1280</v>
      </c>
      <c r="P81" s="150" t="e">
        <f t="shared" si="5"/>
        <v>#REF!</v>
      </c>
      <c r="Q81" s="150" t="s">
        <v>5</v>
      </c>
      <c r="R81"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474-COM-10442</v>
      </c>
      <c r="S81" s="157" t="str">
        <f>HYPERLINK("https://www.mouser.com/ProductDetail/" &amp;SparkfunListTable[[#This Row],[Mouser SKU]])</f>
        <v>https://www.mouser.com/ProductDetail/474-COM-10442</v>
      </c>
      <c r="T81" s="152">
        <v>1</v>
      </c>
      <c r="U81" s="152">
        <v>0</v>
      </c>
      <c r="V81" s="152">
        <v>0</v>
      </c>
      <c r="W81" s="152">
        <f>SparkfunListTable[[#This Row],['#/Unit]]*FilterSpecs!$C$3+SparkfunListTable[[#This Row],[Extra]]</f>
        <v>5</v>
      </c>
      <c r="X81" s="152">
        <f>IF(SparkfunListTable[[#This Row],[Tag]]=FilterSpecs!$F$7,SparkfunListTable[[#This Row],['#/Unit]]*SparkfunListTable[[#This Row],[Price (USD)]],0)</f>
        <v>1.95</v>
      </c>
      <c r="Y81" s="152">
        <f>SparkfunListTable[[#This Row],[Tot '#]]*SparkfunListTable[[#This Row],[Price (USD)]]</f>
        <v>9.75</v>
      </c>
      <c r="Z81" s="146"/>
      <c r="AA81" s="153" t="str">
        <f>SparkfunListTable[[#This Row],[SKU]]</f>
        <v>COM-10442</v>
      </c>
      <c r="AB81" s="153">
        <f>VALUE(SparkfunListTable[[#This Row],['# Initial]])</f>
        <v>5</v>
      </c>
      <c r="AD81" s="153" t="s">
        <v>1280</v>
      </c>
      <c r="AE81" s="153">
        <v>5</v>
      </c>
    </row>
    <row r="82" spans="1:31" s="104" customFormat="1" x14ac:dyDescent="0.25">
      <c r="A82" s="150" t="s">
        <v>890</v>
      </c>
      <c r="B82" s="150" t="s">
        <v>884</v>
      </c>
      <c r="C82" s="150" t="s">
        <v>5</v>
      </c>
      <c r="D82" s="151" t="str">
        <f>IF(SparkfunListTable[[#This Row],[Vendor]]=FilterSpecs!$A$8,SparkfunListTable[[#This Row],[Mouser SKU]], SparkfunListTable[[#This Row],[Supplier SKU]])</f>
        <v>COM-00097</v>
      </c>
      <c r="E82" s="152">
        <f>SparkfunListTable[[#This Row],[Tot '#]]-SparkfunListTable[[#This Row],['# Initial]]</f>
        <v>0</v>
      </c>
      <c r="F82" s="152">
        <f>IF(AND(SparkfunListTable[[#This Row],[Tag]]&lt;&gt;FilterSpecs!$F$12, SparkfunListTable[[#This Row],[Tag]]&lt;&gt;FilterSpecs!$F$9), SparkfunListTable[[#This Row],['#/Unit]]*FilterSpecs!$B$3+SparkfunListTable[[#This Row],[Extra Initial]],0)</f>
        <v>5</v>
      </c>
      <c r="G82" s="150" t="s">
        <v>609</v>
      </c>
      <c r="H82" s="150" t="s">
        <v>610</v>
      </c>
      <c r="I82" s="150" t="s">
        <v>611</v>
      </c>
      <c r="J82" s="150">
        <v>1</v>
      </c>
      <c r="K82" s="154">
        <v>0.35</v>
      </c>
      <c r="L82" s="150" t="s">
        <v>1897</v>
      </c>
      <c r="M82" s="150"/>
      <c r="N82" s="154">
        <f>SparkfunListTable[[#This Row],['# Initial]]*SparkfunListTable[[#This Row],[Price (USD)]]</f>
        <v>1.75</v>
      </c>
      <c r="O82" s="151" t="s">
        <v>608</v>
      </c>
      <c r="P82" s="150" t="e">
        <f>IF(#REF!="List #",1,#REF!+1)</f>
        <v>#REF!</v>
      </c>
      <c r="Q82" s="150" t="s">
        <v>5</v>
      </c>
      <c r="R82"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474-COM-00097</v>
      </c>
      <c r="S82" s="157" t="str">
        <f>HYPERLINK("https://www.mouser.com/ProductDetail/" &amp;SparkfunListTable[[#This Row],[Mouser SKU]])</f>
        <v>https://www.mouser.com/ProductDetail/474-COM-00097</v>
      </c>
      <c r="T82" s="152">
        <v>1</v>
      </c>
      <c r="U82" s="152">
        <v>0</v>
      </c>
      <c r="V82" s="152">
        <v>0</v>
      </c>
      <c r="W82" s="152">
        <f>SparkfunListTable[[#This Row],['#/Unit]]*FilterSpecs!$C$3+SparkfunListTable[[#This Row],[Extra]]</f>
        <v>5</v>
      </c>
      <c r="X82" s="152">
        <f>IF(SparkfunListTable[[#This Row],[Tag]]=FilterSpecs!$F$7,SparkfunListTable[[#This Row],['#/Unit]]*SparkfunListTable[[#This Row],[Price (USD)]],0)</f>
        <v>0.35</v>
      </c>
      <c r="Y82" s="152">
        <f>SparkfunListTable[[#This Row],[Tot '#]]*SparkfunListTable[[#This Row],[Price (USD)]]</f>
        <v>1.75</v>
      </c>
      <c r="Z82" s="146"/>
      <c r="AA82" s="153" t="str">
        <f>SparkfunListTable[[#This Row],[SKU]]</f>
        <v>COM-00097</v>
      </c>
      <c r="AB82" s="153">
        <f>VALUE(SparkfunListTable[[#This Row],['# Initial]])</f>
        <v>5</v>
      </c>
      <c r="AD82" s="104" t="s">
        <v>608</v>
      </c>
      <c r="AE82" s="104">
        <v>5</v>
      </c>
    </row>
    <row r="83" spans="1:31" s="104" customFormat="1" x14ac:dyDescent="0.25">
      <c r="A83" s="150" t="s">
        <v>890</v>
      </c>
      <c r="B83" s="150" t="s">
        <v>884</v>
      </c>
      <c r="C83" s="150" t="s">
        <v>5</v>
      </c>
      <c r="D83" s="151" t="str">
        <f>IF(SparkfunListTable[[#This Row],[Vendor]]=FilterSpecs!$A$8,SparkfunListTable[[#This Row],[Mouser SKU]], SparkfunListTable[[#This Row],[Supplier SKU]])</f>
        <v>COM-08605</v>
      </c>
      <c r="E83" s="152">
        <f>SparkfunListTable[[#This Row],[Tot '#]]-SparkfunListTable[[#This Row],['# Initial]]</f>
        <v>0</v>
      </c>
      <c r="F83" s="152">
        <f>IF(AND(SparkfunListTable[[#This Row],[Tag]]&lt;&gt;FilterSpecs!$F$12, SparkfunListTable[[#This Row],[Tag]]&lt;&gt;FilterSpecs!$F$9), SparkfunListTable[[#This Row],['#/Unit]]*FilterSpecs!$B$3+SparkfunListTable[[#This Row],[Extra Initial]],0)</f>
        <v>5</v>
      </c>
      <c r="G83" s="150" t="s">
        <v>621</v>
      </c>
      <c r="H83" s="150" t="s">
        <v>622</v>
      </c>
      <c r="I83" s="150" t="s">
        <v>623</v>
      </c>
      <c r="J83" s="150">
        <v>1</v>
      </c>
      <c r="K83" s="154">
        <v>0.5</v>
      </c>
      <c r="L83" s="150" t="s">
        <v>1897</v>
      </c>
      <c r="M83" s="150"/>
      <c r="N83" s="154">
        <f>SparkfunListTable[[#This Row],['# Initial]]*SparkfunListTable[[#This Row],[Price (USD)]]</f>
        <v>2.5</v>
      </c>
      <c r="O83" s="151" t="s">
        <v>620</v>
      </c>
      <c r="P83" s="150" t="e">
        <f t="shared" si="5"/>
        <v>#REF!</v>
      </c>
      <c r="Q83" s="150" t="s">
        <v>5</v>
      </c>
      <c r="R83"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474-COM-08605</v>
      </c>
      <c r="S83" s="157" t="str">
        <f>HYPERLINK("https://www.mouser.com/ProductDetail/" &amp;SparkfunListTable[[#This Row],[Mouser SKU]])</f>
        <v>https://www.mouser.com/ProductDetail/474-COM-08605</v>
      </c>
      <c r="T83" s="152">
        <v>1</v>
      </c>
      <c r="U83" s="152">
        <v>0</v>
      </c>
      <c r="V83" s="152">
        <v>0</v>
      </c>
      <c r="W83" s="152">
        <f>SparkfunListTable[[#This Row],['#/Unit]]*FilterSpecs!$C$3+SparkfunListTable[[#This Row],[Extra]]</f>
        <v>5</v>
      </c>
      <c r="X83" s="152">
        <f>IF(SparkfunListTable[[#This Row],[Tag]]=FilterSpecs!$F$7,SparkfunListTable[[#This Row],['#/Unit]]*SparkfunListTable[[#This Row],[Price (USD)]],0)</f>
        <v>0.5</v>
      </c>
      <c r="Y83" s="152">
        <f>SparkfunListTable[[#This Row],[Tot '#]]*SparkfunListTable[[#This Row],[Price (USD)]]</f>
        <v>2.5</v>
      </c>
      <c r="Z83" s="146"/>
      <c r="AA83" s="153" t="str">
        <f>SparkfunListTable[[#This Row],[SKU]]</f>
        <v>COM-08605</v>
      </c>
      <c r="AB83" s="153">
        <f>VALUE(SparkfunListTable[[#This Row],['# Initial]])</f>
        <v>5</v>
      </c>
      <c r="AD83" s="104" t="s">
        <v>620</v>
      </c>
      <c r="AE83" s="104">
        <v>5</v>
      </c>
    </row>
    <row r="84" spans="1:31" s="104" customFormat="1" x14ac:dyDescent="0.25">
      <c r="A84" s="150" t="s">
        <v>890</v>
      </c>
      <c r="B84" s="150" t="s">
        <v>884</v>
      </c>
      <c r="C84" s="150" t="s">
        <v>5</v>
      </c>
      <c r="D84" s="151" t="str">
        <f>IF(SparkfunListTable[[#This Row],[Vendor]]=FilterSpecs!$A$8,SparkfunListTable[[#This Row],[Mouser SKU]], SparkfunListTable[[#This Row],[Supplier SKU]])</f>
        <v>COM-09190</v>
      </c>
      <c r="E84" s="152">
        <f>SparkfunListTable[[#This Row],[Tot '#]]-SparkfunListTable[[#This Row],['# Initial]]</f>
        <v>0</v>
      </c>
      <c r="F84" s="152">
        <f>IF(AND(SparkfunListTable[[#This Row],[Tag]]&lt;&gt;FilterSpecs!$F$12, SparkfunListTable[[#This Row],[Tag]]&lt;&gt;FilterSpecs!$F$9), SparkfunListTable[[#This Row],['#/Unit]]*FilterSpecs!$B$3+SparkfunListTable[[#This Row],[Extra Initial]],0)</f>
        <v>5</v>
      </c>
      <c r="G84" s="150" t="s">
        <v>617</v>
      </c>
      <c r="H84" s="150" t="s">
        <v>618</v>
      </c>
      <c r="I84" s="150" t="s">
        <v>619</v>
      </c>
      <c r="J84" s="150">
        <v>1</v>
      </c>
      <c r="K84" s="154">
        <v>0.5</v>
      </c>
      <c r="L84" s="150" t="s">
        <v>1897</v>
      </c>
      <c r="M84" s="150"/>
      <c r="N84" s="154">
        <f>SparkfunListTable[[#This Row],['# Initial]]*SparkfunListTable[[#This Row],[Price (USD)]]</f>
        <v>2.5</v>
      </c>
      <c r="O84" s="151" t="s">
        <v>616</v>
      </c>
      <c r="P84" s="150" t="e">
        <f t="shared" si="5"/>
        <v>#REF!</v>
      </c>
      <c r="Q84" s="150" t="s">
        <v>5</v>
      </c>
      <c r="R84"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474-COM-09190</v>
      </c>
      <c r="S84" s="157" t="str">
        <f>HYPERLINK("https://www.mouser.com/ProductDetail/" &amp;SparkfunListTable[[#This Row],[Mouser SKU]])</f>
        <v>https://www.mouser.com/ProductDetail/474-COM-09190</v>
      </c>
      <c r="T84" s="152">
        <v>1</v>
      </c>
      <c r="U84" s="152">
        <v>0</v>
      </c>
      <c r="V84" s="152">
        <v>0</v>
      </c>
      <c r="W84" s="152">
        <f>SparkfunListTable[[#This Row],['#/Unit]]*FilterSpecs!$C$3+SparkfunListTable[[#This Row],[Extra]]</f>
        <v>5</v>
      </c>
      <c r="X84" s="152">
        <f>IF(SparkfunListTable[[#This Row],[Tag]]=FilterSpecs!$F$7,SparkfunListTable[[#This Row],['#/Unit]]*SparkfunListTable[[#This Row],[Price (USD)]],0)</f>
        <v>0.5</v>
      </c>
      <c r="Y84" s="152">
        <f>SparkfunListTable[[#This Row],[Tot '#]]*SparkfunListTable[[#This Row],[Price (USD)]]</f>
        <v>2.5</v>
      </c>
      <c r="Z84" s="146"/>
      <c r="AA84" s="153" t="str">
        <f>SparkfunListTable[[#This Row],[SKU]]</f>
        <v>COM-09190</v>
      </c>
      <c r="AB84" s="153">
        <f>VALUE(SparkfunListTable[[#This Row],['# Initial]])</f>
        <v>5</v>
      </c>
      <c r="AD84" s="104" t="s">
        <v>616</v>
      </c>
      <c r="AE84" s="104">
        <v>5</v>
      </c>
    </row>
    <row r="85" spans="1:31" s="153" customFormat="1" x14ac:dyDescent="0.25">
      <c r="A85" s="150" t="s">
        <v>890</v>
      </c>
      <c r="B85" s="150" t="s">
        <v>884</v>
      </c>
      <c r="C85" s="150" t="s">
        <v>5</v>
      </c>
      <c r="D85" s="151" t="str">
        <f>IF(SparkfunListTable[[#This Row],[Vendor]]=FilterSpecs!$A$8,SparkfunListTable[[#This Row],[Mouser SKU]], SparkfunListTable[[#This Row],[Supplier SKU]])</f>
        <v>COM-10791</v>
      </c>
      <c r="E85" s="152">
        <f>SparkfunListTable[[#This Row],[Tot '#]]-SparkfunListTable[[#This Row],['# Initial]]</f>
        <v>0</v>
      </c>
      <c r="F85" s="152">
        <f>IF(AND(SparkfunListTable[[#This Row],[Tag]]&lt;&gt;FilterSpecs!$F$12, SparkfunListTable[[#This Row],[Tag]]&lt;&gt;FilterSpecs!$F$9), SparkfunListTable[[#This Row],['#/Unit]]*FilterSpecs!$B$3+SparkfunListTable[[#This Row],[Extra Initial]],0)</f>
        <v>5</v>
      </c>
      <c r="G85" s="150" t="s">
        <v>613</v>
      </c>
      <c r="H85" s="150" t="s">
        <v>614</v>
      </c>
      <c r="I85" s="150" t="s">
        <v>615</v>
      </c>
      <c r="J85" s="150">
        <v>1</v>
      </c>
      <c r="K85" s="154">
        <v>0.5</v>
      </c>
      <c r="L85" s="150" t="s">
        <v>1897</v>
      </c>
      <c r="M85" s="150"/>
      <c r="N85" s="154">
        <f>SparkfunListTable[[#This Row],['# Initial]]*SparkfunListTable[[#This Row],[Price (USD)]]</f>
        <v>2.5</v>
      </c>
      <c r="O85" s="151" t="s">
        <v>612</v>
      </c>
      <c r="P85" s="150" t="e">
        <f>IF(#REF!="List #",1,#REF!+1)</f>
        <v>#REF!</v>
      </c>
      <c r="Q85" s="150" t="s">
        <v>5</v>
      </c>
      <c r="R85"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474-COM-10791</v>
      </c>
      <c r="S85" s="157" t="str">
        <f>HYPERLINK("https://www.mouser.com/ProductDetail/" &amp;SparkfunListTable[[#This Row],[Mouser SKU]])</f>
        <v>https://www.mouser.com/ProductDetail/474-COM-10791</v>
      </c>
      <c r="T85" s="152">
        <v>1</v>
      </c>
      <c r="U85" s="152">
        <v>0</v>
      </c>
      <c r="V85" s="152">
        <v>0</v>
      </c>
      <c r="W85" s="152">
        <f>SparkfunListTable[[#This Row],['#/Unit]]*FilterSpecs!$C$3+SparkfunListTable[[#This Row],[Extra]]</f>
        <v>5</v>
      </c>
      <c r="X85" s="152">
        <f>IF(SparkfunListTable[[#This Row],[Tag]]=FilterSpecs!$F$7,SparkfunListTable[[#This Row],['#/Unit]]*SparkfunListTable[[#This Row],[Price (USD)]],0)</f>
        <v>0.5</v>
      </c>
      <c r="Y85" s="152">
        <f>SparkfunListTable[[#This Row],[Tot '#]]*SparkfunListTable[[#This Row],[Price (USD)]]</f>
        <v>2.5</v>
      </c>
      <c r="Z85" s="146"/>
      <c r="AA85" s="153" t="str">
        <f>SparkfunListTable[[#This Row],[SKU]]</f>
        <v>COM-10791</v>
      </c>
      <c r="AB85" s="153">
        <f>VALUE(SparkfunListTable[[#This Row],['# Initial]])</f>
        <v>5</v>
      </c>
      <c r="AD85" s="153" t="s">
        <v>612</v>
      </c>
      <c r="AE85" s="153">
        <v>5</v>
      </c>
    </row>
    <row r="86" spans="1:31" s="153" customFormat="1" x14ac:dyDescent="0.25">
      <c r="A86" s="150" t="s">
        <v>890</v>
      </c>
      <c r="B86" s="150" t="s">
        <v>884</v>
      </c>
      <c r="C86" s="150" t="s">
        <v>5</v>
      </c>
      <c r="D86" s="151" t="str">
        <f>IF(SparkfunListTable[[#This Row],[Vendor]]=FilterSpecs!$A$8,SparkfunListTable[[#This Row],[Mouser SKU]], SparkfunListTable[[#This Row],[Supplier SKU]])</f>
        <v>COM-08837</v>
      </c>
      <c r="E86" s="152">
        <f>SparkfunListTable[[#This Row],[Tot '#]]-SparkfunListTable[[#This Row],['# Initial]]</f>
        <v>2</v>
      </c>
      <c r="F86" s="152">
        <f>IF(AND(SparkfunListTable[[#This Row],[Tag]]&lt;&gt;FilterSpecs!$F$12, SparkfunListTable[[#This Row],[Tag]]&lt;&gt;FilterSpecs!$F$9), SparkfunListTable[[#This Row],['#/Unit]]*FilterSpecs!$B$3+SparkfunListTable[[#This Row],[Extra Initial]],0)</f>
        <v>5</v>
      </c>
      <c r="G86" s="150" t="s">
        <v>525</v>
      </c>
      <c r="H86" s="150" t="s">
        <v>526</v>
      </c>
      <c r="I86" s="150" t="s">
        <v>527</v>
      </c>
      <c r="J86" s="150">
        <v>1</v>
      </c>
      <c r="K86" s="154">
        <v>0.95</v>
      </c>
      <c r="L86" s="151" t="s">
        <v>1897</v>
      </c>
      <c r="M86" s="150"/>
      <c r="N86" s="154">
        <f>SparkfunListTable[[#This Row],['# Initial]]*SparkfunListTable[[#This Row],[Price (USD)]]</f>
        <v>4.75</v>
      </c>
      <c r="O86" s="151" t="s">
        <v>524</v>
      </c>
      <c r="P86" s="150" t="e">
        <f t="shared" si="5"/>
        <v>#REF!</v>
      </c>
      <c r="Q86" s="150" t="s">
        <v>5</v>
      </c>
      <c r="R86"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474-COM-08837</v>
      </c>
      <c r="S86" s="157" t="str">
        <f>HYPERLINK("https://www.mouser.com/ProductDetail/" &amp;SparkfunListTable[[#This Row],[Mouser SKU]])</f>
        <v>https://www.mouser.com/ProductDetail/474-COM-08837</v>
      </c>
      <c r="T86" s="152">
        <v>1</v>
      </c>
      <c r="U86" s="152">
        <v>2</v>
      </c>
      <c r="V86" s="152">
        <v>0</v>
      </c>
      <c r="W86" s="152">
        <f>SparkfunListTable[[#This Row],['#/Unit]]*FilterSpecs!$C$3+SparkfunListTable[[#This Row],[Extra]]</f>
        <v>7</v>
      </c>
      <c r="X86" s="152">
        <f>IF(SparkfunListTable[[#This Row],[Tag]]=FilterSpecs!$F$7,SparkfunListTable[[#This Row],['#/Unit]]*SparkfunListTable[[#This Row],[Price (USD)]],0)</f>
        <v>0.95</v>
      </c>
      <c r="Y86" s="152">
        <f>SparkfunListTable[[#This Row],[Tot '#]]*SparkfunListTable[[#This Row],[Price (USD)]]</f>
        <v>6.6499999999999995</v>
      </c>
      <c r="Z86" s="146"/>
      <c r="AA86" s="153" t="str">
        <f>SparkfunListTable[[#This Row],[SKU]]</f>
        <v>COM-08837</v>
      </c>
      <c r="AB86" s="153">
        <f>VALUE(SparkfunListTable[[#This Row],['# Initial]])</f>
        <v>5</v>
      </c>
      <c r="AD86" s="153" t="s">
        <v>524</v>
      </c>
      <c r="AE86" s="153">
        <v>5</v>
      </c>
    </row>
    <row r="87" spans="1:31" s="153" customFormat="1" x14ac:dyDescent="0.25">
      <c r="A87" s="150" t="s">
        <v>890</v>
      </c>
      <c r="B87" s="150" t="s">
        <v>884</v>
      </c>
      <c r="C87" s="150" t="s">
        <v>5</v>
      </c>
      <c r="D87" s="151" t="str">
        <f>IF(SparkfunListTable[[#This Row],[Vendor]]=FilterSpecs!$A$8,SparkfunListTable[[#This Row],[Mouser SKU]], SparkfunListTable[[#This Row],[Supplier SKU]])</f>
        <v>COM-00102</v>
      </c>
      <c r="E87" s="152">
        <f>SparkfunListTable[[#This Row],[Tot '#]]-SparkfunListTable[[#This Row],['# Initial]]</f>
        <v>0</v>
      </c>
      <c r="F87" s="152">
        <f>IF(AND(SparkfunListTable[[#This Row],[Tag]]&lt;&gt;FilterSpecs!$F$12, SparkfunListTable[[#This Row],[Tag]]&lt;&gt;FilterSpecs!$F$9), SparkfunListTable[[#This Row],['#/Unit]]*FilterSpecs!$B$3+SparkfunListTable[[#This Row],[Extra Initial]],0)</f>
        <v>5</v>
      </c>
      <c r="G87" s="150" t="s">
        <v>625</v>
      </c>
      <c r="H87" s="150" t="s">
        <v>626</v>
      </c>
      <c r="I87" s="150" t="s">
        <v>2549</v>
      </c>
      <c r="J87" s="150">
        <v>1</v>
      </c>
      <c r="K87" s="154">
        <v>1.5</v>
      </c>
      <c r="L87" s="150" t="s">
        <v>1897</v>
      </c>
      <c r="M87" s="150"/>
      <c r="N87" s="154">
        <f>SparkfunListTable[[#This Row],['# Initial]]*SparkfunListTable[[#This Row],[Price (USD)]]</f>
        <v>7.5</v>
      </c>
      <c r="O87" s="151" t="s">
        <v>624</v>
      </c>
      <c r="P87" s="150" t="e">
        <f t="shared" si="5"/>
        <v>#REF!</v>
      </c>
      <c r="Q87" s="150" t="s">
        <v>5</v>
      </c>
      <c r="R87"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474-COM-00102</v>
      </c>
      <c r="S87" s="157" t="str">
        <f>HYPERLINK("https://www.mouser.com/ProductDetail/" &amp;SparkfunListTable[[#This Row],[Mouser SKU]])</f>
        <v>https://www.mouser.com/ProductDetail/474-COM-00102</v>
      </c>
      <c r="T87" s="152">
        <v>1</v>
      </c>
      <c r="U87" s="152">
        <v>0</v>
      </c>
      <c r="V87" s="152">
        <v>0</v>
      </c>
      <c r="W87" s="152">
        <f>SparkfunListTable[[#This Row],['#/Unit]]*FilterSpecs!$C$3+SparkfunListTable[[#This Row],[Extra]]</f>
        <v>5</v>
      </c>
      <c r="X87" s="152">
        <f>IF(SparkfunListTable[[#This Row],[Tag]]=FilterSpecs!$F$7,SparkfunListTable[[#This Row],['#/Unit]]*SparkfunListTable[[#This Row],[Price (USD)]],0)</f>
        <v>1.5</v>
      </c>
      <c r="Y87" s="152">
        <f>SparkfunListTable[[#This Row],[Tot '#]]*SparkfunListTable[[#This Row],[Price (USD)]]</f>
        <v>7.5</v>
      </c>
      <c r="Z87" s="146"/>
      <c r="AA87" s="153" t="str">
        <f>SparkfunListTable[[#This Row],[SKU]]</f>
        <v>COM-00102</v>
      </c>
      <c r="AB87" s="153">
        <f>VALUE(SparkfunListTable[[#This Row],['# Initial]])</f>
        <v>5</v>
      </c>
      <c r="AD87" s="153" t="s">
        <v>624</v>
      </c>
      <c r="AE87" s="153">
        <v>5</v>
      </c>
    </row>
    <row r="88" spans="1:31" s="104" customFormat="1" x14ac:dyDescent="0.25">
      <c r="A88" s="151" t="s">
        <v>890</v>
      </c>
      <c r="B88" s="151" t="s">
        <v>1870</v>
      </c>
      <c r="C88" s="150" t="s">
        <v>5</v>
      </c>
      <c r="D88" s="151" t="str">
        <f>IF(SparkfunListTable[[#This Row],[Vendor]]=FilterSpecs!$A$8,SparkfunListTable[[#This Row],[Mouser SKU]], SparkfunListTable[[#This Row],[Supplier SKU]])</f>
        <v>PRT-09749</v>
      </c>
      <c r="E88" s="152">
        <f>SparkfunListTable[[#This Row],[Tot '#]]-SparkfunListTable[[#This Row],['# Initial]]</f>
        <v>0</v>
      </c>
      <c r="F88" s="152">
        <f>IF(AND(SparkfunListTable[[#This Row],[Tag]]&lt;&gt;FilterSpecs!$F$12, SparkfunListTable[[#This Row],[Tag]]&lt;&gt;FilterSpecs!$F$9), SparkfunListTable[[#This Row],['#/Unit]]*FilterSpecs!$B$3+SparkfunListTable[[#This Row],[Extra Initial]],0)</f>
        <v>10</v>
      </c>
      <c r="G88" s="150" t="s">
        <v>439</v>
      </c>
      <c r="H88" s="150" t="s">
        <v>440</v>
      </c>
      <c r="I88" s="151" t="s">
        <v>441</v>
      </c>
      <c r="J88" s="150">
        <v>1</v>
      </c>
      <c r="K88" s="154">
        <v>0.95</v>
      </c>
      <c r="L88" s="151" t="s">
        <v>1897</v>
      </c>
      <c r="M88" s="150"/>
      <c r="N88" s="154">
        <f>SparkfunListTable[[#This Row],['# Initial]]*SparkfunListTable[[#This Row],[Price (USD)]]</f>
        <v>9.5</v>
      </c>
      <c r="O88" s="151" t="s">
        <v>438</v>
      </c>
      <c r="P88" s="150" t="e">
        <f>IF(#REF!="List #",1,#REF!+1)</f>
        <v>#REF!</v>
      </c>
      <c r="Q88" s="150" t="s">
        <v>5</v>
      </c>
      <c r="R88"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474-PRT-09749</v>
      </c>
      <c r="S88" s="157" t="str">
        <f>HYPERLINK("https://www.mouser.com/ProductDetail/" &amp;SparkfunListTable[[#This Row],[Mouser SKU]])</f>
        <v>https://www.mouser.com/ProductDetail/474-PRT-09749</v>
      </c>
      <c r="T88" s="152">
        <v>2</v>
      </c>
      <c r="U88" s="152">
        <v>0</v>
      </c>
      <c r="V88" s="152">
        <v>0</v>
      </c>
      <c r="W88" s="152">
        <f>SparkfunListTable[[#This Row],['#/Unit]]*FilterSpecs!$C$3+SparkfunListTable[[#This Row],[Extra]]</f>
        <v>10</v>
      </c>
      <c r="X88" s="152">
        <f>IF(SparkfunListTable[[#This Row],[Tag]]=FilterSpecs!$F$7,SparkfunListTable[[#This Row],['#/Unit]]*SparkfunListTable[[#This Row],[Price (USD)]],0)</f>
        <v>1.9</v>
      </c>
      <c r="Y88" s="152">
        <f>SparkfunListTable[[#This Row],[Tot '#]]*SparkfunListTable[[#This Row],[Price (USD)]]</f>
        <v>9.5</v>
      </c>
      <c r="Z88" s="146"/>
      <c r="AA88" s="153" t="str">
        <f>SparkfunListTable[[#This Row],[SKU]]</f>
        <v>PRT-09749</v>
      </c>
      <c r="AB88" s="153">
        <f>VALUE(SparkfunListTable[[#This Row],['# Initial]])</f>
        <v>10</v>
      </c>
      <c r="AD88" s="104" t="s">
        <v>438</v>
      </c>
      <c r="AE88" s="104">
        <v>10</v>
      </c>
    </row>
    <row r="89" spans="1:31" s="104" customFormat="1" x14ac:dyDescent="0.25">
      <c r="A89" s="151" t="s">
        <v>890</v>
      </c>
      <c r="B89" s="151" t="s">
        <v>1870</v>
      </c>
      <c r="C89" s="150" t="s">
        <v>5</v>
      </c>
      <c r="D89" s="151" t="str">
        <f>IF(SparkfunListTable[[#This Row],[Vendor]]=FilterSpecs!$A$8,SparkfunListTable[[#This Row],[Mouser SKU]], SparkfunListTable[[#This Row],[Supplier SKU]])</f>
        <v>PRT-09750</v>
      </c>
      <c r="E89" s="152">
        <f>SparkfunListTable[[#This Row],[Tot '#]]-SparkfunListTable[[#This Row],['# Initial]]</f>
        <v>0</v>
      </c>
      <c r="F89" s="152">
        <f>IF(AND(SparkfunListTable[[#This Row],[Tag]]&lt;&gt;FilterSpecs!$F$12, SparkfunListTable[[#This Row],[Tag]]&lt;&gt;FilterSpecs!$F$9), SparkfunListTable[[#This Row],['#/Unit]]*FilterSpecs!$B$3+SparkfunListTable[[#This Row],[Extra Initial]],0)</f>
        <v>5</v>
      </c>
      <c r="G89" s="150" t="s">
        <v>1842</v>
      </c>
      <c r="H89" s="150" t="s">
        <v>1843</v>
      </c>
      <c r="I89" s="151" t="s">
        <v>1844</v>
      </c>
      <c r="J89" s="150">
        <v>1</v>
      </c>
      <c r="K89" s="154">
        <v>0.95</v>
      </c>
      <c r="L89" s="151" t="s">
        <v>1897</v>
      </c>
      <c r="M89" s="150"/>
      <c r="N89" s="154">
        <f>SparkfunListTable[[#This Row],['# Initial]]*SparkfunListTable[[#This Row],[Price (USD)]]</f>
        <v>4.75</v>
      </c>
      <c r="O89" s="151" t="s">
        <v>1841</v>
      </c>
      <c r="P89" s="150" t="e">
        <f t="shared" si="5"/>
        <v>#REF!</v>
      </c>
      <c r="Q89" s="150" t="s">
        <v>5</v>
      </c>
      <c r="R89"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474-PRT-09750</v>
      </c>
      <c r="S89" s="157" t="str">
        <f>HYPERLINK("https://www.mouser.com/ProductDetail/" &amp;SparkfunListTable[[#This Row],[Mouser SKU]])</f>
        <v>https://www.mouser.com/ProductDetail/474-PRT-09750</v>
      </c>
      <c r="T89" s="152">
        <v>1</v>
      </c>
      <c r="U89" s="152">
        <v>0</v>
      </c>
      <c r="V89" s="152">
        <v>0</v>
      </c>
      <c r="W89" s="152">
        <f>SparkfunListTable[[#This Row],['#/Unit]]*FilterSpecs!$C$3+SparkfunListTable[[#This Row],[Extra]]</f>
        <v>5</v>
      </c>
      <c r="X89" s="152">
        <f>IF(SparkfunListTable[[#This Row],[Tag]]=FilterSpecs!$F$7,SparkfunListTable[[#This Row],['#/Unit]]*SparkfunListTable[[#This Row],[Price (USD)]],0)</f>
        <v>0.95</v>
      </c>
      <c r="Y89" s="152">
        <f>SparkfunListTable[[#This Row],[Tot '#]]*SparkfunListTable[[#This Row],[Price (USD)]]</f>
        <v>4.75</v>
      </c>
      <c r="Z89" s="146"/>
      <c r="AA89" s="153" t="str">
        <f>SparkfunListTable[[#This Row],[SKU]]</f>
        <v>PRT-09750</v>
      </c>
      <c r="AB89" s="153">
        <f>VALUE(SparkfunListTable[[#This Row],['# Initial]])</f>
        <v>5</v>
      </c>
      <c r="AD89" s="104" t="s">
        <v>1841</v>
      </c>
      <c r="AE89" s="104">
        <v>5</v>
      </c>
    </row>
    <row r="90" spans="1:31" s="104" customFormat="1" x14ac:dyDescent="0.25">
      <c r="A90" s="151" t="s">
        <v>890</v>
      </c>
      <c r="B90" s="151" t="s">
        <v>1872</v>
      </c>
      <c r="C90" s="150" t="s">
        <v>5</v>
      </c>
      <c r="D90" s="151" t="str">
        <f>IF(SparkfunListTable[[#This Row],[Vendor]]=FilterSpecs!$A$8,SparkfunListTable[[#This Row],[Mouser SKU]], SparkfunListTable[[#This Row],[Supplier SKU]])</f>
        <v>PRT-08232</v>
      </c>
      <c r="E90" s="152">
        <f>SparkfunListTable[[#This Row],[Tot '#]]-SparkfunListTable[[#This Row],['# Initial]]</f>
        <v>0</v>
      </c>
      <c r="F90" s="152">
        <f>IF(AND(SparkfunListTable[[#This Row],[Tag]]&lt;&gt;FilterSpecs!$F$12, SparkfunListTable[[#This Row],[Tag]]&lt;&gt;FilterSpecs!$F$9), SparkfunListTable[[#This Row],['#/Unit]]*FilterSpecs!$B$3+SparkfunListTable[[#This Row],[Extra Initial]],0)</f>
        <v>16</v>
      </c>
      <c r="G90" s="150" t="s">
        <v>1369</v>
      </c>
      <c r="H90" s="150" t="s">
        <v>1370</v>
      </c>
      <c r="I90" s="151" t="s">
        <v>1371</v>
      </c>
      <c r="J90" s="150">
        <v>1</v>
      </c>
      <c r="K90" s="154">
        <v>0.45</v>
      </c>
      <c r="L90" s="151" t="s">
        <v>1897</v>
      </c>
      <c r="M90" s="150"/>
      <c r="N90" s="154">
        <f>SparkfunListTable[[#This Row],['# Initial]]*SparkfunListTable[[#This Row],[Price (USD)]]</f>
        <v>7.2</v>
      </c>
      <c r="O90" s="151" t="s">
        <v>1368</v>
      </c>
      <c r="P90" s="150" t="e">
        <f>IF(#REF!="List #",1,#REF!+1)</f>
        <v>#REF!</v>
      </c>
      <c r="Q90" s="150" t="s">
        <v>5</v>
      </c>
      <c r="R90"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474-PRT-08232</v>
      </c>
      <c r="S90" s="157" t="str">
        <f>HYPERLINK("https://www.mouser.com/ProductDetail/" &amp;SparkfunListTable[[#This Row],[Mouser SKU]])</f>
        <v>https://www.mouser.com/ProductDetail/474-PRT-08232</v>
      </c>
      <c r="T90" s="152">
        <v>3</v>
      </c>
      <c r="U90" s="152">
        <v>1</v>
      </c>
      <c r="V90" s="152">
        <v>1</v>
      </c>
      <c r="W90" s="152">
        <f>SparkfunListTable[[#This Row],['#/Unit]]*FilterSpecs!$C$3+SparkfunListTable[[#This Row],[Extra]]</f>
        <v>16</v>
      </c>
      <c r="X90" s="152">
        <f>IF(SparkfunListTable[[#This Row],[Tag]]=FilterSpecs!$F$7,SparkfunListTable[[#This Row],['#/Unit]]*SparkfunListTable[[#This Row],[Price (USD)]],0)</f>
        <v>1.35</v>
      </c>
      <c r="Y90" s="152">
        <f>SparkfunListTable[[#This Row],[Tot '#]]*SparkfunListTable[[#This Row],[Price (USD)]]</f>
        <v>7.2</v>
      </c>
      <c r="Z90" s="146"/>
      <c r="AA90" s="153" t="str">
        <f>SparkfunListTable[[#This Row],[SKU]]</f>
        <v>PRT-08232</v>
      </c>
      <c r="AB90" s="153">
        <f>VALUE(SparkfunListTable[[#This Row],['# Initial]])</f>
        <v>16</v>
      </c>
      <c r="AD90" s="104" t="s">
        <v>1368</v>
      </c>
      <c r="AE90" s="104">
        <v>16</v>
      </c>
    </row>
    <row r="91" spans="1:31" s="104" customFormat="1" x14ac:dyDescent="0.25">
      <c r="A91" s="151" t="s">
        <v>890</v>
      </c>
      <c r="B91" s="151" t="s">
        <v>1872</v>
      </c>
      <c r="C91" s="150" t="s">
        <v>5</v>
      </c>
      <c r="D91" s="151" t="str">
        <f>IF(SparkfunListTable[[#This Row],[Vendor]]=FilterSpecs!$A$8,SparkfunListTable[[#This Row],[Mouser SKU]], SparkfunListTable[[#This Row],[Supplier SKU]])</f>
        <v>PRT-08096</v>
      </c>
      <c r="E91" s="152">
        <f>SparkfunListTable[[#This Row],[Tot '#]]-SparkfunListTable[[#This Row],['# Initial]]</f>
        <v>0</v>
      </c>
      <c r="F91" s="152">
        <f>IF(AND(SparkfunListTable[[#This Row],[Tag]]&lt;&gt;FilterSpecs!$F$12, SparkfunListTable[[#This Row],[Tag]]&lt;&gt;FilterSpecs!$F$9), SparkfunListTable[[#This Row],['#/Unit]]*FilterSpecs!$B$3+SparkfunListTable[[#This Row],[Extra Initial]],0)</f>
        <v>16</v>
      </c>
      <c r="G91" s="150" t="s">
        <v>1373</v>
      </c>
      <c r="H91" s="150" t="s">
        <v>1374</v>
      </c>
      <c r="I91" s="151" t="s">
        <v>1375</v>
      </c>
      <c r="J91" s="150">
        <v>1</v>
      </c>
      <c r="K91" s="154">
        <v>0.45</v>
      </c>
      <c r="L91" s="151" t="s">
        <v>1897</v>
      </c>
      <c r="M91" s="150"/>
      <c r="N91" s="154">
        <f>SparkfunListTable[[#This Row],['# Initial]]*SparkfunListTable[[#This Row],[Price (USD)]]</f>
        <v>7.2</v>
      </c>
      <c r="O91" s="151" t="s">
        <v>1372</v>
      </c>
      <c r="P91" s="150" t="e">
        <f t="shared" ref="P91:P109" si="6">IF($P90="List #",1,$P90+1)</f>
        <v>#REF!</v>
      </c>
      <c r="Q91" s="150" t="s">
        <v>5</v>
      </c>
      <c r="R91"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474-PRT-08096</v>
      </c>
      <c r="S91" s="157" t="str">
        <f>HYPERLINK("https://www.mouser.com/ProductDetail/" &amp;SparkfunListTable[[#This Row],[Mouser SKU]])</f>
        <v>https://www.mouser.com/ProductDetail/474-PRT-08096</v>
      </c>
      <c r="T91" s="152">
        <v>3</v>
      </c>
      <c r="U91" s="152">
        <v>1</v>
      </c>
      <c r="V91" s="152">
        <v>1</v>
      </c>
      <c r="W91" s="152">
        <f>SparkfunListTable[[#This Row],['#/Unit]]*FilterSpecs!$C$3+SparkfunListTable[[#This Row],[Extra]]</f>
        <v>16</v>
      </c>
      <c r="X91" s="152">
        <f>IF(SparkfunListTable[[#This Row],[Tag]]=FilterSpecs!$F$7,SparkfunListTable[[#This Row],['#/Unit]]*SparkfunListTable[[#This Row],[Price (USD)]],0)</f>
        <v>1.35</v>
      </c>
      <c r="Y91" s="152">
        <f>SparkfunListTable[[#This Row],[Tot '#]]*SparkfunListTable[[#This Row],[Price (USD)]]</f>
        <v>7.2</v>
      </c>
      <c r="Z91" s="146"/>
      <c r="AA91" s="153" t="str">
        <f>SparkfunListTable[[#This Row],[SKU]]</f>
        <v>PRT-08096</v>
      </c>
      <c r="AB91" s="153">
        <f>VALUE(SparkfunListTable[[#This Row],['# Initial]])</f>
        <v>16</v>
      </c>
      <c r="AD91" s="104" t="s">
        <v>1372</v>
      </c>
      <c r="AE91" s="104">
        <v>16</v>
      </c>
    </row>
    <row r="92" spans="1:31" s="104" customFormat="1" x14ac:dyDescent="0.25">
      <c r="A92" s="151" t="s">
        <v>890</v>
      </c>
      <c r="B92" s="151" t="s">
        <v>1872</v>
      </c>
      <c r="C92" s="150" t="s">
        <v>5</v>
      </c>
      <c r="D92" s="151" t="str">
        <f>IF(SparkfunListTable[[#This Row],[Vendor]]=FilterSpecs!$A$8,SparkfunListTable[[#This Row],[Mouser SKU]], SparkfunListTable[[#This Row],[Supplier SKU]])</f>
        <v>PRT-08231</v>
      </c>
      <c r="E92" s="152">
        <f>SparkfunListTable[[#This Row],[Tot '#]]-SparkfunListTable[[#This Row],['# Initial]]</f>
        <v>0</v>
      </c>
      <c r="F92" s="152">
        <f>IF(AND(SparkfunListTable[[#This Row],[Tag]]&lt;&gt;FilterSpecs!$F$12, SparkfunListTable[[#This Row],[Tag]]&lt;&gt;FilterSpecs!$F$9), SparkfunListTable[[#This Row],['#/Unit]]*FilterSpecs!$B$3+SparkfunListTable[[#This Row],[Extra Initial]],0)</f>
        <v>16</v>
      </c>
      <c r="G92" s="150" t="s">
        <v>1357</v>
      </c>
      <c r="H92" s="150" t="s">
        <v>1358</v>
      </c>
      <c r="I92" s="151" t="s">
        <v>1359</v>
      </c>
      <c r="J92" s="150">
        <v>1</v>
      </c>
      <c r="K92" s="154">
        <v>0.45</v>
      </c>
      <c r="L92" s="151" t="s">
        <v>1897</v>
      </c>
      <c r="M92" s="150"/>
      <c r="N92" s="154">
        <f>SparkfunListTable[[#This Row],['# Initial]]*SparkfunListTable[[#This Row],[Price (USD)]]</f>
        <v>7.2</v>
      </c>
      <c r="O92" s="151" t="s">
        <v>1356</v>
      </c>
      <c r="P92" s="150" t="e">
        <f t="shared" si="6"/>
        <v>#REF!</v>
      </c>
      <c r="Q92" s="150" t="s">
        <v>5</v>
      </c>
      <c r="R92"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474-PRT-08231</v>
      </c>
      <c r="S92" s="157" t="str">
        <f>HYPERLINK("https://www.mouser.com/ProductDetail/" &amp;SparkfunListTable[[#This Row],[Mouser SKU]])</f>
        <v>https://www.mouser.com/ProductDetail/474-PRT-08231</v>
      </c>
      <c r="T92" s="152">
        <v>3</v>
      </c>
      <c r="U92" s="152">
        <v>1</v>
      </c>
      <c r="V92" s="152">
        <v>1</v>
      </c>
      <c r="W92" s="152">
        <f>SparkfunListTable[[#This Row],['#/Unit]]*FilterSpecs!$C$3+SparkfunListTable[[#This Row],[Extra]]</f>
        <v>16</v>
      </c>
      <c r="X92" s="152">
        <f>IF(SparkfunListTable[[#This Row],[Tag]]=FilterSpecs!$F$7,SparkfunListTable[[#This Row],['#/Unit]]*SparkfunListTable[[#This Row],[Price (USD)]],0)</f>
        <v>1.35</v>
      </c>
      <c r="Y92" s="152">
        <f>SparkfunListTable[[#This Row],[Tot '#]]*SparkfunListTable[[#This Row],[Price (USD)]]</f>
        <v>7.2</v>
      </c>
      <c r="Z92" s="146"/>
      <c r="AA92" s="153" t="str">
        <f>SparkfunListTable[[#This Row],[SKU]]</f>
        <v>PRT-08231</v>
      </c>
      <c r="AB92" s="153">
        <f>VALUE(SparkfunListTable[[#This Row],['# Initial]])</f>
        <v>16</v>
      </c>
      <c r="AD92" s="104" t="s">
        <v>1356</v>
      </c>
      <c r="AE92" s="104">
        <v>16</v>
      </c>
    </row>
    <row r="93" spans="1:31" s="104" customFormat="1" x14ac:dyDescent="0.25">
      <c r="A93" s="151" t="s">
        <v>890</v>
      </c>
      <c r="B93" s="151" t="s">
        <v>1872</v>
      </c>
      <c r="C93" s="150" t="s">
        <v>5</v>
      </c>
      <c r="D93" s="151" t="str">
        <f>IF(SparkfunListTable[[#This Row],[Vendor]]=FilterSpecs!$A$8,SparkfunListTable[[#This Row],[Mouser SKU]], SparkfunListTable[[#This Row],[Supplier SKU]])</f>
        <v>PRT-08097</v>
      </c>
      <c r="E93" s="152">
        <f>SparkfunListTable[[#This Row],[Tot '#]]-SparkfunListTable[[#This Row],['# Initial]]</f>
        <v>0</v>
      </c>
      <c r="F93" s="152">
        <f>IF(AND(SparkfunListTable[[#This Row],[Tag]]&lt;&gt;FilterSpecs!$F$12, SparkfunListTable[[#This Row],[Tag]]&lt;&gt;FilterSpecs!$F$9), SparkfunListTable[[#This Row],['#/Unit]]*FilterSpecs!$B$3+SparkfunListTable[[#This Row],[Extra Initial]],0)</f>
        <v>16</v>
      </c>
      <c r="G93" s="150" t="s">
        <v>1345</v>
      </c>
      <c r="H93" s="150" t="s">
        <v>1346</v>
      </c>
      <c r="I93" s="151" t="s">
        <v>1347</v>
      </c>
      <c r="J93" s="150">
        <v>1</v>
      </c>
      <c r="K93" s="154">
        <v>0.45</v>
      </c>
      <c r="L93" s="151" t="s">
        <v>1897</v>
      </c>
      <c r="M93" s="150"/>
      <c r="N93" s="154">
        <f>SparkfunListTable[[#This Row],['# Initial]]*SparkfunListTable[[#This Row],[Price (USD)]]</f>
        <v>7.2</v>
      </c>
      <c r="O93" s="151" t="s">
        <v>1344</v>
      </c>
      <c r="P93" s="150" t="e">
        <f t="shared" si="6"/>
        <v>#REF!</v>
      </c>
      <c r="Q93" s="150" t="s">
        <v>5</v>
      </c>
      <c r="R93"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474-PRT-08097</v>
      </c>
      <c r="S93" s="157" t="str">
        <f>HYPERLINK("https://www.mouser.com/ProductDetail/" &amp;SparkfunListTable[[#This Row],[Mouser SKU]])</f>
        <v>https://www.mouser.com/ProductDetail/474-PRT-08097</v>
      </c>
      <c r="T93" s="152">
        <v>3</v>
      </c>
      <c r="U93" s="152">
        <v>1</v>
      </c>
      <c r="V93" s="152">
        <v>1</v>
      </c>
      <c r="W93" s="152">
        <f>SparkfunListTable[[#This Row],['#/Unit]]*FilterSpecs!$C$3+SparkfunListTable[[#This Row],[Extra]]</f>
        <v>16</v>
      </c>
      <c r="X93" s="152">
        <f>IF(SparkfunListTable[[#This Row],[Tag]]=FilterSpecs!$F$7,SparkfunListTable[[#This Row],['#/Unit]]*SparkfunListTable[[#This Row],[Price (USD)]],0)</f>
        <v>1.35</v>
      </c>
      <c r="Y93" s="152">
        <f>SparkfunListTable[[#This Row],[Tot '#]]*SparkfunListTable[[#This Row],[Price (USD)]]</f>
        <v>7.2</v>
      </c>
      <c r="Z93" s="146"/>
      <c r="AA93" s="153" t="str">
        <f>SparkfunListTable[[#This Row],[SKU]]</f>
        <v>PRT-08097</v>
      </c>
      <c r="AB93" s="153">
        <f>VALUE(SparkfunListTable[[#This Row],['# Initial]])</f>
        <v>16</v>
      </c>
      <c r="AD93" s="104" t="s">
        <v>1344</v>
      </c>
      <c r="AE93" s="104">
        <v>16</v>
      </c>
    </row>
    <row r="94" spans="1:31" s="104" customFormat="1" x14ac:dyDescent="0.25">
      <c r="A94" s="151" t="s">
        <v>890</v>
      </c>
      <c r="B94" s="151" t="s">
        <v>1872</v>
      </c>
      <c r="C94" s="150" t="s">
        <v>5</v>
      </c>
      <c r="D94" s="151" t="str">
        <f>IF(SparkfunListTable[[#This Row],[Vendor]]=FilterSpecs!$A$8,SparkfunListTable[[#This Row],[Mouser SKU]], SparkfunListTable[[#This Row],[Supplier SKU]])</f>
        <v>PRT-08100</v>
      </c>
      <c r="E94" s="152">
        <f>SparkfunListTable[[#This Row],[Tot '#]]-SparkfunListTable[[#This Row],['# Initial]]</f>
        <v>0</v>
      </c>
      <c r="F94" s="152">
        <f>IF(AND(SparkfunListTable[[#This Row],[Tag]]&lt;&gt;FilterSpecs!$F$12, SparkfunListTable[[#This Row],[Tag]]&lt;&gt;FilterSpecs!$F$9), SparkfunListTable[[#This Row],['#/Unit]]*FilterSpecs!$B$3+SparkfunListTable[[#This Row],[Extra Initial]],0)</f>
        <v>16</v>
      </c>
      <c r="G94" s="150" t="s">
        <v>2401</v>
      </c>
      <c r="H94" s="150" t="s">
        <v>2402</v>
      </c>
      <c r="I94" s="151" t="s">
        <v>2403</v>
      </c>
      <c r="J94" s="150">
        <v>1</v>
      </c>
      <c r="K94" s="154">
        <v>1.95</v>
      </c>
      <c r="L94" s="151" t="s">
        <v>1897</v>
      </c>
      <c r="M94" s="151"/>
      <c r="N94" s="154">
        <f>SparkfunListTable[[#This Row],['# Initial]]*SparkfunListTable[[#This Row],[Price (USD)]]</f>
        <v>31.2</v>
      </c>
      <c r="O94" s="151" t="s">
        <v>2400</v>
      </c>
      <c r="P94" s="150" t="e">
        <f t="shared" si="6"/>
        <v>#REF!</v>
      </c>
      <c r="Q94" s="150" t="s">
        <v>5</v>
      </c>
      <c r="R94"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474-PRT-08100</v>
      </c>
      <c r="S94" s="157" t="str">
        <f>HYPERLINK("https://www.mouser.com/ProductDetail/" &amp;SparkfunListTable[[#This Row],[Mouser SKU]])</f>
        <v>https://www.mouser.com/ProductDetail/474-PRT-08100</v>
      </c>
      <c r="T94" s="152">
        <v>3</v>
      </c>
      <c r="U94" s="152">
        <v>1</v>
      </c>
      <c r="V94" s="152">
        <v>1</v>
      </c>
      <c r="W94" s="152">
        <f>SparkfunListTable[[#This Row],['#/Unit]]*FilterSpecs!$C$3+SparkfunListTable[[#This Row],[Extra]]</f>
        <v>16</v>
      </c>
      <c r="X94" s="152">
        <f>IF(SparkfunListTable[[#This Row],[Tag]]=FilterSpecs!$F$7,SparkfunListTable[[#This Row],['#/Unit]]*SparkfunListTable[[#This Row],[Price (USD)]],0)</f>
        <v>5.85</v>
      </c>
      <c r="Y94" s="152">
        <f>SparkfunListTable[[#This Row],[Tot '#]]*SparkfunListTable[[#This Row],[Price (USD)]]</f>
        <v>31.2</v>
      </c>
      <c r="Z94" s="146"/>
      <c r="AA94" s="153" t="str">
        <f>SparkfunListTable[[#This Row],[SKU]]</f>
        <v>PRT-08100</v>
      </c>
      <c r="AB94" s="153">
        <f>VALUE(SparkfunListTable[[#This Row],['# Initial]])</f>
        <v>16</v>
      </c>
      <c r="AD94" s="104" t="s">
        <v>2400</v>
      </c>
      <c r="AE94" s="104">
        <v>16</v>
      </c>
    </row>
    <row r="95" spans="1:31" s="153" customFormat="1" x14ac:dyDescent="0.25">
      <c r="A95" s="151" t="s">
        <v>890</v>
      </c>
      <c r="B95" s="151" t="s">
        <v>1871</v>
      </c>
      <c r="C95" s="150" t="s">
        <v>5</v>
      </c>
      <c r="D95" s="151" t="str">
        <f>IF(SparkfunListTable[[#This Row],[Vendor]]=FilterSpecs!$A$8,SparkfunListTable[[#This Row],[Mouser SKU]], SparkfunListTable[[#This Row],[Supplier SKU]])</f>
        <v>PRT-10651</v>
      </c>
      <c r="E95" s="152">
        <f>SparkfunListTable[[#This Row],[Tot '#]]-SparkfunListTable[[#This Row],['# Initial]]</f>
        <v>0</v>
      </c>
      <c r="F95" s="152">
        <f>IF(AND(SparkfunListTable[[#This Row],[Tag]]&lt;&gt;FilterSpecs!$F$12, SparkfunListTable[[#This Row],[Tag]]&lt;&gt;FilterSpecs!$F$9), SparkfunListTable[[#This Row],['#/Unit]]*FilterSpecs!$B$3+SparkfunListTable[[#This Row],[Extra Initial]],0)</f>
        <v>10</v>
      </c>
      <c r="G95" s="150" t="s">
        <v>1574</v>
      </c>
      <c r="H95" s="150" t="s">
        <v>1575</v>
      </c>
      <c r="I95" s="151" t="s">
        <v>1576</v>
      </c>
      <c r="J95" s="150">
        <v>1</v>
      </c>
      <c r="K95" s="154">
        <v>0.35</v>
      </c>
      <c r="L95" s="151" t="s">
        <v>1897</v>
      </c>
      <c r="M95" s="150"/>
      <c r="N95" s="154">
        <f>SparkfunListTable[[#This Row],['# Initial]]*SparkfunListTable[[#This Row],[Price (USD)]]</f>
        <v>3.5</v>
      </c>
      <c r="O95" s="151" t="s">
        <v>1573</v>
      </c>
      <c r="P95" s="150" t="e">
        <f t="shared" si="6"/>
        <v>#REF!</v>
      </c>
      <c r="Q95" s="150" t="s">
        <v>5</v>
      </c>
      <c r="R95"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474-PRT-10651</v>
      </c>
      <c r="S95" s="157" t="str">
        <f>HYPERLINK("https://www.mouser.com/ProductDetail/" &amp;SparkfunListTable[[#This Row],[Mouser SKU]])</f>
        <v>https://www.mouser.com/ProductDetail/474-PRT-10651</v>
      </c>
      <c r="T95" s="152">
        <v>2</v>
      </c>
      <c r="U95" s="152">
        <v>0</v>
      </c>
      <c r="V95" s="152">
        <v>0</v>
      </c>
      <c r="W95" s="152">
        <f>SparkfunListTable[[#This Row],['#/Unit]]*FilterSpecs!$C$3+SparkfunListTable[[#This Row],[Extra]]</f>
        <v>10</v>
      </c>
      <c r="X95" s="152">
        <f>IF(SparkfunListTable[[#This Row],[Tag]]=FilterSpecs!$F$7,SparkfunListTable[[#This Row],['#/Unit]]*SparkfunListTable[[#This Row],[Price (USD)]],0)</f>
        <v>0.7</v>
      </c>
      <c r="Y95" s="152">
        <f>SparkfunListTable[[#This Row],[Tot '#]]*SparkfunListTable[[#This Row],[Price (USD)]]</f>
        <v>3.5</v>
      </c>
      <c r="Z95" s="146"/>
      <c r="AA95" s="153" t="str">
        <f>SparkfunListTable[[#This Row],[SKU]]</f>
        <v>PRT-10651</v>
      </c>
      <c r="AB95" s="153">
        <f>VALUE(SparkfunListTable[[#This Row],['# Initial]])</f>
        <v>10</v>
      </c>
      <c r="AD95" s="153" t="s">
        <v>1573</v>
      </c>
      <c r="AE95" s="153">
        <v>10</v>
      </c>
    </row>
    <row r="96" spans="1:31" s="153" customFormat="1" x14ac:dyDescent="0.25">
      <c r="A96" s="151" t="s">
        <v>890</v>
      </c>
      <c r="B96" s="151" t="s">
        <v>1871</v>
      </c>
      <c r="C96" s="150" t="s">
        <v>5</v>
      </c>
      <c r="D96" s="151" t="str">
        <f>IF(SparkfunListTable[[#This Row],[Vendor]]=FilterSpecs!$A$8,SparkfunListTable[[#This Row],[Mouser SKU]], SparkfunListTable[[#This Row],[Supplier SKU]])</f>
        <v>PRT-10650</v>
      </c>
      <c r="E96" s="152">
        <f>SparkfunListTable[[#This Row],[Tot '#]]-SparkfunListTable[[#This Row],['# Initial]]</f>
        <v>0</v>
      </c>
      <c r="F96" s="152">
        <f>IF(AND(SparkfunListTable[[#This Row],[Tag]]&lt;&gt;FilterSpecs!$F$12, SparkfunListTable[[#This Row],[Tag]]&lt;&gt;FilterSpecs!$F$9), SparkfunListTable[[#This Row],['#/Unit]]*FilterSpecs!$B$3+SparkfunListTable[[#This Row],[Extra Initial]],0)</f>
        <v>10</v>
      </c>
      <c r="G96" s="150" t="s">
        <v>1570</v>
      </c>
      <c r="H96" s="150" t="s">
        <v>1571</v>
      </c>
      <c r="I96" s="151" t="s">
        <v>1572</v>
      </c>
      <c r="J96" s="150">
        <v>1</v>
      </c>
      <c r="K96" s="154">
        <v>0.5</v>
      </c>
      <c r="L96" s="151" t="s">
        <v>1897</v>
      </c>
      <c r="M96" s="150"/>
      <c r="N96" s="154">
        <f>SparkfunListTable[[#This Row],['# Initial]]*SparkfunListTable[[#This Row],[Price (USD)]]</f>
        <v>5</v>
      </c>
      <c r="O96" s="151" t="s">
        <v>1569</v>
      </c>
      <c r="P96" s="150" t="e">
        <f t="shared" si="6"/>
        <v>#REF!</v>
      </c>
      <c r="Q96" s="150" t="s">
        <v>5</v>
      </c>
      <c r="R96"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474-PRT-10650</v>
      </c>
      <c r="S96" s="157" t="str">
        <f>HYPERLINK("https://www.mouser.com/ProductDetail/" &amp;SparkfunListTable[[#This Row],[Mouser SKU]])</f>
        <v>https://www.mouser.com/ProductDetail/474-PRT-10650</v>
      </c>
      <c r="T96" s="152">
        <v>2</v>
      </c>
      <c r="U96" s="152">
        <v>0</v>
      </c>
      <c r="V96" s="152">
        <v>0</v>
      </c>
      <c r="W96" s="152">
        <f>SparkfunListTable[[#This Row],['#/Unit]]*FilterSpecs!$C$3+SparkfunListTable[[#This Row],[Extra]]</f>
        <v>10</v>
      </c>
      <c r="X96" s="152">
        <f>IF(SparkfunListTable[[#This Row],[Tag]]=FilterSpecs!$F$7,SparkfunListTable[[#This Row],['#/Unit]]*SparkfunListTable[[#This Row],[Price (USD)]],0)</f>
        <v>1</v>
      </c>
      <c r="Y96" s="152">
        <f>SparkfunListTable[[#This Row],[Tot '#]]*SparkfunListTable[[#This Row],[Price (USD)]]</f>
        <v>5</v>
      </c>
      <c r="Z96" s="146"/>
      <c r="AA96" s="153" t="str">
        <f>SparkfunListTable[[#This Row],[SKU]]</f>
        <v>PRT-10650</v>
      </c>
      <c r="AB96" s="153">
        <f>VALUE(SparkfunListTable[[#This Row],['# Initial]])</f>
        <v>10</v>
      </c>
      <c r="AD96" s="153" t="s">
        <v>1569</v>
      </c>
      <c r="AE96" s="153">
        <v>10</v>
      </c>
    </row>
    <row r="97" spans="1:31" s="153" customFormat="1" x14ac:dyDescent="0.25">
      <c r="A97" s="151" t="s">
        <v>890</v>
      </c>
      <c r="B97" s="151" t="s">
        <v>1874</v>
      </c>
      <c r="C97" s="150" t="s">
        <v>5</v>
      </c>
      <c r="D97" s="151" t="str">
        <f>IF(SparkfunListTable[[#This Row],[Vendor]]=FilterSpecs!$A$8,SparkfunListTable[[#This Row],[Mouser SKU]], SparkfunListTable[[#This Row],[Supplier SKU]])</f>
        <v>PRT-08432</v>
      </c>
      <c r="E97" s="152">
        <f>SparkfunListTable[[#This Row],[Tot '#]]-SparkfunListTable[[#This Row],['# Initial]]</f>
        <v>0</v>
      </c>
      <c r="F97" s="152">
        <f>IF(AND(SparkfunListTable[[#This Row],[Tag]]&lt;&gt;FilterSpecs!$F$12, SparkfunListTable[[#This Row],[Tag]]&lt;&gt;FilterSpecs!$F$9), SparkfunListTable[[#This Row],['#/Unit]]*FilterSpecs!$B$3+SparkfunListTable[[#This Row],[Extra Initial]],0)</f>
        <v>10</v>
      </c>
      <c r="G97" s="150" t="s">
        <v>894</v>
      </c>
      <c r="H97" s="150" t="s">
        <v>895</v>
      </c>
      <c r="I97" s="151" t="s">
        <v>896</v>
      </c>
      <c r="J97" s="150">
        <v>1</v>
      </c>
      <c r="K97" s="154">
        <v>0.95</v>
      </c>
      <c r="L97" s="151" t="s">
        <v>1897</v>
      </c>
      <c r="M97" s="150"/>
      <c r="N97" s="154">
        <f>SparkfunListTable[[#This Row],['# Initial]]*SparkfunListTable[[#This Row],[Price (USD)]]</f>
        <v>9.5</v>
      </c>
      <c r="O97" s="151" t="s">
        <v>893</v>
      </c>
      <c r="P97" s="150" t="e">
        <f>IF(#REF!="List #",1,#REF!+1)</f>
        <v>#REF!</v>
      </c>
      <c r="Q97" s="150" t="s">
        <v>5</v>
      </c>
      <c r="R97"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474-PRT-08432</v>
      </c>
      <c r="S97" s="157" t="str">
        <f>HYPERLINK("https://www.mouser.com/ProductDetail/" &amp;SparkfunListTable[[#This Row],[Mouser SKU]])</f>
        <v>https://www.mouser.com/ProductDetail/474-PRT-08432</v>
      </c>
      <c r="T97" s="152">
        <v>2</v>
      </c>
      <c r="U97" s="152">
        <v>0</v>
      </c>
      <c r="V97" s="152">
        <v>0</v>
      </c>
      <c r="W97" s="152">
        <f>SparkfunListTable[[#This Row],['#/Unit]]*FilterSpecs!$C$3+SparkfunListTable[[#This Row],[Extra]]</f>
        <v>10</v>
      </c>
      <c r="X97" s="152">
        <f>IF(SparkfunListTable[[#This Row],[Tag]]=FilterSpecs!$F$7,SparkfunListTable[[#This Row],['#/Unit]]*SparkfunListTable[[#This Row],[Price (USD)]],0)</f>
        <v>1.9</v>
      </c>
      <c r="Y97" s="152">
        <f>SparkfunListTable[[#This Row],[Tot '#]]*SparkfunListTable[[#This Row],[Price (USD)]]</f>
        <v>9.5</v>
      </c>
      <c r="Z97" s="146"/>
      <c r="AA97" s="153" t="str">
        <f>SparkfunListTable[[#This Row],[SKU]]</f>
        <v>PRT-08432</v>
      </c>
      <c r="AB97" s="153">
        <f>VALUE(SparkfunListTable[[#This Row],['# Initial]])</f>
        <v>10</v>
      </c>
      <c r="AD97" s="153" t="s">
        <v>893</v>
      </c>
      <c r="AE97" s="153">
        <v>10</v>
      </c>
    </row>
    <row r="98" spans="1:31" s="153" customFormat="1" x14ac:dyDescent="0.25">
      <c r="A98" s="151" t="s">
        <v>890</v>
      </c>
      <c r="B98" s="151" t="s">
        <v>1874</v>
      </c>
      <c r="C98" s="150" t="s">
        <v>5</v>
      </c>
      <c r="D98" s="151" t="str">
        <f>IF(SparkfunListTable[[#This Row],[Vendor]]=FilterSpecs!$A$8,SparkfunListTable[[#This Row],[Mouser SKU]], SparkfunListTable[[#This Row],[Supplier SKU]])</f>
        <v>PRT-08433</v>
      </c>
      <c r="E98" s="152">
        <f>SparkfunListTable[[#This Row],[Tot '#]]-SparkfunListTable[[#This Row],['# Initial]]</f>
        <v>0</v>
      </c>
      <c r="F98" s="152">
        <f>IF(AND(SparkfunListTable[[#This Row],[Tag]]&lt;&gt;FilterSpecs!$F$12, SparkfunListTable[[#This Row],[Tag]]&lt;&gt;FilterSpecs!$F$9), SparkfunListTable[[#This Row],['#/Unit]]*FilterSpecs!$B$3+SparkfunListTable[[#This Row],[Extra Initial]],0)</f>
        <v>10</v>
      </c>
      <c r="G98" s="150" t="s">
        <v>1401</v>
      </c>
      <c r="H98" s="150" t="s">
        <v>1402</v>
      </c>
      <c r="I98" s="151" t="s">
        <v>1403</v>
      </c>
      <c r="J98" s="150">
        <v>1</v>
      </c>
      <c r="K98" s="154">
        <v>0.95</v>
      </c>
      <c r="L98" s="151" t="s">
        <v>1897</v>
      </c>
      <c r="M98" s="150"/>
      <c r="N98" s="154">
        <f>SparkfunListTable[[#This Row],['# Initial]]*SparkfunListTable[[#This Row],[Price (USD)]]</f>
        <v>9.5</v>
      </c>
      <c r="O98" s="151" t="s">
        <v>1400</v>
      </c>
      <c r="P98" s="150" t="e">
        <f t="shared" si="6"/>
        <v>#REF!</v>
      </c>
      <c r="Q98" s="150" t="s">
        <v>5</v>
      </c>
      <c r="R98"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474-PRT-08433</v>
      </c>
      <c r="S98" s="157" t="str">
        <f>HYPERLINK("https://www.mouser.com/ProductDetail/" &amp;SparkfunListTable[[#This Row],[Mouser SKU]])</f>
        <v>https://www.mouser.com/ProductDetail/474-PRT-08433</v>
      </c>
      <c r="T98" s="152">
        <v>2</v>
      </c>
      <c r="U98" s="152">
        <v>0</v>
      </c>
      <c r="V98" s="152">
        <v>0</v>
      </c>
      <c r="W98" s="152">
        <f>SparkfunListTable[[#This Row],['#/Unit]]*FilterSpecs!$C$3+SparkfunListTable[[#This Row],[Extra]]</f>
        <v>10</v>
      </c>
      <c r="X98" s="152">
        <f>IF(SparkfunListTable[[#This Row],[Tag]]=FilterSpecs!$F$7,SparkfunListTable[[#This Row],['#/Unit]]*SparkfunListTable[[#This Row],[Price (USD)]],0)</f>
        <v>1.9</v>
      </c>
      <c r="Y98" s="152">
        <f>SparkfunListTable[[#This Row],[Tot '#]]*SparkfunListTable[[#This Row],[Price (USD)]]</f>
        <v>9.5</v>
      </c>
      <c r="Z98" s="146"/>
      <c r="AA98" s="153" t="str">
        <f>SparkfunListTable[[#This Row],[SKU]]</f>
        <v>PRT-08433</v>
      </c>
      <c r="AB98" s="153">
        <f>VALUE(SparkfunListTable[[#This Row],['# Initial]])</f>
        <v>10</v>
      </c>
      <c r="AD98" s="153" t="s">
        <v>1400</v>
      </c>
      <c r="AE98" s="153">
        <v>10</v>
      </c>
    </row>
    <row r="99" spans="1:31" s="104" customFormat="1" x14ac:dyDescent="0.25">
      <c r="A99" s="151" t="s">
        <v>890</v>
      </c>
      <c r="B99" s="151" t="s">
        <v>1874</v>
      </c>
      <c r="C99" s="150" t="s">
        <v>5</v>
      </c>
      <c r="D99" s="151" t="str">
        <f>IF(SparkfunListTable[[#This Row],[Vendor]]=FilterSpecs!$A$8,SparkfunListTable[[#This Row],[Mouser SKU]], SparkfunListTable[[#This Row],[Supplier SKU]])</f>
        <v>PRT-08077</v>
      </c>
      <c r="E99" s="152">
        <f>SparkfunListTable[[#This Row],[Tot '#]]-SparkfunListTable[[#This Row],['# Initial]]</f>
        <v>0</v>
      </c>
      <c r="F99" s="152">
        <f>IF(AND(SparkfunListTable[[#This Row],[Tag]]&lt;&gt;FilterSpecs!$F$12, SparkfunListTable[[#This Row],[Tag]]&lt;&gt;FilterSpecs!$F$9), SparkfunListTable[[#This Row],['#/Unit]]*FilterSpecs!$B$3+SparkfunListTable[[#This Row],[Extra Initial]],0)</f>
        <v>2</v>
      </c>
      <c r="G99" s="150" t="s">
        <v>443</v>
      </c>
      <c r="H99" s="150" t="s">
        <v>444</v>
      </c>
      <c r="I99" s="151" t="s">
        <v>445</v>
      </c>
      <c r="J99" s="150">
        <v>1</v>
      </c>
      <c r="K99" s="154">
        <v>1.5</v>
      </c>
      <c r="L99" s="151" t="s">
        <v>1896</v>
      </c>
      <c r="M99" s="150"/>
      <c r="N99" s="154">
        <f>SparkfunListTable[[#This Row],['# Initial]]*SparkfunListTable[[#This Row],[Price (USD)]]</f>
        <v>3</v>
      </c>
      <c r="O99" s="151" t="s">
        <v>442</v>
      </c>
      <c r="P99" s="150" t="e">
        <f>IF(#REF!="List #",1,#REF!+1)</f>
        <v>#REF!</v>
      </c>
      <c r="Q99" s="150" t="s">
        <v>5</v>
      </c>
      <c r="R99"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474-PRT-08077</v>
      </c>
      <c r="S99" s="157" t="str">
        <f>HYPERLINK("https://www.mouser.com/ProductDetail/" &amp;SparkfunListTable[[#This Row],[Mouser SKU]])</f>
        <v>https://www.mouser.com/ProductDetail/474-PRT-08077</v>
      </c>
      <c r="T99" s="152">
        <v>0</v>
      </c>
      <c r="U99" s="152">
        <v>2</v>
      </c>
      <c r="V99" s="152">
        <v>2</v>
      </c>
      <c r="W99" s="152">
        <f>SparkfunListTable[[#This Row],['#/Unit]]*FilterSpecs!$C$3+SparkfunListTable[[#This Row],[Extra]]</f>
        <v>2</v>
      </c>
      <c r="X99" s="152">
        <f>IF(SparkfunListTable[[#This Row],[Tag]]=FilterSpecs!$F$7,SparkfunListTable[[#This Row],['#/Unit]]*SparkfunListTable[[#This Row],[Price (USD)]],0)</f>
        <v>0</v>
      </c>
      <c r="Y99" s="152">
        <f>SparkfunListTable[[#This Row],[Tot '#]]*SparkfunListTable[[#This Row],[Price (USD)]]</f>
        <v>3</v>
      </c>
      <c r="Z99" s="146"/>
      <c r="AA99" s="153" t="str">
        <f>SparkfunListTable[[#This Row],[SKU]]</f>
        <v>PRT-08077</v>
      </c>
      <c r="AB99" s="153">
        <f>VALUE(SparkfunListTable[[#This Row],['# Initial]])</f>
        <v>2</v>
      </c>
      <c r="AD99" s="104" t="s">
        <v>442</v>
      </c>
      <c r="AE99" s="104">
        <v>2</v>
      </c>
    </row>
    <row r="100" spans="1:31" s="104" customFormat="1" x14ac:dyDescent="0.25">
      <c r="A100" s="153" t="s">
        <v>890</v>
      </c>
      <c r="B100" s="153" t="s">
        <v>1875</v>
      </c>
      <c r="C100" s="150" t="s">
        <v>5</v>
      </c>
      <c r="D100" s="151" t="str">
        <f>IF(SparkfunListTable[[#This Row],[Vendor]]=FilterSpecs!$A$8,SparkfunListTable[[#This Row],[Mouser SKU]], SparkfunListTable[[#This Row],[Supplier SKU]])</f>
        <v>COM-14194</v>
      </c>
      <c r="E100" s="152">
        <f>SparkfunListTable[[#This Row],[Tot '#]]-SparkfunListTable[[#This Row],['# Initial]]</f>
        <v>0</v>
      </c>
      <c r="F100" s="152">
        <f>IF(AND(SparkfunListTable[[#This Row],[Tag]]&lt;&gt;FilterSpecs!$F$12, SparkfunListTable[[#This Row],[Tag]]&lt;&gt;FilterSpecs!$F$9), SparkfunListTable[[#This Row],['#/Unit]]*FilterSpecs!$B$3+SparkfunListTable[[#This Row],[Extra Initial]],0)</f>
        <v>5</v>
      </c>
      <c r="G100" s="150" t="s">
        <v>697</v>
      </c>
      <c r="H100" s="150" t="s">
        <v>698</v>
      </c>
      <c r="I100" s="151" t="s">
        <v>699</v>
      </c>
      <c r="J100" s="150">
        <v>1</v>
      </c>
      <c r="K100" s="154">
        <v>1.95</v>
      </c>
      <c r="L100" s="151" t="s">
        <v>1897</v>
      </c>
      <c r="M100" s="150"/>
      <c r="N100" s="154">
        <f>SparkfunListTable[[#This Row],['# Initial]]*SparkfunListTable[[#This Row],[Price (USD)]]</f>
        <v>9.75</v>
      </c>
      <c r="O100" s="151" t="s">
        <v>696</v>
      </c>
      <c r="P100" s="150" t="e">
        <f>IF(#REF!="List #",1,#REF!+1)</f>
        <v>#REF!</v>
      </c>
      <c r="Q100" s="150" t="s">
        <v>5</v>
      </c>
      <c r="R100"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474-COM-14194</v>
      </c>
      <c r="S100" s="157" t="str">
        <f>HYPERLINK("https://www.mouser.com/ProductDetail/" &amp;SparkfunListTable[[#This Row],[Mouser SKU]])</f>
        <v>https://www.mouser.com/ProductDetail/474-COM-14194</v>
      </c>
      <c r="T100" s="152">
        <f>SUM(T41:T41)</f>
        <v>1</v>
      </c>
      <c r="U100" s="152">
        <f>SUM(U41:U41)</f>
        <v>0</v>
      </c>
      <c r="V100" s="152">
        <f>SUM(V41:V41)</f>
        <v>0</v>
      </c>
      <c r="W100" s="152">
        <f>SparkfunListTable[[#This Row],['#/Unit]]*FilterSpecs!$C$3+SparkfunListTable[[#This Row],[Extra]]</f>
        <v>5</v>
      </c>
      <c r="X100" s="152">
        <f>IF(SparkfunListTable[[#This Row],[Tag]]=FilterSpecs!$F$7,SparkfunListTable[[#This Row],['#/Unit]]*SparkfunListTable[[#This Row],[Price (USD)]],0)</f>
        <v>1.95</v>
      </c>
      <c r="Y100" s="152">
        <f>SparkfunListTable[[#This Row],[Tot '#]]*SparkfunListTable[[#This Row],[Price (USD)]]</f>
        <v>9.75</v>
      </c>
      <c r="Z100" s="146"/>
      <c r="AA100" s="153" t="str">
        <f>SparkfunListTable[[#This Row],[SKU]]</f>
        <v>COM-14194</v>
      </c>
      <c r="AB100" s="153">
        <f>VALUE(SparkfunListTable[[#This Row],['# Initial]])</f>
        <v>5</v>
      </c>
      <c r="AD100" s="104" t="s">
        <v>696</v>
      </c>
      <c r="AE100" s="104">
        <v>5</v>
      </c>
    </row>
    <row r="101" spans="1:31" s="104" customFormat="1" x14ac:dyDescent="0.25">
      <c r="A101" s="151" t="s">
        <v>890</v>
      </c>
      <c r="B101" s="151" t="s">
        <v>1875</v>
      </c>
      <c r="C101" s="150" t="s">
        <v>5</v>
      </c>
      <c r="D101" s="151" t="str">
        <f>IF(SparkfunListTable[[#This Row],[Vendor]]=FilterSpecs!$A$8,SparkfunListTable[[#This Row],[Mouser SKU]], SparkfunListTable[[#This Row],[Supplier SKU]])</f>
        <v>COM-14195</v>
      </c>
      <c r="E101" s="152">
        <f>SparkfunListTable[[#This Row],[Tot '#]]-SparkfunListTable[[#This Row],['# Initial]]</f>
        <v>0</v>
      </c>
      <c r="F101" s="152">
        <f>IF(AND(SparkfunListTable[[#This Row],[Tag]]&lt;&gt;FilterSpecs!$F$12, SparkfunListTable[[#This Row],[Tag]]&lt;&gt;FilterSpecs!$F$9), SparkfunListTable[[#This Row],['#/Unit]]*FilterSpecs!$B$3+SparkfunListTable[[#This Row],[Extra Initial]],0)</f>
        <v>5</v>
      </c>
      <c r="G101" s="150" t="s">
        <v>693</v>
      </c>
      <c r="H101" s="150" t="s">
        <v>694</v>
      </c>
      <c r="I101" s="151" t="s">
        <v>695</v>
      </c>
      <c r="J101" s="150">
        <v>1</v>
      </c>
      <c r="K101" s="154">
        <v>1.95</v>
      </c>
      <c r="L101" s="151" t="s">
        <v>1897</v>
      </c>
      <c r="M101" s="150"/>
      <c r="N101" s="154">
        <f>SparkfunListTable[[#This Row],['# Initial]]*SparkfunListTable[[#This Row],[Price (USD)]]</f>
        <v>9.75</v>
      </c>
      <c r="O101" s="151" t="s">
        <v>692</v>
      </c>
      <c r="P101" s="150" t="e">
        <f t="shared" si="6"/>
        <v>#REF!</v>
      </c>
      <c r="Q101" s="150" t="s">
        <v>5</v>
      </c>
      <c r="R101"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474-COM-14195</v>
      </c>
      <c r="S101" s="157" t="str">
        <f>HYPERLINK("https://www.mouser.com/ProductDetail/" &amp;SparkfunListTable[[#This Row],[Mouser SKU]])</f>
        <v>https://www.mouser.com/ProductDetail/474-COM-14195</v>
      </c>
      <c r="T101" s="152">
        <f>SUM(T41:T41)</f>
        <v>1</v>
      </c>
      <c r="U101" s="152">
        <f>SUM(U41:U41)</f>
        <v>0</v>
      </c>
      <c r="V101" s="152">
        <f>SUM(V41:V41)</f>
        <v>0</v>
      </c>
      <c r="W101" s="152">
        <f>SparkfunListTable[[#This Row],['#/Unit]]*FilterSpecs!$C$3+SparkfunListTable[[#This Row],[Extra]]</f>
        <v>5</v>
      </c>
      <c r="X101" s="152">
        <f>IF(SparkfunListTable[[#This Row],[Tag]]=FilterSpecs!$F$7,SparkfunListTable[[#This Row],['#/Unit]]*SparkfunListTable[[#This Row],[Price (USD)]],0)</f>
        <v>1.95</v>
      </c>
      <c r="Y101" s="152">
        <f>SparkfunListTable[[#This Row],[Tot '#]]*SparkfunListTable[[#This Row],[Price (USD)]]</f>
        <v>9.75</v>
      </c>
      <c r="Z101" s="146"/>
      <c r="AA101" s="153" t="str">
        <f>SparkfunListTable[[#This Row],[SKU]]</f>
        <v>COM-14195</v>
      </c>
      <c r="AB101" s="153">
        <f>VALUE(SparkfunListTable[[#This Row],['# Initial]])</f>
        <v>5</v>
      </c>
      <c r="AD101" s="104" t="s">
        <v>692</v>
      </c>
      <c r="AE101" s="104">
        <v>5</v>
      </c>
    </row>
    <row r="102" spans="1:31" s="153" customFormat="1" x14ac:dyDescent="0.25">
      <c r="A102" s="150" t="s">
        <v>890</v>
      </c>
      <c r="B102" s="151" t="s">
        <v>1603</v>
      </c>
      <c r="C102" s="150" t="s">
        <v>5</v>
      </c>
      <c r="D102" s="151" t="str">
        <f>IF(SparkfunListTable[[#This Row],[Vendor]]=FilterSpecs!$A$8,SparkfunListTable[[#This Row],[Mouser SKU]], SparkfunListTable[[#This Row],[Supplier SKU]])</f>
        <v>COM-11078</v>
      </c>
      <c r="E102" s="152">
        <f>SparkfunListTable[[#This Row],[Tot '#]]-SparkfunListTable[[#This Row],['# Initial]]</f>
        <v>0</v>
      </c>
      <c r="F102" s="152">
        <f>IF(AND(SparkfunListTable[[#This Row],[Tag]]&lt;&gt;FilterSpecs!$F$12, SparkfunListTable[[#This Row],[Tag]]&lt;&gt;FilterSpecs!$F$9), SparkfunListTable[[#This Row],['#/Unit]]*FilterSpecs!$B$3+SparkfunListTable[[#This Row],[Extra Initial]],0)</f>
        <v>5</v>
      </c>
      <c r="G102" s="150" t="s">
        <v>385</v>
      </c>
      <c r="H102" s="150" t="s">
        <v>386</v>
      </c>
      <c r="I102" s="151" t="s">
        <v>387</v>
      </c>
      <c r="J102" s="150">
        <v>1</v>
      </c>
      <c r="K102" s="154">
        <v>0.5</v>
      </c>
      <c r="L102" s="151" t="s">
        <v>1897</v>
      </c>
      <c r="M102" s="150"/>
      <c r="N102" s="154">
        <f>SparkfunListTable[[#This Row],['# Initial]]*SparkfunListTable[[#This Row],[Price (USD)]]</f>
        <v>2.5</v>
      </c>
      <c r="O102" s="151" t="s">
        <v>384</v>
      </c>
      <c r="P102" s="150" t="e">
        <f>IF(#REF!="List #",1,#REF!+1)</f>
        <v>#REF!</v>
      </c>
      <c r="Q102" s="150" t="s">
        <v>5</v>
      </c>
      <c r="R102"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474-COM-11078</v>
      </c>
      <c r="S102" s="157" t="str">
        <f>HYPERLINK("https://www.mouser.com/ProductDetail/" &amp;SparkfunListTable[[#This Row],[Mouser SKU]])</f>
        <v>https://www.mouser.com/ProductDetail/474-COM-11078</v>
      </c>
      <c r="T102" s="152">
        <v>1</v>
      </c>
      <c r="U102" s="152">
        <v>0</v>
      </c>
      <c r="V102" s="152">
        <v>0</v>
      </c>
      <c r="W102" s="152">
        <f>SparkfunListTable[[#This Row],['#/Unit]]*FilterSpecs!$C$3+SparkfunListTable[[#This Row],[Extra]]</f>
        <v>5</v>
      </c>
      <c r="X102" s="152">
        <f>IF(SparkfunListTable[[#This Row],[Tag]]=FilterSpecs!$F$7,SparkfunListTable[[#This Row],['#/Unit]]*SparkfunListTable[[#This Row],[Price (USD)]],0)</f>
        <v>0.5</v>
      </c>
      <c r="Y102" s="152">
        <f>SparkfunListTable[[#This Row],[Tot '#]]*SparkfunListTable[[#This Row],[Price (USD)]]</f>
        <v>2.5</v>
      </c>
      <c r="Z102" s="146"/>
      <c r="AA102" s="153" t="str">
        <f>SparkfunListTable[[#This Row],[SKU]]</f>
        <v>COM-11078</v>
      </c>
      <c r="AB102" s="153">
        <f>VALUE(SparkfunListTable[[#This Row],['# Initial]])</f>
        <v>5</v>
      </c>
      <c r="AD102" s="153" t="s">
        <v>384</v>
      </c>
      <c r="AE102" s="153">
        <v>5</v>
      </c>
    </row>
    <row r="103" spans="1:31" s="153" customFormat="1" x14ac:dyDescent="0.25">
      <c r="A103" s="150" t="s">
        <v>890</v>
      </c>
      <c r="B103" s="151" t="s">
        <v>1603</v>
      </c>
      <c r="C103" s="150" t="s">
        <v>5</v>
      </c>
      <c r="D103" s="151" t="str">
        <f>IF(SparkfunListTable[[#This Row],[Vendor]]=FilterSpecs!$A$8,SparkfunListTable[[#This Row],[Mouser SKU]], SparkfunListTable[[#This Row],[Supplier SKU]])</f>
        <v>COM-00526</v>
      </c>
      <c r="E103" s="152">
        <f>SparkfunListTable[[#This Row],[Tot '#]]-SparkfunListTable[[#This Row],['# Initial]]</f>
        <v>0</v>
      </c>
      <c r="F103" s="152">
        <f>IF(AND(SparkfunListTable[[#This Row],[Tag]]&lt;&gt;FilterSpecs!$F$12, SparkfunListTable[[#This Row],[Tag]]&lt;&gt;FilterSpecs!$F$9), SparkfunListTable[[#This Row],['#/Unit]]*FilterSpecs!$B$3+SparkfunListTable[[#This Row],[Extra Initial]],0)</f>
        <v>5</v>
      </c>
      <c r="G103" s="150" t="s">
        <v>373</v>
      </c>
      <c r="H103" s="150" t="s">
        <v>374</v>
      </c>
      <c r="I103" s="151" t="s">
        <v>375</v>
      </c>
      <c r="J103" s="150">
        <v>1</v>
      </c>
      <c r="K103" s="154">
        <v>1.95</v>
      </c>
      <c r="L103" s="151" t="s">
        <v>1897</v>
      </c>
      <c r="M103" s="150"/>
      <c r="N103" s="154">
        <f>SparkfunListTable[[#This Row],['# Initial]]*SparkfunListTable[[#This Row],[Price (USD)]]</f>
        <v>9.75</v>
      </c>
      <c r="O103" s="151" t="s">
        <v>372</v>
      </c>
      <c r="P103" s="150" t="e">
        <f t="shared" si="6"/>
        <v>#REF!</v>
      </c>
      <c r="Q103" s="150" t="s">
        <v>5</v>
      </c>
      <c r="R103"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474-COM-00526</v>
      </c>
      <c r="S103" s="157" t="str">
        <f>HYPERLINK("https://www.mouser.com/ProductDetail/" &amp;SparkfunListTable[[#This Row],[Mouser SKU]])</f>
        <v>https://www.mouser.com/ProductDetail/474-COM-00526</v>
      </c>
      <c r="T103" s="152">
        <v>1</v>
      </c>
      <c r="U103" s="152">
        <v>0</v>
      </c>
      <c r="V103" s="152">
        <v>0</v>
      </c>
      <c r="W103" s="152">
        <f>SparkfunListTable[[#This Row],['#/Unit]]*FilterSpecs!$C$3+SparkfunListTable[[#This Row],[Extra]]</f>
        <v>5</v>
      </c>
      <c r="X103" s="152">
        <f>IF(SparkfunListTable[[#This Row],[Tag]]=FilterSpecs!$F$7,SparkfunListTable[[#This Row],['#/Unit]]*SparkfunListTable[[#This Row],[Price (USD)]],0)</f>
        <v>1.95</v>
      </c>
      <c r="Y103" s="152">
        <f>SparkfunListTable[[#This Row],[Tot '#]]*SparkfunListTable[[#This Row],[Price (USD)]]</f>
        <v>9.75</v>
      </c>
      <c r="Z103" s="146"/>
      <c r="AA103" s="153" t="str">
        <f>SparkfunListTable[[#This Row],[SKU]]</f>
        <v>COM-00526</v>
      </c>
      <c r="AB103" s="153">
        <f>VALUE(SparkfunListTable[[#This Row],['# Initial]])</f>
        <v>5</v>
      </c>
      <c r="AD103" s="153" t="s">
        <v>372</v>
      </c>
      <c r="AE103" s="153">
        <v>5</v>
      </c>
    </row>
    <row r="104" spans="1:31" s="153" customFormat="1" x14ac:dyDescent="0.25">
      <c r="A104" s="150" t="s">
        <v>890</v>
      </c>
      <c r="B104" s="151" t="s">
        <v>1603</v>
      </c>
      <c r="C104" s="150" t="s">
        <v>5</v>
      </c>
      <c r="D104" s="151" t="str">
        <f>IF(SparkfunListTable[[#This Row],[Vendor]]=FilterSpecs!$A$8,SparkfunListTable[[#This Row],[Mouser SKU]], SparkfunListTable[[#This Row],[Supplier SKU]])</f>
        <v>COM-00107</v>
      </c>
      <c r="E104" s="152">
        <f>SparkfunListTable[[#This Row],[Tot '#]]-SparkfunListTable[[#This Row],['# Initial]]</f>
        <v>0</v>
      </c>
      <c r="F104" s="152">
        <f>IF(AND(SparkfunListTable[[#This Row],[Tag]]&lt;&gt;FilterSpecs!$F$12, SparkfunListTable[[#This Row],[Tag]]&lt;&gt;FilterSpecs!$F$9), SparkfunListTable[[#This Row],['#/Unit]]*FilterSpecs!$B$3+SparkfunListTable[[#This Row],[Extra Initial]],0)</f>
        <v>5</v>
      </c>
      <c r="G104" s="150" t="s">
        <v>389</v>
      </c>
      <c r="H104" s="150" t="s">
        <v>390</v>
      </c>
      <c r="I104" s="151" t="s">
        <v>391</v>
      </c>
      <c r="J104" s="150">
        <v>1</v>
      </c>
      <c r="K104" s="154">
        <v>0.95</v>
      </c>
      <c r="L104" s="151" t="s">
        <v>1897</v>
      </c>
      <c r="M104" s="150"/>
      <c r="N104" s="154">
        <f>SparkfunListTable[[#This Row],['# Initial]]*SparkfunListTable[[#This Row],[Price (USD)]]</f>
        <v>4.75</v>
      </c>
      <c r="O104" s="151" t="s">
        <v>388</v>
      </c>
      <c r="P104" s="150" t="e">
        <f t="shared" si="6"/>
        <v>#REF!</v>
      </c>
      <c r="Q104" s="150" t="s">
        <v>5</v>
      </c>
      <c r="R104"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474-COM-00107</v>
      </c>
      <c r="S104" s="157" t="str">
        <f>HYPERLINK("https://www.mouser.com/ProductDetail/" &amp;SparkfunListTable[[#This Row],[Mouser SKU]])</f>
        <v>https://www.mouser.com/ProductDetail/474-COM-00107</v>
      </c>
      <c r="T104" s="152">
        <v>1</v>
      </c>
      <c r="U104" s="152">
        <v>0</v>
      </c>
      <c r="V104" s="152">
        <v>0</v>
      </c>
      <c r="W104" s="152">
        <f>SparkfunListTable[[#This Row],['#/Unit]]*FilterSpecs!$C$3+SparkfunListTable[[#This Row],[Extra]]</f>
        <v>5</v>
      </c>
      <c r="X104" s="152">
        <f>IF(SparkfunListTable[[#This Row],[Tag]]=FilterSpecs!$F$7,SparkfunListTable[[#This Row],['#/Unit]]*SparkfunListTable[[#This Row],[Price (USD)]],0)</f>
        <v>0.95</v>
      </c>
      <c r="Y104" s="152">
        <f>SparkfunListTable[[#This Row],[Tot '#]]*SparkfunListTable[[#This Row],[Price (USD)]]</f>
        <v>4.75</v>
      </c>
      <c r="Z104" s="146"/>
      <c r="AA104" s="153" t="str">
        <f>SparkfunListTable[[#This Row],[SKU]]</f>
        <v>COM-00107</v>
      </c>
      <c r="AB104" s="153">
        <f>VALUE(SparkfunListTable[[#This Row],['# Initial]])</f>
        <v>5</v>
      </c>
      <c r="AD104" s="153" t="s">
        <v>388</v>
      </c>
      <c r="AE104" s="153">
        <v>5</v>
      </c>
    </row>
    <row r="105" spans="1:31" s="153" customFormat="1" x14ac:dyDescent="0.25">
      <c r="A105" s="150" t="s">
        <v>890</v>
      </c>
      <c r="B105" s="151" t="s">
        <v>1603</v>
      </c>
      <c r="C105" s="150" t="s">
        <v>5</v>
      </c>
      <c r="D105" s="151" t="str">
        <f>IF(SparkfunListTable[[#This Row],[Vendor]]=FilterSpecs!$A$8,SparkfunListTable[[#This Row],[Mouser SKU]], SparkfunListTable[[#This Row],[Supplier SKU]])</f>
        <v>PRT-07937</v>
      </c>
      <c r="E105" s="152">
        <f>SparkfunListTable[[#This Row],[Tot '#]]-SparkfunListTable[[#This Row],['# Initial]]</f>
        <v>1</v>
      </c>
      <c r="F105" s="152">
        <f>IF(AND(SparkfunListTable[[#This Row],[Tag]]&lt;&gt;FilterSpecs!$F$12, SparkfunListTable[[#This Row],[Tag]]&lt;&gt;FilterSpecs!$F$9), SparkfunListTable[[#This Row],['#/Unit]]*FilterSpecs!$B$3+SparkfunListTable[[#This Row],[Extra Initial]],0)</f>
        <v>25</v>
      </c>
      <c r="G105" s="150" t="s">
        <v>1830</v>
      </c>
      <c r="H105" s="150" t="s">
        <v>1831</v>
      </c>
      <c r="I105" s="151" t="s">
        <v>1832</v>
      </c>
      <c r="J105" s="150">
        <v>1</v>
      </c>
      <c r="K105" s="154">
        <v>0.5</v>
      </c>
      <c r="L105" s="151" t="s">
        <v>1897</v>
      </c>
      <c r="M105" s="150"/>
      <c r="N105" s="154">
        <f>SparkfunListTable[[#This Row],['# Initial]]*SparkfunListTable[[#This Row],[Price (USD)]]</f>
        <v>12.5</v>
      </c>
      <c r="O105" s="151" t="s">
        <v>1829</v>
      </c>
      <c r="P105" s="150" t="e">
        <f>IF(#REF!="List #",1,#REF!+1)</f>
        <v>#REF!</v>
      </c>
      <c r="Q105" s="150" t="s">
        <v>5</v>
      </c>
      <c r="R105"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474-PRT-07937</v>
      </c>
      <c r="S105" s="157" t="str">
        <f>HYPERLINK("https://www.mouser.com/ProductDetail/" &amp;SparkfunListTable[[#This Row],[Mouser SKU]])</f>
        <v>https://www.mouser.com/ProductDetail/474-PRT-07937</v>
      </c>
      <c r="T105" s="152">
        <f>SUM(T106:T109)</f>
        <v>5</v>
      </c>
      <c r="U105" s="152">
        <v>1</v>
      </c>
      <c r="V105" s="152">
        <v>0</v>
      </c>
      <c r="W105" s="152">
        <f>SparkfunListTable[[#This Row],['#/Unit]]*FilterSpecs!$C$3+SparkfunListTable[[#This Row],[Extra]]</f>
        <v>26</v>
      </c>
      <c r="X105" s="152">
        <f>IF(SparkfunListTable[[#This Row],[Tag]]=FilterSpecs!$F$7,SparkfunListTable[[#This Row],['#/Unit]]*SparkfunListTable[[#This Row],[Price (USD)]],0)</f>
        <v>2.5</v>
      </c>
      <c r="Y105" s="152">
        <f>SparkfunListTable[[#This Row],[Tot '#]]*SparkfunListTable[[#This Row],[Price (USD)]]</f>
        <v>13</v>
      </c>
      <c r="Z105" s="146"/>
      <c r="AA105" s="153" t="str">
        <f>SparkfunListTable[[#This Row],[SKU]]</f>
        <v>PRT-07937</v>
      </c>
      <c r="AB105" s="153">
        <f>VALUE(SparkfunListTable[[#This Row],['# Initial]])</f>
        <v>25</v>
      </c>
      <c r="AD105" s="153" t="s">
        <v>1829</v>
      </c>
      <c r="AE105" s="153">
        <v>25</v>
      </c>
    </row>
    <row r="106" spans="1:31" s="153" customFormat="1" x14ac:dyDescent="0.25">
      <c r="A106" s="150" t="s">
        <v>890</v>
      </c>
      <c r="B106" s="151" t="s">
        <v>1603</v>
      </c>
      <c r="C106" s="150" t="s">
        <v>5</v>
      </c>
      <c r="D106" s="151" t="str">
        <f>IF(SparkfunListTable[[#This Row],[Vendor]]=FilterSpecs!$A$8,SparkfunListTable[[#This Row],[Mouser SKU]], SparkfunListTable[[#This Row],[Supplier SKU]])</f>
        <v>COM-09456</v>
      </c>
      <c r="E106" s="152">
        <f>SparkfunListTable[[#This Row],[Tot '#]]-SparkfunListTable[[#This Row],['# Initial]]</f>
        <v>0</v>
      </c>
      <c r="F106" s="152">
        <f>IF(AND(SparkfunListTable[[#This Row],[Tag]]&lt;&gt;FilterSpecs!$F$12, SparkfunListTable[[#This Row],[Tag]]&lt;&gt;FilterSpecs!$F$9), SparkfunListTable[[#This Row],['#/Unit]]*FilterSpecs!$B$3+SparkfunListTable[[#This Row],[Extra Initial]],0)</f>
        <v>10</v>
      </c>
      <c r="G106" s="150" t="s">
        <v>657</v>
      </c>
      <c r="H106" s="150" t="s">
        <v>658</v>
      </c>
      <c r="I106" s="151" t="s">
        <v>659</v>
      </c>
      <c r="J106" s="150">
        <v>1</v>
      </c>
      <c r="K106" s="154">
        <v>0.95</v>
      </c>
      <c r="L106" s="151" t="s">
        <v>1897</v>
      </c>
      <c r="M106" s="150"/>
      <c r="N106" s="154">
        <f>SparkfunListTable[[#This Row],['# Initial]]*SparkfunListTable[[#This Row],[Price (USD)]]</f>
        <v>9.5</v>
      </c>
      <c r="O106" s="151" t="s">
        <v>656</v>
      </c>
      <c r="P106" s="150" t="e">
        <f>IF(#REF!="List #",1,#REF!+1)</f>
        <v>#REF!</v>
      </c>
      <c r="Q106" s="150" t="s">
        <v>5</v>
      </c>
      <c r="R106"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474-COM-09456</v>
      </c>
      <c r="S106" s="157" t="str">
        <f>HYPERLINK("https://www.mouser.com/ProductDetail/" &amp;SparkfunListTable[[#This Row],[Mouser SKU]])</f>
        <v>https://www.mouser.com/ProductDetail/474-COM-09456</v>
      </c>
      <c r="T106" s="152">
        <v>2</v>
      </c>
      <c r="U106" s="152">
        <v>0</v>
      </c>
      <c r="V106" s="152">
        <v>0</v>
      </c>
      <c r="W106" s="152">
        <f>SparkfunListTable[[#This Row],['#/Unit]]*FilterSpecs!$C$3+SparkfunListTable[[#This Row],[Extra]]</f>
        <v>10</v>
      </c>
      <c r="X106" s="152">
        <f>IF(SparkfunListTable[[#This Row],[Tag]]=FilterSpecs!$F$7,SparkfunListTable[[#This Row],['#/Unit]]*SparkfunListTable[[#This Row],[Price (USD)]],0)</f>
        <v>1.9</v>
      </c>
      <c r="Y106" s="152">
        <f>SparkfunListTable[[#This Row],[Tot '#]]*SparkfunListTable[[#This Row],[Price (USD)]]</f>
        <v>9.5</v>
      </c>
      <c r="Z106" s="146"/>
      <c r="AA106" s="153" t="str">
        <f>SparkfunListTable[[#This Row],[SKU]]</f>
        <v>COM-09456</v>
      </c>
      <c r="AB106" s="153">
        <f>VALUE(SparkfunListTable[[#This Row],['# Initial]])</f>
        <v>10</v>
      </c>
      <c r="AD106" s="153" t="s">
        <v>656</v>
      </c>
      <c r="AE106" s="153">
        <v>10</v>
      </c>
    </row>
    <row r="107" spans="1:31" s="153" customFormat="1" x14ac:dyDescent="0.25">
      <c r="A107" s="150" t="s">
        <v>890</v>
      </c>
      <c r="B107" s="151" t="s">
        <v>1603</v>
      </c>
      <c r="C107" s="150" t="s">
        <v>5</v>
      </c>
      <c r="D107" s="151" t="str">
        <f>IF(SparkfunListTable[[#This Row],[Vendor]]=FilterSpecs!$A$8,SparkfunListTable[[#This Row],[Mouser SKU]], SparkfunListTable[[#This Row],[Supplier SKU]])</f>
        <v>COM-10613</v>
      </c>
      <c r="E107" s="152">
        <f>SparkfunListTable[[#This Row],[Tot '#]]-SparkfunListTable[[#This Row],['# Initial]]</f>
        <v>0</v>
      </c>
      <c r="F107" s="152">
        <f>IF(AND(SparkfunListTable[[#This Row],[Tag]]&lt;&gt;FilterSpecs!$F$12, SparkfunListTable[[#This Row],[Tag]]&lt;&gt;FilterSpecs!$F$9), SparkfunListTable[[#This Row],['#/Unit]]*FilterSpecs!$B$3+SparkfunListTable[[#This Row],[Extra Initial]],0)</f>
        <v>5</v>
      </c>
      <c r="G107" s="150" t="s">
        <v>954</v>
      </c>
      <c r="H107" s="150" t="s">
        <v>955</v>
      </c>
      <c r="I107" s="151" t="s">
        <v>956</v>
      </c>
      <c r="J107" s="150">
        <v>1</v>
      </c>
      <c r="K107" s="154">
        <v>1.5</v>
      </c>
      <c r="L107" s="151" t="s">
        <v>1897</v>
      </c>
      <c r="M107" s="150"/>
      <c r="N107" s="154">
        <f>SparkfunListTable[[#This Row],['# Initial]]*SparkfunListTable[[#This Row],[Price (USD)]]</f>
        <v>7.5</v>
      </c>
      <c r="O107" s="151" t="s">
        <v>953</v>
      </c>
      <c r="P107" s="150" t="e">
        <f t="shared" si="6"/>
        <v>#REF!</v>
      </c>
      <c r="Q107" s="150" t="s">
        <v>5</v>
      </c>
      <c r="R107"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474-COM-10613</v>
      </c>
      <c r="S107" s="157" t="str">
        <f>HYPERLINK("https://www.mouser.com/ProductDetail/" &amp;SparkfunListTable[[#This Row],[Mouser SKU]])</f>
        <v>https://www.mouser.com/ProductDetail/474-COM-10613</v>
      </c>
      <c r="T107" s="152">
        <v>1</v>
      </c>
      <c r="U107" s="152">
        <v>0</v>
      </c>
      <c r="V107" s="152">
        <v>0</v>
      </c>
      <c r="W107" s="152">
        <f>SparkfunListTable[[#This Row],['#/Unit]]*FilterSpecs!$C$3+SparkfunListTable[[#This Row],[Extra]]</f>
        <v>5</v>
      </c>
      <c r="X107" s="152">
        <f>IF(SparkfunListTable[[#This Row],[Tag]]=FilterSpecs!$F$7,SparkfunListTable[[#This Row],['#/Unit]]*SparkfunListTable[[#This Row],[Price (USD)]],0)</f>
        <v>1.5</v>
      </c>
      <c r="Y107" s="152">
        <f>SparkfunListTable[[#This Row],[Tot '#]]*SparkfunListTable[[#This Row],[Price (USD)]]</f>
        <v>7.5</v>
      </c>
      <c r="Z107" s="146"/>
      <c r="AA107" s="153" t="str">
        <f>SparkfunListTable[[#This Row],[SKU]]</f>
        <v>COM-10613</v>
      </c>
      <c r="AB107" s="153">
        <f>VALUE(SparkfunListTable[[#This Row],['# Initial]])</f>
        <v>5</v>
      </c>
      <c r="AD107" s="153" t="s">
        <v>953</v>
      </c>
      <c r="AE107" s="153">
        <v>5</v>
      </c>
    </row>
    <row r="108" spans="1:31" s="153" customFormat="1" x14ac:dyDescent="0.25">
      <c r="A108" s="150" t="s">
        <v>890</v>
      </c>
      <c r="B108" s="151" t="s">
        <v>1603</v>
      </c>
      <c r="C108" s="150" t="s">
        <v>5</v>
      </c>
      <c r="D108" s="151" t="str">
        <f>IF(SparkfunListTable[[#This Row],[Vendor]]=FilterSpecs!$A$8,SparkfunListTable[[#This Row],[Mouser SKU]], SparkfunListTable[[#This Row],[Supplier SKU]])</f>
        <v>COM-09273</v>
      </c>
      <c r="E108" s="152">
        <f>SparkfunListTable[[#This Row],[Tot '#]]-SparkfunListTable[[#This Row],['# Initial]]</f>
        <v>0</v>
      </c>
      <c r="F108" s="152">
        <f>IF(AND(SparkfunListTable[[#This Row],[Tag]]&lt;&gt;FilterSpecs!$F$12, SparkfunListTable[[#This Row],[Tag]]&lt;&gt;FilterSpecs!$F$9), SparkfunListTable[[#This Row],['#/Unit]]*FilterSpecs!$B$3+SparkfunListTable[[#This Row],[Extra Initial]],0)</f>
        <v>5</v>
      </c>
      <c r="G108" s="150" t="s">
        <v>397</v>
      </c>
      <c r="H108" s="150" t="s">
        <v>398</v>
      </c>
      <c r="I108" s="151" t="s">
        <v>399</v>
      </c>
      <c r="J108" s="150">
        <v>1</v>
      </c>
      <c r="K108" s="154">
        <v>0.95</v>
      </c>
      <c r="L108" s="151" t="s">
        <v>1897</v>
      </c>
      <c r="M108" s="150"/>
      <c r="N108" s="154">
        <f>SparkfunListTable[[#This Row],['# Initial]]*SparkfunListTable[[#This Row],[Price (USD)]]</f>
        <v>4.75</v>
      </c>
      <c r="O108" s="151" t="s">
        <v>396</v>
      </c>
      <c r="P108" s="150" t="e">
        <f t="shared" si="6"/>
        <v>#REF!</v>
      </c>
      <c r="Q108" s="150" t="s">
        <v>5</v>
      </c>
      <c r="R108"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474-COM-09273</v>
      </c>
      <c r="S108" s="157" t="str">
        <f>HYPERLINK("https://www.mouser.com/ProductDetail/" &amp;SparkfunListTable[[#This Row],[Mouser SKU]])</f>
        <v>https://www.mouser.com/ProductDetail/474-COM-09273</v>
      </c>
      <c r="T108" s="152">
        <v>1</v>
      </c>
      <c r="U108" s="152">
        <v>0</v>
      </c>
      <c r="V108" s="152">
        <v>0</v>
      </c>
      <c r="W108" s="152">
        <f>SparkfunListTable[[#This Row],['#/Unit]]*FilterSpecs!$C$3+SparkfunListTable[[#This Row],[Extra]]</f>
        <v>5</v>
      </c>
      <c r="X108" s="152">
        <f>IF(SparkfunListTable[[#This Row],[Tag]]=FilterSpecs!$F$7,SparkfunListTable[[#This Row],['#/Unit]]*SparkfunListTable[[#This Row],[Price (USD)]],0)</f>
        <v>0.95</v>
      </c>
      <c r="Y108" s="152">
        <f>SparkfunListTable[[#This Row],[Tot '#]]*SparkfunListTable[[#This Row],[Price (USD)]]</f>
        <v>4.75</v>
      </c>
      <c r="Z108" s="146"/>
      <c r="AA108" s="153" t="str">
        <f>SparkfunListTable[[#This Row],[SKU]]</f>
        <v>COM-09273</v>
      </c>
      <c r="AB108" s="153">
        <f>VALUE(SparkfunListTable[[#This Row],['# Initial]])</f>
        <v>5</v>
      </c>
      <c r="AD108" s="153" t="s">
        <v>396</v>
      </c>
      <c r="AE108" s="153">
        <v>5</v>
      </c>
    </row>
    <row r="109" spans="1:31" s="153" customFormat="1" x14ac:dyDescent="0.25">
      <c r="A109" s="150" t="s">
        <v>890</v>
      </c>
      <c r="B109" s="151" t="s">
        <v>1603</v>
      </c>
      <c r="C109" s="150" t="s">
        <v>5</v>
      </c>
      <c r="D109" s="151" t="str">
        <f>IF(SparkfunListTable[[#This Row],[Vendor]]=FilterSpecs!$A$8,SparkfunListTable[[#This Row],[Mouser SKU]], SparkfunListTable[[#This Row],[Supplier SKU]])</f>
        <v>COM-08636</v>
      </c>
      <c r="E109" s="152">
        <f>SparkfunListTable[[#This Row],[Tot '#]]-SparkfunListTable[[#This Row],['# Initial]]</f>
        <v>0</v>
      </c>
      <c r="F109" s="152">
        <f>IF(AND(SparkfunListTable[[#This Row],[Tag]]&lt;&gt;FilterSpecs!$F$12, SparkfunListTable[[#This Row],[Tag]]&lt;&gt;FilterSpecs!$F$9), SparkfunListTable[[#This Row],['#/Unit]]*FilterSpecs!$B$3+SparkfunListTable[[#This Row],[Extra Initial]],0)</f>
        <v>5</v>
      </c>
      <c r="G109" s="150" t="s">
        <v>393</v>
      </c>
      <c r="H109" s="150" t="s">
        <v>394</v>
      </c>
      <c r="I109" s="151" t="s">
        <v>395</v>
      </c>
      <c r="J109" s="150">
        <v>1</v>
      </c>
      <c r="K109" s="154">
        <v>2.38</v>
      </c>
      <c r="L109" s="151" t="s">
        <v>1897</v>
      </c>
      <c r="M109" s="150"/>
      <c r="N109" s="154">
        <f>SparkfunListTable[[#This Row],['# Initial]]*SparkfunListTable[[#This Row],[Price (USD)]]</f>
        <v>11.899999999999999</v>
      </c>
      <c r="O109" s="151" t="s">
        <v>392</v>
      </c>
      <c r="P109" s="150" t="e">
        <f t="shared" si="6"/>
        <v>#REF!</v>
      </c>
      <c r="Q109" s="150" t="s">
        <v>5</v>
      </c>
      <c r="R109"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474-COM-08636</v>
      </c>
      <c r="S109" s="157" t="str">
        <f>HYPERLINK("https://www.mouser.com/ProductDetail/" &amp;SparkfunListTable[[#This Row],[Mouser SKU]])</f>
        <v>https://www.mouser.com/ProductDetail/474-COM-08636</v>
      </c>
      <c r="T109" s="152">
        <v>1</v>
      </c>
      <c r="U109" s="152">
        <v>0</v>
      </c>
      <c r="V109" s="152">
        <v>0</v>
      </c>
      <c r="W109" s="152">
        <f>SparkfunListTable[[#This Row],['#/Unit]]*FilterSpecs!$C$3+SparkfunListTable[[#This Row],[Extra]]</f>
        <v>5</v>
      </c>
      <c r="X109" s="152">
        <f>IF(SparkfunListTable[[#This Row],[Tag]]=FilterSpecs!$F$7,SparkfunListTable[[#This Row],['#/Unit]]*SparkfunListTable[[#This Row],[Price (USD)]],0)</f>
        <v>2.38</v>
      </c>
      <c r="Y109" s="152">
        <f>SparkfunListTable[[#This Row],[Tot '#]]*SparkfunListTable[[#This Row],[Price (USD)]]</f>
        <v>11.899999999999999</v>
      </c>
      <c r="Z109" s="146"/>
      <c r="AA109" s="153" t="str">
        <f>SparkfunListTable[[#This Row],[SKU]]</f>
        <v>COM-08636</v>
      </c>
      <c r="AB109" s="153">
        <f>VALUE(SparkfunListTable[[#This Row],['# Initial]])</f>
        <v>5</v>
      </c>
      <c r="AD109" s="153" t="s">
        <v>392</v>
      </c>
      <c r="AE109" s="153">
        <v>5</v>
      </c>
    </row>
    <row r="110" spans="1:31" s="153" customFormat="1" x14ac:dyDescent="0.25">
      <c r="A110" s="150" t="s">
        <v>890</v>
      </c>
      <c r="B110" s="151" t="s">
        <v>1603</v>
      </c>
      <c r="C110" s="150" t="s">
        <v>5</v>
      </c>
      <c r="D110" s="151" t="str">
        <f>IF(SparkfunListTable[[#This Row],[Vendor]]=FilterSpecs!$A$8,SparkfunListTable[[#This Row],[Mouser SKU]], SparkfunListTable[[#This Row],[Supplier SKU]])</f>
        <v>COM-08034</v>
      </c>
      <c r="E110" s="152">
        <f>SparkfunListTable[[#This Row],[Tot '#]]-SparkfunListTable[[#This Row],['# Initial]]</f>
        <v>0</v>
      </c>
      <c r="F110" s="152">
        <f>IF(AND(SparkfunListTable[[#This Row],[Tag]]&lt;&gt;FilterSpecs!$F$12, SparkfunListTable[[#This Row],[Tag]]&lt;&gt;FilterSpecs!$F$9), SparkfunListTable[[#This Row],['#/Unit]]*FilterSpecs!$B$3+SparkfunListTable[[#This Row],[Extra Initial]],0)</f>
        <v>5</v>
      </c>
      <c r="G110" s="150" t="s">
        <v>427</v>
      </c>
      <c r="H110" s="150" t="s">
        <v>428</v>
      </c>
      <c r="I110" s="151" t="s">
        <v>429</v>
      </c>
      <c r="J110" s="150">
        <v>1</v>
      </c>
      <c r="K110" s="154">
        <v>1.5</v>
      </c>
      <c r="L110" s="151" t="s">
        <v>1897</v>
      </c>
      <c r="M110" s="150"/>
      <c r="N110" s="154">
        <f>SparkfunListTable[[#This Row],['# Initial]]*SparkfunListTable[[#This Row],[Price (USD)]]</f>
        <v>7.5</v>
      </c>
      <c r="O110" s="151" t="s">
        <v>426</v>
      </c>
      <c r="P110" s="150" t="e">
        <f>IF(#REF!="List #",1,#REF!+1)</f>
        <v>#REF!</v>
      </c>
      <c r="Q110" s="150" t="s">
        <v>5</v>
      </c>
      <c r="R110"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474-COM-08034</v>
      </c>
      <c r="S110" s="157" t="str">
        <f>HYPERLINK("https://www.mouser.com/ProductDetail/" &amp;SparkfunListTable[[#This Row],[Mouser SKU]])</f>
        <v>https://www.mouser.com/ProductDetail/474-COM-08034</v>
      </c>
      <c r="T110" s="152">
        <v>1</v>
      </c>
      <c r="U110" s="152">
        <v>0</v>
      </c>
      <c r="V110" s="152">
        <v>0</v>
      </c>
      <c r="W110" s="152">
        <f>SparkfunListTable[[#This Row],['#/Unit]]*FilterSpecs!$C$3+SparkfunListTable[[#This Row],[Extra]]</f>
        <v>5</v>
      </c>
      <c r="X110" s="152">
        <f>IF(SparkfunListTable[[#This Row],[Tag]]=FilterSpecs!$F$7,SparkfunListTable[[#This Row],['#/Unit]]*SparkfunListTable[[#This Row],[Price (USD)]],0)</f>
        <v>1.5</v>
      </c>
      <c r="Y110" s="152">
        <f>SparkfunListTable[[#This Row],[Tot '#]]*SparkfunListTable[[#This Row],[Price (USD)]]</f>
        <v>7.5</v>
      </c>
      <c r="Z110" s="146"/>
      <c r="AA110" s="153" t="str">
        <f>SparkfunListTable[[#This Row],[SKU]]</f>
        <v>COM-08034</v>
      </c>
      <c r="AB110" s="153">
        <f>VALUE(SparkfunListTable[[#This Row],['# Initial]])</f>
        <v>5</v>
      </c>
      <c r="AD110" s="153" t="s">
        <v>426</v>
      </c>
      <c r="AE110" s="153">
        <v>5</v>
      </c>
    </row>
    <row r="111" spans="1:31" s="153" customFormat="1" x14ac:dyDescent="0.25">
      <c r="A111" s="150" t="s">
        <v>890</v>
      </c>
      <c r="B111" s="150" t="s">
        <v>1877</v>
      </c>
      <c r="C111" s="150" t="s">
        <v>5</v>
      </c>
      <c r="D111" s="151" t="str">
        <f>IF(SparkfunListTable[[#This Row],[Vendor]]=FilterSpecs!$A$8,SparkfunListTable[[#This Row],[Mouser SKU]], SparkfunListTable[[#This Row],[Supplier SKU]])</f>
        <v>PRT-10158</v>
      </c>
      <c r="E111" s="152">
        <f>SparkfunListTable[[#This Row],[Tot '#]]-SparkfunListTable[[#This Row],['# Initial]]</f>
        <v>0</v>
      </c>
      <c r="F111" s="152">
        <f>IF(AND(SparkfunListTable[[#This Row],[Tag]]&lt;&gt;FilterSpecs!$F$12, SparkfunListTable[[#This Row],[Tag]]&lt;&gt;FilterSpecs!$F$9), SparkfunListTable[[#This Row],['#/Unit]]*FilterSpecs!$B$3+SparkfunListTable[[#This Row],[Extra Initial]],0)</f>
        <v>5</v>
      </c>
      <c r="G111" s="150" t="s">
        <v>483</v>
      </c>
      <c r="H111" s="150" t="s">
        <v>484</v>
      </c>
      <c r="I111" s="150" t="s">
        <v>485</v>
      </c>
      <c r="J111" s="150">
        <v>1</v>
      </c>
      <c r="K111" s="154">
        <v>2.95</v>
      </c>
      <c r="L111" s="150" t="s">
        <v>1897</v>
      </c>
      <c r="M111" s="150"/>
      <c r="N111" s="154">
        <f>SparkfunListTable[[#This Row],['# Initial]]*SparkfunListTable[[#This Row],[Price (USD)]]</f>
        <v>14.75</v>
      </c>
      <c r="O111" s="151" t="s">
        <v>482</v>
      </c>
      <c r="P111" s="150" t="e">
        <f>IF(#REF!="List #",1,#REF!+1)</f>
        <v>#REF!</v>
      </c>
      <c r="Q111" s="150" t="s">
        <v>5</v>
      </c>
      <c r="R111"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474-PRT-10158</v>
      </c>
      <c r="S111" s="157" t="str">
        <f>HYPERLINK("https://www.mouser.com/ProductDetail/" &amp;SparkfunListTable[[#This Row],[Mouser SKU]])</f>
        <v>https://www.mouser.com/ProductDetail/474-PRT-10158</v>
      </c>
      <c r="T111" s="152">
        <v>1</v>
      </c>
      <c r="U111" s="152">
        <v>0</v>
      </c>
      <c r="V111" s="152">
        <v>0</v>
      </c>
      <c r="W111" s="152">
        <f>SparkfunListTable[[#This Row],['#/Unit]]*FilterSpecs!$C$3+SparkfunListTable[[#This Row],[Extra]]</f>
        <v>5</v>
      </c>
      <c r="X111" s="152">
        <f>IF(SparkfunListTable[[#This Row],[Tag]]=FilterSpecs!$F$7,SparkfunListTable[[#This Row],['#/Unit]]*SparkfunListTable[[#This Row],[Price (USD)]],0)</f>
        <v>2.95</v>
      </c>
      <c r="Y111" s="152">
        <f>SparkfunListTable[[#This Row],[Tot '#]]*SparkfunListTable[[#This Row],[Price (USD)]]</f>
        <v>14.75</v>
      </c>
      <c r="Z111" s="146"/>
      <c r="AA111" s="153" t="str">
        <f>SparkfunListTable[[#This Row],[SKU]]</f>
        <v>PRT-10158</v>
      </c>
      <c r="AB111" s="153">
        <f>VALUE(SparkfunListTable[[#This Row],['# Initial]])</f>
        <v>5</v>
      </c>
      <c r="AD111" s="153" t="s">
        <v>482</v>
      </c>
      <c r="AE111" s="153">
        <v>5</v>
      </c>
    </row>
    <row r="112" spans="1:31" s="153" customFormat="1" x14ac:dyDescent="0.25">
      <c r="A112" s="150" t="s">
        <v>890</v>
      </c>
      <c r="B112" s="150" t="s">
        <v>1877</v>
      </c>
      <c r="C112" s="150" t="s">
        <v>5</v>
      </c>
      <c r="D112" s="151" t="str">
        <f>IF(SparkfunListTable[[#This Row],[Vendor]]=FilterSpecs!$A$8,SparkfunListTable[[#This Row],[Mouser SKU]], SparkfunListTable[[#This Row],[Supplier SKU]])</f>
        <v>PRT-12693</v>
      </c>
      <c r="E112" s="152">
        <f>SparkfunListTable[[#This Row],[Tot '#]]-SparkfunListTable[[#This Row],['# Initial]]</f>
        <v>0</v>
      </c>
      <c r="F112" s="152">
        <f>IF(AND(SparkfunListTable[[#This Row],[Tag]]&lt;&gt;FilterSpecs!$F$12, SparkfunListTable[[#This Row],[Tag]]&lt;&gt;FilterSpecs!$F$9), SparkfunListTable[[#This Row],['#/Unit]]*FilterSpecs!$B$3+SparkfunListTable[[#This Row],[Extra Initial]],0)</f>
        <v>5</v>
      </c>
      <c r="G112" s="150" t="s">
        <v>467</v>
      </c>
      <c r="H112" s="150" t="s">
        <v>468</v>
      </c>
      <c r="I112" s="150" t="s">
        <v>469</v>
      </c>
      <c r="J112" s="150">
        <v>1</v>
      </c>
      <c r="K112" s="154">
        <v>0.75</v>
      </c>
      <c r="L112" s="150" t="s">
        <v>1897</v>
      </c>
      <c r="M112" s="150"/>
      <c r="N112" s="154">
        <f>SparkfunListTable[[#This Row],['# Initial]]*SparkfunListTable[[#This Row],[Price (USD)]]</f>
        <v>3.75</v>
      </c>
      <c r="O112" s="151" t="s">
        <v>466</v>
      </c>
      <c r="P112" s="150" t="e">
        <f t="shared" ref="P112:P122" si="7">IF($P111="List #",1,$P111+1)</f>
        <v>#REF!</v>
      </c>
      <c r="Q112" s="150" t="s">
        <v>5</v>
      </c>
      <c r="R112"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474-PRT-12693</v>
      </c>
      <c r="S112" s="157" t="str">
        <f>HYPERLINK("https://www.mouser.com/ProductDetail/" &amp;SparkfunListTable[[#This Row],[Mouser SKU]])</f>
        <v>https://www.mouser.com/ProductDetail/474-PRT-12693</v>
      </c>
      <c r="T112" s="152">
        <v>1</v>
      </c>
      <c r="U112" s="152">
        <v>0</v>
      </c>
      <c r="V112" s="152">
        <v>0</v>
      </c>
      <c r="W112" s="152">
        <f>SparkfunListTable[[#This Row],['#/Unit]]*FilterSpecs!$C$3+SparkfunListTable[[#This Row],[Extra]]</f>
        <v>5</v>
      </c>
      <c r="X112" s="152">
        <f>IF(SparkfunListTable[[#This Row],[Tag]]=FilterSpecs!$F$7,SparkfunListTable[[#This Row],['#/Unit]]*SparkfunListTable[[#This Row],[Price (USD)]],0)</f>
        <v>0.75</v>
      </c>
      <c r="Y112" s="152">
        <f>SparkfunListTable[[#This Row],[Tot '#]]*SparkfunListTable[[#This Row],[Price (USD)]]</f>
        <v>3.75</v>
      </c>
      <c r="Z112" s="146"/>
      <c r="AA112" s="153" t="str">
        <f>SparkfunListTable[[#This Row],[SKU]]</f>
        <v>PRT-12693</v>
      </c>
      <c r="AB112" s="153">
        <f>VALUE(SparkfunListTable[[#This Row],['# Initial]])</f>
        <v>5</v>
      </c>
      <c r="AD112" s="153" t="s">
        <v>466</v>
      </c>
      <c r="AE112" s="153">
        <v>5</v>
      </c>
    </row>
    <row r="113" spans="1:31" s="153" customFormat="1" x14ac:dyDescent="0.25">
      <c r="A113" s="150" t="s">
        <v>890</v>
      </c>
      <c r="B113" s="150" t="s">
        <v>1878</v>
      </c>
      <c r="C113" s="150" t="s">
        <v>5</v>
      </c>
      <c r="D113" s="151" t="str">
        <f>IF(SparkfunListTable[[#This Row],[Vendor]]=FilterSpecs!$A$8,SparkfunListTable[[#This Row],[Mouser SKU]], SparkfunListTable[[#This Row],[Supplier SKU]])</f>
        <v>PRT-10877</v>
      </c>
      <c r="E113" s="152">
        <f>SparkfunListTable[[#This Row],[Tot '#]]-SparkfunListTable[[#This Row],['# Initial]]</f>
        <v>5</v>
      </c>
      <c r="F113" s="152">
        <f>IF(AND(SparkfunListTable[[#This Row],[Tag]]&lt;&gt;FilterSpecs!$F$12, SparkfunListTable[[#This Row],[Tag]]&lt;&gt;FilterSpecs!$F$9), SparkfunListTable[[#This Row],['#/Unit]]*FilterSpecs!$B$3+SparkfunListTable[[#This Row],[Extra Initial]],0)</f>
        <v>5</v>
      </c>
      <c r="G113" s="150" t="s">
        <v>1522</v>
      </c>
      <c r="H113" s="150" t="s">
        <v>1523</v>
      </c>
      <c r="I113" s="150" t="s">
        <v>1524</v>
      </c>
      <c r="J113" s="150">
        <v>1</v>
      </c>
      <c r="K113" s="154">
        <v>1.5</v>
      </c>
      <c r="L113" s="150" t="s">
        <v>1897</v>
      </c>
      <c r="M113" s="150"/>
      <c r="N113" s="154">
        <f>SparkfunListTable[[#This Row],['# Initial]]*SparkfunListTable[[#This Row],[Price (USD)]]</f>
        <v>7.5</v>
      </c>
      <c r="O113" s="151" t="s">
        <v>1521</v>
      </c>
      <c r="P113" s="150" t="e">
        <f>IF(#REF!="List #",1,#REF!+1)</f>
        <v>#REF!</v>
      </c>
      <c r="Q113" s="150" t="s">
        <v>5</v>
      </c>
      <c r="R113"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474-PRT-10877</v>
      </c>
      <c r="S113" s="157" t="str">
        <f>HYPERLINK("https://www.mouser.com/ProductDetail/" &amp;SparkfunListTable[[#This Row],[Mouser SKU]])</f>
        <v>https://www.mouser.com/ProductDetail/474-PRT-10877</v>
      </c>
      <c r="T113" s="152">
        <v>1</v>
      </c>
      <c r="U113" s="152">
        <v>5</v>
      </c>
      <c r="V113" s="152">
        <v>0</v>
      </c>
      <c r="W113" s="152">
        <f>SparkfunListTable[[#This Row],['#/Unit]]*FilterSpecs!$C$3+SparkfunListTable[[#This Row],[Extra]]</f>
        <v>10</v>
      </c>
      <c r="X113" s="152">
        <f>IF(SparkfunListTable[[#This Row],[Tag]]=FilterSpecs!$F$7,SparkfunListTable[[#This Row],['#/Unit]]*SparkfunListTable[[#This Row],[Price (USD)]],0)</f>
        <v>1.5</v>
      </c>
      <c r="Y113" s="152">
        <f>SparkfunListTable[[#This Row],[Tot '#]]*SparkfunListTable[[#This Row],[Price (USD)]]</f>
        <v>15</v>
      </c>
      <c r="Z113" s="146"/>
      <c r="AA113" s="153" t="str">
        <f>SparkfunListTable[[#This Row],[SKU]]</f>
        <v>PRT-10877</v>
      </c>
      <c r="AB113" s="153">
        <f>VALUE(SparkfunListTable[[#This Row],['# Initial]])</f>
        <v>5</v>
      </c>
      <c r="AD113" s="153" t="s">
        <v>1521</v>
      </c>
      <c r="AE113" s="153">
        <v>5</v>
      </c>
    </row>
    <row r="114" spans="1:31" s="153" customFormat="1" x14ac:dyDescent="0.25">
      <c r="A114" s="150" t="s">
        <v>890</v>
      </c>
      <c r="B114" s="150" t="s">
        <v>1878</v>
      </c>
      <c r="C114" s="150" t="s">
        <v>5</v>
      </c>
      <c r="D114" s="151" t="str">
        <f>IF(SparkfunListTable[[#This Row],[Vendor]]=FilterSpecs!$A$8,SparkfunListTable[[#This Row],[Mouser SKU]], SparkfunListTable[[#This Row],[Supplier SKU]])</f>
        <v>PRT-08506</v>
      </c>
      <c r="E114" s="152">
        <f>SparkfunListTable[[#This Row],[Tot '#]]-SparkfunListTable[[#This Row],['# Initial]]</f>
        <v>5</v>
      </c>
      <c r="F114" s="152">
        <f>IF(AND(SparkfunListTable[[#This Row],[Tag]]&lt;&gt;FilterSpecs!$F$12, SparkfunListTable[[#This Row],[Tag]]&lt;&gt;FilterSpecs!$F$9), SparkfunListTable[[#This Row],['#/Unit]]*FilterSpecs!$B$3+SparkfunListTable[[#This Row],[Extra Initial]],0)</f>
        <v>5</v>
      </c>
      <c r="G114" s="150" t="s">
        <v>1526</v>
      </c>
      <c r="H114" s="150" t="s">
        <v>1527</v>
      </c>
      <c r="I114" s="150" t="s">
        <v>1528</v>
      </c>
      <c r="J114" s="150">
        <v>1</v>
      </c>
      <c r="K114" s="154">
        <v>1.5</v>
      </c>
      <c r="L114" s="150" t="s">
        <v>1897</v>
      </c>
      <c r="M114" s="150"/>
      <c r="N114" s="154">
        <f>SparkfunListTable[[#This Row],['# Initial]]*SparkfunListTable[[#This Row],[Price (USD)]]</f>
        <v>7.5</v>
      </c>
      <c r="O114" s="151" t="s">
        <v>1525</v>
      </c>
      <c r="P114" s="150" t="e">
        <f t="shared" si="7"/>
        <v>#REF!</v>
      </c>
      <c r="Q114" s="150" t="s">
        <v>5</v>
      </c>
      <c r="R114"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474-PRT-08506</v>
      </c>
      <c r="S114" s="157" t="str">
        <f>HYPERLINK("https://www.mouser.com/ProductDetail/" &amp;SparkfunListTable[[#This Row],[Mouser SKU]])</f>
        <v>https://www.mouser.com/ProductDetail/474-PRT-08506</v>
      </c>
      <c r="T114" s="152">
        <v>1</v>
      </c>
      <c r="U114" s="152">
        <v>5</v>
      </c>
      <c r="V114" s="152">
        <v>0</v>
      </c>
      <c r="W114" s="152">
        <f>SparkfunListTable[[#This Row],['#/Unit]]*FilterSpecs!$C$3+SparkfunListTable[[#This Row],[Extra]]</f>
        <v>10</v>
      </c>
      <c r="X114" s="152">
        <f>IF(SparkfunListTable[[#This Row],[Tag]]=FilterSpecs!$F$7,SparkfunListTable[[#This Row],['#/Unit]]*SparkfunListTable[[#This Row],[Price (USD)]],0)</f>
        <v>1.5</v>
      </c>
      <c r="Y114" s="152">
        <f>SparkfunListTable[[#This Row],[Tot '#]]*SparkfunListTable[[#This Row],[Price (USD)]]</f>
        <v>15</v>
      </c>
      <c r="Z114" s="146"/>
      <c r="AA114" s="153" t="str">
        <f>SparkfunListTable[[#This Row],[SKU]]</f>
        <v>PRT-08506</v>
      </c>
      <c r="AB114" s="153">
        <f>VALUE(SparkfunListTable[[#This Row],['# Initial]])</f>
        <v>5</v>
      </c>
      <c r="AD114" s="153" t="s">
        <v>1525</v>
      </c>
      <c r="AE114" s="153">
        <v>5</v>
      </c>
    </row>
    <row r="115" spans="1:31" s="153" customFormat="1" x14ac:dyDescent="0.25">
      <c r="A115" s="97" t="s">
        <v>890</v>
      </c>
      <c r="B115" s="97" t="s">
        <v>1876</v>
      </c>
      <c r="C115" s="150" t="s">
        <v>5</v>
      </c>
      <c r="D115" s="151" t="str">
        <f>IF(SparkfunListTable[[#This Row],[Vendor]]=FilterSpecs!$A$8,SparkfunListTable[[#This Row],[Mouser SKU]], SparkfunListTable[[#This Row],[Supplier SKU]])</f>
        <v>COM-14085</v>
      </c>
      <c r="E115" s="152">
        <f>SparkfunListTable[[#This Row],[Tot '#]]-SparkfunListTable[[#This Row],['# Initial]]</f>
        <v>0</v>
      </c>
      <c r="F115" s="152">
        <f>IF(AND(SparkfunListTable[[#This Row],[Tag]]&lt;&gt;FilterSpecs!$F$12, SparkfunListTable[[#This Row],[Tag]]&lt;&gt;FilterSpecs!$F$9), SparkfunListTable[[#This Row],['#/Unit]]*FilterSpecs!$B$3+SparkfunListTable[[#This Row],[Extra Initial]],0)</f>
        <v>25</v>
      </c>
      <c r="G115" s="150" t="s">
        <v>813</v>
      </c>
      <c r="H115" s="150" t="s">
        <v>814</v>
      </c>
      <c r="I115" s="150" t="s">
        <v>815</v>
      </c>
      <c r="J115" s="150">
        <v>1</v>
      </c>
      <c r="K115" s="154">
        <v>0.95</v>
      </c>
      <c r="L115" s="150" t="s">
        <v>1896</v>
      </c>
      <c r="M115" s="150"/>
      <c r="N115" s="154">
        <f>SparkfunListTable[[#This Row],['# Initial]]*SparkfunListTable[[#This Row],[Price (USD)]]</f>
        <v>23.75</v>
      </c>
      <c r="O115" s="151" t="s">
        <v>812</v>
      </c>
      <c r="P115" s="150" t="e">
        <f>IF(#REF!="List #",1,#REF!+1)</f>
        <v>#REF!</v>
      </c>
      <c r="Q115" s="150" t="s">
        <v>5</v>
      </c>
      <c r="R115"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474-COM-14085</v>
      </c>
      <c r="S115" s="157" t="str">
        <f>HYPERLINK("https://www.mouser.com/ProductDetail/" &amp;SparkfunListTable[[#This Row],[Mouser SKU]])</f>
        <v>https://www.mouser.com/ProductDetail/474-COM-14085</v>
      </c>
      <c r="T115" s="152">
        <v>5</v>
      </c>
      <c r="U115" s="152">
        <v>0</v>
      </c>
      <c r="V115" s="152">
        <v>0</v>
      </c>
      <c r="W115" s="152">
        <f>SparkfunListTable[[#This Row],['#/Unit]]*FilterSpecs!$C$3+SparkfunListTable[[#This Row],[Extra]]</f>
        <v>25</v>
      </c>
      <c r="X115" s="152">
        <f>IF(SparkfunListTable[[#This Row],[Tag]]=FilterSpecs!$F$7,SparkfunListTable[[#This Row],['#/Unit]]*SparkfunListTable[[#This Row],[Price (USD)]],0)</f>
        <v>0</v>
      </c>
      <c r="Y115" s="152">
        <f>SparkfunListTable[[#This Row],[Tot '#]]*SparkfunListTable[[#This Row],[Price (USD)]]</f>
        <v>23.75</v>
      </c>
      <c r="Z115" s="146"/>
      <c r="AA115" s="153" t="str">
        <f>SparkfunListTable[[#This Row],[SKU]]</f>
        <v>COM-14085</v>
      </c>
      <c r="AB115" s="153">
        <f>VALUE(SparkfunListTable[[#This Row],['# Initial]])</f>
        <v>25</v>
      </c>
      <c r="AD115" s="153" t="s">
        <v>812</v>
      </c>
      <c r="AE115" s="153">
        <v>25</v>
      </c>
    </row>
    <row r="116" spans="1:31" s="104" customFormat="1" x14ac:dyDescent="0.25">
      <c r="A116" s="151" t="s">
        <v>890</v>
      </c>
      <c r="B116" s="151" t="s">
        <v>2408</v>
      </c>
      <c r="C116" s="150" t="s">
        <v>5</v>
      </c>
      <c r="D116" s="151" t="str">
        <f>IF(SparkfunListTable[[#This Row],[Vendor]]=FilterSpecs!$A$8,SparkfunListTable[[#This Row],[Mouser SKU]], SparkfunListTable[[#This Row],[Supplier SKU]])</f>
        <v>PRT-09914</v>
      </c>
      <c r="E116" s="152">
        <f>SparkfunListTable[[#This Row],[Tot '#]]-SparkfunListTable[[#This Row],['# Initial]]</f>
        <v>0</v>
      </c>
      <c r="F116" s="152">
        <f>IF(AND(SparkfunListTable[[#This Row],[Tag]]&lt;&gt;FilterSpecs!$F$12, SparkfunListTable[[#This Row],[Tag]]&lt;&gt;FilterSpecs!$F$9), SparkfunListTable[[#This Row],['#/Unit]]*FilterSpecs!$B$3+SparkfunListTable[[#This Row],[Extra Initial]],0)</f>
        <v>10</v>
      </c>
      <c r="G116" s="150" t="s">
        <v>505</v>
      </c>
      <c r="H116" s="150" t="s">
        <v>506</v>
      </c>
      <c r="I116" s="151" t="s">
        <v>507</v>
      </c>
      <c r="J116" s="150">
        <v>1</v>
      </c>
      <c r="K116" s="154">
        <v>0.95</v>
      </c>
      <c r="L116" s="151" t="s">
        <v>1897</v>
      </c>
      <c r="M116" s="150" t="s">
        <v>2373</v>
      </c>
      <c r="N116" s="154">
        <f>SparkfunListTable[[#This Row],['# Initial]]*SparkfunListTable[[#This Row],[Price (USD)]]</f>
        <v>9.5</v>
      </c>
      <c r="O116" s="151" t="s">
        <v>504</v>
      </c>
      <c r="P116" s="150" t="e">
        <f>IF(#REF!="List #",1,#REF!+1)</f>
        <v>#REF!</v>
      </c>
      <c r="Q116" s="150" t="s">
        <v>5</v>
      </c>
      <c r="R116"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474-PRT-09914</v>
      </c>
      <c r="S116" s="157" t="str">
        <f>HYPERLINK("https://www.mouser.com/ProductDetail/" &amp;SparkfunListTable[[#This Row],[Mouser SKU]])</f>
        <v>https://www.mouser.com/ProductDetail/474-PRT-09914</v>
      </c>
      <c r="T116" s="152">
        <v>2</v>
      </c>
      <c r="U116" s="152">
        <v>0</v>
      </c>
      <c r="V116" s="152">
        <v>0</v>
      </c>
      <c r="W116" s="152">
        <f>SparkfunListTable[[#This Row],['#/Unit]]*FilterSpecs!$C$3+SparkfunListTable[[#This Row],[Extra]]</f>
        <v>10</v>
      </c>
      <c r="X116" s="152">
        <f>IF(SparkfunListTable[[#This Row],[Tag]]=FilterSpecs!$F$7,SparkfunListTable[[#This Row],['#/Unit]]*SparkfunListTable[[#This Row],[Price (USD)]],0)</f>
        <v>1.9</v>
      </c>
      <c r="Y116" s="152">
        <f>SparkfunListTable[[#This Row],[Tot '#]]*SparkfunListTable[[#This Row],[Price (USD)]]</f>
        <v>9.5</v>
      </c>
      <c r="Z116" s="146"/>
      <c r="AA116" s="153" t="str">
        <f>SparkfunListTable[[#This Row],[SKU]]</f>
        <v>PRT-09914</v>
      </c>
      <c r="AB116" s="153">
        <f>VALUE(SparkfunListTable[[#This Row],['# Initial]])</f>
        <v>10</v>
      </c>
      <c r="AD116" s="104" t="s">
        <v>504</v>
      </c>
      <c r="AE116" s="104">
        <v>10</v>
      </c>
    </row>
    <row r="117" spans="1:31" s="104" customFormat="1" x14ac:dyDescent="0.25">
      <c r="A117" s="151" t="s">
        <v>890</v>
      </c>
      <c r="B117" s="151" t="s">
        <v>2408</v>
      </c>
      <c r="C117" s="150" t="s">
        <v>5</v>
      </c>
      <c r="D117" s="151" t="str">
        <f>IF(SparkfunListTable[[#This Row],[Vendor]]=FilterSpecs!$A$8,SparkfunListTable[[#This Row],[Mouser SKU]], SparkfunListTable[[#This Row],[Supplier SKU]])</f>
        <v>PRT-09915</v>
      </c>
      <c r="E117" s="152">
        <f>SparkfunListTable[[#This Row],[Tot '#]]-SparkfunListTable[[#This Row],['# Initial]]</f>
        <v>0</v>
      </c>
      <c r="F117" s="152">
        <f>IF(AND(SparkfunListTable[[#This Row],[Tag]]&lt;&gt;FilterSpecs!$F$12, SparkfunListTable[[#This Row],[Tag]]&lt;&gt;FilterSpecs!$F$9), SparkfunListTable[[#This Row],['#/Unit]]*FilterSpecs!$B$3+SparkfunListTable[[#This Row],[Extra Initial]],0)</f>
        <v>5</v>
      </c>
      <c r="G117" s="150" t="s">
        <v>1341</v>
      </c>
      <c r="H117" s="150" t="s">
        <v>1342</v>
      </c>
      <c r="I117" s="151" t="s">
        <v>1343</v>
      </c>
      <c r="J117" s="150">
        <v>1</v>
      </c>
      <c r="K117" s="154">
        <v>1.5</v>
      </c>
      <c r="L117" s="151" t="s">
        <v>1897</v>
      </c>
      <c r="M117" s="150" t="s">
        <v>2373</v>
      </c>
      <c r="N117" s="154">
        <f>SparkfunListTable[[#This Row],['# Initial]]*SparkfunListTable[[#This Row],[Price (USD)]]</f>
        <v>7.5</v>
      </c>
      <c r="O117" s="151" t="s">
        <v>1340</v>
      </c>
      <c r="P117" s="150" t="e">
        <f t="shared" si="7"/>
        <v>#REF!</v>
      </c>
      <c r="Q117" s="150" t="s">
        <v>5</v>
      </c>
      <c r="R117"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474-PRT-09915</v>
      </c>
      <c r="S117" s="157" t="str">
        <f>HYPERLINK("https://www.mouser.com/ProductDetail/" &amp;SparkfunListTable[[#This Row],[Mouser SKU]])</f>
        <v>https://www.mouser.com/ProductDetail/474-PRT-09915</v>
      </c>
      <c r="T117" s="152">
        <v>1</v>
      </c>
      <c r="U117" s="152">
        <v>0</v>
      </c>
      <c r="V117" s="152">
        <v>0</v>
      </c>
      <c r="W117" s="152">
        <f>SparkfunListTable[[#This Row],['#/Unit]]*FilterSpecs!$C$3+SparkfunListTable[[#This Row],[Extra]]</f>
        <v>5</v>
      </c>
      <c r="X117" s="152">
        <f>IF(SparkfunListTable[[#This Row],[Tag]]=FilterSpecs!$F$7,SparkfunListTable[[#This Row],['#/Unit]]*SparkfunListTable[[#This Row],[Price (USD)]],0)</f>
        <v>1.5</v>
      </c>
      <c r="Y117" s="152">
        <f>SparkfunListTable[[#This Row],[Tot '#]]*SparkfunListTable[[#This Row],[Price (USD)]]</f>
        <v>7.5</v>
      </c>
      <c r="Z117" s="146"/>
      <c r="AA117" s="153" t="str">
        <f>SparkfunListTable[[#This Row],[SKU]]</f>
        <v>PRT-09915</v>
      </c>
      <c r="AB117" s="153">
        <f>VALUE(SparkfunListTable[[#This Row],['# Initial]])</f>
        <v>5</v>
      </c>
      <c r="AD117" s="104" t="s">
        <v>1340</v>
      </c>
      <c r="AE117" s="104">
        <v>5</v>
      </c>
    </row>
    <row r="118" spans="1:31" s="104" customFormat="1" x14ac:dyDescent="0.25">
      <c r="A118" s="151" t="s">
        <v>890</v>
      </c>
      <c r="B118" s="151" t="s">
        <v>2408</v>
      </c>
      <c r="C118" s="150" t="s">
        <v>5</v>
      </c>
      <c r="D118" s="151" t="str">
        <f>IF(SparkfunListTable[[#This Row],[Vendor]]=FilterSpecs!$A$8,SparkfunListTable[[#This Row],[Mouser SKU]], SparkfunListTable[[#This Row],[Supplier SKU]])</f>
        <v>PRT-09916</v>
      </c>
      <c r="E118" s="152">
        <f>SparkfunListTable[[#This Row],[Tot '#]]-SparkfunListTable[[#This Row],['# Initial]]</f>
        <v>0</v>
      </c>
      <c r="F118" s="152">
        <f>IF(AND(SparkfunListTable[[#This Row],[Tag]]&lt;&gt;FilterSpecs!$F$12, SparkfunListTable[[#This Row],[Tag]]&lt;&gt;FilterSpecs!$F$9), SparkfunListTable[[#This Row],['#/Unit]]*FilterSpecs!$B$3+SparkfunListTable[[#This Row],[Extra Initial]],0)</f>
        <v>10</v>
      </c>
      <c r="G118" s="150" t="s">
        <v>479</v>
      </c>
      <c r="H118" s="150" t="s">
        <v>480</v>
      </c>
      <c r="I118" s="151" t="s">
        <v>481</v>
      </c>
      <c r="J118" s="150"/>
      <c r="K118" s="154">
        <v>1.5</v>
      </c>
      <c r="L118" s="151" t="s">
        <v>1897</v>
      </c>
      <c r="M118" s="150" t="s">
        <v>2373</v>
      </c>
      <c r="N118" s="154">
        <f>SparkfunListTable[[#This Row],['# Initial]]*SparkfunListTable[[#This Row],[Price (USD)]]</f>
        <v>15</v>
      </c>
      <c r="O118" s="151" t="s">
        <v>478</v>
      </c>
      <c r="P118" s="150" t="e">
        <f t="shared" si="7"/>
        <v>#REF!</v>
      </c>
      <c r="Q118" s="150" t="s">
        <v>5</v>
      </c>
      <c r="R118"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474-PRT-09916</v>
      </c>
      <c r="S118" s="157" t="str">
        <f>HYPERLINK("https://www.mouser.com/ProductDetail/" &amp;SparkfunListTable[[#This Row],[Mouser SKU]])</f>
        <v>https://www.mouser.com/ProductDetail/474-PRT-09916</v>
      </c>
      <c r="T118" s="152">
        <v>2</v>
      </c>
      <c r="U118" s="152">
        <v>0</v>
      </c>
      <c r="V118" s="152">
        <v>0</v>
      </c>
      <c r="W118" s="152">
        <f>SparkfunListTable[[#This Row],['#/Unit]]*FilterSpecs!$C$3+SparkfunListTable[[#This Row],[Extra]]</f>
        <v>10</v>
      </c>
      <c r="X118" s="152">
        <f>IF(SparkfunListTable[[#This Row],[Tag]]=FilterSpecs!$F$7,SparkfunListTable[[#This Row],['#/Unit]]*SparkfunListTable[[#This Row],[Price (USD)]],0)</f>
        <v>3</v>
      </c>
      <c r="Y118" s="152">
        <f>SparkfunListTable[[#This Row],[Tot '#]]*SparkfunListTable[[#This Row],[Price (USD)]]</f>
        <v>15</v>
      </c>
      <c r="Z118" s="146"/>
      <c r="AA118" s="153" t="str">
        <f>SparkfunListTable[[#This Row],[SKU]]</f>
        <v>PRT-09916</v>
      </c>
      <c r="AB118" s="153">
        <f>VALUE(SparkfunListTable[[#This Row],['# Initial]])</f>
        <v>10</v>
      </c>
      <c r="AD118" s="104" t="s">
        <v>478</v>
      </c>
      <c r="AE118" s="104">
        <v>10</v>
      </c>
    </row>
    <row r="119" spans="1:31" s="104" customFormat="1" x14ac:dyDescent="0.25">
      <c r="A119" s="151" t="s">
        <v>890</v>
      </c>
      <c r="B119" s="151" t="s">
        <v>2409</v>
      </c>
      <c r="C119" s="150" t="s">
        <v>5</v>
      </c>
      <c r="D119" s="151" t="str">
        <f>IF(SparkfunListTable[[#This Row],[Vendor]]=FilterSpecs!$A$8,SparkfunListTable[[#This Row],[Mouser SKU]], SparkfunListTable[[#This Row],[Supplier SKU]])</f>
        <v>PRT-10359</v>
      </c>
      <c r="E119" s="152">
        <f>SparkfunListTable[[#This Row],[Tot '#]]-SparkfunListTable[[#This Row],['# Initial]]</f>
        <v>0</v>
      </c>
      <c r="F119" s="152">
        <f>IF(AND(SparkfunListTable[[#This Row],[Tag]]&lt;&gt;FilterSpecs!$F$12, SparkfunListTable[[#This Row],[Tag]]&lt;&gt;FilterSpecs!$F$9), SparkfunListTable[[#This Row],['#/Unit]]*FilterSpecs!$B$3+SparkfunListTable[[#This Row],[Extra Initial]],0)</f>
        <v>5</v>
      </c>
      <c r="G119" s="150" t="s">
        <v>1806</v>
      </c>
      <c r="H119" s="150" t="s">
        <v>1807</v>
      </c>
      <c r="I119" s="151" t="s">
        <v>1808</v>
      </c>
      <c r="J119" s="150"/>
      <c r="K119" s="154">
        <v>1.5</v>
      </c>
      <c r="L119" s="151" t="s">
        <v>1897</v>
      </c>
      <c r="M119" s="150" t="s">
        <v>2372</v>
      </c>
      <c r="N119" s="154">
        <f>SparkfunListTable[[#This Row],['# Initial]]*SparkfunListTable[[#This Row],[Price (USD)]]</f>
        <v>7.5</v>
      </c>
      <c r="O119" s="151" t="s">
        <v>1805</v>
      </c>
      <c r="P119" s="150" t="e">
        <f>IF(#REF!="List #",1,#REF!+1)</f>
        <v>#REF!</v>
      </c>
      <c r="Q119" s="150" t="s">
        <v>5</v>
      </c>
      <c r="R119"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474-PRT-10359</v>
      </c>
      <c r="S119" s="157" t="str">
        <f>HYPERLINK("https://www.mouser.com/ProductDetail/" &amp;SparkfunListTable[[#This Row],[Mouser SKU]])</f>
        <v>https://www.mouser.com/ProductDetail/474-PRT-10359</v>
      </c>
      <c r="T119" s="152">
        <v>1</v>
      </c>
      <c r="U119" s="152">
        <v>0</v>
      </c>
      <c r="V119" s="152">
        <v>0</v>
      </c>
      <c r="W119" s="152">
        <f>SparkfunListTable[[#This Row],['#/Unit]]*FilterSpecs!$C$3+SparkfunListTable[[#This Row],[Extra]]</f>
        <v>5</v>
      </c>
      <c r="X119" s="152">
        <f>IF(SparkfunListTable[[#This Row],[Tag]]=FilterSpecs!$F$7,SparkfunListTable[[#This Row],['#/Unit]]*SparkfunListTable[[#This Row],[Price (USD)]],0)</f>
        <v>1.5</v>
      </c>
      <c r="Y119" s="152">
        <f>SparkfunListTable[[#This Row],[Tot '#]]*SparkfunListTable[[#This Row],[Price (USD)]]</f>
        <v>7.5</v>
      </c>
      <c r="Z119" s="146"/>
      <c r="AA119" s="153" t="str">
        <f>SparkfunListTable[[#This Row],[SKU]]</f>
        <v>PRT-10359</v>
      </c>
      <c r="AB119" s="153">
        <f>VALUE(SparkfunListTable[[#This Row],['# Initial]])</f>
        <v>5</v>
      </c>
      <c r="AD119" s="104" t="s">
        <v>1805</v>
      </c>
      <c r="AE119" s="104">
        <v>5</v>
      </c>
    </row>
    <row r="120" spans="1:31" s="104" customFormat="1" x14ac:dyDescent="0.25">
      <c r="A120" s="151" t="s">
        <v>890</v>
      </c>
      <c r="B120" s="151" t="s">
        <v>1597</v>
      </c>
      <c r="C120" s="150" t="s">
        <v>5</v>
      </c>
      <c r="D120" s="151" t="str">
        <f>IF(SparkfunListTable[[#This Row],[Vendor]]=FilterSpecs!$A$8,SparkfunListTable[[#This Row],[Mouser SKU]], SparkfunListTable[[#This Row],[Supplier SKU]])</f>
        <v>CAB-13685</v>
      </c>
      <c r="E120" s="152">
        <f>SparkfunListTable[[#This Row],[Tot '#]]-SparkfunListTable[[#This Row],['# Initial]]</f>
        <v>1</v>
      </c>
      <c r="F120" s="152">
        <f>IF(AND(SparkfunListTable[[#This Row],[Tag]]&lt;&gt;FilterSpecs!$F$12, SparkfunListTable[[#This Row],[Tag]]&lt;&gt;FilterSpecs!$F$9), SparkfunListTable[[#This Row],['#/Unit]]*FilterSpecs!$B$3+SparkfunListTable[[#This Row],[Extra Initial]],0)</f>
        <v>5</v>
      </c>
      <c r="G120" s="150" t="s">
        <v>513</v>
      </c>
      <c r="H120" s="150" t="s">
        <v>514</v>
      </c>
      <c r="I120" s="151" t="s">
        <v>515</v>
      </c>
      <c r="J120" s="150">
        <v>1</v>
      </c>
      <c r="K120" s="154">
        <v>1.5</v>
      </c>
      <c r="L120" s="151" t="s">
        <v>1897</v>
      </c>
      <c r="M120" s="150" t="s">
        <v>2373</v>
      </c>
      <c r="N120" s="154">
        <f>SparkfunListTable[[#This Row],['# Initial]]*SparkfunListTable[[#This Row],[Price (USD)]]</f>
        <v>7.5</v>
      </c>
      <c r="O120" s="151" t="s">
        <v>512</v>
      </c>
      <c r="P120" s="150" t="e">
        <f>IF(#REF!="List #",1,#REF!+1)</f>
        <v>#REF!</v>
      </c>
      <c r="Q120" s="150" t="s">
        <v>5</v>
      </c>
      <c r="R120"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474-CAB-13685</v>
      </c>
      <c r="S120" s="157" t="str">
        <f>HYPERLINK("https://www.mouser.com/ProductDetail/" &amp;SparkfunListTable[[#This Row],[Mouser SKU]])</f>
        <v>https://www.mouser.com/ProductDetail/474-CAB-13685</v>
      </c>
      <c r="T120" s="152">
        <v>1</v>
      </c>
      <c r="U120" s="152">
        <v>1</v>
      </c>
      <c r="V120" s="152">
        <v>0</v>
      </c>
      <c r="W120" s="152">
        <f>SparkfunListTable[[#This Row],['#/Unit]]*FilterSpecs!$C$3+SparkfunListTable[[#This Row],[Extra]]</f>
        <v>6</v>
      </c>
      <c r="X120" s="152">
        <f>IF(SparkfunListTable[[#This Row],[Tag]]=FilterSpecs!$F$7,SparkfunListTable[[#This Row],['#/Unit]]*SparkfunListTable[[#This Row],[Price (USD)]],0)</f>
        <v>1.5</v>
      </c>
      <c r="Y120" s="152">
        <f>SparkfunListTable[[#This Row],[Tot '#]]*SparkfunListTable[[#This Row],[Price (USD)]]</f>
        <v>9</v>
      </c>
      <c r="Z120" s="146"/>
      <c r="AA120" s="153" t="str">
        <f>SparkfunListTable[[#This Row],[SKU]]</f>
        <v>CAB-13685</v>
      </c>
      <c r="AB120" s="153">
        <f>VALUE(SparkfunListTable[[#This Row],['# Initial]])</f>
        <v>5</v>
      </c>
      <c r="AD120" s="104" t="s">
        <v>512</v>
      </c>
      <c r="AE120" s="104">
        <v>5</v>
      </c>
    </row>
    <row r="121" spans="1:31" s="104" customFormat="1" x14ac:dyDescent="0.25">
      <c r="A121" s="151" t="s">
        <v>890</v>
      </c>
      <c r="B121" s="151" t="s">
        <v>1869</v>
      </c>
      <c r="C121" s="150" t="s">
        <v>5</v>
      </c>
      <c r="D121" s="151" t="str">
        <f>IF(SparkfunListTable[[#This Row],[Vendor]]=FilterSpecs!$A$8,SparkfunListTable[[#This Row],[Mouser SKU]], SparkfunListTable[[#This Row],[Supplier SKU]])</f>
        <v>PRT-09918</v>
      </c>
      <c r="E121" s="152">
        <f>SparkfunListTable[[#This Row],[Tot '#]]-SparkfunListTable[[#This Row],['# Initial]]</f>
        <v>0</v>
      </c>
      <c r="F121" s="152">
        <f>IF(AND(SparkfunListTable[[#This Row],[Tag]]&lt;&gt;FilterSpecs!$F$12, SparkfunListTable[[#This Row],[Tag]]&lt;&gt;FilterSpecs!$F$9), SparkfunListTable[[#This Row],['#/Unit]]*FilterSpecs!$B$3+SparkfunListTable[[#This Row],[Extra Initial]],0)</f>
        <v>10</v>
      </c>
      <c r="G121" s="150" t="s">
        <v>1742</v>
      </c>
      <c r="H121" s="150" t="s">
        <v>1743</v>
      </c>
      <c r="I121" s="151" t="s">
        <v>1744</v>
      </c>
      <c r="J121" s="150"/>
      <c r="K121" s="154">
        <v>0.95</v>
      </c>
      <c r="L121" s="151" t="s">
        <v>1897</v>
      </c>
      <c r="M121" s="150"/>
      <c r="N121" s="154">
        <f>SparkfunListTable[[#This Row],['# Initial]]*SparkfunListTable[[#This Row],[Price (USD)]]</f>
        <v>9.5</v>
      </c>
      <c r="O121" s="151" t="s">
        <v>1741</v>
      </c>
      <c r="P121" s="150" t="e">
        <f>IF(#REF!="List #",1,#REF!+1)</f>
        <v>#REF!</v>
      </c>
      <c r="Q121" s="150" t="s">
        <v>5</v>
      </c>
      <c r="R121"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474-PRT-09918</v>
      </c>
      <c r="S121" s="157" t="str">
        <f>HYPERLINK("https://www.mouser.com/ProductDetail/" &amp;SparkfunListTable[[#This Row],[Mouser SKU]])</f>
        <v>https://www.mouser.com/ProductDetail/474-PRT-09918</v>
      </c>
      <c r="T121" s="152">
        <v>2</v>
      </c>
      <c r="U121" s="152">
        <v>0</v>
      </c>
      <c r="V121" s="152">
        <v>0</v>
      </c>
      <c r="W121" s="152">
        <f>SparkfunListTable[[#This Row],['#/Unit]]*FilterSpecs!$C$3+SparkfunListTable[[#This Row],[Extra]]</f>
        <v>10</v>
      </c>
      <c r="X121" s="152">
        <f>IF(SparkfunListTable[[#This Row],[Tag]]=FilterSpecs!$F$7,SparkfunListTable[[#This Row],['#/Unit]]*SparkfunListTable[[#This Row],[Price (USD)]],0)</f>
        <v>1.9</v>
      </c>
      <c r="Y121" s="152">
        <f>SparkfunListTable[[#This Row],[Tot '#]]*SparkfunListTable[[#This Row],[Price (USD)]]</f>
        <v>9.5</v>
      </c>
      <c r="Z121" s="146"/>
      <c r="AA121" s="153" t="str">
        <f>SparkfunListTable[[#This Row],[SKU]]</f>
        <v>PRT-09918</v>
      </c>
      <c r="AB121" s="153">
        <f>VALUE(SparkfunListTable[[#This Row],['# Initial]])</f>
        <v>10</v>
      </c>
      <c r="AD121" s="104" t="s">
        <v>1741</v>
      </c>
      <c r="AE121" s="104">
        <v>10</v>
      </c>
    </row>
    <row r="122" spans="1:31" s="104" customFormat="1" x14ac:dyDescent="0.25">
      <c r="A122" s="151" t="s">
        <v>890</v>
      </c>
      <c r="B122" s="151" t="s">
        <v>1869</v>
      </c>
      <c r="C122" s="150" t="s">
        <v>5</v>
      </c>
      <c r="D122" s="151" t="str">
        <f>IF(SparkfunListTable[[#This Row],[Vendor]]=FilterSpecs!$A$8,SparkfunListTable[[#This Row],[Mouser SKU]], SparkfunListTable[[#This Row],[Supplier SKU]])</f>
        <v>PRT-09922</v>
      </c>
      <c r="E122" s="152">
        <f>SparkfunListTable[[#This Row],[Tot '#]]-SparkfunListTable[[#This Row],['# Initial]]</f>
        <v>0</v>
      </c>
      <c r="F122" s="152">
        <f>IF(AND(SparkfunListTable[[#This Row],[Tag]]&lt;&gt;FilterSpecs!$F$12, SparkfunListTable[[#This Row],[Tag]]&lt;&gt;FilterSpecs!$F$9), SparkfunListTable[[#This Row],['#/Unit]]*FilterSpecs!$B$3+SparkfunListTable[[#This Row],[Extra Initial]],0)</f>
        <v>10</v>
      </c>
      <c r="G122" s="150" t="s">
        <v>1754</v>
      </c>
      <c r="H122" s="150" t="s">
        <v>1755</v>
      </c>
      <c r="I122" s="151" t="s">
        <v>1756</v>
      </c>
      <c r="J122" s="150">
        <v>1</v>
      </c>
      <c r="K122" s="154">
        <v>1.95</v>
      </c>
      <c r="L122" s="151" t="s">
        <v>1897</v>
      </c>
      <c r="M122" s="150"/>
      <c r="N122" s="154">
        <f>SparkfunListTable[[#This Row],['# Initial]]*SparkfunListTable[[#This Row],[Price (USD)]]</f>
        <v>19.5</v>
      </c>
      <c r="O122" s="151" t="s">
        <v>1753</v>
      </c>
      <c r="P122" s="150" t="e">
        <f t="shared" si="7"/>
        <v>#REF!</v>
      </c>
      <c r="Q122" s="150" t="s">
        <v>5</v>
      </c>
      <c r="R122"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474-PRT-09922</v>
      </c>
      <c r="S122" s="157" t="str">
        <f>HYPERLINK("https://www.mouser.com/ProductDetail/" &amp;SparkfunListTable[[#This Row],[Mouser SKU]])</f>
        <v>https://www.mouser.com/ProductDetail/474-PRT-09922</v>
      </c>
      <c r="T122" s="152">
        <v>2</v>
      </c>
      <c r="U122" s="152">
        <v>0</v>
      </c>
      <c r="V122" s="152">
        <v>0</v>
      </c>
      <c r="W122" s="152">
        <f>SparkfunListTable[[#This Row],['#/Unit]]*FilterSpecs!$C$3+SparkfunListTable[[#This Row],[Extra]]</f>
        <v>10</v>
      </c>
      <c r="X122" s="152">
        <f>IF(SparkfunListTable[[#This Row],[Tag]]=FilterSpecs!$F$7,SparkfunListTable[[#This Row],['#/Unit]]*SparkfunListTable[[#This Row],[Price (USD)]],0)</f>
        <v>3.9</v>
      </c>
      <c r="Y122" s="152">
        <f>SparkfunListTable[[#This Row],[Tot '#]]*SparkfunListTable[[#This Row],[Price (USD)]]</f>
        <v>19.5</v>
      </c>
      <c r="Z122" s="146"/>
      <c r="AA122" s="153" t="str">
        <f>SparkfunListTable[[#This Row],[SKU]]</f>
        <v>PRT-09922</v>
      </c>
      <c r="AB122" s="153">
        <f>VALUE(SparkfunListTable[[#This Row],['# Initial]])</f>
        <v>10</v>
      </c>
      <c r="AD122" s="104" t="s">
        <v>1753</v>
      </c>
      <c r="AE122" s="104">
        <v>10</v>
      </c>
    </row>
    <row r="123" spans="1:31" s="153" customFormat="1" x14ac:dyDescent="0.25">
      <c r="A123" s="150" t="s">
        <v>890</v>
      </c>
      <c r="B123" s="150" t="s">
        <v>1004</v>
      </c>
      <c r="C123" s="150" t="s">
        <v>5</v>
      </c>
      <c r="D123" s="151" t="str">
        <f>IF(SparkfunListTable[[#This Row],[Vendor]]=FilterSpecs!$A$8,SparkfunListTable[[#This Row],[Mouser SKU]], SparkfunListTable[[#This Row],[Supplier SKU]])</f>
        <v>COM-10969</v>
      </c>
      <c r="E123" s="152">
        <f>SparkfunListTable[[#This Row],[Tot '#]]-SparkfunListTable[[#This Row],['# Initial]]</f>
        <v>0</v>
      </c>
      <c r="F123" s="152">
        <f>IF(AND(SparkfunListTable[[#This Row],[Tag]]&lt;&gt;FilterSpecs!$F$12, SparkfunListTable[[#This Row],[Tag]]&lt;&gt;FilterSpecs!$F$9), SparkfunListTable[[#This Row],['#/Unit]]*FilterSpecs!$B$3+SparkfunListTable[[#This Row],[Extra Initial]],0)</f>
        <v>1</v>
      </c>
      <c r="G123" s="150" t="s">
        <v>365</v>
      </c>
      <c r="H123" s="150" t="s">
        <v>366</v>
      </c>
      <c r="I123" s="150" t="s">
        <v>367</v>
      </c>
      <c r="J123" s="150">
        <v>1</v>
      </c>
      <c r="K123" s="154">
        <v>7.95</v>
      </c>
      <c r="L123" s="150" t="s">
        <v>1896</v>
      </c>
      <c r="M123" s="150"/>
      <c r="N123" s="154">
        <f>SparkfunListTable[[#This Row],['# Initial]]*SparkfunListTable[[#This Row],[Price (USD)]]</f>
        <v>7.95</v>
      </c>
      <c r="O123" s="151" t="s">
        <v>364</v>
      </c>
      <c r="P123" s="150" t="e">
        <f>IF(#REF!="List #",1,#REF!+1)</f>
        <v>#REF!</v>
      </c>
      <c r="Q123" s="150" t="s">
        <v>5</v>
      </c>
      <c r="R123"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474-COM-10969</v>
      </c>
      <c r="S123" s="157" t="str">
        <f>HYPERLINK("https://www.mouser.com/ProductDetail/" &amp;SparkfunListTable[[#This Row],[Mouser SKU]])</f>
        <v>https://www.mouser.com/ProductDetail/474-COM-10969</v>
      </c>
      <c r="T123" s="152">
        <v>0</v>
      </c>
      <c r="U123" s="152">
        <v>1</v>
      </c>
      <c r="V123" s="152">
        <v>1</v>
      </c>
      <c r="W123" s="152">
        <f>SparkfunListTable[[#This Row],['#/Unit]]*FilterSpecs!$C$3+SparkfunListTable[[#This Row],[Extra]]</f>
        <v>1</v>
      </c>
      <c r="X123" s="152">
        <f>IF(SparkfunListTable[[#This Row],[Tag]]=FilterSpecs!$F$7,SparkfunListTable[[#This Row],['#/Unit]]*SparkfunListTable[[#This Row],[Price (USD)]],0)</f>
        <v>0</v>
      </c>
      <c r="Y123" s="152">
        <f>SparkfunListTable[[#This Row],[Tot '#]]*SparkfunListTable[[#This Row],[Price (USD)]]</f>
        <v>7.95</v>
      </c>
      <c r="Z123" s="146"/>
      <c r="AA123" s="153" t="str">
        <f>SparkfunListTable[[#This Row],[SKU]]</f>
        <v>COM-10969</v>
      </c>
      <c r="AB123" s="153">
        <f>VALUE(SparkfunListTable[[#This Row],['# Initial]])</f>
        <v>1</v>
      </c>
      <c r="AD123" s="153" t="s">
        <v>364</v>
      </c>
      <c r="AE123" s="153">
        <v>1</v>
      </c>
    </row>
    <row r="124" spans="1:31" s="153" customFormat="1" x14ac:dyDescent="0.25">
      <c r="A124" s="150" t="s">
        <v>890</v>
      </c>
      <c r="B124" s="150" t="s">
        <v>1004</v>
      </c>
      <c r="C124" s="150" t="s">
        <v>5</v>
      </c>
      <c r="D124" s="151" t="str">
        <f>IF(SparkfunListTable[[#This Row],[Vendor]]=FilterSpecs!$A$8,SparkfunListTable[[#This Row],[Mouser SKU]], SparkfunListTable[[#This Row],[Supplier SKU]])</f>
        <v>COM-10856</v>
      </c>
      <c r="E124" s="152">
        <f>SparkfunListTable[[#This Row],[Tot '#]]-SparkfunListTable[[#This Row],['# Initial]]</f>
        <v>0</v>
      </c>
      <c r="F124" s="152">
        <f>IF(AND(SparkfunListTable[[#This Row],[Tag]]&lt;&gt;FilterSpecs!$F$12, SparkfunListTable[[#This Row],[Tag]]&lt;&gt;FilterSpecs!$F$9), SparkfunListTable[[#This Row],['#/Unit]]*FilterSpecs!$B$3+SparkfunListTable[[#This Row],[Extra Initial]],0)</f>
        <v>5</v>
      </c>
      <c r="G124" s="150" t="s">
        <v>431</v>
      </c>
      <c r="H124" s="150" t="s">
        <v>432</v>
      </c>
      <c r="I124" s="150" t="s">
        <v>433</v>
      </c>
      <c r="J124" s="150">
        <v>1</v>
      </c>
      <c r="K124" s="154">
        <v>0.5</v>
      </c>
      <c r="L124" s="150" t="s">
        <v>1897</v>
      </c>
      <c r="M124" s="150"/>
      <c r="N124" s="154">
        <f>SparkfunListTable[[#This Row],['# Initial]]*SparkfunListTable[[#This Row],[Price (USD)]]</f>
        <v>2.5</v>
      </c>
      <c r="O124" s="151" t="s">
        <v>430</v>
      </c>
      <c r="P124" s="150" t="e">
        <f t="shared" ref="P124:P133" si="8">IF($P123="List #",1,$P123+1)</f>
        <v>#REF!</v>
      </c>
      <c r="Q124" s="150" t="s">
        <v>5</v>
      </c>
      <c r="R124"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474-COM-10856</v>
      </c>
      <c r="S124" s="157" t="str">
        <f>HYPERLINK("https://www.mouser.com/ProductDetail/" &amp;SparkfunListTable[[#This Row],[Mouser SKU]])</f>
        <v>https://www.mouser.com/ProductDetail/474-COM-10856</v>
      </c>
      <c r="T124" s="152">
        <v>1</v>
      </c>
      <c r="U124" s="152">
        <v>0</v>
      </c>
      <c r="V124" s="152">
        <v>0</v>
      </c>
      <c r="W124" s="152">
        <f>SparkfunListTable[[#This Row],['#/Unit]]*FilterSpecs!$C$3+SparkfunListTable[[#This Row],[Extra]]</f>
        <v>5</v>
      </c>
      <c r="X124" s="152">
        <f>IF(SparkfunListTable[[#This Row],[Tag]]=FilterSpecs!$F$7,SparkfunListTable[[#This Row],['#/Unit]]*SparkfunListTable[[#This Row],[Price (USD)]],0)</f>
        <v>0.5</v>
      </c>
      <c r="Y124" s="152">
        <f>SparkfunListTable[[#This Row],[Tot '#]]*SparkfunListTable[[#This Row],[Price (USD)]]</f>
        <v>2.5</v>
      </c>
      <c r="Z124" s="146"/>
      <c r="AA124" s="153" t="str">
        <f>SparkfunListTable[[#This Row],[SKU]]</f>
        <v>COM-10856</v>
      </c>
      <c r="AB124" s="153">
        <f>VALUE(SparkfunListTable[[#This Row],['# Initial]])</f>
        <v>5</v>
      </c>
      <c r="AD124" s="153" t="s">
        <v>430</v>
      </c>
      <c r="AE124" s="153">
        <v>5</v>
      </c>
    </row>
    <row r="125" spans="1:31" s="153" customFormat="1" x14ac:dyDescent="0.25">
      <c r="A125" s="150" t="s">
        <v>890</v>
      </c>
      <c r="B125" s="150" t="s">
        <v>1004</v>
      </c>
      <c r="C125" s="150" t="s">
        <v>5</v>
      </c>
      <c r="D125" s="151" t="str">
        <f>IF(SparkfunListTable[[#This Row],[Vendor]]=FilterSpecs!$A$8,SparkfunListTable[[#This Row],[Mouser SKU]], SparkfunListTable[[#This Row],[Supplier SKU]])</f>
        <v>COM-10855</v>
      </c>
      <c r="E125" s="152">
        <f>SparkfunListTable[[#This Row],[Tot '#]]-SparkfunListTable[[#This Row],['# Initial]]</f>
        <v>0</v>
      </c>
      <c r="F125" s="152">
        <f>IF(AND(SparkfunListTable[[#This Row],[Tag]]&lt;&gt;FilterSpecs!$F$12, SparkfunListTable[[#This Row],[Tag]]&lt;&gt;FilterSpecs!$F$9), SparkfunListTable[[#This Row],['#/Unit]]*FilterSpecs!$B$3+SparkfunListTable[[#This Row],[Extra Initial]],0)</f>
        <v>5</v>
      </c>
      <c r="G125" s="150" t="s">
        <v>435</v>
      </c>
      <c r="H125" s="150" t="s">
        <v>436</v>
      </c>
      <c r="I125" s="150" t="s">
        <v>437</v>
      </c>
      <c r="J125" s="150">
        <v>1</v>
      </c>
      <c r="K125" s="154">
        <v>0.5</v>
      </c>
      <c r="L125" s="150" t="s">
        <v>1897</v>
      </c>
      <c r="M125" s="150"/>
      <c r="N125" s="154">
        <f>SparkfunListTable[[#This Row],['# Initial]]*SparkfunListTable[[#This Row],[Price (USD)]]</f>
        <v>2.5</v>
      </c>
      <c r="O125" s="151" t="s">
        <v>434</v>
      </c>
      <c r="P125" s="150" t="e">
        <f t="shared" si="8"/>
        <v>#REF!</v>
      </c>
      <c r="Q125" s="150" t="s">
        <v>5</v>
      </c>
      <c r="R125"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474-COM-10855</v>
      </c>
      <c r="S125" s="157" t="str">
        <f>HYPERLINK("https://www.mouser.com/ProductDetail/" &amp;SparkfunListTable[[#This Row],[Mouser SKU]])</f>
        <v>https://www.mouser.com/ProductDetail/474-COM-10855</v>
      </c>
      <c r="T125" s="152">
        <v>1</v>
      </c>
      <c r="U125" s="152">
        <v>0</v>
      </c>
      <c r="V125" s="152">
        <v>0</v>
      </c>
      <c r="W125" s="152">
        <f>SparkfunListTable[[#This Row],['#/Unit]]*FilterSpecs!$C$3+SparkfunListTable[[#This Row],[Extra]]</f>
        <v>5</v>
      </c>
      <c r="X125" s="152">
        <f>IF(SparkfunListTable[[#This Row],[Tag]]=FilterSpecs!$F$7,SparkfunListTable[[#This Row],['#/Unit]]*SparkfunListTable[[#This Row],[Price (USD)]],0)</f>
        <v>0.5</v>
      </c>
      <c r="Y125" s="152">
        <f>SparkfunListTable[[#This Row],[Tot '#]]*SparkfunListTable[[#This Row],[Price (USD)]]</f>
        <v>2.5</v>
      </c>
      <c r="Z125" s="146"/>
      <c r="AA125" s="153" t="str">
        <f>SparkfunListTable[[#This Row],[SKU]]</f>
        <v>COM-10855</v>
      </c>
      <c r="AB125" s="153">
        <f>VALUE(SparkfunListTable[[#This Row],['# Initial]])</f>
        <v>5</v>
      </c>
      <c r="AD125" s="153" t="s">
        <v>434</v>
      </c>
      <c r="AE125" s="153">
        <v>5</v>
      </c>
    </row>
    <row r="126" spans="1:31" s="153" customFormat="1" x14ac:dyDescent="0.25">
      <c r="A126" s="150" t="s">
        <v>890</v>
      </c>
      <c r="B126" s="150" t="s">
        <v>1004</v>
      </c>
      <c r="C126" s="150" t="s">
        <v>5</v>
      </c>
      <c r="D126" s="151" t="str">
        <f>IF(SparkfunListTable[[#This Row],[Vendor]]=FilterSpecs!$A$8,SparkfunListTable[[#This Row],[Mouser SKU]], SparkfunListTable[[#This Row],[Supplier SKU]])</f>
        <v>COM-09806</v>
      </c>
      <c r="E126" s="152">
        <f>SparkfunListTable[[#This Row],[Tot '#]]-SparkfunListTable[[#This Row],['# Initial]]</f>
        <v>0</v>
      </c>
      <c r="F126" s="152">
        <f>IF(AND(SparkfunListTable[[#This Row],[Tag]]&lt;&gt;FilterSpecs!$F$12, SparkfunListTable[[#This Row],[Tag]]&lt;&gt;FilterSpecs!$F$9), SparkfunListTable[[#This Row],['#/Unit]]*FilterSpecs!$B$3+SparkfunListTable[[#This Row],[Extra Initial]],0)</f>
        <v>5</v>
      </c>
      <c r="G126" s="150" t="s">
        <v>605</v>
      </c>
      <c r="H126" s="150" t="s">
        <v>606</v>
      </c>
      <c r="I126" s="150" t="s">
        <v>607</v>
      </c>
      <c r="J126" s="150">
        <v>1</v>
      </c>
      <c r="K126" s="154">
        <v>0.95</v>
      </c>
      <c r="L126" s="150" t="s">
        <v>1897</v>
      </c>
      <c r="M126" s="150"/>
      <c r="N126" s="154">
        <f>SparkfunListTable[[#This Row],['# Initial]]*SparkfunListTable[[#This Row],[Price (USD)]]</f>
        <v>4.75</v>
      </c>
      <c r="O126" s="151" t="s">
        <v>604</v>
      </c>
      <c r="P126" s="150" t="e">
        <f>IF(#REF!="List #",1,#REF!+1)</f>
        <v>#REF!</v>
      </c>
      <c r="Q126" s="150" t="s">
        <v>5</v>
      </c>
      <c r="R126"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474-COM-09806</v>
      </c>
      <c r="S126" s="157" t="str">
        <f>HYPERLINK("https://www.mouser.com/ProductDetail/" &amp;SparkfunListTable[[#This Row],[Mouser SKU]])</f>
        <v>https://www.mouser.com/ProductDetail/474-COM-09806</v>
      </c>
      <c r="T126" s="152">
        <v>1</v>
      </c>
      <c r="U126" s="152">
        <v>0</v>
      </c>
      <c r="V126" s="152">
        <v>0</v>
      </c>
      <c r="W126" s="152">
        <f>SparkfunListTable[[#This Row],['#/Unit]]*FilterSpecs!$C$3+SparkfunListTable[[#This Row],[Extra]]</f>
        <v>5</v>
      </c>
      <c r="X126" s="152">
        <f>IF(SparkfunListTable[[#This Row],[Tag]]=FilterSpecs!$F$7,SparkfunListTable[[#This Row],['#/Unit]]*SparkfunListTable[[#This Row],[Price (USD)]],0)</f>
        <v>0.95</v>
      </c>
      <c r="Y126" s="152">
        <f>SparkfunListTable[[#This Row],[Tot '#]]*SparkfunListTable[[#This Row],[Price (USD)]]</f>
        <v>4.75</v>
      </c>
      <c r="Z126" s="146"/>
      <c r="AA126" s="153" t="str">
        <f>SparkfunListTable[[#This Row],[SKU]]</f>
        <v>COM-09806</v>
      </c>
      <c r="AB126" s="153">
        <f>VALUE(SparkfunListTable[[#This Row],['# Initial]])</f>
        <v>5</v>
      </c>
      <c r="AD126" s="153" t="s">
        <v>604</v>
      </c>
      <c r="AE126" s="153">
        <v>5</v>
      </c>
    </row>
    <row r="127" spans="1:31" s="153" customFormat="1" x14ac:dyDescent="0.25">
      <c r="A127" s="150" t="s">
        <v>890</v>
      </c>
      <c r="B127" s="150" t="s">
        <v>1004</v>
      </c>
      <c r="C127" s="150" t="s">
        <v>5</v>
      </c>
      <c r="D127" s="151" t="str">
        <f>IF(SparkfunListTable[[#This Row],[Vendor]]=FilterSpecs!$A$8,SparkfunListTable[[#This Row],[Mouser SKU]], SparkfunListTable[[#This Row],[Supplier SKU]])</f>
        <v>KIT-13698</v>
      </c>
      <c r="E127" s="152">
        <f>SparkfunListTable[[#This Row],[Tot '#]]-SparkfunListTable[[#This Row],['# Initial]]</f>
        <v>0</v>
      </c>
      <c r="F127" s="152">
        <f>IF(AND(SparkfunListTable[[#This Row],[Tag]]&lt;&gt;FilterSpecs!$F$12, SparkfunListTable[[#This Row],[Tag]]&lt;&gt;FilterSpecs!$F$9), SparkfunListTable[[#This Row],['#/Unit]]*FilterSpecs!$B$3+SparkfunListTable[[#This Row],[Extra Initial]],0)</f>
        <v>1</v>
      </c>
      <c r="G127" s="150" t="s">
        <v>369</v>
      </c>
      <c r="H127" s="150" t="s">
        <v>370</v>
      </c>
      <c r="I127" s="150" t="s">
        <v>371</v>
      </c>
      <c r="J127" s="150"/>
      <c r="K127" s="154">
        <v>6.95</v>
      </c>
      <c r="L127" s="150" t="s">
        <v>1896</v>
      </c>
      <c r="M127" s="150"/>
      <c r="N127" s="154">
        <f>SparkfunListTable[[#This Row],['# Initial]]*SparkfunListTable[[#This Row],[Price (USD)]]</f>
        <v>6.95</v>
      </c>
      <c r="O127" s="151" t="s">
        <v>368</v>
      </c>
      <c r="P127" s="150" t="e">
        <f t="shared" si="8"/>
        <v>#REF!</v>
      </c>
      <c r="Q127" s="150" t="s">
        <v>5</v>
      </c>
      <c r="R127"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474-KIT-13698</v>
      </c>
      <c r="S127" s="157" t="str">
        <f>HYPERLINK("https://www.mouser.com/ProductDetail/" &amp;SparkfunListTable[[#This Row],[Mouser SKU]])</f>
        <v>https://www.mouser.com/ProductDetail/474-KIT-13698</v>
      </c>
      <c r="T127" s="152">
        <v>0</v>
      </c>
      <c r="U127" s="152">
        <v>1</v>
      </c>
      <c r="V127" s="152">
        <v>1</v>
      </c>
      <c r="W127" s="152">
        <f>SparkfunListTable[[#This Row],['#/Unit]]*FilterSpecs!$C$3+SparkfunListTable[[#This Row],[Extra]]</f>
        <v>1</v>
      </c>
      <c r="X127" s="152">
        <f>IF(SparkfunListTable[[#This Row],[Tag]]=FilterSpecs!$F$7,SparkfunListTable[[#This Row],['#/Unit]]*SparkfunListTable[[#This Row],[Price (USD)]],0)</f>
        <v>0</v>
      </c>
      <c r="Y127" s="152">
        <f>SparkfunListTable[[#This Row],[Tot '#]]*SparkfunListTable[[#This Row],[Price (USD)]]</f>
        <v>6.95</v>
      </c>
      <c r="Z127" s="146"/>
      <c r="AA127" s="153" t="str">
        <f>SparkfunListTable[[#This Row],[SKU]]</f>
        <v>KIT-13698</v>
      </c>
      <c r="AB127" s="153">
        <f>VALUE(SparkfunListTable[[#This Row],['# Initial]])</f>
        <v>1</v>
      </c>
      <c r="AD127" s="153" t="s">
        <v>368</v>
      </c>
      <c r="AE127" s="153">
        <v>1</v>
      </c>
    </row>
    <row r="128" spans="1:31" s="153" customFormat="1" x14ac:dyDescent="0.25">
      <c r="A128" s="150" t="s">
        <v>890</v>
      </c>
      <c r="B128" s="150" t="s">
        <v>1004</v>
      </c>
      <c r="C128" s="150" t="s">
        <v>5</v>
      </c>
      <c r="D128" s="151" t="str">
        <f>IF(SparkfunListTable[[#This Row],[Vendor]]=FilterSpecs!$A$8,SparkfunListTable[[#This Row],[Mouser SKU]], SparkfunListTable[[#This Row],[Supplier SKU]])</f>
        <v>COM-00096</v>
      </c>
      <c r="E128" s="152">
        <f>SparkfunListTable[[#This Row],[Tot '#]]-SparkfunListTable[[#This Row],['# Initial]]</f>
        <v>0</v>
      </c>
      <c r="F128" s="152">
        <f>IF(AND(SparkfunListTable[[#This Row],[Tag]]&lt;&gt;FilterSpecs!$F$12, SparkfunListTable[[#This Row],[Tag]]&lt;&gt;FilterSpecs!$F$9), SparkfunListTable[[#This Row],['#/Unit]]*FilterSpecs!$B$3+SparkfunListTable[[#This Row],[Extra Initial]],0)</f>
        <v>5</v>
      </c>
      <c r="G128" s="150" t="s">
        <v>721</v>
      </c>
      <c r="H128" s="150" t="s">
        <v>722</v>
      </c>
      <c r="I128" s="150" t="s">
        <v>723</v>
      </c>
      <c r="J128" s="150">
        <v>1</v>
      </c>
      <c r="K128" s="154">
        <v>0.35</v>
      </c>
      <c r="L128" s="150" t="s">
        <v>1897</v>
      </c>
      <c r="M128" s="150"/>
      <c r="N128" s="154">
        <f>SparkfunListTable[[#This Row],['# Initial]]*SparkfunListTable[[#This Row],[Price (USD)]]</f>
        <v>1.75</v>
      </c>
      <c r="O128" s="151" t="s">
        <v>720</v>
      </c>
      <c r="P128" s="150" t="e">
        <f t="shared" si="8"/>
        <v>#REF!</v>
      </c>
      <c r="Q128" s="150" t="s">
        <v>5</v>
      </c>
      <c r="R128"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474-COM-00096</v>
      </c>
      <c r="S128" s="157" t="str">
        <f>HYPERLINK("https://www.mouser.com/ProductDetail/" &amp;SparkfunListTable[[#This Row],[Mouser SKU]])</f>
        <v>https://www.mouser.com/ProductDetail/474-COM-00096</v>
      </c>
      <c r="T128" s="152">
        <v>1</v>
      </c>
      <c r="U128" s="152">
        <v>0</v>
      </c>
      <c r="V128" s="152">
        <v>0</v>
      </c>
      <c r="W128" s="152">
        <f>SparkfunListTable[[#This Row],['#/Unit]]*FilterSpecs!$C$3+SparkfunListTable[[#This Row],[Extra]]</f>
        <v>5</v>
      </c>
      <c r="X128" s="152">
        <f>IF(SparkfunListTable[[#This Row],[Tag]]=FilterSpecs!$F$7,SparkfunListTable[[#This Row],['#/Unit]]*SparkfunListTable[[#This Row],[Price (USD)]],0)</f>
        <v>0.35</v>
      </c>
      <c r="Y128" s="152">
        <f>SparkfunListTable[[#This Row],[Tot '#]]*SparkfunListTable[[#This Row],[Price (USD)]]</f>
        <v>1.75</v>
      </c>
      <c r="Z128" s="146"/>
      <c r="AA128" s="153" t="str">
        <f>SparkfunListTable[[#This Row],[SKU]]</f>
        <v>COM-00096</v>
      </c>
      <c r="AB128" s="153">
        <f>VALUE(SparkfunListTable[[#This Row],['# Initial]])</f>
        <v>5</v>
      </c>
      <c r="AD128" s="153" t="s">
        <v>720</v>
      </c>
      <c r="AE128" s="153">
        <v>5</v>
      </c>
    </row>
    <row r="129" spans="1:31" s="153" customFormat="1" x14ac:dyDescent="0.25">
      <c r="A129" s="150" t="s">
        <v>890</v>
      </c>
      <c r="B129" s="150" t="s">
        <v>1004</v>
      </c>
      <c r="C129" s="150" t="s">
        <v>5</v>
      </c>
      <c r="D129" s="151" t="str">
        <f>IF(SparkfunListTable[[#This Row],[Vendor]]=FilterSpecs!$A$8,SparkfunListTable[[#This Row],[Mouser SKU]], SparkfunListTable[[#This Row],[Supplier SKU]])</f>
        <v>COM-00523</v>
      </c>
      <c r="E129" s="152">
        <f>SparkfunListTable[[#This Row],[Tot '#]]-SparkfunListTable[[#This Row],['# Initial]]</f>
        <v>0</v>
      </c>
      <c r="F129" s="152">
        <f>IF(AND(SparkfunListTable[[#This Row],[Tag]]&lt;&gt;FilterSpecs!$F$12, SparkfunListTable[[#This Row],[Tag]]&lt;&gt;FilterSpecs!$F$9), SparkfunListTable[[#This Row],['#/Unit]]*FilterSpecs!$B$3+SparkfunListTable[[#This Row],[Extra Initial]],0)</f>
        <v>5</v>
      </c>
      <c r="G129" s="150" t="s">
        <v>717</v>
      </c>
      <c r="H129" s="150" t="s">
        <v>718</v>
      </c>
      <c r="I129" s="150" t="s">
        <v>719</v>
      </c>
      <c r="J129" s="150">
        <v>1</v>
      </c>
      <c r="K129" s="154">
        <v>0.45</v>
      </c>
      <c r="L129" s="150" t="s">
        <v>1897</v>
      </c>
      <c r="M129" s="150"/>
      <c r="N129" s="154">
        <f>SparkfunListTable[[#This Row],['# Initial]]*SparkfunListTable[[#This Row],[Price (USD)]]</f>
        <v>2.25</v>
      </c>
      <c r="O129" s="151" t="s">
        <v>716</v>
      </c>
      <c r="P129" s="150" t="e">
        <f t="shared" si="8"/>
        <v>#REF!</v>
      </c>
      <c r="Q129" s="150" t="s">
        <v>5</v>
      </c>
      <c r="R129"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474-COM-00523</v>
      </c>
      <c r="S129" s="157" t="str">
        <f>HYPERLINK("https://www.mouser.com/ProductDetail/" &amp;SparkfunListTable[[#This Row],[Mouser SKU]])</f>
        <v>https://www.mouser.com/ProductDetail/474-COM-00523</v>
      </c>
      <c r="T129" s="152">
        <v>1</v>
      </c>
      <c r="U129" s="152">
        <v>0</v>
      </c>
      <c r="V129" s="152">
        <v>0</v>
      </c>
      <c r="W129" s="152">
        <f>SparkfunListTable[[#This Row],['#/Unit]]*FilterSpecs!$C$3+SparkfunListTable[[#This Row],[Extra]]</f>
        <v>5</v>
      </c>
      <c r="X129" s="152">
        <f>IF(SparkfunListTable[[#This Row],[Tag]]=FilterSpecs!$F$7,SparkfunListTable[[#This Row],['#/Unit]]*SparkfunListTable[[#This Row],[Price (USD)]],0)</f>
        <v>0.45</v>
      </c>
      <c r="Y129" s="152">
        <f>SparkfunListTable[[#This Row],[Tot '#]]*SparkfunListTable[[#This Row],[Price (USD)]]</f>
        <v>2.25</v>
      </c>
      <c r="Z129" s="146"/>
      <c r="AA129" s="153" t="str">
        <f>SparkfunListTable[[#This Row],[SKU]]</f>
        <v>COM-00523</v>
      </c>
      <c r="AB129" s="153">
        <f>VALUE(SparkfunListTable[[#This Row],['# Initial]])</f>
        <v>5</v>
      </c>
      <c r="AD129" s="153" t="s">
        <v>716</v>
      </c>
      <c r="AE129" s="153">
        <v>5</v>
      </c>
    </row>
    <row r="130" spans="1:31" s="153" customFormat="1" x14ac:dyDescent="0.25">
      <c r="A130" s="150" t="s">
        <v>890</v>
      </c>
      <c r="B130" s="150" t="s">
        <v>1004</v>
      </c>
      <c r="C130" s="150" t="s">
        <v>5</v>
      </c>
      <c r="D130" s="151" t="str">
        <f>IF(SparkfunListTable[[#This Row],[Vendor]]=FilterSpecs!$A$8,SparkfunListTable[[#This Row],[Mouser SKU]], SparkfunListTable[[#This Row],[Supplier SKU]])</f>
        <v>SEN-00250</v>
      </c>
      <c r="E130" s="152">
        <f>SparkfunListTable[[#This Row],[Tot '#]]-SparkfunListTable[[#This Row],['# Initial]]</f>
        <v>0</v>
      </c>
      <c r="F130" s="152">
        <f>IF(AND(SparkfunListTable[[#This Row],[Tag]]&lt;&gt;FilterSpecs!$F$12, SparkfunListTable[[#This Row],[Tag]]&lt;&gt;FilterSpecs!$F$9), SparkfunListTable[[#This Row],['#/Unit]]*FilterSpecs!$B$3+SparkfunListTable[[#This Row],[Extra Initial]],0)</f>
        <v>10</v>
      </c>
      <c r="G130" s="150" t="s">
        <v>705</v>
      </c>
      <c r="H130" s="150" t="s">
        <v>706</v>
      </c>
      <c r="I130" s="150" t="s">
        <v>707</v>
      </c>
      <c r="J130" s="150">
        <v>1</v>
      </c>
      <c r="K130" s="154">
        <v>0.75</v>
      </c>
      <c r="L130" s="150" t="s">
        <v>1897</v>
      </c>
      <c r="M130" s="150"/>
      <c r="N130" s="154">
        <f>SparkfunListTable[[#This Row],['# Initial]]*SparkfunListTable[[#This Row],[Price (USD)]]</f>
        <v>7.5</v>
      </c>
      <c r="O130" s="151" t="s">
        <v>704</v>
      </c>
      <c r="P130" s="150" t="e">
        <f>IF(#REF!="List #",1,#REF!+1)</f>
        <v>#REF!</v>
      </c>
      <c r="Q130" s="150" t="s">
        <v>5</v>
      </c>
      <c r="R130"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474-SEN-00250</v>
      </c>
      <c r="S130" s="157" t="str">
        <f>HYPERLINK("https://www.mouser.com/ProductDetail/" &amp;SparkfunListTable[[#This Row],[Mouser SKU]])</f>
        <v>https://www.mouser.com/ProductDetail/474-SEN-00250</v>
      </c>
      <c r="T130" s="152">
        <v>2</v>
      </c>
      <c r="U130" s="152">
        <v>0</v>
      </c>
      <c r="V130" s="152">
        <v>0</v>
      </c>
      <c r="W130" s="152">
        <f>SparkfunListTable[[#This Row],['#/Unit]]*FilterSpecs!$C$3+SparkfunListTable[[#This Row],[Extra]]</f>
        <v>10</v>
      </c>
      <c r="X130" s="152">
        <f>IF(SparkfunListTable[[#This Row],[Tag]]=FilterSpecs!$F$7,SparkfunListTable[[#This Row],['#/Unit]]*SparkfunListTable[[#This Row],[Price (USD)]],0)</f>
        <v>1.5</v>
      </c>
      <c r="Y130" s="152">
        <f>SparkfunListTable[[#This Row],[Tot '#]]*SparkfunListTable[[#This Row],[Price (USD)]]</f>
        <v>7.5</v>
      </c>
      <c r="Z130" s="146"/>
      <c r="AA130" s="153" t="str">
        <f>SparkfunListTable[[#This Row],[SKU]]</f>
        <v>SEN-00250</v>
      </c>
      <c r="AB130" s="153">
        <f>VALUE(SparkfunListTable[[#This Row],['# Initial]])</f>
        <v>10</v>
      </c>
      <c r="AD130" s="153" t="s">
        <v>704</v>
      </c>
      <c r="AE130" s="153">
        <v>10</v>
      </c>
    </row>
    <row r="131" spans="1:31" s="153" customFormat="1" x14ac:dyDescent="0.25">
      <c r="A131" s="150" t="s">
        <v>890</v>
      </c>
      <c r="B131" s="150" t="s">
        <v>1004</v>
      </c>
      <c r="C131" s="150" t="s">
        <v>5</v>
      </c>
      <c r="D131" s="151" t="str">
        <f>IF(SparkfunListTable[[#This Row],[Vendor]]=FilterSpecs!$A$8,SparkfunListTable[[#This Row],[Mouser SKU]], SparkfunListTable[[#This Row],[Supplier SKU]])</f>
        <v>COM-08589</v>
      </c>
      <c r="E131" s="152">
        <f>SparkfunListTable[[#This Row],[Tot '#]]-SparkfunListTable[[#This Row],['# Initial]]</f>
        <v>0</v>
      </c>
      <c r="F131" s="152">
        <f>IF(AND(SparkfunListTable[[#This Row],[Tag]]&lt;&gt;FilterSpecs!$F$12, SparkfunListTable[[#This Row],[Tag]]&lt;&gt;FilterSpecs!$F$9), SparkfunListTable[[#This Row],['#/Unit]]*FilterSpecs!$B$3+SparkfunListTable[[#This Row],[Extra Initial]],0)</f>
        <v>10</v>
      </c>
      <c r="G131" s="150" t="s">
        <v>419</v>
      </c>
      <c r="H131" s="150" t="s">
        <v>420</v>
      </c>
      <c r="I131" s="150" t="s">
        <v>421</v>
      </c>
      <c r="J131" s="150">
        <v>1</v>
      </c>
      <c r="K131" s="154">
        <v>0.15</v>
      </c>
      <c r="L131" s="150" t="s">
        <v>1897</v>
      </c>
      <c r="M131" s="150"/>
      <c r="N131" s="154">
        <f>SparkfunListTable[[#This Row],['# Initial]]*SparkfunListTable[[#This Row],[Price (USD)]]</f>
        <v>1.5</v>
      </c>
      <c r="O131" s="151" t="s">
        <v>418</v>
      </c>
      <c r="P131" s="150" t="e">
        <f t="shared" si="8"/>
        <v>#REF!</v>
      </c>
      <c r="Q131" s="150" t="s">
        <v>5</v>
      </c>
      <c r="R131"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474-COM-08589</v>
      </c>
      <c r="S131" s="157" t="str">
        <f>HYPERLINK("https://www.mouser.com/ProductDetail/" &amp;SparkfunListTable[[#This Row],[Mouser SKU]])</f>
        <v>https://www.mouser.com/ProductDetail/474-COM-08589</v>
      </c>
      <c r="T131" s="152">
        <v>2</v>
      </c>
      <c r="U131" s="152">
        <v>0</v>
      </c>
      <c r="V131" s="152">
        <v>0</v>
      </c>
      <c r="W131" s="152">
        <f>SparkfunListTable[[#This Row],['#/Unit]]*FilterSpecs!$C$3+SparkfunListTable[[#This Row],[Extra]]</f>
        <v>10</v>
      </c>
      <c r="X131" s="152">
        <f>IF(SparkfunListTable[[#This Row],[Tag]]=FilterSpecs!$F$7,SparkfunListTable[[#This Row],['#/Unit]]*SparkfunListTable[[#This Row],[Price (USD)]],0)</f>
        <v>0.3</v>
      </c>
      <c r="Y131" s="152">
        <f>SparkfunListTable[[#This Row],[Tot '#]]*SparkfunListTable[[#This Row],[Price (USD)]]</f>
        <v>1.5</v>
      </c>
      <c r="Z131" s="146"/>
      <c r="AA131" s="153" t="str">
        <f>SparkfunListTable[[#This Row],[SKU]]</f>
        <v>COM-08589</v>
      </c>
      <c r="AB131" s="153">
        <f>VALUE(SparkfunListTable[[#This Row],['# Initial]])</f>
        <v>10</v>
      </c>
      <c r="AD131" s="153" t="s">
        <v>418</v>
      </c>
      <c r="AE131" s="153">
        <v>10</v>
      </c>
    </row>
    <row r="132" spans="1:31" s="153" customFormat="1" x14ac:dyDescent="0.25">
      <c r="A132" s="150" t="s">
        <v>890</v>
      </c>
      <c r="B132" s="150" t="s">
        <v>1004</v>
      </c>
      <c r="C132" s="150" t="s">
        <v>5</v>
      </c>
      <c r="D132" s="151" t="str">
        <f>IF(SparkfunListTable[[#This Row],[Vendor]]=FilterSpecs!$A$8,SparkfunListTable[[#This Row],[Mouser SKU]], SparkfunListTable[[#This Row],[Supplier SKU]])</f>
        <v>COM-08588</v>
      </c>
      <c r="E132" s="152">
        <f>SparkfunListTable[[#This Row],[Tot '#]]-SparkfunListTable[[#This Row],['# Initial]]</f>
        <v>0</v>
      </c>
      <c r="F132" s="152">
        <f>IF(AND(SparkfunListTable[[#This Row],[Tag]]&lt;&gt;FilterSpecs!$F$12, SparkfunListTable[[#This Row],[Tag]]&lt;&gt;FilterSpecs!$F$9), SparkfunListTable[[#This Row],['#/Unit]]*FilterSpecs!$B$3+SparkfunListTable[[#This Row],[Extra Initial]],0)</f>
        <v>10</v>
      </c>
      <c r="G132" s="150" t="s">
        <v>423</v>
      </c>
      <c r="H132" s="150" t="s">
        <v>424</v>
      </c>
      <c r="I132" s="150" t="s">
        <v>425</v>
      </c>
      <c r="J132" s="150">
        <v>1</v>
      </c>
      <c r="K132" s="154">
        <v>0.15</v>
      </c>
      <c r="L132" s="150" t="s">
        <v>1897</v>
      </c>
      <c r="M132" s="150"/>
      <c r="N132" s="154">
        <f>SparkfunListTable[[#This Row],['# Initial]]*SparkfunListTable[[#This Row],[Price (USD)]]</f>
        <v>1.5</v>
      </c>
      <c r="O132" s="151" t="s">
        <v>422</v>
      </c>
      <c r="P132" s="150" t="e">
        <f t="shared" si="8"/>
        <v>#REF!</v>
      </c>
      <c r="Q132" s="150" t="s">
        <v>5</v>
      </c>
      <c r="R132"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474-COM-08588</v>
      </c>
      <c r="S132" s="157" t="str">
        <f>HYPERLINK("https://www.mouser.com/ProductDetail/" &amp;SparkfunListTable[[#This Row],[Mouser SKU]])</f>
        <v>https://www.mouser.com/ProductDetail/474-COM-08588</v>
      </c>
      <c r="T132" s="152">
        <v>2</v>
      </c>
      <c r="U132" s="152">
        <v>0</v>
      </c>
      <c r="V132" s="152">
        <v>0</v>
      </c>
      <c r="W132" s="152">
        <f>SparkfunListTable[[#This Row],['#/Unit]]*FilterSpecs!$C$3+SparkfunListTable[[#This Row],[Extra]]</f>
        <v>10</v>
      </c>
      <c r="X132" s="152">
        <f>IF(SparkfunListTable[[#This Row],[Tag]]=FilterSpecs!$F$7,SparkfunListTable[[#This Row],['#/Unit]]*SparkfunListTable[[#This Row],[Price (USD)]],0)</f>
        <v>0.3</v>
      </c>
      <c r="Y132" s="152">
        <f>SparkfunListTable[[#This Row],[Tot '#]]*SparkfunListTable[[#This Row],[Price (USD)]]</f>
        <v>1.5</v>
      </c>
      <c r="Z132" s="146"/>
      <c r="AA132" s="153" t="str">
        <f>SparkfunListTable[[#This Row],[SKU]]</f>
        <v>COM-08588</v>
      </c>
      <c r="AB132" s="153">
        <f>VALUE(SparkfunListTable[[#This Row],['# Initial]])</f>
        <v>10</v>
      </c>
      <c r="AD132" s="153" t="s">
        <v>422</v>
      </c>
      <c r="AE132" s="153">
        <v>10</v>
      </c>
    </row>
    <row r="133" spans="1:31" s="153" customFormat="1" x14ac:dyDescent="0.25">
      <c r="A133" s="150" t="s">
        <v>890</v>
      </c>
      <c r="B133" s="150" t="s">
        <v>1004</v>
      </c>
      <c r="C133" s="150" t="s">
        <v>5</v>
      </c>
      <c r="D133" s="151" t="str">
        <f>IF(SparkfunListTable[[#This Row],[Vendor]]=FilterSpecs!$A$8,SparkfunListTable[[#This Row],[Mouser SKU]], SparkfunListTable[[#This Row],[Supplier SKU]])</f>
        <v>COM-10926</v>
      </c>
      <c r="E133" s="152">
        <f>SparkfunListTable[[#This Row],[Tot '#]]-SparkfunListTable[[#This Row],['# Initial]]</f>
        <v>0</v>
      </c>
      <c r="F133" s="152">
        <f>IF(AND(SparkfunListTable[[#This Row],[Tag]]&lt;&gt;FilterSpecs!$F$12, SparkfunListTable[[#This Row],[Tag]]&lt;&gt;FilterSpecs!$F$9), SparkfunListTable[[#This Row],['#/Unit]]*FilterSpecs!$B$3+SparkfunListTable[[#This Row],[Extra Initial]],0)</f>
        <v>10</v>
      </c>
      <c r="G133" s="150" t="s">
        <v>665</v>
      </c>
      <c r="H133" s="150" t="s">
        <v>666</v>
      </c>
      <c r="I133" s="150" t="s">
        <v>667</v>
      </c>
      <c r="J133" s="150">
        <v>1</v>
      </c>
      <c r="K133" s="154">
        <v>0.15</v>
      </c>
      <c r="L133" s="150" t="s">
        <v>1897</v>
      </c>
      <c r="M133" s="150"/>
      <c r="N133" s="154">
        <f>SparkfunListTable[[#This Row],['# Initial]]*SparkfunListTable[[#This Row],[Price (USD)]]</f>
        <v>1.5</v>
      </c>
      <c r="O133" s="151" t="s">
        <v>664</v>
      </c>
      <c r="P133" s="150" t="e">
        <f t="shared" si="8"/>
        <v>#REF!</v>
      </c>
      <c r="Q133" s="150" t="s">
        <v>5</v>
      </c>
      <c r="R133"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474-COM-10926</v>
      </c>
      <c r="S133" s="157" t="str">
        <f>HYPERLINK("https://www.mouser.com/ProductDetail/" &amp;SparkfunListTable[[#This Row],[Mouser SKU]])</f>
        <v>https://www.mouser.com/ProductDetail/474-COM-10926</v>
      </c>
      <c r="T133" s="152">
        <v>2</v>
      </c>
      <c r="U133" s="152">
        <v>0</v>
      </c>
      <c r="V133" s="152">
        <v>0</v>
      </c>
      <c r="W133" s="152">
        <f>SparkfunListTable[[#This Row],['#/Unit]]*FilterSpecs!$C$3+SparkfunListTable[[#This Row],[Extra]]</f>
        <v>10</v>
      </c>
      <c r="X133" s="152">
        <f>IF(SparkfunListTable[[#This Row],[Tag]]=FilterSpecs!$F$7,SparkfunListTable[[#This Row],['#/Unit]]*SparkfunListTable[[#This Row],[Price (USD)]],0)</f>
        <v>0.3</v>
      </c>
      <c r="Y133" s="152">
        <f>SparkfunListTable[[#This Row],[Tot '#]]*SparkfunListTable[[#This Row],[Price (USD)]]</f>
        <v>1.5</v>
      </c>
      <c r="Z133" s="146"/>
      <c r="AA133" s="153" t="str">
        <f>SparkfunListTable[[#This Row],[SKU]]</f>
        <v>COM-10926</v>
      </c>
      <c r="AB133" s="153">
        <f>VALUE(SparkfunListTable[[#This Row],['# Initial]])</f>
        <v>10</v>
      </c>
      <c r="AD133" s="153" t="s">
        <v>664</v>
      </c>
      <c r="AE133" s="153">
        <v>10</v>
      </c>
    </row>
    <row r="134" spans="1:31" s="153" customFormat="1" x14ac:dyDescent="0.25">
      <c r="A134" s="151" t="s">
        <v>890</v>
      </c>
      <c r="B134" s="151" t="s">
        <v>2001</v>
      </c>
      <c r="C134" s="150" t="s">
        <v>5</v>
      </c>
      <c r="D134" s="151" t="str">
        <f>IF(SparkfunListTable[[#This Row],[Vendor]]=FilterSpecs!$A$8,SparkfunListTable[[#This Row],[Mouser SKU]], SparkfunListTable[[#This Row],[Supplier SKU]])</f>
        <v>CAB-10646</v>
      </c>
      <c r="E134" s="152">
        <f>SparkfunListTable[[#This Row],[Tot '#]]-SparkfunListTable[[#This Row],['# Initial]]</f>
        <v>0</v>
      </c>
      <c r="F134" s="152">
        <f>IF(AND(SparkfunListTable[[#This Row],[Tag]]&lt;&gt;FilterSpecs!$F$12, SparkfunListTable[[#This Row],[Tag]]&lt;&gt;FilterSpecs!$F$9), SparkfunListTable[[#This Row],['#/Unit]]*FilterSpecs!$B$3+SparkfunListTable[[#This Row],[Extra Initial]],0)</f>
        <v>2</v>
      </c>
      <c r="G134" s="150" t="s">
        <v>1582</v>
      </c>
      <c r="H134" s="150" t="s">
        <v>1583</v>
      </c>
      <c r="I134" s="151" t="s">
        <v>1584</v>
      </c>
      <c r="J134" s="150">
        <v>1</v>
      </c>
      <c r="K134" s="154">
        <v>2.95</v>
      </c>
      <c r="L134" s="151" t="s">
        <v>1896</v>
      </c>
      <c r="M134" s="150"/>
      <c r="N134" s="154">
        <f>SparkfunListTable[[#This Row],['# Initial]]*SparkfunListTable[[#This Row],[Price (USD)]]</f>
        <v>5.9</v>
      </c>
      <c r="O134" s="151" t="s">
        <v>1581</v>
      </c>
      <c r="P134" s="150" t="e">
        <f>IF(#REF!="List #",1,#REF!+1)</f>
        <v>#REF!</v>
      </c>
      <c r="Q134" s="150" t="s">
        <v>5</v>
      </c>
      <c r="R134"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474-CAB-10646</v>
      </c>
      <c r="S134" s="157" t="str">
        <f>HYPERLINK("https://www.mouser.com/ProductDetail/" &amp;SparkfunListTable[[#This Row],[Mouser SKU]])</f>
        <v>https://www.mouser.com/ProductDetail/474-CAB-10646</v>
      </c>
      <c r="T134" s="152">
        <v>0</v>
      </c>
      <c r="U134" s="152">
        <v>2</v>
      </c>
      <c r="V134" s="152">
        <v>2</v>
      </c>
      <c r="W134" s="152">
        <f>SparkfunListTable[[#This Row],['#/Unit]]*FilterSpecs!$C$3+SparkfunListTable[[#This Row],[Extra]]</f>
        <v>2</v>
      </c>
      <c r="X134" s="152">
        <f>IF(SparkfunListTable[[#This Row],[Tag]]=FilterSpecs!$F$7,SparkfunListTable[[#This Row],['#/Unit]]*SparkfunListTable[[#This Row],[Price (USD)]],0)</f>
        <v>0</v>
      </c>
      <c r="Y134" s="152">
        <f>SparkfunListTable[[#This Row],[Tot '#]]*SparkfunListTable[[#This Row],[Price (USD)]]</f>
        <v>5.9</v>
      </c>
      <c r="Z134" s="146"/>
      <c r="AA134" s="153" t="str">
        <f>SparkfunListTable[[#This Row],[SKU]]</f>
        <v>CAB-10646</v>
      </c>
      <c r="AB134" s="153">
        <f>VALUE(SparkfunListTable[[#This Row],['# Initial]])</f>
        <v>2</v>
      </c>
      <c r="AD134" s="153" t="s">
        <v>1581</v>
      </c>
      <c r="AE134" s="153">
        <v>2</v>
      </c>
    </row>
    <row r="135" spans="1:31" s="153" customFormat="1" x14ac:dyDescent="0.25">
      <c r="A135" s="151" t="s">
        <v>890</v>
      </c>
      <c r="B135" s="151" t="s">
        <v>2001</v>
      </c>
      <c r="C135" s="150" t="s">
        <v>5</v>
      </c>
      <c r="D135" s="151" t="str">
        <f>IF(SparkfunListTable[[#This Row],[Vendor]]=FilterSpecs!$A$8,SparkfunListTable[[#This Row],[Mouser SKU]], SparkfunListTable[[#This Row],[Supplier SKU]])</f>
        <v>CAB-10647</v>
      </c>
      <c r="E135" s="152">
        <f>SparkfunListTable[[#This Row],[Tot '#]]-SparkfunListTable[[#This Row],['# Initial]]</f>
        <v>0</v>
      </c>
      <c r="F135" s="152">
        <f>IF(AND(SparkfunListTable[[#This Row],[Tag]]&lt;&gt;FilterSpecs!$F$12, SparkfunListTable[[#This Row],[Tag]]&lt;&gt;FilterSpecs!$F$9), SparkfunListTable[[#This Row],['#/Unit]]*FilterSpecs!$B$3+SparkfunListTable[[#This Row],[Extra Initial]],0)</f>
        <v>1</v>
      </c>
      <c r="G135" s="150" t="s">
        <v>1586</v>
      </c>
      <c r="H135" s="150" t="s">
        <v>1587</v>
      </c>
      <c r="I135" s="151" t="s">
        <v>1588</v>
      </c>
      <c r="J135" s="150">
        <v>1</v>
      </c>
      <c r="K135" s="154">
        <v>4.95</v>
      </c>
      <c r="L135" s="151" t="s">
        <v>1896</v>
      </c>
      <c r="M135" s="150"/>
      <c r="N135" s="154">
        <f>SparkfunListTable[[#This Row],['# Initial]]*SparkfunListTable[[#This Row],[Price (USD)]]</f>
        <v>4.95</v>
      </c>
      <c r="O135" s="151" t="s">
        <v>1585</v>
      </c>
      <c r="P135" s="150" t="e">
        <f>IF(#REF!="List #",1,#REF!+1)</f>
        <v>#REF!</v>
      </c>
      <c r="Q135" s="150" t="s">
        <v>5</v>
      </c>
      <c r="R135"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474-CAB-10647</v>
      </c>
      <c r="S135" s="157" t="str">
        <f>HYPERLINK("https://www.mouser.com/ProductDetail/" &amp;SparkfunListTable[[#This Row],[Mouser SKU]])</f>
        <v>https://www.mouser.com/ProductDetail/474-CAB-10647</v>
      </c>
      <c r="T135" s="152">
        <v>0</v>
      </c>
      <c r="U135" s="152">
        <v>1</v>
      </c>
      <c r="V135" s="152">
        <v>1</v>
      </c>
      <c r="W135" s="152">
        <f>SparkfunListTable[[#This Row],['#/Unit]]*FilterSpecs!$C$3+SparkfunListTable[[#This Row],[Extra]]</f>
        <v>1</v>
      </c>
      <c r="X135" s="152">
        <f>IF(SparkfunListTable[[#This Row],[Tag]]=FilterSpecs!$F$7,SparkfunListTable[[#This Row],['#/Unit]]*SparkfunListTable[[#This Row],[Price (USD)]],0)</f>
        <v>0</v>
      </c>
      <c r="Y135" s="152">
        <f>SparkfunListTable[[#This Row],[Tot '#]]*SparkfunListTable[[#This Row],[Price (USD)]]</f>
        <v>4.95</v>
      </c>
      <c r="Z135" s="146"/>
      <c r="AA135" s="153" t="str">
        <f>SparkfunListTable[[#This Row],[SKU]]</f>
        <v>CAB-10647</v>
      </c>
      <c r="AB135" s="153">
        <f>VALUE(SparkfunListTable[[#This Row],['# Initial]])</f>
        <v>1</v>
      </c>
      <c r="AD135" s="153" t="s">
        <v>1585</v>
      </c>
      <c r="AE135" s="153">
        <v>1</v>
      </c>
    </row>
    <row r="136" spans="1:31" s="153" customFormat="1" x14ac:dyDescent="0.25">
      <c r="A136" s="150" t="s">
        <v>890</v>
      </c>
      <c r="B136" s="150" t="s">
        <v>2010</v>
      </c>
      <c r="C136" s="150" t="s">
        <v>5</v>
      </c>
      <c r="D136" s="151" t="str">
        <f>IF(SparkfunListTable[[#This Row],[Vendor]]=FilterSpecs!$A$8,SparkfunListTable[[#This Row],[Mouser SKU]], SparkfunListTable[[#This Row],[Supplier SKU]])</f>
        <v>COM-09288</v>
      </c>
      <c r="E136" s="152">
        <f>SparkfunListTable[[#This Row],[Tot '#]]-SparkfunListTable[[#This Row],['# Initial]]</f>
        <v>0</v>
      </c>
      <c r="F136" s="152">
        <f>IF(AND(SparkfunListTable[[#This Row],[Tag]]&lt;&gt;FilterSpecs!$F$12, SparkfunListTable[[#This Row],[Tag]]&lt;&gt;FilterSpecs!$F$9), SparkfunListTable[[#This Row],['#/Unit]]*FilterSpecs!$B$3+SparkfunListTable[[#This Row],[Extra Initial]],0)</f>
        <v>5</v>
      </c>
      <c r="G136" s="150" t="s">
        <v>997</v>
      </c>
      <c r="H136" s="150" t="s">
        <v>998</v>
      </c>
      <c r="I136" s="150" t="s">
        <v>999</v>
      </c>
      <c r="J136" s="150">
        <v>1</v>
      </c>
      <c r="K136" s="154">
        <v>0.95</v>
      </c>
      <c r="L136" s="151" t="s">
        <v>1897</v>
      </c>
      <c r="M136" s="150"/>
      <c r="N136" s="154">
        <f>SparkfunListTable[[#This Row],['# Initial]]*SparkfunListTable[[#This Row],[Price (USD)]]</f>
        <v>4.75</v>
      </c>
      <c r="O136" s="151" t="s">
        <v>996</v>
      </c>
      <c r="P136" s="150" t="e">
        <f>IF(#REF!="List #",1,#REF!+1)</f>
        <v>#REF!</v>
      </c>
      <c r="Q136" s="150" t="s">
        <v>5</v>
      </c>
      <c r="R136"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474-COM-09288</v>
      </c>
      <c r="S136" s="157" t="str">
        <f>HYPERLINK("https://www.mouser.com/ProductDetail/" &amp;SparkfunListTable[[#This Row],[Mouser SKU]])</f>
        <v>https://www.mouser.com/ProductDetail/474-COM-09288</v>
      </c>
      <c r="T136" s="152">
        <v>1</v>
      </c>
      <c r="U136" s="152">
        <v>0</v>
      </c>
      <c r="V136" s="152">
        <v>0</v>
      </c>
      <c r="W136" s="152">
        <f>SparkfunListTable[[#This Row],['#/Unit]]*FilterSpecs!$C$3+SparkfunListTable[[#This Row],[Extra]]</f>
        <v>5</v>
      </c>
      <c r="X136" s="152">
        <f>IF(SparkfunListTable[[#This Row],[Tag]]=FilterSpecs!$F$7,SparkfunListTable[[#This Row],['#/Unit]]*SparkfunListTable[[#This Row],[Price (USD)]],0)</f>
        <v>0.95</v>
      </c>
      <c r="Y136" s="152">
        <f>SparkfunListTable[[#This Row],[Tot '#]]*SparkfunListTable[[#This Row],[Price (USD)]]</f>
        <v>4.75</v>
      </c>
      <c r="Z136" s="146"/>
      <c r="AA136" s="153" t="str">
        <f>SparkfunListTable[[#This Row],[SKU]]</f>
        <v>COM-09288</v>
      </c>
      <c r="AB136" s="153">
        <f>VALUE(SparkfunListTable[[#This Row],['# Initial]])</f>
        <v>5</v>
      </c>
      <c r="AD136" s="153" t="s">
        <v>996</v>
      </c>
      <c r="AE136" s="153">
        <v>5</v>
      </c>
    </row>
    <row r="137" spans="1:31" s="153" customFormat="1" x14ac:dyDescent="0.25">
      <c r="A137" s="150" t="s">
        <v>890</v>
      </c>
      <c r="B137" s="150" t="s">
        <v>2010</v>
      </c>
      <c r="C137" s="150" t="s">
        <v>5</v>
      </c>
      <c r="D137" s="151" t="str">
        <f>IF(SparkfunListTable[[#This Row],[Vendor]]=FilterSpecs!$A$8,SparkfunListTable[[#This Row],[Mouser SKU]], SparkfunListTable[[#This Row],[Supplier SKU]])</f>
        <v>COM-13253</v>
      </c>
      <c r="E137" s="152">
        <f>SparkfunListTable[[#This Row],[Tot '#]]-SparkfunListTable[[#This Row],['# Initial]]</f>
        <v>0</v>
      </c>
      <c r="F137" s="152">
        <f>IF(AND(SparkfunListTable[[#This Row],[Tag]]&lt;&gt;FilterSpecs!$F$12, SparkfunListTable[[#This Row],[Tag]]&lt;&gt;FilterSpecs!$F$9), SparkfunListTable[[#This Row],['#/Unit]]*FilterSpecs!$B$3+SparkfunListTable[[#This Row],[Extra Initial]],0)</f>
        <v>5</v>
      </c>
      <c r="G137" s="150" t="s">
        <v>1109</v>
      </c>
      <c r="H137" s="150" t="s">
        <v>1110</v>
      </c>
      <c r="I137" s="150" t="s">
        <v>1111</v>
      </c>
      <c r="J137" s="150">
        <v>1</v>
      </c>
      <c r="K137" s="154">
        <v>1.95</v>
      </c>
      <c r="L137" s="151" t="s">
        <v>1897</v>
      </c>
      <c r="M137" s="150"/>
      <c r="N137" s="154">
        <f>SparkfunListTable[[#This Row],['# Initial]]*SparkfunListTable[[#This Row],[Price (USD)]]</f>
        <v>9.75</v>
      </c>
      <c r="O137" s="151" t="s">
        <v>1108</v>
      </c>
      <c r="P137" s="150" t="e">
        <f>IF(#REF!="List #",1,#REF!+1)</f>
        <v>#REF!</v>
      </c>
      <c r="Q137" s="150" t="s">
        <v>5</v>
      </c>
      <c r="R137"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474-COM-13253</v>
      </c>
      <c r="S137" s="157" t="str">
        <f>HYPERLINK("https://www.mouser.com/ProductDetail/" &amp;SparkfunListTable[[#This Row],[Mouser SKU]])</f>
        <v>https://www.mouser.com/ProductDetail/474-COM-13253</v>
      </c>
      <c r="T137" s="152">
        <v>1</v>
      </c>
      <c r="U137" s="152">
        <v>0</v>
      </c>
      <c r="V137" s="152">
        <v>0</v>
      </c>
      <c r="W137" s="152">
        <f>SparkfunListTable[[#This Row],['#/Unit]]*FilterSpecs!$C$3+SparkfunListTable[[#This Row],[Extra]]</f>
        <v>5</v>
      </c>
      <c r="X137" s="152">
        <f>IF(SparkfunListTable[[#This Row],[Tag]]=FilterSpecs!$F$7,SparkfunListTable[[#This Row],['#/Unit]]*SparkfunListTable[[#This Row],[Price (USD)]],0)</f>
        <v>1.95</v>
      </c>
      <c r="Y137" s="152">
        <f>SparkfunListTable[[#This Row],[Tot '#]]*SparkfunListTable[[#This Row],[Price (USD)]]</f>
        <v>9.75</v>
      </c>
      <c r="Z137" s="146"/>
      <c r="AA137" s="153" t="str">
        <f>SparkfunListTable[[#This Row],[SKU]]</f>
        <v>COM-13253</v>
      </c>
      <c r="AB137" s="153">
        <f>VALUE(SparkfunListTable[[#This Row],['# Initial]])</f>
        <v>5</v>
      </c>
      <c r="AD137" s="153" t="s">
        <v>1108</v>
      </c>
      <c r="AE137" s="153">
        <v>5</v>
      </c>
    </row>
    <row r="138" spans="1:31" s="153" customFormat="1" x14ac:dyDescent="0.25">
      <c r="A138" s="150" t="s">
        <v>890</v>
      </c>
      <c r="B138" s="150" t="s">
        <v>2010</v>
      </c>
      <c r="C138" s="150" t="s">
        <v>5</v>
      </c>
      <c r="D138" s="151" t="str">
        <f>IF(SparkfunListTable[[#This Row],[Vendor]]=FilterSpecs!$A$8,SparkfunListTable[[#This Row],[Mouser SKU]], SparkfunListTable[[#This Row],[Supplier SKU]])</f>
        <v>BOB-13098</v>
      </c>
      <c r="E138" s="152">
        <f>SparkfunListTable[[#This Row],[Tot '#]]-SparkfunListTable[[#This Row],['# Initial]]</f>
        <v>0</v>
      </c>
      <c r="F138" s="152">
        <f>IF(AND(SparkfunListTable[[#This Row],[Tag]]&lt;&gt;FilterSpecs!$F$12, SparkfunListTable[[#This Row],[Tag]]&lt;&gt;FilterSpecs!$F$9), SparkfunListTable[[#This Row],['#/Unit]]*FilterSpecs!$B$3+SparkfunListTable[[#This Row],[Extra Initial]],0)</f>
        <v>5</v>
      </c>
      <c r="G138" s="150" t="s">
        <v>1105</v>
      </c>
      <c r="H138" s="150" t="s">
        <v>1106</v>
      </c>
      <c r="I138" s="150" t="s">
        <v>1107</v>
      </c>
      <c r="J138" s="150">
        <v>1</v>
      </c>
      <c r="K138" s="154">
        <v>1.95</v>
      </c>
      <c r="L138" s="151" t="s">
        <v>1897</v>
      </c>
      <c r="M138" s="150"/>
      <c r="N138" s="154">
        <f>SparkfunListTable[[#This Row],['# Initial]]*SparkfunListTable[[#This Row],[Price (USD)]]</f>
        <v>9.75</v>
      </c>
      <c r="O138" s="151" t="s">
        <v>1104</v>
      </c>
      <c r="P138" s="150" t="e">
        <f t="shared" ref="P138:P145" si="9">IF($P137="List #",1,$P137+1)</f>
        <v>#REF!</v>
      </c>
      <c r="Q138" s="150" t="s">
        <v>5</v>
      </c>
      <c r="R138"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474-BOB-13098</v>
      </c>
      <c r="S138" s="157" t="str">
        <f>HYPERLINK("https://www.mouser.com/ProductDetail/" &amp;SparkfunListTable[[#This Row],[Mouser SKU]])</f>
        <v>https://www.mouser.com/ProductDetail/474-BOB-13098</v>
      </c>
      <c r="T138" s="152">
        <v>1</v>
      </c>
      <c r="U138" s="152">
        <v>0</v>
      </c>
      <c r="V138" s="152">
        <v>0</v>
      </c>
      <c r="W138" s="152">
        <f>SparkfunListTable[[#This Row],['#/Unit]]*FilterSpecs!$C$3+SparkfunListTable[[#This Row],[Extra]]</f>
        <v>5</v>
      </c>
      <c r="X138" s="152">
        <f>IF(SparkfunListTable[[#This Row],[Tag]]=FilterSpecs!$F$7,SparkfunListTable[[#This Row],['#/Unit]]*SparkfunListTable[[#This Row],[Price (USD)]],0)</f>
        <v>1.95</v>
      </c>
      <c r="Y138" s="152">
        <f>SparkfunListTable[[#This Row],[Tot '#]]*SparkfunListTable[[#This Row],[Price (USD)]]</f>
        <v>9.75</v>
      </c>
      <c r="Z138" s="146"/>
      <c r="AA138" s="153" t="str">
        <f>SparkfunListTable[[#This Row],[SKU]]</f>
        <v>BOB-13098</v>
      </c>
      <c r="AB138" s="153">
        <f>VALUE(SparkfunListTable[[#This Row],['# Initial]])</f>
        <v>5</v>
      </c>
      <c r="AD138" s="153" t="s">
        <v>1104</v>
      </c>
      <c r="AE138" s="153">
        <v>5</v>
      </c>
    </row>
    <row r="139" spans="1:31" s="153" customFormat="1" x14ac:dyDescent="0.25">
      <c r="A139" s="150" t="s">
        <v>890</v>
      </c>
      <c r="B139" s="150" t="s">
        <v>2010</v>
      </c>
      <c r="C139" s="150" t="s">
        <v>5</v>
      </c>
      <c r="D139" s="151" t="str">
        <f>IF(SparkfunListTable[[#This Row],[Vendor]]=FilterSpecs!$A$8,SparkfunListTable[[#This Row],[Mouser SKU]], SparkfunListTable[[#This Row],[Supplier SKU]])</f>
        <v>BOB-13099</v>
      </c>
      <c r="E139" s="152">
        <f>SparkfunListTable[[#This Row],[Tot '#]]-SparkfunListTable[[#This Row],['# Initial]]</f>
        <v>0</v>
      </c>
      <c r="F139" s="152">
        <f>IF(AND(SparkfunListTable[[#This Row],[Tag]]&lt;&gt;FilterSpecs!$F$12, SparkfunListTable[[#This Row],[Tag]]&lt;&gt;FilterSpecs!$F$9), SparkfunListTable[[#This Row],['#/Unit]]*FilterSpecs!$B$3+SparkfunListTable[[#This Row],[Extra Initial]],0)</f>
        <v>5</v>
      </c>
      <c r="G139" s="150" t="s">
        <v>1113</v>
      </c>
      <c r="H139" s="150" t="s">
        <v>1114</v>
      </c>
      <c r="I139" s="150" t="s">
        <v>1115</v>
      </c>
      <c r="J139" s="150">
        <v>1</v>
      </c>
      <c r="K139" s="154">
        <v>1.95</v>
      </c>
      <c r="L139" s="151" t="s">
        <v>1897</v>
      </c>
      <c r="M139" s="150"/>
      <c r="N139" s="154">
        <f>SparkfunListTable[[#This Row],['# Initial]]*SparkfunListTable[[#This Row],[Price (USD)]]</f>
        <v>9.75</v>
      </c>
      <c r="O139" s="151" t="s">
        <v>1112</v>
      </c>
      <c r="P139" s="150" t="e">
        <f t="shared" si="9"/>
        <v>#REF!</v>
      </c>
      <c r="Q139" s="150" t="s">
        <v>5</v>
      </c>
      <c r="R139"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474-BOB-13099</v>
      </c>
      <c r="S139" s="157" t="str">
        <f>HYPERLINK("https://www.mouser.com/ProductDetail/" &amp;SparkfunListTable[[#This Row],[Mouser SKU]])</f>
        <v>https://www.mouser.com/ProductDetail/474-BOB-13099</v>
      </c>
      <c r="T139" s="152">
        <v>1</v>
      </c>
      <c r="U139" s="152">
        <v>0</v>
      </c>
      <c r="V139" s="152">
        <v>0</v>
      </c>
      <c r="W139" s="152">
        <f>SparkfunListTable[[#This Row],['#/Unit]]*FilterSpecs!$C$3+SparkfunListTable[[#This Row],[Extra]]</f>
        <v>5</v>
      </c>
      <c r="X139" s="152">
        <f>IF(SparkfunListTable[[#This Row],[Tag]]=FilterSpecs!$F$7,SparkfunListTable[[#This Row],['#/Unit]]*SparkfunListTable[[#This Row],[Price (USD)]],0)</f>
        <v>1.95</v>
      </c>
      <c r="Y139" s="152">
        <f>SparkfunListTable[[#This Row],[Tot '#]]*SparkfunListTable[[#This Row],[Price (USD)]]</f>
        <v>9.75</v>
      </c>
      <c r="Z139" s="146"/>
      <c r="AA139" s="153" t="str">
        <f>SparkfunListTable[[#This Row],[SKU]]</f>
        <v>BOB-13099</v>
      </c>
      <c r="AB139" s="153">
        <f>VALUE(SparkfunListTable[[#This Row],['# Initial]])</f>
        <v>5</v>
      </c>
      <c r="AD139" s="153" t="s">
        <v>1112</v>
      </c>
      <c r="AE139" s="153">
        <v>5</v>
      </c>
    </row>
    <row r="140" spans="1:31" s="153" customFormat="1" x14ac:dyDescent="0.25">
      <c r="A140" s="150" t="s">
        <v>890</v>
      </c>
      <c r="B140" s="150" t="s">
        <v>1598</v>
      </c>
      <c r="C140" s="150" t="s">
        <v>5</v>
      </c>
      <c r="D140" s="151" t="str">
        <f>IF(SparkfunListTable[[#This Row],[Vendor]]=FilterSpecs!$A$8,SparkfunListTable[[#This Row],[Mouser SKU]], SparkfunListTable[[#This Row],[Supplier SKU]])</f>
        <v>PRT-00124</v>
      </c>
      <c r="E140" s="152">
        <f>SparkfunListTable[[#This Row],[Tot '#]]-SparkfunListTable[[#This Row],['# Initial]]</f>
        <v>0</v>
      </c>
      <c r="F140" s="152">
        <f>IF(AND(SparkfunListTable[[#This Row],[Tag]]&lt;&gt;FilterSpecs!$F$12, SparkfunListTable[[#This Row],[Tag]]&lt;&gt;FilterSpecs!$F$9), SparkfunListTable[[#This Row],['#/Unit]]*FilterSpecs!$B$3+SparkfunListTable[[#This Row],[Extra Initial]],0)</f>
        <v>2</v>
      </c>
      <c r="G140" s="150" t="s">
        <v>411</v>
      </c>
      <c r="H140" s="150" t="s">
        <v>412</v>
      </c>
      <c r="I140" s="150" t="s">
        <v>413</v>
      </c>
      <c r="J140" s="150">
        <v>1</v>
      </c>
      <c r="K140" s="154">
        <v>6.95</v>
      </c>
      <c r="L140" s="150" t="s">
        <v>1896</v>
      </c>
      <c r="M140" s="150"/>
      <c r="N140" s="154">
        <f>SparkfunListTable[[#This Row],['# Initial]]*SparkfunListTable[[#This Row],[Price (USD)]]</f>
        <v>13.9</v>
      </c>
      <c r="O140" s="151" t="s">
        <v>410</v>
      </c>
      <c r="P140" s="150" t="e">
        <f>IF(#REF!="List #",1,#REF!+1)</f>
        <v>#REF!</v>
      </c>
      <c r="Q140" s="150" t="s">
        <v>5</v>
      </c>
      <c r="R140"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474-PRT-00124</v>
      </c>
      <c r="S140" s="157" t="str">
        <f>HYPERLINK("https://www.mouser.com/ProductDetail/" &amp;SparkfunListTable[[#This Row],[Mouser SKU]])</f>
        <v>https://www.mouser.com/ProductDetail/474-PRT-00124</v>
      </c>
      <c r="T140" s="152">
        <v>0</v>
      </c>
      <c r="U140" s="152">
        <v>2</v>
      </c>
      <c r="V140" s="152">
        <v>2</v>
      </c>
      <c r="W140" s="152">
        <f>SparkfunListTable[[#This Row],['#/Unit]]*FilterSpecs!$C$3+SparkfunListTable[[#This Row],[Extra]]</f>
        <v>2</v>
      </c>
      <c r="X140" s="152">
        <f>IF(SparkfunListTable[[#This Row],[Tag]]=FilterSpecs!$F$7,SparkfunListTable[[#This Row],['#/Unit]]*SparkfunListTable[[#This Row],[Price (USD)]],0)</f>
        <v>0</v>
      </c>
      <c r="Y140" s="152">
        <f>SparkfunListTable[[#This Row],[Tot '#]]*SparkfunListTable[[#This Row],[Price (USD)]]</f>
        <v>13.9</v>
      </c>
      <c r="Z140" s="146"/>
      <c r="AA140" s="153" t="str">
        <f>SparkfunListTable[[#This Row],[SKU]]</f>
        <v>PRT-00124</v>
      </c>
      <c r="AB140" s="153">
        <f>VALUE(SparkfunListTable[[#This Row],['# Initial]])</f>
        <v>2</v>
      </c>
      <c r="AD140" s="153" t="s">
        <v>410</v>
      </c>
      <c r="AE140" s="153">
        <v>2</v>
      </c>
    </row>
    <row r="141" spans="1:31" s="153" customFormat="1" x14ac:dyDescent="0.25">
      <c r="A141" s="150" t="s">
        <v>13</v>
      </c>
      <c r="B141" s="150" t="s">
        <v>1600</v>
      </c>
      <c r="C141" s="150" t="s">
        <v>5</v>
      </c>
      <c r="D141" s="151" t="str">
        <f>IF(SparkfunListTable[[#This Row],[Vendor]]=FilterSpecs!$A$8,SparkfunListTable[[#This Row],[Mouser SKU]], SparkfunListTable[[#This Row],[Supplier SKU]])</f>
        <v>TOL-12878</v>
      </c>
      <c r="E141" s="152">
        <f>SparkfunListTable[[#This Row],[Tot '#]]-SparkfunListTable[[#This Row],['# Initial]]</f>
        <v>0</v>
      </c>
      <c r="F141" s="152">
        <f>IF(AND(SparkfunListTable[[#This Row],[Tag]]&lt;&gt;FilterSpecs!$F$12, SparkfunListTable[[#This Row],[Tag]]&lt;&gt;FilterSpecs!$F$9), SparkfunListTable[[#This Row],['#/Unit]]*FilterSpecs!$B$3+SparkfunListTable[[#This Row],[Extra Initial]],0)</f>
        <v>1</v>
      </c>
      <c r="G141" s="150" t="s">
        <v>1429</v>
      </c>
      <c r="H141" s="150" t="s">
        <v>1430</v>
      </c>
      <c r="I141" s="150" t="s">
        <v>1431</v>
      </c>
      <c r="J141" s="150">
        <v>1</v>
      </c>
      <c r="K141" s="154">
        <v>16.95</v>
      </c>
      <c r="L141" s="150" t="s">
        <v>1900</v>
      </c>
      <c r="M141" s="151"/>
      <c r="N141" s="154">
        <f>SparkfunListTable[[#This Row],['# Initial]]*SparkfunListTable[[#This Row],[Price (USD)]]</f>
        <v>16.95</v>
      </c>
      <c r="O141" s="151" t="s">
        <v>1428</v>
      </c>
      <c r="P141" s="150" t="e">
        <f>IF(#REF!="List #",1,#REF!+1)</f>
        <v>#REF!</v>
      </c>
      <c r="Q141" s="150" t="s">
        <v>5</v>
      </c>
      <c r="R141"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474-TOL-12878</v>
      </c>
      <c r="S141" s="157" t="str">
        <f>HYPERLINK("https://www.mouser.com/ProductDetail/" &amp;SparkfunListTable[[#This Row],[Mouser SKU]])</f>
        <v>https://www.mouser.com/ProductDetail/474-TOL-12878</v>
      </c>
      <c r="T141" s="152">
        <v>0</v>
      </c>
      <c r="U141" s="152">
        <v>1</v>
      </c>
      <c r="V141" s="152">
        <v>1</v>
      </c>
      <c r="W141" s="152">
        <f>SparkfunListTable[[#This Row],['#/Unit]]*FilterSpecs!$C$3+SparkfunListTable[[#This Row],[Extra]]</f>
        <v>1</v>
      </c>
      <c r="X141" s="152">
        <f>IF(SparkfunListTable[[#This Row],[Tag]]=FilterSpecs!$F$7,SparkfunListTable[[#This Row],['#/Unit]]*SparkfunListTable[[#This Row],[Price (USD)]],0)</f>
        <v>0</v>
      </c>
      <c r="Y141" s="152">
        <f>SparkfunListTable[[#This Row],[Tot '#]]*SparkfunListTable[[#This Row],[Price (USD)]]</f>
        <v>16.95</v>
      </c>
      <c r="Z141" s="146"/>
      <c r="AA141" s="153" t="str">
        <f>SparkfunListTable[[#This Row],[SKU]]</f>
        <v>TOL-12878</v>
      </c>
      <c r="AB141" s="153">
        <f>VALUE(SparkfunListTable[[#This Row],['# Initial]])</f>
        <v>1</v>
      </c>
      <c r="AD141" s="153" t="s">
        <v>1428</v>
      </c>
      <c r="AE141" s="153">
        <v>1</v>
      </c>
    </row>
    <row r="142" spans="1:31" s="153" customFormat="1" x14ac:dyDescent="0.25">
      <c r="A142" s="150" t="s">
        <v>13</v>
      </c>
      <c r="B142" s="150" t="s">
        <v>1601</v>
      </c>
      <c r="C142" s="150" t="s">
        <v>5</v>
      </c>
      <c r="D142" s="151" t="str">
        <f>IF(SparkfunListTable[[#This Row],[Vendor]]=FilterSpecs!$A$8,SparkfunListTable[[#This Row],[Mouser SKU]], SparkfunListTable[[#This Row],[Supplier SKU]])</f>
        <v>TOL-09316</v>
      </c>
      <c r="E142" s="152">
        <f>SparkfunListTable[[#This Row],[Tot '#]]-SparkfunListTable[[#This Row],['# Initial]]</f>
        <v>0</v>
      </c>
      <c r="F142" s="152">
        <f>IF(AND(SparkfunListTable[[#This Row],[Tag]]&lt;&gt;FilterSpecs!$F$12, SparkfunListTable[[#This Row],[Tag]]&lt;&gt;FilterSpecs!$F$9), SparkfunListTable[[#This Row],['#/Unit]]*FilterSpecs!$B$3+SparkfunListTable[[#This Row],[Extra Initial]],0)</f>
        <v>1</v>
      </c>
      <c r="G142" s="150" t="s">
        <v>867</v>
      </c>
      <c r="H142" s="150" t="s">
        <v>868</v>
      </c>
      <c r="I142" s="150" t="s">
        <v>869</v>
      </c>
      <c r="J142" s="150">
        <v>1</v>
      </c>
      <c r="K142" s="154">
        <v>9.9499999999999993</v>
      </c>
      <c r="L142" s="150" t="s">
        <v>1900</v>
      </c>
      <c r="M142" s="151"/>
      <c r="N142" s="154">
        <f>SparkfunListTable[[#This Row],['# Initial]]*SparkfunListTable[[#This Row],[Price (USD)]]</f>
        <v>9.9499999999999993</v>
      </c>
      <c r="O142" s="151" t="s">
        <v>866</v>
      </c>
      <c r="P142" s="150" t="e">
        <f>IF(#REF!="List #",1,#REF!+1)</f>
        <v>#REF!</v>
      </c>
      <c r="Q142" s="150" t="s">
        <v>5</v>
      </c>
      <c r="R142"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474-TOL-09316</v>
      </c>
      <c r="S142" s="157" t="str">
        <f>HYPERLINK("https://www.mouser.com/ProductDetail/" &amp;SparkfunListTable[[#This Row],[Mouser SKU]])</f>
        <v>https://www.mouser.com/ProductDetail/474-TOL-09316</v>
      </c>
      <c r="T142" s="152">
        <v>0</v>
      </c>
      <c r="U142" s="152">
        <v>1</v>
      </c>
      <c r="V142" s="152">
        <v>1</v>
      </c>
      <c r="W142" s="152">
        <f>SparkfunListTable[[#This Row],['#/Unit]]*FilterSpecs!$C$3+SparkfunListTable[[#This Row],[Extra]]</f>
        <v>1</v>
      </c>
      <c r="X142" s="152">
        <f>IF(SparkfunListTable[[#This Row],[Tag]]=FilterSpecs!$F$7,SparkfunListTable[[#This Row],['#/Unit]]*SparkfunListTable[[#This Row],[Price (USD)]],0)</f>
        <v>0</v>
      </c>
      <c r="Y142" s="152">
        <f>SparkfunListTable[[#This Row],[Tot '#]]*SparkfunListTable[[#This Row],[Price (USD)]]</f>
        <v>9.9499999999999993</v>
      </c>
      <c r="Z142" s="146"/>
      <c r="AA142" s="153" t="str">
        <f>SparkfunListTable[[#This Row],[SKU]]</f>
        <v>TOL-09316</v>
      </c>
      <c r="AB142" s="153">
        <f>VALUE(SparkfunListTable[[#This Row],['# Initial]])</f>
        <v>1</v>
      </c>
      <c r="AD142" s="153" t="s">
        <v>866</v>
      </c>
      <c r="AE142" s="153">
        <v>1</v>
      </c>
    </row>
    <row r="143" spans="1:31" s="153" customFormat="1" x14ac:dyDescent="0.25">
      <c r="A143" s="150" t="s">
        <v>13</v>
      </c>
      <c r="B143" s="150" t="s">
        <v>1599</v>
      </c>
      <c r="C143" s="150" t="s">
        <v>5</v>
      </c>
      <c r="D143" s="151" t="str">
        <f>IF(SparkfunListTable[[#This Row],[Vendor]]=FilterSpecs!$A$8,SparkfunListTable[[#This Row],[Mouser SKU]], SparkfunListTable[[#This Row],[Supplier SKU]])</f>
        <v>TOL-09200</v>
      </c>
      <c r="E143" s="152">
        <f>SparkfunListTable[[#This Row],[Tot '#]]-SparkfunListTable[[#This Row],['# Initial]]</f>
        <v>0</v>
      </c>
      <c r="F143" s="152">
        <f>IF(AND(SparkfunListTable[[#This Row],[Tag]]&lt;&gt;FilterSpecs!$F$12, SparkfunListTable[[#This Row],[Tag]]&lt;&gt;FilterSpecs!$F$9), SparkfunListTable[[#This Row],['#/Unit]]*FilterSpecs!$B$3+SparkfunListTable[[#This Row],[Extra Initial]],0)</f>
        <v>1</v>
      </c>
      <c r="G143" s="150" t="s">
        <v>859</v>
      </c>
      <c r="H143" s="150" t="s">
        <v>860</v>
      </c>
      <c r="I143" s="150" t="s">
        <v>861</v>
      </c>
      <c r="J143" s="150">
        <v>1</v>
      </c>
      <c r="K143" s="154">
        <v>2.95</v>
      </c>
      <c r="L143" s="150" t="s">
        <v>1900</v>
      </c>
      <c r="M143" s="151"/>
      <c r="N143" s="154">
        <f>SparkfunListTable[[#This Row],['# Initial]]*SparkfunListTable[[#This Row],[Price (USD)]]</f>
        <v>2.95</v>
      </c>
      <c r="O143" s="151" t="s">
        <v>858</v>
      </c>
      <c r="P143" s="150" t="e">
        <f>IF(#REF!="List #",1,#REF!+1)</f>
        <v>#REF!</v>
      </c>
      <c r="Q143" s="150" t="s">
        <v>5</v>
      </c>
      <c r="R143"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474-TOL-09200</v>
      </c>
      <c r="S143" s="157" t="str">
        <f>HYPERLINK("https://www.mouser.com/ProductDetail/" &amp;SparkfunListTable[[#This Row],[Mouser SKU]])</f>
        <v>https://www.mouser.com/ProductDetail/474-TOL-09200</v>
      </c>
      <c r="T143" s="152">
        <v>0</v>
      </c>
      <c r="U143" s="152">
        <v>1</v>
      </c>
      <c r="V143" s="152">
        <v>1</v>
      </c>
      <c r="W143" s="152">
        <f>SparkfunListTable[[#This Row],['#/Unit]]*FilterSpecs!$C$3+SparkfunListTable[[#This Row],[Extra]]</f>
        <v>1</v>
      </c>
      <c r="X143" s="152">
        <f>IF(SparkfunListTable[[#This Row],[Tag]]=FilterSpecs!$F$7,SparkfunListTable[[#This Row],['#/Unit]]*SparkfunListTable[[#This Row],[Price (USD)]],0)</f>
        <v>0</v>
      </c>
      <c r="Y143" s="152">
        <f>SparkfunListTable[[#This Row],[Tot '#]]*SparkfunListTable[[#This Row],[Price (USD)]]</f>
        <v>2.95</v>
      </c>
      <c r="Z143" s="146"/>
      <c r="AA143" s="153" t="str">
        <f>SparkfunListTable[[#This Row],[SKU]]</f>
        <v>TOL-09200</v>
      </c>
      <c r="AB143" s="153">
        <f>VALUE(SparkfunListTable[[#This Row],['# Initial]])</f>
        <v>1</v>
      </c>
      <c r="AD143" s="153" t="s">
        <v>858</v>
      </c>
      <c r="AE143" s="153">
        <v>1</v>
      </c>
    </row>
    <row r="144" spans="1:31" s="153" customFormat="1" x14ac:dyDescent="0.25">
      <c r="A144" s="150" t="s">
        <v>13</v>
      </c>
      <c r="B144" s="150" t="s">
        <v>1599</v>
      </c>
      <c r="C144" s="150" t="s">
        <v>5</v>
      </c>
      <c r="D144" s="151" t="str">
        <f>IF(SparkfunListTable[[#This Row],[Vendor]]=FilterSpecs!$A$8,SparkfunListTable[[#This Row],[Mouser SKU]], SparkfunListTable[[#This Row],[Supplier SKU]])</f>
        <v>TOL-10325</v>
      </c>
      <c r="E144" s="152">
        <f>SparkfunListTable[[#This Row],[Tot '#]]-SparkfunListTable[[#This Row],['# Initial]]</f>
        <v>0</v>
      </c>
      <c r="F144" s="152">
        <f>IF(AND(SparkfunListTable[[#This Row],[Tag]]&lt;&gt;FilterSpecs!$F$12, SparkfunListTable[[#This Row],[Tag]]&lt;&gt;FilterSpecs!$F$9), SparkfunListTable[[#This Row],['#/Unit]]*FilterSpecs!$B$3+SparkfunListTable[[#This Row],[Extra Initial]],0)</f>
        <v>1</v>
      </c>
      <c r="G144" s="150" t="s">
        <v>1165</v>
      </c>
      <c r="H144" s="150" t="s">
        <v>1166</v>
      </c>
      <c r="I144" s="150" t="s">
        <v>1167</v>
      </c>
      <c r="J144" s="150"/>
      <c r="K144" s="154">
        <v>1.95</v>
      </c>
      <c r="L144" s="150" t="s">
        <v>1900</v>
      </c>
      <c r="M144" s="151"/>
      <c r="N144" s="154">
        <f>SparkfunListTable[[#This Row],['# Initial]]*SparkfunListTable[[#This Row],[Price (USD)]]</f>
        <v>1.95</v>
      </c>
      <c r="O144" s="151" t="s">
        <v>1164</v>
      </c>
      <c r="P144" s="150" t="e">
        <f t="shared" si="9"/>
        <v>#REF!</v>
      </c>
      <c r="Q144" s="150" t="s">
        <v>5</v>
      </c>
      <c r="R144"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474-TOL-10325</v>
      </c>
      <c r="S144" s="157" t="str">
        <f>HYPERLINK("https://www.mouser.com/ProductDetail/" &amp;SparkfunListTable[[#This Row],[Mouser SKU]])</f>
        <v>https://www.mouser.com/ProductDetail/474-TOL-10325</v>
      </c>
      <c r="T144" s="152">
        <v>0</v>
      </c>
      <c r="U144" s="152">
        <v>1</v>
      </c>
      <c r="V144" s="152">
        <v>1</v>
      </c>
      <c r="W144" s="152">
        <f>SparkfunListTable[[#This Row],['#/Unit]]*FilterSpecs!$C$3+SparkfunListTable[[#This Row],[Extra]]</f>
        <v>1</v>
      </c>
      <c r="X144" s="152">
        <f>IF(SparkfunListTable[[#This Row],[Tag]]=FilterSpecs!$F$7,SparkfunListTable[[#This Row],['#/Unit]]*SparkfunListTable[[#This Row],[Price (USD)]],0)</f>
        <v>0</v>
      </c>
      <c r="Y144" s="152">
        <f>SparkfunListTable[[#This Row],[Tot '#]]*SparkfunListTable[[#This Row],[Price (USD)]]</f>
        <v>1.95</v>
      </c>
      <c r="Z144" s="146"/>
      <c r="AA144" s="153" t="str">
        <f>SparkfunListTable[[#This Row],[SKU]]</f>
        <v>TOL-10325</v>
      </c>
      <c r="AB144" s="153">
        <f>VALUE(SparkfunListTable[[#This Row],['# Initial]])</f>
        <v>1</v>
      </c>
      <c r="AD144" s="153" t="s">
        <v>1164</v>
      </c>
      <c r="AE144" s="153">
        <v>1</v>
      </c>
    </row>
    <row r="145" spans="1:31" s="153" customFormat="1" x14ac:dyDescent="0.25">
      <c r="A145" s="150" t="s">
        <v>13</v>
      </c>
      <c r="B145" s="150" t="s">
        <v>1599</v>
      </c>
      <c r="C145" s="150" t="s">
        <v>5</v>
      </c>
      <c r="D145" s="151" t="str">
        <f>IF(SparkfunListTable[[#This Row],[Vendor]]=FilterSpecs!$A$8,SparkfunListTable[[#This Row],[Mouser SKU]], SparkfunListTable[[#This Row],[Supplier SKU]])</f>
        <v>TOL-13114</v>
      </c>
      <c r="E145" s="152">
        <f>SparkfunListTable[[#This Row],[Tot '#]]-SparkfunListTable[[#This Row],['# Initial]]</f>
        <v>0</v>
      </c>
      <c r="F145" s="152">
        <f>IF(AND(SparkfunListTable[[#This Row],[Tag]]&lt;&gt;FilterSpecs!$F$12, SparkfunListTable[[#This Row],[Tag]]&lt;&gt;FilterSpecs!$F$9), SparkfunListTable[[#This Row],['#/Unit]]*FilterSpecs!$B$3+SparkfunListTable[[#This Row],[Extra Initial]],0)</f>
        <v>1</v>
      </c>
      <c r="G145" s="150" t="s">
        <v>827</v>
      </c>
      <c r="H145" s="150" t="s">
        <v>828</v>
      </c>
      <c r="I145" s="150" t="s">
        <v>829</v>
      </c>
      <c r="J145" s="150"/>
      <c r="K145" s="154">
        <v>4.8</v>
      </c>
      <c r="L145" s="150" t="s">
        <v>1900</v>
      </c>
      <c r="M145" s="151"/>
      <c r="N145" s="154">
        <f>SparkfunListTable[[#This Row],['# Initial]]*SparkfunListTable[[#This Row],[Price (USD)]]</f>
        <v>4.8</v>
      </c>
      <c r="O145" s="151" t="s">
        <v>826</v>
      </c>
      <c r="P145" s="150" t="e">
        <f t="shared" si="9"/>
        <v>#REF!</v>
      </c>
      <c r="Q145" s="150" t="s">
        <v>5</v>
      </c>
      <c r="R145" s="152" t="str">
        <f>_xlfn.IFS(SparkfunListTable[[#This Row],[Supplier]]=FilterSpecs!$A$6, FilterSpecs!$B$6 &amp; SparkfunListTable[[#This Row],[Supplier SKU]],SparkfunListTable[[#This Row],[Supplier]]=FilterSpecs!$A$7,FilterSpecs!$B$7&amp; SparkfunListTable[[#This Row],[Supplier SKU]],SparkfunListTable[[#This Row],[Supplier]]=FilterSpecs!$A$8, FilterSpecs!$B$8&amp;SparkfunListTable[[#This Row],[Supplier SKU]],SparkfunListTable[[#This Row],[Supplier]]=FilterSpecs!$A$9,FilterSpecs!$B$9&amp; SparkfunListTable[[#This Row],[Supplier SKU]], SparkfunListTable[[#This Row],[Supplier]]=FilterSpecs!$A$17,FilterSpecs!$B$17&amp; SparkfunListTable[[#This Row],[Supplier SKU]])</f>
        <v>474-TOL-13114</v>
      </c>
      <c r="S145" s="157" t="str">
        <f>HYPERLINK("https://www.mouser.com/ProductDetail/" &amp;SparkfunListTable[[#This Row],[Mouser SKU]])</f>
        <v>https://www.mouser.com/ProductDetail/474-TOL-13114</v>
      </c>
      <c r="T145" s="152">
        <v>0</v>
      </c>
      <c r="U145" s="152">
        <v>1</v>
      </c>
      <c r="V145" s="152">
        <v>1</v>
      </c>
      <c r="W145" s="152">
        <f>SparkfunListTable[[#This Row],['#/Unit]]*FilterSpecs!$C$3+SparkfunListTable[[#This Row],[Extra]]</f>
        <v>1</v>
      </c>
      <c r="X145" s="152">
        <f>IF(SparkfunListTable[[#This Row],[Tag]]=FilterSpecs!$F$7,SparkfunListTable[[#This Row],['#/Unit]]*SparkfunListTable[[#This Row],[Price (USD)]],0)</f>
        <v>0</v>
      </c>
      <c r="Y145" s="152">
        <f>SparkfunListTable[[#This Row],[Tot '#]]*SparkfunListTable[[#This Row],[Price (USD)]]</f>
        <v>4.8</v>
      </c>
      <c r="Z145" s="146"/>
      <c r="AA145" s="153" t="str">
        <f>SparkfunListTable[[#This Row],[SKU]]</f>
        <v>TOL-13114</v>
      </c>
      <c r="AB145" s="153">
        <f>VALUE(SparkfunListTable[[#This Row],['# Initial]])</f>
        <v>1</v>
      </c>
      <c r="AD145" s="153" t="s">
        <v>826</v>
      </c>
      <c r="AE145" s="153">
        <v>1</v>
      </c>
    </row>
    <row r="146" spans="1:31" x14ac:dyDescent="0.25">
      <c r="A146" s="149" t="s">
        <v>1398</v>
      </c>
      <c r="B146" s="149">
        <f>SUBTOTAL(103,SparkfunListTable[Category])</f>
        <v>132</v>
      </c>
      <c r="D146" s="147"/>
      <c r="E146" s="147">
        <f>SUBTOTAL(109,SparkfunListTable['# Left])</f>
        <v>23</v>
      </c>
      <c r="F146" s="147"/>
      <c r="G146" s="147"/>
      <c r="H146" s="147"/>
      <c r="I146" s="147"/>
      <c r="J146" s="147"/>
      <c r="K146" s="148">
        <f>SUBTOTAL(101,SparkfunListTable[Price (USD)])</f>
        <v>4.6016666666666683</v>
      </c>
      <c r="L146" s="148"/>
      <c r="M146" s="147">
        <f>SUBTOTAL(103,SparkfunListTable[Description/Comments])</f>
        <v>8</v>
      </c>
      <c r="N146" s="148">
        <f>SUBTOTAL(109,SparkfunListTable[Total Price])</f>
        <v>2914.4699999999984</v>
      </c>
      <c r="O146" s="147">
        <f>SUBTOTAL(103,SparkfunListTable[Supplier SKU])</f>
        <v>132</v>
      </c>
      <c r="P146" s="147" t="e">
        <f>SUBTOTAL(104,SparkfunListTable[List '#])</f>
        <v>#REF!</v>
      </c>
      <c r="Q146" s="147"/>
      <c r="R146" s="147"/>
      <c r="S146" s="147"/>
      <c r="T146" s="147"/>
      <c r="U146" s="147"/>
      <c r="V146" s="147"/>
      <c r="W146" s="147"/>
      <c r="X146" s="147">
        <f>SUBTOTAL(109,SparkfunListTable[$/Unit])</f>
        <v>529.09999999999968</v>
      </c>
      <c r="Y146" s="148">
        <f>SUBTOTAL(109,SparkfunListTable[Total $])</f>
        <v>3014.9199999999978</v>
      </c>
      <c r="Z146" s="132"/>
      <c r="AA146" s="153" t="e">
        <f>SparkfunListTable[[#This Row],[SKU]]</f>
        <v>#VALUE!</v>
      </c>
      <c r="AB146" s="153" t="e">
        <f>VALUE(SparkfunListTable[[#This Row],['# Initial]])</f>
        <v>#VALUE!</v>
      </c>
      <c r="AD146" s="146" t="e">
        <v>#VALUE!</v>
      </c>
      <c r="AE146" s="146" t="e">
        <v>#VALUE!</v>
      </c>
    </row>
    <row r="147" spans="1:31" x14ac:dyDescent="0.25">
      <c r="D147" s="147"/>
      <c r="E147" s="147"/>
      <c r="F147" s="147"/>
      <c r="G147" s="147"/>
      <c r="H147" s="147"/>
      <c r="I147" s="147"/>
      <c r="J147" s="147"/>
      <c r="K147" s="147"/>
      <c r="L147" s="147"/>
      <c r="AA147" s="132"/>
      <c r="AB147" s="153"/>
    </row>
    <row r="148" spans="1:31" ht="15.75" thickBot="1" x14ac:dyDescent="0.3">
      <c r="D148" s="147"/>
      <c r="E148" s="147"/>
      <c r="F148" s="147"/>
      <c r="G148" s="147"/>
      <c r="H148" s="147"/>
      <c r="I148" s="147"/>
      <c r="J148" s="147"/>
      <c r="K148" s="147"/>
      <c r="L148" s="147"/>
      <c r="AA148" s="132"/>
      <c r="AB148" s="153"/>
    </row>
    <row r="149" spans="1:31" ht="20.25" thickTop="1" thickBot="1" x14ac:dyDescent="0.3">
      <c r="A149" s="126" t="s">
        <v>2554</v>
      </c>
      <c r="B149" s="126" t="s">
        <v>2555</v>
      </c>
      <c r="C149" s="127" t="s">
        <v>2556</v>
      </c>
      <c r="D149" s="147"/>
      <c r="E149" s="147"/>
      <c r="F149" s="147"/>
      <c r="G149" s="147"/>
      <c r="H149" s="147"/>
      <c r="I149" s="147"/>
      <c r="J149" s="147"/>
      <c r="K149" s="147"/>
      <c r="L149" s="147"/>
      <c r="AA149" s="132"/>
      <c r="AB149" s="153"/>
    </row>
    <row r="150" spans="1:31" ht="17.25" thickTop="1" thickBot="1" x14ac:dyDescent="0.3">
      <c r="A150" s="121" t="str">
        <f>FilterSpecs!C6</f>
        <v>Primary Component</v>
      </c>
      <c r="B150" s="122">
        <f>SUMIF(SparkfunListTable[Type],"=" &amp; FilterSpecs!$C6,SparkfunListTable[Total Price])</f>
        <v>1539.4</v>
      </c>
      <c r="C150" s="122">
        <f>SUMIF(SparkfunListTable[Type],"=" &amp; FilterSpecs!$C6,SparkfunListTable[Total $])</f>
        <v>1591.2</v>
      </c>
      <c r="D150" s="147"/>
      <c r="E150" s="147"/>
      <c r="F150" s="147"/>
      <c r="G150" s="147"/>
      <c r="H150" s="147"/>
      <c r="I150" s="147"/>
      <c r="J150" s="147"/>
      <c r="K150" s="147"/>
      <c r="L150" s="147"/>
      <c r="AA150" s="132"/>
      <c r="AB150" s="153"/>
    </row>
    <row r="151" spans="1:31" ht="17.25" thickTop="1" thickBot="1" x14ac:dyDescent="0.3">
      <c r="A151" s="121" t="str">
        <f>FilterSpecs!C7</f>
        <v>Secondary Component</v>
      </c>
      <c r="B151" s="123">
        <f>SUMIF(SparkfunListTable[Type],"=" &amp; FilterSpecs!$C7,SparkfunListTable[Total Price])</f>
        <v>316.37</v>
      </c>
      <c r="C151" s="123">
        <f>SUMIF(SparkfunListTable[Type],"=" &amp; FilterSpecs!$C7,SparkfunListTable[Total $])</f>
        <v>336.16999999999996</v>
      </c>
      <c r="D151" s="147"/>
      <c r="E151" s="147"/>
      <c r="F151" s="147"/>
      <c r="G151" s="147"/>
      <c r="H151" s="147"/>
      <c r="I151" s="147"/>
      <c r="J151" s="147"/>
      <c r="K151" s="147"/>
      <c r="L151" s="147"/>
      <c r="AA151" s="132"/>
      <c r="AB151" s="153"/>
    </row>
    <row r="152" spans="1:31" ht="17.25" thickTop="1" thickBot="1" x14ac:dyDescent="0.3">
      <c r="A152" s="121" t="str">
        <f>FilterSpecs!C8</f>
        <v>Advanced &amp; Optional Components</v>
      </c>
      <c r="B152" s="123">
        <f>SUMIF(SparkfunListTable[Type],"=" &amp; FilterSpecs!$C8,SparkfunListTable[Total Price])</f>
        <v>0</v>
      </c>
      <c r="C152" s="123">
        <f>SUMIF(SparkfunListTable[Type],"=" &amp; FilterSpecs!$C8,SparkfunListTable[Total $])</f>
        <v>0</v>
      </c>
      <c r="D152" s="147"/>
      <c r="E152" s="147"/>
      <c r="F152" s="147"/>
      <c r="G152" s="147"/>
      <c r="H152" s="147"/>
      <c r="I152" s="147"/>
      <c r="J152" s="147"/>
      <c r="K152" s="147"/>
      <c r="L152" s="147"/>
      <c r="AA152" s="132"/>
      <c r="AB152" s="153"/>
    </row>
    <row r="153" spans="1:31" ht="17.25" thickTop="1" thickBot="1" x14ac:dyDescent="0.3">
      <c r="A153" s="121" t="str">
        <f>FilterSpecs!C9</f>
        <v>Smart-Home/IoT Network Integration (Fixed)</v>
      </c>
      <c r="B153" s="123">
        <f>SUMIF(SparkfunListTable[Type],"=" &amp; FilterSpecs!$C9,SparkfunListTable[Total Price])</f>
        <v>0</v>
      </c>
      <c r="C153" s="123">
        <f>SUMIF(SparkfunListTable[Type],"=" &amp; FilterSpecs!$C9,SparkfunListTable[Total $])</f>
        <v>0</v>
      </c>
      <c r="D153" s="147"/>
      <c r="E153" s="147"/>
      <c r="F153" s="147"/>
      <c r="G153" s="147"/>
      <c r="H153" s="147"/>
      <c r="I153" s="147"/>
      <c r="J153" s="147"/>
      <c r="K153" s="147"/>
      <c r="L153" s="147"/>
      <c r="AA153" s="132"/>
      <c r="AB153" s="153"/>
    </row>
    <row r="154" spans="1:31" ht="17.25" thickTop="1" thickBot="1" x14ac:dyDescent="0.3">
      <c r="A154" s="121" t="str">
        <f>FilterSpecs!C10</f>
        <v>Smart-Home/IoT Network Integration (Portable)</v>
      </c>
      <c r="B154" s="123">
        <f>SUMIF(SparkfunListTable[Type],"=" &amp; FilterSpecs!$C10,SparkfunListTable[Total Price])</f>
        <v>0</v>
      </c>
      <c r="C154" s="123">
        <f>SUMIF(SparkfunListTable[Type],"=" &amp; FilterSpecs!$C10,SparkfunListTable[Total $])</f>
        <v>0</v>
      </c>
      <c r="D154" s="147"/>
      <c r="E154" s="147"/>
      <c r="F154" s="147"/>
      <c r="G154" s="147"/>
      <c r="H154" s="147"/>
      <c r="I154" s="147"/>
      <c r="J154" s="147"/>
      <c r="K154" s="147"/>
      <c r="L154" s="147"/>
      <c r="AA154" s="132"/>
      <c r="AB154" s="153"/>
    </row>
    <row r="155" spans="1:31" ht="17.25" thickTop="1" thickBot="1" x14ac:dyDescent="0.3">
      <c r="A155" s="121" t="str">
        <f>FilterSpecs!C11</f>
        <v>Hardware Component</v>
      </c>
      <c r="B155" s="123">
        <f>SUMIF(SparkfunListTable[Type],"=" &amp; FilterSpecs!$C11,SparkfunListTable[Total Price])</f>
        <v>536.30000000000007</v>
      </c>
      <c r="C155" s="123">
        <f>SUMIF(SparkfunListTable[Type],"=" &amp; FilterSpecs!$C11,SparkfunListTable[Total $])</f>
        <v>546.25000000000011</v>
      </c>
      <c r="D155" s="147"/>
      <c r="E155" s="147"/>
      <c r="F155" s="147"/>
      <c r="G155" s="147"/>
      <c r="H155" s="147"/>
      <c r="I155" s="147"/>
      <c r="J155" s="147"/>
      <c r="K155" s="147"/>
      <c r="L155" s="147"/>
      <c r="AA155" s="132"/>
      <c r="AB155" s="153"/>
    </row>
    <row r="156" spans="1:31" ht="17.25" thickTop="1" thickBot="1" x14ac:dyDescent="0.3">
      <c r="A156" s="121" t="str">
        <f>FilterSpecs!C12</f>
        <v>Low-Level Electronics</v>
      </c>
      <c r="B156" s="123">
        <f>SUMIF(SparkfunListTable[Type],"=" &amp; FilterSpecs!$C12,SparkfunListTable[Total Price])</f>
        <v>485.7999999999999</v>
      </c>
      <c r="C156" s="123">
        <f>SUMIF(SparkfunListTable[Type],"=" &amp; FilterSpecs!$C12,SparkfunListTable[Total $])</f>
        <v>504.69999999999993</v>
      </c>
      <c r="D156" s="147"/>
      <c r="E156" s="147"/>
      <c r="F156" s="147"/>
      <c r="G156" s="147"/>
      <c r="H156" s="147"/>
      <c r="I156" s="147"/>
      <c r="J156" s="147"/>
      <c r="K156" s="147"/>
      <c r="L156" s="147"/>
      <c r="AA156" s="132"/>
      <c r="AB156" s="153"/>
    </row>
    <row r="157" spans="1:31" ht="17.25" thickTop="1" thickBot="1" x14ac:dyDescent="0.3">
      <c r="A157" s="124" t="str">
        <f>FilterSpecs!C13</f>
        <v>Tools</v>
      </c>
      <c r="B157" s="125">
        <f>SUMIF(SparkfunListTable[Type],"=" &amp; FilterSpecs!$C13,SparkfunListTable[Total Price])</f>
        <v>36.599999999999994</v>
      </c>
      <c r="C157" s="125">
        <f>SUMIF(SparkfunListTable[Type],"=" &amp; FilterSpecs!$C13,SparkfunListTable[Total $])</f>
        <v>36.599999999999994</v>
      </c>
      <c r="D157" s="147"/>
      <c r="E157" s="147"/>
      <c r="F157" s="147"/>
      <c r="G157" s="147"/>
      <c r="H157" s="147"/>
      <c r="I157" s="147"/>
      <c r="J157" s="147"/>
      <c r="K157" s="147"/>
      <c r="L157" s="147"/>
      <c r="AA157" s="132"/>
      <c r="AB157" s="153"/>
    </row>
    <row r="158" spans="1:31" ht="20.25" thickTop="1" thickBot="1" x14ac:dyDescent="0.3">
      <c r="A158" s="126">
        <f>SUBTOTAL(103,Table121625[Cost Breakdown])</f>
        <v>8</v>
      </c>
      <c r="B158" s="128">
        <f>SUBTOTAL(109,Table121625[Initial Order])</f>
        <v>2914.47</v>
      </c>
      <c r="C158" s="129">
        <f>SUBTOTAL(109,Table121625[Total Order])</f>
        <v>3014.9199999999996</v>
      </c>
      <c r="D158" s="147"/>
      <c r="E158" s="147"/>
      <c r="F158" s="147"/>
      <c r="G158" s="147"/>
      <c r="H158" s="147"/>
      <c r="I158" s="147"/>
      <c r="J158" s="147"/>
      <c r="K158" s="147"/>
      <c r="L158" s="147"/>
      <c r="AA158" s="132"/>
      <c r="AB158" s="153"/>
    </row>
    <row r="159" spans="1:31" ht="15.75" thickTop="1" x14ac:dyDescent="0.25">
      <c r="D159" s="147"/>
      <c r="E159" s="147"/>
      <c r="F159" s="147"/>
      <c r="G159" s="147"/>
      <c r="AA159" s="132"/>
      <c r="AB159" s="153"/>
    </row>
    <row r="160" spans="1:31" s="104" customFormat="1" ht="33.75" x14ac:dyDescent="0.25">
      <c r="A160" s="171" t="s">
        <v>2459</v>
      </c>
      <c r="B160" s="171"/>
      <c r="C160" s="101"/>
      <c r="D160" s="147"/>
      <c r="E160" s="147"/>
      <c r="F160" s="147"/>
      <c r="G160" s="147"/>
      <c r="AA160" s="132"/>
      <c r="AB160" s="153"/>
    </row>
    <row r="161" spans="1:28" s="63" customFormat="1" x14ac:dyDescent="0.25">
      <c r="A161" s="147" t="s">
        <v>889</v>
      </c>
      <c r="B161" s="147" t="s">
        <v>986</v>
      </c>
      <c r="C161" s="147" t="s">
        <v>5</v>
      </c>
      <c r="D161" s="147" t="s">
        <v>1757</v>
      </c>
      <c r="E161" s="64">
        <v>1</v>
      </c>
      <c r="F161" s="64">
        <v>1</v>
      </c>
      <c r="G161" s="147" t="s">
        <v>1758</v>
      </c>
      <c r="H161" s="147" t="s">
        <v>1759</v>
      </c>
      <c r="I161" s="147" t="s">
        <v>1760</v>
      </c>
      <c r="J161" s="147">
        <v>1</v>
      </c>
      <c r="K161" s="64">
        <v>9.9499999999999993</v>
      </c>
      <c r="L161" s="147" t="s">
        <v>1896</v>
      </c>
      <c r="AA161" s="132"/>
      <c r="AB161" s="153"/>
    </row>
    <row r="162" spans="1:28" s="63" customFormat="1" x14ac:dyDescent="0.25">
      <c r="A162" s="147" t="s">
        <v>889</v>
      </c>
      <c r="B162" s="147" t="s">
        <v>986</v>
      </c>
      <c r="C162" s="147" t="s">
        <v>1884</v>
      </c>
      <c r="D162" s="147" t="s">
        <v>2087</v>
      </c>
      <c r="E162" s="64">
        <v>0</v>
      </c>
      <c r="F162" s="64">
        <v>0</v>
      </c>
      <c r="G162" s="147"/>
      <c r="H162" s="147"/>
      <c r="I162" s="147" t="s">
        <v>2088</v>
      </c>
      <c r="K162" s="64">
        <v>14.95</v>
      </c>
      <c r="L162" s="147" t="s">
        <v>1896</v>
      </c>
      <c r="AA162" s="132"/>
      <c r="AB162" s="153"/>
    </row>
    <row r="163" spans="1:28" s="63" customFormat="1" x14ac:dyDescent="0.25">
      <c r="A163" s="147" t="s">
        <v>889</v>
      </c>
      <c r="B163" s="147" t="s">
        <v>986</v>
      </c>
      <c r="C163" s="147" t="s">
        <v>1884</v>
      </c>
      <c r="D163" s="147" t="s">
        <v>2075</v>
      </c>
      <c r="E163" s="64">
        <v>0</v>
      </c>
      <c r="F163" s="64">
        <v>0</v>
      </c>
      <c r="G163" s="147"/>
      <c r="H163" s="147"/>
      <c r="I163" s="147" t="s">
        <v>2076</v>
      </c>
      <c r="K163" s="64">
        <v>9.9499999999999993</v>
      </c>
      <c r="L163" s="147" t="s">
        <v>1896</v>
      </c>
      <c r="AA163" s="132"/>
      <c r="AB163" s="153"/>
    </row>
    <row r="164" spans="1:28" s="63" customFormat="1" x14ac:dyDescent="0.25">
      <c r="A164" s="147" t="s">
        <v>889</v>
      </c>
      <c r="B164" s="147" t="s">
        <v>986</v>
      </c>
      <c r="C164" s="147" t="s">
        <v>1884</v>
      </c>
      <c r="D164" s="147" t="s">
        <v>2079</v>
      </c>
      <c r="E164" s="64">
        <v>0</v>
      </c>
      <c r="F164" s="64">
        <v>0</v>
      </c>
      <c r="G164" s="147"/>
      <c r="H164" s="147"/>
      <c r="I164" s="147" t="s">
        <v>2080</v>
      </c>
      <c r="K164" s="64">
        <v>14.95</v>
      </c>
      <c r="L164" s="147" t="s">
        <v>1896</v>
      </c>
    </row>
    <row r="165" spans="1:28" s="151" customFormat="1" x14ac:dyDescent="0.25">
      <c r="A165" s="150" t="s">
        <v>887</v>
      </c>
      <c r="B165" s="150" t="s">
        <v>2016</v>
      </c>
      <c r="C165" s="150" t="s">
        <v>5</v>
      </c>
      <c r="D165" s="150" t="s">
        <v>30</v>
      </c>
      <c r="E165" s="79">
        <v>5</v>
      </c>
      <c r="F165" s="79">
        <v>5</v>
      </c>
      <c r="G165" s="150" t="s">
        <v>31</v>
      </c>
      <c r="H165" s="150" t="s">
        <v>32</v>
      </c>
      <c r="I165" s="150" t="s">
        <v>33</v>
      </c>
      <c r="J165" s="151">
        <v>1</v>
      </c>
      <c r="K165" s="79">
        <v>29.95</v>
      </c>
      <c r="L165" s="150" t="s">
        <v>1897</v>
      </c>
      <c r="N165" s="151">
        <v>149.75</v>
      </c>
    </row>
    <row r="166" spans="1:28" s="151" customFormat="1" x14ac:dyDescent="0.25">
      <c r="A166" s="150" t="s">
        <v>887</v>
      </c>
      <c r="B166" s="150" t="s">
        <v>2008</v>
      </c>
      <c r="C166" s="150" t="s">
        <v>5</v>
      </c>
      <c r="D166" s="150" t="s">
        <v>110</v>
      </c>
      <c r="E166" s="79">
        <v>5</v>
      </c>
      <c r="F166" s="79">
        <v>5</v>
      </c>
      <c r="G166" s="150" t="s">
        <v>111</v>
      </c>
      <c r="H166" s="150" t="s">
        <v>112</v>
      </c>
      <c r="I166" s="150" t="s">
        <v>113</v>
      </c>
      <c r="J166" s="150">
        <v>1</v>
      </c>
      <c r="K166" s="79">
        <v>12.95</v>
      </c>
      <c r="L166" s="150" t="s">
        <v>1897</v>
      </c>
      <c r="N166" s="151">
        <v>64.75</v>
      </c>
    </row>
    <row r="167" spans="1:28" s="151" customFormat="1" x14ac:dyDescent="0.25">
      <c r="A167" s="150" t="s">
        <v>887</v>
      </c>
      <c r="B167" s="150" t="s">
        <v>9</v>
      </c>
      <c r="C167" s="150" t="s">
        <v>5</v>
      </c>
      <c r="D167" s="150" t="s">
        <v>253</v>
      </c>
      <c r="E167" s="79">
        <v>5</v>
      </c>
      <c r="F167" s="79">
        <v>5</v>
      </c>
      <c r="G167" s="150" t="s">
        <v>254</v>
      </c>
      <c r="H167" s="150" t="s">
        <v>255</v>
      </c>
      <c r="I167" s="150" t="s">
        <v>256</v>
      </c>
      <c r="J167" s="150">
        <v>1</v>
      </c>
      <c r="K167" s="79">
        <v>6.95</v>
      </c>
      <c r="L167" s="150" t="s">
        <v>1897</v>
      </c>
      <c r="N167" s="151">
        <v>34.75</v>
      </c>
    </row>
    <row r="168" spans="1:28" s="151" customFormat="1" x14ac:dyDescent="0.25">
      <c r="A168" s="150" t="s">
        <v>888</v>
      </c>
      <c r="B168" s="150" t="s">
        <v>892</v>
      </c>
      <c r="C168" s="150" t="s">
        <v>5</v>
      </c>
      <c r="D168" s="150" t="s">
        <v>356</v>
      </c>
      <c r="E168" s="79">
        <v>0</v>
      </c>
      <c r="F168" s="79">
        <v>0</v>
      </c>
      <c r="G168" s="150" t="s">
        <v>357</v>
      </c>
      <c r="H168" s="150" t="s">
        <v>358</v>
      </c>
      <c r="I168" s="150" t="s">
        <v>359</v>
      </c>
      <c r="J168" s="150">
        <v>1</v>
      </c>
      <c r="K168" s="79">
        <v>2.95</v>
      </c>
      <c r="L168" s="150" t="s">
        <v>2461</v>
      </c>
      <c r="M168" s="150"/>
      <c r="N168" s="150">
        <v>0</v>
      </c>
    </row>
    <row r="169" spans="1:28" s="151" customFormat="1" x14ac:dyDescent="0.25">
      <c r="A169" s="150" t="s">
        <v>888</v>
      </c>
      <c r="B169" s="150" t="s">
        <v>892</v>
      </c>
      <c r="C169" s="150" t="s">
        <v>5</v>
      </c>
      <c r="D169" s="150" t="s">
        <v>1173</v>
      </c>
      <c r="E169" s="79">
        <v>0</v>
      </c>
      <c r="F169" s="79">
        <v>0</v>
      </c>
      <c r="G169" s="150" t="s">
        <v>1174</v>
      </c>
      <c r="H169" s="150" t="s">
        <v>1175</v>
      </c>
      <c r="I169" s="150" t="s">
        <v>1176</v>
      </c>
      <c r="J169" s="150">
        <v>1</v>
      </c>
      <c r="K169" s="79">
        <v>9.9499999999999993</v>
      </c>
      <c r="L169" s="150" t="s">
        <v>2461</v>
      </c>
      <c r="N169" s="150">
        <v>0</v>
      </c>
    </row>
    <row r="170" spans="1:28" s="63" customFormat="1" x14ac:dyDescent="0.25">
      <c r="A170" s="147" t="s">
        <v>888</v>
      </c>
      <c r="B170" s="147" t="s">
        <v>1593</v>
      </c>
      <c r="C170" s="147" t="s">
        <v>5</v>
      </c>
      <c r="D170" s="147" t="s">
        <v>1096</v>
      </c>
      <c r="E170" s="64">
        <v>1</v>
      </c>
      <c r="F170" s="64">
        <v>1</v>
      </c>
      <c r="G170" s="147" t="s">
        <v>1097</v>
      </c>
      <c r="H170" s="147" t="s">
        <v>1098</v>
      </c>
      <c r="I170" s="147" t="s">
        <v>1099</v>
      </c>
      <c r="J170" s="147"/>
      <c r="K170" s="64">
        <v>24.95</v>
      </c>
      <c r="L170" s="147" t="s">
        <v>1896</v>
      </c>
      <c r="N170" s="147">
        <v>24.95</v>
      </c>
    </row>
    <row r="171" spans="1:28" s="109" customFormat="1" x14ac:dyDescent="0.25">
      <c r="A171" s="48" t="s">
        <v>1058</v>
      </c>
      <c r="B171" s="108" t="s">
        <v>1005</v>
      </c>
      <c r="C171" s="108" t="s">
        <v>5</v>
      </c>
      <c r="D171" s="48" t="s">
        <v>981</v>
      </c>
      <c r="E171" s="73">
        <v>0</v>
      </c>
      <c r="F171" s="73">
        <v>0</v>
      </c>
      <c r="G171" s="48" t="s">
        <v>982</v>
      </c>
      <c r="H171" s="48" t="s">
        <v>983</v>
      </c>
      <c r="I171" s="48" t="s">
        <v>984</v>
      </c>
      <c r="J171" s="48">
        <v>1</v>
      </c>
      <c r="K171" s="73">
        <v>44.95</v>
      </c>
      <c r="L171" s="48" t="s">
        <v>1900</v>
      </c>
      <c r="M171" s="48" t="s">
        <v>1046</v>
      </c>
      <c r="N171" s="48">
        <v>0</v>
      </c>
    </row>
    <row r="172" spans="1:28" s="63" customFormat="1" x14ac:dyDescent="0.25">
      <c r="A172" s="147" t="s">
        <v>1058</v>
      </c>
      <c r="B172" s="147" t="s">
        <v>1005</v>
      </c>
      <c r="C172" s="147" t="s">
        <v>1884</v>
      </c>
      <c r="D172" s="147" t="s">
        <v>2069</v>
      </c>
      <c r="E172" s="64">
        <v>0</v>
      </c>
      <c r="F172" s="64">
        <v>0</v>
      </c>
      <c r="G172" s="147"/>
      <c r="H172" s="147"/>
      <c r="I172" s="147" t="s">
        <v>2070</v>
      </c>
      <c r="J172" s="147"/>
      <c r="K172" s="64">
        <v>44.95</v>
      </c>
      <c r="L172" s="147" t="s">
        <v>1896</v>
      </c>
    </row>
    <row r="173" spans="1:28" s="63" customFormat="1" x14ac:dyDescent="0.25">
      <c r="A173" s="147" t="s">
        <v>1058</v>
      </c>
      <c r="B173" s="147" t="s">
        <v>2040</v>
      </c>
      <c r="C173" s="147" t="s">
        <v>1884</v>
      </c>
      <c r="D173" s="147" t="s">
        <v>2048</v>
      </c>
      <c r="E173" s="64">
        <v>1</v>
      </c>
      <c r="F173" s="64">
        <v>1</v>
      </c>
      <c r="G173" s="147"/>
      <c r="H173" s="147"/>
      <c r="I173" s="147" t="s">
        <v>2047</v>
      </c>
      <c r="J173" s="147"/>
      <c r="K173" s="64">
        <v>39.950000000000003</v>
      </c>
      <c r="L173" s="147" t="s">
        <v>1896</v>
      </c>
    </row>
    <row r="174" spans="1:28" s="63" customFormat="1" x14ac:dyDescent="0.25">
      <c r="A174" s="147" t="s">
        <v>1058</v>
      </c>
      <c r="B174" s="110" t="s">
        <v>2005</v>
      </c>
      <c r="C174" s="147" t="s">
        <v>1884</v>
      </c>
      <c r="D174" s="147" t="s">
        <v>2073</v>
      </c>
      <c r="E174" s="64">
        <v>0</v>
      </c>
      <c r="F174" s="64">
        <v>0</v>
      </c>
      <c r="G174" s="147"/>
      <c r="H174" s="147"/>
      <c r="I174" s="147" t="s">
        <v>2074</v>
      </c>
      <c r="K174" s="64">
        <v>44.95</v>
      </c>
      <c r="L174" s="147" t="s">
        <v>1896</v>
      </c>
    </row>
    <row r="175" spans="1:28" s="80" customFormat="1" x14ac:dyDescent="0.25">
      <c r="A175" s="77" t="s">
        <v>1058</v>
      </c>
      <c r="B175" s="90" t="s">
        <v>1424</v>
      </c>
      <c r="C175" s="90" t="s">
        <v>5</v>
      </c>
      <c r="D175" s="150" t="s">
        <v>969</v>
      </c>
      <c r="E175" s="79">
        <v>1</v>
      </c>
      <c r="F175" s="79">
        <v>1</v>
      </c>
      <c r="G175" s="150" t="s">
        <v>970</v>
      </c>
      <c r="H175" s="150" t="s">
        <v>971</v>
      </c>
      <c r="I175" s="150" t="s">
        <v>972</v>
      </c>
      <c r="J175" s="150">
        <v>1</v>
      </c>
      <c r="K175" s="79">
        <v>49.95</v>
      </c>
      <c r="L175" s="150" t="s">
        <v>1896</v>
      </c>
      <c r="M175" s="150" t="s">
        <v>1050</v>
      </c>
      <c r="N175" s="150">
        <v>49.95</v>
      </c>
    </row>
    <row r="180" spans="1:11" x14ac:dyDescent="0.25">
      <c r="A180" s="61" t="s">
        <v>889</v>
      </c>
      <c r="B180" s="138" t="s">
        <v>1290</v>
      </c>
      <c r="C180" s="146" t="s">
        <v>5</v>
      </c>
      <c r="D180" s="147" t="s">
        <v>1220</v>
      </c>
      <c r="E180" s="147">
        <v>1</v>
      </c>
      <c r="G180" s="147" t="s">
        <v>1221</v>
      </c>
      <c r="H180" s="147" t="s">
        <v>1222</v>
      </c>
      <c r="I180" s="147" t="s">
        <v>1223</v>
      </c>
      <c r="J180" s="147">
        <v>1</v>
      </c>
      <c r="K180" s="147">
        <v>15.95</v>
      </c>
    </row>
    <row r="181" spans="1:11" x14ac:dyDescent="0.25">
      <c r="A181" s="61" t="s">
        <v>889</v>
      </c>
      <c r="B181" s="138" t="s">
        <v>1290</v>
      </c>
      <c r="C181" s="146" t="s">
        <v>5</v>
      </c>
      <c r="D181" s="147" t="s">
        <v>1224</v>
      </c>
      <c r="E181" s="147">
        <v>1</v>
      </c>
      <c r="G181" s="147" t="s">
        <v>1225</v>
      </c>
      <c r="H181" s="147" t="s">
        <v>1226</v>
      </c>
      <c r="I181" s="147" t="s">
        <v>1227</v>
      </c>
      <c r="J181" s="147"/>
      <c r="K181" s="147">
        <v>14.95</v>
      </c>
    </row>
    <row r="182" spans="1:11" x14ac:dyDescent="0.25">
      <c r="A182" s="61" t="s">
        <v>889</v>
      </c>
      <c r="B182" s="138" t="s">
        <v>1290</v>
      </c>
      <c r="C182" s="146" t="s">
        <v>5</v>
      </c>
      <c r="D182" s="147" t="s">
        <v>1200</v>
      </c>
      <c r="E182" s="147">
        <v>1</v>
      </c>
      <c r="G182" s="147" t="s">
        <v>1201</v>
      </c>
      <c r="H182" s="147" t="s">
        <v>1202</v>
      </c>
      <c r="I182" s="147" t="s">
        <v>1203</v>
      </c>
      <c r="J182" s="147"/>
      <c r="K182" s="147">
        <v>24.95</v>
      </c>
    </row>
    <row r="183" spans="1:11" x14ac:dyDescent="0.25">
      <c r="A183" s="61" t="s">
        <v>889</v>
      </c>
      <c r="B183" s="138" t="s">
        <v>1290</v>
      </c>
      <c r="C183" s="146" t="s">
        <v>5</v>
      </c>
      <c r="D183" s="147" t="s">
        <v>1240</v>
      </c>
      <c r="E183" s="147">
        <v>1</v>
      </c>
      <c r="G183" s="147" t="s">
        <v>1241</v>
      </c>
      <c r="H183" s="147" t="s">
        <v>1242</v>
      </c>
      <c r="I183" s="147" t="s">
        <v>1243</v>
      </c>
      <c r="J183" s="147"/>
      <c r="K183" s="147">
        <v>9.9499999999999993</v>
      </c>
    </row>
    <row r="184" spans="1:11" x14ac:dyDescent="0.25">
      <c r="A184" s="61" t="s">
        <v>889</v>
      </c>
      <c r="B184" s="138" t="s">
        <v>1290</v>
      </c>
      <c r="C184" s="146" t="s">
        <v>5</v>
      </c>
      <c r="D184" s="147" t="s">
        <v>1216</v>
      </c>
      <c r="E184" s="147">
        <v>1</v>
      </c>
      <c r="G184" s="147" t="s">
        <v>1217</v>
      </c>
      <c r="H184" s="147" t="s">
        <v>1218</v>
      </c>
      <c r="I184" s="147" t="s">
        <v>1219</v>
      </c>
      <c r="J184" s="147">
        <v>1</v>
      </c>
      <c r="K184" s="147">
        <v>19.95</v>
      </c>
    </row>
    <row r="185" spans="1:11" x14ac:dyDescent="0.25">
      <c r="A185" s="146" t="s">
        <v>890</v>
      </c>
      <c r="B185" s="158" t="s">
        <v>1603</v>
      </c>
      <c r="C185" s="146" t="s">
        <v>5</v>
      </c>
      <c r="D185" s="147" t="s">
        <v>1264</v>
      </c>
      <c r="E185" s="147">
        <v>1</v>
      </c>
      <c r="G185" s="147" t="s">
        <v>1265</v>
      </c>
      <c r="H185" s="147" t="s">
        <v>1266</v>
      </c>
      <c r="I185" s="147" t="s">
        <v>1267</v>
      </c>
      <c r="J185" s="147">
        <v>1</v>
      </c>
      <c r="K185" s="147">
        <v>0.25</v>
      </c>
    </row>
    <row r="186" spans="1:11" x14ac:dyDescent="0.25">
      <c r="A186" s="146" t="s">
        <v>890</v>
      </c>
      <c r="B186" s="158" t="s">
        <v>1603</v>
      </c>
      <c r="C186" s="146" t="s">
        <v>5</v>
      </c>
      <c r="D186" s="147" t="s">
        <v>1276</v>
      </c>
      <c r="E186" s="147">
        <v>1</v>
      </c>
      <c r="G186" s="147" t="s">
        <v>1277</v>
      </c>
      <c r="H186" s="147" t="s">
        <v>1278</v>
      </c>
      <c r="I186" s="147" t="s">
        <v>1279</v>
      </c>
      <c r="J186" s="147">
        <v>1</v>
      </c>
      <c r="K186" s="147">
        <v>1.5</v>
      </c>
    </row>
    <row r="187" spans="1:11" x14ac:dyDescent="0.25">
      <c r="A187" s="146" t="s">
        <v>890</v>
      </c>
      <c r="B187" s="158" t="s">
        <v>1603</v>
      </c>
      <c r="C187" s="146" t="s">
        <v>5</v>
      </c>
      <c r="D187" s="147" t="s">
        <v>1272</v>
      </c>
      <c r="E187" s="147">
        <v>1</v>
      </c>
      <c r="G187" s="147" t="s">
        <v>1273</v>
      </c>
      <c r="H187" s="147" t="s">
        <v>1274</v>
      </c>
      <c r="I187" s="147" t="s">
        <v>1275</v>
      </c>
      <c r="J187" s="147">
        <v>1</v>
      </c>
      <c r="K187" s="147">
        <v>0.1</v>
      </c>
    </row>
    <row r="188" spans="1:11" x14ac:dyDescent="0.25">
      <c r="A188" s="146" t="s">
        <v>890</v>
      </c>
      <c r="B188" s="158" t="s">
        <v>1603</v>
      </c>
      <c r="C188" s="146" t="s">
        <v>5</v>
      </c>
      <c r="D188" s="147" t="s">
        <v>1436</v>
      </c>
      <c r="E188" s="147">
        <v>1</v>
      </c>
      <c r="G188" s="147" t="s">
        <v>1437</v>
      </c>
      <c r="H188" s="147" t="s">
        <v>1438</v>
      </c>
      <c r="I188" s="147" t="s">
        <v>1439</v>
      </c>
      <c r="J188" s="147">
        <v>1</v>
      </c>
      <c r="K188" s="147">
        <v>1.95</v>
      </c>
    </row>
    <row r="189" spans="1:11" x14ac:dyDescent="0.25">
      <c r="A189" s="146" t="s">
        <v>890</v>
      </c>
      <c r="B189" s="158" t="s">
        <v>1603</v>
      </c>
      <c r="C189" s="146" t="s">
        <v>5</v>
      </c>
      <c r="D189" s="147" t="s">
        <v>1440</v>
      </c>
      <c r="E189" s="147">
        <v>1</v>
      </c>
      <c r="G189" s="147" t="s">
        <v>1441</v>
      </c>
      <c r="H189" s="147" t="s">
        <v>1442</v>
      </c>
      <c r="I189" s="147" t="s">
        <v>1443</v>
      </c>
      <c r="J189" s="147">
        <v>1</v>
      </c>
      <c r="K189" s="147">
        <v>1.95</v>
      </c>
    </row>
    <row r="190" spans="1:11" x14ac:dyDescent="0.25">
      <c r="A190" s="146" t="s">
        <v>890</v>
      </c>
      <c r="B190" s="158" t="s">
        <v>1603</v>
      </c>
      <c r="C190" s="146" t="s">
        <v>5</v>
      </c>
      <c r="D190" s="147" t="s">
        <v>1468</v>
      </c>
      <c r="E190" s="147">
        <v>1</v>
      </c>
      <c r="G190" s="147" t="s">
        <v>1469</v>
      </c>
      <c r="H190" s="147" t="s">
        <v>1470</v>
      </c>
      <c r="I190" s="147" t="s">
        <v>1471</v>
      </c>
      <c r="J190" s="147">
        <v>1</v>
      </c>
      <c r="K190" s="147">
        <v>1.95</v>
      </c>
    </row>
    <row r="191" spans="1:11" x14ac:dyDescent="0.25">
      <c r="A191" s="146" t="s">
        <v>890</v>
      </c>
      <c r="B191" s="146" t="s">
        <v>878</v>
      </c>
      <c r="C191" s="146" t="s">
        <v>5</v>
      </c>
      <c r="D191" s="147" t="s">
        <v>1565</v>
      </c>
      <c r="E191" s="147">
        <v>0</v>
      </c>
      <c r="G191" s="147" t="s">
        <v>1566</v>
      </c>
      <c r="H191" s="147" t="s">
        <v>1567</v>
      </c>
      <c r="I191" s="147" t="s">
        <v>1568</v>
      </c>
      <c r="J191" s="147">
        <v>1</v>
      </c>
      <c r="K191" s="147">
        <v>0.35</v>
      </c>
    </row>
    <row r="192" spans="1:11" x14ac:dyDescent="0.25">
      <c r="A192" s="146" t="s">
        <v>890</v>
      </c>
      <c r="B192" s="146" t="s">
        <v>878</v>
      </c>
      <c r="C192" s="146" t="s">
        <v>5</v>
      </c>
      <c r="D192" s="147" t="s">
        <v>1537</v>
      </c>
      <c r="E192" s="147">
        <v>0</v>
      </c>
      <c r="G192" s="147" t="s">
        <v>1538</v>
      </c>
      <c r="H192" s="147" t="s">
        <v>1539</v>
      </c>
      <c r="I192" s="147" t="s">
        <v>1540</v>
      </c>
      <c r="J192" s="147">
        <v>1</v>
      </c>
      <c r="K192" s="147">
        <v>0.35</v>
      </c>
    </row>
    <row r="193" spans="1:11" x14ac:dyDescent="0.25">
      <c r="A193" s="159" t="s">
        <v>887</v>
      </c>
      <c r="B193" s="138" t="s">
        <v>1602</v>
      </c>
      <c r="C193" s="146" t="s">
        <v>5</v>
      </c>
      <c r="D193" s="147" t="s">
        <v>1181</v>
      </c>
      <c r="E193" s="147">
        <v>1</v>
      </c>
      <c r="G193" s="147" t="s">
        <v>1182</v>
      </c>
      <c r="H193" s="147" t="s">
        <v>1183</v>
      </c>
      <c r="I193" s="147" t="s">
        <v>1184</v>
      </c>
      <c r="J193" s="147">
        <v>1</v>
      </c>
      <c r="K193" s="147">
        <v>29.95</v>
      </c>
    </row>
    <row r="194" spans="1:11" x14ac:dyDescent="0.25">
      <c r="A194" s="159" t="s">
        <v>887</v>
      </c>
      <c r="B194" s="138" t="s">
        <v>11</v>
      </c>
      <c r="C194" s="146" t="s">
        <v>5</v>
      </c>
      <c r="D194" s="147" t="s">
        <v>1204</v>
      </c>
      <c r="E194" s="147">
        <v>1</v>
      </c>
      <c r="G194" s="147" t="s">
        <v>1205</v>
      </c>
      <c r="H194" s="147" t="s">
        <v>1206</v>
      </c>
      <c r="I194" s="147" t="s">
        <v>1207</v>
      </c>
      <c r="J194" s="147">
        <v>1</v>
      </c>
      <c r="K194" s="147">
        <v>5.95</v>
      </c>
    </row>
    <row r="195" spans="1:11" x14ac:dyDescent="0.25">
      <c r="A195" s="159" t="s">
        <v>887</v>
      </c>
      <c r="B195" s="138" t="s">
        <v>11</v>
      </c>
      <c r="C195" s="146" t="s">
        <v>5</v>
      </c>
      <c r="D195" s="147" t="s">
        <v>1208</v>
      </c>
      <c r="E195" s="147">
        <v>1</v>
      </c>
      <c r="G195" s="147" t="s">
        <v>1209</v>
      </c>
      <c r="H195" s="147" t="s">
        <v>1210</v>
      </c>
      <c r="I195" s="147" t="s">
        <v>1211</v>
      </c>
      <c r="J195" s="147">
        <v>1</v>
      </c>
      <c r="K195" s="147">
        <v>14.95</v>
      </c>
    </row>
    <row r="196" spans="1:11" x14ac:dyDescent="0.25">
      <c r="A196" s="159" t="s">
        <v>887</v>
      </c>
      <c r="B196" s="138" t="s">
        <v>11</v>
      </c>
      <c r="C196" s="146" t="s">
        <v>5</v>
      </c>
      <c r="D196" s="147" t="s">
        <v>1212</v>
      </c>
      <c r="E196" s="147">
        <v>1</v>
      </c>
      <c r="G196" s="147" t="s">
        <v>1213</v>
      </c>
      <c r="H196" s="147" t="s">
        <v>1214</v>
      </c>
      <c r="I196" s="147" t="s">
        <v>1215</v>
      </c>
      <c r="J196" s="147">
        <v>1</v>
      </c>
      <c r="K196" s="147">
        <v>89.95</v>
      </c>
    </row>
    <row r="197" spans="1:11" x14ac:dyDescent="0.25">
      <c r="A197" s="159" t="s">
        <v>887</v>
      </c>
      <c r="B197" s="61" t="s">
        <v>881</v>
      </c>
      <c r="C197" s="146" t="s">
        <v>5</v>
      </c>
      <c r="D197" s="147" t="s">
        <v>1477</v>
      </c>
      <c r="E197" s="147">
        <v>1</v>
      </c>
      <c r="G197" s="147" t="s">
        <v>1478</v>
      </c>
      <c r="H197" s="147" t="s">
        <v>1479</v>
      </c>
      <c r="I197" s="147" t="s">
        <v>1480</v>
      </c>
      <c r="J197" s="147">
        <v>1</v>
      </c>
      <c r="K197" s="147">
        <v>49.95</v>
      </c>
    </row>
    <row r="198" spans="1:11" x14ac:dyDescent="0.25">
      <c r="A198" s="159" t="s">
        <v>887</v>
      </c>
      <c r="B198" s="61" t="s">
        <v>881</v>
      </c>
      <c r="C198" s="146" t="s">
        <v>5</v>
      </c>
      <c r="D198" s="147" t="s">
        <v>1481</v>
      </c>
      <c r="E198" s="147">
        <v>1</v>
      </c>
      <c r="G198" s="147" t="s">
        <v>1482</v>
      </c>
      <c r="H198" s="147" t="s">
        <v>1483</v>
      </c>
      <c r="I198" s="147" t="s">
        <v>1484</v>
      </c>
      <c r="J198" s="147">
        <v>1</v>
      </c>
      <c r="K198" s="147">
        <v>44.95</v>
      </c>
    </row>
    <row r="199" spans="1:11" x14ac:dyDescent="0.25">
      <c r="A199" s="159" t="s">
        <v>887</v>
      </c>
      <c r="B199" s="138" t="s">
        <v>1602</v>
      </c>
      <c r="C199" s="146" t="s">
        <v>5</v>
      </c>
      <c r="D199" s="147" t="s">
        <v>1725</v>
      </c>
      <c r="E199" s="147">
        <v>1</v>
      </c>
      <c r="G199" s="147" t="s">
        <v>1726</v>
      </c>
      <c r="H199" s="147" t="s">
        <v>1727</v>
      </c>
      <c r="I199" s="147" t="s">
        <v>1728</v>
      </c>
      <c r="J199" s="147">
        <v>1</v>
      </c>
      <c r="K199" s="147">
        <v>45</v>
      </c>
    </row>
    <row r="200" spans="1:11" x14ac:dyDescent="0.25">
      <c r="A200" s="159" t="s">
        <v>887</v>
      </c>
      <c r="B200" s="146" t="s">
        <v>2008</v>
      </c>
      <c r="C200" s="146" t="s">
        <v>5</v>
      </c>
      <c r="D200" s="147" t="s">
        <v>1781</v>
      </c>
      <c r="E200" s="147">
        <v>1</v>
      </c>
      <c r="G200" s="147" t="s">
        <v>1782</v>
      </c>
      <c r="H200" s="147" t="s">
        <v>1783</v>
      </c>
      <c r="I200" s="147" t="s">
        <v>1784</v>
      </c>
      <c r="J200" s="147">
        <v>1</v>
      </c>
      <c r="K200" s="147">
        <v>29.95</v>
      </c>
    </row>
    <row r="201" spans="1:11" x14ac:dyDescent="0.25">
      <c r="A201" s="159" t="s">
        <v>887</v>
      </c>
      <c r="B201" s="61" t="s">
        <v>2012</v>
      </c>
      <c r="C201" s="146" t="s">
        <v>5</v>
      </c>
      <c r="D201" s="147" t="s">
        <v>1785</v>
      </c>
      <c r="E201" s="147">
        <v>1</v>
      </c>
      <c r="G201" s="147" t="s">
        <v>1786</v>
      </c>
      <c r="H201" s="147" t="s">
        <v>1787</v>
      </c>
      <c r="I201" s="147" t="s">
        <v>1788</v>
      </c>
      <c r="J201" s="147">
        <v>1</v>
      </c>
      <c r="K201" s="147">
        <v>0.95</v>
      </c>
    </row>
    <row r="202" spans="1:11" x14ac:dyDescent="0.25">
      <c r="A202" s="160" t="s">
        <v>888</v>
      </c>
      <c r="B202" s="160" t="s">
        <v>12</v>
      </c>
      <c r="C202" s="146" t="s">
        <v>5</v>
      </c>
      <c r="D202" s="147" t="s">
        <v>1268</v>
      </c>
      <c r="E202" s="147">
        <v>1</v>
      </c>
      <c r="G202" s="147" t="s">
        <v>1269</v>
      </c>
      <c r="H202" s="147" t="s">
        <v>1270</v>
      </c>
      <c r="I202" s="147" t="s">
        <v>1271</v>
      </c>
      <c r="J202" s="147">
        <v>1</v>
      </c>
      <c r="K202" s="147">
        <v>0.95</v>
      </c>
    </row>
    <row r="203" spans="1:11" x14ac:dyDescent="0.25">
      <c r="A203" s="160" t="s">
        <v>888</v>
      </c>
      <c r="B203" s="160" t="s">
        <v>12</v>
      </c>
      <c r="C203" s="146" t="s">
        <v>5</v>
      </c>
      <c r="D203" s="147" t="s">
        <v>1444</v>
      </c>
      <c r="E203" s="147">
        <v>1</v>
      </c>
      <c r="G203" s="147" t="s">
        <v>1445</v>
      </c>
      <c r="H203" s="147" t="s">
        <v>1446</v>
      </c>
      <c r="I203" s="147" t="s">
        <v>1447</v>
      </c>
      <c r="J203" s="147">
        <v>1</v>
      </c>
      <c r="K203" s="147">
        <v>2.95</v>
      </c>
    </row>
    <row r="204" spans="1:11" x14ac:dyDescent="0.25">
      <c r="A204" s="160" t="s">
        <v>888</v>
      </c>
      <c r="B204" s="160" t="s">
        <v>12</v>
      </c>
      <c r="C204" s="146" t="s">
        <v>5</v>
      </c>
      <c r="D204" s="147" t="s">
        <v>1456</v>
      </c>
      <c r="E204" s="147">
        <v>1</v>
      </c>
      <c r="G204" s="147" t="s">
        <v>1457</v>
      </c>
      <c r="H204" s="147" t="s">
        <v>1458</v>
      </c>
      <c r="I204" s="147" t="s">
        <v>1459</v>
      </c>
      <c r="J204" s="147">
        <v>1</v>
      </c>
      <c r="K204" s="147">
        <v>2.95</v>
      </c>
    </row>
    <row r="205" spans="1:11" x14ac:dyDescent="0.25">
      <c r="A205" s="160" t="s">
        <v>888</v>
      </c>
      <c r="B205" s="160" t="s">
        <v>12</v>
      </c>
      <c r="C205" s="146" t="s">
        <v>5</v>
      </c>
      <c r="D205" s="147" t="s">
        <v>1452</v>
      </c>
      <c r="E205" s="147">
        <v>0</v>
      </c>
      <c r="G205" s="147" t="s">
        <v>1453</v>
      </c>
      <c r="H205" s="147" t="s">
        <v>1454</v>
      </c>
      <c r="I205" s="147" t="s">
        <v>1455</v>
      </c>
      <c r="J205" s="147">
        <v>1</v>
      </c>
      <c r="K205" s="147">
        <v>2.95</v>
      </c>
    </row>
    <row r="206" spans="1:11" x14ac:dyDescent="0.25">
      <c r="A206" s="160" t="s">
        <v>888</v>
      </c>
      <c r="B206" s="160" t="s">
        <v>12</v>
      </c>
      <c r="C206" s="146" t="s">
        <v>5</v>
      </c>
      <c r="D206" s="147" t="s">
        <v>1448</v>
      </c>
      <c r="E206" s="147">
        <v>1</v>
      </c>
      <c r="G206" s="147" t="s">
        <v>1449</v>
      </c>
      <c r="H206" s="147" t="s">
        <v>1450</v>
      </c>
      <c r="I206" s="147" t="s">
        <v>1451</v>
      </c>
      <c r="J206" s="147">
        <v>1</v>
      </c>
      <c r="K206" s="147">
        <v>3.95</v>
      </c>
    </row>
    <row r="207" spans="1:11" x14ac:dyDescent="0.25">
      <c r="A207" s="160" t="s">
        <v>888</v>
      </c>
      <c r="B207" s="160" t="s">
        <v>12</v>
      </c>
      <c r="C207" s="146" t="s">
        <v>5</v>
      </c>
      <c r="D207" s="147" t="s">
        <v>1472</v>
      </c>
      <c r="E207" s="147">
        <v>0</v>
      </c>
      <c r="G207" s="147" t="s">
        <v>1473</v>
      </c>
      <c r="H207" s="147" t="s">
        <v>1474</v>
      </c>
      <c r="I207" s="147" t="s">
        <v>1475</v>
      </c>
      <c r="J207" s="147">
        <v>1</v>
      </c>
      <c r="K207" s="147">
        <v>3.95</v>
      </c>
    </row>
    <row r="208" spans="1:11" x14ac:dyDescent="0.25">
      <c r="A208" s="160" t="s">
        <v>888</v>
      </c>
      <c r="B208" s="160" t="s">
        <v>12</v>
      </c>
      <c r="C208" s="146" t="s">
        <v>5</v>
      </c>
      <c r="D208" s="147" t="s">
        <v>1464</v>
      </c>
      <c r="E208" s="147">
        <v>1</v>
      </c>
      <c r="G208" s="147" t="s">
        <v>1465</v>
      </c>
      <c r="H208" s="147" t="s">
        <v>1466</v>
      </c>
      <c r="I208" s="147" t="s">
        <v>1467</v>
      </c>
      <c r="J208" s="147">
        <v>1</v>
      </c>
      <c r="K208" s="147">
        <v>3.95</v>
      </c>
    </row>
    <row r="209" spans="1:11" x14ac:dyDescent="0.25">
      <c r="A209" s="160" t="s">
        <v>888</v>
      </c>
      <c r="B209" s="160" t="s">
        <v>12</v>
      </c>
      <c r="C209" s="146" t="s">
        <v>5</v>
      </c>
      <c r="D209" s="147" t="s">
        <v>1460</v>
      </c>
      <c r="E209" s="147">
        <v>1</v>
      </c>
      <c r="G209" s="147" t="s">
        <v>1461</v>
      </c>
      <c r="H209" s="147" t="s">
        <v>1462</v>
      </c>
      <c r="I209" s="147" t="s">
        <v>1463</v>
      </c>
      <c r="J209" s="147">
        <v>1</v>
      </c>
      <c r="K209" s="147">
        <v>3.95</v>
      </c>
    </row>
    <row r="210" spans="1:11" x14ac:dyDescent="0.25">
      <c r="A210" s="160" t="s">
        <v>888</v>
      </c>
      <c r="B210" s="138" t="s">
        <v>1882</v>
      </c>
      <c r="C210" s="146" t="s">
        <v>5</v>
      </c>
      <c r="D210" s="147" t="s">
        <v>1845</v>
      </c>
      <c r="E210" s="147">
        <v>1</v>
      </c>
      <c r="G210" s="147" t="s">
        <v>1846</v>
      </c>
      <c r="H210" s="147" t="s">
        <v>1847</v>
      </c>
      <c r="I210" s="147" t="s">
        <v>1848</v>
      </c>
      <c r="J210" s="147">
        <v>1</v>
      </c>
      <c r="K210" s="147">
        <v>2.95</v>
      </c>
    </row>
    <row r="211" spans="1:11" x14ac:dyDescent="0.25">
      <c r="A211" s="160" t="s">
        <v>888</v>
      </c>
      <c r="B211" s="138" t="s">
        <v>1882</v>
      </c>
      <c r="C211" s="146" t="s">
        <v>5</v>
      </c>
      <c r="D211" s="147" t="s">
        <v>1849</v>
      </c>
      <c r="E211" s="147">
        <v>1</v>
      </c>
      <c r="G211" s="147" t="s">
        <v>1850</v>
      </c>
      <c r="H211" s="147" t="s">
        <v>1851</v>
      </c>
      <c r="I211" s="147" t="s">
        <v>1852</v>
      </c>
      <c r="J211" s="147"/>
      <c r="K211" s="147">
        <v>3.95</v>
      </c>
    </row>
    <row r="212" spans="1:11" x14ac:dyDescent="0.25">
      <c r="A212" s="160" t="s">
        <v>888</v>
      </c>
      <c r="B212" s="138" t="s">
        <v>1882</v>
      </c>
      <c r="C212" s="146" t="s">
        <v>5</v>
      </c>
      <c r="D212" s="147" t="s">
        <v>1853</v>
      </c>
      <c r="E212" s="147">
        <v>1</v>
      </c>
      <c r="G212" s="147" t="s">
        <v>1854</v>
      </c>
      <c r="H212" s="147" t="s">
        <v>1855</v>
      </c>
      <c r="I212" s="147" t="s">
        <v>1856</v>
      </c>
      <c r="J212" s="147"/>
      <c r="K212" s="147">
        <v>4.95</v>
      </c>
    </row>
    <row r="213" spans="1:11" x14ac:dyDescent="0.25">
      <c r="A213" s="160" t="s">
        <v>888</v>
      </c>
      <c r="B213" s="138" t="s">
        <v>1882</v>
      </c>
      <c r="C213" s="146" t="s">
        <v>5</v>
      </c>
      <c r="D213" s="147" t="s">
        <v>1857</v>
      </c>
      <c r="E213" s="147">
        <v>1</v>
      </c>
      <c r="G213" s="147" t="s">
        <v>1858</v>
      </c>
      <c r="H213" s="147" t="s">
        <v>1859</v>
      </c>
      <c r="I213" s="147" t="s">
        <v>1860</v>
      </c>
      <c r="J213" s="147">
        <v>1</v>
      </c>
      <c r="K213" s="147">
        <v>14.95</v>
      </c>
    </row>
    <row r="214" spans="1:11" x14ac:dyDescent="0.25">
      <c r="A214" s="160" t="s">
        <v>888</v>
      </c>
      <c r="B214" s="138" t="s">
        <v>1882</v>
      </c>
      <c r="C214" s="146" t="s">
        <v>5</v>
      </c>
      <c r="D214" s="147" t="s">
        <v>1861</v>
      </c>
      <c r="E214" s="147">
        <v>1</v>
      </c>
      <c r="G214" s="147" t="s">
        <v>1862</v>
      </c>
      <c r="H214" s="147" t="s">
        <v>1863</v>
      </c>
      <c r="I214" s="147" t="s">
        <v>1864</v>
      </c>
      <c r="J214" s="147"/>
      <c r="K214" s="147">
        <v>4.95</v>
      </c>
    </row>
    <row r="215" spans="1:11" x14ac:dyDescent="0.25">
      <c r="A215" s="160" t="s">
        <v>888</v>
      </c>
      <c r="B215" s="138" t="s">
        <v>1882</v>
      </c>
      <c r="C215" s="146" t="s">
        <v>5</v>
      </c>
      <c r="D215" s="147" t="s">
        <v>1865</v>
      </c>
      <c r="E215" s="147">
        <v>1</v>
      </c>
      <c r="G215" s="147" t="s">
        <v>1866</v>
      </c>
      <c r="H215" s="147" t="s">
        <v>1867</v>
      </c>
      <c r="I215" s="147" t="s">
        <v>1868</v>
      </c>
      <c r="J215" s="147"/>
      <c r="K215" s="147">
        <v>27.95</v>
      </c>
    </row>
    <row r="216" spans="1:11" x14ac:dyDescent="0.25">
      <c r="A216" s="146" t="s">
        <v>13</v>
      </c>
      <c r="B216" s="138" t="s">
        <v>1600</v>
      </c>
      <c r="C216" s="146" t="s">
        <v>5</v>
      </c>
      <c r="D216" s="147" t="s">
        <v>1189</v>
      </c>
      <c r="E216" s="147">
        <v>1</v>
      </c>
      <c r="G216" s="147" t="s">
        <v>1190</v>
      </c>
      <c r="H216" s="147" t="s">
        <v>1191</v>
      </c>
      <c r="I216" s="147" t="s">
        <v>1192</v>
      </c>
      <c r="J216" s="147">
        <v>1</v>
      </c>
      <c r="K216" s="147">
        <v>59.95</v>
      </c>
    </row>
  </sheetData>
  <mergeCells count="1">
    <mergeCell ref="A160:B160"/>
  </mergeCells>
  <conditionalFormatting sqref="A14:Y145">
    <cfRule type="expression" dxfId="390" priority="17">
      <formula>AND(($F14=0),NOT(ISBLANK($F14)))</formula>
    </cfRule>
  </conditionalFormatting>
  <conditionalFormatting sqref="F161:F175">
    <cfRule type="expression" dxfId="389" priority="8">
      <formula>AND(($E161=0),NOT(ISBLANK($E161)))</formula>
    </cfRule>
  </conditionalFormatting>
  <conditionalFormatting sqref="B206 B210:B214 B208 B180:B184 B186:B196">
    <cfRule type="expression" dxfId="388" priority="41">
      <formula>AND(($G180=0),NOT(ISBLANK($G180)))</formula>
    </cfRule>
  </conditionalFormatting>
  <conditionalFormatting sqref="Y14:Y145">
    <cfRule type="dataBar" priority="10665">
      <dataBar>
        <cfvo type="min"/>
        <cfvo type="max"/>
        <color rgb="FFFFB628"/>
      </dataBar>
      <extLst>
        <ext xmlns:x14="http://schemas.microsoft.com/office/spreadsheetml/2009/9/main" uri="{B025F937-C7B1-47D3-B67F-A62EFF666E3E}">
          <x14:id>{A760E9EC-C773-4457-98E0-E5F43981AC78}</x14:id>
        </ext>
      </extLst>
    </cfRule>
  </conditionalFormatting>
  <conditionalFormatting sqref="N14:N145">
    <cfRule type="dataBar" priority="10667">
      <dataBar>
        <cfvo type="min"/>
        <cfvo type="max"/>
        <color rgb="FFFFB628"/>
      </dataBar>
      <extLst>
        <ext xmlns:x14="http://schemas.microsoft.com/office/spreadsheetml/2009/9/main" uri="{B025F937-C7B1-47D3-B67F-A62EFF666E3E}">
          <x14:id>{0CFA4DB1-BD61-4284-B733-3F8D3199E6AD}</x14:id>
        </ext>
      </extLst>
    </cfRule>
  </conditionalFormatting>
  <dataValidations count="4">
    <dataValidation type="list" allowBlank="1" showInputMessage="1" showErrorMessage="1" sqref="A197:A214 A181:A185 A189:A193" xr:uid="{8DEEEBCE-D7F6-407E-BA0A-B2F95C99CF64}">
      <formula1>$C$6:$C$13</formula1>
    </dataValidation>
    <dataValidation allowBlank="1" showInputMessage="1" showErrorMessage="1" prompt="Title of this worksheet is in this cell" sqref="A11" xr:uid="{1008B592-8954-46AD-A420-F7771A43D064}"/>
    <dataValidation allowBlank="1" showInputMessage="1" showErrorMessage="1" prompt="Title of this worksheet is in cells B1 through D1" sqref="A160" xr:uid="{C8880057-7167-45B9-AA19-3BC441A18286}"/>
    <dataValidation allowBlank="1" showInputMessage="1" showErrorMessage="1" prompt="Total Estimated Value of All Items is automatically calculated in cell at right. Enter Inventory Date in cell I2" sqref="A149:C149" xr:uid="{29442A9E-E75D-4769-BA58-025A621D24A5}"/>
  </dataValidations>
  <pageMargins left="0.7" right="0.7" top="0.75" bottom="0.75" header="0.3" footer="0.3"/>
  <pageSetup orientation="portrait" horizontalDpi="4294967294" verticalDpi="0" r:id="rId1"/>
  <drawing r:id="rId2"/>
  <tableParts count="2">
    <tablePart r:id="rId3"/>
    <tablePart r:id="rId4"/>
  </tableParts>
  <extLst>
    <ext xmlns:x14="http://schemas.microsoft.com/office/spreadsheetml/2009/9/main" uri="{78C0D931-6437-407d-A8EE-F0AAD7539E65}">
      <x14:conditionalFormattings>
        <x14:conditionalFormatting xmlns:xm="http://schemas.microsoft.com/office/excel/2006/main">
          <x14:cfRule type="dataBar" id="{A760E9EC-C773-4457-98E0-E5F43981AC78}">
            <x14:dataBar minLength="0" maxLength="100" border="1" negativeBarBorderColorSameAsPositive="0">
              <x14:cfvo type="autoMin"/>
              <x14:cfvo type="autoMax"/>
              <x14:borderColor rgb="FFFFB628"/>
              <x14:negativeFillColor rgb="FFFF0000"/>
              <x14:negativeBorderColor rgb="FFFF0000"/>
              <x14:axisColor rgb="FF000000"/>
            </x14:dataBar>
          </x14:cfRule>
          <xm:sqref>Y14:Y145</xm:sqref>
        </x14:conditionalFormatting>
        <x14:conditionalFormatting xmlns:xm="http://schemas.microsoft.com/office/excel/2006/main">
          <x14:cfRule type="dataBar" id="{0CFA4DB1-BD61-4284-B733-3F8D3199E6AD}">
            <x14:dataBar minLength="0" maxLength="100" border="1" negativeBarBorderColorSameAsPositive="0">
              <x14:cfvo type="autoMin"/>
              <x14:cfvo type="autoMax"/>
              <x14:borderColor rgb="FFFFB628"/>
              <x14:negativeFillColor rgb="FFFF0000"/>
              <x14:negativeBorderColor rgb="FFFF0000"/>
              <x14:axisColor rgb="FF000000"/>
            </x14:dataBar>
          </x14:cfRule>
          <xm:sqref>N14:N145</xm:sqref>
        </x14:conditionalFormatting>
        <x14:conditionalFormatting xmlns:xm="http://schemas.microsoft.com/office/excel/2006/main">
          <x14:cfRule type="expression" priority="18" id="{649B14ED-407D-4B5B-BD1E-38941D978DD1}">
            <xm:f>$L14=FilterSpecs!$F$13</xm:f>
            <x14:dxf>
              <font>
                <b/>
                <i val="0"/>
                <color theme="0"/>
              </font>
              <fill>
                <patternFill>
                  <bgColor theme="9" tint="-0.499984740745262"/>
                </patternFill>
              </fill>
            </x14:dxf>
          </x14:cfRule>
          <x14:cfRule type="expression" priority="19" id="{1D2CB44F-1D39-4618-94B7-B333582C3D9B}">
            <xm:f>$L14=FilterSpecs!$F$11</xm:f>
            <x14:dxf>
              <font>
                <b/>
                <i val="0"/>
                <color theme="0"/>
              </font>
              <fill>
                <patternFill>
                  <bgColor rgb="FF00B050"/>
                </patternFill>
              </fill>
            </x14:dxf>
          </x14:cfRule>
          <x14:cfRule type="expression" priority="20" id="{7FD1A49B-23B9-4921-9E57-774244E78B77}">
            <xm:f>$L14=FilterSpecs!$F$10</xm:f>
            <x14:dxf>
              <font>
                <b/>
                <i val="0"/>
                <color theme="0"/>
              </font>
              <fill>
                <patternFill>
                  <bgColor rgb="FF002060"/>
                </patternFill>
              </fill>
            </x14:dxf>
          </x14:cfRule>
          <x14:cfRule type="expression" priority="21" id="{09C1A92B-83EA-4AA1-9CAD-D9B2EFE5694E}">
            <xm:f>$L14=FilterSpecs!$F$9</xm:f>
            <x14:dxf>
              <font>
                <b/>
                <i val="0"/>
                <color theme="0"/>
              </font>
              <fill>
                <patternFill>
                  <bgColor rgb="FFFF0000"/>
                </patternFill>
              </fill>
            </x14:dxf>
          </x14:cfRule>
          <x14:cfRule type="expression" priority="22" id="{AF167AF2-977B-4E24-9F59-4D589734CBCF}">
            <xm:f>$L14=FilterSpecs!$F$8</xm:f>
            <x14:dxf>
              <font>
                <b/>
                <i val="0"/>
                <color theme="0"/>
              </font>
              <fill>
                <patternFill>
                  <bgColor rgb="FFFFC000"/>
                </patternFill>
              </fill>
            </x14:dxf>
          </x14:cfRule>
          <x14:cfRule type="expression" priority="23" id="{8C782AAF-B5A3-4FD6-A540-3B1227A10D5B}">
            <xm:f>$L14=FilterSpecs!$F$6</xm:f>
            <x14:dxf>
              <font>
                <b val="0"/>
                <i val="0"/>
              </font>
              <fill>
                <patternFill patternType="none">
                  <bgColor auto="1"/>
                </patternFill>
              </fill>
            </x14:dxf>
          </x14:cfRule>
          <x14:cfRule type="expression" priority="24" id="{5B1E4350-9BB3-48DE-911D-AD46FF4C1A01}">
            <xm:f>$L14=FilterSpecs!$F$7</xm:f>
            <x14:dxf>
              <font>
                <b/>
                <i val="0"/>
                <color theme="0"/>
              </font>
              <fill>
                <patternFill>
                  <bgColor rgb="FF00B0F0"/>
                </patternFill>
              </fill>
            </x14:dxf>
          </x14:cfRule>
          <xm:sqref>A14:Y145</xm:sqref>
        </x14:conditionalFormatting>
        <x14:conditionalFormatting xmlns:xm="http://schemas.microsoft.com/office/excel/2006/main">
          <x14:cfRule type="expression" priority="25" id="{9AADF9DB-23C9-4DAC-8F9B-5BC41BE7AB57}">
            <xm:f>$M161=FilterSpecs!$F$13</xm:f>
            <x14:dxf>
              <font>
                <b/>
                <i val="0"/>
                <color theme="0"/>
              </font>
              <fill>
                <patternFill>
                  <bgColor theme="9" tint="-0.499984740745262"/>
                </patternFill>
              </fill>
            </x14:dxf>
          </x14:cfRule>
          <x14:cfRule type="expression" priority="26" id="{0A9AF009-90B5-46D1-AE58-E1A9C82A3BA6}">
            <xm:f>$M161=FilterSpecs!$F$12</xm:f>
            <x14:dxf>
              <font>
                <b/>
                <i val="0"/>
                <color theme="0"/>
              </font>
              <fill>
                <patternFill>
                  <bgColor rgb="FFEC6E6E"/>
                </patternFill>
              </fill>
            </x14:dxf>
          </x14:cfRule>
          <x14:cfRule type="expression" priority="27" id="{25CD6170-39A7-47B4-9BD5-4B544CBDBEFD}">
            <xm:f>$M161=FilterSpecs!$F$11</xm:f>
            <x14:dxf>
              <font>
                <b/>
                <i val="0"/>
                <color theme="0"/>
              </font>
              <fill>
                <patternFill>
                  <bgColor rgb="FF00B050"/>
                </patternFill>
              </fill>
            </x14:dxf>
          </x14:cfRule>
          <x14:cfRule type="expression" priority="28" id="{9A428E03-EB6E-429D-B717-D91C251FE109}">
            <xm:f>$M161=FilterSpecs!$F$10</xm:f>
            <x14:dxf>
              <font>
                <b/>
                <i val="0"/>
                <color theme="0"/>
              </font>
              <fill>
                <patternFill>
                  <bgColor rgb="FF002060"/>
                </patternFill>
              </fill>
            </x14:dxf>
          </x14:cfRule>
          <x14:cfRule type="expression" priority="29" id="{2E53CB35-96ED-4CFF-8D3A-835AB08A2FC8}">
            <xm:f>$M161=FilterSpecs!$F$9</xm:f>
            <x14:dxf>
              <font>
                <b/>
                <i val="0"/>
                <color theme="0"/>
              </font>
              <fill>
                <patternFill>
                  <bgColor rgb="FFFF0000"/>
                </patternFill>
              </fill>
            </x14:dxf>
          </x14:cfRule>
          <x14:cfRule type="expression" priority="30" id="{438E3E30-924F-40B5-8A54-6A076A47CE86}">
            <xm:f>$M161=FilterSpecs!$F$8</xm:f>
            <x14:dxf>
              <font>
                <b/>
                <i val="0"/>
                <color theme="0"/>
              </font>
              <fill>
                <patternFill>
                  <bgColor rgb="FFFFC000"/>
                </patternFill>
              </fill>
            </x14:dxf>
          </x14:cfRule>
          <x14:cfRule type="expression" priority="31" id="{717A8EBD-1822-4209-A2C5-0C2063B814E2}">
            <xm:f>$M161=FilterSpecs!$F$6</xm:f>
            <x14:dxf>
              <font>
                <b val="0"/>
                <i val="0"/>
              </font>
              <fill>
                <patternFill patternType="none">
                  <bgColor auto="1"/>
                </patternFill>
              </fill>
            </x14:dxf>
          </x14:cfRule>
          <x14:cfRule type="expression" priority="32" id="{BB2D0D38-1D39-463B-8DD3-CEE172942736}">
            <xm:f>$M161=FilterSpecs!$F$7</xm:f>
            <x14:dxf>
              <font>
                <b/>
                <i val="0"/>
                <color theme="0"/>
              </font>
              <fill>
                <patternFill>
                  <bgColor rgb="FF00B0F0"/>
                </patternFill>
              </fill>
            </x14:dxf>
          </x14:cfRule>
          <xm:sqref>G161:S175 D161:E175</xm:sqref>
        </x14:conditionalFormatting>
        <x14:conditionalFormatting xmlns:xm="http://schemas.microsoft.com/office/excel/2006/main">
          <x14:cfRule type="expression" priority="9" id="{84BD50AF-BFD1-438C-8927-0F2F0D7AC406}">
            <xm:f>$M161=FilterSpecs!$F$13</xm:f>
            <x14:dxf>
              <font>
                <b/>
                <i val="0"/>
                <color theme="0"/>
              </font>
              <fill>
                <patternFill>
                  <bgColor theme="9" tint="-0.499984740745262"/>
                </patternFill>
              </fill>
            </x14:dxf>
          </x14:cfRule>
          <x14:cfRule type="expression" priority="10" id="{6CD3D30F-9940-4536-A0EE-84BCE6CFB19E}">
            <xm:f>$M161=FilterSpecs!$F$12</xm:f>
            <x14:dxf>
              <font>
                <b/>
                <i val="0"/>
                <color theme="0"/>
              </font>
              <fill>
                <patternFill>
                  <bgColor rgb="FFEC6E6E"/>
                </patternFill>
              </fill>
            </x14:dxf>
          </x14:cfRule>
          <x14:cfRule type="expression" priority="11" id="{22648A77-0C8F-4352-B407-D6CD02A079F7}">
            <xm:f>$M161=FilterSpecs!$F$11</xm:f>
            <x14:dxf>
              <font>
                <b/>
                <i val="0"/>
                <color theme="0"/>
              </font>
              <fill>
                <patternFill>
                  <bgColor rgb="FF00B050"/>
                </patternFill>
              </fill>
            </x14:dxf>
          </x14:cfRule>
          <x14:cfRule type="expression" priority="12" id="{C9C3683D-BE3F-4768-88CA-5DF113542AC1}">
            <xm:f>$M161=FilterSpecs!$F$10</xm:f>
            <x14:dxf>
              <font>
                <b/>
                <i val="0"/>
                <color theme="0"/>
              </font>
              <fill>
                <patternFill>
                  <bgColor rgb="FF002060"/>
                </patternFill>
              </fill>
            </x14:dxf>
          </x14:cfRule>
          <x14:cfRule type="expression" priority="13" id="{DF79CCA8-DA47-4E6B-AE3D-D2E3017BF55C}">
            <xm:f>$M161=FilterSpecs!$F$9</xm:f>
            <x14:dxf>
              <font>
                <b/>
                <i val="0"/>
                <color theme="0"/>
              </font>
              <fill>
                <patternFill>
                  <bgColor rgb="FFFF0000"/>
                </patternFill>
              </fill>
            </x14:dxf>
          </x14:cfRule>
          <x14:cfRule type="expression" priority="14" id="{AE2C85C0-91BA-46AF-8058-09D05E49AD0A}">
            <xm:f>$M161=FilterSpecs!$F$8</xm:f>
            <x14:dxf>
              <font>
                <b/>
                <i val="0"/>
                <color theme="0"/>
              </font>
              <fill>
                <patternFill>
                  <bgColor rgb="FFFFC000"/>
                </patternFill>
              </fill>
            </x14:dxf>
          </x14:cfRule>
          <x14:cfRule type="expression" priority="15" id="{5038A788-0BC6-463E-A2F1-FB44D3ADB1C5}">
            <xm:f>$M161=FilterSpecs!$F$6</xm:f>
            <x14:dxf>
              <font>
                <b val="0"/>
                <i val="0"/>
              </font>
              <fill>
                <patternFill patternType="none">
                  <bgColor auto="1"/>
                </patternFill>
              </fill>
            </x14:dxf>
          </x14:cfRule>
          <x14:cfRule type="expression" priority="16" id="{D9525E3E-1E84-4656-BFBD-DFB7257522E4}">
            <xm:f>$M161=FilterSpecs!$F$7</xm:f>
            <x14:dxf>
              <font>
                <b/>
                <i val="0"/>
                <color theme="0"/>
              </font>
              <fill>
                <patternFill>
                  <bgColor rgb="FF00B0F0"/>
                </patternFill>
              </fill>
            </x14:dxf>
          </x14:cfRule>
          <xm:sqref>F161:F175</xm:sqref>
        </x14:conditionalFormatting>
        <x14:conditionalFormatting xmlns:xm="http://schemas.microsoft.com/office/excel/2006/main">
          <x14:cfRule type="expression" priority="33" id="{57682551-BDE4-44D5-A2B6-12B53E141185}">
            <xm:f>$M161=FilterSpecs!$F$13</xm:f>
            <x14:dxf>
              <font>
                <b/>
                <i val="0"/>
                <color theme="0"/>
              </font>
              <fill>
                <patternFill>
                  <bgColor theme="9" tint="-0.499984740745262"/>
                </patternFill>
              </fill>
            </x14:dxf>
          </x14:cfRule>
          <x14:cfRule type="expression" priority="34" id="{53AE2F1B-9A63-4C89-857E-F3341F40BDD1}">
            <xm:f>$M161=FilterSpecs!$F$12</xm:f>
            <x14:dxf>
              <font>
                <b/>
                <i val="0"/>
                <color theme="0"/>
              </font>
              <fill>
                <patternFill>
                  <bgColor rgb="FFEC6E6E"/>
                </patternFill>
              </fill>
            </x14:dxf>
          </x14:cfRule>
          <x14:cfRule type="expression" priority="35" id="{CB8089C0-93F8-4221-A3E1-8553992B022A}">
            <xm:f>$M161=FilterSpecs!$F$11</xm:f>
            <x14:dxf>
              <font>
                <b/>
                <i val="0"/>
                <color theme="0"/>
              </font>
              <fill>
                <patternFill>
                  <bgColor rgb="FF00B050"/>
                </patternFill>
              </fill>
            </x14:dxf>
          </x14:cfRule>
          <x14:cfRule type="expression" priority="36" id="{FA2A6FEB-5DE1-44E0-A52A-716357B8B1AB}">
            <xm:f>$M161=FilterSpecs!$F$10</xm:f>
            <x14:dxf>
              <font>
                <b/>
                <i val="0"/>
                <color theme="0"/>
              </font>
              <fill>
                <patternFill>
                  <bgColor rgb="FF002060"/>
                </patternFill>
              </fill>
            </x14:dxf>
          </x14:cfRule>
          <x14:cfRule type="expression" priority="37" id="{3BC21ADC-A708-45C8-A50E-17CD684C3493}">
            <xm:f>$M161=FilterSpecs!$F$9</xm:f>
            <x14:dxf>
              <font>
                <b/>
                <i val="0"/>
                <color theme="0"/>
              </font>
              <fill>
                <patternFill>
                  <bgColor rgb="FFFF0000"/>
                </patternFill>
              </fill>
            </x14:dxf>
          </x14:cfRule>
          <x14:cfRule type="expression" priority="38" id="{384C482E-90E8-4A28-9D5B-C40752219E22}">
            <xm:f>$M161=FilterSpecs!$F$8</xm:f>
            <x14:dxf>
              <font>
                <b/>
                <i val="0"/>
                <color theme="0"/>
              </font>
              <fill>
                <patternFill>
                  <bgColor rgb="FFFFC000"/>
                </patternFill>
              </fill>
            </x14:dxf>
          </x14:cfRule>
          <x14:cfRule type="expression" priority="39" id="{12DF5AE7-EAD5-48E4-B2CF-0CDA21976AE2}">
            <xm:f>$M161=FilterSpecs!$F$6</xm:f>
            <x14:dxf>
              <font>
                <b val="0"/>
                <i val="0"/>
              </font>
              <fill>
                <patternFill patternType="none">
                  <bgColor auto="1"/>
                </patternFill>
              </fill>
            </x14:dxf>
          </x14:cfRule>
          <x14:cfRule type="expression" priority="40" id="{1DE4374A-4DC5-4AB6-83CF-A1A91120C192}">
            <xm:f>$M161=FilterSpecs!$F$7</xm:f>
            <x14:dxf>
              <font>
                <b/>
                <i val="0"/>
                <color theme="0"/>
              </font>
              <fill>
                <patternFill>
                  <bgColor rgb="FF00B0F0"/>
                </patternFill>
              </fill>
            </x14:dxf>
          </x14:cfRule>
          <xm:sqref>A161:C175</xm:sqref>
        </x14:conditionalFormatting>
        <x14:conditionalFormatting xmlns:xm="http://schemas.microsoft.com/office/excel/2006/main">
          <x14:cfRule type="expression" priority="1" id="{4DAE8529-A33B-4753-AF5A-ADB7434115A3}">
            <xm:f>#REF!=FilterSpecs!$F$13</xm:f>
            <x14:dxf>
              <font>
                <b/>
                <i val="0"/>
                <color theme="0"/>
              </font>
              <fill>
                <patternFill>
                  <bgColor theme="9" tint="-0.499984740745262"/>
                </patternFill>
              </fill>
            </x14:dxf>
          </x14:cfRule>
          <x14:cfRule type="expression" priority="2" id="{62DCADA2-A3BF-44F5-BA31-49E1CC445BFB}">
            <xm:f>#REF!=FilterSpecs!$F$11</xm:f>
            <x14:dxf>
              <font>
                <b/>
                <i val="0"/>
                <color theme="0"/>
              </font>
              <fill>
                <patternFill>
                  <bgColor rgb="FF00B050"/>
                </patternFill>
              </fill>
            </x14:dxf>
          </x14:cfRule>
          <x14:cfRule type="expression" priority="3" id="{85537CA9-2404-475D-B9EA-4B8F831ED97E}">
            <xm:f>#REF!=FilterSpecs!$F$10</xm:f>
            <x14:dxf>
              <font>
                <b/>
                <i val="0"/>
                <color theme="0"/>
              </font>
              <fill>
                <patternFill>
                  <bgColor rgb="FF002060"/>
                </patternFill>
              </fill>
            </x14:dxf>
          </x14:cfRule>
          <x14:cfRule type="expression" priority="4" id="{1BB878CA-30A1-42BE-8D9F-7F788C3596ED}">
            <xm:f>#REF!=FilterSpecs!$F$9</xm:f>
            <x14:dxf>
              <font>
                <b/>
                <i val="0"/>
                <color theme="0"/>
              </font>
              <fill>
                <patternFill>
                  <bgColor rgb="FFFF0000"/>
                </patternFill>
              </fill>
            </x14:dxf>
          </x14:cfRule>
          <x14:cfRule type="expression" priority="5" id="{C7A2DF29-95F8-48FD-B02E-E1437178770B}">
            <xm:f>#REF!=FilterSpecs!$F$8</xm:f>
            <x14:dxf>
              <font>
                <b/>
                <i val="0"/>
                <color theme="0"/>
              </font>
              <fill>
                <patternFill>
                  <bgColor rgb="FFFFC000"/>
                </patternFill>
              </fill>
            </x14:dxf>
          </x14:cfRule>
          <x14:cfRule type="expression" priority="6" id="{D60D2B2F-923D-4969-A6B4-7A4D3C84FB16}">
            <xm:f>#REF!=FilterSpecs!$F$6</xm:f>
            <x14:dxf>
              <font>
                <b val="0"/>
                <i val="0"/>
              </font>
              <fill>
                <patternFill patternType="none">
                  <bgColor auto="1"/>
                </patternFill>
              </fill>
            </x14:dxf>
          </x14:cfRule>
          <x14:cfRule type="expression" priority="7" id="{0799E3CC-04AC-4C92-AB0E-DB23122F3155}">
            <xm:f>#REF!=FilterSpecs!$F$7</xm:f>
            <x14:dxf>
              <font>
                <b/>
                <i val="0"/>
                <color theme="0"/>
              </font>
              <fill>
                <patternFill>
                  <bgColor rgb="FF00B0F0"/>
                </patternFill>
              </fill>
            </x14:dxf>
          </x14:cfRule>
          <xm:sqref>B206 B210:B214 B208 B180:B184 B186:B196</xm:sqref>
        </x14:conditionalFormatting>
      </x14:conditionalFormattings>
    </ext>
    <ext xmlns:x15="http://schemas.microsoft.com/office/spreadsheetml/2010/11/main" uri="{3A4CF648-6AED-40f4-86FF-DC5316D8AED3}">
      <x14:slicerList xmlns:x14="http://schemas.microsoft.com/office/spreadsheetml/2009/9/main">
        <x14:slicer r:id="rId5"/>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BDFD24-8906-4F20-A475-31A048AACBA0}">
  <sheetPr codeName="Sheet27">
    <tabColor rgb="FF92D050"/>
  </sheetPr>
  <dimension ref="A1:AE270"/>
  <sheetViews>
    <sheetView topLeftCell="A170" zoomScaleNormal="100" workbookViewId="0">
      <selection activeCell="A197" sqref="A197"/>
    </sheetView>
  </sheetViews>
  <sheetFormatPr defaultColWidth="8.85546875" defaultRowHeight="15" x14ac:dyDescent="0.25"/>
  <cols>
    <col min="1" max="1" width="37.7109375" style="149" customWidth="1"/>
    <col min="2" max="2" width="46.140625" style="149" bestFit="1" customWidth="1"/>
    <col min="3" max="3" width="17.140625" style="149" customWidth="1"/>
    <col min="4" max="4" width="14" style="149" customWidth="1"/>
    <col min="5" max="5" width="7.7109375" style="149" customWidth="1"/>
    <col min="6" max="6" width="10.140625" style="146" customWidth="1"/>
    <col min="7" max="7" width="2.5703125" style="146" hidden="1" customWidth="1"/>
    <col min="8" max="8" width="92.42578125" style="149" hidden="1" customWidth="1"/>
    <col min="9" max="9" width="63.140625" style="146" customWidth="1"/>
    <col min="10" max="10" width="0.140625" style="149" hidden="1" customWidth="1"/>
    <col min="11" max="11" width="9.5703125" style="149" customWidth="1"/>
    <col min="12" max="12" width="5" style="146" customWidth="1"/>
    <col min="13" max="13" width="7.28515625" style="146" hidden="1" customWidth="1"/>
    <col min="14" max="14" width="13.28515625" style="146" bestFit="1" customWidth="1"/>
    <col min="15" max="15" width="11.5703125" style="146" customWidth="1"/>
    <col min="16" max="16" width="8.140625" style="146" bestFit="1" customWidth="1"/>
    <col min="17" max="17" width="18.7109375" style="146" bestFit="1" customWidth="1"/>
    <col min="18" max="18" width="19.140625" style="146" bestFit="1" customWidth="1"/>
    <col min="19" max="19" width="57.7109375" style="146" bestFit="1" customWidth="1"/>
    <col min="20" max="20" width="7.28515625" style="146" customWidth="1"/>
    <col min="21" max="21" width="12.140625" style="146" customWidth="1"/>
    <col min="22" max="22" width="7.7109375" style="146" customWidth="1"/>
    <col min="23" max="24" width="8.85546875" style="146"/>
    <col min="25" max="25" width="10.140625" style="146" bestFit="1" customWidth="1"/>
    <col min="26" max="26" width="8.85546875" style="146"/>
    <col min="27" max="27" width="62.7109375" style="146" bestFit="1" customWidth="1"/>
    <col min="28" max="28" width="20.7109375" style="146" customWidth="1"/>
    <col min="29" max="29" width="8.85546875" style="146"/>
    <col min="30" max="30" width="14.7109375" style="146" bestFit="1" customWidth="1"/>
    <col min="31" max="31" width="9.5703125" style="146" bestFit="1" customWidth="1"/>
    <col min="32" max="16384" width="8.85546875" style="146"/>
  </cols>
  <sheetData>
    <row r="1" spans="1:31" x14ac:dyDescent="0.25">
      <c r="AD1" s="153" t="s">
        <v>50</v>
      </c>
      <c r="AE1" s="153">
        <v>5</v>
      </c>
    </row>
    <row r="2" spans="1:31" x14ac:dyDescent="0.25">
      <c r="AD2" s="153" t="s">
        <v>54</v>
      </c>
      <c r="AE2" s="153">
        <v>5</v>
      </c>
    </row>
    <row r="3" spans="1:31" x14ac:dyDescent="0.25">
      <c r="AD3" s="153" t="s">
        <v>58</v>
      </c>
      <c r="AE3" s="153">
        <v>0</v>
      </c>
    </row>
    <row r="4" spans="1:31" x14ac:dyDescent="0.25">
      <c r="AD4" s="153" t="s">
        <v>62</v>
      </c>
      <c r="AE4" s="153">
        <v>10</v>
      </c>
    </row>
    <row r="5" spans="1:31" x14ac:dyDescent="0.25">
      <c r="AD5" s="153" t="s">
        <v>223</v>
      </c>
      <c r="AE5" s="153">
        <v>0</v>
      </c>
    </row>
    <row r="6" spans="1:31" x14ac:dyDescent="0.25">
      <c r="AD6" s="153" t="s">
        <v>1817</v>
      </c>
      <c r="AE6" s="153">
        <v>0</v>
      </c>
    </row>
    <row r="7" spans="1:31" x14ac:dyDescent="0.25">
      <c r="AD7" s="104" t="s">
        <v>2481</v>
      </c>
      <c r="AE7" s="104">
        <v>0</v>
      </c>
    </row>
    <row r="8" spans="1:31" x14ac:dyDescent="0.25">
      <c r="AD8" s="153" t="s">
        <v>340</v>
      </c>
      <c r="AE8" s="153">
        <v>5</v>
      </c>
    </row>
    <row r="9" spans="1:31" x14ac:dyDescent="0.25">
      <c r="AD9" s="153" t="s">
        <v>226</v>
      </c>
      <c r="AE9" s="153">
        <v>1</v>
      </c>
    </row>
    <row r="10" spans="1:31" x14ac:dyDescent="0.25">
      <c r="AD10" s="153" t="s">
        <v>279</v>
      </c>
      <c r="AE10" s="153">
        <v>0</v>
      </c>
    </row>
    <row r="11" spans="1:31" ht="72" customHeight="1" thickBot="1" x14ac:dyDescent="0.3">
      <c r="A11" s="38"/>
      <c r="AD11" s="153" t="s">
        <v>407</v>
      </c>
      <c r="AE11" s="153">
        <v>5</v>
      </c>
    </row>
    <row r="12" spans="1:31" ht="6.6" customHeight="1" thickTop="1" x14ac:dyDescent="0.25">
      <c r="A12" s="83"/>
      <c r="B12" s="83"/>
      <c r="C12" s="83"/>
      <c r="D12" s="83"/>
      <c r="E12" s="83"/>
      <c r="F12" s="83"/>
      <c r="G12" s="83"/>
      <c r="H12" s="83"/>
      <c r="I12" s="83"/>
      <c r="J12" s="83"/>
      <c r="K12" s="83"/>
      <c r="L12" s="83"/>
      <c r="M12" s="83"/>
      <c r="N12" s="83"/>
      <c r="O12" s="83"/>
      <c r="P12" s="83"/>
      <c r="AD12" s="153" t="s">
        <v>628</v>
      </c>
      <c r="AE12" s="153">
        <v>5</v>
      </c>
    </row>
    <row r="13" spans="1:31" x14ac:dyDescent="0.25">
      <c r="A13" s="149" t="s">
        <v>886</v>
      </c>
      <c r="B13" s="72" t="s">
        <v>156</v>
      </c>
      <c r="C13" s="72" t="s">
        <v>4</v>
      </c>
      <c r="D13" s="147" t="s">
        <v>20</v>
      </c>
      <c r="E13" s="147" t="s">
        <v>2536</v>
      </c>
      <c r="F13" s="147" t="s">
        <v>2537</v>
      </c>
      <c r="G13" s="147" t="s">
        <v>21</v>
      </c>
      <c r="H13" s="147" t="s">
        <v>22</v>
      </c>
      <c r="I13" s="147" t="s">
        <v>23</v>
      </c>
      <c r="J13" s="147" t="s">
        <v>24</v>
      </c>
      <c r="K13" s="147" t="s">
        <v>25</v>
      </c>
      <c r="L13" s="147" t="s">
        <v>1904</v>
      </c>
      <c r="M13" s="147" t="s">
        <v>1607</v>
      </c>
      <c r="N13" s="147" t="s">
        <v>1399</v>
      </c>
      <c r="O13" s="147" t="s">
        <v>2557</v>
      </c>
      <c r="P13" s="147" t="s">
        <v>2519</v>
      </c>
      <c r="Q13" s="147" t="s">
        <v>2533</v>
      </c>
      <c r="R13" s="147" t="s">
        <v>2529</v>
      </c>
      <c r="S13" s="147" t="s">
        <v>2374</v>
      </c>
      <c r="T13" s="147" t="s">
        <v>2539</v>
      </c>
      <c r="U13" s="147" t="s">
        <v>2535</v>
      </c>
      <c r="V13" s="147" t="s">
        <v>2534</v>
      </c>
      <c r="W13" s="147" t="s">
        <v>2538</v>
      </c>
      <c r="X13" s="147" t="s">
        <v>2552</v>
      </c>
      <c r="Y13" s="147" t="s">
        <v>2553</v>
      </c>
      <c r="AD13" s="153" t="s">
        <v>2242</v>
      </c>
      <c r="AE13" s="153">
        <v>0</v>
      </c>
    </row>
    <row r="14" spans="1:31" s="153" customFormat="1" x14ac:dyDescent="0.25">
      <c r="A14" s="150" t="s">
        <v>887</v>
      </c>
      <c r="B14" s="150" t="s">
        <v>8</v>
      </c>
      <c r="C14" s="150" t="s">
        <v>5</v>
      </c>
      <c r="D14" s="151" t="str">
        <f>IF(AdafruitListTable[[#This Row],[Vendor]]=FilterSpecs!$A$8,AdafruitListTable[[#This Row],[Mouser SKU]], AdafruitListTable[[#This Row],[Supplier SKU]])</f>
        <v>WRL-11373</v>
      </c>
      <c r="E14" s="152">
        <f>MouserListTable[[#This Row],[Tot '#]]-MouserListTable[[#This Row],['# Initial]]</f>
        <v>1</v>
      </c>
      <c r="F14" s="152">
        <f>IF(AND(MouserListTable[[#This Row],[Tag]]&lt;&gt;FilterSpecs!$F$12, MouserListTable[[#This Row],[Tag]]&lt;&gt;FilterSpecs!$F$9), MouserListTable[[#This Row],['#/Unit]]*FilterSpecs!$B$3+MouserListTable[[#This Row],[Extra Initial]],0)</f>
        <v>0</v>
      </c>
      <c r="G14" s="150" t="s">
        <v>51</v>
      </c>
      <c r="H14" s="150" t="s">
        <v>52</v>
      </c>
      <c r="I14" s="150" t="s">
        <v>53</v>
      </c>
      <c r="J14" s="150">
        <v>1</v>
      </c>
      <c r="K14" s="154">
        <v>9.9499999999999993</v>
      </c>
      <c r="L14" s="150" t="s">
        <v>1897</v>
      </c>
      <c r="M14" s="151"/>
      <c r="N14" s="154">
        <f>MouserListTable[[#This Row],['# Initial]]*MouserListTable[[#This Row],[Price (USD)]]</f>
        <v>0</v>
      </c>
      <c r="O14" s="151" t="s">
        <v>50</v>
      </c>
      <c r="P14" s="150">
        <f>IF(AdafruitListTable[[#Headers],[List '#]]="List #",1,AdafruitListTable[[#Headers],[List '#]]+1)</f>
        <v>1</v>
      </c>
      <c r="Q14" s="150" t="s">
        <v>5</v>
      </c>
      <c r="R1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474-WIG-13660</v>
      </c>
      <c r="S14" s="157" t="str">
        <f>HYPERLINK("https://www.mouser.com/ProductDetail/" &amp;MouserListTable[[#This Row],[Mouser SKU]])</f>
        <v>https://www.mouser.com/ProductDetail/474-WIG-13660</v>
      </c>
      <c r="T14" s="152">
        <v>1</v>
      </c>
      <c r="U14" s="152">
        <v>0</v>
      </c>
      <c r="V14" s="152">
        <v>0</v>
      </c>
      <c r="W14" s="152">
        <f>MouserListTable[[#This Row],['#/Unit]]*FilterSpecs!$C$3+MouserListTable[[#This Row],[Extra]]</f>
        <v>1</v>
      </c>
      <c r="X14" s="152">
        <f>IF(MouserListTable[[#This Row],[Tag]]=FilterSpecs!$F$7,MouserListTable[[#This Row],['#/Unit]]*MouserListTable[[#This Row],[Price (USD)]],0)</f>
        <v>0</v>
      </c>
      <c r="Y14" s="152">
        <f>MouserListTable[[#This Row],[Tot '#]]*MouserListTable[[#This Row],[Price (USD)]]</f>
        <v>49.95</v>
      </c>
      <c r="Z14" s="146"/>
      <c r="AA14" s="153" t="str">
        <f>AdafruitListTable[[#This Row],[SKU]]</f>
        <v>WRL-11373</v>
      </c>
      <c r="AB14" s="153">
        <f>VALUE(AdafruitListTable[[#This Row],['# Initial]])</f>
        <v>0</v>
      </c>
      <c r="AD14" s="153" t="s">
        <v>50</v>
      </c>
      <c r="AE14" s="153">
        <v>5</v>
      </c>
    </row>
    <row r="15" spans="1:31" s="153" customFormat="1" x14ac:dyDescent="0.25">
      <c r="A15" s="150" t="s">
        <v>887</v>
      </c>
      <c r="B15" s="150" t="s">
        <v>8</v>
      </c>
      <c r="C15" s="150" t="s">
        <v>5</v>
      </c>
      <c r="D15" s="151" t="str">
        <f>IF(AdafruitListTable[[#This Row],[Vendor]]=FilterSpecs!$A$8,AdafruitListTable[[#This Row],[Mouser SKU]], AdafruitListTable[[#This Row],[Supplier SKU]])</f>
        <v>WRL-11697</v>
      </c>
      <c r="E15" s="152">
        <f>MouserListTable[[#This Row],[Tot '#]]-MouserListTable[[#This Row],['# Initial]]</f>
        <v>1</v>
      </c>
      <c r="F15" s="152">
        <f>IF(AND(MouserListTable[[#This Row],[Tag]]&lt;&gt;FilterSpecs!$F$12, MouserListTable[[#This Row],[Tag]]&lt;&gt;FilterSpecs!$F$9), MouserListTable[[#This Row],['#/Unit]]*FilterSpecs!$B$3+MouserListTable[[#This Row],[Extra Initial]],0)</f>
        <v>0</v>
      </c>
      <c r="G15" s="150" t="s">
        <v>55</v>
      </c>
      <c r="H15" s="150" t="s">
        <v>56</v>
      </c>
      <c r="I15" s="150" t="s">
        <v>57</v>
      </c>
      <c r="J15" s="150">
        <v>1</v>
      </c>
      <c r="K15" s="154">
        <v>24.95</v>
      </c>
      <c r="L15" s="150" t="s">
        <v>1897</v>
      </c>
      <c r="M15" s="151"/>
      <c r="N15" s="154">
        <f>MouserListTable[[#This Row],['# Initial]]*MouserListTable[[#This Row],[Price (USD)]]</f>
        <v>0</v>
      </c>
      <c r="O15" s="151" t="s">
        <v>54</v>
      </c>
      <c r="P15" s="150">
        <f t="shared" ref="P15:P78" si="0">IF($P14="List #",1,$P14+1)</f>
        <v>2</v>
      </c>
      <c r="Q15" s="150" t="s">
        <v>5</v>
      </c>
      <c r="R1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474-COM-14023</v>
      </c>
      <c r="S15" s="157" t="str">
        <f>HYPERLINK("https://www.mouser.com/ProductDetail/" &amp;MouserListTable[[#This Row],[Mouser SKU]])</f>
        <v>https://www.mouser.com/ProductDetail/474-COM-14023</v>
      </c>
      <c r="T15" s="152">
        <v>1</v>
      </c>
      <c r="U15" s="152">
        <v>0</v>
      </c>
      <c r="V15" s="152">
        <v>0</v>
      </c>
      <c r="W15" s="152">
        <f>MouserListTable[[#This Row],['#/Unit]]*FilterSpecs!$C$3+MouserListTable[[#This Row],[Extra]]</f>
        <v>1</v>
      </c>
      <c r="X15" s="152">
        <f>IF(MouserListTable[[#This Row],[Tag]]=FilterSpecs!$F$7,MouserListTable[[#This Row],['#/Unit]]*MouserListTable[[#This Row],[Price (USD)]],0)</f>
        <v>0</v>
      </c>
      <c r="Y15" s="152">
        <f>MouserListTable[[#This Row],[Tot '#]]*MouserListTable[[#This Row],[Price (USD)]]</f>
        <v>4.95</v>
      </c>
      <c r="Z15" s="146"/>
      <c r="AA15" s="153" t="str">
        <f>AdafruitListTable[[#This Row],[SKU]]</f>
        <v>WRL-11697</v>
      </c>
      <c r="AB15" s="153">
        <f>VALUE(AdafruitListTable[[#This Row],['# Initial]])</f>
        <v>0</v>
      </c>
      <c r="AD15" s="153" t="s">
        <v>54</v>
      </c>
      <c r="AE15" s="153">
        <v>5</v>
      </c>
    </row>
    <row r="16" spans="1:31" s="153" customFormat="1" x14ac:dyDescent="0.25">
      <c r="A16" s="150" t="s">
        <v>887</v>
      </c>
      <c r="B16" s="150" t="s">
        <v>8</v>
      </c>
      <c r="C16" s="150" t="s">
        <v>5</v>
      </c>
      <c r="D16" s="151" t="str">
        <f>IF(AdafruitListTable[[#This Row],[Vendor]]=FilterSpecs!$A$8,AdafruitListTable[[#This Row],[Mouser SKU]], AdafruitListTable[[#This Row],[Supplier SKU]])</f>
        <v>WRL-11601</v>
      </c>
      <c r="E16" s="152">
        <f>MouserListTable[[#This Row],[Tot '#]]-MouserListTable[[#This Row],['# Initial]]</f>
        <v>2</v>
      </c>
      <c r="F16" s="152">
        <f>IF(AND(MouserListTable[[#This Row],[Tag]]&lt;&gt;FilterSpecs!$F$12, MouserListTable[[#This Row],[Tag]]&lt;&gt;FilterSpecs!$F$9), MouserListTable[[#This Row],['#/Unit]]*FilterSpecs!$B$3+MouserListTable[[#This Row],[Extra Initial]],0)</f>
        <v>0</v>
      </c>
      <c r="G16" s="150" t="s">
        <v>63</v>
      </c>
      <c r="H16" s="150" t="s">
        <v>64</v>
      </c>
      <c r="I16" s="150" t="s">
        <v>65</v>
      </c>
      <c r="J16" s="150">
        <v>1</v>
      </c>
      <c r="K16" s="154">
        <v>24.95</v>
      </c>
      <c r="L16" s="150" t="s">
        <v>1897</v>
      </c>
      <c r="M16" s="151"/>
      <c r="N16" s="154">
        <f>MouserListTable[[#This Row],['# Initial]]*MouserListTable[[#This Row],[Price (USD)]]</f>
        <v>0</v>
      </c>
      <c r="O16" s="151" t="s">
        <v>62</v>
      </c>
      <c r="P16" s="150">
        <f t="shared" si="0"/>
        <v>3</v>
      </c>
      <c r="Q16" s="150" t="s">
        <v>5</v>
      </c>
      <c r="R1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474-COM-09151</v>
      </c>
      <c r="S16" s="157" t="str">
        <f>HYPERLINK("https://www.mouser.com/ProductDetail/" &amp;MouserListTable[[#This Row],[Mouser SKU]])</f>
        <v>https://www.mouser.com/ProductDetail/474-COM-09151</v>
      </c>
      <c r="T16" s="152">
        <v>2</v>
      </c>
      <c r="U16" s="152">
        <v>0</v>
      </c>
      <c r="V16" s="152">
        <v>0</v>
      </c>
      <c r="W16" s="152">
        <f>MouserListTable[[#This Row],['#/Unit]]*FilterSpecs!$C$3+MouserListTable[[#This Row],[Extra]]</f>
        <v>2</v>
      </c>
      <c r="X16" s="152">
        <f>IF(MouserListTable[[#This Row],[Tag]]=FilterSpecs!$F$7,MouserListTable[[#This Row],['#/Unit]]*MouserListTable[[#This Row],[Price (USD)]],0)</f>
        <v>0</v>
      </c>
      <c r="Y16" s="152">
        <f>MouserListTable[[#This Row],[Tot '#]]*MouserListTable[[#This Row],[Price (USD)]]</f>
        <v>3.9</v>
      </c>
      <c r="Z16" s="146"/>
      <c r="AA16" s="153" t="str">
        <f>AdafruitListTable[[#This Row],[SKU]]</f>
        <v>WRL-11601</v>
      </c>
      <c r="AB16" s="153">
        <f>VALUE(AdafruitListTable[[#This Row],['# Initial]])</f>
        <v>0</v>
      </c>
      <c r="AD16" s="153" t="s">
        <v>62</v>
      </c>
      <c r="AE16" s="153">
        <v>10</v>
      </c>
    </row>
    <row r="17" spans="1:31" s="153" customFormat="1" x14ac:dyDescent="0.25">
      <c r="A17" s="150" t="s">
        <v>887</v>
      </c>
      <c r="B17" s="150" t="s">
        <v>1882</v>
      </c>
      <c r="C17" s="150" t="s">
        <v>5</v>
      </c>
      <c r="D17" s="151" t="str">
        <f>IF(AdafruitListTable[[#This Row],[Vendor]]=FilterSpecs!$A$8,AdafruitListTable[[#This Row],[Mouser SKU]], AdafruitListTable[[#This Row],[Supplier SKU]])</f>
        <v>COM-13004</v>
      </c>
      <c r="E17" s="152">
        <f>MouserListTable[[#This Row],[Tot '#]]-MouserListTable[[#This Row],['# Initial]]</f>
        <v>1</v>
      </c>
      <c r="F17" s="152">
        <f>IF(AND(MouserListTable[[#This Row],[Tag]]&lt;&gt;FilterSpecs!$F$12, MouserListTable[[#This Row],[Tag]]&lt;&gt;FilterSpecs!$F$9), MouserListTable[[#This Row],['#/Unit]]*FilterSpecs!$B$3+MouserListTable[[#This Row],[Extra Initial]],0)</f>
        <v>0</v>
      </c>
      <c r="G17" s="150" t="s">
        <v>341</v>
      </c>
      <c r="H17" s="150" t="s">
        <v>342</v>
      </c>
      <c r="I17" s="150" t="s">
        <v>343</v>
      </c>
      <c r="K17" s="154">
        <v>4.95</v>
      </c>
      <c r="L17" s="150" t="s">
        <v>1897</v>
      </c>
      <c r="M17" s="151"/>
      <c r="N17" s="154">
        <f>MouserListTable[[#This Row],['# Initial]]*MouserListTable[[#This Row],[Price (USD)]]</f>
        <v>0</v>
      </c>
      <c r="O17" s="151" t="s">
        <v>340</v>
      </c>
      <c r="P17" s="150">
        <f t="shared" si="0"/>
        <v>4</v>
      </c>
      <c r="Q17" s="150" t="s">
        <v>5</v>
      </c>
      <c r="R1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474-COM-11145</v>
      </c>
      <c r="S17" s="157" t="str">
        <f>HYPERLINK("https://www.mouser.com/ProductDetail/" &amp;MouserListTable[[#This Row],[Mouser SKU]])</f>
        <v>https://www.mouser.com/ProductDetail/474-COM-11145</v>
      </c>
      <c r="T17" s="152">
        <v>1</v>
      </c>
      <c r="U17" s="152">
        <v>0</v>
      </c>
      <c r="V17" s="152">
        <v>0</v>
      </c>
      <c r="W17" s="152">
        <f>MouserListTable[[#This Row],['#/Unit]]*FilterSpecs!$C$3+MouserListTable[[#This Row],[Extra]]</f>
        <v>1</v>
      </c>
      <c r="X17" s="152">
        <f>IF(MouserListTable[[#This Row],[Tag]]=FilterSpecs!$F$7,MouserListTable[[#This Row],['#/Unit]]*MouserListTable[[#This Row],[Price (USD)]],0)</f>
        <v>0</v>
      </c>
      <c r="Y17" s="152">
        <f>MouserListTable[[#This Row],[Tot '#]]*MouserListTable[[#This Row],[Price (USD)]]</f>
        <v>0.75</v>
      </c>
      <c r="Z17" s="146"/>
      <c r="AA17" s="153" t="str">
        <f>AdafruitListTable[[#This Row],[SKU]]</f>
        <v>COM-13004</v>
      </c>
      <c r="AB17" s="153">
        <f>VALUE(AdafruitListTable[[#This Row],['# Initial]])</f>
        <v>0</v>
      </c>
      <c r="AD17" s="153" t="s">
        <v>340</v>
      </c>
      <c r="AE17" s="153">
        <v>5</v>
      </c>
    </row>
    <row r="18" spans="1:31" s="153" customFormat="1" x14ac:dyDescent="0.25">
      <c r="A18" s="150" t="s">
        <v>887</v>
      </c>
      <c r="B18" s="150" t="s">
        <v>1882</v>
      </c>
      <c r="C18" s="150" t="s">
        <v>5</v>
      </c>
      <c r="D18" s="151" t="str">
        <f>IF(AdafruitListTable[[#This Row],[Vendor]]=FilterSpecs!$A$8,AdafruitListTable[[#This Row],[Mouser SKU]], AdafruitListTable[[#This Row],[Supplier SKU]])</f>
        <v>TOL-09419</v>
      </c>
      <c r="E18" s="152">
        <f>MouserListTable[[#This Row],[Tot '#]]-MouserListTable[[#This Row],['# Initial]]</f>
        <v>2</v>
      </c>
      <c r="F18" s="152">
        <f>IF(AND(MouserListTable[[#This Row],[Tag]]&lt;&gt;FilterSpecs!$F$12, MouserListTable[[#This Row],[Tag]]&lt;&gt;FilterSpecs!$F$9), MouserListTable[[#This Row],['#/Unit]]*FilterSpecs!$B$3+MouserListTable[[#This Row],[Extra Initial]],0)</f>
        <v>0</v>
      </c>
      <c r="G18" s="150" t="s">
        <v>227</v>
      </c>
      <c r="H18" s="150" t="s">
        <v>228</v>
      </c>
      <c r="I18" s="150" t="s">
        <v>198</v>
      </c>
      <c r="J18" s="150">
        <v>1</v>
      </c>
      <c r="K18" s="154">
        <v>9.9499999999999993</v>
      </c>
      <c r="L18" s="150" t="s">
        <v>1900</v>
      </c>
      <c r="M18" s="151"/>
      <c r="N18" s="154">
        <f>MouserListTable[[#This Row],['# Initial]]*MouserListTable[[#This Row],[Price (USD)]]</f>
        <v>0</v>
      </c>
      <c r="O18" s="151" t="s">
        <v>226</v>
      </c>
      <c r="P18" s="150">
        <f t="shared" si="0"/>
        <v>5</v>
      </c>
      <c r="Q18" s="150" t="s">
        <v>5</v>
      </c>
      <c r="R1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474-ROB-08449</v>
      </c>
      <c r="S18" s="157" t="str">
        <f>HYPERLINK("https://www.mouser.com/ProductDetail/" &amp;MouserListTable[[#This Row],[Mouser SKU]])</f>
        <v>https://www.mouser.com/ProductDetail/474-ROB-08449</v>
      </c>
      <c r="T18" s="152">
        <v>0</v>
      </c>
      <c r="U18" s="152">
        <v>1</v>
      </c>
      <c r="V18" s="152">
        <v>1</v>
      </c>
      <c r="W18" s="152">
        <f>MouserListTable[[#This Row],['#/Unit]]*FilterSpecs!$C$3+MouserListTable[[#This Row],[Extra]]</f>
        <v>2</v>
      </c>
      <c r="X18" s="152">
        <f>IF(MouserListTable[[#This Row],[Tag]]=FilterSpecs!$F$7,MouserListTable[[#This Row],['#/Unit]]*MouserListTable[[#This Row],[Price (USD)]],0)</f>
        <v>0</v>
      </c>
      <c r="Y18" s="152">
        <f>MouserListTable[[#This Row],[Tot '#]]*MouserListTable[[#This Row],[Price (USD)]]</f>
        <v>9.9</v>
      </c>
      <c r="Z18" s="146"/>
      <c r="AA18" s="153" t="str">
        <f>AdafruitListTable[[#This Row],[SKU]]</f>
        <v>TOL-09419</v>
      </c>
      <c r="AB18" s="153">
        <f>VALUE(AdafruitListTable[[#This Row],['# Initial]])</f>
        <v>0</v>
      </c>
      <c r="AD18" s="153" t="s">
        <v>226</v>
      </c>
      <c r="AE18" s="153">
        <v>1</v>
      </c>
    </row>
    <row r="19" spans="1:31" s="153" customFormat="1" x14ac:dyDescent="0.25">
      <c r="A19" s="150" t="s">
        <v>887</v>
      </c>
      <c r="B19" s="150" t="s">
        <v>1882</v>
      </c>
      <c r="C19" s="150" t="s">
        <v>5</v>
      </c>
      <c r="D19" s="151" t="str">
        <f>IF(AdafruitListTable[[#This Row],[Vendor]]=FilterSpecs!$A$8,AdafruitListTable[[#This Row],[Mouser SKU]], AdafruitListTable[[#This Row],[Supplier SKU]])</f>
        <v>DEV-13743</v>
      </c>
      <c r="E19" s="152">
        <f>MouserListTable[[#This Row],[Tot '#]]-MouserListTable[[#This Row],['# Initial]]</f>
        <v>1</v>
      </c>
      <c r="F19" s="152">
        <f>IF(AND(MouserListTable[[#This Row],[Tag]]&lt;&gt;FilterSpecs!$F$12, MouserListTable[[#This Row],[Tag]]&lt;&gt;FilterSpecs!$F$9), MouserListTable[[#This Row],['#/Unit]]*FilterSpecs!$B$3+MouserListTable[[#This Row],[Extra Initial]],0)</f>
        <v>0</v>
      </c>
      <c r="G19" s="150" t="s">
        <v>408</v>
      </c>
      <c r="H19" s="150" t="s">
        <v>409</v>
      </c>
      <c r="I19" s="150" t="s">
        <v>216</v>
      </c>
      <c r="J19" s="150">
        <v>1</v>
      </c>
      <c r="K19" s="154">
        <v>4.95</v>
      </c>
      <c r="L19" s="150" t="s">
        <v>1897</v>
      </c>
      <c r="M19" s="151"/>
      <c r="N19" s="154">
        <f>MouserListTable[[#This Row],['# Initial]]*MouserListTable[[#This Row],[Price (USD)]]</f>
        <v>0</v>
      </c>
      <c r="O19" s="151" t="s">
        <v>407</v>
      </c>
      <c r="P19" s="150">
        <f t="shared" si="0"/>
        <v>6</v>
      </c>
      <c r="Q19" s="150" t="s">
        <v>5</v>
      </c>
      <c r="R1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474-DEV-11711</v>
      </c>
      <c r="S19" s="157" t="str">
        <f>HYPERLINK("https://www.mouser.com/ProductDetail/" &amp;MouserListTable[[#This Row],[Mouser SKU]])</f>
        <v>https://www.mouser.com/ProductDetail/474-DEV-11711</v>
      </c>
      <c r="T19" s="152">
        <v>1</v>
      </c>
      <c r="U19" s="152">
        <v>0</v>
      </c>
      <c r="V19" s="152">
        <v>0</v>
      </c>
      <c r="W19" s="152">
        <f>MouserListTable[[#This Row],['#/Unit]]*FilterSpecs!$C$3+MouserListTable[[#This Row],[Extra]]</f>
        <v>1</v>
      </c>
      <c r="X19" s="152">
        <f>IF(MouserListTable[[#This Row],[Tag]]=FilterSpecs!$F$7,MouserListTable[[#This Row],['#/Unit]]*MouserListTable[[#This Row],[Price (USD)]],0)</f>
        <v>0</v>
      </c>
      <c r="Y19" s="152">
        <f>MouserListTable[[#This Row],[Tot '#]]*MouserListTable[[#This Row],[Price (USD)]]</f>
        <v>59.95</v>
      </c>
      <c r="Z19" s="146"/>
      <c r="AA19" s="153" t="str">
        <f>AdafruitListTable[[#This Row],[SKU]]</f>
        <v>DEV-13743</v>
      </c>
      <c r="AB19" s="153">
        <f>VALUE(AdafruitListTable[[#This Row],['# Initial]])</f>
        <v>0</v>
      </c>
      <c r="AD19" s="153" t="s">
        <v>407</v>
      </c>
      <c r="AE19" s="153">
        <v>5</v>
      </c>
    </row>
    <row r="20" spans="1:31" s="153" customFormat="1" x14ac:dyDescent="0.25">
      <c r="A20" s="150" t="s">
        <v>887</v>
      </c>
      <c r="B20" s="150" t="s">
        <v>1882</v>
      </c>
      <c r="C20" s="150" t="s">
        <v>5</v>
      </c>
      <c r="D20" s="151" t="str">
        <f>IF(AdafruitListTable[[#This Row],[Vendor]]=FilterSpecs!$A$8,AdafruitListTable[[#This Row],[Mouser SKU]], AdafruitListTable[[#This Row],[Supplier SKU]])</f>
        <v>COM-13833</v>
      </c>
      <c r="E20" s="152">
        <f>MouserListTable[[#This Row],[Tot '#]]-MouserListTable[[#This Row],['# Initial]]</f>
        <v>1</v>
      </c>
      <c r="F20" s="152">
        <f>IF(AND(MouserListTable[[#This Row],[Tag]]&lt;&gt;FilterSpecs!$F$12, MouserListTable[[#This Row],[Tag]]&lt;&gt;FilterSpecs!$F$9), MouserListTable[[#This Row],['#/Unit]]*FilterSpecs!$B$3+MouserListTable[[#This Row],[Extra Initial]],0)</f>
        <v>0</v>
      </c>
      <c r="G20" s="150" t="s">
        <v>629</v>
      </c>
      <c r="H20" s="150" t="s">
        <v>630</v>
      </c>
      <c r="I20" s="150" t="s">
        <v>631</v>
      </c>
      <c r="J20" s="150">
        <v>1</v>
      </c>
      <c r="K20" s="154">
        <v>19.95</v>
      </c>
      <c r="L20" s="150" t="s">
        <v>1897</v>
      </c>
      <c r="M20" s="151"/>
      <c r="N20" s="154">
        <f>MouserListTable[[#This Row],['# Initial]]*MouserListTable[[#This Row],[Price (USD)]]</f>
        <v>0</v>
      </c>
      <c r="O20" s="151" t="s">
        <v>628</v>
      </c>
      <c r="P20" s="150">
        <f t="shared" si="0"/>
        <v>7</v>
      </c>
      <c r="Q20" s="150" t="s">
        <v>5</v>
      </c>
      <c r="R2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474-BOB-09868</v>
      </c>
      <c r="S20" s="157" t="str">
        <f>HYPERLINK("https://www.mouser.com/ProductDetail/" &amp;MouserListTable[[#This Row],[Mouser SKU]])</f>
        <v>https://www.mouser.com/ProductDetail/474-BOB-09868</v>
      </c>
      <c r="T20" s="152">
        <v>1</v>
      </c>
      <c r="U20" s="152">
        <v>1</v>
      </c>
      <c r="V20" s="152">
        <v>0</v>
      </c>
      <c r="W20" s="152">
        <f>MouserListTable[[#This Row],['#/Unit]]*FilterSpecs!$C$3+MouserListTable[[#This Row],[Extra]]</f>
        <v>1</v>
      </c>
      <c r="X20" s="152">
        <f>IF(MouserListTable[[#This Row],[Tag]]=FilterSpecs!$F$7,MouserListTable[[#This Row],['#/Unit]]*MouserListTable[[#This Row],[Price (USD)]],0)</f>
        <v>0</v>
      </c>
      <c r="Y20" s="152">
        <f>MouserListTable[[#This Row],[Tot '#]]*MouserListTable[[#This Row],[Price (USD)]]</f>
        <v>9.9499999999999993</v>
      </c>
      <c r="Z20" s="146"/>
      <c r="AA20" s="153" t="str">
        <f>AdafruitListTable[[#This Row],[SKU]]</f>
        <v>COM-13833</v>
      </c>
      <c r="AB20" s="153">
        <f>VALUE(AdafruitListTable[[#This Row],['# Initial]])</f>
        <v>0</v>
      </c>
      <c r="AD20" s="153" t="s">
        <v>628</v>
      </c>
      <c r="AE20" s="153">
        <v>5</v>
      </c>
    </row>
    <row r="21" spans="1:31" s="153" customFormat="1" x14ac:dyDescent="0.25">
      <c r="A21" s="150" t="s">
        <v>887</v>
      </c>
      <c r="B21" s="150" t="s">
        <v>1882</v>
      </c>
      <c r="C21" s="150" t="s">
        <v>5</v>
      </c>
      <c r="D21" s="151" t="str">
        <f>IF(AdafruitListTable[[#This Row],[Vendor]]=FilterSpecs!$A$8,AdafruitListTable[[#This Row],[Mouser SKU]], AdafruitListTable[[#This Row],[Supplier SKU]])</f>
        <v>TOL-11060</v>
      </c>
      <c r="E21" s="152">
        <f>MouserListTable[[#This Row],[Tot '#]]-MouserListTable[[#This Row],['# Initial]]</f>
        <v>1</v>
      </c>
      <c r="F21" s="152">
        <f>IF(AND(MouserListTable[[#This Row],[Tag]]&lt;&gt;FilterSpecs!$F$12, MouserListTable[[#This Row],[Tag]]&lt;&gt;FilterSpecs!$F$9), MouserListTable[[#This Row],['#/Unit]]*FilterSpecs!$B$3+MouserListTable[[#This Row],[Extra Initial]],0)</f>
        <v>0</v>
      </c>
      <c r="G21" s="150" t="s">
        <v>831</v>
      </c>
      <c r="H21" s="150" t="s">
        <v>832</v>
      </c>
      <c r="I21" s="150" t="s">
        <v>833</v>
      </c>
      <c r="J21" s="150"/>
      <c r="K21" s="154">
        <v>4.95</v>
      </c>
      <c r="L21" s="150" t="s">
        <v>1900</v>
      </c>
      <c r="M21" s="151"/>
      <c r="N21" s="154">
        <f>MouserListTable[[#This Row],['# Initial]]*MouserListTable[[#This Row],[Price (USD)]]</f>
        <v>0</v>
      </c>
      <c r="O21" s="151" t="s">
        <v>830</v>
      </c>
      <c r="P21" s="150">
        <f t="shared" si="0"/>
        <v>8</v>
      </c>
      <c r="Q21" s="150" t="s">
        <v>5</v>
      </c>
      <c r="R2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474-COM-08635</v>
      </c>
      <c r="S21" s="157" t="str">
        <f>HYPERLINK("https://www.mouser.com/ProductDetail/" &amp;MouserListTable[[#This Row],[Mouser SKU]])</f>
        <v>https://www.mouser.com/ProductDetail/474-COM-08635</v>
      </c>
      <c r="T21" s="152">
        <v>0</v>
      </c>
      <c r="U21" s="152">
        <v>1</v>
      </c>
      <c r="V21" s="152">
        <v>1</v>
      </c>
      <c r="W21" s="152">
        <f>MouserListTable[[#This Row],['#/Unit]]*FilterSpecs!$C$3+MouserListTable[[#This Row],[Extra]]</f>
        <v>1</v>
      </c>
      <c r="X21" s="152">
        <f>IF(MouserListTable[[#This Row],[Tag]]=FilterSpecs!$F$7,MouserListTable[[#This Row],['#/Unit]]*MouserListTable[[#This Row],[Price (USD)]],0)</f>
        <v>0</v>
      </c>
      <c r="Y21" s="152">
        <f>MouserListTable[[#This Row],[Tot '#]]*MouserListTable[[#This Row],[Price (USD)]]</f>
        <v>0.95</v>
      </c>
      <c r="Z21" s="146"/>
      <c r="AA21" s="153" t="str">
        <f>AdafruitListTable[[#This Row],[SKU]]</f>
        <v>TOL-11060</v>
      </c>
      <c r="AB21" s="153">
        <f>VALUE(AdafruitListTable[[#This Row],['# Initial]])</f>
        <v>0</v>
      </c>
      <c r="AD21" s="153" t="s">
        <v>830</v>
      </c>
      <c r="AE21" s="153">
        <v>1</v>
      </c>
    </row>
    <row r="22" spans="1:31" s="153" customFormat="1" x14ac:dyDescent="0.25">
      <c r="A22" s="150" t="s">
        <v>887</v>
      </c>
      <c r="B22" s="150" t="s">
        <v>1882</v>
      </c>
      <c r="C22" s="150" t="s">
        <v>1884</v>
      </c>
      <c r="D22" s="151" t="str">
        <f>IF(AdafruitListTable[[#This Row],[Vendor]]=FilterSpecs!$A$8,AdafruitListTable[[#This Row],[Mouser SKU]], AdafruitListTable[[#This Row],[Supplier SKU]])</f>
        <v>1969</v>
      </c>
      <c r="E22" s="152">
        <f>MouserListTable[[#This Row],[Tot '#]]-MouserListTable[[#This Row],['# Initial]]</f>
        <v>1</v>
      </c>
      <c r="F22" s="152">
        <f>IF(AND(MouserListTable[[#This Row],[Tag]]&lt;&gt;FilterSpecs!$F$12, MouserListTable[[#This Row],[Tag]]&lt;&gt;FilterSpecs!$F$9), MouserListTable[[#This Row],['#/Unit]]*FilterSpecs!$B$3+MouserListTable[[#This Row],[Extra Initial]],0)</f>
        <v>0</v>
      </c>
      <c r="G22" s="150"/>
      <c r="H22" s="150"/>
      <c r="I22" s="150" t="s">
        <v>2053</v>
      </c>
      <c r="J22" s="150"/>
      <c r="K22" s="150">
        <v>2.95</v>
      </c>
      <c r="L22" s="150" t="s">
        <v>1896</v>
      </c>
      <c r="M22" s="150"/>
      <c r="N22" s="154">
        <f>MouserListTable[[#This Row],['# Initial]]*MouserListTable[[#This Row],[Price (USD)]]</f>
        <v>0</v>
      </c>
      <c r="O22" s="150" t="s">
        <v>2054</v>
      </c>
      <c r="P22" s="150">
        <f t="shared" si="0"/>
        <v>9</v>
      </c>
      <c r="Q22" s="150" t="s">
        <v>1884</v>
      </c>
      <c r="R2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474-BOB-12758</v>
      </c>
      <c r="S22" s="157" t="str">
        <f>HYPERLINK("https://www.mouser.com/ProductDetail/" &amp;MouserListTable[[#This Row],[Mouser SKU]])</f>
        <v>https://www.mouser.com/ProductDetail/474-BOB-12758</v>
      </c>
      <c r="T22" s="152">
        <v>0</v>
      </c>
      <c r="U22" s="152">
        <v>1</v>
      </c>
      <c r="V22" s="152">
        <v>1</v>
      </c>
      <c r="W22" s="152">
        <f>MouserListTable[[#This Row],['#/Unit]]*FilterSpecs!$C$3+MouserListTable[[#This Row],[Extra]]</f>
        <v>1</v>
      </c>
      <c r="X22" s="152">
        <f>IF(MouserListTable[[#This Row],[Tag]]=FilterSpecs!$F$7,MouserListTable[[#This Row],['#/Unit]]*MouserListTable[[#This Row],[Price (USD)]],0)</f>
        <v>0</v>
      </c>
      <c r="Y22" s="152">
        <f>MouserListTable[[#This Row],[Tot '#]]*MouserListTable[[#This Row],[Price (USD)]]</f>
        <v>5.95</v>
      </c>
      <c r="Z22" s="146"/>
      <c r="AA22" s="153" t="str">
        <f>AdafruitListTable[[#This Row],[SKU]]</f>
        <v>1969</v>
      </c>
      <c r="AB22" s="153">
        <f>VALUE(AdafruitListTable[[#This Row],['# Initial]])</f>
        <v>0</v>
      </c>
      <c r="AD22" s="153" t="s">
        <v>2054</v>
      </c>
      <c r="AE22" s="153">
        <v>1</v>
      </c>
    </row>
    <row r="23" spans="1:31" s="153" customFormat="1" x14ac:dyDescent="0.25">
      <c r="A23" s="150" t="s">
        <v>887</v>
      </c>
      <c r="B23" s="150" t="s">
        <v>2007</v>
      </c>
      <c r="C23" s="150" t="s">
        <v>5</v>
      </c>
      <c r="D23" s="151" t="str">
        <f>IF(AdafruitListTable[[#This Row],[Vendor]]=FilterSpecs!$A$8,AdafruitListTable[[#This Row],[Mouser SKU]], AdafruitListTable[[#This Row],[Supplier SKU]])</f>
        <v>COM-09938</v>
      </c>
      <c r="E23" s="152">
        <f>MouserListTable[[#This Row],[Tot '#]]-MouserListTable[[#This Row],['# Initial]]</f>
        <v>0</v>
      </c>
      <c r="F23" s="152">
        <f>IF(AND(MouserListTable[[#This Row],[Tag]]&lt;&gt;FilterSpecs!$F$12, MouserListTable[[#This Row],[Tag]]&lt;&gt;FilterSpecs!$F$9), MouserListTable[[#This Row],['#/Unit]]*FilterSpecs!$B$3+MouserListTable[[#This Row],[Extra Initial]],0)</f>
        <v>0</v>
      </c>
      <c r="G23" s="150" t="s">
        <v>1433</v>
      </c>
      <c r="H23" s="150" t="s">
        <v>1434</v>
      </c>
      <c r="I23" s="150" t="s">
        <v>1435</v>
      </c>
      <c r="J23" s="150">
        <v>1</v>
      </c>
      <c r="K23" s="154">
        <v>1.95</v>
      </c>
      <c r="L23" s="150" t="s">
        <v>1897</v>
      </c>
      <c r="M23" s="151"/>
      <c r="N23" s="154">
        <f>MouserListTable[[#This Row],['# Initial]]*MouserListTable[[#This Row],[Price (USD)]]</f>
        <v>0</v>
      </c>
      <c r="O23" s="151" t="s">
        <v>1432</v>
      </c>
      <c r="P23" s="150">
        <f t="shared" si="0"/>
        <v>10</v>
      </c>
      <c r="Q23" s="150" t="s">
        <v>5</v>
      </c>
      <c r="R2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474-SEN-12642</v>
      </c>
      <c r="S23" s="157" t="str">
        <f>HYPERLINK("https://www.mouser.com/ProductDetail/" &amp;MouserListTable[[#This Row],[Mouser SKU]])</f>
        <v>https://www.mouser.com/ProductDetail/474-SEN-12642</v>
      </c>
      <c r="T23" s="152">
        <v>2</v>
      </c>
      <c r="U23" s="152">
        <v>0</v>
      </c>
      <c r="V23" s="152">
        <v>0</v>
      </c>
      <c r="W23" s="152">
        <f>MouserListTable[[#This Row],['#/Unit]]*FilterSpecs!$C$3+MouserListTable[[#This Row],[Extra]]</f>
        <v>0</v>
      </c>
      <c r="X23" s="152">
        <f>IF(MouserListTable[[#This Row],[Tag]]=FilterSpecs!$F$7,MouserListTable[[#This Row],['#/Unit]]*MouserListTable[[#This Row],[Price (USD)]],0)</f>
        <v>0</v>
      </c>
      <c r="Y23" s="152">
        <f>MouserListTable[[#This Row],[Tot '#]]*MouserListTable[[#This Row],[Price (USD)]]</f>
        <v>0</v>
      </c>
      <c r="Z23" s="146"/>
      <c r="AA23" s="153" t="str">
        <f>AdafruitListTable[[#This Row],[SKU]]</f>
        <v>COM-09938</v>
      </c>
      <c r="AB23" s="153">
        <f>VALUE(AdafruitListTable[[#This Row],['# Initial]])</f>
        <v>0</v>
      </c>
      <c r="AD23" s="153" t="s">
        <v>1432</v>
      </c>
      <c r="AE23" s="153">
        <v>10</v>
      </c>
    </row>
    <row r="24" spans="1:31" s="153" customFormat="1" x14ac:dyDescent="0.25">
      <c r="A24" s="150" t="s">
        <v>887</v>
      </c>
      <c r="B24" s="150" t="s">
        <v>2007</v>
      </c>
      <c r="C24" s="150" t="s">
        <v>5</v>
      </c>
      <c r="D24" s="151" t="str">
        <f>IF(AdafruitListTable[[#This Row],[Vendor]]=FilterSpecs!$A$8,AdafruitListTable[[#This Row],[Mouser SKU]], AdafruitListTable[[#This Row],[Supplier SKU]])</f>
        <v>BOB-13884</v>
      </c>
      <c r="E24" s="152">
        <f>MouserListTable[[#This Row],[Tot '#]]-MouserListTable[[#This Row],['# Initial]]</f>
        <v>0</v>
      </c>
      <c r="F24" s="152">
        <f>IF(AND(MouserListTable[[#This Row],[Tag]]&lt;&gt;FilterSpecs!$F$12, MouserListTable[[#This Row],[Tag]]&lt;&gt;FilterSpecs!$F$9), MouserListTable[[#This Row],['#/Unit]]*FilterSpecs!$B$3+MouserListTable[[#This Row],[Extra Initial]],0)</f>
        <v>0</v>
      </c>
      <c r="G24" s="150" t="s">
        <v>1121</v>
      </c>
      <c r="H24" s="150" t="s">
        <v>1122</v>
      </c>
      <c r="I24" s="150" t="s">
        <v>1123</v>
      </c>
      <c r="J24" s="150">
        <v>1</v>
      </c>
      <c r="K24" s="154">
        <v>7.95</v>
      </c>
      <c r="L24" s="150" t="s">
        <v>1897</v>
      </c>
      <c r="M24" s="151"/>
      <c r="N24" s="154">
        <f>MouserListTable[[#This Row],['# Initial]]*MouserListTable[[#This Row],[Price (USD)]]</f>
        <v>0</v>
      </c>
      <c r="O24" s="151" t="s">
        <v>1120</v>
      </c>
      <c r="P24" s="150">
        <f t="shared" si="0"/>
        <v>11</v>
      </c>
      <c r="Q24" s="150" t="s">
        <v>5</v>
      </c>
      <c r="R2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485-94</v>
      </c>
      <c r="S24" s="157" t="str">
        <f>HYPERLINK("https://www.mouser.com/ProductDetail/" &amp;MouserListTable[[#This Row],[Mouser SKU]])</f>
        <v>https://www.mouser.com/ProductDetail/485-94</v>
      </c>
      <c r="T24" s="152">
        <v>1</v>
      </c>
      <c r="U24" s="152">
        <v>0</v>
      </c>
      <c r="V24" s="152">
        <v>0</v>
      </c>
      <c r="W24" s="152">
        <f>MouserListTable[[#This Row],['#/Unit]]*FilterSpecs!$C$3+MouserListTable[[#This Row],[Extra]]</f>
        <v>0</v>
      </c>
      <c r="X24" s="152">
        <f>IF(MouserListTable[[#This Row],[Tag]]=FilterSpecs!$F$7,MouserListTable[[#This Row],['#/Unit]]*MouserListTable[[#This Row],[Price (USD)]],0)</f>
        <v>0</v>
      </c>
      <c r="Y24" s="152">
        <f>MouserListTable[[#This Row],[Tot '#]]*MouserListTable[[#This Row],[Price (USD)]]</f>
        <v>0</v>
      </c>
      <c r="Z24" s="146"/>
      <c r="AA24" s="153" t="str">
        <f>AdafruitListTable[[#This Row],[SKU]]</f>
        <v>BOB-13884</v>
      </c>
      <c r="AB24" s="153">
        <f>VALUE(AdafruitListTable[[#This Row],['# Initial]])</f>
        <v>0</v>
      </c>
      <c r="AD24" s="153" t="s">
        <v>1120</v>
      </c>
      <c r="AE24" s="153">
        <v>5</v>
      </c>
    </row>
    <row r="25" spans="1:31" s="153" customFormat="1" x14ac:dyDescent="0.25">
      <c r="A25" s="150" t="s">
        <v>887</v>
      </c>
      <c r="B25" s="150" t="s">
        <v>2018</v>
      </c>
      <c r="C25" s="150" t="s">
        <v>5</v>
      </c>
      <c r="D25" s="151" t="str">
        <f>IF(AdafruitListTable[[#This Row],[Vendor]]=FilterSpecs!$A$8,AdafruitListTable[[#This Row],[Mouser SKU]], AdafruitListTable[[#This Row],[Supplier SKU]])</f>
        <v>COM-11707</v>
      </c>
      <c r="E25" s="152">
        <f>MouserListTable[[#This Row],[Tot '#]]-MouserListTable[[#This Row],['# Initial]]</f>
        <v>0</v>
      </c>
      <c r="F25" s="152">
        <f>IF(AND(MouserListTable[[#This Row],[Tag]]&lt;&gt;FilterSpecs!$F$12, MouserListTable[[#This Row],[Tag]]&lt;&gt;FilterSpecs!$F$9), MouserListTable[[#This Row],['#/Unit]]*FilterSpecs!$B$3+MouserListTable[[#This Row],[Extra Initial]],0)</f>
        <v>0</v>
      </c>
      <c r="G25" s="150" t="s">
        <v>381</v>
      </c>
      <c r="H25" s="150" t="s">
        <v>382</v>
      </c>
      <c r="I25" s="150" t="s">
        <v>383</v>
      </c>
      <c r="J25" s="150"/>
      <c r="K25" s="154">
        <v>1.95</v>
      </c>
      <c r="L25" s="150" t="s">
        <v>1897</v>
      </c>
      <c r="M25" s="151"/>
      <c r="N25" s="154">
        <f>MouserListTable[[#This Row],['# Initial]]*MouserListTable[[#This Row],[Price (USD)]]</f>
        <v>0</v>
      </c>
      <c r="O25" s="151" t="s">
        <v>380</v>
      </c>
      <c r="P25" s="150">
        <f t="shared" si="0"/>
        <v>12</v>
      </c>
      <c r="Q25" s="150" t="s">
        <v>5</v>
      </c>
      <c r="R2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474-WRL-11924</v>
      </c>
      <c r="S25" s="157" t="str">
        <f>HYPERLINK("https://www.mouser.com/ProductDetail/" &amp;MouserListTable[[#This Row],[Mouser SKU]])</f>
        <v>https://www.mouser.com/ProductDetail/474-WRL-11924</v>
      </c>
      <c r="T25" s="152">
        <v>1</v>
      </c>
      <c r="U25" s="152">
        <v>0</v>
      </c>
      <c r="V25" s="152">
        <v>0</v>
      </c>
      <c r="W25" s="152">
        <f>MouserListTable[[#This Row],['#/Unit]]*FilterSpecs!$C$3+MouserListTable[[#This Row],[Extra]]</f>
        <v>0</v>
      </c>
      <c r="X25" s="152">
        <f>IF(MouserListTable[[#This Row],[Tag]]=FilterSpecs!$F$7,MouserListTable[[#This Row],['#/Unit]]*MouserListTable[[#This Row],[Price (USD)]],0)</f>
        <v>0</v>
      </c>
      <c r="Y25" s="152">
        <f>MouserListTable[[#This Row],[Tot '#]]*MouserListTable[[#This Row],[Price (USD)]]</f>
        <v>0</v>
      </c>
      <c r="Z25" s="146"/>
      <c r="AA25" s="153" t="str">
        <f>AdafruitListTable[[#This Row],[SKU]]</f>
        <v>COM-11707</v>
      </c>
      <c r="AB25" s="153">
        <f>VALUE(AdafruitListTable[[#This Row],['# Initial]])</f>
        <v>0</v>
      </c>
      <c r="AD25" s="153" t="s">
        <v>380</v>
      </c>
      <c r="AE25" s="153">
        <v>5</v>
      </c>
    </row>
    <row r="26" spans="1:31" s="153" customFormat="1" x14ac:dyDescent="0.25">
      <c r="A26" s="150" t="s">
        <v>887</v>
      </c>
      <c r="B26" s="150" t="s">
        <v>2018</v>
      </c>
      <c r="C26" s="150" t="s">
        <v>5</v>
      </c>
      <c r="D26" s="151" t="str">
        <f>IF(AdafruitListTable[[#This Row],[Vendor]]=FilterSpecs!$A$8,AdafruitListTable[[#This Row],[Mouser SKU]], AdafruitListTable[[#This Row],[Supplier SKU]])</f>
        <v>TOL-08734</v>
      </c>
      <c r="E26" s="152">
        <f>MouserListTable[[#This Row],[Tot '#]]-MouserListTable[[#This Row],['# Initial]]</f>
        <v>0</v>
      </c>
      <c r="F26" s="152">
        <f>IF(AND(MouserListTable[[#This Row],[Tag]]&lt;&gt;FilterSpecs!$F$12, MouserListTable[[#This Row],[Tag]]&lt;&gt;FilterSpecs!$F$9), MouserListTable[[#This Row],['#/Unit]]*FilterSpecs!$B$3+MouserListTable[[#This Row],[Extra Initial]],0)</f>
        <v>0</v>
      </c>
      <c r="G26" s="150" t="s">
        <v>797</v>
      </c>
      <c r="H26" s="150" t="s">
        <v>798</v>
      </c>
      <c r="I26" s="150" t="s">
        <v>799</v>
      </c>
      <c r="J26" s="150">
        <v>1</v>
      </c>
      <c r="K26" s="154">
        <v>2.95</v>
      </c>
      <c r="L26" s="150" t="s">
        <v>1897</v>
      </c>
      <c r="M26" s="151"/>
      <c r="N26" s="154">
        <f>MouserListTable[[#This Row],['# Initial]]*MouserListTable[[#This Row],[Price (USD)]]</f>
        <v>0</v>
      </c>
      <c r="O26" s="151" t="s">
        <v>796</v>
      </c>
      <c r="P26" s="150">
        <f t="shared" si="0"/>
        <v>13</v>
      </c>
      <c r="Q26" s="150" t="s">
        <v>5</v>
      </c>
      <c r="R2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474-WRL-11927</v>
      </c>
      <c r="S26" s="157" t="str">
        <f>HYPERLINK("https://www.mouser.com/ProductDetail/" &amp;MouserListTable[[#This Row],[Mouser SKU]])</f>
        <v>https://www.mouser.com/ProductDetail/474-WRL-11927</v>
      </c>
      <c r="T26" s="152">
        <v>1</v>
      </c>
      <c r="U26" s="152">
        <v>0</v>
      </c>
      <c r="V26" s="152">
        <v>0</v>
      </c>
      <c r="W26" s="152">
        <f>MouserListTable[[#This Row],['#/Unit]]*FilterSpecs!$C$3+MouserListTable[[#This Row],[Extra]]</f>
        <v>0</v>
      </c>
      <c r="X26" s="152">
        <f>IF(MouserListTable[[#This Row],[Tag]]=FilterSpecs!$F$7,MouserListTable[[#This Row],['#/Unit]]*MouserListTable[[#This Row],[Price (USD)]],0)</f>
        <v>0</v>
      </c>
      <c r="Y26" s="152">
        <f>MouserListTable[[#This Row],[Tot '#]]*MouserListTable[[#This Row],[Price (USD)]]</f>
        <v>0</v>
      </c>
      <c r="Z26" s="146"/>
      <c r="AA26" s="153" t="str">
        <f>AdafruitListTable[[#This Row],[SKU]]</f>
        <v>TOL-08734</v>
      </c>
      <c r="AB26" s="153">
        <f>VALUE(AdafruitListTable[[#This Row],['# Initial]])</f>
        <v>0</v>
      </c>
      <c r="AD26" s="153" t="s">
        <v>796</v>
      </c>
      <c r="AE26" s="153">
        <v>5</v>
      </c>
    </row>
    <row r="27" spans="1:31" s="153" customFormat="1" x14ac:dyDescent="0.25">
      <c r="A27" s="150" t="s">
        <v>887</v>
      </c>
      <c r="B27" s="150" t="s">
        <v>2018</v>
      </c>
      <c r="C27" s="150" t="s">
        <v>5</v>
      </c>
      <c r="D27" s="151" t="str">
        <f>IF(AdafruitListTable[[#This Row],[Vendor]]=FilterSpecs!$A$8,AdafruitListTable[[#This Row],[Mouser SKU]], AdafruitListTable[[#This Row],[Supplier SKU]])</f>
        <v>TOL-08639</v>
      </c>
      <c r="E27" s="152">
        <f>MouserListTable[[#This Row],[Tot '#]]-MouserListTable[[#This Row],['# Initial]]</f>
        <v>0</v>
      </c>
      <c r="F27" s="152">
        <f>IF(AND(MouserListTable[[#This Row],[Tag]]&lt;&gt;FilterSpecs!$F$12, MouserListTable[[#This Row],[Tag]]&lt;&gt;FilterSpecs!$F$9), MouserListTable[[#This Row],['#/Unit]]*FilterSpecs!$B$3+MouserListTable[[#This Row],[Extra Initial]],0)</f>
        <v>0</v>
      </c>
      <c r="G27" s="150" t="s">
        <v>455</v>
      </c>
      <c r="H27" s="150" t="s">
        <v>456</v>
      </c>
      <c r="I27" s="150" t="s">
        <v>457</v>
      </c>
      <c r="J27" s="150">
        <v>1</v>
      </c>
      <c r="K27" s="154">
        <v>2.95</v>
      </c>
      <c r="L27" s="150" t="s">
        <v>1897</v>
      </c>
      <c r="M27" s="151"/>
      <c r="N27" s="154">
        <f>MouserListTable[[#This Row],['# Initial]]*MouserListTable[[#This Row],[Price (USD)]]</f>
        <v>0</v>
      </c>
      <c r="O27" s="151" t="s">
        <v>454</v>
      </c>
      <c r="P27" s="150">
        <f t="shared" si="0"/>
        <v>14</v>
      </c>
      <c r="Q27" s="150" t="s">
        <v>5</v>
      </c>
      <c r="R2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485-3369</v>
      </c>
      <c r="S27" s="157" t="str">
        <f>HYPERLINK("https://www.mouser.com/ProductDetail/" &amp;MouserListTable[[#This Row],[Mouser SKU]])</f>
        <v>https://www.mouser.com/ProductDetail/485-3369</v>
      </c>
      <c r="T27" s="152">
        <v>1</v>
      </c>
      <c r="U27" s="152">
        <v>0</v>
      </c>
      <c r="V27" s="152">
        <v>0</v>
      </c>
      <c r="W27" s="152">
        <f>MouserListTable[[#This Row],['#/Unit]]*FilterSpecs!$C$3+MouserListTable[[#This Row],[Extra]]</f>
        <v>0</v>
      </c>
      <c r="X27" s="152">
        <f>IF(MouserListTable[[#This Row],[Tag]]=FilterSpecs!$F$7,MouserListTable[[#This Row],['#/Unit]]*MouserListTable[[#This Row],[Price (USD)]],0)</f>
        <v>0</v>
      </c>
      <c r="Y27" s="152">
        <f>MouserListTable[[#This Row],[Tot '#]]*MouserListTable[[#This Row],[Price (USD)]]</f>
        <v>0</v>
      </c>
      <c r="Z27" s="146"/>
      <c r="AA27" s="153" t="str">
        <f>AdafruitListTable[[#This Row],[SKU]]</f>
        <v>TOL-08639</v>
      </c>
      <c r="AB27" s="153">
        <f>VALUE(AdafruitListTable[[#This Row],['# Initial]])</f>
        <v>0</v>
      </c>
      <c r="AD27" s="153" t="s">
        <v>454</v>
      </c>
      <c r="AE27" s="153">
        <v>5</v>
      </c>
    </row>
    <row r="28" spans="1:31" s="153" customFormat="1" x14ac:dyDescent="0.25">
      <c r="A28" s="150" t="s">
        <v>887</v>
      </c>
      <c r="B28" s="150" t="s">
        <v>2018</v>
      </c>
      <c r="C28" s="150" t="s">
        <v>5</v>
      </c>
      <c r="D28" s="151" t="str">
        <f>IF(AdafruitListTable[[#This Row],[Vendor]]=FilterSpecs!$A$8,AdafruitListTable[[#This Row],[Mouser SKU]], AdafruitListTable[[#This Row],[Supplier SKU]])</f>
        <v>COM-11705</v>
      </c>
      <c r="E28" s="152">
        <f>MouserListTable[[#This Row],[Tot '#]]-MouserListTable[[#This Row],['# Initial]]</f>
        <v>0</v>
      </c>
      <c r="F28" s="152">
        <f>IF(AND(MouserListTable[[#This Row],[Tag]]&lt;&gt;FilterSpecs!$F$12, MouserListTable[[#This Row],[Tag]]&lt;&gt;FilterSpecs!$F$9), MouserListTable[[#This Row],['#/Unit]]*FilterSpecs!$B$3+MouserListTable[[#This Row],[Extra Initial]],0)</f>
        <v>0</v>
      </c>
      <c r="G28" s="150" t="s">
        <v>805</v>
      </c>
      <c r="H28" s="150" t="s">
        <v>806</v>
      </c>
      <c r="I28" s="150" t="s">
        <v>807</v>
      </c>
      <c r="J28" s="150"/>
      <c r="K28" s="154">
        <v>2.5</v>
      </c>
      <c r="L28" s="151" t="s">
        <v>1897</v>
      </c>
      <c r="M28" s="151"/>
      <c r="N28" s="154">
        <f>MouserListTable[[#This Row],['# Initial]]*MouserListTable[[#This Row],[Price (USD)]]</f>
        <v>0</v>
      </c>
      <c r="O28" s="151" t="s">
        <v>804</v>
      </c>
      <c r="P28" s="150">
        <f t="shared" si="0"/>
        <v>15</v>
      </c>
      <c r="Q28" s="150" t="s">
        <v>5</v>
      </c>
      <c r="R2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485-3367</v>
      </c>
      <c r="S28" s="157" t="str">
        <f>HYPERLINK("https://www.mouser.com/ProductDetail/" &amp;MouserListTable[[#This Row],[Mouser SKU]])</f>
        <v>https://www.mouser.com/ProductDetail/485-3367</v>
      </c>
      <c r="T28" s="152">
        <v>1</v>
      </c>
      <c r="U28" s="152">
        <v>0</v>
      </c>
      <c r="V28" s="152">
        <v>0</v>
      </c>
      <c r="W28" s="152">
        <f>MouserListTable[[#This Row],['#/Unit]]*FilterSpecs!$C$3+MouserListTable[[#This Row],[Extra]]</f>
        <v>0</v>
      </c>
      <c r="X28" s="152">
        <f>IF(MouserListTable[[#This Row],[Tag]]=FilterSpecs!$F$7,MouserListTable[[#This Row],['#/Unit]]*MouserListTable[[#This Row],[Price (USD)]],0)</f>
        <v>0</v>
      </c>
      <c r="Y28" s="152">
        <f>MouserListTable[[#This Row],[Tot '#]]*MouserListTable[[#This Row],[Price (USD)]]</f>
        <v>0</v>
      </c>
      <c r="Z28" s="146"/>
      <c r="AA28" s="153" t="str">
        <f>AdafruitListTable[[#This Row],[SKU]]</f>
        <v>COM-11705</v>
      </c>
      <c r="AB28" s="153">
        <f>VALUE(AdafruitListTable[[#This Row],['# Initial]])</f>
        <v>0</v>
      </c>
      <c r="AD28" s="153" t="s">
        <v>804</v>
      </c>
      <c r="AE28" s="153">
        <v>5</v>
      </c>
    </row>
    <row r="29" spans="1:31" s="153" customFormat="1" x14ac:dyDescent="0.25">
      <c r="A29" s="150" t="s">
        <v>887</v>
      </c>
      <c r="B29" s="150" t="s">
        <v>2020</v>
      </c>
      <c r="C29" s="150" t="s">
        <v>1884</v>
      </c>
      <c r="D29" s="151" t="str">
        <f>IF(AdafruitListTable[[#This Row],[Vendor]]=FilterSpecs!$A$8,AdafruitListTable[[#This Row],[Mouser SKU]], AdafruitListTable[[#This Row],[Supplier SKU]])</f>
        <v>1994</v>
      </c>
      <c r="E29" s="152">
        <f>MouserListTable[[#This Row],[Tot '#]]-MouserListTable[[#This Row],['# Initial]]</f>
        <v>0</v>
      </c>
      <c r="F29" s="152">
        <f>IF(AND(MouserListTable[[#This Row],[Tag]]&lt;&gt;FilterSpecs!$F$12, MouserListTable[[#This Row],[Tag]]&lt;&gt;FilterSpecs!$F$9), MouserListTable[[#This Row],['#/Unit]]*FilterSpecs!$B$3+MouserListTable[[#This Row],[Extra Initial]],0)</f>
        <v>0</v>
      </c>
      <c r="G29" s="150"/>
      <c r="H29" s="150"/>
      <c r="I29" s="150" t="s">
        <v>2291</v>
      </c>
      <c r="K29" s="154">
        <v>6.95</v>
      </c>
      <c r="L29" s="150" t="s">
        <v>1897</v>
      </c>
      <c r="M29" s="151"/>
      <c r="N29" s="154">
        <f>MouserListTable[[#This Row],['# Initial]]*MouserListTable[[#This Row],[Price (USD)]]</f>
        <v>0</v>
      </c>
      <c r="O29" s="151" t="s">
        <v>2290</v>
      </c>
      <c r="P29" s="150">
        <f t="shared" si="0"/>
        <v>16</v>
      </c>
      <c r="Q29" s="150" t="s">
        <v>1884</v>
      </c>
      <c r="R2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485-3351</v>
      </c>
      <c r="S29" s="157" t="str">
        <f>HYPERLINK("https://www.mouser.com/ProductDetail/" &amp;MouserListTable[[#This Row],[Mouser SKU]])</f>
        <v>https://www.mouser.com/ProductDetail/485-3351</v>
      </c>
      <c r="T29" s="152">
        <v>1</v>
      </c>
      <c r="U29" s="152">
        <v>0</v>
      </c>
      <c r="V29" s="152">
        <v>0</v>
      </c>
      <c r="W29" s="152">
        <f>MouserListTable[[#This Row],['#/Unit]]*FilterSpecs!$C$3+MouserListTable[[#This Row],[Extra]]</f>
        <v>0</v>
      </c>
      <c r="X29" s="152">
        <f>IF(MouserListTable[[#This Row],[Tag]]=FilterSpecs!$F$7,MouserListTable[[#This Row],['#/Unit]]*MouserListTable[[#This Row],[Price (USD)]],0)</f>
        <v>0</v>
      </c>
      <c r="Y29" s="152">
        <f>MouserListTable[[#This Row],[Tot '#]]*MouserListTable[[#This Row],[Price (USD)]]</f>
        <v>0</v>
      </c>
      <c r="Z29" s="146"/>
      <c r="AA29" s="153" t="str">
        <f>AdafruitListTable[[#This Row],[SKU]]</f>
        <v>1994</v>
      </c>
      <c r="AB29" s="153">
        <f>VALUE(AdafruitListTable[[#This Row],['# Initial]])</f>
        <v>0</v>
      </c>
      <c r="AD29" s="153" t="s">
        <v>2290</v>
      </c>
      <c r="AE29" s="153">
        <v>5</v>
      </c>
    </row>
    <row r="30" spans="1:31" s="104" customFormat="1" x14ac:dyDescent="0.25">
      <c r="A30" s="150" t="s">
        <v>887</v>
      </c>
      <c r="B30" s="150" t="s">
        <v>2013</v>
      </c>
      <c r="C30" s="150" t="s">
        <v>5</v>
      </c>
      <c r="D30" s="151" t="str">
        <f>IF(AdafruitListTable[[#This Row],[Vendor]]=FilterSpecs!$A$8,AdafruitListTable[[#This Row],[Mouser SKU]], AdafruitListTable[[#This Row],[Supplier SKU]])</f>
        <v>CAB-00512</v>
      </c>
      <c r="E30" s="152">
        <f>MouserListTable[[#This Row],[Tot '#]]-MouserListTable[[#This Row],['# Initial]]</f>
        <v>0</v>
      </c>
      <c r="F30" s="152">
        <f>IF(AND(MouserListTable[[#This Row],[Tag]]&lt;&gt;FilterSpecs!$F$12, MouserListTable[[#This Row],[Tag]]&lt;&gt;FilterSpecs!$F$9), MouserListTable[[#This Row],['#/Unit]]*FilterSpecs!$B$3+MouserListTable[[#This Row],[Extra Initial]],0)</f>
        <v>0</v>
      </c>
      <c r="G30" s="150" t="s">
        <v>2466</v>
      </c>
      <c r="H30" s="150" t="s">
        <v>2467</v>
      </c>
      <c r="I30" s="150" t="s">
        <v>2468</v>
      </c>
      <c r="J30" s="150">
        <v>1</v>
      </c>
      <c r="K30" s="154">
        <v>3.95</v>
      </c>
      <c r="L30" s="150" t="s">
        <v>1897</v>
      </c>
      <c r="M30" s="150"/>
      <c r="N30" s="154">
        <f>MouserListTable[[#This Row],['# Initial]]*MouserListTable[[#This Row],[Price (USD)]]</f>
        <v>0</v>
      </c>
      <c r="O30" s="151" t="s">
        <v>2465</v>
      </c>
      <c r="P30" s="150">
        <f t="shared" si="0"/>
        <v>17</v>
      </c>
      <c r="Q30" s="150" t="s">
        <v>5</v>
      </c>
      <c r="R3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485-1314</v>
      </c>
      <c r="S30" s="157" t="str">
        <f>HYPERLINK("https://www.mouser.com/ProductDetail/" &amp;MouserListTable[[#This Row],[Mouser SKU]])</f>
        <v>https://www.mouser.com/ProductDetail/485-1314</v>
      </c>
      <c r="T30" s="152">
        <v>1</v>
      </c>
      <c r="U30" s="152">
        <v>0</v>
      </c>
      <c r="V30" s="152">
        <v>0</v>
      </c>
      <c r="W30" s="152">
        <f>MouserListTable[[#This Row],['#/Unit]]*FilterSpecs!$C$3+MouserListTable[[#This Row],[Extra]]</f>
        <v>0</v>
      </c>
      <c r="X30" s="152">
        <f>IF(MouserListTable[[#This Row],[Tag]]=FilterSpecs!$F$7,MouserListTable[[#This Row],['#/Unit]]*MouserListTable[[#This Row],[Price (USD)]],0)</f>
        <v>0</v>
      </c>
      <c r="Y30" s="152">
        <f>MouserListTable[[#This Row],[Tot '#]]*MouserListTable[[#This Row],[Price (USD)]]</f>
        <v>0</v>
      </c>
      <c r="Z30" s="146"/>
      <c r="AA30" s="153" t="str">
        <f>AdafruitListTable[[#This Row],[SKU]]</f>
        <v>CAB-00512</v>
      </c>
      <c r="AB30" s="153">
        <f>VALUE(AdafruitListTable[[#This Row],['# Initial]])</f>
        <v>0</v>
      </c>
      <c r="AD30" s="104" t="s">
        <v>2465</v>
      </c>
      <c r="AE30" s="104">
        <v>5</v>
      </c>
    </row>
    <row r="31" spans="1:31" s="104" customFormat="1" x14ac:dyDescent="0.25">
      <c r="A31" s="150" t="s">
        <v>887</v>
      </c>
      <c r="B31" s="150" t="s">
        <v>2013</v>
      </c>
      <c r="C31" s="150" t="s">
        <v>5</v>
      </c>
      <c r="D31" s="151" t="str">
        <f>IF(AdafruitListTable[[#This Row],[Vendor]]=FilterSpecs!$A$8,AdafruitListTable[[#This Row],[Mouser SKU]], AdafruitListTable[[#This Row],[Supplier SKU]])</f>
        <v>CAB-11301</v>
      </c>
      <c r="E31" s="152">
        <f>MouserListTable[[#This Row],[Tot '#]]-MouserListTable[[#This Row],['# Initial]]</f>
        <v>0</v>
      </c>
      <c r="F31" s="152">
        <f>IF(AND(MouserListTable[[#This Row],[Tag]]&lt;&gt;FilterSpecs!$F$12, MouserListTable[[#This Row],[Tag]]&lt;&gt;FilterSpecs!$F$9), MouserListTable[[#This Row],['#/Unit]]*FilterSpecs!$B$3+MouserListTable[[#This Row],[Extra Initial]],0)</f>
        <v>0</v>
      </c>
      <c r="G31" s="150" t="s">
        <v>2470</v>
      </c>
      <c r="H31" s="150" t="s">
        <v>2471</v>
      </c>
      <c r="I31" s="150" t="s">
        <v>2472</v>
      </c>
      <c r="J31" s="150">
        <v>1</v>
      </c>
      <c r="K31" s="154">
        <v>3.95</v>
      </c>
      <c r="L31" s="150" t="s">
        <v>1897</v>
      </c>
      <c r="M31" s="150"/>
      <c r="N31" s="154">
        <f>MouserListTable[[#This Row],['# Initial]]*MouserListTable[[#This Row],[Price (USD)]]</f>
        <v>0</v>
      </c>
      <c r="O31" s="151" t="s">
        <v>2469</v>
      </c>
      <c r="P31" s="150">
        <f t="shared" si="0"/>
        <v>18</v>
      </c>
      <c r="Q31" s="150" t="s">
        <v>5</v>
      </c>
      <c r="R3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485-1313</v>
      </c>
      <c r="S31" s="157" t="str">
        <f>HYPERLINK("https://www.mouser.com/ProductDetail/" &amp;MouserListTable[[#This Row],[Mouser SKU]])</f>
        <v>https://www.mouser.com/ProductDetail/485-1313</v>
      </c>
      <c r="T31" s="152">
        <v>1</v>
      </c>
      <c r="U31" s="152">
        <v>0</v>
      </c>
      <c r="V31" s="152">
        <v>0</v>
      </c>
      <c r="W31" s="152">
        <f>MouserListTable[[#This Row],['#/Unit]]*FilterSpecs!$C$3+MouserListTable[[#This Row],[Extra]]</f>
        <v>0</v>
      </c>
      <c r="X31" s="152">
        <f>IF(MouserListTable[[#This Row],[Tag]]=FilterSpecs!$F$7,MouserListTable[[#This Row],['#/Unit]]*MouserListTable[[#This Row],[Price (USD)]],0)</f>
        <v>0</v>
      </c>
      <c r="Y31" s="152">
        <f>MouserListTable[[#This Row],[Tot '#]]*MouserListTable[[#This Row],[Price (USD)]]</f>
        <v>0</v>
      </c>
      <c r="Z31" s="146"/>
      <c r="AA31" s="153" t="str">
        <f>AdafruitListTable[[#This Row],[SKU]]</f>
        <v>CAB-11301</v>
      </c>
      <c r="AB31" s="153">
        <f>VALUE(AdafruitListTable[[#This Row],['# Initial]])</f>
        <v>0</v>
      </c>
      <c r="AD31" s="104" t="s">
        <v>2469</v>
      </c>
      <c r="AE31" s="104">
        <v>5</v>
      </c>
    </row>
    <row r="32" spans="1:31" s="104" customFormat="1" x14ac:dyDescent="0.25">
      <c r="A32" s="150" t="s">
        <v>887</v>
      </c>
      <c r="B32" s="150" t="s">
        <v>2013</v>
      </c>
      <c r="C32" s="150" t="s">
        <v>5</v>
      </c>
      <c r="D32" s="151" t="str">
        <f>IF(AdafruitListTable[[#This Row],[Vendor]]=FilterSpecs!$A$8,AdafruitListTable[[#This Row],[Mouser SKU]], AdafruitListTable[[#This Row],[Supplier SKU]])</f>
        <v>CAB-10215</v>
      </c>
      <c r="E32" s="152">
        <f>MouserListTable[[#This Row],[Tot '#]]-MouserListTable[[#This Row],['# Initial]]</f>
        <v>0</v>
      </c>
      <c r="F32" s="152">
        <f>IF(AND(MouserListTable[[#This Row],[Tag]]&lt;&gt;FilterSpecs!$F$12, MouserListTable[[#This Row],[Tag]]&lt;&gt;FilterSpecs!$F$9), MouserListTable[[#This Row],['#/Unit]]*FilterSpecs!$B$3+MouserListTable[[#This Row],[Extra Initial]],0)</f>
        <v>0</v>
      </c>
      <c r="G32" s="150" t="s">
        <v>1494</v>
      </c>
      <c r="H32" s="150" t="s">
        <v>1495</v>
      </c>
      <c r="I32" s="150" t="s">
        <v>1496</v>
      </c>
      <c r="J32" s="150">
        <v>1</v>
      </c>
      <c r="K32" s="154">
        <v>4.95</v>
      </c>
      <c r="L32" s="150" t="s">
        <v>1897</v>
      </c>
      <c r="M32" s="150"/>
      <c r="N32" s="154">
        <f>MouserListTable[[#This Row],['# Initial]]*MouserListTable[[#This Row],[Price (USD)]]</f>
        <v>0</v>
      </c>
      <c r="O32" s="151" t="s">
        <v>1493</v>
      </c>
      <c r="P32" s="150">
        <f t="shared" si="0"/>
        <v>19</v>
      </c>
      <c r="Q32" s="150" t="s">
        <v>5</v>
      </c>
      <c r="R3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485-1669</v>
      </c>
      <c r="S32" s="157" t="str">
        <f>HYPERLINK("https://www.mouser.com/ProductDetail/" &amp;MouserListTable[[#This Row],[Mouser SKU]])</f>
        <v>https://www.mouser.com/ProductDetail/485-1669</v>
      </c>
      <c r="T32" s="152">
        <v>1</v>
      </c>
      <c r="U32" s="152">
        <v>0</v>
      </c>
      <c r="V32" s="152">
        <v>0</v>
      </c>
      <c r="W32" s="152">
        <f>MouserListTable[[#This Row],['#/Unit]]*FilterSpecs!$C$3+MouserListTable[[#This Row],[Extra]]</f>
        <v>0</v>
      </c>
      <c r="X32" s="152">
        <f>IF(MouserListTable[[#This Row],[Tag]]=FilterSpecs!$F$7,MouserListTable[[#This Row],['#/Unit]]*MouserListTable[[#This Row],[Price (USD)]],0)</f>
        <v>0</v>
      </c>
      <c r="Y32" s="152">
        <f>MouserListTable[[#This Row],[Tot '#]]*MouserListTable[[#This Row],[Price (USD)]]</f>
        <v>0</v>
      </c>
      <c r="Z32" s="146"/>
      <c r="AA32" s="153" t="str">
        <f>AdafruitListTable[[#This Row],[SKU]]</f>
        <v>CAB-10215</v>
      </c>
      <c r="AB32" s="153">
        <f>VALUE(AdafruitListTable[[#This Row],['# Initial]])</f>
        <v>0</v>
      </c>
      <c r="AD32" s="104" t="s">
        <v>1493</v>
      </c>
      <c r="AE32" s="104">
        <v>5</v>
      </c>
    </row>
    <row r="33" spans="1:31" s="153" customFormat="1" x14ac:dyDescent="0.25">
      <c r="A33" s="150" t="s">
        <v>887</v>
      </c>
      <c r="B33" s="150" t="s">
        <v>2039</v>
      </c>
      <c r="C33" s="150" t="s">
        <v>1884</v>
      </c>
      <c r="D33" s="151" t="str">
        <f>IF(AdafruitListTable[[#This Row],[Vendor]]=FilterSpecs!$A$8,AdafruitListTable[[#This Row],[Mouser SKU]], AdafruitListTable[[#This Row],[Supplier SKU]])</f>
        <v>2789</v>
      </c>
      <c r="E33" s="152">
        <f>MouserListTable[[#This Row],[Tot '#]]-MouserListTable[[#This Row],['# Initial]]</f>
        <v>0</v>
      </c>
      <c r="F33" s="152">
        <f>IF(AND(MouserListTable[[#This Row],[Tag]]&lt;&gt;FilterSpecs!$F$12, MouserListTable[[#This Row],[Tag]]&lt;&gt;FilterSpecs!$F$9), MouserListTable[[#This Row],['#/Unit]]*FilterSpecs!$B$3+MouserListTable[[#This Row],[Extra Initial]],0)</f>
        <v>0</v>
      </c>
      <c r="G33" s="150"/>
      <c r="H33" s="150"/>
      <c r="I33" s="150" t="s">
        <v>2287</v>
      </c>
      <c r="K33" s="154">
        <v>1.95</v>
      </c>
      <c r="L33" s="150" t="s">
        <v>1897</v>
      </c>
      <c r="M33" s="151"/>
      <c r="N33" s="154">
        <f>MouserListTable[[#This Row],['# Initial]]*MouserListTable[[#This Row],[Price (USD)]]</f>
        <v>0</v>
      </c>
      <c r="O33" s="151" t="s">
        <v>2286</v>
      </c>
      <c r="P33" s="150">
        <f t="shared" si="0"/>
        <v>20</v>
      </c>
      <c r="Q33" s="150" t="s">
        <v>1884</v>
      </c>
      <c r="R3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485-1363</v>
      </c>
      <c r="S33" s="157" t="str">
        <f>HYPERLINK("https://www.mouser.com/ProductDetail/" &amp;MouserListTable[[#This Row],[Mouser SKU]])</f>
        <v>https://www.mouser.com/ProductDetail/485-1363</v>
      </c>
      <c r="T33" s="152">
        <v>1</v>
      </c>
      <c r="U33" s="152">
        <v>0</v>
      </c>
      <c r="V33" s="152">
        <v>0</v>
      </c>
      <c r="W33" s="152">
        <f>MouserListTable[[#This Row],['#/Unit]]*FilterSpecs!$C$3+MouserListTable[[#This Row],[Extra]]</f>
        <v>0</v>
      </c>
      <c r="X33" s="152">
        <f>IF(MouserListTable[[#This Row],[Tag]]=FilterSpecs!$F$7,MouserListTable[[#This Row],['#/Unit]]*MouserListTable[[#This Row],[Price (USD)]],0)</f>
        <v>0</v>
      </c>
      <c r="Y33" s="152">
        <f>MouserListTable[[#This Row],[Tot '#]]*MouserListTable[[#This Row],[Price (USD)]]</f>
        <v>0</v>
      </c>
      <c r="Z33" s="146"/>
      <c r="AA33" s="153" t="str">
        <f>AdafruitListTable[[#This Row],[SKU]]</f>
        <v>2789</v>
      </c>
      <c r="AB33" s="153">
        <f>VALUE(AdafruitListTable[[#This Row],['# Initial]])</f>
        <v>0</v>
      </c>
      <c r="AD33" s="153" t="s">
        <v>2286</v>
      </c>
      <c r="AE33" s="153">
        <v>5</v>
      </c>
    </row>
    <row r="34" spans="1:31" s="153" customFormat="1" x14ac:dyDescent="0.25">
      <c r="A34" s="150" t="s">
        <v>887</v>
      </c>
      <c r="B34" s="150" t="s">
        <v>2016</v>
      </c>
      <c r="C34" s="150" t="s">
        <v>5</v>
      </c>
      <c r="D34" s="151" t="str">
        <f>IF(AdafruitListTable[[#This Row],[Vendor]]=FilterSpecs!$A$8,AdafruitListTable[[#This Row],[Mouser SKU]], AdafruitListTable[[#This Row],[Supplier SKU]])</f>
        <v>DEV-13158</v>
      </c>
      <c r="E34" s="152">
        <f>MouserListTable[[#This Row],[Tot '#]]-MouserListTable[[#This Row],['# Initial]]</f>
        <v>0</v>
      </c>
      <c r="F34" s="152">
        <f>IF(AND(MouserListTable[[#This Row],[Tag]]&lt;&gt;FilterSpecs!$F$12, MouserListTable[[#This Row],[Tag]]&lt;&gt;FilterSpecs!$F$9), MouserListTable[[#This Row],['#/Unit]]*FilterSpecs!$B$3+MouserListTable[[#This Row],[Extra Initial]],0)</f>
        <v>5</v>
      </c>
      <c r="G34" s="150" t="s">
        <v>31</v>
      </c>
      <c r="H34" s="150" t="s">
        <v>32</v>
      </c>
      <c r="I34" s="150" t="s">
        <v>33</v>
      </c>
      <c r="J34" s="153">
        <v>1</v>
      </c>
      <c r="K34" s="154">
        <v>29.95</v>
      </c>
      <c r="L34" s="150" t="s">
        <v>1897</v>
      </c>
      <c r="M34" s="151"/>
      <c r="N34" s="154">
        <f>MouserListTable[[#This Row],['# Initial]]*MouserListTable[[#This Row],[Price (USD)]]</f>
        <v>49.75</v>
      </c>
      <c r="O34" s="151" t="s">
        <v>30</v>
      </c>
      <c r="P34" s="150">
        <f t="shared" si="0"/>
        <v>21</v>
      </c>
      <c r="Q34" s="150" t="s">
        <v>5</v>
      </c>
      <c r="R3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474-WRL-11373</v>
      </c>
      <c r="S34" s="157" t="str">
        <f>HYPERLINK("https://www.mouser.com/ProductDetail/" &amp;MouserListTable[[#This Row],[Mouser SKU]])</f>
        <v>https://www.mouser.com/ProductDetail/474-WRL-11373</v>
      </c>
      <c r="T34" s="152">
        <v>1</v>
      </c>
      <c r="U34" s="152">
        <v>0</v>
      </c>
      <c r="V34" s="152">
        <v>0</v>
      </c>
      <c r="W34" s="152">
        <f>MouserListTable[[#This Row],['#/Unit]]*FilterSpecs!$C$3+MouserListTable[[#This Row],[Extra]]</f>
        <v>5</v>
      </c>
      <c r="X34" s="152">
        <f>IF(MouserListTable[[#This Row],[Tag]]=FilterSpecs!$F$7,MouserListTable[[#This Row],['#/Unit]]*MouserListTable[[#This Row],[Price (USD)]],0)</f>
        <v>9.9499999999999993</v>
      </c>
      <c r="Y34" s="152">
        <f>MouserListTable[[#This Row],[Tot '#]]*MouserListTable[[#This Row],[Price (USD)]]</f>
        <v>49.75</v>
      </c>
      <c r="Z34" s="146"/>
      <c r="AA34" s="153" t="str">
        <f>AdafruitListTable[[#This Row],[SKU]]</f>
        <v>DEV-13158</v>
      </c>
      <c r="AB34" s="153">
        <f>VALUE(AdafruitListTable[[#This Row],['# Initial]])</f>
        <v>5</v>
      </c>
      <c r="AD34" s="153" t="s">
        <v>30</v>
      </c>
      <c r="AE34" s="153">
        <v>5</v>
      </c>
    </row>
    <row r="35" spans="1:31" s="153" customFormat="1" x14ac:dyDescent="0.25">
      <c r="A35" s="150" t="s">
        <v>887</v>
      </c>
      <c r="B35" s="150" t="s">
        <v>2016</v>
      </c>
      <c r="C35" s="150" t="s">
        <v>5</v>
      </c>
      <c r="D35" s="151" t="str">
        <f>IF(AdafruitListTable[[#This Row],[Vendor]]=FilterSpecs!$A$8,AdafruitListTable[[#This Row],[Mouser SKU]], AdafruitListTable[[#This Row],[Supplier SKU]])</f>
        <v>PRT-12711</v>
      </c>
      <c r="E35" s="152">
        <f>MouserListTable[[#This Row],[Tot '#]]-MouserListTable[[#This Row],['# Initial]]</f>
        <v>0</v>
      </c>
      <c r="F35" s="152">
        <f>IF(AND(MouserListTable[[#This Row],[Tag]]&lt;&gt;FilterSpecs!$F$12, MouserListTable[[#This Row],[Tag]]&lt;&gt;FilterSpecs!$F$9), MouserListTable[[#This Row],['#/Unit]]*FilterSpecs!$B$3+MouserListTable[[#This Row],[Extra Initial]],0)</f>
        <v>5</v>
      </c>
      <c r="G35" s="150" t="s">
        <v>35</v>
      </c>
      <c r="H35" s="150" t="s">
        <v>36</v>
      </c>
      <c r="I35" s="150" t="s">
        <v>37</v>
      </c>
      <c r="J35" s="153">
        <v>1</v>
      </c>
      <c r="K35" s="154">
        <v>14.95</v>
      </c>
      <c r="L35" s="150" t="s">
        <v>1897</v>
      </c>
      <c r="M35" s="151"/>
      <c r="N35" s="154">
        <f>MouserListTable[[#This Row],['# Initial]]*MouserListTable[[#This Row],[Price (USD)]]</f>
        <v>124.75</v>
      </c>
      <c r="O35" s="151" t="s">
        <v>34</v>
      </c>
      <c r="P35" s="150">
        <f t="shared" si="0"/>
        <v>22</v>
      </c>
      <c r="Q35" s="150" t="s">
        <v>5</v>
      </c>
      <c r="R3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474-WRL-11697</v>
      </c>
      <c r="S35" s="157" t="str">
        <f>HYPERLINK("https://www.mouser.com/ProductDetail/" &amp;MouserListTable[[#This Row],[Mouser SKU]])</f>
        <v>https://www.mouser.com/ProductDetail/474-WRL-11697</v>
      </c>
      <c r="T35" s="152">
        <v>1</v>
      </c>
      <c r="U35" s="152">
        <v>0</v>
      </c>
      <c r="V35" s="152">
        <v>0</v>
      </c>
      <c r="W35" s="152">
        <f>MouserListTable[[#This Row],['#/Unit]]*FilterSpecs!$C$3+MouserListTable[[#This Row],[Extra]]</f>
        <v>5</v>
      </c>
      <c r="X35" s="152">
        <f>IF(MouserListTable[[#This Row],[Tag]]=FilterSpecs!$F$7,MouserListTable[[#This Row],['#/Unit]]*MouserListTable[[#This Row],[Price (USD)]],0)</f>
        <v>24.95</v>
      </c>
      <c r="Y35" s="152">
        <f>MouserListTable[[#This Row],[Tot '#]]*MouserListTable[[#This Row],[Price (USD)]]</f>
        <v>124.75</v>
      </c>
      <c r="Z35" s="146"/>
      <c r="AA35" s="153" t="str">
        <f>AdafruitListTable[[#This Row],[SKU]]</f>
        <v>PRT-12711</v>
      </c>
      <c r="AB35" s="153">
        <f>VALUE(AdafruitListTable[[#This Row],['# Initial]])</f>
        <v>5</v>
      </c>
      <c r="AD35" s="153" t="s">
        <v>34</v>
      </c>
      <c r="AE35" s="153">
        <v>5</v>
      </c>
    </row>
    <row r="36" spans="1:31" s="153" customFormat="1" x14ac:dyDescent="0.25">
      <c r="A36" s="150" t="s">
        <v>887</v>
      </c>
      <c r="B36" s="150" t="s">
        <v>2016</v>
      </c>
      <c r="C36" s="150" t="s">
        <v>5</v>
      </c>
      <c r="D36" s="151" t="str">
        <f>IF(AdafruitListTable[[#This Row],[Vendor]]=FilterSpecs!$A$8,AdafruitListTable[[#This Row],[Mouser SKU]], AdafruitListTable[[#This Row],[Supplier SKU]])</f>
        <v>PRT-13856</v>
      </c>
      <c r="E36" s="152">
        <f>MouserListTable[[#This Row],[Tot '#]]-MouserListTable[[#This Row],['# Initial]]</f>
        <v>0</v>
      </c>
      <c r="F36" s="152">
        <f>IF(AND(MouserListTable[[#This Row],[Tag]]&lt;&gt;FilterSpecs!$F$12, MouserListTable[[#This Row],[Tag]]&lt;&gt;FilterSpecs!$F$9), MouserListTable[[#This Row],['#/Unit]]*FilterSpecs!$B$3+MouserListTable[[#This Row],[Extra Initial]],0)</f>
        <v>0</v>
      </c>
      <c r="G36" s="150" t="s">
        <v>47</v>
      </c>
      <c r="H36" s="150" t="s">
        <v>48</v>
      </c>
      <c r="I36" s="150" t="s">
        <v>49</v>
      </c>
      <c r="J36" s="153">
        <v>1</v>
      </c>
      <c r="K36" s="154">
        <v>29.95</v>
      </c>
      <c r="L36" s="150" t="s">
        <v>1897</v>
      </c>
      <c r="M36" s="151"/>
      <c r="N36" s="154">
        <f>MouserListTable[[#This Row],['# Initial]]*MouserListTable[[#This Row],[Price (USD)]]</f>
        <v>0</v>
      </c>
      <c r="O36" s="151" t="s">
        <v>46</v>
      </c>
      <c r="P36" s="150">
        <f t="shared" si="0"/>
        <v>23</v>
      </c>
      <c r="Q36" s="150" t="s">
        <v>5</v>
      </c>
      <c r="R3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474-WRL-09434</v>
      </c>
      <c r="S36" s="157" t="str">
        <f>HYPERLINK("https://www.mouser.com/ProductDetail/" &amp;MouserListTable[[#This Row],[Mouser SKU]])</f>
        <v>https://www.mouser.com/ProductDetail/474-WRL-09434</v>
      </c>
      <c r="T36" s="152">
        <v>1</v>
      </c>
      <c r="U36" s="152">
        <v>1</v>
      </c>
      <c r="V36" s="152">
        <v>0</v>
      </c>
      <c r="W36" s="152">
        <f>MouserListTable[[#This Row],['#/Unit]]*FilterSpecs!$C$3+MouserListTable[[#This Row],[Extra]]</f>
        <v>0</v>
      </c>
      <c r="X36" s="152">
        <f>IF(MouserListTable[[#This Row],[Tag]]=FilterSpecs!$F$7,MouserListTable[[#This Row],['#/Unit]]*MouserListTable[[#This Row],[Price (USD)]],0)</f>
        <v>0</v>
      </c>
      <c r="Y36" s="152">
        <f>MouserListTable[[#This Row],[Tot '#]]*MouserListTable[[#This Row],[Price (USD)]]</f>
        <v>0</v>
      </c>
      <c r="Z36" s="146"/>
      <c r="AA36" s="153" t="str">
        <f>AdafruitListTable[[#This Row],[SKU]]</f>
        <v>PRT-13856</v>
      </c>
      <c r="AB36" s="153">
        <f>VALUE(AdafruitListTable[[#This Row],['# Initial]])</f>
        <v>0</v>
      </c>
      <c r="AD36" s="153" t="s">
        <v>46</v>
      </c>
      <c r="AE36" s="153">
        <v>5</v>
      </c>
    </row>
    <row r="37" spans="1:31" s="153" customFormat="1" x14ac:dyDescent="0.25">
      <c r="A37" s="150" t="s">
        <v>887</v>
      </c>
      <c r="B37" s="150" t="s">
        <v>2011</v>
      </c>
      <c r="C37" s="150" t="s">
        <v>5</v>
      </c>
      <c r="D37" s="151" t="str">
        <f>IF(AdafruitListTable[[#This Row],[Vendor]]=FilterSpecs!$A$8,AdafruitListTable[[#This Row],[Mouser SKU]], AdafruitListTable[[#This Row],[Supplier SKU]])</f>
        <v>PRT-13032</v>
      </c>
      <c r="E37" s="152">
        <f>MouserListTable[[#This Row],[Tot '#]]-MouserListTable[[#This Row],['# Initial]]</f>
        <v>0</v>
      </c>
      <c r="F37" s="152">
        <f>IF(AND(MouserListTable[[#This Row],[Tag]]&lt;&gt;FilterSpecs!$F$12, MouserListTable[[#This Row],[Tag]]&lt;&gt;FilterSpecs!$F$9), MouserListTable[[#This Row],['#/Unit]]*FilterSpecs!$B$3+MouserListTable[[#This Row],[Extra Initial]],0)</f>
        <v>10</v>
      </c>
      <c r="G37" s="150" t="s">
        <v>39</v>
      </c>
      <c r="H37" s="150" t="s">
        <v>40</v>
      </c>
      <c r="I37" s="150" t="s">
        <v>41</v>
      </c>
      <c r="J37" s="153">
        <v>1</v>
      </c>
      <c r="K37" s="154">
        <v>9.9499999999999993</v>
      </c>
      <c r="L37" s="150" t="s">
        <v>1897</v>
      </c>
      <c r="M37" s="151"/>
      <c r="N37" s="154">
        <f>MouserListTable[[#This Row],['# Initial]]*MouserListTable[[#This Row],[Price (USD)]]</f>
        <v>249.5</v>
      </c>
      <c r="O37" s="151" t="s">
        <v>38</v>
      </c>
      <c r="P37" s="150">
        <f t="shared" si="0"/>
        <v>24</v>
      </c>
      <c r="Q37" s="150" t="s">
        <v>5</v>
      </c>
      <c r="R3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474-WRL-11601</v>
      </c>
      <c r="S37" s="157" t="str">
        <f>HYPERLINK("https://www.mouser.com/ProductDetail/" &amp;MouserListTable[[#This Row],[Mouser SKU]])</f>
        <v>https://www.mouser.com/ProductDetail/474-WRL-11601</v>
      </c>
      <c r="T37" s="152">
        <v>1</v>
      </c>
      <c r="U37" s="152">
        <v>0</v>
      </c>
      <c r="V37" s="152">
        <v>0</v>
      </c>
      <c r="W37" s="152">
        <f>MouserListTable[[#This Row],['#/Unit]]*FilterSpecs!$C$3+MouserListTable[[#This Row],[Extra]]</f>
        <v>10</v>
      </c>
      <c r="X37" s="152">
        <f>IF(MouserListTable[[#This Row],[Tag]]=FilterSpecs!$F$7,MouserListTable[[#This Row],['#/Unit]]*MouserListTable[[#This Row],[Price (USD)]],0)</f>
        <v>49.9</v>
      </c>
      <c r="Y37" s="152">
        <f>MouserListTable[[#This Row],[Tot '#]]*MouserListTable[[#This Row],[Price (USD)]]</f>
        <v>249.5</v>
      </c>
      <c r="Z37" s="146"/>
      <c r="AA37" s="153" t="str">
        <f>AdafruitListTable[[#This Row],[SKU]]</f>
        <v>PRT-13032</v>
      </c>
      <c r="AB37" s="153">
        <f>VALUE(AdafruitListTable[[#This Row],['# Initial]])</f>
        <v>10</v>
      </c>
      <c r="AD37" s="153" t="s">
        <v>38</v>
      </c>
      <c r="AE37" s="153">
        <v>5</v>
      </c>
    </row>
    <row r="38" spans="1:31" s="153" customFormat="1" x14ac:dyDescent="0.25">
      <c r="A38" s="150" t="s">
        <v>887</v>
      </c>
      <c r="B38" s="150" t="s">
        <v>2011</v>
      </c>
      <c r="C38" s="150" t="s">
        <v>5</v>
      </c>
      <c r="D38" s="151" t="str">
        <f>IF(AdafruitListTable[[#This Row],[Vendor]]=FilterSpecs!$A$8,AdafruitListTable[[#This Row],[Mouser SKU]], AdafruitListTable[[#This Row],[Supplier SKU]])</f>
        <v>PRT-10811</v>
      </c>
      <c r="E38" s="152">
        <f>MouserListTable[[#This Row],[Tot '#]]-MouserListTable[[#This Row],['# Initial]]</f>
        <v>1</v>
      </c>
      <c r="F38" s="152">
        <f>IF(AND(MouserListTable[[#This Row],[Tag]]&lt;&gt;FilterSpecs!$F$12, MouserListTable[[#This Row],[Tag]]&lt;&gt;FilterSpecs!$F$9), MouserListTable[[#This Row],['#/Unit]]*FilterSpecs!$B$3+MouserListTable[[#This Row],[Extra Initial]],0)</f>
        <v>0</v>
      </c>
      <c r="G38" s="150" t="s">
        <v>565</v>
      </c>
      <c r="H38" s="150" t="s">
        <v>566</v>
      </c>
      <c r="I38" s="150" t="s">
        <v>567</v>
      </c>
      <c r="K38" s="154">
        <v>0.95</v>
      </c>
      <c r="L38" s="150" t="s">
        <v>1897</v>
      </c>
      <c r="M38" s="151"/>
      <c r="N38" s="154">
        <f>MouserListTable[[#This Row],['# Initial]]*MouserListTable[[#This Row],[Price (USD)]]</f>
        <v>0</v>
      </c>
      <c r="O38" s="151" t="s">
        <v>564</v>
      </c>
      <c r="P38" s="150">
        <f t="shared" si="0"/>
        <v>25</v>
      </c>
      <c r="Q38" s="150" t="s">
        <v>5</v>
      </c>
      <c r="R3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474-WIG-12772</v>
      </c>
      <c r="S38" s="157" t="str">
        <f>HYPERLINK("https://www.mouser.com/ProductDetail/" &amp;MouserListTable[[#This Row],[Mouser SKU]])</f>
        <v>https://www.mouser.com/ProductDetail/474-WIG-12772</v>
      </c>
      <c r="T38" s="152">
        <v>1</v>
      </c>
      <c r="U38" s="152">
        <v>1</v>
      </c>
      <c r="V38" s="152">
        <v>0</v>
      </c>
      <c r="W38" s="152">
        <f>MouserListTable[[#This Row],['#/Unit]]*FilterSpecs!$C$3+MouserListTable[[#This Row],[Extra]]</f>
        <v>1</v>
      </c>
      <c r="X38" s="152">
        <f>IF(MouserListTable[[#This Row],[Tag]]=FilterSpecs!$F$7,MouserListTable[[#This Row],['#/Unit]]*MouserListTable[[#This Row],[Price (USD)]],0)</f>
        <v>0</v>
      </c>
      <c r="Y38" s="152">
        <f>MouserListTable[[#This Row],[Tot '#]]*MouserListTable[[#This Row],[Price (USD)]]</f>
        <v>54.95</v>
      </c>
      <c r="Z38" s="146"/>
      <c r="AA38" s="153" t="str">
        <f>AdafruitListTable[[#This Row],[SKU]]</f>
        <v>PRT-10811</v>
      </c>
      <c r="AB38" s="153">
        <f>VALUE(AdafruitListTable[[#This Row],['# Initial]])</f>
        <v>0</v>
      </c>
      <c r="AD38" s="153" t="s">
        <v>564</v>
      </c>
      <c r="AE38" s="153">
        <v>5</v>
      </c>
    </row>
    <row r="39" spans="1:31" s="153" customFormat="1" x14ac:dyDescent="0.25">
      <c r="A39" s="150" t="s">
        <v>887</v>
      </c>
      <c r="B39" s="151" t="s">
        <v>2012</v>
      </c>
      <c r="C39" s="150" t="s">
        <v>5</v>
      </c>
      <c r="D39" s="151" t="str">
        <f>IF(AdafruitListTable[[#This Row],[Vendor]]=FilterSpecs!$A$8,AdafruitListTable[[#This Row],[Mouser SKU]], AdafruitListTable[[#This Row],[Supplier SKU]])</f>
        <v>PRT-11214</v>
      </c>
      <c r="E39" s="152">
        <f>MouserListTable[[#This Row],[Tot '#]]-MouserListTable[[#This Row],['# Initial]]</f>
        <v>1</v>
      </c>
      <c r="F39" s="152">
        <f>IF(AND(MouserListTable[[#This Row],[Tag]]&lt;&gt;FilterSpecs!$F$12, MouserListTable[[#This Row],[Tag]]&lt;&gt;FilterSpecs!$F$9), MouserListTable[[#This Row],['#/Unit]]*FilterSpecs!$B$3+MouserListTable[[#This Row],[Extra Initial]],0)</f>
        <v>0</v>
      </c>
      <c r="G39" s="150" t="s">
        <v>801</v>
      </c>
      <c r="H39" s="150" t="s">
        <v>802</v>
      </c>
      <c r="I39" s="150" t="s">
        <v>803</v>
      </c>
      <c r="J39" s="150">
        <v>1</v>
      </c>
      <c r="K39" s="154">
        <v>6.95</v>
      </c>
      <c r="L39" s="150" t="s">
        <v>1897</v>
      </c>
      <c r="M39" s="151"/>
      <c r="N39" s="154">
        <f>MouserListTable[[#This Row],['# Initial]]*MouserListTable[[#This Row],[Price (USD)]]</f>
        <v>0</v>
      </c>
      <c r="O39" s="151" t="s">
        <v>800</v>
      </c>
      <c r="P39" s="150">
        <f t="shared" si="0"/>
        <v>26</v>
      </c>
      <c r="Q39" s="150" t="s">
        <v>5</v>
      </c>
      <c r="R3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474-DEV-13712</v>
      </c>
      <c r="S39" s="157" t="str">
        <f>HYPERLINK("https://www.mouser.com/ProductDetail/" &amp;MouserListTable[[#This Row],[Mouser SKU]])</f>
        <v>https://www.mouser.com/ProductDetail/474-DEV-13712</v>
      </c>
      <c r="T39" s="152">
        <v>1</v>
      </c>
      <c r="U39" s="152">
        <v>0</v>
      </c>
      <c r="V39" s="152">
        <v>0</v>
      </c>
      <c r="W39" s="152">
        <f>MouserListTable[[#This Row],['#/Unit]]*FilterSpecs!$C$3+MouserListTable[[#This Row],[Extra]]</f>
        <v>1</v>
      </c>
      <c r="X39" s="152">
        <f>IF(MouserListTable[[#This Row],[Tag]]=FilterSpecs!$F$7,MouserListTable[[#This Row],['#/Unit]]*MouserListTable[[#This Row],[Price (USD)]],0)</f>
        <v>0</v>
      </c>
      <c r="Y39" s="152">
        <f>MouserListTable[[#This Row],[Tot '#]]*MouserListTable[[#This Row],[Price (USD)]]</f>
        <v>14.95</v>
      </c>
      <c r="Z39" s="146"/>
      <c r="AA39" s="153" t="str">
        <f>AdafruitListTable[[#This Row],[SKU]]</f>
        <v>PRT-11214</v>
      </c>
      <c r="AB39" s="153">
        <f>VALUE(AdafruitListTable[[#This Row],['# Initial]])</f>
        <v>0</v>
      </c>
      <c r="AD39" s="153" t="s">
        <v>800</v>
      </c>
      <c r="AE39" s="153">
        <v>5</v>
      </c>
    </row>
    <row r="40" spans="1:31" s="153" customFormat="1" x14ac:dyDescent="0.25">
      <c r="A40" s="150" t="s">
        <v>887</v>
      </c>
      <c r="B40" s="150" t="s">
        <v>2014</v>
      </c>
      <c r="C40" s="150" t="s">
        <v>1884</v>
      </c>
      <c r="D40" s="151" t="str">
        <f>IF(AdafruitListTable[[#This Row],[Vendor]]=FilterSpecs!$A$8,AdafruitListTable[[#This Row],[Mouser SKU]], AdafruitListTable[[#This Row],[Supplier SKU]])</f>
        <v>743</v>
      </c>
      <c r="E40" s="152">
        <f>MouserListTable[[#This Row],[Tot '#]]-MouserListTable[[#This Row],['# Initial]]</f>
        <v>1</v>
      </c>
      <c r="F40" s="152">
        <f>IF(AND(MouserListTable[[#This Row],[Tag]]&lt;&gt;FilterSpecs!$F$12, MouserListTable[[#This Row],[Tag]]&lt;&gt;FilterSpecs!$F$9), MouserListTable[[#This Row],['#/Unit]]*FilterSpecs!$B$3+MouserListTable[[#This Row],[Extra Initial]],0)</f>
        <v>0</v>
      </c>
      <c r="G40" s="150"/>
      <c r="H40" s="150"/>
      <c r="I40" s="150" t="s">
        <v>2063</v>
      </c>
      <c r="J40" s="150"/>
      <c r="K40" s="154">
        <v>2.5</v>
      </c>
      <c r="L40" s="150" t="s">
        <v>1897</v>
      </c>
      <c r="M40" s="151"/>
      <c r="N40" s="154">
        <f>MouserListTable[[#This Row],['# Initial]]*MouserListTable[[#This Row],[Price (USD)]]</f>
        <v>0</v>
      </c>
      <c r="O40" s="151" t="s">
        <v>2064</v>
      </c>
      <c r="P40" s="150">
        <f t="shared" si="0"/>
        <v>27</v>
      </c>
      <c r="Q40" s="150" t="s">
        <v>1884</v>
      </c>
      <c r="R4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474-DEV-12761</v>
      </c>
      <c r="S40" s="157" t="str">
        <f>HYPERLINK("https://www.mouser.com/ProductDetail/" &amp;MouserListTable[[#This Row],[Mouser SKU]])</f>
        <v>https://www.mouser.com/ProductDetail/474-DEV-12761</v>
      </c>
      <c r="T40" s="152">
        <v>1</v>
      </c>
      <c r="U40" s="152">
        <v>1</v>
      </c>
      <c r="V40" s="152">
        <v>0</v>
      </c>
      <c r="W40" s="152">
        <f>MouserListTable[[#This Row],['#/Unit]]*FilterSpecs!$C$3+MouserListTable[[#This Row],[Extra]]</f>
        <v>1</v>
      </c>
      <c r="X40" s="152">
        <f>IF(MouserListTable[[#This Row],[Tag]]=FilterSpecs!$F$7,MouserListTable[[#This Row],['#/Unit]]*MouserListTable[[#This Row],[Price (USD)]],0)</f>
        <v>0</v>
      </c>
      <c r="Y40" s="152">
        <f>MouserListTable[[#This Row],[Tot '#]]*MouserListTable[[#This Row],[Price (USD)]]</f>
        <v>14.95</v>
      </c>
      <c r="Z40" s="146"/>
      <c r="AA40" s="153" t="str">
        <f>AdafruitListTable[[#This Row],[SKU]]</f>
        <v>743</v>
      </c>
      <c r="AB40" s="153">
        <f>VALUE(AdafruitListTable[[#This Row],['# Initial]])</f>
        <v>0</v>
      </c>
      <c r="AD40" s="153" t="s">
        <v>2064</v>
      </c>
      <c r="AE40" s="153">
        <v>5</v>
      </c>
    </row>
    <row r="41" spans="1:31" s="153" customFormat="1" x14ac:dyDescent="0.25">
      <c r="A41" s="150" t="s">
        <v>887</v>
      </c>
      <c r="B41" s="150" t="s">
        <v>2014</v>
      </c>
      <c r="C41" s="150" t="s">
        <v>5</v>
      </c>
      <c r="D41" s="151" t="str">
        <f>IF(AdafruitListTable[[#This Row],[Vendor]]=FilterSpecs!$A$8,AdafruitListTable[[#This Row],[Mouser SKU]], AdafruitListTable[[#This Row],[Supplier SKU]])</f>
        <v>PRT-11476</v>
      </c>
      <c r="E41" s="152">
        <f>MouserListTable[[#This Row],[Tot '#]]-MouserListTable[[#This Row],['# Initial]]</f>
        <v>0</v>
      </c>
      <c r="F41" s="152">
        <f>IF(AND(MouserListTable[[#This Row],[Tag]]&lt;&gt;FilterSpecs!$F$12, MouserListTable[[#This Row],[Tag]]&lt;&gt;FilterSpecs!$F$9), MouserListTable[[#This Row],['#/Unit]]*FilterSpecs!$B$3+MouserListTable[[#This Row],[Extra Initial]],0)</f>
        <v>5</v>
      </c>
      <c r="G41" s="150" t="s">
        <v>1016</v>
      </c>
      <c r="H41" s="150" t="s">
        <v>1017</v>
      </c>
      <c r="I41" s="150" t="s">
        <v>1018</v>
      </c>
      <c r="J41" s="153">
        <v>1</v>
      </c>
      <c r="K41" s="154">
        <v>0.95</v>
      </c>
      <c r="L41" s="150" t="s">
        <v>1897</v>
      </c>
      <c r="M41" s="151"/>
      <c r="N41" s="154">
        <f>MouserListTable[[#This Row],['# Initial]]*MouserListTable[[#This Row],[Price (USD)]]</f>
        <v>24.75</v>
      </c>
      <c r="O41" s="151" t="s">
        <v>1015</v>
      </c>
      <c r="P41" s="150">
        <f t="shared" si="0"/>
        <v>28</v>
      </c>
      <c r="Q41" s="150" t="s">
        <v>5</v>
      </c>
      <c r="R4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474-COM-13004</v>
      </c>
      <c r="S41" s="157" t="str">
        <f>HYPERLINK("https://www.mouser.com/ProductDetail/" &amp;MouserListTable[[#This Row],[Mouser SKU]])</f>
        <v>https://www.mouser.com/ProductDetail/474-COM-13004</v>
      </c>
      <c r="T41" s="152">
        <v>1</v>
      </c>
      <c r="U41" s="152">
        <v>1</v>
      </c>
      <c r="V41" s="152">
        <v>0</v>
      </c>
      <c r="W41" s="152">
        <f>MouserListTable[[#This Row],['#/Unit]]*FilterSpecs!$C$3+MouserListTable[[#This Row],[Extra]]</f>
        <v>5</v>
      </c>
      <c r="X41" s="152">
        <f>IF(MouserListTable[[#This Row],[Tag]]=FilterSpecs!$F$7,MouserListTable[[#This Row],['#/Unit]]*MouserListTable[[#This Row],[Price (USD)]],0)</f>
        <v>4.95</v>
      </c>
      <c r="Y41" s="152">
        <f>MouserListTable[[#This Row],[Tot '#]]*MouserListTable[[#This Row],[Price (USD)]]</f>
        <v>24.75</v>
      </c>
      <c r="Z41" s="146"/>
      <c r="AA41" s="153" t="str">
        <f>AdafruitListTable[[#This Row],[SKU]]</f>
        <v>PRT-11476</v>
      </c>
      <c r="AB41" s="153">
        <f>VALUE(AdafruitListTable[[#This Row],['# Initial]])</f>
        <v>5</v>
      </c>
      <c r="AD41" s="153" t="s">
        <v>1015</v>
      </c>
      <c r="AE41" s="153">
        <v>5</v>
      </c>
    </row>
    <row r="42" spans="1:31" s="153" customFormat="1" x14ac:dyDescent="0.25">
      <c r="A42" s="150" t="s">
        <v>887</v>
      </c>
      <c r="B42" s="150" t="s">
        <v>10</v>
      </c>
      <c r="C42" s="150" t="s">
        <v>5</v>
      </c>
      <c r="D42" s="151" t="str">
        <f>IF(AdafruitListTable[[#This Row],[Vendor]]=FilterSpecs!$A$8,AdafruitListTable[[#This Row],[Mouser SKU]], AdafruitListTable[[#This Row],[Supplier SKU]])</f>
        <v>SEN-00241</v>
      </c>
      <c r="E42" s="152">
        <f>MouserListTable[[#This Row],[Tot '#]]-MouserListTable[[#This Row],['# Initial]]</f>
        <v>0</v>
      </c>
      <c r="F42" s="152">
        <f>IF(AND(MouserListTable[[#This Row],[Tag]]&lt;&gt;FilterSpecs!$F$12, MouserListTable[[#This Row],[Tag]]&lt;&gt;FilterSpecs!$F$9), MouserListTable[[#This Row],['#/Unit]]*FilterSpecs!$B$3+MouserListTable[[#This Row],[Extra Initial]],0)</f>
        <v>1</v>
      </c>
      <c r="G42" s="150" t="s">
        <v>71</v>
      </c>
      <c r="H42" s="150" t="s">
        <v>72</v>
      </c>
      <c r="I42" s="150" t="s">
        <v>73</v>
      </c>
      <c r="J42" s="150">
        <v>1</v>
      </c>
      <c r="K42" s="154">
        <v>1.95</v>
      </c>
      <c r="L42" s="150" t="s">
        <v>1897</v>
      </c>
      <c r="M42" s="151"/>
      <c r="N42" s="154">
        <f>MouserListTable[[#This Row],['# Initial]]*MouserListTable[[#This Row],[Price (USD)]]</f>
        <v>9.9499999999999993</v>
      </c>
      <c r="O42" s="151" t="s">
        <v>70</v>
      </c>
      <c r="P42" s="150">
        <f t="shared" si="0"/>
        <v>29</v>
      </c>
      <c r="Q42" s="150" t="s">
        <v>5</v>
      </c>
      <c r="R4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474-TOL-09419</v>
      </c>
      <c r="S42" s="157" t="str">
        <f>HYPERLINK("https://www.mouser.com/ProductDetail/" &amp;MouserListTable[[#This Row],[Mouser SKU]])</f>
        <v>https://www.mouser.com/ProductDetail/474-TOL-09419</v>
      </c>
      <c r="T42" s="152">
        <v>4</v>
      </c>
      <c r="U42" s="152">
        <v>0</v>
      </c>
      <c r="V42" s="152">
        <v>0</v>
      </c>
      <c r="W42" s="152">
        <f>MouserListTable[[#This Row],['#/Unit]]*FilterSpecs!$C$3+MouserListTable[[#This Row],[Extra]]</f>
        <v>1</v>
      </c>
      <c r="X42" s="152">
        <f>IF(MouserListTable[[#This Row],[Tag]]=FilterSpecs!$F$7,MouserListTable[[#This Row],['#/Unit]]*MouserListTable[[#This Row],[Price (USD)]],0)</f>
        <v>0</v>
      </c>
      <c r="Y42" s="152">
        <f>MouserListTable[[#This Row],[Tot '#]]*MouserListTable[[#This Row],[Price (USD)]]</f>
        <v>9.9499999999999993</v>
      </c>
      <c r="Z42" s="146"/>
      <c r="AA42" s="153" t="str">
        <f>AdafruitListTable[[#This Row],[SKU]]</f>
        <v>SEN-00241</v>
      </c>
      <c r="AB42" s="153">
        <f>VALUE(AdafruitListTable[[#This Row],['# Initial]])</f>
        <v>1</v>
      </c>
      <c r="AD42" s="153" t="s">
        <v>70</v>
      </c>
      <c r="AE42" s="153">
        <v>20</v>
      </c>
    </row>
    <row r="43" spans="1:31" s="153" customFormat="1" x14ac:dyDescent="0.25">
      <c r="A43" s="150" t="s">
        <v>887</v>
      </c>
      <c r="B43" s="150" t="s">
        <v>10</v>
      </c>
      <c r="C43" s="150" t="s">
        <v>5</v>
      </c>
      <c r="D43" s="151" t="str">
        <f>IF(AdafruitListTable[[#This Row],[Vendor]]=FilterSpecs!$A$8,AdafruitListTable[[#This Row],[Mouser SKU]], AdafruitListTable[[#This Row],[Supplier SKU]])</f>
        <v>SEN-13968</v>
      </c>
      <c r="E43" s="152">
        <f>MouserListTable[[#This Row],[Tot '#]]-MouserListTable[[#This Row],['# Initial]]</f>
        <v>0</v>
      </c>
      <c r="F43" s="152">
        <f>IF(AND(MouserListTable[[#This Row],[Tag]]&lt;&gt;FilterSpecs!$F$12, MouserListTable[[#This Row],[Tag]]&lt;&gt;FilterSpecs!$F$9), MouserListTable[[#This Row],['#/Unit]]*FilterSpecs!$B$3+MouserListTable[[#This Row],[Extra Initial]],0)</f>
        <v>0</v>
      </c>
      <c r="G43" s="150" t="s">
        <v>75</v>
      </c>
      <c r="H43" s="150" t="s">
        <v>76</v>
      </c>
      <c r="I43" s="150" t="s">
        <v>77</v>
      </c>
      <c r="J43" s="150"/>
      <c r="K43" s="154">
        <v>14.95</v>
      </c>
      <c r="L43" s="89" t="s">
        <v>1897</v>
      </c>
      <c r="M43" s="151"/>
      <c r="N43" s="154">
        <f>MouserListTable[[#This Row],['# Initial]]*MouserListTable[[#This Row],[Price (USD)]]</f>
        <v>0</v>
      </c>
      <c r="O43" s="151" t="s">
        <v>74</v>
      </c>
      <c r="P43" s="150">
        <f t="shared" si="0"/>
        <v>30</v>
      </c>
      <c r="Q43" s="150" t="s">
        <v>5</v>
      </c>
      <c r="R4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474-BOB-12941</v>
      </c>
      <c r="S43" s="157" t="str">
        <f>HYPERLINK("https://www.mouser.com/ProductDetail/" &amp;MouserListTable[[#This Row],[Mouser SKU]])</f>
        <v>https://www.mouser.com/ProductDetail/474-BOB-12941</v>
      </c>
      <c r="T43" s="152">
        <v>1</v>
      </c>
      <c r="U43" s="152">
        <v>0</v>
      </c>
      <c r="V43" s="152">
        <v>0</v>
      </c>
      <c r="W43" s="152">
        <f>MouserListTable[[#This Row],['#/Unit]]*FilterSpecs!$C$3+MouserListTable[[#This Row],[Extra]]</f>
        <v>0</v>
      </c>
      <c r="X43" s="152">
        <f>IF(MouserListTable[[#This Row],[Tag]]=FilterSpecs!$F$7,MouserListTable[[#This Row],['#/Unit]]*MouserListTable[[#This Row],[Price (USD)]],0)</f>
        <v>0</v>
      </c>
      <c r="Y43" s="152">
        <f>MouserListTable[[#This Row],[Tot '#]]*MouserListTable[[#This Row],[Price (USD)]]</f>
        <v>0</v>
      </c>
      <c r="Z43" s="146"/>
      <c r="AA43" s="153" t="str">
        <f>AdafruitListTable[[#This Row],[SKU]]</f>
        <v>SEN-13968</v>
      </c>
      <c r="AB43" s="153">
        <f>VALUE(AdafruitListTable[[#This Row],['# Initial]])</f>
        <v>0</v>
      </c>
      <c r="AD43" s="153" t="s">
        <v>74</v>
      </c>
      <c r="AE43" s="153">
        <v>5</v>
      </c>
    </row>
    <row r="44" spans="1:31" s="153" customFormat="1" x14ac:dyDescent="0.25">
      <c r="A44" s="150" t="s">
        <v>887</v>
      </c>
      <c r="B44" s="150" t="s">
        <v>10</v>
      </c>
      <c r="C44" s="150" t="s">
        <v>5</v>
      </c>
      <c r="D44" s="151" t="str">
        <f>IF(AdafruitListTable[[#This Row],[Vendor]]=FilterSpecs!$A$8,AdafruitListTable[[#This Row],[Mouser SKU]], AdafruitListTable[[#This Row],[Supplier SKU]])</f>
        <v>SEN-13959</v>
      </c>
      <c r="E44" s="152">
        <f>MouserListTable[[#This Row],[Tot '#]]-MouserListTable[[#This Row],['# Initial]]</f>
        <v>0</v>
      </c>
      <c r="F44" s="152">
        <f>IF(AND(MouserListTable[[#This Row],[Tag]]&lt;&gt;FilterSpecs!$F$12, MouserListTable[[#This Row],[Tag]]&lt;&gt;FilterSpecs!$F$9), MouserListTable[[#This Row],['#/Unit]]*FilterSpecs!$B$3+MouserListTable[[#This Row],[Extra Initial]],0)</f>
        <v>5</v>
      </c>
      <c r="G44" s="150" t="s">
        <v>79</v>
      </c>
      <c r="H44" s="150" t="s">
        <v>80</v>
      </c>
      <c r="I44" s="150" t="s">
        <v>81</v>
      </c>
      <c r="J44" s="150">
        <v>1</v>
      </c>
      <c r="K44" s="154">
        <v>3.95</v>
      </c>
      <c r="L44" s="150" t="s">
        <v>1897</v>
      </c>
      <c r="M44" s="151"/>
      <c r="N44" s="154">
        <f>MouserListTable[[#This Row],['# Initial]]*MouserListTable[[#This Row],[Price (USD)]]</f>
        <v>24.75</v>
      </c>
      <c r="O44" s="151" t="s">
        <v>78</v>
      </c>
      <c r="P44" s="150">
        <f t="shared" si="0"/>
        <v>31</v>
      </c>
      <c r="Q44" s="150" t="s">
        <v>5</v>
      </c>
      <c r="R4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474-DEV-13743</v>
      </c>
      <c r="S44" s="157" t="str">
        <f>HYPERLINK("https://www.mouser.com/ProductDetail/" &amp;MouserListTable[[#This Row],[Mouser SKU]])</f>
        <v>https://www.mouser.com/ProductDetail/474-DEV-13743</v>
      </c>
      <c r="T44" s="152">
        <v>1</v>
      </c>
      <c r="U44" s="152">
        <v>0</v>
      </c>
      <c r="V44" s="152">
        <v>0</v>
      </c>
      <c r="W44" s="152">
        <f>MouserListTable[[#This Row],['#/Unit]]*FilterSpecs!$C$3+MouserListTable[[#This Row],[Extra]]</f>
        <v>5</v>
      </c>
      <c r="X44" s="152">
        <f>IF(MouserListTable[[#This Row],[Tag]]=FilterSpecs!$F$7,MouserListTable[[#This Row],['#/Unit]]*MouserListTable[[#This Row],[Price (USD)]],0)</f>
        <v>4.95</v>
      </c>
      <c r="Y44" s="152">
        <f>MouserListTable[[#This Row],[Tot '#]]*MouserListTable[[#This Row],[Price (USD)]]</f>
        <v>24.75</v>
      </c>
      <c r="Z44" s="146"/>
      <c r="AA44" s="153" t="str">
        <f>AdafruitListTable[[#This Row],[SKU]]</f>
        <v>SEN-13959</v>
      </c>
      <c r="AB44" s="153">
        <f>VALUE(AdafruitListTable[[#This Row],['# Initial]])</f>
        <v>5</v>
      </c>
      <c r="AD44" s="153" t="s">
        <v>78</v>
      </c>
      <c r="AE44" s="153">
        <v>5</v>
      </c>
    </row>
    <row r="45" spans="1:31" s="153" customFormat="1" x14ac:dyDescent="0.25">
      <c r="A45" s="150" t="s">
        <v>887</v>
      </c>
      <c r="B45" s="150" t="s">
        <v>10</v>
      </c>
      <c r="C45" s="150" t="s">
        <v>1892</v>
      </c>
      <c r="D45" s="151" t="str">
        <f>IF(AdafruitListTable[[#This Row],[Vendor]]=FilterSpecs!$A$8,AdafruitListTable[[#This Row],[Mouser SKU]], AdafruitListTable[[#This Row],[Supplier SKU]])</f>
        <v>474-COM-13833</v>
      </c>
      <c r="E45" s="152">
        <f>MouserListTable[[#This Row],[Tot '#]]-MouserListTable[[#This Row],['# Initial]]</f>
        <v>1</v>
      </c>
      <c r="F45" s="152">
        <f>IF(AND(MouserListTable[[#This Row],[Tag]]&lt;&gt;FilterSpecs!$F$12, MouserListTable[[#This Row],[Tag]]&lt;&gt;FilterSpecs!$F$9), MouserListTable[[#This Row],['#/Unit]]*FilterSpecs!$B$3+MouserListTable[[#This Row],[Extra Initial]],0)</f>
        <v>5</v>
      </c>
      <c r="G45" s="150" t="s">
        <v>2560</v>
      </c>
      <c r="H45" s="150">
        <v>29.62</v>
      </c>
      <c r="I45" s="150" t="s">
        <v>2560</v>
      </c>
      <c r="J45" s="150"/>
      <c r="K45" s="154">
        <v>29.62</v>
      </c>
      <c r="L45" s="152" t="s">
        <v>1897</v>
      </c>
      <c r="M45" s="150"/>
      <c r="N45" s="154">
        <f>MouserListTable[[#This Row],['# Initial]]*MouserListTable[[#This Row],[Price (USD)]]</f>
        <v>99.75</v>
      </c>
      <c r="O45" s="120" t="s">
        <v>2561</v>
      </c>
      <c r="P45" s="150">
        <f t="shared" si="0"/>
        <v>32</v>
      </c>
      <c r="Q45" s="150" t="s">
        <v>1892</v>
      </c>
      <c r="R4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474-COM-13833</v>
      </c>
      <c r="S45" s="136" t="str">
        <f>HYPERLINK("https://www.mouser.com/ProductDetail/" &amp;MouserListTable[[#This Row],[Mouser SKU]])</f>
        <v>https://www.mouser.com/ProductDetail/474-COM-13833</v>
      </c>
      <c r="T45" s="152">
        <v>1</v>
      </c>
      <c r="U45" s="152">
        <v>0</v>
      </c>
      <c r="V45" s="152">
        <v>0</v>
      </c>
      <c r="W45" s="152">
        <f>MouserListTable[[#This Row],['#/Unit]]*FilterSpecs!$C$3+MouserListTable[[#This Row],[Extra]]</f>
        <v>6</v>
      </c>
      <c r="X45" s="152">
        <f>IF(MouserListTable[[#This Row],[Tag]]=FilterSpecs!$F$7,MouserListTable[[#This Row],['#/Unit]]*MouserListTable[[#This Row],[Price (USD)]],0)</f>
        <v>19.95</v>
      </c>
      <c r="Y45" s="152">
        <f>MouserListTable[[#This Row],[Tot '#]]*MouserListTable[[#This Row],[Price (USD)]]</f>
        <v>119.69999999999999</v>
      </c>
      <c r="Z45" s="146"/>
      <c r="AA45" s="153" t="str">
        <f>AdafruitListTable[[#This Row],[SKU]]</f>
        <v>474-COM-13833</v>
      </c>
      <c r="AB45" s="153">
        <f>VALUE(AdafruitListTable[[#This Row],['# Initial]])</f>
        <v>5</v>
      </c>
      <c r="AD45" s="153" t="s">
        <v>2561</v>
      </c>
      <c r="AE45" s="153">
        <v>5</v>
      </c>
    </row>
    <row r="46" spans="1:31" s="104" customFormat="1" x14ac:dyDescent="0.25">
      <c r="A46" s="150" t="s">
        <v>887</v>
      </c>
      <c r="B46" s="150" t="s">
        <v>10</v>
      </c>
      <c r="C46" s="150" t="s">
        <v>1884</v>
      </c>
      <c r="D46" s="151" t="str">
        <f>IF(AdafruitListTable[[#This Row],[Vendor]]=FilterSpecs!$A$8,AdafruitListTable[[#This Row],[Mouser SKU]], AdafruitListTable[[#This Row],[Supplier SKU]])</f>
        <v>3317</v>
      </c>
      <c r="E46" s="152">
        <f>MouserListTable[[#This Row],[Tot '#]]-MouserListTable[[#This Row],['# Initial]]</f>
        <v>2</v>
      </c>
      <c r="F46" s="152">
        <f>IF(AND(MouserListTable[[#This Row],[Tag]]&lt;&gt;FilterSpecs!$F$12, MouserListTable[[#This Row],[Tag]]&lt;&gt;FilterSpecs!$F$9), MouserListTable[[#This Row],['#/Unit]]*FilterSpecs!$B$3+MouserListTable[[#This Row],[Extra Initial]],0)</f>
        <v>0</v>
      </c>
      <c r="G46" s="150"/>
      <c r="H46" s="150"/>
      <c r="I46" s="150" t="s">
        <v>2295</v>
      </c>
      <c r="J46" s="153"/>
      <c r="K46" s="154">
        <v>14.95</v>
      </c>
      <c r="L46" s="150" t="s">
        <v>1897</v>
      </c>
      <c r="M46" s="151"/>
      <c r="N46" s="154">
        <f>MouserListTable[[#This Row],['# Initial]]*MouserListTable[[#This Row],[Price (USD)]]</f>
        <v>0</v>
      </c>
      <c r="O46" s="151" t="s">
        <v>2294</v>
      </c>
      <c r="P46" s="150">
        <f t="shared" si="0"/>
        <v>33</v>
      </c>
      <c r="Q46" s="150" t="s">
        <v>1884</v>
      </c>
      <c r="R4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485-102</v>
      </c>
      <c r="S46" s="157" t="str">
        <f>HYPERLINK("https://www.mouser.com/ProductDetail/" &amp;MouserListTable[[#This Row],[Mouser SKU]])</f>
        <v>https://www.mouser.com/ProductDetail/485-102</v>
      </c>
      <c r="T46" s="152">
        <v>1</v>
      </c>
      <c r="U46" s="152">
        <v>0</v>
      </c>
      <c r="V46" s="152">
        <v>0</v>
      </c>
      <c r="W46" s="152">
        <f>MouserListTable[[#This Row],['#/Unit]]*FilterSpecs!$C$3+MouserListTable[[#This Row],[Extra]]</f>
        <v>2</v>
      </c>
      <c r="X46" s="152">
        <f>IF(MouserListTable[[#This Row],[Tag]]=FilterSpecs!$F$7,MouserListTable[[#This Row],['#/Unit]]*MouserListTable[[#This Row],[Price (USD)]],0)</f>
        <v>0</v>
      </c>
      <c r="Y46" s="152">
        <f>MouserListTable[[#This Row],[Tot '#]]*MouserListTable[[#This Row],[Price (USD)]]</f>
        <v>15.9</v>
      </c>
      <c r="Z46" s="146"/>
      <c r="AA46" s="153" t="str">
        <f>AdafruitListTable[[#This Row],[SKU]]</f>
        <v>3317</v>
      </c>
      <c r="AB46" s="153">
        <f>VALUE(AdafruitListTable[[#This Row],['# Initial]])</f>
        <v>0</v>
      </c>
      <c r="AD46" s="104" t="s">
        <v>2294</v>
      </c>
      <c r="AE46" s="104">
        <v>5</v>
      </c>
    </row>
    <row r="47" spans="1:31" s="104" customFormat="1" x14ac:dyDescent="0.25">
      <c r="A47" s="150" t="s">
        <v>887</v>
      </c>
      <c r="B47" s="150" t="s">
        <v>10</v>
      </c>
      <c r="C47" s="150" t="s">
        <v>2524</v>
      </c>
      <c r="D47" s="151" t="str">
        <f>IF(AdafruitListTable[[#This Row],[Vendor]]=FilterSpecs!$A$8,AdafruitListTable[[#This Row],[Mouser SKU]], AdafruitListTable[[#This Row],[Supplier SKU]])</f>
        <v>53L0-SATEL-I1</v>
      </c>
      <c r="E47" s="152">
        <f>MouserListTable[[#This Row],[Tot '#]]-MouserListTable[[#This Row],['# Initial]]</f>
        <v>0</v>
      </c>
      <c r="F47" s="152">
        <f>IF(AND(MouserListTable[[#This Row],[Tag]]&lt;&gt;FilterSpecs!$F$12, MouserListTable[[#This Row],[Tag]]&lt;&gt;FilterSpecs!$F$9), MouserListTable[[#This Row],['#/Unit]]*FilterSpecs!$B$3+MouserListTable[[#This Row],[Extra Initial]],0)</f>
        <v>0</v>
      </c>
      <c r="G47" s="150"/>
      <c r="H47" s="150"/>
      <c r="I47" s="150" t="s">
        <v>2523</v>
      </c>
      <c r="J47" s="150"/>
      <c r="K47" s="154">
        <v>18.5</v>
      </c>
      <c r="L47" s="152" t="s">
        <v>1897</v>
      </c>
      <c r="M47" s="150"/>
      <c r="N47" s="154">
        <f>MouserListTable[[#This Row],['# Initial]]*MouserListTable[[#This Row],[Price (USD)]]</f>
        <v>0</v>
      </c>
      <c r="O47" s="151" t="s">
        <v>2521</v>
      </c>
      <c r="P47" s="150">
        <f t="shared" si="0"/>
        <v>34</v>
      </c>
      <c r="Q47" s="150" t="s">
        <v>2524</v>
      </c>
      <c r="R4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485-2693</v>
      </c>
      <c r="S47" s="157" t="str">
        <f>HYPERLINK("https://www.mouser.com/ProductDetail/" &amp;MouserListTable[[#This Row],[Mouser SKU]])</f>
        <v>https://www.mouser.com/ProductDetail/485-2693</v>
      </c>
      <c r="T47" s="152">
        <v>1</v>
      </c>
      <c r="U47" s="152">
        <v>0</v>
      </c>
      <c r="V47" s="152">
        <v>0</v>
      </c>
      <c r="W47" s="152">
        <f>MouserListTable[[#This Row],['#/Unit]]*FilterSpecs!$C$3+MouserListTable[[#This Row],[Extra]]</f>
        <v>0</v>
      </c>
      <c r="X47" s="152">
        <f>IF(MouserListTable[[#This Row],[Tag]]=FilterSpecs!$F$7,MouserListTable[[#This Row],['#/Unit]]*MouserListTable[[#This Row],[Price (USD)]],0)</f>
        <v>0</v>
      </c>
      <c r="Y47" s="152">
        <f>MouserListTable[[#This Row],[Tot '#]]*MouserListTable[[#This Row],[Price (USD)]]</f>
        <v>0</v>
      </c>
      <c r="Z47" s="146"/>
      <c r="AA47" s="153" t="str">
        <f>AdafruitListTable[[#This Row],[SKU]]</f>
        <v>53L0-SATEL-I1</v>
      </c>
      <c r="AB47" s="153">
        <f>VALUE(AdafruitListTable[[#This Row],['# Initial]])</f>
        <v>0</v>
      </c>
      <c r="AD47" s="104" t="s">
        <v>2521</v>
      </c>
      <c r="AE47" s="104">
        <v>5</v>
      </c>
    </row>
    <row r="48" spans="1:31" s="153" customFormat="1" x14ac:dyDescent="0.25">
      <c r="A48" s="150" t="s">
        <v>887</v>
      </c>
      <c r="B48" s="150" t="s">
        <v>11</v>
      </c>
      <c r="C48" s="150" t="s">
        <v>5</v>
      </c>
      <c r="D48" s="151" t="str">
        <f>IF(AdafruitListTable[[#This Row],[Vendor]]=FilterSpecs!$A$8,AdafruitListTable[[#This Row],[Mouser SKU]], AdafruitListTable[[#This Row],[Supplier SKU]])</f>
        <v>SEN-09196</v>
      </c>
      <c r="E48" s="152">
        <f>MouserListTable[[#This Row],[Tot '#]]-MouserListTable[[#This Row],['# Initial]]</f>
        <v>0</v>
      </c>
      <c r="F48" s="152">
        <f>IF(AND(MouserListTable[[#This Row],[Tag]]&lt;&gt;FilterSpecs!$F$12, MouserListTable[[#This Row],[Tag]]&lt;&gt;FilterSpecs!$F$9), MouserListTable[[#This Row],['#/Unit]]*FilterSpecs!$B$3+MouserListTable[[#This Row],[Extra Initial]],0)</f>
        <v>0</v>
      </c>
      <c r="G48" s="150" t="s">
        <v>103</v>
      </c>
      <c r="H48" s="150" t="s">
        <v>104</v>
      </c>
      <c r="I48" s="150" t="s">
        <v>105</v>
      </c>
      <c r="J48" s="153">
        <v>1</v>
      </c>
      <c r="K48" s="154">
        <v>2.95</v>
      </c>
      <c r="L48" s="150" t="s">
        <v>1897</v>
      </c>
      <c r="M48" s="151"/>
      <c r="N48" s="154">
        <f>MouserListTable[[#This Row],['# Initial]]*MouserListTable[[#This Row],[Price (USD)]]</f>
        <v>0</v>
      </c>
      <c r="O48" s="151" t="s">
        <v>102</v>
      </c>
      <c r="P48" s="150">
        <f t="shared" si="0"/>
        <v>35</v>
      </c>
      <c r="Q48" s="150" t="s">
        <v>5</v>
      </c>
      <c r="R4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485-1294</v>
      </c>
      <c r="S48" s="157" t="str">
        <f>HYPERLINK("https://www.mouser.com/ProductDetail/" &amp;MouserListTable[[#This Row],[Mouser SKU]])</f>
        <v>https://www.mouser.com/ProductDetail/485-1294</v>
      </c>
      <c r="T48" s="152">
        <v>1</v>
      </c>
      <c r="U48" s="152">
        <v>0</v>
      </c>
      <c r="V48" s="152">
        <v>0</v>
      </c>
      <c r="W48" s="152">
        <f>MouserListTable[[#This Row],['#/Unit]]*FilterSpecs!$C$3+MouserListTable[[#This Row],[Extra]]</f>
        <v>0</v>
      </c>
      <c r="X48" s="152">
        <f>IF(MouserListTable[[#This Row],[Tag]]=FilterSpecs!$F$7,MouserListTable[[#This Row],['#/Unit]]*MouserListTable[[#This Row],[Price (USD)]],0)</f>
        <v>0</v>
      </c>
      <c r="Y48" s="152">
        <f>MouserListTable[[#This Row],[Tot '#]]*MouserListTable[[#This Row],[Price (USD)]]</f>
        <v>0</v>
      </c>
      <c r="Z48" s="146"/>
      <c r="AA48" s="153" t="str">
        <f>AdafruitListTable[[#This Row],[SKU]]</f>
        <v>SEN-09196</v>
      </c>
      <c r="AB48" s="153">
        <f>VALUE(AdafruitListTable[[#This Row],['# Initial]])</f>
        <v>0</v>
      </c>
      <c r="AD48" s="153" t="s">
        <v>102</v>
      </c>
      <c r="AE48" s="153">
        <v>5</v>
      </c>
    </row>
    <row r="49" spans="1:31" s="153" customFormat="1" x14ac:dyDescent="0.25">
      <c r="A49" s="150" t="s">
        <v>887</v>
      </c>
      <c r="B49" s="150" t="s">
        <v>11</v>
      </c>
      <c r="C49" s="150" t="s">
        <v>5</v>
      </c>
      <c r="D49" s="151" t="str">
        <f>IF(AdafruitListTable[[#This Row],[Vendor]]=FilterSpecs!$A$8,AdafruitListTable[[#This Row],[Mouser SKU]], AdafruitListTable[[#This Row],[Supplier SKU]])</f>
        <v>SEN-10289</v>
      </c>
      <c r="E49" s="152">
        <f>MouserListTable[[#This Row],[Tot '#]]-MouserListTable[[#This Row],['# Initial]]</f>
        <v>1</v>
      </c>
      <c r="F49" s="152">
        <f>IF(AND(MouserListTable[[#This Row],[Tag]]&lt;&gt;FilterSpecs!$F$12, MouserListTable[[#This Row],[Tag]]&lt;&gt;FilterSpecs!$F$9), MouserListTable[[#This Row],['#/Unit]]*FilterSpecs!$B$3+MouserListTable[[#This Row],[Extra Initial]],0)</f>
        <v>0</v>
      </c>
      <c r="G49" s="150" t="s">
        <v>283</v>
      </c>
      <c r="H49" s="150" t="s">
        <v>284</v>
      </c>
      <c r="I49" s="150" t="s">
        <v>285</v>
      </c>
      <c r="J49" s="150">
        <v>1</v>
      </c>
      <c r="K49" s="154">
        <v>1.95</v>
      </c>
      <c r="L49" s="150" t="s">
        <v>1897</v>
      </c>
      <c r="M49" s="151"/>
      <c r="N49" s="154">
        <f>MouserListTable[[#This Row],['# Initial]]*MouserListTable[[#This Row],[Price (USD)]]</f>
        <v>0</v>
      </c>
      <c r="O49" s="151" t="s">
        <v>282</v>
      </c>
      <c r="P49" s="150">
        <f t="shared" si="0"/>
        <v>36</v>
      </c>
      <c r="Q49" s="150" t="s">
        <v>5</v>
      </c>
      <c r="R4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474-TOL-12078</v>
      </c>
      <c r="S49" s="157" t="str">
        <f>HYPERLINK("https://www.mouser.com/ProductDetail/" &amp;MouserListTable[[#This Row],[Mouser SKU]])</f>
        <v>https://www.mouser.com/ProductDetail/474-TOL-12078</v>
      </c>
      <c r="T49" s="152">
        <v>1</v>
      </c>
      <c r="U49" s="152">
        <v>0</v>
      </c>
      <c r="V49" s="152">
        <v>0</v>
      </c>
      <c r="W49" s="152">
        <f>MouserListTable[[#This Row],['#/Unit]]*FilterSpecs!$C$3+MouserListTable[[#This Row],[Extra]]</f>
        <v>1</v>
      </c>
      <c r="X49" s="152">
        <f>IF(MouserListTable[[#This Row],[Tag]]=FilterSpecs!$F$7,MouserListTable[[#This Row],['#/Unit]]*MouserListTable[[#This Row],[Price (USD)]],0)</f>
        <v>0</v>
      </c>
      <c r="Y49" s="152">
        <f>MouserListTable[[#This Row],[Tot '#]]*MouserListTable[[#This Row],[Price (USD)]]</f>
        <v>4.95</v>
      </c>
      <c r="Z49" s="146"/>
      <c r="AA49" s="153" t="str">
        <f>AdafruitListTable[[#This Row],[SKU]]</f>
        <v>SEN-10289</v>
      </c>
      <c r="AB49" s="153">
        <f>VALUE(AdafruitListTable[[#This Row],['# Initial]])</f>
        <v>0</v>
      </c>
      <c r="AD49" s="153" t="s">
        <v>282</v>
      </c>
      <c r="AE49" s="153">
        <v>5</v>
      </c>
    </row>
    <row r="50" spans="1:31" s="153" customFormat="1" x14ac:dyDescent="0.25">
      <c r="A50" s="97" t="s">
        <v>887</v>
      </c>
      <c r="B50" s="97" t="s">
        <v>11</v>
      </c>
      <c r="C50" s="150" t="s">
        <v>1884</v>
      </c>
      <c r="D50" s="151" t="str">
        <f>IF(AdafruitListTable[[#This Row],[Vendor]]=FilterSpecs!$A$8,AdafruitListTable[[#This Row],[Mouser SKU]], AdafruitListTable[[#This Row],[Supplier SKU]])</f>
        <v>1361</v>
      </c>
      <c r="E50" s="152">
        <f>MouserListTable[[#This Row],[Tot '#]]-MouserListTable[[#This Row],['# Initial]]</f>
        <v>0</v>
      </c>
      <c r="F50" s="152">
        <f>IF(AND(MouserListTable[[#This Row],[Tag]]&lt;&gt;FilterSpecs!$F$12, MouserListTable[[#This Row],[Tag]]&lt;&gt;FilterSpecs!$F$9), MouserListTable[[#This Row],['#/Unit]]*FilterSpecs!$B$3+MouserListTable[[#This Row],[Extra Initial]],0)</f>
        <v>1</v>
      </c>
      <c r="G50" s="150"/>
      <c r="H50" s="150"/>
      <c r="I50" s="150" t="s">
        <v>2311</v>
      </c>
      <c r="J50" s="150"/>
      <c r="K50" s="154">
        <v>3.95</v>
      </c>
      <c r="L50" s="150" t="s">
        <v>1896</v>
      </c>
      <c r="M50" s="151"/>
      <c r="N50" s="154">
        <f>MouserListTable[[#This Row],['# Initial]]*MouserListTable[[#This Row],[Price (USD)]]</f>
        <v>4.95</v>
      </c>
      <c r="O50" s="151" t="s">
        <v>2310</v>
      </c>
      <c r="P50" s="150">
        <f t="shared" si="0"/>
        <v>37</v>
      </c>
      <c r="Q50" s="150" t="s">
        <v>1884</v>
      </c>
      <c r="R5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474-TOL-11060</v>
      </c>
      <c r="S50" s="157" t="str">
        <f>HYPERLINK("https://www.mouser.com/ProductDetail/" &amp;MouserListTable[[#This Row],[Mouser SKU]])</f>
        <v>https://www.mouser.com/ProductDetail/474-TOL-11060</v>
      </c>
      <c r="T50" s="152">
        <v>0</v>
      </c>
      <c r="U50" s="152">
        <v>1</v>
      </c>
      <c r="V50" s="152">
        <v>1</v>
      </c>
      <c r="W50" s="152">
        <f>MouserListTable[[#This Row],['#/Unit]]*FilterSpecs!$C$3+MouserListTable[[#This Row],[Extra]]</f>
        <v>1</v>
      </c>
      <c r="X50" s="152">
        <f>IF(MouserListTable[[#This Row],[Tag]]=FilterSpecs!$F$7,MouserListTable[[#This Row],['#/Unit]]*MouserListTable[[#This Row],[Price (USD)]],0)</f>
        <v>0</v>
      </c>
      <c r="Y50" s="152">
        <f>MouserListTable[[#This Row],[Tot '#]]*MouserListTable[[#This Row],[Price (USD)]]</f>
        <v>4.95</v>
      </c>
      <c r="Z50" s="146"/>
      <c r="AA50" s="153" t="str">
        <f>AdafruitListTable[[#This Row],[SKU]]</f>
        <v>1361</v>
      </c>
      <c r="AB50" s="153">
        <f>VALUE(AdafruitListTable[[#This Row],['# Initial]])</f>
        <v>1</v>
      </c>
      <c r="AD50" s="153" t="s">
        <v>2310</v>
      </c>
      <c r="AE50" s="153">
        <v>1</v>
      </c>
    </row>
    <row r="51" spans="1:31" s="153" customFormat="1" x14ac:dyDescent="0.25">
      <c r="A51" s="97" t="s">
        <v>887</v>
      </c>
      <c r="B51" s="97" t="s">
        <v>11</v>
      </c>
      <c r="C51" s="150" t="s">
        <v>5</v>
      </c>
      <c r="D51" s="151" t="str">
        <f>IF(AdafruitListTable[[#This Row],[Vendor]]=FilterSpecs!$A$8,AdafruitListTable[[#This Row],[Mouser SKU]], AdafruitListTable[[#This Row],[Supplier SKU]])</f>
        <v>COM-14111</v>
      </c>
      <c r="E51" s="152">
        <f>MouserListTable[[#This Row],[Tot '#]]-MouserListTable[[#This Row],['# Initial]]</f>
        <v>0</v>
      </c>
      <c r="F51" s="152">
        <f>IF(AND(MouserListTable[[#This Row],[Tag]]&lt;&gt;FilterSpecs!$F$12, MouserListTable[[#This Row],[Tag]]&lt;&gt;FilterSpecs!$F$9), MouserListTable[[#This Row],['#/Unit]]*FilterSpecs!$B$3+MouserListTable[[#This Row],[Extra Initial]],0)</f>
        <v>0</v>
      </c>
      <c r="G51" s="150" t="s">
        <v>107</v>
      </c>
      <c r="H51" s="150" t="s">
        <v>108</v>
      </c>
      <c r="I51" s="150" t="s">
        <v>109</v>
      </c>
      <c r="J51" s="150">
        <v>1</v>
      </c>
      <c r="K51" s="154">
        <v>25</v>
      </c>
      <c r="L51" s="150" t="s">
        <v>1896</v>
      </c>
      <c r="M51" s="151"/>
      <c r="N51" s="154">
        <f>MouserListTable[[#This Row],['# Initial]]*MouserListTable[[#This Row],[Price (USD)]]</f>
        <v>0</v>
      </c>
      <c r="O51" s="151" t="s">
        <v>106</v>
      </c>
      <c r="P51" s="150">
        <f t="shared" si="0"/>
        <v>38</v>
      </c>
      <c r="Q51" s="150" t="s">
        <v>5</v>
      </c>
      <c r="R5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474-PRT-12978</v>
      </c>
      <c r="S51" s="157" t="str">
        <f>HYPERLINK("https://www.mouser.com/ProductDetail/" &amp;MouserListTable[[#This Row],[Mouser SKU]])</f>
        <v>https://www.mouser.com/ProductDetail/474-PRT-12978</v>
      </c>
      <c r="T51" s="152">
        <v>0</v>
      </c>
      <c r="U51" s="152">
        <v>2</v>
      </c>
      <c r="V51" s="152">
        <v>2</v>
      </c>
      <c r="W51" s="152">
        <f>MouserListTable[[#This Row],['#/Unit]]*FilterSpecs!$C$3+MouserListTable[[#This Row],[Extra]]</f>
        <v>0</v>
      </c>
      <c r="X51" s="152">
        <f>IF(MouserListTable[[#This Row],[Tag]]=FilterSpecs!$F$7,MouserListTable[[#This Row],['#/Unit]]*MouserListTable[[#This Row],[Price (USD)]],0)</f>
        <v>0</v>
      </c>
      <c r="Y51" s="152">
        <f>MouserListTable[[#This Row],[Tot '#]]*MouserListTable[[#This Row],[Price (USD)]]</f>
        <v>0</v>
      </c>
      <c r="Z51" s="146"/>
      <c r="AA51" s="153" t="str">
        <f>AdafruitListTable[[#This Row],[SKU]]</f>
        <v>COM-14111</v>
      </c>
      <c r="AB51" s="153">
        <f>VALUE(AdafruitListTable[[#This Row],['# Initial]])</f>
        <v>0</v>
      </c>
      <c r="AD51" s="153" t="s">
        <v>106</v>
      </c>
      <c r="AE51" s="153">
        <v>2</v>
      </c>
    </row>
    <row r="52" spans="1:31" s="153" customFormat="1" x14ac:dyDescent="0.25">
      <c r="A52" s="97" t="s">
        <v>887</v>
      </c>
      <c r="B52" s="97" t="s">
        <v>11</v>
      </c>
      <c r="C52" s="150" t="s">
        <v>1884</v>
      </c>
      <c r="D52" s="151" t="str">
        <f>IF(AdafruitListTable[[#This Row],[Vendor]]=FilterSpecs!$A$8,AdafruitListTable[[#This Row],[Mouser SKU]], AdafruitListTable[[#This Row],[Supplier SKU]])</f>
        <v>1168</v>
      </c>
      <c r="E52" s="152">
        <f>MouserListTable[[#This Row],[Tot '#]]-MouserListTable[[#This Row],['# Initial]]</f>
        <v>0</v>
      </c>
      <c r="F52" s="152">
        <f>IF(AND(MouserListTable[[#This Row],[Tag]]&lt;&gt;FilterSpecs!$F$12, MouserListTable[[#This Row],[Tag]]&lt;&gt;FilterSpecs!$F$9), MouserListTable[[#This Row],['#/Unit]]*FilterSpecs!$B$3+MouserListTable[[#This Row],[Extra Initial]],0)</f>
        <v>0</v>
      </c>
      <c r="G52" s="150"/>
      <c r="H52" s="150"/>
      <c r="I52" s="150" t="s">
        <v>2315</v>
      </c>
      <c r="J52" s="150"/>
      <c r="K52" s="154">
        <v>4.95</v>
      </c>
      <c r="L52" s="150" t="s">
        <v>1896</v>
      </c>
      <c r="M52" s="151"/>
      <c r="N52" s="154">
        <f>MouserListTable[[#This Row],['# Initial]]*MouserListTable[[#This Row],[Price (USD)]]</f>
        <v>0</v>
      </c>
      <c r="O52" s="151" t="s">
        <v>2314</v>
      </c>
      <c r="P52" s="150">
        <f t="shared" si="0"/>
        <v>39</v>
      </c>
      <c r="Q52" s="150" t="s">
        <v>1884</v>
      </c>
      <c r="R5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474-CAB-00508</v>
      </c>
      <c r="S52" s="157" t="str">
        <f>HYPERLINK("https://www.mouser.com/ProductDetail/" &amp;MouserListTable[[#This Row],[Mouser SKU]])</f>
        <v>https://www.mouser.com/ProductDetail/474-CAB-00508</v>
      </c>
      <c r="T52" s="152">
        <v>0</v>
      </c>
      <c r="U52" s="152">
        <v>1</v>
      </c>
      <c r="V52" s="152">
        <v>1</v>
      </c>
      <c r="W52" s="152">
        <f>MouserListTable[[#This Row],['#/Unit]]*FilterSpecs!$C$3+MouserListTable[[#This Row],[Extra]]</f>
        <v>0</v>
      </c>
      <c r="X52" s="152">
        <f>IF(MouserListTable[[#This Row],[Tag]]=FilterSpecs!$F$7,MouserListTable[[#This Row],['#/Unit]]*MouserListTable[[#This Row],[Price (USD)]],0)</f>
        <v>0</v>
      </c>
      <c r="Y52" s="152">
        <f>MouserListTable[[#This Row],[Tot '#]]*MouserListTable[[#This Row],[Price (USD)]]</f>
        <v>0</v>
      </c>
      <c r="Z52" s="146"/>
      <c r="AA52" s="153" t="str">
        <f>AdafruitListTable[[#This Row],[SKU]]</f>
        <v>1168</v>
      </c>
      <c r="AB52" s="153">
        <f>VALUE(AdafruitListTable[[#This Row],['# Initial]])</f>
        <v>0</v>
      </c>
      <c r="AD52" s="153" t="s">
        <v>2314</v>
      </c>
      <c r="AE52" s="153">
        <v>1</v>
      </c>
    </row>
    <row r="53" spans="1:31" s="153" customFormat="1" x14ac:dyDescent="0.25">
      <c r="A53" s="150" t="s">
        <v>887</v>
      </c>
      <c r="B53" s="150" t="s">
        <v>2008</v>
      </c>
      <c r="C53" s="150" t="s">
        <v>1884</v>
      </c>
      <c r="D53" s="120">
        <f>IF(AdafruitListTable[[#This Row],[Vendor]]=FilterSpecs!$A$8,AdafruitListTable[[#This Row],[Mouser SKU]], AdafruitListTable[[#This Row],[Supplier SKU]])</f>
        <v>716</v>
      </c>
      <c r="E53" s="152">
        <f>MouserListTable[[#This Row],[Tot '#]]-MouserListTable[[#This Row],['# Initial]]</f>
        <v>0</v>
      </c>
      <c r="F53" s="152">
        <f>IF(AND(MouserListTable[[#This Row],[Tag]]&lt;&gt;FilterSpecs!$F$12, MouserListTable[[#This Row],[Tag]]&lt;&gt;FilterSpecs!$F$9), MouserListTable[[#This Row],['#/Unit]]*FilterSpecs!$B$3+MouserListTable[[#This Row],[Extra Initial]],0)</f>
        <v>0</v>
      </c>
      <c r="G53" s="150"/>
      <c r="H53" s="150"/>
      <c r="I53" s="150" t="s">
        <v>2550</v>
      </c>
      <c r="J53" s="150"/>
      <c r="K53" s="154">
        <v>23.95</v>
      </c>
      <c r="L53" s="152" t="s">
        <v>1897</v>
      </c>
      <c r="M53" s="150"/>
      <c r="N53" s="154">
        <f>MouserListTable[[#This Row],['# Initial]]*MouserListTable[[#This Row],[Price (USD)]]</f>
        <v>0</v>
      </c>
      <c r="O53" s="151">
        <v>716</v>
      </c>
      <c r="P53" s="150">
        <f t="shared" si="0"/>
        <v>40</v>
      </c>
      <c r="Q53" s="150" t="s">
        <v>1884</v>
      </c>
      <c r="R5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474-CAB-00509</v>
      </c>
      <c r="S53" s="157" t="str">
        <f>HYPERLINK("https://www.mouser.com/ProductDetail/" &amp;MouserListTable[[#This Row],[Mouser SKU]])</f>
        <v>https://www.mouser.com/ProductDetail/474-CAB-00509</v>
      </c>
      <c r="T53" s="152">
        <v>1</v>
      </c>
      <c r="U53" s="152">
        <v>0</v>
      </c>
      <c r="V53" s="152">
        <v>0</v>
      </c>
      <c r="W53" s="152">
        <f>MouserListTable[[#This Row],['#/Unit]]*FilterSpecs!$C$3+MouserListTable[[#This Row],[Extra]]</f>
        <v>0</v>
      </c>
      <c r="X53" s="152">
        <f>IF(MouserListTable[[#This Row],[Tag]]=FilterSpecs!$F$7,MouserListTable[[#This Row],['#/Unit]]*MouserListTable[[#This Row],[Price (USD)]],0)</f>
        <v>0</v>
      </c>
      <c r="Y53" s="152">
        <f>MouserListTable[[#This Row],[Tot '#]]*MouserListTable[[#This Row],[Price (USD)]]</f>
        <v>0</v>
      </c>
      <c r="Z53" s="146"/>
      <c r="AA53" s="153">
        <f>AdafruitListTable[[#This Row],[SKU]]</f>
        <v>716</v>
      </c>
      <c r="AB53" s="153">
        <f>VALUE(AdafruitListTable[[#This Row],['# Initial]])</f>
        <v>0</v>
      </c>
      <c r="AD53" s="153">
        <v>716</v>
      </c>
      <c r="AE53" s="153">
        <v>5</v>
      </c>
    </row>
    <row r="54" spans="1:31" s="153" customFormat="1" x14ac:dyDescent="0.25">
      <c r="A54" s="150" t="s">
        <v>887</v>
      </c>
      <c r="B54" s="150" t="s">
        <v>2008</v>
      </c>
      <c r="C54" s="150" t="s">
        <v>1884</v>
      </c>
      <c r="D54" s="151" t="str">
        <f>IF(AdafruitListTable[[#This Row],[Vendor]]=FilterSpecs!$A$8,AdafruitListTable[[#This Row],[Mouser SKU]], AdafruitListTable[[#This Row],[Supplier SKU]])</f>
        <v>419</v>
      </c>
      <c r="E54" s="152">
        <f>MouserListTable[[#This Row],[Tot '#]]-MouserListTable[[#This Row],['# Initial]]</f>
        <v>0</v>
      </c>
      <c r="F54" s="152">
        <f>IF(AND(MouserListTable[[#This Row],[Tag]]&lt;&gt;FilterSpecs!$F$12, MouserListTable[[#This Row],[Tag]]&lt;&gt;FilterSpecs!$F$9), MouserListTable[[#This Row],['#/Unit]]*FilterSpecs!$B$3+MouserListTable[[#This Row],[Extra Initial]],0)</f>
        <v>0</v>
      </c>
      <c r="G54" s="150"/>
      <c r="H54" s="150"/>
      <c r="I54" s="150" t="s">
        <v>2349</v>
      </c>
      <c r="K54" s="154">
        <v>3.95</v>
      </c>
      <c r="L54" s="150" t="s">
        <v>1897</v>
      </c>
      <c r="M54" s="151"/>
      <c r="N54" s="154">
        <f>MouserListTable[[#This Row],['# Initial]]*MouserListTable[[#This Row],[Price (USD)]]</f>
        <v>0</v>
      </c>
      <c r="O54" s="151" t="s">
        <v>2348</v>
      </c>
      <c r="P54" s="150">
        <f t="shared" si="0"/>
        <v>41</v>
      </c>
      <c r="Q54" s="150" t="s">
        <v>1884</v>
      </c>
      <c r="R5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474-CAB-00506</v>
      </c>
      <c r="S54" s="157" t="str">
        <f>HYPERLINK("https://www.mouser.com/ProductDetail/" &amp;MouserListTable[[#This Row],[Mouser SKU]])</f>
        <v>https://www.mouser.com/ProductDetail/474-CAB-00506</v>
      </c>
      <c r="T54" s="152">
        <v>1</v>
      </c>
      <c r="U54" s="152">
        <v>0</v>
      </c>
      <c r="V54" s="152">
        <v>0</v>
      </c>
      <c r="W54" s="152">
        <f>MouserListTable[[#This Row],['#/Unit]]*FilterSpecs!$C$3+MouserListTable[[#This Row],[Extra]]</f>
        <v>0</v>
      </c>
      <c r="X54" s="152">
        <f>IF(MouserListTable[[#This Row],[Tag]]=FilterSpecs!$F$7,MouserListTable[[#This Row],['#/Unit]]*MouserListTable[[#This Row],[Price (USD)]],0)</f>
        <v>0</v>
      </c>
      <c r="Y54" s="152">
        <f>MouserListTable[[#This Row],[Tot '#]]*MouserListTable[[#This Row],[Price (USD)]]</f>
        <v>0</v>
      </c>
      <c r="Z54" s="146"/>
      <c r="AA54" s="153" t="str">
        <f>AdafruitListTable[[#This Row],[SKU]]</f>
        <v>419</v>
      </c>
      <c r="AB54" s="153">
        <f>VALUE(AdafruitListTable[[#This Row],['# Initial]])</f>
        <v>0</v>
      </c>
      <c r="AD54" s="153" t="s">
        <v>2348</v>
      </c>
      <c r="AE54" s="153">
        <v>5</v>
      </c>
    </row>
    <row r="55" spans="1:31" s="153" customFormat="1" x14ac:dyDescent="0.25">
      <c r="A55" s="97" t="s">
        <v>887</v>
      </c>
      <c r="B55" s="97" t="s">
        <v>9</v>
      </c>
      <c r="C55" s="150" t="s">
        <v>1884</v>
      </c>
      <c r="D55" s="120">
        <f>IF(AdafruitListTable[[#This Row],[Vendor]]=FilterSpecs!$A$8,AdafruitListTable[[#This Row],[Mouser SKU]], AdafruitListTable[[#This Row],[Supplier SKU]])</f>
        <v>2649</v>
      </c>
      <c r="E55" s="152">
        <f>MouserListTable[[#This Row],[Tot '#]]-MouserListTable[[#This Row],['# Initial]]</f>
        <v>0</v>
      </c>
      <c r="F55" s="152">
        <f>IF(AND(MouserListTable[[#This Row],[Tag]]&lt;&gt;FilterSpecs!$F$12, MouserListTable[[#This Row],[Tag]]&lt;&gt;FilterSpecs!$F$9), MouserListTable[[#This Row],['#/Unit]]*FilterSpecs!$B$3+MouserListTable[[#This Row],[Extra Initial]],0)</f>
        <v>0</v>
      </c>
      <c r="G55" s="150"/>
      <c r="H55" s="150"/>
      <c r="I55" s="150" t="s">
        <v>2541</v>
      </c>
      <c r="J55" s="150"/>
      <c r="K55" s="154">
        <v>19.95</v>
      </c>
      <c r="L55" s="152" t="s">
        <v>1897</v>
      </c>
      <c r="M55" s="150" t="s">
        <v>2548</v>
      </c>
      <c r="N55" s="154">
        <f>MouserListTable[[#This Row],['# Initial]]*MouserListTable[[#This Row],[Price (USD)]]</f>
        <v>0</v>
      </c>
      <c r="O55" s="151">
        <v>2649</v>
      </c>
      <c r="P55" s="150">
        <f t="shared" si="0"/>
        <v>42</v>
      </c>
      <c r="Q55" s="150" t="s">
        <v>1884</v>
      </c>
      <c r="R5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474-CAB-09486</v>
      </c>
      <c r="S55" s="157" t="str">
        <f>HYPERLINK("https://www.mouser.com/ProductDetail/" &amp;MouserListTable[[#This Row],[Mouser SKU]])</f>
        <v>https://www.mouser.com/ProductDetail/474-CAB-09486</v>
      </c>
      <c r="T55" s="152">
        <v>1</v>
      </c>
      <c r="U55" s="152">
        <v>0</v>
      </c>
      <c r="V55" s="152">
        <v>0</v>
      </c>
      <c r="W55" s="152">
        <f>MouserListTable[[#This Row],['#/Unit]]*FilterSpecs!$C$3+MouserListTable[[#This Row],[Extra]]</f>
        <v>0</v>
      </c>
      <c r="X55" s="152">
        <f>IF(MouserListTable[[#This Row],[Tag]]=FilterSpecs!$F$7,MouserListTable[[#This Row],['#/Unit]]*MouserListTable[[#This Row],[Price (USD)]],0)</f>
        <v>0</v>
      </c>
      <c r="Y55" s="152">
        <f>MouserListTable[[#This Row],[Tot '#]]*MouserListTable[[#This Row],[Price (USD)]]</f>
        <v>0</v>
      </c>
      <c r="Z55" s="146"/>
      <c r="AA55" s="153">
        <f>AdafruitListTable[[#This Row],[SKU]]</f>
        <v>2649</v>
      </c>
      <c r="AB55" s="153">
        <f>VALUE(AdafruitListTable[[#This Row],['# Initial]])</f>
        <v>0</v>
      </c>
      <c r="AD55" s="153">
        <v>2649</v>
      </c>
      <c r="AE55" s="153">
        <v>5</v>
      </c>
    </row>
    <row r="56" spans="1:31" s="104" customFormat="1" x14ac:dyDescent="0.25">
      <c r="A56" s="150" t="s">
        <v>887</v>
      </c>
      <c r="B56" s="150" t="s">
        <v>9</v>
      </c>
      <c r="C56" s="150" t="s">
        <v>5</v>
      </c>
      <c r="D56" s="151" t="str">
        <f>IF(AdafruitListTable[[#This Row],[Vendor]]=FilterSpecs!$A$8,AdafruitListTable[[#This Row],[Mouser SKU]], AdafruitListTable[[#This Row],[Supplier SKU]])</f>
        <v>WRL-11320</v>
      </c>
      <c r="E56" s="152">
        <f>MouserListTable[[#This Row],[Tot '#]]-MouserListTable[[#This Row],['# Initial]]</f>
        <v>1</v>
      </c>
      <c r="F56" s="152">
        <f>IF(AND(MouserListTable[[#This Row],[Tag]]&lt;&gt;FilterSpecs!$F$12, MouserListTable[[#This Row],[Tag]]&lt;&gt;FilterSpecs!$F$9), MouserListTable[[#This Row],['#/Unit]]*FilterSpecs!$B$3+MouserListTable[[#This Row],[Extra Initial]],0)</f>
        <v>1</v>
      </c>
      <c r="G56" s="150" t="s">
        <v>2512</v>
      </c>
      <c r="H56" s="150" t="s">
        <v>2513</v>
      </c>
      <c r="I56" s="150" t="s">
        <v>2514</v>
      </c>
      <c r="J56" s="151"/>
      <c r="K56" s="154">
        <v>5</v>
      </c>
      <c r="L56" s="150" t="s">
        <v>1897</v>
      </c>
      <c r="M56" s="151"/>
      <c r="N56" s="154">
        <f>MouserListTable[[#This Row],['# Initial]]*MouserListTable[[#This Row],[Price (USD)]]</f>
        <v>0</v>
      </c>
      <c r="O56" s="151" t="s">
        <v>2511</v>
      </c>
      <c r="P56" s="150">
        <f t="shared" si="0"/>
        <v>43</v>
      </c>
      <c r="Q56" s="150" t="s">
        <v>5</v>
      </c>
      <c r="R5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474-DEV-11643</v>
      </c>
      <c r="S56" s="157" t="str">
        <f>HYPERLINK("https://www.mouser.com/ProductDetail/" &amp;MouserListTable[[#This Row],[Mouser SKU]])</f>
        <v>https://www.mouser.com/ProductDetail/474-DEV-11643</v>
      </c>
      <c r="T56" s="152">
        <v>1</v>
      </c>
      <c r="U56" s="152">
        <v>0</v>
      </c>
      <c r="V56" s="152">
        <v>0</v>
      </c>
      <c r="W56" s="152">
        <f>MouserListTable[[#This Row],['#/Unit]]*FilterSpecs!$C$3+MouserListTable[[#This Row],[Extra]]</f>
        <v>1</v>
      </c>
      <c r="X56" s="152">
        <f>IF(MouserListTable[[#This Row],[Tag]]=FilterSpecs!$F$7,MouserListTable[[#This Row],['#/Unit]]*MouserListTable[[#This Row],[Price (USD)]],0)</f>
        <v>0</v>
      </c>
      <c r="Y56" s="152">
        <f>MouserListTable[[#This Row],[Tot '#]]*MouserListTable[[#This Row],[Price (USD)]]</f>
        <v>54.95</v>
      </c>
      <c r="Z56" s="146"/>
      <c r="AA56" s="153" t="str">
        <f>AdafruitListTable[[#This Row],[SKU]]</f>
        <v>WRL-11320</v>
      </c>
      <c r="AB56" s="153">
        <f>VALUE(AdafruitListTable[[#This Row],['# Initial]])</f>
        <v>1</v>
      </c>
      <c r="AD56" s="104" t="s">
        <v>2511</v>
      </c>
      <c r="AE56" s="104">
        <v>5</v>
      </c>
    </row>
    <row r="57" spans="1:31" s="104" customFormat="1" x14ac:dyDescent="0.25">
      <c r="A57" s="150" t="s">
        <v>887</v>
      </c>
      <c r="B57" s="150" t="s">
        <v>9</v>
      </c>
      <c r="C57" s="150" t="s">
        <v>5</v>
      </c>
      <c r="D57" s="151" t="str">
        <f>IF(AdafruitListTable[[#This Row],[Vendor]]=FilterSpecs!$A$8,AdafruitListTable[[#This Row],[Mouser SKU]], AdafruitListTable[[#This Row],[Supplier SKU]])</f>
        <v>WRL-13287</v>
      </c>
      <c r="E57" s="152">
        <f>MouserListTable[[#This Row],[Tot '#]]-MouserListTable[[#This Row],['# Initial]]</f>
        <v>0</v>
      </c>
      <c r="F57" s="152">
        <f>IF(AND(MouserListTable[[#This Row],[Tag]]&lt;&gt;FilterSpecs!$F$12, MouserListTable[[#This Row],[Tag]]&lt;&gt;FilterSpecs!$F$9), MouserListTable[[#This Row],['#/Unit]]*FilterSpecs!$B$3+MouserListTable[[#This Row],[Extra Initial]],0)</f>
        <v>1</v>
      </c>
      <c r="G57" s="150" t="s">
        <v>2516</v>
      </c>
      <c r="H57" s="150" t="s">
        <v>2517</v>
      </c>
      <c r="I57" s="151" t="s">
        <v>2518</v>
      </c>
      <c r="J57" s="151">
        <v>1</v>
      </c>
      <c r="K57" s="154">
        <v>14.95</v>
      </c>
      <c r="L57" s="150" t="s">
        <v>1897</v>
      </c>
      <c r="M57" s="151"/>
      <c r="N57" s="154">
        <f>MouserListTable[[#This Row],['# Initial]]*MouserListTable[[#This Row],[Price (USD)]]</f>
        <v>2.95</v>
      </c>
      <c r="O57" s="151" t="s">
        <v>2515</v>
      </c>
      <c r="P57" s="150">
        <f t="shared" si="0"/>
        <v>44</v>
      </c>
      <c r="Q57" s="150" t="s">
        <v>5</v>
      </c>
      <c r="R5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485-1969</v>
      </c>
      <c r="S57" s="157" t="str">
        <f>HYPERLINK("https://www.mouser.com/ProductDetail/" &amp;MouserListTable[[#This Row],[Mouser SKU]])</f>
        <v>https://www.mouser.com/ProductDetail/485-1969</v>
      </c>
      <c r="T57" s="152">
        <v>1</v>
      </c>
      <c r="U57" s="152">
        <v>0</v>
      </c>
      <c r="V57" s="152">
        <v>0</v>
      </c>
      <c r="W57" s="152">
        <f>MouserListTable[[#This Row],['#/Unit]]*FilterSpecs!$C$3+MouserListTable[[#This Row],[Extra]]</f>
        <v>1</v>
      </c>
      <c r="X57" s="152">
        <f>IF(MouserListTable[[#This Row],[Tag]]=FilterSpecs!$F$7,MouserListTable[[#This Row],['#/Unit]]*MouserListTable[[#This Row],[Price (USD)]],0)</f>
        <v>0</v>
      </c>
      <c r="Y57" s="152">
        <f>MouserListTable[[#This Row],[Tot '#]]*MouserListTable[[#This Row],[Price (USD)]]</f>
        <v>2.95</v>
      </c>
      <c r="Z57" s="146"/>
      <c r="AA57" s="153" t="str">
        <f>AdafruitListTable[[#This Row],[SKU]]</f>
        <v>WRL-13287</v>
      </c>
      <c r="AB57" s="153">
        <f>VALUE(AdafruitListTable[[#This Row],['# Initial]])</f>
        <v>1</v>
      </c>
      <c r="AD57" s="104" t="s">
        <v>2515</v>
      </c>
      <c r="AE57" s="104">
        <v>5</v>
      </c>
    </row>
    <row r="58" spans="1:31" s="153" customFormat="1" x14ac:dyDescent="0.25">
      <c r="A58" s="150" t="s">
        <v>888</v>
      </c>
      <c r="B58" s="150" t="s">
        <v>12</v>
      </c>
      <c r="C58" s="150" t="s">
        <v>5</v>
      </c>
      <c r="D58" s="151" t="str">
        <f>IF(AdafruitListTable[[#This Row],[Vendor]]=FilterSpecs!$A$8,AdafruitListTable[[#This Row],[Mouser SKU]], AdafruitListTable[[#This Row],[Supplier SKU]])</f>
        <v>BOB-12009</v>
      </c>
      <c r="E58" s="152">
        <f>MouserListTable[[#This Row],[Tot '#]]-MouserListTable[[#This Row],['# Initial]]</f>
        <v>0</v>
      </c>
      <c r="F58" s="152">
        <f>IF(AND(MouserListTable[[#This Row],[Tag]]&lt;&gt;FilterSpecs!$F$12, MouserListTable[[#This Row],[Tag]]&lt;&gt;FilterSpecs!$F$9), MouserListTable[[#This Row],['#/Unit]]*FilterSpecs!$B$3+MouserListTable[[#This Row],[Extra Initial]],0)</f>
        <v>0</v>
      </c>
      <c r="G58" s="150" t="s">
        <v>258</v>
      </c>
      <c r="H58" s="150" t="s">
        <v>259</v>
      </c>
      <c r="I58" s="150" t="s">
        <v>260</v>
      </c>
      <c r="J58" s="150">
        <v>1</v>
      </c>
      <c r="K58" s="154">
        <v>2.95</v>
      </c>
      <c r="L58" s="150" t="s">
        <v>1897</v>
      </c>
      <c r="M58" s="150"/>
      <c r="N58" s="154">
        <f>MouserListTable[[#This Row],['# Initial]]*MouserListTable[[#This Row],[Price (USD)]]</f>
        <v>0</v>
      </c>
      <c r="O58" s="151" t="s">
        <v>257</v>
      </c>
      <c r="P58" s="150">
        <f t="shared" si="0"/>
        <v>45</v>
      </c>
      <c r="Q58" s="150" t="s">
        <v>5</v>
      </c>
      <c r="R5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474-TOL-10829</v>
      </c>
      <c r="S58" s="157" t="str">
        <f>HYPERLINK("https://www.mouser.com/ProductDetail/" &amp;MouserListTable[[#This Row],[Mouser SKU]])</f>
        <v>https://www.mouser.com/ProductDetail/474-TOL-10829</v>
      </c>
      <c r="T58" s="152">
        <v>3</v>
      </c>
      <c r="U58" s="152">
        <v>0</v>
      </c>
      <c r="V58" s="152">
        <v>0</v>
      </c>
      <c r="W58" s="152">
        <f>MouserListTable[[#This Row],['#/Unit]]*FilterSpecs!$C$3+MouserListTable[[#This Row],[Extra]]</f>
        <v>0</v>
      </c>
      <c r="X58" s="152">
        <f>IF(MouserListTable[[#This Row],[Tag]]=FilterSpecs!$F$7,MouserListTable[[#This Row],['#/Unit]]*MouserListTable[[#This Row],[Price (USD)]],0)</f>
        <v>0</v>
      </c>
      <c r="Y58" s="152">
        <f>MouserListTable[[#This Row],[Tot '#]]*MouserListTable[[#This Row],[Price (USD)]]</f>
        <v>0</v>
      </c>
      <c r="Z58" s="146"/>
      <c r="AA58" s="153" t="str">
        <f>AdafruitListTable[[#This Row],[SKU]]</f>
        <v>BOB-12009</v>
      </c>
      <c r="AB58" s="153">
        <f>VALUE(AdafruitListTable[[#This Row],['# Initial]])</f>
        <v>0</v>
      </c>
      <c r="AD58" s="153" t="s">
        <v>257</v>
      </c>
      <c r="AE58" s="153">
        <v>15</v>
      </c>
    </row>
    <row r="59" spans="1:31" s="153" customFormat="1" x14ac:dyDescent="0.25">
      <c r="A59" s="150" t="s">
        <v>888</v>
      </c>
      <c r="B59" s="150" t="s">
        <v>12</v>
      </c>
      <c r="C59" s="150" t="s">
        <v>5</v>
      </c>
      <c r="D59" s="151" t="str">
        <f>IF(AdafruitListTable[[#This Row],[Vendor]]=FilterSpecs!$A$8,AdafruitListTable[[#This Row],[Mouser SKU]], AdafruitListTable[[#This Row],[Supplier SKU]])</f>
        <v>BOB-11955</v>
      </c>
      <c r="E59" s="152">
        <f>MouserListTable[[#This Row],[Tot '#]]-MouserListTable[[#This Row],['# Initial]]</f>
        <v>1</v>
      </c>
      <c r="F59" s="152">
        <f>IF(AND(MouserListTable[[#This Row],[Tag]]&lt;&gt;FilterSpecs!$F$12, MouserListTable[[#This Row],[Tag]]&lt;&gt;FilterSpecs!$F$9), MouserListTable[[#This Row],['#/Unit]]*FilterSpecs!$B$3+MouserListTable[[#This Row],[Extra Initial]],0)</f>
        <v>0</v>
      </c>
      <c r="G59" s="150" t="s">
        <v>287</v>
      </c>
      <c r="H59" s="150" t="s">
        <v>288</v>
      </c>
      <c r="I59" s="150" t="s">
        <v>289</v>
      </c>
      <c r="J59" s="150">
        <v>1</v>
      </c>
      <c r="K59" s="154">
        <v>6.95</v>
      </c>
      <c r="L59" s="150" t="s">
        <v>1897</v>
      </c>
      <c r="M59" s="150"/>
      <c r="N59" s="154">
        <f>MouserListTable[[#This Row],['# Initial]]*MouserListTable[[#This Row],[Price (USD)]]</f>
        <v>0</v>
      </c>
      <c r="O59" s="151" t="s">
        <v>286</v>
      </c>
      <c r="P59" s="150">
        <f t="shared" si="0"/>
        <v>46</v>
      </c>
      <c r="Q59" s="150" t="s">
        <v>5</v>
      </c>
      <c r="R5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474-BOB-10160</v>
      </c>
      <c r="S59" s="157" t="str">
        <f>HYPERLINK("https://www.mouser.com/ProductDetail/" &amp;MouserListTable[[#This Row],[Mouser SKU]])</f>
        <v>https://www.mouser.com/ProductDetail/474-BOB-10160</v>
      </c>
      <c r="T59" s="152">
        <v>1</v>
      </c>
      <c r="U59" s="152">
        <v>0</v>
      </c>
      <c r="V59" s="152">
        <v>0</v>
      </c>
      <c r="W59" s="152">
        <f>MouserListTable[[#This Row],['#/Unit]]*FilterSpecs!$C$3+MouserListTable[[#This Row],[Extra]]</f>
        <v>1</v>
      </c>
      <c r="X59" s="152">
        <f>IF(MouserListTable[[#This Row],[Tag]]=FilterSpecs!$F$7,MouserListTable[[#This Row],['#/Unit]]*MouserListTable[[#This Row],[Price (USD)]],0)</f>
        <v>0</v>
      </c>
      <c r="Y59" s="152">
        <f>MouserListTable[[#This Row],[Tot '#]]*MouserListTable[[#This Row],[Price (USD)]]</f>
        <v>19.95</v>
      </c>
      <c r="Z59" s="146"/>
      <c r="AA59" s="153" t="str">
        <f>AdafruitListTable[[#This Row],[SKU]]</f>
        <v>BOB-11955</v>
      </c>
      <c r="AB59" s="153">
        <f>VALUE(AdafruitListTable[[#This Row],['# Initial]])</f>
        <v>0</v>
      </c>
      <c r="AD59" s="153" t="s">
        <v>286</v>
      </c>
      <c r="AE59" s="153">
        <v>5</v>
      </c>
    </row>
    <row r="60" spans="1:31" s="153" customFormat="1" x14ac:dyDescent="0.25">
      <c r="A60" s="150" t="s">
        <v>888</v>
      </c>
      <c r="B60" s="150" t="s">
        <v>12</v>
      </c>
      <c r="C60" s="150" t="s">
        <v>5</v>
      </c>
      <c r="D60" s="151" t="str">
        <f>IF(AdafruitListTable[[#This Row],[Vendor]]=FilterSpecs!$A$8,AdafruitListTable[[#This Row],[Mouser SKU]], AdafruitListTable[[#This Row],[Supplier SKU]])</f>
        <v>BOB-11771</v>
      </c>
      <c r="E60" s="152">
        <f>MouserListTable[[#This Row],[Tot '#]]-MouserListTable[[#This Row],['# Initial]]</f>
        <v>1</v>
      </c>
      <c r="F60" s="152">
        <f>IF(AND(MouserListTable[[#This Row],[Tag]]&lt;&gt;FilterSpecs!$F$12, MouserListTable[[#This Row],[Tag]]&lt;&gt;FilterSpecs!$F$9), MouserListTable[[#This Row],['#/Unit]]*FilterSpecs!$B$3+MouserListTable[[#This Row],[Extra Initial]],0)</f>
        <v>0</v>
      </c>
      <c r="G60" s="150" t="s">
        <v>291</v>
      </c>
      <c r="H60" s="150" t="s">
        <v>292</v>
      </c>
      <c r="I60" s="150" t="s">
        <v>209</v>
      </c>
      <c r="J60" s="150">
        <v>1</v>
      </c>
      <c r="K60" s="154">
        <v>3.95</v>
      </c>
      <c r="L60" s="150" t="s">
        <v>1897</v>
      </c>
      <c r="M60" s="150"/>
      <c r="N60" s="154">
        <f>MouserListTable[[#This Row],['# Initial]]*MouserListTable[[#This Row],[Price (USD)]]</f>
        <v>0</v>
      </c>
      <c r="O60" s="151" t="s">
        <v>290</v>
      </c>
      <c r="P60" s="150">
        <f t="shared" si="0"/>
        <v>47</v>
      </c>
      <c r="Q60" s="150" t="s">
        <v>5</v>
      </c>
      <c r="R6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474-COM-12014</v>
      </c>
      <c r="S60" s="157" t="str">
        <f>HYPERLINK("https://www.mouser.com/ProductDetail/" &amp;MouserListTable[[#This Row],[Mouser SKU]])</f>
        <v>https://www.mouser.com/ProductDetail/474-COM-12014</v>
      </c>
      <c r="T60" s="152">
        <v>1</v>
      </c>
      <c r="U60" s="152">
        <v>0</v>
      </c>
      <c r="V60" s="152">
        <v>0</v>
      </c>
      <c r="W60" s="152">
        <f>MouserListTable[[#This Row],['#/Unit]]*FilterSpecs!$C$3+MouserListTable[[#This Row],[Extra]]</f>
        <v>1</v>
      </c>
      <c r="X60" s="152">
        <f>IF(MouserListTable[[#This Row],[Tag]]=FilterSpecs!$F$7,MouserListTable[[#This Row],['#/Unit]]*MouserListTable[[#This Row],[Price (USD)]],0)</f>
        <v>0</v>
      </c>
      <c r="Y60" s="152">
        <f>MouserListTable[[#This Row],[Tot '#]]*MouserListTable[[#This Row],[Price (USD)]]</f>
        <v>3.95</v>
      </c>
      <c r="Z60" s="146"/>
      <c r="AA60" s="153" t="str">
        <f>AdafruitListTable[[#This Row],[SKU]]</f>
        <v>BOB-11771</v>
      </c>
      <c r="AB60" s="153">
        <f>VALUE(AdafruitListTable[[#This Row],['# Initial]])</f>
        <v>0</v>
      </c>
      <c r="AD60" s="153" t="s">
        <v>290</v>
      </c>
      <c r="AE60" s="153">
        <v>5</v>
      </c>
    </row>
    <row r="61" spans="1:31" s="153" customFormat="1" x14ac:dyDescent="0.25">
      <c r="A61" s="150" t="s">
        <v>888</v>
      </c>
      <c r="B61" s="150" t="s">
        <v>12</v>
      </c>
      <c r="C61" s="150" t="s">
        <v>5</v>
      </c>
      <c r="D61" s="151" t="str">
        <f>IF(AdafruitListTable[[#This Row],[Vendor]]=FilterSpecs!$A$8,AdafruitListTable[[#This Row],[Mouser SKU]], AdafruitListTable[[#This Row],[Supplier SKU]])</f>
        <v>BOB-12918</v>
      </c>
      <c r="E61" s="152">
        <f>MouserListTable[[#This Row],[Tot '#]]-MouserListTable[[#This Row],['# Initial]]</f>
        <v>1</v>
      </c>
      <c r="F61" s="152">
        <f>IF(AND(MouserListTable[[#This Row],[Tag]]&lt;&gt;FilterSpecs!$F$12, MouserListTable[[#This Row],[Tag]]&lt;&gt;FilterSpecs!$F$9), MouserListTable[[#This Row],['#/Unit]]*FilterSpecs!$B$3+MouserListTable[[#This Row],[Extra Initial]],0)</f>
        <v>0</v>
      </c>
      <c r="G61" s="150" t="s">
        <v>338</v>
      </c>
      <c r="H61" s="150" t="s">
        <v>339</v>
      </c>
      <c r="I61" s="150" t="s">
        <v>206</v>
      </c>
      <c r="J61" s="150">
        <v>1</v>
      </c>
      <c r="K61" s="154">
        <v>4.95</v>
      </c>
      <c r="L61" s="150" t="s">
        <v>1897</v>
      </c>
      <c r="M61" s="150"/>
      <c r="N61" s="154">
        <f>MouserListTable[[#This Row],['# Initial]]*MouserListTable[[#This Row],[Price (USD)]]</f>
        <v>0</v>
      </c>
      <c r="O61" s="151" t="s">
        <v>337</v>
      </c>
      <c r="P61" s="150">
        <f t="shared" si="0"/>
        <v>48</v>
      </c>
      <c r="Q61" s="150" t="s">
        <v>5</v>
      </c>
      <c r="R6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474-COM-11408</v>
      </c>
      <c r="S61" s="157" t="str">
        <f>HYPERLINK("https://www.mouser.com/ProductDetail/" &amp;MouserListTable[[#This Row],[Mouser SKU]])</f>
        <v>https://www.mouser.com/ProductDetail/474-COM-11408</v>
      </c>
      <c r="T61" s="152">
        <v>1</v>
      </c>
      <c r="U61" s="152">
        <v>0</v>
      </c>
      <c r="V61" s="152">
        <v>0</v>
      </c>
      <c r="W61" s="152">
        <f>MouserListTable[[#This Row],['#/Unit]]*FilterSpecs!$C$3+MouserListTable[[#This Row],[Extra]]</f>
        <v>1</v>
      </c>
      <c r="X61" s="152">
        <f>IF(MouserListTable[[#This Row],[Tag]]=FilterSpecs!$F$7,MouserListTable[[#This Row],['#/Unit]]*MouserListTable[[#This Row],[Price (USD)]],0)</f>
        <v>0</v>
      </c>
      <c r="Y61" s="152">
        <f>MouserListTable[[#This Row],[Tot '#]]*MouserListTable[[#This Row],[Price (USD)]]</f>
        <v>2.95</v>
      </c>
      <c r="Z61" s="146"/>
      <c r="AA61" s="153" t="str">
        <f>AdafruitListTable[[#This Row],[SKU]]</f>
        <v>BOB-12918</v>
      </c>
      <c r="AB61" s="153">
        <f>VALUE(AdafruitListTable[[#This Row],['# Initial]])</f>
        <v>0</v>
      </c>
      <c r="AD61" s="153" t="s">
        <v>337</v>
      </c>
      <c r="AE61" s="153">
        <v>5</v>
      </c>
    </row>
    <row r="62" spans="1:31" s="104" customFormat="1" x14ac:dyDescent="0.25">
      <c r="A62" s="150" t="s">
        <v>888</v>
      </c>
      <c r="B62" s="150" t="s">
        <v>1593</v>
      </c>
      <c r="C62" s="150" t="s">
        <v>5</v>
      </c>
      <c r="D62" s="151" t="str">
        <f>IF(AdafruitListTable[[#This Row],[Vendor]]=FilterSpecs!$A$8,AdafruitListTable[[#This Row],[Mouser SKU]], AdafruitListTable[[#This Row],[Supplier SKU]])</f>
        <v>BOB-09056</v>
      </c>
      <c r="E62" s="152">
        <f>MouserListTable[[#This Row],[Tot '#]]-MouserListTable[[#This Row],['# Initial]]</f>
        <v>1</v>
      </c>
      <c r="F62" s="152">
        <f>IF(AND(MouserListTable[[#This Row],[Tag]]&lt;&gt;FilterSpecs!$F$12, MouserListTable[[#This Row],[Tag]]&lt;&gt;FilterSpecs!$F$9), MouserListTable[[#This Row],['#/Unit]]*FilterSpecs!$B$3+MouserListTable[[#This Row],[Extra Initial]],0)</f>
        <v>0</v>
      </c>
      <c r="G62" s="150" t="s">
        <v>487</v>
      </c>
      <c r="H62" s="150" t="s">
        <v>488</v>
      </c>
      <c r="I62" s="150" t="s">
        <v>211</v>
      </c>
      <c r="J62" s="150">
        <v>1</v>
      </c>
      <c r="K62" s="154">
        <v>4.95</v>
      </c>
      <c r="L62" s="150" t="s">
        <v>1897</v>
      </c>
      <c r="M62" s="150"/>
      <c r="N62" s="154">
        <f>MouserListTable[[#This Row],['# Initial]]*MouserListTable[[#This Row],[Price (USD)]]</f>
        <v>0</v>
      </c>
      <c r="O62" s="151" t="s">
        <v>486</v>
      </c>
      <c r="P62" s="150">
        <f t="shared" si="0"/>
        <v>49</v>
      </c>
      <c r="Q62" s="150" t="s">
        <v>5</v>
      </c>
      <c r="R6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474-COM-13999</v>
      </c>
      <c r="S62" s="157" t="str">
        <f>HYPERLINK("https://www.mouser.com/ProductDetail/" &amp;MouserListTable[[#This Row],[Mouser SKU]])</f>
        <v>https://www.mouser.com/ProductDetail/474-COM-13999</v>
      </c>
      <c r="T62" s="152">
        <v>1</v>
      </c>
      <c r="U62" s="152">
        <v>1</v>
      </c>
      <c r="V62" s="152">
        <v>0</v>
      </c>
      <c r="W62" s="152">
        <f>MouserListTable[[#This Row],['#/Unit]]*FilterSpecs!$C$3+MouserListTable[[#This Row],[Extra]]</f>
        <v>1</v>
      </c>
      <c r="X62" s="152">
        <f>IF(MouserListTable[[#This Row],[Tag]]=FilterSpecs!$F$7,MouserListTable[[#This Row],['#/Unit]]*MouserListTable[[#This Row],[Price (USD)]],0)</f>
        <v>0</v>
      </c>
      <c r="Y62" s="152">
        <f>MouserListTable[[#This Row],[Tot '#]]*MouserListTable[[#This Row],[Price (USD)]]</f>
        <v>3.95</v>
      </c>
      <c r="Z62" s="146"/>
      <c r="AA62" s="153" t="str">
        <f>AdafruitListTable[[#This Row],[SKU]]</f>
        <v>BOB-09056</v>
      </c>
      <c r="AB62" s="153">
        <f>VALUE(AdafruitListTable[[#This Row],['# Initial]])</f>
        <v>0</v>
      </c>
      <c r="AD62" s="104" t="s">
        <v>486</v>
      </c>
      <c r="AE62" s="104">
        <v>5</v>
      </c>
    </row>
    <row r="63" spans="1:31" s="104" customFormat="1" x14ac:dyDescent="0.25">
      <c r="A63" s="150" t="s">
        <v>888</v>
      </c>
      <c r="B63" s="150" t="s">
        <v>1593</v>
      </c>
      <c r="C63" s="150" t="s">
        <v>5</v>
      </c>
      <c r="D63" s="151" t="str">
        <f>IF(AdafruitListTable[[#This Row],[Vendor]]=FilterSpecs!$A$8,AdafruitListTable[[#This Row],[Mouser SKU]], AdafruitListTable[[#This Row],[Supplier SKU]])</f>
        <v>BOB-09118</v>
      </c>
      <c r="E63" s="152">
        <f>MouserListTable[[#This Row],[Tot '#]]-MouserListTable[[#This Row],['# Initial]]</f>
        <v>0</v>
      </c>
      <c r="F63" s="152">
        <f>IF(AND(MouserListTable[[#This Row],[Tag]]&lt;&gt;FilterSpecs!$F$12, MouserListTable[[#This Row],[Tag]]&lt;&gt;FilterSpecs!$F$9), MouserListTable[[#This Row],['#/Unit]]*FilterSpecs!$B$3+MouserListTable[[#This Row],[Extra Initial]],0)</f>
        <v>10</v>
      </c>
      <c r="G63" s="150" t="s">
        <v>490</v>
      </c>
      <c r="H63" s="150" t="s">
        <v>491</v>
      </c>
      <c r="I63" s="150" t="s">
        <v>207</v>
      </c>
      <c r="J63" s="150">
        <v>1</v>
      </c>
      <c r="K63" s="154">
        <v>4.95</v>
      </c>
      <c r="L63" s="150" t="s">
        <v>1897</v>
      </c>
      <c r="M63" s="150"/>
      <c r="N63" s="154">
        <f>MouserListTable[[#This Row],['# Initial]]*MouserListTable[[#This Row],[Price (USD)]]</f>
        <v>19.5</v>
      </c>
      <c r="O63" s="151" t="s">
        <v>489</v>
      </c>
      <c r="P63" s="150">
        <f t="shared" si="0"/>
        <v>50</v>
      </c>
      <c r="Q63" s="150" t="s">
        <v>5</v>
      </c>
      <c r="R6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474-COM-09938</v>
      </c>
      <c r="S63" s="157" t="str">
        <f>HYPERLINK("https://www.mouser.com/ProductDetail/" &amp;MouserListTable[[#This Row],[Mouser SKU]])</f>
        <v>https://www.mouser.com/ProductDetail/474-COM-09938</v>
      </c>
      <c r="T63" s="152">
        <v>1</v>
      </c>
      <c r="U63" s="152">
        <v>3</v>
      </c>
      <c r="V63" s="152">
        <v>0</v>
      </c>
      <c r="W63" s="152">
        <f>MouserListTable[[#This Row],['#/Unit]]*FilterSpecs!$C$3+MouserListTable[[#This Row],[Extra]]</f>
        <v>10</v>
      </c>
      <c r="X63" s="152">
        <f>IF(MouserListTable[[#This Row],[Tag]]=FilterSpecs!$F$7,MouserListTable[[#This Row],['#/Unit]]*MouserListTable[[#This Row],[Price (USD)]],0)</f>
        <v>3.9</v>
      </c>
      <c r="Y63" s="152">
        <f>MouserListTable[[#This Row],[Tot '#]]*MouserListTable[[#This Row],[Price (USD)]]</f>
        <v>19.5</v>
      </c>
      <c r="Z63" s="146"/>
      <c r="AA63" s="153" t="str">
        <f>AdafruitListTable[[#This Row],[SKU]]</f>
        <v>BOB-09118</v>
      </c>
      <c r="AB63" s="153">
        <f>VALUE(AdafruitListTable[[#This Row],['# Initial]])</f>
        <v>10</v>
      </c>
      <c r="AD63" s="104" t="s">
        <v>489</v>
      </c>
      <c r="AE63" s="104">
        <v>5</v>
      </c>
    </row>
    <row r="64" spans="1:31" s="104" customFormat="1" x14ac:dyDescent="0.25">
      <c r="A64" s="150" t="s">
        <v>888</v>
      </c>
      <c r="B64" s="150" t="s">
        <v>2017</v>
      </c>
      <c r="C64" s="150" t="s">
        <v>1884</v>
      </c>
      <c r="D64" s="151" t="str">
        <f>IF(AdafruitListTable[[#This Row],[Vendor]]=FilterSpecs!$A$8,AdafruitListTable[[#This Row],[Mouser SKU]], AdafruitListTable[[#This Row],[Supplier SKU]])</f>
        <v>2910</v>
      </c>
      <c r="E64" s="152">
        <f>MouserListTable[[#This Row],[Tot '#]]-MouserListTable[[#This Row],['# Initial]]</f>
        <v>2</v>
      </c>
      <c r="F64" s="152">
        <f>IF(AND(MouserListTable[[#This Row],[Tag]]&lt;&gt;FilterSpecs!$F$12, MouserListTable[[#This Row],[Tag]]&lt;&gt;FilterSpecs!$F$9), MouserListTable[[#This Row],['#/Unit]]*FilterSpecs!$B$3+MouserListTable[[#This Row],[Extra Initial]],0)</f>
        <v>0</v>
      </c>
      <c r="G64" s="150"/>
      <c r="H64" s="150"/>
      <c r="I64" s="150" t="s">
        <v>2341</v>
      </c>
      <c r="J64" s="150"/>
      <c r="K64" s="154">
        <v>2.95</v>
      </c>
      <c r="L64" s="150" t="s">
        <v>1897</v>
      </c>
      <c r="M64" s="151"/>
      <c r="N64" s="154">
        <f>MouserListTable[[#This Row],['# Initial]]*MouserListTable[[#This Row],[Price (USD)]]</f>
        <v>0</v>
      </c>
      <c r="O64" s="151" t="s">
        <v>2340</v>
      </c>
      <c r="P64" s="150">
        <f t="shared" si="0"/>
        <v>51</v>
      </c>
      <c r="Q64" s="150" t="s">
        <v>1884</v>
      </c>
      <c r="R6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474-BOB-13282</v>
      </c>
      <c r="S64" s="157" t="str">
        <f>HYPERLINK("https://www.mouser.com/ProductDetail/" &amp;MouserListTable[[#This Row],[Mouser SKU]])</f>
        <v>https://www.mouser.com/ProductDetail/474-BOB-13282</v>
      </c>
      <c r="T64" s="152">
        <v>1</v>
      </c>
      <c r="U64" s="152">
        <v>0</v>
      </c>
      <c r="V64" s="152">
        <v>0</v>
      </c>
      <c r="W64" s="152">
        <f>MouserListTable[[#This Row],['#/Unit]]*FilterSpecs!$C$3+MouserListTable[[#This Row],[Extra]]</f>
        <v>2</v>
      </c>
      <c r="X64" s="152">
        <f>IF(MouserListTable[[#This Row],[Tag]]=FilterSpecs!$F$7,MouserListTable[[#This Row],['#/Unit]]*MouserListTable[[#This Row],[Price (USD)]],0)</f>
        <v>0</v>
      </c>
      <c r="Y64" s="152">
        <f>MouserListTable[[#This Row],[Tot '#]]*MouserListTable[[#This Row],[Price (USD)]]</f>
        <v>5.9</v>
      </c>
      <c r="Z64" s="146"/>
      <c r="AA64" s="153" t="str">
        <f>AdafruitListTable[[#This Row],[SKU]]</f>
        <v>2910</v>
      </c>
      <c r="AB64" s="153">
        <f>VALUE(AdafruitListTable[[#This Row],['# Initial]])</f>
        <v>0</v>
      </c>
      <c r="AD64" s="104" t="s">
        <v>2340</v>
      </c>
      <c r="AE64" s="104">
        <v>5</v>
      </c>
    </row>
    <row r="65" spans="1:31" s="153" customFormat="1" x14ac:dyDescent="0.25">
      <c r="A65" s="150" t="s">
        <v>888</v>
      </c>
      <c r="B65" s="150" t="s">
        <v>2017</v>
      </c>
      <c r="C65" s="150" t="s">
        <v>5</v>
      </c>
      <c r="D65" s="151" t="str">
        <f>IF(AdafruitListTable[[#This Row],[Vendor]]=FilterSpecs!$A$8,AdafruitListTable[[#This Row],[Mouser SKU]], AdafruitListTable[[#This Row],[Supplier SKU]])</f>
        <v>CAB-12016</v>
      </c>
      <c r="E65" s="152">
        <f>MouserListTable[[#This Row],[Tot '#]]-MouserListTable[[#This Row],['# Initial]]</f>
        <v>0</v>
      </c>
      <c r="F65" s="152">
        <f>IF(AND(MouserListTable[[#This Row],[Tag]]&lt;&gt;FilterSpecs!$F$12, MouserListTable[[#This Row],[Tag]]&lt;&gt;FilterSpecs!$F$9), MouserListTable[[#This Row],['#/Unit]]*FilterSpecs!$B$3+MouserListTable[[#This Row],[Extra Initial]],0)</f>
        <v>5</v>
      </c>
      <c r="G65" s="150" t="s">
        <v>246</v>
      </c>
      <c r="H65" s="150" t="s">
        <v>247</v>
      </c>
      <c r="I65" s="150" t="s">
        <v>248</v>
      </c>
      <c r="K65" s="154">
        <v>6.97</v>
      </c>
      <c r="L65" s="150" t="s">
        <v>1896</v>
      </c>
      <c r="M65" s="151"/>
      <c r="N65" s="154">
        <f>MouserListTable[[#This Row],['# Initial]]*MouserListTable[[#This Row],[Price (USD)]]</f>
        <v>39.75</v>
      </c>
      <c r="O65" s="151" t="s">
        <v>245</v>
      </c>
      <c r="P65" s="150">
        <f t="shared" si="0"/>
        <v>52</v>
      </c>
      <c r="Q65" s="150" t="s">
        <v>5</v>
      </c>
      <c r="R6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474-BOB-13884</v>
      </c>
      <c r="S65" s="157" t="str">
        <f>HYPERLINK("https://www.mouser.com/ProductDetail/" &amp;MouserListTable[[#This Row],[Mouser SKU]])</f>
        <v>https://www.mouser.com/ProductDetail/474-BOB-13884</v>
      </c>
      <c r="T65" s="152">
        <v>0</v>
      </c>
      <c r="U65" s="152">
        <v>1</v>
      </c>
      <c r="V65" s="152">
        <v>1</v>
      </c>
      <c r="W65" s="152">
        <f>MouserListTable[[#This Row],['#/Unit]]*FilterSpecs!$C$3+MouserListTable[[#This Row],[Extra]]</f>
        <v>5</v>
      </c>
      <c r="X65" s="152">
        <f>IF(MouserListTable[[#This Row],[Tag]]=FilterSpecs!$F$7,MouserListTable[[#This Row],['#/Unit]]*MouserListTable[[#This Row],[Price (USD)]],0)</f>
        <v>7.95</v>
      </c>
      <c r="Y65" s="152">
        <f>MouserListTable[[#This Row],[Tot '#]]*MouserListTable[[#This Row],[Price (USD)]]</f>
        <v>39.75</v>
      </c>
      <c r="Z65" s="146"/>
      <c r="AA65" s="153" t="str">
        <f>AdafruitListTable[[#This Row],[SKU]]</f>
        <v>CAB-12016</v>
      </c>
      <c r="AB65" s="153">
        <f>VALUE(AdafruitListTable[[#This Row],['# Initial]])</f>
        <v>5</v>
      </c>
      <c r="AD65" s="153" t="s">
        <v>245</v>
      </c>
      <c r="AE65" s="153">
        <v>1</v>
      </c>
    </row>
    <row r="66" spans="1:31" s="153" customFormat="1" x14ac:dyDescent="0.25">
      <c r="A66" s="150" t="s">
        <v>888</v>
      </c>
      <c r="B66" s="150" t="s">
        <v>1590</v>
      </c>
      <c r="C66" s="150" t="s">
        <v>5</v>
      </c>
      <c r="D66" s="151" t="str">
        <f>IF(AdafruitListTable[[#This Row],[Vendor]]=FilterSpecs!$A$8,AdafruitListTable[[#This Row],[Mouser SKU]], AdafruitListTable[[#This Row],[Supplier SKU]])</f>
        <v>DEV-14050</v>
      </c>
      <c r="E66" s="152">
        <f>MouserListTable[[#This Row],[Tot '#]]-MouserListTable[[#This Row],['# Initial]]</f>
        <v>1</v>
      </c>
      <c r="F66" s="152">
        <f>IF(AND(MouserListTable[[#This Row],[Tag]]&lt;&gt;FilterSpecs!$F$12, MouserListTable[[#This Row],[Tag]]&lt;&gt;FilterSpecs!$F$9), MouserListTable[[#This Row],['#/Unit]]*FilterSpecs!$B$3+MouserListTable[[#This Row],[Extra Initial]],0)</f>
        <v>0</v>
      </c>
      <c r="G66" s="150" t="s">
        <v>274</v>
      </c>
      <c r="H66" s="150" t="s">
        <v>275</v>
      </c>
      <c r="I66" s="150" t="s">
        <v>217</v>
      </c>
      <c r="J66" s="150"/>
      <c r="K66" s="154">
        <v>7.95</v>
      </c>
      <c r="L66" s="150" t="s">
        <v>1897</v>
      </c>
      <c r="M66" s="150"/>
      <c r="N66" s="154">
        <f>MouserListTable[[#This Row],['# Initial]]*MouserListTable[[#This Row],[Price (USD)]]</f>
        <v>0</v>
      </c>
      <c r="O66" s="151" t="s">
        <v>273</v>
      </c>
      <c r="P66" s="150">
        <f t="shared" si="0"/>
        <v>53</v>
      </c>
      <c r="Q66" s="150" t="s">
        <v>5</v>
      </c>
      <c r="R6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474-COM-12661</v>
      </c>
      <c r="S66" s="157" t="str">
        <f>HYPERLINK("https://www.mouser.com/ProductDetail/" &amp;MouserListTable[[#This Row],[Mouser SKU]])</f>
        <v>https://www.mouser.com/ProductDetail/474-COM-12661</v>
      </c>
      <c r="T66" s="152">
        <v>1</v>
      </c>
      <c r="U66" s="152">
        <v>0</v>
      </c>
      <c r="V66" s="152">
        <v>0</v>
      </c>
      <c r="W66" s="152">
        <f>MouserListTable[[#This Row],['#/Unit]]*FilterSpecs!$C$3+MouserListTable[[#This Row],[Extra]]</f>
        <v>1</v>
      </c>
      <c r="X66" s="152">
        <f>IF(MouserListTable[[#This Row],[Tag]]=FilterSpecs!$F$7,MouserListTable[[#This Row],['#/Unit]]*MouserListTable[[#This Row],[Price (USD)]],0)</f>
        <v>0</v>
      </c>
      <c r="Y66" s="152">
        <f>MouserListTable[[#This Row],[Tot '#]]*MouserListTable[[#This Row],[Price (USD)]]</f>
        <v>5.95</v>
      </c>
      <c r="Z66" s="146"/>
      <c r="AA66" s="153" t="str">
        <f>AdafruitListTable[[#This Row],[SKU]]</f>
        <v>DEV-14050</v>
      </c>
      <c r="AB66" s="153">
        <f>VALUE(AdafruitListTable[[#This Row],['# Initial]])</f>
        <v>0</v>
      </c>
      <c r="AD66" s="153" t="s">
        <v>273</v>
      </c>
      <c r="AE66" s="153">
        <v>5</v>
      </c>
    </row>
    <row r="67" spans="1:31" s="153" customFormat="1" x14ac:dyDescent="0.25">
      <c r="A67" s="150" t="s">
        <v>888</v>
      </c>
      <c r="B67" s="150" t="s">
        <v>1590</v>
      </c>
      <c r="C67" s="150" t="s">
        <v>5</v>
      </c>
      <c r="D67" s="151" t="str">
        <f>IF(AdafruitListTable[[#This Row],[Vendor]]=FilterSpecs!$A$8,AdafruitListTable[[#This Row],[Mouser SKU]], AdafruitListTable[[#This Row],[Supplier SKU]])</f>
        <v>BOB-13830</v>
      </c>
      <c r="E67" s="152">
        <f>MouserListTable[[#This Row],[Tot '#]]-MouserListTable[[#This Row],['# Initial]]</f>
        <v>3</v>
      </c>
      <c r="F67" s="152">
        <f>IF(AND(MouserListTable[[#This Row],[Tag]]&lt;&gt;FilterSpecs!$F$12, MouserListTable[[#This Row],[Tag]]&lt;&gt;FilterSpecs!$F$9), MouserListTable[[#This Row],['#/Unit]]*FilterSpecs!$B$3+MouserListTable[[#This Row],[Extra Initial]],0)</f>
        <v>0</v>
      </c>
      <c r="G67" s="150" t="s">
        <v>277</v>
      </c>
      <c r="H67" s="150" t="s">
        <v>278</v>
      </c>
      <c r="I67" s="150" t="s">
        <v>203</v>
      </c>
      <c r="J67" s="150">
        <v>1</v>
      </c>
      <c r="K67" s="154">
        <v>12.95</v>
      </c>
      <c r="L67" s="150" t="s">
        <v>1897</v>
      </c>
      <c r="M67" s="150"/>
      <c r="N67" s="154">
        <f>MouserListTable[[#This Row],['# Initial]]*MouserListTable[[#This Row],[Price (USD)]]</f>
        <v>0</v>
      </c>
      <c r="O67" s="151" t="s">
        <v>276</v>
      </c>
      <c r="P67" s="150">
        <f t="shared" si="0"/>
        <v>54</v>
      </c>
      <c r="Q67" s="150" t="s">
        <v>5</v>
      </c>
      <c r="R6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474-COM-09637</v>
      </c>
      <c r="S67" s="157" t="str">
        <f>HYPERLINK("https://www.mouser.com/ProductDetail/" &amp;MouserListTable[[#This Row],[Mouser SKU]])</f>
        <v>https://www.mouser.com/ProductDetail/474-COM-09637</v>
      </c>
      <c r="T67" s="152">
        <v>1</v>
      </c>
      <c r="U67" s="152">
        <v>0</v>
      </c>
      <c r="V67" s="152">
        <v>0</v>
      </c>
      <c r="W67" s="152">
        <f>MouserListTable[[#This Row],['#/Unit]]*FilterSpecs!$C$3+MouserListTable[[#This Row],[Extra]]</f>
        <v>3</v>
      </c>
      <c r="X67" s="152">
        <f>IF(MouserListTable[[#This Row],[Tag]]=FilterSpecs!$F$7,MouserListTable[[#This Row],['#/Unit]]*MouserListTable[[#This Row],[Price (USD)]],0)</f>
        <v>0</v>
      </c>
      <c r="Y67" s="152">
        <f>MouserListTable[[#This Row],[Tot '#]]*MouserListTable[[#This Row],[Price (USD)]]</f>
        <v>14.850000000000001</v>
      </c>
      <c r="Z67" s="146"/>
      <c r="AA67" s="153" t="str">
        <f>AdafruitListTable[[#This Row],[SKU]]</f>
        <v>BOB-13830</v>
      </c>
      <c r="AB67" s="153">
        <f>VALUE(AdafruitListTable[[#This Row],['# Initial]])</f>
        <v>0</v>
      </c>
      <c r="AD67" s="153" t="s">
        <v>276</v>
      </c>
      <c r="AE67" s="153">
        <v>5</v>
      </c>
    </row>
    <row r="68" spans="1:31" s="153" customFormat="1" x14ac:dyDescent="0.25">
      <c r="A68" s="150" t="s">
        <v>888</v>
      </c>
      <c r="B68" s="150" t="s">
        <v>1590</v>
      </c>
      <c r="C68" s="150" t="s">
        <v>5</v>
      </c>
      <c r="D68" s="151" t="str">
        <f>IF(AdafruitListTable[[#This Row],[Vendor]]=FilterSpecs!$A$8,AdafruitListTable[[#This Row],[Mouser SKU]], AdafruitListTable[[#This Row],[Supplier SKU]])</f>
        <v>BOB-13263</v>
      </c>
      <c r="E68" s="152">
        <f>MouserListTable[[#This Row],[Tot '#]]-MouserListTable[[#This Row],['# Initial]]</f>
        <v>0</v>
      </c>
      <c r="F68" s="152">
        <f>IF(AND(MouserListTable[[#This Row],[Tag]]&lt;&gt;FilterSpecs!$F$12, MouserListTable[[#This Row],[Tag]]&lt;&gt;FilterSpecs!$F$9), MouserListTable[[#This Row],['#/Unit]]*FilterSpecs!$B$3+MouserListTable[[#This Row],[Extra Initial]],0)</f>
        <v>0</v>
      </c>
      <c r="G68" s="150" t="s">
        <v>1008</v>
      </c>
      <c r="H68" s="150" t="s">
        <v>1009</v>
      </c>
      <c r="I68" s="150" t="s">
        <v>1010</v>
      </c>
      <c r="J68" s="150">
        <v>1</v>
      </c>
      <c r="K68" s="154">
        <v>11.95</v>
      </c>
      <c r="L68" s="150" t="s">
        <v>1896</v>
      </c>
      <c r="M68" s="150"/>
      <c r="N68" s="154">
        <f>MouserListTable[[#This Row],['# Initial]]*MouserListTable[[#This Row],[Price (USD)]]</f>
        <v>0</v>
      </c>
      <c r="O68" s="151" t="s">
        <v>1007</v>
      </c>
      <c r="P68" s="150">
        <f t="shared" si="0"/>
        <v>55</v>
      </c>
      <c r="Q68" s="150" t="s">
        <v>5</v>
      </c>
      <c r="R6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485-1621</v>
      </c>
      <c r="S68" s="157" t="str">
        <f>HYPERLINK("https://www.mouser.com/ProductDetail/" &amp;MouserListTable[[#This Row],[Mouser SKU]])</f>
        <v>https://www.mouser.com/ProductDetail/485-1621</v>
      </c>
      <c r="T68" s="152">
        <v>0</v>
      </c>
      <c r="U68" s="152">
        <v>1</v>
      </c>
      <c r="V68" s="152">
        <v>1</v>
      </c>
      <c r="W68" s="152">
        <f>MouserListTable[[#This Row],['#/Unit]]*FilterSpecs!$C$3+MouserListTable[[#This Row],[Extra]]</f>
        <v>0</v>
      </c>
      <c r="X68" s="152">
        <f>IF(MouserListTable[[#This Row],[Tag]]=FilterSpecs!$F$7,MouserListTable[[#This Row],['#/Unit]]*MouserListTable[[#This Row],[Price (USD)]],0)</f>
        <v>0</v>
      </c>
      <c r="Y68" s="152">
        <f>MouserListTable[[#This Row],[Tot '#]]*MouserListTable[[#This Row],[Price (USD)]]</f>
        <v>0</v>
      </c>
      <c r="Z68" s="146"/>
      <c r="AA68" s="153" t="str">
        <f>AdafruitListTable[[#This Row],[SKU]]</f>
        <v>BOB-13263</v>
      </c>
      <c r="AB68" s="153">
        <f>VALUE(AdafruitListTable[[#This Row],['# Initial]])</f>
        <v>0</v>
      </c>
      <c r="AD68" s="153" t="s">
        <v>1007</v>
      </c>
      <c r="AE68" s="153">
        <v>1</v>
      </c>
    </row>
    <row r="69" spans="1:31" s="153" customFormat="1" x14ac:dyDescent="0.25">
      <c r="A69" s="150" t="s">
        <v>888</v>
      </c>
      <c r="B69" s="150" t="s">
        <v>1590</v>
      </c>
      <c r="C69" s="150" t="s">
        <v>5</v>
      </c>
      <c r="D69" s="151" t="str">
        <f>IF(AdafruitListTable[[#This Row],[Vendor]]=FilterSpecs!$A$8,AdafruitListTable[[#This Row],[Mouser SKU]], AdafruitListTable[[#This Row],[Supplier SKU]])</f>
        <v>DEV-12935</v>
      </c>
      <c r="E69" s="152">
        <f>MouserListTable[[#This Row],[Tot '#]]-MouserListTable[[#This Row],['# Initial]]</f>
        <v>0</v>
      </c>
      <c r="F69" s="152">
        <f>IF(AND(MouserListTable[[#This Row],[Tag]]&lt;&gt;FilterSpecs!$F$12, MouserListTable[[#This Row],[Tag]]&lt;&gt;FilterSpecs!$F$9), MouserListTable[[#This Row],['#/Unit]]*FilterSpecs!$B$3+MouserListTable[[#This Row],[Extra Initial]],0)</f>
        <v>0</v>
      </c>
      <c r="G69" s="150" t="s">
        <v>1012</v>
      </c>
      <c r="H69" s="150" t="s">
        <v>1013</v>
      </c>
      <c r="I69" s="150" t="s">
        <v>1014</v>
      </c>
      <c r="J69" s="150">
        <v>1</v>
      </c>
      <c r="K69" s="154">
        <v>19.95</v>
      </c>
      <c r="L69" s="150" t="s">
        <v>1896</v>
      </c>
      <c r="M69" s="150"/>
      <c r="N69" s="154">
        <f>MouserListTable[[#This Row],['# Initial]]*MouserListTable[[#This Row],[Price (USD)]]</f>
        <v>0</v>
      </c>
      <c r="O69" s="151" t="s">
        <v>1011</v>
      </c>
      <c r="P69" s="150">
        <f t="shared" si="0"/>
        <v>56</v>
      </c>
      <c r="Q69" s="150" t="s">
        <v>5</v>
      </c>
      <c r="R6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485-1622</v>
      </c>
      <c r="S69" s="157" t="str">
        <f>HYPERLINK("https://www.mouser.com/ProductDetail/" &amp;MouserListTable[[#This Row],[Mouser SKU]])</f>
        <v>https://www.mouser.com/ProductDetail/485-1622</v>
      </c>
      <c r="T69" s="152">
        <v>0</v>
      </c>
      <c r="U69" s="152">
        <v>1</v>
      </c>
      <c r="V69" s="152">
        <v>1</v>
      </c>
      <c r="W69" s="152">
        <f>MouserListTable[[#This Row],['#/Unit]]*FilterSpecs!$C$3+MouserListTable[[#This Row],[Extra]]</f>
        <v>0</v>
      </c>
      <c r="X69" s="152">
        <f>IF(MouserListTable[[#This Row],[Tag]]=FilterSpecs!$F$7,MouserListTable[[#This Row],['#/Unit]]*MouserListTable[[#This Row],[Price (USD)]],0)</f>
        <v>0</v>
      </c>
      <c r="Y69" s="152">
        <f>MouserListTable[[#This Row],[Tot '#]]*MouserListTable[[#This Row],[Price (USD)]]</f>
        <v>0</v>
      </c>
      <c r="Z69" s="146"/>
      <c r="AA69" s="153" t="str">
        <f>AdafruitListTable[[#This Row],[SKU]]</f>
        <v>DEV-12935</v>
      </c>
      <c r="AB69" s="153">
        <f>VALUE(AdafruitListTable[[#This Row],['# Initial]])</f>
        <v>0</v>
      </c>
      <c r="AD69" s="153" t="s">
        <v>1011</v>
      </c>
      <c r="AE69" s="153">
        <v>1</v>
      </c>
    </row>
    <row r="70" spans="1:31" s="153" customFormat="1" x14ac:dyDescent="0.25">
      <c r="A70" s="150" t="s">
        <v>889</v>
      </c>
      <c r="B70" s="150" t="s">
        <v>986</v>
      </c>
      <c r="C70" s="150" t="s">
        <v>5</v>
      </c>
      <c r="D70" s="151" t="str">
        <f>IF(AdafruitListTable[[#This Row],[Vendor]]=FilterSpecs!$A$8,AdafruitListTable[[#This Row],[Mouser SKU]], AdafruitListTable[[#This Row],[Supplier SKU]])</f>
        <v>PRT-12047</v>
      </c>
      <c r="E70" s="152">
        <f>MouserListTable[[#This Row],[Tot '#]]-MouserListTable[[#This Row],['# Initial]]</f>
        <v>5</v>
      </c>
      <c r="F70" s="152">
        <f>IF(AND(MouserListTable[[#This Row],[Tag]]&lt;&gt;FilterSpecs!$F$12, MouserListTable[[#This Row],[Tag]]&lt;&gt;FilterSpecs!$F$9), MouserListTable[[#This Row],['#/Unit]]*FilterSpecs!$B$3+MouserListTable[[#This Row],[Extra Initial]],0)</f>
        <v>0</v>
      </c>
      <c r="G70" s="150" t="s">
        <v>1298</v>
      </c>
      <c r="H70" s="150" t="s">
        <v>1299</v>
      </c>
      <c r="I70" s="150" t="s">
        <v>1300</v>
      </c>
      <c r="J70" s="150">
        <v>1</v>
      </c>
      <c r="K70" s="154">
        <v>3.95</v>
      </c>
      <c r="L70" s="150" t="s">
        <v>1897</v>
      </c>
      <c r="M70" s="150" t="s">
        <v>1296</v>
      </c>
      <c r="N70" s="154">
        <f>MouserListTable[[#This Row],['# Initial]]*MouserListTable[[#This Row],[Price (USD)]]</f>
        <v>0</v>
      </c>
      <c r="O70" s="151" t="s">
        <v>1297</v>
      </c>
      <c r="P70" s="150">
        <f t="shared" si="0"/>
        <v>57</v>
      </c>
      <c r="Q70" s="150" t="s">
        <v>5</v>
      </c>
      <c r="R7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474-DEV-11061</v>
      </c>
      <c r="S70" s="157" t="str">
        <f>HYPERLINK("https://www.mouser.com/ProductDetail/" &amp;MouserListTable[[#This Row],[Mouser SKU]])</f>
        <v>https://www.mouser.com/ProductDetail/474-DEV-11061</v>
      </c>
      <c r="T70" s="152">
        <v>4</v>
      </c>
      <c r="U70" s="152">
        <v>0</v>
      </c>
      <c r="V70" s="152">
        <v>0</v>
      </c>
      <c r="W70" s="152">
        <f>MouserListTable[[#This Row],['#/Unit]]*FilterSpecs!$C$3+MouserListTable[[#This Row],[Extra]]</f>
        <v>5</v>
      </c>
      <c r="X70" s="152">
        <f>IF(MouserListTable[[#This Row],[Tag]]=FilterSpecs!$F$7,MouserListTable[[#This Row],['#/Unit]]*MouserListTable[[#This Row],[Price (USD)]],0)</f>
        <v>0</v>
      </c>
      <c r="Y70" s="152">
        <f>MouserListTable[[#This Row],[Tot '#]]*MouserListTable[[#This Row],[Price (USD)]]</f>
        <v>229.75</v>
      </c>
      <c r="Z70" s="146"/>
      <c r="AA70" s="153" t="str">
        <f>AdafruitListTable[[#This Row],[SKU]]</f>
        <v>PRT-12047</v>
      </c>
      <c r="AB70" s="153">
        <f>VALUE(AdafruitListTable[[#This Row],['# Initial]])</f>
        <v>0</v>
      </c>
      <c r="AD70" s="153" t="s">
        <v>1297</v>
      </c>
      <c r="AE70" s="153">
        <v>20</v>
      </c>
    </row>
    <row r="71" spans="1:31" s="153" customFormat="1" x14ac:dyDescent="0.25">
      <c r="A71" s="150" t="s">
        <v>889</v>
      </c>
      <c r="B71" s="150" t="s">
        <v>986</v>
      </c>
      <c r="C71" s="150" t="s">
        <v>5</v>
      </c>
      <c r="D71" s="151" t="str">
        <f>IF(AdafruitListTable[[#This Row],[Vendor]]=FilterSpecs!$A$8,AdafruitListTable[[#This Row],[Mouser SKU]], AdafruitListTable[[#This Row],[Supplier SKU]])</f>
        <v>PRT-12699</v>
      </c>
      <c r="E71" s="152">
        <f>MouserListTable[[#This Row],[Tot '#]]-MouserListTable[[#This Row],['# Initial]]</f>
        <v>0</v>
      </c>
      <c r="F71" s="152">
        <f>IF(AND(MouserListTable[[#This Row],[Tag]]&lt;&gt;FilterSpecs!$F$12, MouserListTable[[#This Row],[Tag]]&lt;&gt;FilterSpecs!$F$9), MouserListTable[[#This Row],['#/Unit]]*FilterSpecs!$B$3+MouserListTable[[#This Row],[Extra Initial]],0)</f>
        <v>0</v>
      </c>
      <c r="G71" s="150" t="s">
        <v>926</v>
      </c>
      <c r="H71" s="150" t="s">
        <v>927</v>
      </c>
      <c r="I71" s="150" t="s">
        <v>928</v>
      </c>
      <c r="J71" s="150">
        <v>1</v>
      </c>
      <c r="K71" s="154">
        <v>8.9499999999999993</v>
      </c>
      <c r="L71" s="150" t="s">
        <v>1897</v>
      </c>
      <c r="M71" s="151"/>
      <c r="N71" s="154">
        <f>MouserListTable[[#This Row],['# Initial]]*MouserListTable[[#This Row],[Price (USD)]]</f>
        <v>0</v>
      </c>
      <c r="O71" s="151" t="s">
        <v>925</v>
      </c>
      <c r="P71" s="150">
        <f t="shared" si="0"/>
        <v>58</v>
      </c>
      <c r="Q71" s="150" t="s">
        <v>5</v>
      </c>
      <c r="R7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474-DEV-14082</v>
      </c>
      <c r="S71" s="157" t="str">
        <f>HYPERLINK("https://www.mouser.com/ProductDetail/" &amp;MouserListTable[[#This Row],[Mouser SKU]])</f>
        <v>https://www.mouser.com/ProductDetail/474-DEV-14082</v>
      </c>
      <c r="T71" s="152">
        <v>2</v>
      </c>
      <c r="U71" s="152">
        <v>0</v>
      </c>
      <c r="V71" s="152">
        <v>0</v>
      </c>
      <c r="W71" s="152">
        <f>MouserListTable[[#This Row],['#/Unit]]*FilterSpecs!$C$3+MouserListTable[[#This Row],[Extra]]</f>
        <v>0</v>
      </c>
      <c r="X71" s="152">
        <f>IF(MouserListTable[[#This Row],[Tag]]=FilterSpecs!$F$7,MouserListTable[[#This Row],['#/Unit]]*MouserListTable[[#This Row],[Price (USD)]],0)</f>
        <v>0</v>
      </c>
      <c r="Y71" s="152">
        <f>MouserListTable[[#This Row],[Tot '#]]*MouserListTable[[#This Row],[Price (USD)]]</f>
        <v>0</v>
      </c>
      <c r="Z71" s="146"/>
      <c r="AA71" s="153" t="str">
        <f>AdafruitListTable[[#This Row],[SKU]]</f>
        <v>PRT-12699</v>
      </c>
      <c r="AB71" s="153">
        <f>VALUE(AdafruitListTable[[#This Row],['# Initial]])</f>
        <v>0</v>
      </c>
      <c r="AD71" s="153" t="s">
        <v>925</v>
      </c>
      <c r="AE71" s="153">
        <v>10</v>
      </c>
    </row>
    <row r="72" spans="1:31" s="153" customFormat="1" x14ac:dyDescent="0.25">
      <c r="A72" s="150" t="s">
        <v>889</v>
      </c>
      <c r="B72" s="150" t="s">
        <v>986</v>
      </c>
      <c r="C72" s="150" t="s">
        <v>5</v>
      </c>
      <c r="D72" s="151" t="str">
        <f>IF(AdafruitListTable[[#This Row],[Vendor]]=FilterSpecs!$A$8,AdafruitListTable[[#This Row],[Mouser SKU]], AdafruitListTable[[#This Row],[Supplier SKU]])</f>
        <v>DEV-07914</v>
      </c>
      <c r="E72" s="152">
        <f>MouserListTable[[#This Row],[Tot '#]]-MouserListTable[[#This Row],['# Initial]]</f>
        <v>0</v>
      </c>
      <c r="F72" s="152">
        <f>IF(AND(MouserListTable[[#This Row],[Tag]]&lt;&gt;FilterSpecs!$F$12, MouserListTable[[#This Row],[Tag]]&lt;&gt;FilterSpecs!$F$9), MouserListTable[[#This Row],['#/Unit]]*FilterSpecs!$B$3+MouserListTable[[#This Row],[Extra Initial]],0)</f>
        <v>0</v>
      </c>
      <c r="G72" s="150" t="s">
        <v>1758</v>
      </c>
      <c r="H72" s="150" t="s">
        <v>1759</v>
      </c>
      <c r="I72" s="150" t="s">
        <v>1760</v>
      </c>
      <c r="J72" s="150">
        <v>1</v>
      </c>
      <c r="K72" s="154">
        <v>9.9499999999999993</v>
      </c>
      <c r="L72" s="150" t="s">
        <v>1897</v>
      </c>
      <c r="M72" s="151"/>
      <c r="N72" s="154">
        <f>MouserListTable[[#This Row],['# Initial]]*MouserListTable[[#This Row],[Price (USD)]]</f>
        <v>0</v>
      </c>
      <c r="O72" s="151" t="s">
        <v>1757</v>
      </c>
      <c r="P72" s="150">
        <f t="shared" si="0"/>
        <v>59</v>
      </c>
      <c r="Q72" s="150" t="s">
        <v>5</v>
      </c>
      <c r="R7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474-KIT-11734</v>
      </c>
      <c r="S72" s="157" t="str">
        <f>HYPERLINK("https://www.mouser.com/ProductDetail/" &amp;MouserListTable[[#This Row],[Mouser SKU]])</f>
        <v>https://www.mouser.com/ProductDetail/474-KIT-11734</v>
      </c>
      <c r="T72" s="152">
        <v>1</v>
      </c>
      <c r="U72" s="152">
        <v>1</v>
      </c>
      <c r="V72" s="152">
        <v>0</v>
      </c>
      <c r="W72" s="152">
        <f>MouserListTable[[#This Row],['#/Unit]]*FilterSpecs!$C$3+MouserListTable[[#This Row],[Extra]]</f>
        <v>0</v>
      </c>
      <c r="X72" s="152">
        <f>IF(MouserListTable[[#This Row],[Tag]]=FilterSpecs!$F$7,MouserListTable[[#This Row],['#/Unit]]*MouserListTable[[#This Row],[Price (USD)]],0)</f>
        <v>0</v>
      </c>
      <c r="Y72" s="152">
        <f>MouserListTable[[#This Row],[Tot '#]]*MouserListTable[[#This Row],[Price (USD)]]</f>
        <v>0</v>
      </c>
      <c r="Z72" s="146"/>
      <c r="AA72" s="153" t="str">
        <f>AdafruitListTable[[#This Row],[SKU]]</f>
        <v>DEV-07914</v>
      </c>
      <c r="AB72" s="153">
        <f>VALUE(AdafruitListTable[[#This Row],['# Initial]])</f>
        <v>0</v>
      </c>
      <c r="AD72" s="153" t="s">
        <v>1757</v>
      </c>
      <c r="AE72" s="153">
        <v>5</v>
      </c>
    </row>
    <row r="73" spans="1:31" s="153" customFormat="1" x14ac:dyDescent="0.25">
      <c r="A73" s="150" t="s">
        <v>889</v>
      </c>
      <c r="B73" s="150" t="s">
        <v>986</v>
      </c>
      <c r="C73" s="150" t="s">
        <v>5</v>
      </c>
      <c r="D73" s="151" t="str">
        <f>IF(AdafruitListTable[[#This Row],[Vendor]]=FilterSpecs!$A$8,AdafruitListTable[[#This Row],[Mouser SKU]], AdafruitListTable[[#This Row],[Supplier SKU]])</f>
        <v>PRT-13268</v>
      </c>
      <c r="E73" s="152">
        <f>MouserListTable[[#This Row],[Tot '#]]-MouserListTable[[#This Row],['# Initial]]</f>
        <v>0</v>
      </c>
      <c r="F73" s="152">
        <f>IF(AND(MouserListTable[[#This Row],[Tag]]&lt;&gt;FilterSpecs!$F$12, MouserListTable[[#This Row],[Tag]]&lt;&gt;FilterSpecs!$F$9), MouserListTable[[#This Row],['#/Unit]]*FilterSpecs!$B$3+MouserListTable[[#This Row],[Extra Initial]],0)</f>
        <v>0</v>
      </c>
      <c r="G73" s="150" t="s">
        <v>938</v>
      </c>
      <c r="H73" s="150" t="s">
        <v>939</v>
      </c>
      <c r="I73" s="150" t="s">
        <v>940</v>
      </c>
      <c r="J73" s="150">
        <v>1</v>
      </c>
      <c r="K73" s="154">
        <v>7.95</v>
      </c>
      <c r="L73" s="150" t="s">
        <v>1896</v>
      </c>
      <c r="M73" s="151"/>
      <c r="N73" s="154">
        <f>MouserListTable[[#This Row],['# Initial]]*MouserListTable[[#This Row],[Price (USD)]]</f>
        <v>0</v>
      </c>
      <c r="O73" s="151" t="s">
        <v>937</v>
      </c>
      <c r="P73" s="150">
        <f t="shared" si="0"/>
        <v>60</v>
      </c>
      <c r="Q73" s="150" t="s">
        <v>5</v>
      </c>
      <c r="R7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474-TOL-12889</v>
      </c>
      <c r="S73" s="157" t="str">
        <f>HYPERLINK("https://www.mouser.com/ProductDetail/" &amp;MouserListTable[[#This Row],[Mouser SKU]])</f>
        <v>https://www.mouser.com/ProductDetail/474-TOL-12889</v>
      </c>
      <c r="T73" s="152">
        <v>0</v>
      </c>
      <c r="U73" s="152">
        <v>2</v>
      </c>
      <c r="V73" s="152">
        <v>2</v>
      </c>
      <c r="W73" s="152">
        <f>MouserListTable[[#This Row],['#/Unit]]*FilterSpecs!$C$3+MouserListTable[[#This Row],[Extra]]</f>
        <v>0</v>
      </c>
      <c r="X73" s="152">
        <f>IF(MouserListTable[[#This Row],[Tag]]=FilterSpecs!$F$7,MouserListTable[[#This Row],['#/Unit]]*MouserListTable[[#This Row],[Price (USD)]],0)</f>
        <v>0</v>
      </c>
      <c r="Y73" s="152">
        <f>MouserListTable[[#This Row],[Tot '#]]*MouserListTable[[#This Row],[Price (USD)]]</f>
        <v>0</v>
      </c>
      <c r="Z73" s="146"/>
      <c r="AA73" s="153" t="str">
        <f>AdafruitListTable[[#This Row],[SKU]]</f>
        <v>PRT-13268</v>
      </c>
      <c r="AB73" s="153">
        <f>VALUE(AdafruitListTable[[#This Row],['# Initial]])</f>
        <v>0</v>
      </c>
      <c r="AD73" s="153" t="s">
        <v>937</v>
      </c>
      <c r="AE73" s="153">
        <v>2</v>
      </c>
    </row>
    <row r="74" spans="1:31" s="153" customFormat="1" x14ac:dyDescent="0.25">
      <c r="A74" s="150" t="s">
        <v>889</v>
      </c>
      <c r="B74" s="150" t="s">
        <v>986</v>
      </c>
      <c r="C74" s="150" t="s">
        <v>5</v>
      </c>
      <c r="D74" s="151" t="str">
        <f>IF(AdafruitListTable[[#This Row],[Vendor]]=FilterSpecs!$A$8,AdafruitListTable[[#This Row],[Mouser SKU]], AdafruitListTable[[#This Row],[Supplier SKU]])</f>
        <v>DEV-13317</v>
      </c>
      <c r="E74" s="152">
        <f>MouserListTable[[#This Row],[Tot '#]]-MouserListTable[[#This Row],['# Initial]]</f>
        <v>0</v>
      </c>
      <c r="F74" s="152">
        <f>IF(AND(MouserListTable[[#This Row],[Tag]]&lt;&gt;FilterSpecs!$F$12, MouserListTable[[#This Row],[Tag]]&lt;&gt;FilterSpecs!$F$9), MouserListTable[[#This Row],['#/Unit]]*FilterSpecs!$B$3+MouserListTable[[#This Row],[Extra Initial]],0)</f>
        <v>0</v>
      </c>
      <c r="G74" s="150" t="s">
        <v>934</v>
      </c>
      <c r="H74" s="150" t="s">
        <v>935</v>
      </c>
      <c r="I74" s="150" t="s">
        <v>936</v>
      </c>
      <c r="J74" s="150">
        <v>1</v>
      </c>
      <c r="K74" s="154">
        <v>7.95</v>
      </c>
      <c r="L74" s="150" t="s">
        <v>1897</v>
      </c>
      <c r="M74" s="151"/>
      <c r="N74" s="154">
        <f>MouserListTable[[#This Row],['# Initial]]*MouserListTable[[#This Row],[Price (USD)]]</f>
        <v>0</v>
      </c>
      <c r="O74" s="151" t="s">
        <v>933</v>
      </c>
      <c r="P74" s="150">
        <f t="shared" si="0"/>
        <v>61</v>
      </c>
      <c r="Q74" s="150" t="s">
        <v>5</v>
      </c>
      <c r="R7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474-TOL-09442</v>
      </c>
      <c r="S74" s="157" t="str">
        <f>HYPERLINK("https://www.mouser.com/ProductDetail/" &amp;MouserListTable[[#This Row],[Mouser SKU]])</f>
        <v>https://www.mouser.com/ProductDetail/474-TOL-09442</v>
      </c>
      <c r="T74" s="152">
        <v>2</v>
      </c>
      <c r="U74" s="152">
        <v>0</v>
      </c>
      <c r="V74" s="152">
        <v>0</v>
      </c>
      <c r="W74" s="152">
        <f>MouserListTable[[#This Row],['#/Unit]]*FilterSpecs!$C$3+MouserListTable[[#This Row],[Extra]]</f>
        <v>0</v>
      </c>
      <c r="X74" s="152">
        <f>IF(MouserListTable[[#This Row],[Tag]]=FilterSpecs!$F$7,MouserListTable[[#This Row],['#/Unit]]*MouserListTable[[#This Row],[Price (USD)]],0)</f>
        <v>0</v>
      </c>
      <c r="Y74" s="152">
        <f>MouserListTable[[#This Row],[Tot '#]]*MouserListTable[[#This Row],[Price (USD)]]</f>
        <v>0</v>
      </c>
      <c r="Z74" s="146"/>
      <c r="AA74" s="153" t="str">
        <f>AdafruitListTable[[#This Row],[SKU]]</f>
        <v>DEV-13317</v>
      </c>
      <c r="AB74" s="153">
        <f>VALUE(AdafruitListTable[[#This Row],['# Initial]])</f>
        <v>0</v>
      </c>
      <c r="AD74" s="153" t="s">
        <v>933</v>
      </c>
      <c r="AE74" s="153">
        <v>10</v>
      </c>
    </row>
    <row r="75" spans="1:31" s="153" customFormat="1" x14ac:dyDescent="0.25">
      <c r="A75" s="150" t="s">
        <v>889</v>
      </c>
      <c r="B75" s="150" t="s">
        <v>883</v>
      </c>
      <c r="C75" s="150" t="s">
        <v>5</v>
      </c>
      <c r="D75" s="151" t="str">
        <f>IF(AdafruitListTable[[#This Row],[Vendor]]=FilterSpecs!$A$8,AdafruitListTable[[#This Row],[Mouser SKU]], AdafruitListTable[[#This Row],[Supplier SKU]])</f>
        <v>COM-10594</v>
      </c>
      <c r="E75" s="152">
        <f>MouserListTable[[#This Row],[Tot '#]]-MouserListTable[[#This Row],['# Initial]]</f>
        <v>0</v>
      </c>
      <c r="F75" s="152">
        <f>IF(AND(MouserListTable[[#This Row],[Tag]]&lt;&gt;FilterSpecs!$F$12, MouserListTable[[#This Row],[Tag]]&lt;&gt;FilterSpecs!$F$9), MouserListTable[[#This Row],['#/Unit]]*FilterSpecs!$B$3+MouserListTable[[#This Row],[Extra Initial]],0)</f>
        <v>0</v>
      </c>
      <c r="G75" s="150" t="s">
        <v>641</v>
      </c>
      <c r="H75" s="150" t="s">
        <v>642</v>
      </c>
      <c r="I75" s="150" t="s">
        <v>643</v>
      </c>
      <c r="J75" s="150">
        <v>1</v>
      </c>
      <c r="K75" s="154">
        <v>0.95</v>
      </c>
      <c r="L75" s="150" t="s">
        <v>1897</v>
      </c>
      <c r="M75" s="151"/>
      <c r="N75" s="154">
        <f>MouserListTable[[#This Row],['# Initial]]*MouserListTable[[#This Row],[Price (USD)]]</f>
        <v>0</v>
      </c>
      <c r="O75" s="151" t="s">
        <v>640</v>
      </c>
      <c r="P75" s="150">
        <f t="shared" si="0"/>
        <v>62</v>
      </c>
      <c r="Q75" s="150" t="s">
        <v>5</v>
      </c>
      <c r="R7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485-276</v>
      </c>
      <c r="S75" s="157" t="str">
        <f>HYPERLINK("https://www.mouser.com/ProductDetail/" &amp;MouserListTable[[#This Row],[Mouser SKU]])</f>
        <v>https://www.mouser.com/ProductDetail/485-276</v>
      </c>
      <c r="T75" s="152">
        <v>1</v>
      </c>
      <c r="U75" s="152">
        <v>0</v>
      </c>
      <c r="V75" s="152">
        <v>0</v>
      </c>
      <c r="W75" s="152">
        <f>MouserListTable[[#This Row],['#/Unit]]*FilterSpecs!$C$3+MouserListTable[[#This Row],[Extra]]</f>
        <v>0</v>
      </c>
      <c r="X75" s="152">
        <f>IF(MouserListTable[[#This Row],[Tag]]=FilterSpecs!$F$7,MouserListTable[[#This Row],['#/Unit]]*MouserListTable[[#This Row],[Price (USD)]],0)</f>
        <v>0</v>
      </c>
      <c r="Y75" s="152">
        <f>MouserListTable[[#This Row],[Tot '#]]*MouserListTable[[#This Row],[Price (USD)]]</f>
        <v>0</v>
      </c>
      <c r="Z75" s="146"/>
      <c r="AA75" s="153" t="str">
        <f>AdafruitListTable[[#This Row],[SKU]]</f>
        <v>COM-10594</v>
      </c>
      <c r="AB75" s="153">
        <f>VALUE(AdafruitListTable[[#This Row],['# Initial]])</f>
        <v>0</v>
      </c>
      <c r="AD75" s="153" t="s">
        <v>640</v>
      </c>
      <c r="AE75" s="153">
        <v>5</v>
      </c>
    </row>
    <row r="76" spans="1:31" s="153" customFormat="1" x14ac:dyDescent="0.25">
      <c r="A76" s="150" t="s">
        <v>889</v>
      </c>
      <c r="B76" s="150" t="s">
        <v>883</v>
      </c>
      <c r="C76" s="150" t="s">
        <v>5</v>
      </c>
      <c r="D76" s="151" t="str">
        <f>IF(AdafruitListTable[[#This Row],[Vendor]]=FilterSpecs!$A$8,AdafruitListTable[[#This Row],[Mouser SKU]], AdafruitListTable[[#This Row],[Supplier SKU]])</f>
        <v>PRT-10230</v>
      </c>
      <c r="E76" s="152">
        <f>MouserListTable[[#This Row],[Tot '#]]-MouserListTable[[#This Row],['# Initial]]</f>
        <v>0</v>
      </c>
      <c r="F76" s="152">
        <f>IF(AND(MouserListTable[[#This Row],[Tag]]&lt;&gt;FilterSpecs!$F$12, MouserListTable[[#This Row],[Tag]]&lt;&gt;FilterSpecs!$F$9), MouserListTable[[#This Row],['#/Unit]]*FilterSpecs!$B$3+MouserListTable[[#This Row],[Extra Initial]],0)</f>
        <v>0</v>
      </c>
      <c r="G76" s="150" t="s">
        <v>649</v>
      </c>
      <c r="H76" s="150" t="s">
        <v>650</v>
      </c>
      <c r="I76" s="150" t="s">
        <v>651</v>
      </c>
      <c r="J76" s="150">
        <v>1</v>
      </c>
      <c r="K76" s="154">
        <v>0.95</v>
      </c>
      <c r="L76" s="150" t="s">
        <v>1897</v>
      </c>
      <c r="M76" s="151"/>
      <c r="N76" s="154">
        <f>MouserListTable[[#This Row],['# Initial]]*MouserListTable[[#This Row],[Price (USD)]]</f>
        <v>0</v>
      </c>
      <c r="O76" s="151" t="s">
        <v>648</v>
      </c>
      <c r="P76" s="150">
        <f t="shared" si="0"/>
        <v>63</v>
      </c>
      <c r="Q76" s="150" t="s">
        <v>5</v>
      </c>
      <c r="R7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485-1448</v>
      </c>
      <c r="S76" s="157" t="str">
        <f>HYPERLINK("https://www.mouser.com/ProductDetail/" &amp;MouserListTable[[#This Row],[Mouser SKU]])</f>
        <v>https://www.mouser.com/ProductDetail/485-1448</v>
      </c>
      <c r="T76" s="152">
        <v>1</v>
      </c>
      <c r="U76" s="152">
        <v>0</v>
      </c>
      <c r="V76" s="152">
        <v>0</v>
      </c>
      <c r="W76" s="152">
        <f>MouserListTable[[#This Row],['#/Unit]]*FilterSpecs!$C$3+MouserListTable[[#This Row],[Extra]]</f>
        <v>0</v>
      </c>
      <c r="X76" s="152">
        <f>IF(MouserListTable[[#This Row],[Tag]]=FilterSpecs!$F$7,MouserListTable[[#This Row],['#/Unit]]*MouserListTable[[#This Row],[Price (USD)]],0)</f>
        <v>0</v>
      </c>
      <c r="Y76" s="152">
        <f>MouserListTable[[#This Row],[Tot '#]]*MouserListTable[[#This Row],[Price (USD)]]</f>
        <v>0</v>
      </c>
      <c r="Z76" s="146"/>
      <c r="AA76" s="153" t="str">
        <f>AdafruitListTable[[#This Row],[SKU]]</f>
        <v>PRT-10230</v>
      </c>
      <c r="AB76" s="153">
        <f>VALUE(AdafruitListTable[[#This Row],['# Initial]])</f>
        <v>0</v>
      </c>
      <c r="AD76" s="153" t="s">
        <v>648</v>
      </c>
      <c r="AE76" s="153">
        <v>5</v>
      </c>
    </row>
    <row r="77" spans="1:31" s="104" customFormat="1" x14ac:dyDescent="0.25">
      <c r="A77" s="97" t="s">
        <v>889</v>
      </c>
      <c r="B77" s="97" t="s">
        <v>2003</v>
      </c>
      <c r="C77" s="150" t="s">
        <v>5</v>
      </c>
      <c r="D77" s="151" t="str">
        <f>IF(AdafruitListTable[[#This Row],[Vendor]]=FilterSpecs!$A$8,AdafruitListTable[[#This Row],[Mouser SKU]], AdafruitListTable[[#This Row],[Supplier SKU]])</f>
        <v>TOL-10950</v>
      </c>
      <c r="E77" s="152">
        <f>MouserListTable[[#This Row],[Tot '#]]-MouserListTable[[#This Row],['# Initial]]</f>
        <v>0</v>
      </c>
      <c r="F77" s="152">
        <f>IF(AND(MouserListTable[[#This Row],[Tag]]&lt;&gt;FilterSpecs!$F$12, MouserListTable[[#This Row],[Tag]]&lt;&gt;FilterSpecs!$F$9), MouserListTable[[#This Row],['#/Unit]]*FilterSpecs!$B$3+MouserListTable[[#This Row],[Extra Initial]],0)</f>
        <v>5</v>
      </c>
      <c r="G77" s="150" t="s">
        <v>1249</v>
      </c>
      <c r="H77" s="150" t="s">
        <v>1250</v>
      </c>
      <c r="I77" s="150" t="s">
        <v>1251</v>
      </c>
      <c r="J77" s="150">
        <v>1</v>
      </c>
      <c r="K77" s="154">
        <v>9.9499999999999993</v>
      </c>
      <c r="L77" s="150" t="s">
        <v>1896</v>
      </c>
      <c r="M77" s="153"/>
      <c r="N77" s="154">
        <f>MouserListTable[[#This Row],['# Initial]]*MouserListTable[[#This Row],[Price (USD)]]</f>
        <v>9.75</v>
      </c>
      <c r="O77" s="151" t="s">
        <v>1248</v>
      </c>
      <c r="P77" s="150">
        <f t="shared" si="0"/>
        <v>64</v>
      </c>
      <c r="Q77" s="150" t="s">
        <v>5</v>
      </c>
      <c r="R7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474-COM-11707</v>
      </c>
      <c r="S77" s="157" t="str">
        <f>HYPERLINK("https://www.mouser.com/ProductDetail/" &amp;MouserListTable[[#This Row],[Mouser SKU]])</f>
        <v>https://www.mouser.com/ProductDetail/474-COM-11707</v>
      </c>
      <c r="T77" s="152">
        <v>0</v>
      </c>
      <c r="U77" s="152">
        <v>2</v>
      </c>
      <c r="V77" s="152">
        <v>2</v>
      </c>
      <c r="W77" s="152">
        <f>MouserListTable[[#This Row],['#/Unit]]*FilterSpecs!$C$3+MouserListTable[[#This Row],[Extra]]</f>
        <v>5</v>
      </c>
      <c r="X77" s="152">
        <f>IF(MouserListTable[[#This Row],[Tag]]=FilterSpecs!$F$7,MouserListTable[[#This Row],['#/Unit]]*MouserListTable[[#This Row],[Price (USD)]],0)</f>
        <v>1.95</v>
      </c>
      <c r="Y77" s="152">
        <f>MouserListTable[[#This Row],[Tot '#]]*MouserListTable[[#This Row],[Price (USD)]]</f>
        <v>9.75</v>
      </c>
      <c r="Z77" s="146"/>
      <c r="AA77" s="153" t="str">
        <f>AdafruitListTable[[#This Row],[SKU]]</f>
        <v>TOL-10950</v>
      </c>
      <c r="AB77" s="153">
        <f>VALUE(AdafruitListTable[[#This Row],['# Initial]])</f>
        <v>5</v>
      </c>
      <c r="AD77" s="104" t="s">
        <v>1248</v>
      </c>
      <c r="AE77" s="104">
        <v>2</v>
      </c>
    </row>
    <row r="78" spans="1:31" s="104" customFormat="1" x14ac:dyDescent="0.25">
      <c r="A78" s="150" t="s">
        <v>889</v>
      </c>
      <c r="B78" s="150" t="s">
        <v>2003</v>
      </c>
      <c r="C78" s="150" t="s">
        <v>1884</v>
      </c>
      <c r="D78" s="151" t="str">
        <f>IF(AdafruitListTable[[#This Row],[Vendor]]=FilterSpecs!$A$8,AdafruitListTable[[#This Row],[Mouser SKU]], AdafruitListTable[[#This Row],[Supplier SKU]])</f>
        <v>2504</v>
      </c>
      <c r="E78" s="152">
        <f>MouserListTable[[#This Row],[Tot '#]]-MouserListTable[[#This Row],['# Initial]]</f>
        <v>0</v>
      </c>
      <c r="F78" s="152">
        <f>IF(AND(MouserListTable[[#This Row],[Tag]]&lt;&gt;FilterSpecs!$F$12, MouserListTable[[#This Row],[Tag]]&lt;&gt;FilterSpecs!$F$9), MouserListTable[[#This Row],['#/Unit]]*FilterSpecs!$B$3+MouserListTable[[#This Row],[Extra Initial]],0)</f>
        <v>5</v>
      </c>
      <c r="G78" s="150"/>
      <c r="H78" s="150"/>
      <c r="I78" s="150" t="s">
        <v>2096</v>
      </c>
      <c r="J78" s="153"/>
      <c r="K78" s="154">
        <v>4.95</v>
      </c>
      <c r="L78" s="150" t="s">
        <v>1896</v>
      </c>
      <c r="M78" s="151"/>
      <c r="N78" s="154">
        <f>MouserListTable[[#This Row],['# Initial]]*MouserListTable[[#This Row],[Price (USD)]]</f>
        <v>14.75</v>
      </c>
      <c r="O78" s="151" t="s">
        <v>2095</v>
      </c>
      <c r="P78" s="150">
        <f t="shared" si="0"/>
        <v>65</v>
      </c>
      <c r="Q78" s="150" t="s">
        <v>1884</v>
      </c>
      <c r="R7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474-TOL-08734</v>
      </c>
      <c r="S78" s="157" t="str">
        <f>HYPERLINK("https://www.mouser.com/ProductDetail/" &amp;MouserListTable[[#This Row],[Mouser SKU]])</f>
        <v>https://www.mouser.com/ProductDetail/474-TOL-08734</v>
      </c>
      <c r="T78" s="152">
        <v>0</v>
      </c>
      <c r="U78" s="152">
        <v>3</v>
      </c>
      <c r="V78" s="152">
        <v>3</v>
      </c>
      <c r="W78" s="152">
        <f>MouserListTable[[#This Row],['#/Unit]]*FilterSpecs!$C$3+MouserListTable[[#This Row],[Extra]]</f>
        <v>5</v>
      </c>
      <c r="X78" s="152">
        <f>IF(MouserListTable[[#This Row],[Tag]]=FilterSpecs!$F$7,MouserListTable[[#This Row],['#/Unit]]*MouserListTable[[#This Row],[Price (USD)]],0)</f>
        <v>2.95</v>
      </c>
      <c r="Y78" s="152">
        <f>MouserListTable[[#This Row],[Tot '#]]*MouserListTable[[#This Row],[Price (USD)]]</f>
        <v>14.75</v>
      </c>
      <c r="Z78" s="146"/>
      <c r="AA78" s="153" t="str">
        <f>AdafruitListTable[[#This Row],[SKU]]</f>
        <v>2504</v>
      </c>
      <c r="AB78" s="153">
        <f>VALUE(AdafruitListTable[[#This Row],['# Initial]])</f>
        <v>5</v>
      </c>
      <c r="AD78" s="104" t="s">
        <v>2095</v>
      </c>
      <c r="AE78" s="104">
        <v>3</v>
      </c>
    </row>
    <row r="79" spans="1:31" s="104" customFormat="1" x14ac:dyDescent="0.25">
      <c r="A79" s="150" t="s">
        <v>889</v>
      </c>
      <c r="B79" s="150" t="s">
        <v>2003</v>
      </c>
      <c r="C79" s="150" t="s">
        <v>1884</v>
      </c>
      <c r="D79" s="151" t="str">
        <f>IF(AdafruitListTable[[#This Row],[Vendor]]=FilterSpecs!$A$8,AdafruitListTable[[#This Row],[Mouser SKU]], AdafruitListTable[[#This Row],[Supplier SKU]])</f>
        <v>437</v>
      </c>
      <c r="E79" s="152">
        <f>MouserListTable[[#This Row],[Tot '#]]-MouserListTable[[#This Row],['# Initial]]</f>
        <v>0</v>
      </c>
      <c r="F79" s="152">
        <f>IF(AND(MouserListTable[[#This Row],[Tag]]&lt;&gt;FilterSpecs!$F$12, MouserListTable[[#This Row],[Tag]]&lt;&gt;FilterSpecs!$F$9), MouserListTable[[#This Row],['#/Unit]]*FilterSpecs!$B$3+MouserListTable[[#This Row],[Extra Initial]],0)</f>
        <v>5</v>
      </c>
      <c r="G79" s="150"/>
      <c r="H79" s="150"/>
      <c r="I79" s="150" t="s">
        <v>2098</v>
      </c>
      <c r="J79" s="153"/>
      <c r="K79" s="154">
        <v>20.2</v>
      </c>
      <c r="L79" s="150" t="s">
        <v>1896</v>
      </c>
      <c r="M79" s="151"/>
      <c r="N79" s="154">
        <f>MouserListTable[[#This Row],['# Initial]]*MouserListTable[[#This Row],[Price (USD)]]</f>
        <v>14.75</v>
      </c>
      <c r="O79" s="151" t="s">
        <v>2097</v>
      </c>
      <c r="P79" s="150">
        <f t="shared" ref="P79:P142" si="1">IF($P78="List #",1,$P78+1)</f>
        <v>66</v>
      </c>
      <c r="Q79" s="150" t="s">
        <v>1884</v>
      </c>
      <c r="R7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474-TOL-08639</v>
      </c>
      <c r="S79" s="157" t="str">
        <f>HYPERLINK("https://www.mouser.com/ProductDetail/" &amp;MouserListTable[[#This Row],[Mouser SKU]])</f>
        <v>https://www.mouser.com/ProductDetail/474-TOL-08639</v>
      </c>
      <c r="T79" s="152">
        <v>0</v>
      </c>
      <c r="U79" s="152">
        <v>1</v>
      </c>
      <c r="V79" s="152">
        <v>1</v>
      </c>
      <c r="W79" s="152">
        <f>MouserListTable[[#This Row],['#/Unit]]*FilterSpecs!$C$3+MouserListTable[[#This Row],[Extra]]</f>
        <v>5</v>
      </c>
      <c r="X79" s="152">
        <f>IF(MouserListTable[[#This Row],[Tag]]=FilterSpecs!$F$7,MouserListTable[[#This Row],['#/Unit]]*MouserListTable[[#This Row],[Price (USD)]],0)</f>
        <v>2.95</v>
      </c>
      <c r="Y79" s="152">
        <f>MouserListTable[[#This Row],[Tot '#]]*MouserListTable[[#This Row],[Price (USD)]]</f>
        <v>14.75</v>
      </c>
      <c r="Z79" s="146"/>
      <c r="AA79" s="153" t="str">
        <f>AdafruitListTable[[#This Row],[SKU]]</f>
        <v>437</v>
      </c>
      <c r="AB79" s="153">
        <f>VALUE(AdafruitListTable[[#This Row],['# Initial]])</f>
        <v>5</v>
      </c>
      <c r="AD79" s="104" t="s">
        <v>2097</v>
      </c>
      <c r="AE79" s="104">
        <v>1</v>
      </c>
    </row>
    <row r="80" spans="1:31" s="104" customFormat="1" x14ac:dyDescent="0.25">
      <c r="A80" s="150" t="s">
        <v>889</v>
      </c>
      <c r="B80" s="150" t="s">
        <v>1289</v>
      </c>
      <c r="C80" s="150" t="s">
        <v>5</v>
      </c>
      <c r="D80" s="151" t="str">
        <f>IF(AdafruitListTable[[#This Row],[Vendor]]=FilterSpecs!$A$8,AdafruitListTable[[#This Row],[Mouser SKU]], AdafruitListTable[[#This Row],[Supplier SKU]])</f>
        <v>PRT-11510</v>
      </c>
      <c r="E80" s="152">
        <f>MouserListTable[[#This Row],[Tot '#]]-MouserListTable[[#This Row],['# Initial]]</f>
        <v>0</v>
      </c>
      <c r="F80" s="152">
        <f>IF(AND(MouserListTable[[#This Row],[Tag]]&lt;&gt;FilterSpecs!$F$12, MouserListTable[[#This Row],[Tag]]&lt;&gt;FilterSpecs!$F$9), MouserListTable[[#This Row],['#/Unit]]*FilterSpecs!$B$3+MouserListTable[[#This Row],[Extra Initial]],0)</f>
        <v>5</v>
      </c>
      <c r="G80" s="150" t="s">
        <v>1077</v>
      </c>
      <c r="H80" s="150" t="s">
        <v>1078</v>
      </c>
      <c r="I80" s="150" t="s">
        <v>1079</v>
      </c>
      <c r="J80" s="150">
        <v>1</v>
      </c>
      <c r="K80" s="154">
        <v>1.95</v>
      </c>
      <c r="L80" s="150" t="s">
        <v>1897</v>
      </c>
      <c r="M80" s="150" t="s">
        <v>1198</v>
      </c>
      <c r="N80" s="154">
        <f>MouserListTable[[#This Row],['# Initial]]*MouserListTable[[#This Row],[Price (USD)]]</f>
        <v>12.5</v>
      </c>
      <c r="O80" s="151" t="s">
        <v>1076</v>
      </c>
      <c r="P80" s="150">
        <f t="shared" si="1"/>
        <v>67</v>
      </c>
      <c r="Q80" s="150" t="s">
        <v>5</v>
      </c>
      <c r="R8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474-COM-11705</v>
      </c>
      <c r="S80" s="157" t="str">
        <f>HYPERLINK("https://www.mouser.com/ProductDetail/" &amp;MouserListTable[[#This Row],[Mouser SKU]])</f>
        <v>https://www.mouser.com/ProductDetail/474-COM-11705</v>
      </c>
      <c r="T80" s="152">
        <v>1</v>
      </c>
      <c r="U80" s="152">
        <v>0</v>
      </c>
      <c r="V80" s="152">
        <v>0</v>
      </c>
      <c r="W80" s="152">
        <f>MouserListTable[[#This Row],['#/Unit]]*FilterSpecs!$C$3+MouserListTable[[#This Row],[Extra]]</f>
        <v>5</v>
      </c>
      <c r="X80" s="152">
        <f>IF(MouserListTable[[#This Row],[Tag]]=FilterSpecs!$F$7,MouserListTable[[#This Row],['#/Unit]]*MouserListTable[[#This Row],[Price (USD)]],0)</f>
        <v>2.5</v>
      </c>
      <c r="Y80" s="152">
        <f>MouserListTable[[#This Row],[Tot '#]]*MouserListTable[[#This Row],[Price (USD)]]</f>
        <v>12.5</v>
      </c>
      <c r="Z80" s="146"/>
      <c r="AA80" s="153" t="str">
        <f>AdafruitListTable[[#This Row],[SKU]]</f>
        <v>PRT-11510</v>
      </c>
      <c r="AB80" s="153">
        <f>VALUE(AdafruitListTable[[#This Row],['# Initial]])</f>
        <v>5</v>
      </c>
      <c r="AD80" s="104" t="s">
        <v>1076</v>
      </c>
      <c r="AE80" s="104">
        <v>5</v>
      </c>
    </row>
    <row r="81" spans="1:31" s="104" customFormat="1" x14ac:dyDescent="0.25">
      <c r="A81" s="150" t="s">
        <v>889</v>
      </c>
      <c r="B81" s="150" t="s">
        <v>1289</v>
      </c>
      <c r="C81" s="150" t="s">
        <v>5</v>
      </c>
      <c r="D81" s="151" t="str">
        <f>IF(AdafruitListTable[[#This Row],[Vendor]]=FilterSpecs!$A$8,AdafruitListTable[[#This Row],[Mouser SKU]], AdafruitListTable[[#This Row],[Supplier SKU]])</f>
        <v>PRT-14340</v>
      </c>
      <c r="E81" s="152">
        <f>MouserListTable[[#This Row],[Tot '#]]-MouserListTable[[#This Row],['# Initial]]</f>
        <v>0</v>
      </c>
      <c r="F81" s="152">
        <f>IF(AND(MouserListTable[[#This Row],[Tag]]&lt;&gt;FilterSpecs!$F$12, MouserListTable[[#This Row],[Tag]]&lt;&gt;FilterSpecs!$F$9), MouserListTable[[#This Row],['#/Unit]]*FilterSpecs!$B$3+MouserListTable[[#This Row],[Extra Initial]],0)</f>
        <v>0</v>
      </c>
      <c r="G81" s="150" t="s">
        <v>1257</v>
      </c>
      <c r="H81" s="150" t="s">
        <v>1258</v>
      </c>
      <c r="I81" s="150" t="s">
        <v>1259</v>
      </c>
      <c r="J81" s="150"/>
      <c r="K81" s="154">
        <v>1.57</v>
      </c>
      <c r="L81" s="150" t="s">
        <v>1897</v>
      </c>
      <c r="M81" s="151"/>
      <c r="N81" s="154">
        <f>MouserListTable[[#This Row],['# Initial]]*MouserListTable[[#This Row],[Price (USD)]]</f>
        <v>0</v>
      </c>
      <c r="O81" s="151" t="s">
        <v>1256</v>
      </c>
      <c r="P81" s="150">
        <f t="shared" si="1"/>
        <v>68</v>
      </c>
      <c r="Q81" s="150" t="s">
        <v>5</v>
      </c>
      <c r="R8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485-327</v>
      </c>
      <c r="S81" s="157" t="str">
        <f>HYPERLINK("https://www.mouser.com/ProductDetail/" &amp;MouserListTable[[#This Row],[Mouser SKU]])</f>
        <v>https://www.mouser.com/ProductDetail/485-327</v>
      </c>
      <c r="T81" s="152">
        <v>1</v>
      </c>
      <c r="U81" s="152">
        <v>0</v>
      </c>
      <c r="V81" s="152">
        <v>0</v>
      </c>
      <c r="W81" s="152">
        <f>MouserListTable[[#This Row],['#/Unit]]*FilterSpecs!$C$3+MouserListTable[[#This Row],[Extra]]</f>
        <v>0</v>
      </c>
      <c r="X81" s="152">
        <f>IF(MouserListTable[[#This Row],[Tag]]=FilterSpecs!$F$7,MouserListTable[[#This Row],['#/Unit]]*MouserListTable[[#This Row],[Price (USD)]],0)</f>
        <v>0</v>
      </c>
      <c r="Y81" s="152">
        <f>MouserListTable[[#This Row],[Tot '#]]*MouserListTable[[#This Row],[Price (USD)]]</f>
        <v>0</v>
      </c>
      <c r="Z81" s="146"/>
      <c r="AA81" s="153" t="str">
        <f>AdafruitListTable[[#This Row],[SKU]]</f>
        <v>PRT-14340</v>
      </c>
      <c r="AB81" s="153">
        <f>VALUE(AdafruitListTable[[#This Row],['# Initial]])</f>
        <v>0</v>
      </c>
      <c r="AD81" s="104" t="s">
        <v>1256</v>
      </c>
      <c r="AE81" s="104">
        <v>5</v>
      </c>
    </row>
    <row r="82" spans="1:31" s="104" customFormat="1" x14ac:dyDescent="0.25">
      <c r="A82" s="150" t="s">
        <v>889</v>
      </c>
      <c r="B82" s="150" t="s">
        <v>1289</v>
      </c>
      <c r="C82" s="150" t="s">
        <v>5</v>
      </c>
      <c r="D82" s="151" t="str">
        <f>IF(AdafruitListTable[[#This Row],[Vendor]]=FilterSpecs!$A$8,AdafruitListTable[[#This Row],[Mouser SKU]], AdafruitListTable[[#This Row],[Supplier SKU]])</f>
        <v>PRT-00121</v>
      </c>
      <c r="E82" s="152">
        <f>MouserListTable[[#This Row],[Tot '#]]-MouserListTable[[#This Row],['# Initial]]</f>
        <v>1</v>
      </c>
      <c r="F82" s="152">
        <f>IF(AND(MouserListTable[[#This Row],[Tag]]&lt;&gt;FilterSpecs!$F$12, MouserListTable[[#This Row],[Tag]]&lt;&gt;FilterSpecs!$F$9), MouserListTable[[#This Row],['#/Unit]]*FilterSpecs!$B$3+MouserListTable[[#This Row],[Extra Initial]],0)</f>
        <v>0</v>
      </c>
      <c r="G82" s="150" t="s">
        <v>1073</v>
      </c>
      <c r="H82" s="150" t="s">
        <v>1074</v>
      </c>
      <c r="I82" s="150" t="s">
        <v>1075</v>
      </c>
      <c r="J82" s="150">
        <v>1</v>
      </c>
      <c r="K82" s="154">
        <v>0.95</v>
      </c>
      <c r="L82" s="150" t="s">
        <v>1897</v>
      </c>
      <c r="M82" s="150" t="s">
        <v>1198</v>
      </c>
      <c r="N82" s="154">
        <f>MouserListTable[[#This Row],['# Initial]]*MouserListTable[[#This Row],[Price (USD)]]</f>
        <v>0</v>
      </c>
      <c r="O82" s="151" t="s">
        <v>1072</v>
      </c>
      <c r="P82" s="150">
        <f t="shared" si="1"/>
        <v>69</v>
      </c>
      <c r="Q82" s="150" t="s">
        <v>5</v>
      </c>
      <c r="R8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485-411</v>
      </c>
      <c r="S82" s="157" t="str">
        <f>HYPERLINK("https://www.mouser.com/ProductDetail/" &amp;MouserListTable[[#This Row],[Mouser SKU]])</f>
        <v>https://www.mouser.com/ProductDetail/485-411</v>
      </c>
      <c r="T82" s="152">
        <v>1</v>
      </c>
      <c r="U82" s="152">
        <v>0</v>
      </c>
      <c r="V82" s="152">
        <v>0</v>
      </c>
      <c r="W82" s="152">
        <f>MouserListTable[[#This Row],['#/Unit]]*FilterSpecs!$C$3+MouserListTable[[#This Row],[Extra]]</f>
        <v>1</v>
      </c>
      <c r="X82" s="152">
        <f>IF(MouserListTable[[#This Row],[Tag]]=FilterSpecs!$F$7,MouserListTable[[#This Row],['#/Unit]]*MouserListTable[[#This Row],[Price (USD)]],0)</f>
        <v>0</v>
      </c>
      <c r="Y82" s="152">
        <f>MouserListTable[[#This Row],[Tot '#]]*MouserListTable[[#This Row],[Price (USD)]]</f>
        <v>2.5</v>
      </c>
      <c r="Z82" s="146"/>
      <c r="AA82" s="153" t="str">
        <f>AdafruitListTable[[#This Row],[SKU]]</f>
        <v>PRT-00121</v>
      </c>
      <c r="AB82" s="153">
        <f>VALUE(AdafruitListTable[[#This Row],['# Initial]])</f>
        <v>0</v>
      </c>
      <c r="AD82" s="104" t="s">
        <v>1072</v>
      </c>
      <c r="AE82" s="104">
        <v>5</v>
      </c>
    </row>
    <row r="83" spans="1:31" s="104" customFormat="1" x14ac:dyDescent="0.25">
      <c r="A83" s="150" t="s">
        <v>889</v>
      </c>
      <c r="B83" s="150" t="s">
        <v>1289</v>
      </c>
      <c r="C83" s="150" t="s">
        <v>1884</v>
      </c>
      <c r="D83" s="151" t="str">
        <f>IF(AdafruitListTable[[#This Row],[Vendor]]=FilterSpecs!$A$8,AdafruitListTable[[#This Row],[Mouser SKU]], AdafruitListTable[[#This Row],[Supplier SKU]])</f>
        <v>977</v>
      </c>
      <c r="E83" s="152">
        <f>MouserListTable[[#This Row],[Tot '#]]-MouserListTable[[#This Row],['# Initial]]</f>
        <v>1</v>
      </c>
      <c r="F83" s="152">
        <f>IF(AND(MouserListTable[[#This Row],[Tag]]&lt;&gt;FilterSpecs!$F$12, MouserListTable[[#This Row],[Tag]]&lt;&gt;FilterSpecs!$F$9), MouserListTable[[#This Row],['#/Unit]]*FilterSpecs!$B$3+MouserListTable[[#This Row],[Extra Initial]],0)</f>
        <v>0</v>
      </c>
      <c r="G83" s="150"/>
      <c r="H83" s="150"/>
      <c r="I83" s="150" t="s">
        <v>2094</v>
      </c>
      <c r="J83" s="153"/>
      <c r="K83" s="154">
        <v>0.75</v>
      </c>
      <c r="L83" s="150" t="s">
        <v>1897</v>
      </c>
      <c r="M83" s="151"/>
      <c r="N83" s="154">
        <f>MouserListTable[[#This Row],['# Initial]]*MouserListTable[[#This Row],[Price (USD)]]</f>
        <v>0</v>
      </c>
      <c r="O83" s="151" t="s">
        <v>2093</v>
      </c>
      <c r="P83" s="150">
        <f t="shared" si="1"/>
        <v>70</v>
      </c>
      <c r="Q83" s="150" t="s">
        <v>1884</v>
      </c>
      <c r="R8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485-2897</v>
      </c>
      <c r="S83" s="157" t="str">
        <f>HYPERLINK("https://www.mouser.com/ProductDetail/" &amp;MouserListTable[[#This Row],[Mouser SKU]])</f>
        <v>https://www.mouser.com/ProductDetail/485-2897</v>
      </c>
      <c r="T83" s="152">
        <v>2</v>
      </c>
      <c r="U83" s="152">
        <v>0</v>
      </c>
      <c r="V83" s="152">
        <v>0</v>
      </c>
      <c r="W83" s="152">
        <f>MouserListTable[[#This Row],['#/Unit]]*FilterSpecs!$C$3+MouserListTable[[#This Row],[Extra]]</f>
        <v>1</v>
      </c>
      <c r="X83" s="152">
        <f>IF(MouserListTable[[#This Row],[Tag]]=FilterSpecs!$F$7,MouserListTable[[#This Row],['#/Unit]]*MouserListTable[[#This Row],[Price (USD)]],0)</f>
        <v>0</v>
      </c>
      <c r="Y83" s="152">
        <f>MouserListTable[[#This Row],[Tot '#]]*MouserListTable[[#This Row],[Price (USD)]]</f>
        <v>0.95</v>
      </c>
      <c r="Z83" s="146"/>
      <c r="AA83" s="153" t="str">
        <f>AdafruitListTable[[#This Row],[SKU]]</f>
        <v>977</v>
      </c>
      <c r="AB83" s="153">
        <f>VALUE(AdafruitListTable[[#This Row],['# Initial]])</f>
        <v>0</v>
      </c>
      <c r="AD83" s="104" t="s">
        <v>2093</v>
      </c>
      <c r="AE83" s="104">
        <v>10</v>
      </c>
    </row>
    <row r="84" spans="1:31" s="104" customFormat="1" x14ac:dyDescent="0.25">
      <c r="A84" s="150" t="s">
        <v>889</v>
      </c>
      <c r="B84" s="150" t="s">
        <v>1289</v>
      </c>
      <c r="C84" s="150" t="s">
        <v>5</v>
      </c>
      <c r="D84" s="151" t="str">
        <f>IF(AdafruitListTable[[#This Row],[Vendor]]=FilterSpecs!$A$8,AdafruitListTable[[#This Row],[Mouser SKU]], AdafruitListTable[[#This Row],[Supplier SKU]])</f>
        <v>PRT-09599</v>
      </c>
      <c r="E84" s="152">
        <f>MouserListTable[[#This Row],[Tot '#]]-MouserListTable[[#This Row],['# Initial]]</f>
        <v>1</v>
      </c>
      <c r="F84" s="152">
        <f>IF(AND(MouserListTable[[#This Row],[Tag]]&lt;&gt;FilterSpecs!$F$12, MouserListTable[[#This Row],[Tag]]&lt;&gt;FilterSpecs!$F$9), MouserListTable[[#This Row],['#/Unit]]*FilterSpecs!$B$3+MouserListTable[[#This Row],[Extra Initial]],0)</f>
        <v>0</v>
      </c>
      <c r="G84" s="150" t="s">
        <v>1253</v>
      </c>
      <c r="H84" s="150" t="s">
        <v>1254</v>
      </c>
      <c r="I84" s="150" t="s">
        <v>1255</v>
      </c>
      <c r="J84" s="150">
        <v>1</v>
      </c>
      <c r="K84" s="154">
        <v>1.95</v>
      </c>
      <c r="L84" s="150" t="s">
        <v>1896</v>
      </c>
      <c r="M84" s="151"/>
      <c r="N84" s="154">
        <f>MouserListTable[[#This Row],['# Initial]]*MouserListTable[[#This Row],[Price (USD)]]</f>
        <v>0</v>
      </c>
      <c r="O84" s="151" t="s">
        <v>1252</v>
      </c>
      <c r="P84" s="150">
        <f t="shared" si="1"/>
        <v>71</v>
      </c>
      <c r="Q84" s="150" t="s">
        <v>5</v>
      </c>
      <c r="R8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485-2788</v>
      </c>
      <c r="S84" s="157" t="str">
        <f>HYPERLINK("https://www.mouser.com/ProductDetail/" &amp;MouserListTable[[#This Row],[Mouser SKU]])</f>
        <v>https://www.mouser.com/ProductDetail/485-2788</v>
      </c>
      <c r="T84" s="152">
        <v>0</v>
      </c>
      <c r="U84" s="152">
        <v>2</v>
      </c>
      <c r="V84" s="152">
        <v>2</v>
      </c>
      <c r="W84" s="152">
        <f>MouserListTable[[#This Row],['#/Unit]]*FilterSpecs!$C$3+MouserListTable[[#This Row],[Extra]]</f>
        <v>1</v>
      </c>
      <c r="X84" s="152">
        <f>IF(MouserListTable[[#This Row],[Tag]]=FilterSpecs!$F$7,MouserListTable[[#This Row],['#/Unit]]*MouserListTable[[#This Row],[Price (USD)]],0)</f>
        <v>0</v>
      </c>
      <c r="Y84" s="152">
        <f>MouserListTable[[#This Row],[Tot '#]]*MouserListTable[[#This Row],[Price (USD)]]</f>
        <v>0.95</v>
      </c>
      <c r="Z84" s="146"/>
      <c r="AA84" s="153" t="str">
        <f>AdafruitListTable[[#This Row],[SKU]]</f>
        <v>PRT-09599</v>
      </c>
      <c r="AB84" s="153">
        <f>VALUE(AdafruitListTable[[#This Row],['# Initial]])</f>
        <v>0</v>
      </c>
      <c r="AD84" s="104" t="s">
        <v>1252</v>
      </c>
      <c r="AE84" s="104">
        <v>2</v>
      </c>
    </row>
    <row r="85" spans="1:31" s="104" customFormat="1" x14ac:dyDescent="0.25">
      <c r="A85" s="150" t="s">
        <v>889</v>
      </c>
      <c r="B85" s="150" t="s">
        <v>1289</v>
      </c>
      <c r="C85" s="150" t="s">
        <v>5</v>
      </c>
      <c r="D85" s="151" t="str">
        <f>IF(AdafruitListTable[[#This Row],[Vendor]]=FilterSpecs!$A$8,AdafruitListTable[[#This Row],[Mouser SKU]], AdafruitListTable[[#This Row],[Supplier SKU]])</f>
        <v>PRT-09771</v>
      </c>
      <c r="E85" s="152">
        <f>MouserListTable[[#This Row],[Tot '#]]-MouserListTable[[#This Row],['# Initial]]</f>
        <v>0</v>
      </c>
      <c r="F85" s="152">
        <f>IF(AND(MouserListTable[[#This Row],[Tag]]&lt;&gt;FilterSpecs!$F$12, MouserListTable[[#This Row],[Tag]]&lt;&gt;FilterSpecs!$F$9), MouserListTable[[#This Row],['#/Unit]]*FilterSpecs!$B$3+MouserListTable[[#This Row],[Extra Initial]],0)</f>
        <v>0</v>
      </c>
      <c r="G85" s="150" t="s">
        <v>1069</v>
      </c>
      <c r="H85" s="150" t="s">
        <v>1070</v>
      </c>
      <c r="I85" s="150" t="s">
        <v>1071</v>
      </c>
      <c r="J85" s="150"/>
      <c r="K85" s="154">
        <v>3.95</v>
      </c>
      <c r="L85" s="150" t="s">
        <v>1896</v>
      </c>
      <c r="M85" s="151"/>
      <c r="N85" s="154">
        <f>MouserListTable[[#This Row],['# Initial]]*MouserListTable[[#This Row],[Price (USD)]]</f>
        <v>0</v>
      </c>
      <c r="O85" s="151" t="s">
        <v>1068</v>
      </c>
      <c r="P85" s="150">
        <f t="shared" si="1"/>
        <v>72</v>
      </c>
      <c r="Q85" s="150" t="s">
        <v>5</v>
      </c>
      <c r="R8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474-TOL-12890</v>
      </c>
      <c r="S85" s="157" t="str">
        <f>HYPERLINK("https://www.mouser.com/ProductDetail/" &amp;MouserListTable[[#This Row],[Mouser SKU]])</f>
        <v>https://www.mouser.com/ProductDetail/474-TOL-12890</v>
      </c>
      <c r="T85" s="152">
        <v>0</v>
      </c>
      <c r="U85" s="152">
        <v>3</v>
      </c>
      <c r="V85" s="152">
        <v>3</v>
      </c>
      <c r="W85" s="152">
        <f>MouserListTable[[#This Row],['#/Unit]]*FilterSpecs!$C$3+MouserListTable[[#This Row],[Extra]]</f>
        <v>0</v>
      </c>
      <c r="X85" s="152">
        <f>IF(MouserListTable[[#This Row],[Tag]]=FilterSpecs!$F$7,MouserListTable[[#This Row],['#/Unit]]*MouserListTable[[#This Row],[Price (USD)]],0)</f>
        <v>0</v>
      </c>
      <c r="Y85" s="152">
        <f>MouserListTable[[#This Row],[Tot '#]]*MouserListTable[[#This Row],[Price (USD)]]</f>
        <v>0</v>
      </c>
      <c r="Z85" s="146"/>
      <c r="AA85" s="153" t="str">
        <f>AdafruitListTable[[#This Row],[SKU]]</f>
        <v>PRT-09771</v>
      </c>
      <c r="AB85" s="153">
        <f>VALUE(AdafruitListTable[[#This Row],['# Initial]])</f>
        <v>0</v>
      </c>
      <c r="AD85" s="104" t="s">
        <v>1068</v>
      </c>
      <c r="AE85" s="104">
        <v>3</v>
      </c>
    </row>
    <row r="86" spans="1:31" s="104" customFormat="1" x14ac:dyDescent="0.25">
      <c r="A86" s="150" t="s">
        <v>889</v>
      </c>
      <c r="B86" s="150" t="s">
        <v>987</v>
      </c>
      <c r="C86" s="150" t="s">
        <v>5</v>
      </c>
      <c r="D86" s="151" t="str">
        <f>IF(AdafruitListTable[[#This Row],[Vendor]]=FilterSpecs!$A$8,AdafruitListTable[[#This Row],[Mouser SKU]], AdafruitListTable[[#This Row],[Supplier SKU]])</f>
        <v>PRT-11796</v>
      </c>
      <c r="E86" s="152">
        <f>MouserListTable[[#This Row],[Tot '#]]-MouserListTable[[#This Row],['# Initial]]</f>
        <v>0</v>
      </c>
      <c r="F86" s="152">
        <f>IF(AND(MouserListTable[[#This Row],[Tag]]&lt;&gt;FilterSpecs!$F$12, MouserListTable[[#This Row],[Tag]]&lt;&gt;FilterSpecs!$F$9), MouserListTable[[#This Row],['#/Unit]]*FilterSpecs!$B$3+MouserListTable[[#This Row],[Extra Initial]],0)</f>
        <v>0</v>
      </c>
      <c r="G86" s="150" t="s">
        <v>637</v>
      </c>
      <c r="H86" s="150" t="s">
        <v>638</v>
      </c>
      <c r="I86" s="150" t="s">
        <v>639</v>
      </c>
      <c r="J86" s="150"/>
      <c r="K86" s="154">
        <v>3.95</v>
      </c>
      <c r="L86" s="150" t="s">
        <v>1897</v>
      </c>
      <c r="M86" s="151"/>
      <c r="N86" s="154">
        <f>MouserListTable[[#This Row],['# Initial]]*MouserListTable[[#This Row],[Price (USD)]]</f>
        <v>0</v>
      </c>
      <c r="O86" s="151" t="s">
        <v>636</v>
      </c>
      <c r="P86" s="150">
        <f t="shared" si="1"/>
        <v>73</v>
      </c>
      <c r="Q86" s="150" t="s">
        <v>5</v>
      </c>
      <c r="R8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485-501</v>
      </c>
      <c r="S86" s="157" t="str">
        <f>HYPERLINK("https://www.mouser.com/ProductDetail/" &amp;MouserListTable[[#This Row],[Mouser SKU]])</f>
        <v>https://www.mouser.com/ProductDetail/485-501</v>
      </c>
      <c r="T86" s="152">
        <v>1</v>
      </c>
      <c r="U86" s="152">
        <v>0</v>
      </c>
      <c r="V86" s="152">
        <v>0</v>
      </c>
      <c r="W86" s="152">
        <f>MouserListTable[[#This Row],['#/Unit]]*FilterSpecs!$C$3+MouserListTable[[#This Row],[Extra]]</f>
        <v>0</v>
      </c>
      <c r="X86" s="152">
        <f>IF(MouserListTable[[#This Row],[Tag]]=FilterSpecs!$F$7,MouserListTable[[#This Row],['#/Unit]]*MouserListTable[[#This Row],[Price (USD)]],0)</f>
        <v>0</v>
      </c>
      <c r="Y86" s="152">
        <f>MouserListTable[[#This Row],[Tot '#]]*MouserListTable[[#This Row],[Price (USD)]]</f>
        <v>0</v>
      </c>
      <c r="Z86" s="146"/>
      <c r="AA86" s="153" t="str">
        <f>AdafruitListTable[[#This Row],[SKU]]</f>
        <v>PRT-11796</v>
      </c>
      <c r="AB86" s="153">
        <f>VALUE(AdafruitListTable[[#This Row],['# Initial]])</f>
        <v>0</v>
      </c>
      <c r="AD86" s="104" t="s">
        <v>636</v>
      </c>
      <c r="AE86" s="104">
        <v>5</v>
      </c>
    </row>
    <row r="87" spans="1:31" s="104" customFormat="1" x14ac:dyDescent="0.25">
      <c r="A87" s="150" t="s">
        <v>889</v>
      </c>
      <c r="B87" s="150" t="s">
        <v>987</v>
      </c>
      <c r="C87" s="150" t="s">
        <v>5</v>
      </c>
      <c r="D87" s="151" t="str">
        <f>IF(AdafruitListTable[[#This Row],[Vendor]]=FilterSpecs!$A$8,AdafruitListTable[[#This Row],[Mouser SKU]], AdafruitListTable[[#This Row],[Supplier SKU]])</f>
        <v>PRT-10927</v>
      </c>
      <c r="E87" s="152">
        <f>MouserListTable[[#This Row],[Tot '#]]-MouserListTable[[#This Row],['# Initial]]</f>
        <v>0</v>
      </c>
      <c r="F87" s="152">
        <f>IF(AND(MouserListTable[[#This Row],[Tag]]&lt;&gt;FilterSpecs!$F$12, MouserListTable[[#This Row],[Tag]]&lt;&gt;FilterSpecs!$F$9), MouserListTable[[#This Row],['#/Unit]]*FilterSpecs!$B$3+MouserListTable[[#This Row],[Extra Initial]],0)</f>
        <v>5</v>
      </c>
      <c r="G87" s="150" t="s">
        <v>645</v>
      </c>
      <c r="H87" s="150" t="s">
        <v>646</v>
      </c>
      <c r="I87" s="150" t="s">
        <v>647</v>
      </c>
      <c r="J87" s="150">
        <v>1</v>
      </c>
      <c r="K87" s="154">
        <v>2.95</v>
      </c>
      <c r="L87" s="150" t="s">
        <v>1897</v>
      </c>
      <c r="M87" s="151"/>
      <c r="N87" s="154">
        <f>MouserListTable[[#This Row],['# Initial]]*MouserListTable[[#This Row],[Price (USD)]]</f>
        <v>34.75</v>
      </c>
      <c r="O87" s="151" t="s">
        <v>644</v>
      </c>
      <c r="P87" s="150">
        <f t="shared" si="1"/>
        <v>74</v>
      </c>
      <c r="Q87" s="150" t="s">
        <v>5</v>
      </c>
      <c r="R8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485-1994</v>
      </c>
      <c r="S87" s="157" t="str">
        <f>HYPERLINK("https://www.mouser.com/ProductDetail/" &amp;MouserListTable[[#This Row],[Mouser SKU]])</f>
        <v>https://www.mouser.com/ProductDetail/485-1994</v>
      </c>
      <c r="T87" s="152">
        <v>1</v>
      </c>
      <c r="U87" s="152">
        <v>0</v>
      </c>
      <c r="V87" s="152">
        <v>0</v>
      </c>
      <c r="W87" s="152">
        <f>MouserListTable[[#This Row],['#/Unit]]*FilterSpecs!$C$3+MouserListTable[[#This Row],[Extra]]</f>
        <v>5</v>
      </c>
      <c r="X87" s="152">
        <f>IF(MouserListTable[[#This Row],[Tag]]=FilterSpecs!$F$7,MouserListTable[[#This Row],['#/Unit]]*MouserListTable[[#This Row],[Price (USD)]],0)</f>
        <v>6.95</v>
      </c>
      <c r="Y87" s="152">
        <f>MouserListTable[[#This Row],[Tot '#]]*MouserListTable[[#This Row],[Price (USD)]]</f>
        <v>34.75</v>
      </c>
      <c r="Z87" s="146"/>
      <c r="AA87" s="153" t="str">
        <f>AdafruitListTable[[#This Row],[SKU]]</f>
        <v>PRT-10927</v>
      </c>
      <c r="AB87" s="153">
        <f>VALUE(AdafruitListTable[[#This Row],['# Initial]])</f>
        <v>5</v>
      </c>
      <c r="AD87" s="104" t="s">
        <v>644</v>
      </c>
      <c r="AE87" s="104">
        <v>5</v>
      </c>
    </row>
    <row r="88" spans="1:31" s="104" customFormat="1" x14ac:dyDescent="0.25">
      <c r="A88" s="150" t="s">
        <v>889</v>
      </c>
      <c r="B88" s="150" t="s">
        <v>987</v>
      </c>
      <c r="C88" s="150" t="s">
        <v>5</v>
      </c>
      <c r="D88" s="151" t="str">
        <f>IF(AdafruitListTable[[#This Row],[Vendor]]=FilterSpecs!$A$8,AdafruitListTable[[#This Row],[Mouser SKU]], AdafruitListTable[[#This Row],[Supplier SKU]])</f>
        <v>PRT-10453</v>
      </c>
      <c r="E88" s="152">
        <f>MouserListTable[[#This Row],[Tot '#]]-MouserListTable[[#This Row],['# Initial]]</f>
        <v>0</v>
      </c>
      <c r="F88" s="152">
        <f>IF(AND(MouserListTable[[#This Row],[Tag]]&lt;&gt;FilterSpecs!$F$12, MouserListTable[[#This Row],[Tag]]&lt;&gt;FilterSpecs!$F$9), MouserListTable[[#This Row],['#/Unit]]*FilterSpecs!$B$3+MouserListTable[[#This Row],[Extra Initial]],0)</f>
        <v>5</v>
      </c>
      <c r="G88" s="150" t="s">
        <v>701</v>
      </c>
      <c r="H88" s="150" t="s">
        <v>702</v>
      </c>
      <c r="I88" s="150" t="s">
        <v>703</v>
      </c>
      <c r="J88" s="150">
        <v>1</v>
      </c>
      <c r="K88" s="154">
        <v>1.5</v>
      </c>
      <c r="L88" s="150" t="s">
        <v>1897</v>
      </c>
      <c r="M88" s="151"/>
      <c r="N88" s="154">
        <f>MouserListTable[[#This Row],['# Initial]]*MouserListTable[[#This Row],[Price (USD)]]</f>
        <v>19.75</v>
      </c>
      <c r="O88" s="151" t="s">
        <v>700</v>
      </c>
      <c r="P88" s="150">
        <f t="shared" si="1"/>
        <v>75</v>
      </c>
      <c r="Q88" s="150" t="s">
        <v>5</v>
      </c>
      <c r="R8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474-CAB-00512</v>
      </c>
      <c r="S88" s="157" t="str">
        <f>HYPERLINK("https://www.mouser.com/ProductDetail/" &amp;MouserListTable[[#This Row],[Mouser SKU]])</f>
        <v>https://www.mouser.com/ProductDetail/474-CAB-00512</v>
      </c>
      <c r="T88" s="152">
        <v>1</v>
      </c>
      <c r="U88" s="152">
        <v>0</v>
      </c>
      <c r="V88" s="152">
        <v>0</v>
      </c>
      <c r="W88" s="152">
        <f>MouserListTable[[#This Row],['#/Unit]]*FilterSpecs!$C$3+MouserListTable[[#This Row],[Extra]]</f>
        <v>5</v>
      </c>
      <c r="X88" s="152">
        <f>IF(MouserListTable[[#This Row],[Tag]]=FilterSpecs!$F$7,MouserListTable[[#This Row],['#/Unit]]*MouserListTable[[#This Row],[Price (USD)]],0)</f>
        <v>3.95</v>
      </c>
      <c r="Y88" s="152">
        <f>MouserListTable[[#This Row],[Tot '#]]*MouserListTable[[#This Row],[Price (USD)]]</f>
        <v>19.75</v>
      </c>
      <c r="Z88" s="146"/>
      <c r="AA88" s="153" t="str">
        <f>AdafruitListTable[[#This Row],[SKU]]</f>
        <v>PRT-10453</v>
      </c>
      <c r="AB88" s="153">
        <f>VALUE(AdafruitListTable[[#This Row],['# Initial]])</f>
        <v>5</v>
      </c>
      <c r="AD88" s="104" t="s">
        <v>700</v>
      </c>
      <c r="AE88" s="104">
        <v>5</v>
      </c>
    </row>
    <row r="89" spans="1:31" s="104" customFormat="1" x14ac:dyDescent="0.25">
      <c r="A89" s="150" t="s">
        <v>889</v>
      </c>
      <c r="B89" s="150" t="s">
        <v>987</v>
      </c>
      <c r="C89" s="150" t="s">
        <v>5</v>
      </c>
      <c r="D89" s="151" t="str">
        <f>IF(AdafruitListTable[[#This Row],[Vendor]]=FilterSpecs!$A$8,AdafruitListTable[[#This Row],[Mouser SKU]], AdafruitListTable[[#This Row],[Supplier SKU]])</f>
        <v>PRT-10738</v>
      </c>
      <c r="E89" s="152">
        <f>MouserListTable[[#This Row],[Tot '#]]-MouserListTable[[#This Row],['# Initial]]</f>
        <v>0</v>
      </c>
      <c r="F89" s="152">
        <f>IF(AND(MouserListTable[[#This Row],[Tag]]&lt;&gt;FilterSpecs!$F$12, MouserListTable[[#This Row],[Tag]]&lt;&gt;FilterSpecs!$F$9), MouserListTable[[#This Row],['#/Unit]]*FilterSpecs!$B$3+MouserListTable[[#This Row],[Extra Initial]],0)</f>
        <v>5</v>
      </c>
      <c r="G89" s="150" t="s">
        <v>902</v>
      </c>
      <c r="H89" s="150" t="s">
        <v>903</v>
      </c>
      <c r="I89" s="150" t="s">
        <v>904</v>
      </c>
      <c r="J89" s="150">
        <v>1</v>
      </c>
      <c r="K89" s="154">
        <v>3.95</v>
      </c>
      <c r="L89" s="150" t="s">
        <v>1897</v>
      </c>
      <c r="M89" s="151"/>
      <c r="N89" s="154">
        <f>MouserListTable[[#This Row],['# Initial]]*MouserListTable[[#This Row],[Price (USD)]]</f>
        <v>19.75</v>
      </c>
      <c r="O89" s="151" t="s">
        <v>901</v>
      </c>
      <c r="P89" s="150">
        <f t="shared" si="1"/>
        <v>76</v>
      </c>
      <c r="Q89" s="150" t="s">
        <v>5</v>
      </c>
      <c r="R8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474-CAB-11301</v>
      </c>
      <c r="S89" s="157" t="str">
        <f>HYPERLINK("https://www.mouser.com/ProductDetail/" &amp;MouserListTable[[#This Row],[Mouser SKU]])</f>
        <v>https://www.mouser.com/ProductDetail/474-CAB-11301</v>
      </c>
      <c r="T89" s="152">
        <v>1</v>
      </c>
      <c r="U89" s="152">
        <v>0</v>
      </c>
      <c r="V89" s="152">
        <v>0</v>
      </c>
      <c r="W89" s="152">
        <f>MouserListTable[[#This Row],['#/Unit]]*FilterSpecs!$C$3+MouserListTable[[#This Row],[Extra]]</f>
        <v>5</v>
      </c>
      <c r="X89" s="152">
        <f>IF(MouserListTable[[#This Row],[Tag]]=FilterSpecs!$F$7,MouserListTable[[#This Row],['#/Unit]]*MouserListTable[[#This Row],[Price (USD)]],0)</f>
        <v>3.95</v>
      </c>
      <c r="Y89" s="152">
        <f>MouserListTable[[#This Row],[Tot '#]]*MouserListTable[[#This Row],[Price (USD)]]</f>
        <v>19.75</v>
      </c>
      <c r="Z89" s="146"/>
      <c r="AA89" s="153" t="str">
        <f>AdafruitListTable[[#This Row],[SKU]]</f>
        <v>PRT-10738</v>
      </c>
      <c r="AB89" s="153">
        <f>VALUE(AdafruitListTable[[#This Row],['# Initial]])</f>
        <v>5</v>
      </c>
      <c r="AD89" s="104" t="s">
        <v>901</v>
      </c>
      <c r="AE89" s="104">
        <v>5</v>
      </c>
    </row>
    <row r="90" spans="1:31" s="104" customFormat="1" x14ac:dyDescent="0.25">
      <c r="A90" s="150" t="s">
        <v>889</v>
      </c>
      <c r="B90" s="150" t="s">
        <v>987</v>
      </c>
      <c r="C90" s="150" t="s">
        <v>5</v>
      </c>
      <c r="D90" s="151" t="str">
        <f>IF(AdafruitListTable[[#This Row],[Vendor]]=FilterSpecs!$A$8,AdafruitListTable[[#This Row],[Mouser SKU]], AdafruitListTable[[#This Row],[Supplier SKU]])</f>
        <v>PRT-10450</v>
      </c>
      <c r="E90" s="152">
        <f>MouserListTable[[#This Row],[Tot '#]]-MouserListTable[[#This Row],['# Initial]]</f>
        <v>0</v>
      </c>
      <c r="F90" s="152">
        <f>IF(AND(MouserListTable[[#This Row],[Tag]]&lt;&gt;FilterSpecs!$F$12, MouserListTable[[#This Row],[Tag]]&lt;&gt;FilterSpecs!$F$9), MouserListTable[[#This Row],['#/Unit]]*FilterSpecs!$B$3+MouserListTable[[#This Row],[Extra Initial]],0)</f>
        <v>0</v>
      </c>
      <c r="G90" s="150" t="s">
        <v>906</v>
      </c>
      <c r="H90" s="150" t="s">
        <v>907</v>
      </c>
      <c r="I90" s="150" t="s">
        <v>908</v>
      </c>
      <c r="J90" s="150">
        <v>1</v>
      </c>
      <c r="K90" s="154">
        <v>1.5</v>
      </c>
      <c r="L90" s="150" t="s">
        <v>1897</v>
      </c>
      <c r="M90" s="151"/>
      <c r="N90" s="154">
        <f>MouserListTable[[#This Row],['# Initial]]*MouserListTable[[#This Row],[Price (USD)]]</f>
        <v>0</v>
      </c>
      <c r="O90" s="151" t="s">
        <v>905</v>
      </c>
      <c r="P90" s="150">
        <f t="shared" si="1"/>
        <v>77</v>
      </c>
      <c r="Q90" s="150" t="s">
        <v>5</v>
      </c>
      <c r="R9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474-CAB-13243</v>
      </c>
      <c r="S90" s="157" t="str">
        <f>HYPERLINK("https://www.mouser.com/ProductDetail/" &amp;MouserListTable[[#This Row],[Mouser SKU]])</f>
        <v>https://www.mouser.com/ProductDetail/474-CAB-13243</v>
      </c>
      <c r="T90" s="152">
        <v>1</v>
      </c>
      <c r="U90" s="152">
        <v>0</v>
      </c>
      <c r="V90" s="152">
        <v>0</v>
      </c>
      <c r="W90" s="152">
        <f>MouserListTable[[#This Row],['#/Unit]]*FilterSpecs!$C$3+MouserListTable[[#This Row],[Extra]]</f>
        <v>0</v>
      </c>
      <c r="X90" s="152">
        <f>IF(MouserListTable[[#This Row],[Tag]]=FilterSpecs!$F$7,MouserListTable[[#This Row],['#/Unit]]*MouserListTable[[#This Row],[Price (USD)]],0)</f>
        <v>0</v>
      </c>
      <c r="Y90" s="152">
        <f>MouserListTable[[#This Row],[Tot '#]]*MouserListTable[[#This Row],[Price (USD)]]</f>
        <v>0</v>
      </c>
      <c r="Z90" s="146"/>
      <c r="AA90" s="153" t="str">
        <f>AdafruitListTable[[#This Row],[SKU]]</f>
        <v>PRT-10450</v>
      </c>
      <c r="AB90" s="153">
        <f>VALUE(AdafruitListTable[[#This Row],['# Initial]])</f>
        <v>0</v>
      </c>
      <c r="AD90" s="104" t="s">
        <v>905</v>
      </c>
      <c r="AE90" s="104">
        <v>5</v>
      </c>
    </row>
    <row r="91" spans="1:31" s="104" customFormat="1" x14ac:dyDescent="0.25">
      <c r="A91" s="150" t="s">
        <v>889</v>
      </c>
      <c r="B91" s="150" t="s">
        <v>987</v>
      </c>
      <c r="C91" s="150" t="s">
        <v>5</v>
      </c>
      <c r="D91" s="151" t="str">
        <f>IF(AdafruitListTable[[#This Row],[Vendor]]=FilterSpecs!$A$8,AdafruitListTable[[#This Row],[Mouser SKU]], AdafruitListTable[[#This Row],[Supplier SKU]])</f>
        <v>PRT-10463</v>
      </c>
      <c r="E91" s="152">
        <f>MouserListTable[[#This Row],[Tot '#]]-MouserListTable[[#This Row],['# Initial]]</f>
        <v>1</v>
      </c>
      <c r="F91" s="152">
        <f>IF(AND(MouserListTable[[#This Row],[Tag]]&lt;&gt;FilterSpecs!$F$12, MouserListTable[[#This Row],[Tag]]&lt;&gt;FilterSpecs!$F$9), MouserListTable[[#This Row],['#/Unit]]*FilterSpecs!$B$3+MouserListTable[[#This Row],[Extra Initial]],0)</f>
        <v>0</v>
      </c>
      <c r="G91" s="150" t="s">
        <v>930</v>
      </c>
      <c r="H91" s="150" t="s">
        <v>931</v>
      </c>
      <c r="I91" s="150" t="s">
        <v>932</v>
      </c>
      <c r="J91" s="150">
        <v>1</v>
      </c>
      <c r="K91" s="154">
        <v>3.95</v>
      </c>
      <c r="L91" s="150" t="s">
        <v>1897</v>
      </c>
      <c r="M91" s="151"/>
      <c r="N91" s="154">
        <f>MouserListTable[[#This Row],['# Initial]]*MouserListTable[[#This Row],[Price (USD)]]</f>
        <v>0</v>
      </c>
      <c r="O91" s="151" t="s">
        <v>929</v>
      </c>
      <c r="P91" s="150">
        <f t="shared" si="1"/>
        <v>78</v>
      </c>
      <c r="Q91" s="150" t="s">
        <v>5</v>
      </c>
      <c r="R9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474-CAB-10177</v>
      </c>
      <c r="S91" s="157" t="str">
        <f>HYPERLINK("https://www.mouser.com/ProductDetail/" &amp;MouserListTable[[#This Row],[Mouser SKU]])</f>
        <v>https://www.mouser.com/ProductDetail/474-CAB-10177</v>
      </c>
      <c r="T91" s="152">
        <v>4</v>
      </c>
      <c r="U91" s="152">
        <v>0</v>
      </c>
      <c r="V91" s="152">
        <v>0</v>
      </c>
      <c r="W91" s="152">
        <f>MouserListTable[[#This Row],['#/Unit]]*FilterSpecs!$C$3+MouserListTable[[#This Row],[Extra]]</f>
        <v>1</v>
      </c>
      <c r="X91" s="152">
        <f>IF(MouserListTable[[#This Row],[Tag]]=FilterSpecs!$F$7,MouserListTable[[#This Row],['#/Unit]]*MouserListTable[[#This Row],[Price (USD)]],0)</f>
        <v>0</v>
      </c>
      <c r="Y91" s="152">
        <f>MouserListTable[[#This Row],[Tot '#]]*MouserListTable[[#This Row],[Price (USD)]]</f>
        <v>2.95</v>
      </c>
      <c r="Z91" s="146"/>
      <c r="AA91" s="153" t="str">
        <f>AdafruitListTable[[#This Row],[SKU]]</f>
        <v>PRT-10463</v>
      </c>
      <c r="AB91" s="153">
        <f>VALUE(AdafruitListTable[[#This Row],['# Initial]])</f>
        <v>0</v>
      </c>
      <c r="AD91" s="104" t="s">
        <v>929</v>
      </c>
      <c r="AE91" s="104">
        <v>20</v>
      </c>
    </row>
    <row r="92" spans="1:31" s="153" customFormat="1" x14ac:dyDescent="0.25">
      <c r="A92" s="150" t="s">
        <v>889</v>
      </c>
      <c r="B92" s="150" t="s">
        <v>1290</v>
      </c>
      <c r="C92" s="150" t="s">
        <v>5</v>
      </c>
      <c r="D92" s="151" t="str">
        <f>IF(AdafruitListTable[[#This Row],[Vendor]]=FilterSpecs!$A$8,AdafruitListTable[[#This Row],[Mouser SKU]], AdafruitListTable[[#This Row],[Supplier SKU]])</f>
        <v>PRT-10561</v>
      </c>
      <c r="E92" s="152">
        <f>MouserListTable[[#This Row],[Tot '#]]-MouserListTable[[#This Row],['# Initial]]</f>
        <v>0</v>
      </c>
      <c r="F92" s="152">
        <f>IF(AND(MouserListTable[[#This Row],[Tag]]&lt;&gt;FilterSpecs!$F$12, MouserListTable[[#This Row],[Tag]]&lt;&gt;FilterSpecs!$F$9), MouserListTable[[#This Row],['#/Unit]]*FilterSpecs!$B$3+MouserListTable[[#This Row],[Extra Initial]],0)</f>
        <v>5</v>
      </c>
      <c r="G92" s="150" t="s">
        <v>1229</v>
      </c>
      <c r="H92" s="150" t="s">
        <v>1230</v>
      </c>
      <c r="I92" s="150" t="s">
        <v>1231</v>
      </c>
      <c r="J92" s="150">
        <v>1</v>
      </c>
      <c r="K92" s="154">
        <v>2.95</v>
      </c>
      <c r="L92" s="150" t="s">
        <v>1896</v>
      </c>
      <c r="M92" s="151"/>
      <c r="N92" s="154">
        <f>MouserListTable[[#This Row],['# Initial]]*MouserListTable[[#This Row],[Price (USD)]]</f>
        <v>24.75</v>
      </c>
      <c r="O92" s="151" t="s">
        <v>1228</v>
      </c>
      <c r="P92" s="150">
        <f t="shared" si="1"/>
        <v>79</v>
      </c>
      <c r="Q92" s="150" t="s">
        <v>5</v>
      </c>
      <c r="R9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474-CAB-10215</v>
      </c>
      <c r="S92" s="157" t="str">
        <f>HYPERLINK("https://www.mouser.com/ProductDetail/" &amp;MouserListTable[[#This Row],[Mouser SKU]])</f>
        <v>https://www.mouser.com/ProductDetail/474-CAB-10215</v>
      </c>
      <c r="T92" s="152">
        <v>0</v>
      </c>
      <c r="U92" s="152">
        <v>1</v>
      </c>
      <c r="V92" s="152">
        <v>1</v>
      </c>
      <c r="W92" s="152">
        <f>MouserListTable[[#This Row],['#/Unit]]*FilterSpecs!$C$3+MouserListTable[[#This Row],[Extra]]</f>
        <v>5</v>
      </c>
      <c r="X92" s="152">
        <f>IF(MouserListTable[[#This Row],[Tag]]=FilterSpecs!$F$7,MouserListTable[[#This Row],['#/Unit]]*MouserListTable[[#This Row],[Price (USD)]],0)</f>
        <v>4.95</v>
      </c>
      <c r="Y92" s="152">
        <f>MouserListTable[[#This Row],[Tot '#]]*MouserListTable[[#This Row],[Price (USD)]]</f>
        <v>24.75</v>
      </c>
      <c r="Z92" s="146"/>
      <c r="AA92" s="153" t="str">
        <f>AdafruitListTable[[#This Row],[SKU]]</f>
        <v>PRT-10561</v>
      </c>
      <c r="AB92" s="153">
        <f>VALUE(AdafruitListTable[[#This Row],['# Initial]])</f>
        <v>5</v>
      </c>
      <c r="AD92" s="153" t="s">
        <v>1228</v>
      </c>
      <c r="AE92" s="153">
        <v>1</v>
      </c>
    </row>
    <row r="93" spans="1:31" s="153" customFormat="1" ht="15.6" customHeight="1" x14ac:dyDescent="0.25">
      <c r="A93" s="150" t="s">
        <v>889</v>
      </c>
      <c r="B93" s="150" t="s">
        <v>1290</v>
      </c>
      <c r="C93" s="150" t="s">
        <v>5</v>
      </c>
      <c r="D93" s="151" t="str">
        <f>IF(AdafruitListTable[[#This Row],[Vendor]]=FilterSpecs!$A$8,AdafruitListTable[[#This Row],[Mouser SKU]], AdafruitListTable[[#This Row],[Supplier SKU]])</f>
        <v>PRT-13827</v>
      </c>
      <c r="E93" s="152">
        <f>MouserListTable[[#This Row],[Tot '#]]-MouserListTable[[#This Row],['# Initial]]</f>
        <v>0</v>
      </c>
      <c r="F93" s="152">
        <f>IF(AND(MouserListTable[[#This Row],[Tag]]&lt;&gt;FilterSpecs!$F$12, MouserListTable[[#This Row],[Tag]]&lt;&gt;FilterSpecs!$F$9), MouserListTable[[#This Row],['#/Unit]]*FilterSpecs!$B$3+MouserListTable[[#This Row],[Extra Initial]],0)</f>
        <v>0</v>
      </c>
      <c r="G93" s="150" t="s">
        <v>1233</v>
      </c>
      <c r="H93" s="150" t="s">
        <v>1234</v>
      </c>
      <c r="I93" s="150" t="s">
        <v>1235</v>
      </c>
      <c r="J93" s="150">
        <v>1</v>
      </c>
      <c r="K93" s="154">
        <v>3.95</v>
      </c>
      <c r="L93" s="150" t="s">
        <v>1896</v>
      </c>
      <c r="M93" s="151"/>
      <c r="N93" s="154">
        <f>MouserListTable[[#This Row],['# Initial]]*MouserListTable[[#This Row],[Price (USD)]]</f>
        <v>0</v>
      </c>
      <c r="O93" s="151" t="s">
        <v>1232</v>
      </c>
      <c r="P93" s="150">
        <f t="shared" si="1"/>
        <v>80</v>
      </c>
      <c r="Q93" s="150" t="s">
        <v>5</v>
      </c>
      <c r="R9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474-CAB-13244</v>
      </c>
      <c r="S93" s="157" t="str">
        <f>HYPERLINK("https://www.mouser.com/ProductDetail/" &amp;MouserListTable[[#This Row],[Mouser SKU]])</f>
        <v>https://www.mouser.com/ProductDetail/474-CAB-13244</v>
      </c>
      <c r="T93" s="152">
        <v>0</v>
      </c>
      <c r="U93" s="152">
        <v>1</v>
      </c>
      <c r="V93" s="152">
        <v>1</v>
      </c>
      <c r="W93" s="152">
        <f>MouserListTable[[#This Row],['#/Unit]]*FilterSpecs!$C$3+MouserListTable[[#This Row],[Extra]]</f>
        <v>0</v>
      </c>
      <c r="X93" s="152">
        <f>IF(MouserListTable[[#This Row],[Tag]]=FilterSpecs!$F$7,MouserListTable[[#This Row],['#/Unit]]*MouserListTable[[#This Row],[Price (USD)]],0)</f>
        <v>0</v>
      </c>
      <c r="Y93" s="152">
        <f>MouserListTable[[#This Row],[Tot '#]]*MouserListTable[[#This Row],[Price (USD)]]</f>
        <v>0</v>
      </c>
      <c r="Z93" s="146"/>
      <c r="AA93" s="153" t="str">
        <f>AdafruitListTable[[#This Row],[SKU]]</f>
        <v>PRT-13827</v>
      </c>
      <c r="AB93" s="153">
        <f>VALUE(AdafruitListTable[[#This Row],['# Initial]])</f>
        <v>0</v>
      </c>
      <c r="AD93" s="153" t="s">
        <v>1232</v>
      </c>
      <c r="AE93" s="153">
        <v>1</v>
      </c>
    </row>
    <row r="94" spans="1:31" s="153" customFormat="1" x14ac:dyDescent="0.25">
      <c r="A94" s="150" t="s">
        <v>890</v>
      </c>
      <c r="B94" s="150" t="s">
        <v>884</v>
      </c>
      <c r="C94" s="150" t="s">
        <v>5</v>
      </c>
      <c r="D94" s="151" t="str">
        <f>IF(AdafruitListTable[[#This Row],[Vendor]]=FilterSpecs!$A$8,AdafruitListTable[[#This Row],[Mouser SKU]], AdafruitListTable[[#This Row],[Supplier SKU]])</f>
        <v>BOB-10467</v>
      </c>
      <c r="E94" s="152">
        <f>MouserListTable[[#This Row],[Tot '#]]-MouserListTable[[#This Row],['# Initial]]</f>
        <v>1</v>
      </c>
      <c r="F94" s="152">
        <f>IF(AND(MouserListTable[[#This Row],[Tag]]&lt;&gt;FilterSpecs!$F$12, MouserListTable[[#This Row],[Tag]]&lt;&gt;FilterSpecs!$F$9), MouserListTable[[#This Row],['#/Unit]]*FilterSpecs!$B$3+MouserListTable[[#This Row],[Extra Initial]],0)</f>
        <v>0</v>
      </c>
      <c r="G94" s="150" t="s">
        <v>1283</v>
      </c>
      <c r="H94" s="150" t="s">
        <v>1284</v>
      </c>
      <c r="I94" s="150" t="s">
        <v>1285</v>
      </c>
      <c r="J94" s="150">
        <v>1</v>
      </c>
      <c r="K94" s="154">
        <v>1.5</v>
      </c>
      <c r="L94" s="151" t="s">
        <v>1897</v>
      </c>
      <c r="M94" s="150"/>
      <c r="N94" s="154">
        <f>MouserListTable[[#This Row],['# Initial]]*MouserListTable[[#This Row],[Price (USD)]]</f>
        <v>0</v>
      </c>
      <c r="O94" s="151" t="s">
        <v>1282</v>
      </c>
      <c r="P94" s="150">
        <f t="shared" si="1"/>
        <v>81</v>
      </c>
      <c r="Q94" s="150" t="s">
        <v>5</v>
      </c>
      <c r="R9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474-CAB-11579</v>
      </c>
      <c r="S94" s="157" t="str">
        <f>HYPERLINK("https://www.mouser.com/ProductDetail/" &amp;MouserListTable[[#This Row],[Mouser SKU]])</f>
        <v>https://www.mouser.com/ProductDetail/474-CAB-11579</v>
      </c>
      <c r="T94" s="152">
        <v>1</v>
      </c>
      <c r="U94" s="152">
        <v>0</v>
      </c>
      <c r="V94" s="152">
        <v>0</v>
      </c>
      <c r="W94" s="152">
        <f>MouserListTable[[#This Row],['#/Unit]]*FilterSpecs!$C$3+MouserListTable[[#This Row],[Extra]]</f>
        <v>1</v>
      </c>
      <c r="X94" s="152">
        <f>IF(MouserListTable[[#This Row],[Tag]]=FilterSpecs!$F$7,MouserListTable[[#This Row],['#/Unit]]*MouserListTable[[#This Row],[Price (USD)]],0)</f>
        <v>0</v>
      </c>
      <c r="Y94" s="152">
        <f>MouserListTable[[#This Row],[Tot '#]]*MouserListTable[[#This Row],[Price (USD)]]</f>
        <v>4.95</v>
      </c>
      <c r="Z94" s="146"/>
      <c r="AA94" s="153" t="str">
        <f>AdafruitListTable[[#This Row],[SKU]]</f>
        <v>BOB-10467</v>
      </c>
      <c r="AB94" s="153">
        <f>VALUE(AdafruitListTable[[#This Row],['# Initial]])</f>
        <v>0</v>
      </c>
      <c r="AD94" s="153" t="s">
        <v>1282</v>
      </c>
      <c r="AE94" s="153">
        <v>5</v>
      </c>
    </row>
    <row r="95" spans="1:31" s="153" customFormat="1" x14ac:dyDescent="0.25">
      <c r="A95" s="150" t="s">
        <v>890</v>
      </c>
      <c r="B95" s="150" t="s">
        <v>884</v>
      </c>
      <c r="C95" s="150" t="s">
        <v>5</v>
      </c>
      <c r="D95" s="151" t="str">
        <f>IF(AdafruitListTable[[#This Row],[Vendor]]=FilterSpecs!$A$8,AdafruitListTable[[#This Row],[Mouser SKU]], AdafruitListTable[[#This Row],[Supplier SKU]])</f>
        <v>COM-10443</v>
      </c>
      <c r="E95" s="152">
        <f>MouserListTable[[#This Row],[Tot '#]]-MouserListTable[[#This Row],['# Initial]]</f>
        <v>0</v>
      </c>
      <c r="F95" s="152">
        <f>IF(AND(MouserListTable[[#This Row],[Tag]]&lt;&gt;FilterSpecs!$F$12, MouserListTable[[#This Row],[Tag]]&lt;&gt;FilterSpecs!$F$9), MouserListTable[[#This Row],['#/Unit]]*FilterSpecs!$B$3+MouserListTable[[#This Row],[Extra Initial]],0)</f>
        <v>0</v>
      </c>
      <c r="G95" s="150" t="s">
        <v>597</v>
      </c>
      <c r="H95" s="150" t="s">
        <v>598</v>
      </c>
      <c r="I95" s="150" t="s">
        <v>599</v>
      </c>
      <c r="J95" s="150"/>
      <c r="K95" s="154">
        <v>1.95</v>
      </c>
      <c r="L95" s="150" t="s">
        <v>1897</v>
      </c>
      <c r="M95" s="150"/>
      <c r="N95" s="154">
        <f>MouserListTable[[#This Row],['# Initial]]*MouserListTable[[#This Row],[Price (USD)]]</f>
        <v>0</v>
      </c>
      <c r="O95" s="151" t="s">
        <v>596</v>
      </c>
      <c r="P95" s="150">
        <f t="shared" si="1"/>
        <v>82</v>
      </c>
      <c r="Q95" s="150" t="s">
        <v>5</v>
      </c>
      <c r="R9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485-2727</v>
      </c>
      <c r="S95" s="157" t="str">
        <f>HYPERLINK("https://www.mouser.com/ProductDetail/" &amp;MouserListTable[[#This Row],[Mouser SKU]])</f>
        <v>https://www.mouser.com/ProductDetail/485-2727</v>
      </c>
      <c r="T95" s="152">
        <v>1</v>
      </c>
      <c r="U95" s="152">
        <v>0</v>
      </c>
      <c r="V95" s="152">
        <v>0</v>
      </c>
      <c r="W95" s="152">
        <f>MouserListTable[[#This Row],['#/Unit]]*FilterSpecs!$C$3+MouserListTable[[#This Row],[Extra]]</f>
        <v>0</v>
      </c>
      <c r="X95" s="152">
        <f>IF(MouserListTable[[#This Row],[Tag]]=FilterSpecs!$F$7,MouserListTable[[#This Row],['#/Unit]]*MouserListTable[[#This Row],[Price (USD)]],0)</f>
        <v>0</v>
      </c>
      <c r="Y95" s="152">
        <f>MouserListTable[[#This Row],[Tot '#]]*MouserListTable[[#This Row],[Price (USD)]]</f>
        <v>0</v>
      </c>
      <c r="Z95" s="146"/>
      <c r="AA95" s="153" t="str">
        <f>AdafruitListTable[[#This Row],[SKU]]</f>
        <v>COM-10443</v>
      </c>
      <c r="AB95" s="153">
        <f>VALUE(AdafruitListTable[[#This Row],['# Initial]])</f>
        <v>0</v>
      </c>
      <c r="AD95" s="153" t="s">
        <v>596</v>
      </c>
      <c r="AE95" s="153">
        <v>5</v>
      </c>
    </row>
    <row r="96" spans="1:31" s="153" customFormat="1" x14ac:dyDescent="0.25">
      <c r="A96" s="150" t="s">
        <v>890</v>
      </c>
      <c r="B96" s="150" t="s">
        <v>884</v>
      </c>
      <c r="C96" s="150" t="s">
        <v>5</v>
      </c>
      <c r="D96" s="151" t="str">
        <f>IF(AdafruitListTable[[#This Row],[Vendor]]=FilterSpecs!$A$8,AdafruitListTable[[#This Row],[Mouser SKU]], AdafruitListTable[[#This Row],[Supplier SKU]])</f>
        <v>COM-10440</v>
      </c>
      <c r="E96" s="152">
        <f>MouserListTable[[#This Row],[Tot '#]]-MouserListTable[[#This Row],['# Initial]]</f>
        <v>0</v>
      </c>
      <c r="F96" s="152">
        <f>IF(AND(MouserListTable[[#This Row],[Tag]]&lt;&gt;FilterSpecs!$F$12, MouserListTable[[#This Row],[Tag]]&lt;&gt;FilterSpecs!$F$9), MouserListTable[[#This Row],['#/Unit]]*FilterSpecs!$B$3+MouserListTable[[#This Row],[Extra Initial]],0)</f>
        <v>0</v>
      </c>
      <c r="G96" s="150" t="s">
        <v>601</v>
      </c>
      <c r="H96" s="150" t="s">
        <v>602</v>
      </c>
      <c r="I96" s="150" t="s">
        <v>603</v>
      </c>
      <c r="J96" s="150"/>
      <c r="K96" s="154">
        <v>1.95</v>
      </c>
      <c r="L96" s="150" t="s">
        <v>1897</v>
      </c>
      <c r="M96" s="150"/>
      <c r="N96" s="154">
        <f>MouserListTable[[#This Row],['# Initial]]*MouserListTable[[#This Row],[Price (USD)]]</f>
        <v>0</v>
      </c>
      <c r="O96" s="151" t="s">
        <v>600</v>
      </c>
      <c r="P96" s="150">
        <f t="shared" si="1"/>
        <v>83</v>
      </c>
      <c r="Q96" s="150" t="s">
        <v>5</v>
      </c>
      <c r="R9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485-988</v>
      </c>
      <c r="S96" s="157" t="str">
        <f>HYPERLINK("https://www.mouser.com/ProductDetail/" &amp;MouserListTable[[#This Row],[Mouser SKU]])</f>
        <v>https://www.mouser.com/ProductDetail/485-988</v>
      </c>
      <c r="T96" s="152">
        <v>1</v>
      </c>
      <c r="U96" s="152">
        <v>0</v>
      </c>
      <c r="V96" s="152">
        <v>0</v>
      </c>
      <c r="W96" s="152">
        <f>MouserListTable[[#This Row],['#/Unit]]*FilterSpecs!$C$3+MouserListTable[[#This Row],[Extra]]</f>
        <v>0</v>
      </c>
      <c r="X96" s="152">
        <f>IF(MouserListTable[[#This Row],[Tag]]=FilterSpecs!$F$7,MouserListTable[[#This Row],['#/Unit]]*MouserListTable[[#This Row],[Price (USD)]],0)</f>
        <v>0</v>
      </c>
      <c r="Y96" s="152">
        <f>MouserListTable[[#This Row],[Tot '#]]*MouserListTable[[#This Row],[Price (USD)]]</f>
        <v>0</v>
      </c>
      <c r="Z96" s="146"/>
      <c r="AA96" s="153" t="str">
        <f>AdafruitListTable[[#This Row],[SKU]]</f>
        <v>COM-10440</v>
      </c>
      <c r="AB96" s="153">
        <f>VALUE(AdafruitListTable[[#This Row],['# Initial]])</f>
        <v>0</v>
      </c>
      <c r="AD96" s="153" t="s">
        <v>600</v>
      </c>
      <c r="AE96" s="153">
        <v>5</v>
      </c>
    </row>
    <row r="97" spans="1:31" s="153" customFormat="1" x14ac:dyDescent="0.25">
      <c r="A97" s="150" t="s">
        <v>890</v>
      </c>
      <c r="B97" s="150" t="s">
        <v>884</v>
      </c>
      <c r="C97" s="150" t="s">
        <v>5</v>
      </c>
      <c r="D97" s="151" t="str">
        <f>IF(AdafruitListTable[[#This Row],[Vendor]]=FilterSpecs!$A$8,AdafruitListTable[[#This Row],[Mouser SKU]], AdafruitListTable[[#This Row],[Supplier SKU]])</f>
        <v>COM-10442</v>
      </c>
      <c r="E97" s="152">
        <f>MouserListTable[[#This Row],[Tot '#]]-MouserListTable[[#This Row],['# Initial]]</f>
        <v>2</v>
      </c>
      <c r="F97" s="152">
        <f>IF(AND(MouserListTable[[#This Row],[Tag]]&lt;&gt;FilterSpecs!$F$12, MouserListTable[[#This Row],[Tag]]&lt;&gt;FilterSpecs!$F$9), MouserListTable[[#This Row],['#/Unit]]*FilterSpecs!$B$3+MouserListTable[[#This Row],[Extra Initial]],0)</f>
        <v>0</v>
      </c>
      <c r="G97" s="150" t="s">
        <v>1286</v>
      </c>
      <c r="H97" s="150" t="s">
        <v>1287</v>
      </c>
      <c r="I97" s="150" t="s">
        <v>1281</v>
      </c>
      <c r="J97" s="150"/>
      <c r="K97" s="154">
        <v>1.95</v>
      </c>
      <c r="L97" s="150" t="s">
        <v>1897</v>
      </c>
      <c r="M97" s="150"/>
      <c r="N97" s="154">
        <f>MouserListTable[[#This Row],['# Initial]]*MouserListTable[[#This Row],[Price (USD)]]</f>
        <v>0</v>
      </c>
      <c r="O97" s="151" t="s">
        <v>1280</v>
      </c>
      <c r="P97" s="150">
        <f t="shared" si="1"/>
        <v>84</v>
      </c>
      <c r="Q97" s="150" t="s">
        <v>5</v>
      </c>
      <c r="R9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485-2778</v>
      </c>
      <c r="S97" s="157" t="str">
        <f>HYPERLINK("https://www.mouser.com/ProductDetail/" &amp;MouserListTable[[#This Row],[Mouser SKU]])</f>
        <v>https://www.mouser.com/ProductDetail/485-2778</v>
      </c>
      <c r="T97" s="152">
        <v>1</v>
      </c>
      <c r="U97" s="152">
        <v>0</v>
      </c>
      <c r="V97" s="152">
        <v>0</v>
      </c>
      <c r="W97" s="152">
        <f>MouserListTable[[#This Row],['#/Unit]]*FilterSpecs!$C$3+MouserListTable[[#This Row],[Extra]]</f>
        <v>2</v>
      </c>
      <c r="X97" s="152">
        <f>IF(MouserListTable[[#This Row],[Tag]]=FilterSpecs!$F$7,MouserListTable[[#This Row],['#/Unit]]*MouserListTable[[#This Row],[Price (USD)]],0)</f>
        <v>0</v>
      </c>
      <c r="Y97" s="152">
        <f>MouserListTable[[#This Row],[Tot '#]]*MouserListTable[[#This Row],[Price (USD)]]</f>
        <v>13</v>
      </c>
      <c r="Z97" s="146"/>
      <c r="AA97" s="153" t="str">
        <f>AdafruitListTable[[#This Row],[SKU]]</f>
        <v>COM-10442</v>
      </c>
      <c r="AB97" s="153">
        <f>VALUE(AdafruitListTable[[#This Row],['# Initial]])</f>
        <v>0</v>
      </c>
      <c r="AD97" s="153" t="s">
        <v>1280</v>
      </c>
      <c r="AE97" s="153">
        <v>5</v>
      </c>
    </row>
    <row r="98" spans="1:31" s="104" customFormat="1" x14ac:dyDescent="0.25">
      <c r="A98" s="150" t="s">
        <v>890</v>
      </c>
      <c r="B98" s="150" t="s">
        <v>884</v>
      </c>
      <c r="C98" s="150" t="s">
        <v>5</v>
      </c>
      <c r="D98" s="151" t="str">
        <f>IF(AdafruitListTable[[#This Row],[Vendor]]=FilterSpecs!$A$8,AdafruitListTable[[#This Row],[Mouser SKU]], AdafruitListTable[[#This Row],[Supplier SKU]])</f>
        <v>COM-00097</v>
      </c>
      <c r="E98" s="152">
        <f>MouserListTable[[#This Row],[Tot '#]]-MouserListTable[[#This Row],['# Initial]]</f>
        <v>0</v>
      </c>
      <c r="F98" s="152">
        <f>IF(AND(MouserListTable[[#This Row],[Tag]]&lt;&gt;FilterSpecs!$F$12, MouserListTable[[#This Row],[Tag]]&lt;&gt;FilterSpecs!$F$9), MouserListTable[[#This Row],['#/Unit]]*FilterSpecs!$B$3+MouserListTable[[#This Row],[Extra Initial]],0)</f>
        <v>0</v>
      </c>
      <c r="G98" s="150" t="s">
        <v>609</v>
      </c>
      <c r="H98" s="150" t="s">
        <v>610</v>
      </c>
      <c r="I98" s="150" t="s">
        <v>611</v>
      </c>
      <c r="J98" s="150">
        <v>1</v>
      </c>
      <c r="K98" s="154">
        <v>0.35</v>
      </c>
      <c r="L98" s="150" t="s">
        <v>1897</v>
      </c>
      <c r="M98" s="150"/>
      <c r="N98" s="154">
        <f>MouserListTable[[#This Row],['# Initial]]*MouserListTable[[#This Row],[Price (USD)]]</f>
        <v>0</v>
      </c>
      <c r="O98" s="151" t="s">
        <v>608</v>
      </c>
      <c r="P98" s="150">
        <f t="shared" si="1"/>
        <v>85</v>
      </c>
      <c r="Q98" s="150" t="s">
        <v>5</v>
      </c>
      <c r="R9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485-2777</v>
      </c>
      <c r="S98" s="157" t="str">
        <f>HYPERLINK("https://www.mouser.com/ProductDetail/" &amp;MouserListTable[[#This Row],[Mouser SKU]])</f>
        <v>https://www.mouser.com/ProductDetail/485-2777</v>
      </c>
      <c r="T98" s="152">
        <v>1</v>
      </c>
      <c r="U98" s="152">
        <v>0</v>
      </c>
      <c r="V98" s="152">
        <v>0</v>
      </c>
      <c r="W98" s="152">
        <f>MouserListTable[[#This Row],['#/Unit]]*FilterSpecs!$C$3+MouserListTable[[#This Row],[Extra]]</f>
        <v>0</v>
      </c>
      <c r="X98" s="152">
        <f>IF(MouserListTable[[#This Row],[Tag]]=FilterSpecs!$F$7,MouserListTable[[#This Row],['#/Unit]]*MouserListTable[[#This Row],[Price (USD)]],0)</f>
        <v>0</v>
      </c>
      <c r="Y98" s="152">
        <f>MouserListTable[[#This Row],[Tot '#]]*MouserListTable[[#This Row],[Price (USD)]]</f>
        <v>0</v>
      </c>
      <c r="Z98" s="146"/>
      <c r="AA98" s="153" t="str">
        <f>AdafruitListTable[[#This Row],[SKU]]</f>
        <v>COM-00097</v>
      </c>
      <c r="AB98" s="153">
        <f>VALUE(AdafruitListTable[[#This Row],['# Initial]])</f>
        <v>0</v>
      </c>
      <c r="AD98" s="104" t="s">
        <v>608</v>
      </c>
      <c r="AE98" s="104">
        <v>5</v>
      </c>
    </row>
    <row r="99" spans="1:31" s="104" customFormat="1" x14ac:dyDescent="0.25">
      <c r="A99" s="150" t="s">
        <v>890</v>
      </c>
      <c r="B99" s="150" t="s">
        <v>884</v>
      </c>
      <c r="C99" s="150" t="s">
        <v>5</v>
      </c>
      <c r="D99" s="151" t="str">
        <f>IF(AdafruitListTable[[#This Row],[Vendor]]=FilterSpecs!$A$8,AdafruitListTable[[#This Row],[Mouser SKU]], AdafruitListTable[[#This Row],[Supplier SKU]])</f>
        <v>COM-08605</v>
      </c>
      <c r="E99" s="152">
        <f>MouserListTable[[#This Row],[Tot '#]]-MouserListTable[[#This Row],['# Initial]]</f>
        <v>0</v>
      </c>
      <c r="F99" s="152">
        <f>IF(AND(MouserListTable[[#This Row],[Tag]]&lt;&gt;FilterSpecs!$F$12, MouserListTable[[#This Row],[Tag]]&lt;&gt;FilterSpecs!$F$9), MouserListTable[[#This Row],['#/Unit]]*FilterSpecs!$B$3+MouserListTable[[#This Row],[Extra Initial]],0)</f>
        <v>0</v>
      </c>
      <c r="G99" s="150" t="s">
        <v>621</v>
      </c>
      <c r="H99" s="150" t="s">
        <v>622</v>
      </c>
      <c r="I99" s="150" t="s">
        <v>623</v>
      </c>
      <c r="J99" s="150">
        <v>1</v>
      </c>
      <c r="K99" s="154">
        <v>0.5</v>
      </c>
      <c r="L99" s="150" t="s">
        <v>1897</v>
      </c>
      <c r="M99" s="150"/>
      <c r="N99" s="154">
        <f>MouserListTable[[#This Row],['# Initial]]*MouserListTable[[#This Row],[Price (USD)]]</f>
        <v>0</v>
      </c>
      <c r="O99" s="151" t="s">
        <v>620</v>
      </c>
      <c r="P99" s="150">
        <f t="shared" si="1"/>
        <v>86</v>
      </c>
      <c r="Q99" s="150" t="s">
        <v>5</v>
      </c>
      <c r="R9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485-2697</v>
      </c>
      <c r="S99" s="157" t="str">
        <f>HYPERLINK("https://www.mouser.com/ProductDetail/" &amp;MouserListTable[[#This Row],[Mouser SKU]])</f>
        <v>https://www.mouser.com/ProductDetail/485-2697</v>
      </c>
      <c r="T99" s="152">
        <v>1</v>
      </c>
      <c r="U99" s="152">
        <v>0</v>
      </c>
      <c r="V99" s="152">
        <v>0</v>
      </c>
      <c r="W99" s="152">
        <f>MouserListTable[[#This Row],['#/Unit]]*FilterSpecs!$C$3+MouserListTable[[#This Row],[Extra]]</f>
        <v>0</v>
      </c>
      <c r="X99" s="152">
        <f>IF(MouserListTable[[#This Row],[Tag]]=FilterSpecs!$F$7,MouserListTable[[#This Row],['#/Unit]]*MouserListTable[[#This Row],[Price (USD)]],0)</f>
        <v>0</v>
      </c>
      <c r="Y99" s="152">
        <f>MouserListTable[[#This Row],[Tot '#]]*MouserListTable[[#This Row],[Price (USD)]]</f>
        <v>0</v>
      </c>
      <c r="Z99" s="146"/>
      <c r="AA99" s="153" t="str">
        <f>AdafruitListTable[[#This Row],[SKU]]</f>
        <v>COM-08605</v>
      </c>
      <c r="AB99" s="153">
        <f>VALUE(AdafruitListTable[[#This Row],['# Initial]])</f>
        <v>0</v>
      </c>
      <c r="AD99" s="104" t="s">
        <v>620</v>
      </c>
      <c r="AE99" s="104">
        <v>5</v>
      </c>
    </row>
    <row r="100" spans="1:31" s="104" customFormat="1" x14ac:dyDescent="0.25">
      <c r="A100" s="150" t="s">
        <v>890</v>
      </c>
      <c r="B100" s="150" t="s">
        <v>884</v>
      </c>
      <c r="C100" s="150" t="s">
        <v>5</v>
      </c>
      <c r="D100" s="151" t="str">
        <f>IF(AdafruitListTable[[#This Row],[Vendor]]=FilterSpecs!$A$8,AdafruitListTable[[#This Row],[Mouser SKU]], AdafruitListTable[[#This Row],[Supplier SKU]])</f>
        <v>COM-09190</v>
      </c>
      <c r="E100" s="152">
        <f>MouserListTable[[#This Row],[Tot '#]]-MouserListTable[[#This Row],['# Initial]]</f>
        <v>0</v>
      </c>
      <c r="F100" s="152">
        <f>IF(AND(MouserListTable[[#This Row],[Tag]]&lt;&gt;FilterSpecs!$F$12, MouserListTable[[#This Row],[Tag]]&lt;&gt;FilterSpecs!$F$9), MouserListTable[[#This Row],['#/Unit]]*FilterSpecs!$B$3+MouserListTable[[#This Row],[Extra Initial]],0)</f>
        <v>5</v>
      </c>
      <c r="G100" s="150" t="s">
        <v>617</v>
      </c>
      <c r="H100" s="150" t="s">
        <v>618</v>
      </c>
      <c r="I100" s="150" t="s">
        <v>619</v>
      </c>
      <c r="J100" s="150">
        <v>1</v>
      </c>
      <c r="K100" s="154">
        <v>0.5</v>
      </c>
      <c r="L100" s="150" t="s">
        <v>1897</v>
      </c>
      <c r="M100" s="150"/>
      <c r="N100" s="154">
        <f>MouserListTable[[#This Row],['# Initial]]*MouserListTable[[#This Row],[Price (USD)]]</f>
        <v>9.75</v>
      </c>
      <c r="O100" s="151" t="s">
        <v>616</v>
      </c>
      <c r="P100" s="150">
        <f t="shared" si="1"/>
        <v>87</v>
      </c>
      <c r="Q100" s="150" t="s">
        <v>5</v>
      </c>
      <c r="R10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485-2789</v>
      </c>
      <c r="S100" s="157" t="str">
        <f>HYPERLINK("https://www.mouser.com/ProductDetail/" &amp;MouserListTable[[#This Row],[Mouser SKU]])</f>
        <v>https://www.mouser.com/ProductDetail/485-2789</v>
      </c>
      <c r="T100" s="152">
        <v>1</v>
      </c>
      <c r="U100" s="152">
        <v>0</v>
      </c>
      <c r="V100" s="152">
        <v>0</v>
      </c>
      <c r="W100" s="152">
        <f>MouserListTable[[#This Row],['#/Unit]]*FilterSpecs!$C$3+MouserListTable[[#This Row],[Extra]]</f>
        <v>5</v>
      </c>
      <c r="X100" s="152">
        <f>IF(MouserListTable[[#This Row],[Tag]]=FilterSpecs!$F$7,MouserListTable[[#This Row],['#/Unit]]*MouserListTable[[#This Row],[Price (USD)]],0)</f>
        <v>1.95</v>
      </c>
      <c r="Y100" s="152">
        <f>MouserListTable[[#This Row],[Tot '#]]*MouserListTable[[#This Row],[Price (USD)]]</f>
        <v>9.75</v>
      </c>
      <c r="Z100" s="146"/>
      <c r="AA100" s="153" t="str">
        <f>AdafruitListTable[[#This Row],[SKU]]</f>
        <v>COM-09190</v>
      </c>
      <c r="AB100" s="153">
        <f>VALUE(AdafruitListTable[[#This Row],['# Initial]])</f>
        <v>5</v>
      </c>
      <c r="AD100" s="104" t="s">
        <v>616</v>
      </c>
      <c r="AE100" s="104">
        <v>5</v>
      </c>
    </row>
    <row r="101" spans="1:31" s="153" customFormat="1" x14ac:dyDescent="0.25">
      <c r="A101" s="150" t="s">
        <v>890</v>
      </c>
      <c r="B101" s="150" t="s">
        <v>884</v>
      </c>
      <c r="C101" s="150" t="s">
        <v>5</v>
      </c>
      <c r="D101" s="151" t="str">
        <f>IF(AdafruitListTable[[#This Row],[Vendor]]=FilterSpecs!$A$8,AdafruitListTable[[#This Row],[Mouser SKU]], AdafruitListTable[[#This Row],[Supplier SKU]])</f>
        <v>COM-10791</v>
      </c>
      <c r="E101" s="152">
        <f>MouserListTable[[#This Row],[Tot '#]]-MouserListTable[[#This Row],['# Initial]]</f>
        <v>0</v>
      </c>
      <c r="F101" s="152">
        <f>IF(AND(MouserListTable[[#This Row],[Tag]]&lt;&gt;FilterSpecs!$F$12, MouserListTable[[#This Row],[Tag]]&lt;&gt;FilterSpecs!$F$9), MouserListTable[[#This Row],['#/Unit]]*FilterSpecs!$B$3+MouserListTable[[#This Row],[Extra Initial]],0)</f>
        <v>5</v>
      </c>
      <c r="G101" s="150" t="s">
        <v>613</v>
      </c>
      <c r="H101" s="150" t="s">
        <v>614</v>
      </c>
      <c r="I101" s="150" t="s">
        <v>615</v>
      </c>
      <c r="J101" s="150">
        <v>1</v>
      </c>
      <c r="K101" s="154">
        <v>0.5</v>
      </c>
      <c r="L101" s="150" t="s">
        <v>1897</v>
      </c>
      <c r="M101" s="150"/>
      <c r="N101" s="154">
        <f>MouserListTable[[#This Row],['# Initial]]*MouserListTable[[#This Row],[Price (USD)]]</f>
        <v>149.75</v>
      </c>
      <c r="O101" s="151" t="s">
        <v>612</v>
      </c>
      <c r="P101" s="150">
        <f t="shared" si="1"/>
        <v>88</v>
      </c>
      <c r="Q101" s="150" t="s">
        <v>5</v>
      </c>
      <c r="R10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474-DEV-13158</v>
      </c>
      <c r="S101" s="157" t="str">
        <f>HYPERLINK("https://www.mouser.com/ProductDetail/" &amp;MouserListTable[[#This Row],[Mouser SKU]])</f>
        <v>https://www.mouser.com/ProductDetail/474-DEV-13158</v>
      </c>
      <c r="T101" s="152">
        <v>1</v>
      </c>
      <c r="U101" s="152">
        <v>0</v>
      </c>
      <c r="V101" s="152">
        <v>0</v>
      </c>
      <c r="W101" s="152">
        <f>MouserListTable[[#This Row],['#/Unit]]*FilterSpecs!$C$3+MouserListTable[[#This Row],[Extra]]</f>
        <v>5</v>
      </c>
      <c r="X101" s="152">
        <f>IF(MouserListTable[[#This Row],[Tag]]=FilterSpecs!$F$7,MouserListTable[[#This Row],['#/Unit]]*MouserListTable[[#This Row],[Price (USD)]],0)</f>
        <v>29.95</v>
      </c>
      <c r="Y101" s="152">
        <f>MouserListTable[[#This Row],[Tot '#]]*MouserListTable[[#This Row],[Price (USD)]]</f>
        <v>149.75</v>
      </c>
      <c r="Z101" s="146"/>
      <c r="AA101" s="153" t="str">
        <f>AdafruitListTable[[#This Row],[SKU]]</f>
        <v>COM-10791</v>
      </c>
      <c r="AB101" s="153">
        <f>VALUE(AdafruitListTable[[#This Row],['# Initial]])</f>
        <v>5</v>
      </c>
      <c r="AD101" s="153" t="s">
        <v>612</v>
      </c>
      <c r="AE101" s="153">
        <v>5</v>
      </c>
    </row>
    <row r="102" spans="1:31" s="153" customFormat="1" x14ac:dyDescent="0.25">
      <c r="A102" s="150" t="s">
        <v>890</v>
      </c>
      <c r="B102" s="150" t="s">
        <v>884</v>
      </c>
      <c r="C102" s="150" t="s">
        <v>5</v>
      </c>
      <c r="D102" s="151" t="str">
        <f>IF(AdafruitListTable[[#This Row],[Vendor]]=FilterSpecs!$A$8,AdafruitListTable[[#This Row],[Mouser SKU]], AdafruitListTable[[#This Row],[Supplier SKU]])</f>
        <v>COM-08837</v>
      </c>
      <c r="E102" s="152">
        <f>MouserListTable[[#This Row],[Tot '#]]-MouserListTable[[#This Row],['# Initial]]</f>
        <v>0</v>
      </c>
      <c r="F102" s="152">
        <f>IF(AND(MouserListTable[[#This Row],[Tag]]&lt;&gt;FilterSpecs!$F$12, MouserListTable[[#This Row],[Tag]]&lt;&gt;FilterSpecs!$F$9), MouserListTable[[#This Row],['#/Unit]]*FilterSpecs!$B$3+MouserListTable[[#This Row],[Extra Initial]],0)</f>
        <v>5</v>
      </c>
      <c r="G102" s="150" t="s">
        <v>525</v>
      </c>
      <c r="H102" s="150" t="s">
        <v>526</v>
      </c>
      <c r="I102" s="150" t="s">
        <v>527</v>
      </c>
      <c r="J102" s="150">
        <v>1</v>
      </c>
      <c r="K102" s="154">
        <v>0.95</v>
      </c>
      <c r="L102" s="151" t="s">
        <v>1897</v>
      </c>
      <c r="M102" s="150"/>
      <c r="N102" s="154">
        <f>MouserListTable[[#This Row],['# Initial]]*MouserListTable[[#This Row],[Price (USD)]]</f>
        <v>74.75</v>
      </c>
      <c r="O102" s="151" t="s">
        <v>524</v>
      </c>
      <c r="P102" s="150">
        <f t="shared" si="1"/>
        <v>89</v>
      </c>
      <c r="Q102" s="150" t="s">
        <v>5</v>
      </c>
      <c r="R10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474-PRT-12711</v>
      </c>
      <c r="S102" s="157" t="str">
        <f>HYPERLINK("https://www.mouser.com/ProductDetail/" &amp;MouserListTable[[#This Row],[Mouser SKU]])</f>
        <v>https://www.mouser.com/ProductDetail/474-PRT-12711</v>
      </c>
      <c r="T102" s="152">
        <v>1</v>
      </c>
      <c r="U102" s="152">
        <v>2</v>
      </c>
      <c r="V102" s="152">
        <v>0</v>
      </c>
      <c r="W102" s="152">
        <f>MouserListTable[[#This Row],['#/Unit]]*FilterSpecs!$C$3+MouserListTable[[#This Row],[Extra]]</f>
        <v>5</v>
      </c>
      <c r="X102" s="152">
        <f>IF(MouserListTable[[#This Row],[Tag]]=FilterSpecs!$F$7,MouserListTable[[#This Row],['#/Unit]]*MouserListTable[[#This Row],[Price (USD)]],0)</f>
        <v>14.95</v>
      </c>
      <c r="Y102" s="152">
        <f>MouserListTable[[#This Row],[Tot '#]]*MouserListTable[[#This Row],[Price (USD)]]</f>
        <v>74.75</v>
      </c>
      <c r="Z102" s="146"/>
      <c r="AA102" s="153" t="str">
        <f>AdafruitListTable[[#This Row],[SKU]]</f>
        <v>COM-08837</v>
      </c>
      <c r="AB102" s="153">
        <f>VALUE(AdafruitListTable[[#This Row],['# Initial]])</f>
        <v>5</v>
      </c>
      <c r="AD102" s="153" t="s">
        <v>524</v>
      </c>
      <c r="AE102" s="153">
        <v>5</v>
      </c>
    </row>
    <row r="103" spans="1:31" s="153" customFormat="1" x14ac:dyDescent="0.25">
      <c r="A103" s="150" t="s">
        <v>890</v>
      </c>
      <c r="B103" s="150" t="s">
        <v>884</v>
      </c>
      <c r="C103" s="150" t="s">
        <v>5</v>
      </c>
      <c r="D103" s="151" t="str">
        <f>IF(AdafruitListTable[[#This Row],[Vendor]]=FilterSpecs!$A$8,AdafruitListTable[[#This Row],[Mouser SKU]], AdafruitListTable[[#This Row],[Supplier SKU]])</f>
        <v>COM-00102</v>
      </c>
      <c r="E103" s="152">
        <f>MouserListTable[[#This Row],[Tot '#]]-MouserListTable[[#This Row],['# Initial]]</f>
        <v>1</v>
      </c>
      <c r="F103" s="152">
        <f>IF(AND(MouserListTable[[#This Row],[Tag]]&lt;&gt;FilterSpecs!$F$12, MouserListTable[[#This Row],[Tag]]&lt;&gt;FilterSpecs!$F$9), MouserListTable[[#This Row],['#/Unit]]*FilterSpecs!$B$3+MouserListTable[[#This Row],[Extra Initial]],0)</f>
        <v>0</v>
      </c>
      <c r="G103" s="150" t="s">
        <v>625</v>
      </c>
      <c r="H103" s="150" t="s">
        <v>626</v>
      </c>
      <c r="I103" s="150" t="s">
        <v>2549</v>
      </c>
      <c r="J103" s="150">
        <v>1</v>
      </c>
      <c r="K103" s="154">
        <v>1.5</v>
      </c>
      <c r="L103" s="150" t="s">
        <v>1897</v>
      </c>
      <c r="M103" s="150"/>
      <c r="N103" s="154">
        <f>MouserListTable[[#This Row],['# Initial]]*MouserListTable[[#This Row],[Price (USD)]]</f>
        <v>0</v>
      </c>
      <c r="O103" s="151" t="s">
        <v>624</v>
      </c>
      <c r="P103" s="150">
        <f t="shared" si="1"/>
        <v>90</v>
      </c>
      <c r="Q103" s="150" t="s">
        <v>5</v>
      </c>
      <c r="R10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474-PRT-13777</v>
      </c>
      <c r="S103" s="157" t="str">
        <f>HYPERLINK("https://www.mouser.com/ProductDetail/" &amp;MouserListTable[[#This Row],[Mouser SKU]])</f>
        <v>https://www.mouser.com/ProductDetail/474-PRT-13777</v>
      </c>
      <c r="T103" s="152">
        <v>1</v>
      </c>
      <c r="U103" s="152">
        <v>0</v>
      </c>
      <c r="V103" s="152">
        <v>0</v>
      </c>
      <c r="W103" s="152">
        <f>MouserListTable[[#This Row],['#/Unit]]*FilterSpecs!$C$3+MouserListTable[[#This Row],[Extra]]</f>
        <v>1</v>
      </c>
      <c r="X103" s="152">
        <f>IF(MouserListTable[[#This Row],[Tag]]=FilterSpecs!$F$7,MouserListTable[[#This Row],['#/Unit]]*MouserListTable[[#This Row],[Price (USD)]],0)</f>
        <v>0</v>
      </c>
      <c r="Y103" s="152">
        <f>MouserListTable[[#This Row],[Tot '#]]*MouserListTable[[#This Row],[Price (USD)]]</f>
        <v>19.95</v>
      </c>
      <c r="Z103" s="146"/>
      <c r="AA103" s="153" t="str">
        <f>AdafruitListTable[[#This Row],[SKU]]</f>
        <v>COM-00102</v>
      </c>
      <c r="AB103" s="153">
        <f>VALUE(AdafruitListTable[[#This Row],['# Initial]])</f>
        <v>0</v>
      </c>
      <c r="AD103" s="153" t="s">
        <v>624</v>
      </c>
      <c r="AE103" s="153">
        <v>5</v>
      </c>
    </row>
    <row r="104" spans="1:31" s="104" customFormat="1" x14ac:dyDescent="0.25">
      <c r="A104" s="150" t="s">
        <v>890</v>
      </c>
      <c r="B104" s="150" t="s">
        <v>884</v>
      </c>
      <c r="C104" s="150" t="s">
        <v>1884</v>
      </c>
      <c r="D104" s="151" t="str">
        <f>IF(AdafruitListTable[[#This Row],[Vendor]]=FilterSpecs!$A$8,AdafruitListTable[[#This Row],[Mouser SKU]], AdafruitListTable[[#This Row],[Supplier SKU]])</f>
        <v>2047</v>
      </c>
      <c r="E104" s="152">
        <f>MouserListTable[[#This Row],[Tot '#]]-MouserListTable[[#This Row],['# Initial]]</f>
        <v>1</v>
      </c>
      <c r="F104" s="152">
        <f>IF(AND(MouserListTable[[#This Row],[Tag]]&lt;&gt;FilterSpecs!$F$12, MouserListTable[[#This Row],[Tag]]&lt;&gt;FilterSpecs!$F$9), MouserListTable[[#This Row],['#/Unit]]*FilterSpecs!$B$3+MouserListTable[[#This Row],[Extra Initial]],0)</f>
        <v>5</v>
      </c>
      <c r="G104" s="150"/>
      <c r="H104" s="150"/>
      <c r="I104" s="97" t="s">
        <v>2104</v>
      </c>
      <c r="J104" s="153"/>
      <c r="K104" s="118">
        <v>0.5</v>
      </c>
      <c r="L104" s="97" t="s">
        <v>1897</v>
      </c>
      <c r="M104" s="153"/>
      <c r="N104" s="154">
        <f>MouserListTable[[#This Row],['# Initial]]*MouserListTable[[#This Row],[Price (USD)]]</f>
        <v>149.75</v>
      </c>
      <c r="O104" s="151" t="s">
        <v>2103</v>
      </c>
      <c r="P104" s="150">
        <f t="shared" si="1"/>
        <v>91</v>
      </c>
      <c r="Q104" s="150" t="s">
        <v>1884</v>
      </c>
      <c r="R10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474-PRT-13856</v>
      </c>
      <c r="S104" s="157" t="str">
        <f>HYPERLINK("https://www.mouser.com/ProductDetail/" &amp;MouserListTable[[#This Row],[Mouser SKU]])</f>
        <v>https://www.mouser.com/ProductDetail/474-PRT-13856</v>
      </c>
      <c r="T104" s="152">
        <f>SUM(T182:T183)</f>
        <v>2</v>
      </c>
      <c r="U104" s="152">
        <f>SUM(U182:U182)</f>
        <v>0</v>
      </c>
      <c r="V104" s="152">
        <f>SUM(V182:V182)</f>
        <v>0</v>
      </c>
      <c r="W104" s="152">
        <f>MouserListTable[[#This Row],['#/Unit]]*FilterSpecs!$C$3+MouserListTable[[#This Row],[Extra]]</f>
        <v>6</v>
      </c>
      <c r="X104" s="152">
        <f>IF(MouserListTable[[#This Row],[Tag]]=FilterSpecs!$F$7,MouserListTable[[#This Row],['#/Unit]]*MouserListTable[[#This Row],[Price (USD)]],0)</f>
        <v>29.95</v>
      </c>
      <c r="Y104" s="152">
        <f>MouserListTable[[#This Row],[Tot '#]]*MouserListTable[[#This Row],[Price (USD)]]</f>
        <v>179.7</v>
      </c>
      <c r="Z104" s="146"/>
      <c r="AA104" s="153" t="str">
        <f>AdafruitListTable[[#This Row],[SKU]]</f>
        <v>2047</v>
      </c>
      <c r="AB104" s="153">
        <f>VALUE(AdafruitListTable[[#This Row],['# Initial]])</f>
        <v>5</v>
      </c>
      <c r="AD104" s="104" t="s">
        <v>2103</v>
      </c>
      <c r="AE104" s="104">
        <v>10</v>
      </c>
    </row>
    <row r="105" spans="1:31" s="104" customFormat="1" x14ac:dyDescent="0.25">
      <c r="A105" s="151" t="s">
        <v>890</v>
      </c>
      <c r="B105" s="151" t="s">
        <v>2004</v>
      </c>
      <c r="C105" s="150" t="s">
        <v>1884</v>
      </c>
      <c r="D105" s="151" t="str">
        <f>IF(AdafruitListTable[[#This Row],[Vendor]]=FilterSpecs!$A$8,AdafruitListTable[[#This Row],[Mouser SKU]], AdafruitListTable[[#This Row],[Supplier SKU]])</f>
        <v>2102</v>
      </c>
      <c r="E105" s="152">
        <f>MouserListTable[[#This Row],[Tot '#]]-MouserListTable[[#This Row],['# Initial]]</f>
        <v>2</v>
      </c>
      <c r="F105" s="152">
        <f>IF(AND(MouserListTable[[#This Row],[Tag]]&lt;&gt;FilterSpecs!$F$12, MouserListTable[[#This Row],[Tag]]&lt;&gt;FilterSpecs!$F$9), MouserListTable[[#This Row],['#/Unit]]*FilterSpecs!$B$3+MouserListTable[[#This Row],[Extra Initial]],0)</f>
        <v>0</v>
      </c>
      <c r="G105" s="150"/>
      <c r="H105" s="150"/>
      <c r="I105" s="151" t="s">
        <v>2118</v>
      </c>
      <c r="J105" s="153"/>
      <c r="K105" s="154">
        <v>0.95</v>
      </c>
      <c r="L105" s="151" t="s">
        <v>1897</v>
      </c>
      <c r="M105" s="151"/>
      <c r="N105" s="154">
        <f>MouserListTable[[#This Row],['# Initial]]*MouserListTable[[#This Row],[Price (USD)]]</f>
        <v>0</v>
      </c>
      <c r="O105" s="151" t="s">
        <v>2117</v>
      </c>
      <c r="P105" s="150">
        <f t="shared" si="1"/>
        <v>92</v>
      </c>
      <c r="Q105" s="150" t="s">
        <v>1884</v>
      </c>
      <c r="R10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474-PRT-13855</v>
      </c>
      <c r="S105" s="157" t="str">
        <f>HYPERLINK("https://www.mouser.com/ProductDetail/" &amp;MouserListTable[[#This Row],[Mouser SKU]])</f>
        <v>https://www.mouser.com/ProductDetail/474-PRT-13855</v>
      </c>
      <c r="T105" s="152">
        <v>2</v>
      </c>
      <c r="U105" s="152">
        <v>0</v>
      </c>
      <c r="V105" s="152">
        <v>0</v>
      </c>
      <c r="W105" s="152">
        <f>MouserListTable[[#This Row],['#/Unit]]*FilterSpecs!$C$3+MouserListTable[[#This Row],[Extra]]</f>
        <v>2</v>
      </c>
      <c r="X105" s="152">
        <f>IF(MouserListTable[[#This Row],[Tag]]=FilterSpecs!$F$7,MouserListTable[[#This Row],['#/Unit]]*MouserListTable[[#This Row],[Price (USD)]],0)</f>
        <v>0</v>
      </c>
      <c r="Y105" s="152">
        <f>MouserListTable[[#This Row],[Tot '#]]*MouserListTable[[#This Row],[Price (USD)]]</f>
        <v>25.9</v>
      </c>
      <c r="Z105" s="146"/>
      <c r="AA105" s="153" t="str">
        <f>AdafruitListTable[[#This Row],[SKU]]</f>
        <v>2102</v>
      </c>
      <c r="AB105" s="153">
        <f>VALUE(AdafruitListTable[[#This Row],['# Initial]])</f>
        <v>0</v>
      </c>
      <c r="AD105" s="104" t="s">
        <v>2117</v>
      </c>
      <c r="AE105" s="104">
        <v>10</v>
      </c>
    </row>
    <row r="106" spans="1:31" s="104" customFormat="1" x14ac:dyDescent="0.25">
      <c r="A106" s="151" t="s">
        <v>890</v>
      </c>
      <c r="B106" s="151" t="s">
        <v>1870</v>
      </c>
      <c r="C106" s="150" t="s">
        <v>5</v>
      </c>
      <c r="D106" s="151" t="str">
        <f>IF(AdafruitListTable[[#This Row],[Vendor]]=FilterSpecs!$A$8,AdafruitListTable[[#This Row],[Mouser SKU]], AdafruitListTable[[#This Row],[Supplier SKU]])</f>
        <v>PRT-09749</v>
      </c>
      <c r="E106" s="152">
        <f>MouserListTable[[#This Row],[Tot '#]]-MouserListTable[[#This Row],['# Initial]]</f>
        <v>0</v>
      </c>
      <c r="F106" s="152">
        <f>IF(AND(MouserListTable[[#This Row],[Tag]]&lt;&gt;FilterSpecs!$F$12, MouserListTable[[#This Row],[Tag]]&lt;&gt;FilterSpecs!$F$9), MouserListTable[[#This Row],['#/Unit]]*FilterSpecs!$B$3+MouserListTable[[#This Row],[Extra Initial]],0)</f>
        <v>5</v>
      </c>
      <c r="G106" s="150" t="s">
        <v>439</v>
      </c>
      <c r="H106" s="150" t="s">
        <v>440</v>
      </c>
      <c r="I106" s="151" t="s">
        <v>441</v>
      </c>
      <c r="J106" s="150">
        <v>1</v>
      </c>
      <c r="K106" s="154">
        <v>0.95</v>
      </c>
      <c r="L106" s="151" t="s">
        <v>1897</v>
      </c>
      <c r="M106" s="150"/>
      <c r="N106" s="154">
        <f>MouserListTable[[#This Row],['# Initial]]*MouserListTable[[#This Row],[Price (USD)]]</f>
        <v>49.75</v>
      </c>
      <c r="O106" s="151" t="s">
        <v>438</v>
      </c>
      <c r="P106" s="150">
        <f t="shared" si="1"/>
        <v>93</v>
      </c>
      <c r="Q106" s="150" t="s">
        <v>5</v>
      </c>
      <c r="R10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474-PRT-13032</v>
      </c>
      <c r="S106" s="157" t="str">
        <f>HYPERLINK("https://www.mouser.com/ProductDetail/" &amp;MouserListTable[[#This Row],[Mouser SKU]])</f>
        <v>https://www.mouser.com/ProductDetail/474-PRT-13032</v>
      </c>
      <c r="T106" s="152">
        <v>2</v>
      </c>
      <c r="U106" s="152">
        <v>0</v>
      </c>
      <c r="V106" s="152">
        <v>0</v>
      </c>
      <c r="W106" s="152">
        <f>MouserListTable[[#This Row],['#/Unit]]*FilterSpecs!$C$3+MouserListTable[[#This Row],[Extra]]</f>
        <v>5</v>
      </c>
      <c r="X106" s="152">
        <f>IF(MouserListTable[[#This Row],[Tag]]=FilterSpecs!$F$7,MouserListTable[[#This Row],['#/Unit]]*MouserListTable[[#This Row],[Price (USD)]],0)</f>
        <v>9.9499999999999993</v>
      </c>
      <c r="Y106" s="152">
        <f>MouserListTable[[#This Row],[Tot '#]]*MouserListTable[[#This Row],[Price (USD)]]</f>
        <v>49.75</v>
      </c>
      <c r="Z106" s="146"/>
      <c r="AA106" s="153" t="str">
        <f>AdafruitListTable[[#This Row],[SKU]]</f>
        <v>PRT-09749</v>
      </c>
      <c r="AB106" s="153">
        <f>VALUE(AdafruitListTable[[#This Row],['# Initial]])</f>
        <v>5</v>
      </c>
      <c r="AD106" s="104" t="s">
        <v>438</v>
      </c>
      <c r="AE106" s="104">
        <v>10</v>
      </c>
    </row>
    <row r="107" spans="1:31" s="104" customFormat="1" x14ac:dyDescent="0.25">
      <c r="A107" s="151" t="s">
        <v>890</v>
      </c>
      <c r="B107" s="151" t="s">
        <v>1870</v>
      </c>
      <c r="C107" s="150" t="s">
        <v>5</v>
      </c>
      <c r="D107" s="151" t="str">
        <f>IF(AdafruitListTable[[#This Row],[Vendor]]=FilterSpecs!$A$8,AdafruitListTable[[#This Row],[Mouser SKU]], AdafruitListTable[[#This Row],[Supplier SKU]])</f>
        <v>PRT-09750</v>
      </c>
      <c r="E107" s="152">
        <f>MouserListTable[[#This Row],[Tot '#]]-MouserListTable[[#This Row],['# Initial]]</f>
        <v>2</v>
      </c>
      <c r="F107" s="152">
        <f>IF(AND(MouserListTable[[#This Row],[Tag]]&lt;&gt;FilterSpecs!$F$12, MouserListTable[[#This Row],[Tag]]&lt;&gt;FilterSpecs!$F$9), MouserListTable[[#This Row],['#/Unit]]*FilterSpecs!$B$3+MouserListTable[[#This Row],[Extra Initial]],0)</f>
        <v>0</v>
      </c>
      <c r="G107" s="150" t="s">
        <v>1842</v>
      </c>
      <c r="H107" s="150" t="s">
        <v>1843</v>
      </c>
      <c r="I107" s="151" t="s">
        <v>1844</v>
      </c>
      <c r="J107" s="150">
        <v>1</v>
      </c>
      <c r="K107" s="154">
        <v>0.95</v>
      </c>
      <c r="L107" s="151" t="s">
        <v>1897</v>
      </c>
      <c r="M107" s="150"/>
      <c r="N107" s="154">
        <f>MouserListTable[[#This Row],['# Initial]]*MouserListTable[[#This Row],[Price (USD)]]</f>
        <v>0</v>
      </c>
      <c r="O107" s="151" t="s">
        <v>1841</v>
      </c>
      <c r="P107" s="150">
        <f t="shared" si="1"/>
        <v>94</v>
      </c>
      <c r="Q107" s="150" t="s">
        <v>5</v>
      </c>
      <c r="R10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474-PRT-00114</v>
      </c>
      <c r="S107" s="157" t="str">
        <f>HYPERLINK("https://www.mouser.com/ProductDetail/" &amp;MouserListTable[[#This Row],[Mouser SKU]])</f>
        <v>https://www.mouser.com/ProductDetail/474-PRT-00114</v>
      </c>
      <c r="T107" s="152">
        <v>1</v>
      </c>
      <c r="U107" s="152">
        <v>0</v>
      </c>
      <c r="V107" s="152">
        <v>0</v>
      </c>
      <c r="W107" s="152">
        <f>MouserListTable[[#This Row],['#/Unit]]*FilterSpecs!$C$3+MouserListTable[[#This Row],[Extra]]</f>
        <v>2</v>
      </c>
      <c r="X107" s="152">
        <f>IF(MouserListTable[[#This Row],[Tag]]=FilterSpecs!$F$7,MouserListTable[[#This Row],['#/Unit]]*MouserListTable[[#This Row],[Price (USD)]],0)</f>
        <v>0</v>
      </c>
      <c r="Y107" s="152">
        <f>MouserListTable[[#This Row],[Tot '#]]*MouserListTable[[#This Row],[Price (USD)]]</f>
        <v>19.899999999999999</v>
      </c>
      <c r="Z107" s="146"/>
      <c r="AA107" s="153" t="str">
        <f>AdafruitListTable[[#This Row],[SKU]]</f>
        <v>PRT-09750</v>
      </c>
      <c r="AB107" s="153">
        <f>VALUE(AdafruitListTable[[#This Row],['# Initial]])</f>
        <v>0</v>
      </c>
      <c r="AD107" s="104" t="s">
        <v>1841</v>
      </c>
      <c r="AE107" s="104">
        <v>5</v>
      </c>
    </row>
    <row r="108" spans="1:31" s="104" customFormat="1" x14ac:dyDescent="0.25">
      <c r="A108" s="151" t="s">
        <v>890</v>
      </c>
      <c r="B108" s="151" t="s">
        <v>1872</v>
      </c>
      <c r="C108" s="150" t="s">
        <v>5</v>
      </c>
      <c r="D108" s="151" t="str">
        <f>IF(AdafruitListTable[[#This Row],[Vendor]]=FilterSpecs!$A$8,AdafruitListTable[[#This Row],[Mouser SKU]], AdafruitListTable[[#This Row],[Supplier SKU]])</f>
        <v>PRT-08232</v>
      </c>
      <c r="E108" s="152">
        <f>MouserListTable[[#This Row],[Tot '#]]-MouserListTable[[#This Row],['# Initial]]</f>
        <v>0</v>
      </c>
      <c r="F108" s="152">
        <f>IF(AND(MouserListTable[[#This Row],[Tag]]&lt;&gt;FilterSpecs!$F$12, MouserListTable[[#This Row],[Tag]]&lt;&gt;FilterSpecs!$F$9), MouserListTable[[#This Row],['#/Unit]]*FilterSpecs!$B$3+MouserListTable[[#This Row],[Extra Initial]],0)</f>
        <v>0</v>
      </c>
      <c r="G108" s="150" t="s">
        <v>1369</v>
      </c>
      <c r="H108" s="150" t="s">
        <v>1370</v>
      </c>
      <c r="I108" s="151" t="s">
        <v>1371</v>
      </c>
      <c r="J108" s="150">
        <v>1</v>
      </c>
      <c r="K108" s="154">
        <v>0.45</v>
      </c>
      <c r="L108" s="151" t="s">
        <v>1897</v>
      </c>
      <c r="M108" s="150"/>
      <c r="N108" s="154">
        <f>MouserListTable[[#This Row],['# Initial]]*MouserListTable[[#This Row],[Price (USD)]]</f>
        <v>0</v>
      </c>
      <c r="O108" s="151" t="s">
        <v>1368</v>
      </c>
      <c r="P108" s="150">
        <f t="shared" si="1"/>
        <v>95</v>
      </c>
      <c r="Q108" s="150" t="s">
        <v>5</v>
      </c>
      <c r="R10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485-184</v>
      </c>
      <c r="S108" s="157" t="str">
        <f>HYPERLINK("https://www.mouser.com/ProductDetail/" &amp;MouserListTable[[#This Row],[Mouser SKU]])</f>
        <v>https://www.mouser.com/ProductDetail/485-184</v>
      </c>
      <c r="T108" s="152">
        <v>3</v>
      </c>
      <c r="U108" s="152">
        <v>1</v>
      </c>
      <c r="V108" s="152">
        <v>1</v>
      </c>
      <c r="W108" s="152">
        <f>MouserListTable[[#This Row],['#/Unit]]*FilterSpecs!$C$3+MouserListTable[[#This Row],[Extra]]</f>
        <v>0</v>
      </c>
      <c r="X108" s="152">
        <f>IF(MouserListTable[[#This Row],[Tag]]=FilterSpecs!$F$7,MouserListTable[[#This Row],['#/Unit]]*MouserListTable[[#This Row],[Price (USD)]],0)</f>
        <v>0</v>
      </c>
      <c r="Y108" s="152">
        <f>MouserListTable[[#This Row],[Tot '#]]*MouserListTable[[#This Row],[Price (USD)]]</f>
        <v>0</v>
      </c>
      <c r="Z108" s="146"/>
      <c r="AA108" s="153" t="str">
        <f>AdafruitListTable[[#This Row],[SKU]]</f>
        <v>PRT-08232</v>
      </c>
      <c r="AB108" s="153">
        <f>VALUE(AdafruitListTable[[#This Row],['# Initial]])</f>
        <v>0</v>
      </c>
      <c r="AD108" s="104" t="s">
        <v>1368</v>
      </c>
      <c r="AE108" s="104">
        <v>16</v>
      </c>
    </row>
    <row r="109" spans="1:31" s="104" customFormat="1" x14ac:dyDescent="0.25">
      <c r="A109" s="151" t="s">
        <v>890</v>
      </c>
      <c r="B109" s="151" t="s">
        <v>1872</v>
      </c>
      <c r="C109" s="150" t="s">
        <v>5</v>
      </c>
      <c r="D109" s="151" t="str">
        <f>IF(AdafruitListTable[[#This Row],[Vendor]]=FilterSpecs!$A$8,AdafruitListTable[[#This Row],[Mouser SKU]], AdafruitListTable[[#This Row],[Supplier SKU]])</f>
        <v>PRT-08096</v>
      </c>
      <c r="E109" s="152">
        <f>MouserListTable[[#This Row],[Tot '#]]-MouserListTable[[#This Row],['# Initial]]</f>
        <v>1</v>
      </c>
      <c r="F109" s="152">
        <f>IF(AND(MouserListTable[[#This Row],[Tag]]&lt;&gt;FilterSpecs!$F$12, MouserListTable[[#This Row],[Tag]]&lt;&gt;FilterSpecs!$F$9), MouserListTable[[#This Row],['#/Unit]]*FilterSpecs!$B$3+MouserListTable[[#This Row],[Extra Initial]],0)</f>
        <v>5</v>
      </c>
      <c r="G109" s="150" t="s">
        <v>1373</v>
      </c>
      <c r="H109" s="150" t="s">
        <v>1374</v>
      </c>
      <c r="I109" s="151" t="s">
        <v>1375</v>
      </c>
      <c r="J109" s="150">
        <v>1</v>
      </c>
      <c r="K109" s="154">
        <v>0.45</v>
      </c>
      <c r="L109" s="151" t="s">
        <v>1897</v>
      </c>
      <c r="M109" s="150"/>
      <c r="N109" s="154">
        <f>MouserListTable[[#This Row],['# Initial]]*MouserListTable[[#This Row],[Price (USD)]]</f>
        <v>4.75</v>
      </c>
      <c r="O109" s="151" t="s">
        <v>1372</v>
      </c>
      <c r="P109" s="150">
        <f t="shared" si="1"/>
        <v>96</v>
      </c>
      <c r="Q109" s="150" t="s">
        <v>5</v>
      </c>
      <c r="R10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474-PRT-10811</v>
      </c>
      <c r="S109" s="157" t="str">
        <f>HYPERLINK("https://www.mouser.com/ProductDetail/" &amp;MouserListTable[[#This Row],[Mouser SKU]])</f>
        <v>https://www.mouser.com/ProductDetail/474-PRT-10811</v>
      </c>
      <c r="T109" s="152">
        <v>3</v>
      </c>
      <c r="U109" s="152">
        <v>1</v>
      </c>
      <c r="V109" s="152">
        <v>1</v>
      </c>
      <c r="W109" s="152">
        <f>MouserListTable[[#This Row],['#/Unit]]*FilterSpecs!$C$3+MouserListTable[[#This Row],[Extra]]</f>
        <v>6</v>
      </c>
      <c r="X109" s="152">
        <f>IF(MouserListTable[[#This Row],[Tag]]=FilterSpecs!$F$7,MouserListTable[[#This Row],['#/Unit]]*MouserListTable[[#This Row],[Price (USD)]],0)</f>
        <v>0.95</v>
      </c>
      <c r="Y109" s="152">
        <f>MouserListTable[[#This Row],[Tot '#]]*MouserListTable[[#This Row],[Price (USD)]]</f>
        <v>5.6999999999999993</v>
      </c>
      <c r="Z109" s="146"/>
      <c r="AA109" s="153" t="str">
        <f>AdafruitListTable[[#This Row],[SKU]]</f>
        <v>PRT-08096</v>
      </c>
      <c r="AB109" s="153">
        <f>VALUE(AdafruitListTable[[#This Row],['# Initial]])</f>
        <v>5</v>
      </c>
      <c r="AD109" s="104" t="s">
        <v>1372</v>
      </c>
      <c r="AE109" s="104">
        <v>16</v>
      </c>
    </row>
    <row r="110" spans="1:31" s="104" customFormat="1" x14ac:dyDescent="0.25">
      <c r="A110" s="151" t="s">
        <v>890</v>
      </c>
      <c r="B110" s="151" t="s">
        <v>1872</v>
      </c>
      <c r="C110" s="150" t="s">
        <v>5</v>
      </c>
      <c r="D110" s="151" t="str">
        <f>IF(AdafruitListTable[[#This Row],[Vendor]]=FilterSpecs!$A$8,AdafruitListTable[[#This Row],[Mouser SKU]], AdafruitListTable[[#This Row],[Supplier SKU]])</f>
        <v>PRT-08231</v>
      </c>
      <c r="E110" s="152">
        <f>MouserListTable[[#This Row],[Tot '#]]-MouserListTable[[#This Row],['# Initial]]</f>
        <v>0</v>
      </c>
      <c r="F110" s="152">
        <f>IF(AND(MouserListTable[[#This Row],[Tag]]&lt;&gt;FilterSpecs!$F$12, MouserListTable[[#This Row],[Tag]]&lt;&gt;FilterSpecs!$F$9), MouserListTable[[#This Row],['#/Unit]]*FilterSpecs!$B$3+MouserListTable[[#This Row],[Extra Initial]],0)</f>
        <v>0</v>
      </c>
      <c r="G110" s="150" t="s">
        <v>1357</v>
      </c>
      <c r="H110" s="150" t="s">
        <v>1358</v>
      </c>
      <c r="I110" s="151" t="s">
        <v>1359</v>
      </c>
      <c r="J110" s="150">
        <v>1</v>
      </c>
      <c r="K110" s="154">
        <v>0.45</v>
      </c>
      <c r="L110" s="151" t="s">
        <v>1897</v>
      </c>
      <c r="M110" s="150"/>
      <c r="N110" s="154">
        <f>MouserListTable[[#This Row],['# Initial]]*MouserListTable[[#This Row],[Price (USD)]]</f>
        <v>0</v>
      </c>
      <c r="O110" s="151" t="s">
        <v>1356</v>
      </c>
      <c r="P110" s="150">
        <f t="shared" si="1"/>
        <v>97</v>
      </c>
      <c r="Q110" s="150" t="s">
        <v>5</v>
      </c>
      <c r="R11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485-373</v>
      </c>
      <c r="S110" s="157" t="str">
        <f>HYPERLINK("https://www.mouser.com/ProductDetail/" &amp;MouserListTable[[#This Row],[Mouser SKU]])</f>
        <v>https://www.mouser.com/ProductDetail/485-373</v>
      </c>
      <c r="T110" s="152">
        <v>3</v>
      </c>
      <c r="U110" s="152">
        <v>1</v>
      </c>
      <c r="V110" s="152">
        <v>1</v>
      </c>
      <c r="W110" s="152">
        <f>MouserListTable[[#This Row],['#/Unit]]*FilterSpecs!$C$3+MouserListTable[[#This Row],[Extra]]</f>
        <v>0</v>
      </c>
      <c r="X110" s="152">
        <f>IF(MouserListTable[[#This Row],[Tag]]=FilterSpecs!$F$7,MouserListTable[[#This Row],['#/Unit]]*MouserListTable[[#This Row],[Price (USD)]],0)</f>
        <v>0</v>
      </c>
      <c r="Y110" s="152">
        <f>MouserListTable[[#This Row],[Tot '#]]*MouserListTable[[#This Row],[Price (USD)]]</f>
        <v>0</v>
      </c>
      <c r="Z110" s="146"/>
      <c r="AA110" s="153" t="str">
        <f>AdafruitListTable[[#This Row],[SKU]]</f>
        <v>PRT-08231</v>
      </c>
      <c r="AB110" s="153">
        <f>VALUE(AdafruitListTable[[#This Row],['# Initial]])</f>
        <v>0</v>
      </c>
      <c r="AD110" s="104" t="s">
        <v>1356</v>
      </c>
      <c r="AE110" s="104">
        <v>16</v>
      </c>
    </row>
    <row r="111" spans="1:31" s="104" customFormat="1" x14ac:dyDescent="0.25">
      <c r="A111" s="151" t="s">
        <v>890</v>
      </c>
      <c r="B111" s="151" t="s">
        <v>1872</v>
      </c>
      <c r="C111" s="150" t="s">
        <v>5</v>
      </c>
      <c r="D111" s="151" t="str">
        <f>IF(AdafruitListTable[[#This Row],[Vendor]]=FilterSpecs!$A$8,AdafruitListTable[[#This Row],[Mouser SKU]], AdafruitListTable[[#This Row],[Supplier SKU]])</f>
        <v>PRT-08097</v>
      </c>
      <c r="E111" s="152">
        <f>MouserListTable[[#This Row],[Tot '#]]-MouserListTable[[#This Row],['# Initial]]</f>
        <v>0</v>
      </c>
      <c r="F111" s="152">
        <f>IF(AND(MouserListTable[[#This Row],[Tag]]&lt;&gt;FilterSpecs!$F$12, MouserListTable[[#This Row],[Tag]]&lt;&gt;FilterSpecs!$F$9), MouserListTable[[#This Row],['#/Unit]]*FilterSpecs!$B$3+MouserListTable[[#This Row],[Extra Initial]],0)</f>
        <v>5</v>
      </c>
      <c r="G111" s="150" t="s">
        <v>1345</v>
      </c>
      <c r="H111" s="150" t="s">
        <v>1346</v>
      </c>
      <c r="I111" s="151" t="s">
        <v>1347</v>
      </c>
      <c r="J111" s="150">
        <v>1</v>
      </c>
      <c r="K111" s="154">
        <v>0.45</v>
      </c>
      <c r="L111" s="151" t="s">
        <v>1897</v>
      </c>
      <c r="M111" s="150"/>
      <c r="N111" s="154">
        <f>MouserListTable[[#This Row],['# Initial]]*MouserListTable[[#This Row],[Price (USD)]]</f>
        <v>34.75</v>
      </c>
      <c r="O111" s="151" t="s">
        <v>1344</v>
      </c>
      <c r="P111" s="150">
        <f t="shared" si="1"/>
        <v>98</v>
      </c>
      <c r="Q111" s="150" t="s">
        <v>5</v>
      </c>
      <c r="R11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474-PRT-11214</v>
      </c>
      <c r="S111" s="157" t="str">
        <f>HYPERLINK("https://www.mouser.com/ProductDetail/" &amp;MouserListTable[[#This Row],[Mouser SKU]])</f>
        <v>https://www.mouser.com/ProductDetail/474-PRT-11214</v>
      </c>
      <c r="T111" s="152">
        <v>3</v>
      </c>
      <c r="U111" s="152">
        <v>1</v>
      </c>
      <c r="V111" s="152">
        <v>1</v>
      </c>
      <c r="W111" s="152">
        <f>MouserListTable[[#This Row],['#/Unit]]*FilterSpecs!$C$3+MouserListTable[[#This Row],[Extra]]</f>
        <v>5</v>
      </c>
      <c r="X111" s="152">
        <f>IF(MouserListTable[[#This Row],[Tag]]=FilterSpecs!$F$7,MouserListTable[[#This Row],['#/Unit]]*MouserListTable[[#This Row],[Price (USD)]],0)</f>
        <v>6.95</v>
      </c>
      <c r="Y111" s="152">
        <f>MouserListTable[[#This Row],[Tot '#]]*MouserListTable[[#This Row],[Price (USD)]]</f>
        <v>34.75</v>
      </c>
      <c r="Z111" s="146"/>
      <c r="AA111" s="153" t="str">
        <f>AdafruitListTable[[#This Row],[SKU]]</f>
        <v>PRT-08097</v>
      </c>
      <c r="AB111" s="153">
        <f>VALUE(AdafruitListTable[[#This Row],['# Initial]])</f>
        <v>5</v>
      </c>
      <c r="AD111" s="104" t="s">
        <v>1344</v>
      </c>
      <c r="AE111" s="104">
        <v>16</v>
      </c>
    </row>
    <row r="112" spans="1:31" s="104" customFormat="1" x14ac:dyDescent="0.25">
      <c r="A112" s="151" t="s">
        <v>890</v>
      </c>
      <c r="B112" s="151" t="s">
        <v>1872</v>
      </c>
      <c r="C112" s="150" t="s">
        <v>5</v>
      </c>
      <c r="D112" s="151" t="str">
        <f>IF(AdafruitListTable[[#This Row],[Vendor]]=FilterSpecs!$A$8,AdafruitListTable[[#This Row],[Mouser SKU]], AdafruitListTable[[#This Row],[Supplier SKU]])</f>
        <v>PRT-08100</v>
      </c>
      <c r="E112" s="152">
        <f>MouserListTable[[#This Row],[Tot '#]]-MouserListTable[[#This Row],['# Initial]]</f>
        <v>0</v>
      </c>
      <c r="F112" s="152">
        <f>IF(AND(MouserListTable[[#This Row],[Tag]]&lt;&gt;FilterSpecs!$F$12, MouserListTable[[#This Row],[Tag]]&lt;&gt;FilterSpecs!$F$9), MouserListTable[[#This Row],['#/Unit]]*FilterSpecs!$B$3+MouserListTable[[#This Row],[Extra Initial]],0)</f>
        <v>0</v>
      </c>
      <c r="G112" s="150" t="s">
        <v>2401</v>
      </c>
      <c r="H112" s="150" t="s">
        <v>2402</v>
      </c>
      <c r="I112" s="151" t="s">
        <v>2403</v>
      </c>
      <c r="J112" s="150">
        <v>1</v>
      </c>
      <c r="K112" s="154">
        <v>1.95</v>
      </c>
      <c r="L112" s="151" t="s">
        <v>1897</v>
      </c>
      <c r="M112" s="151"/>
      <c r="N112" s="154">
        <f>MouserListTable[[#This Row],['# Initial]]*MouserListTable[[#This Row],[Price (USD)]]</f>
        <v>0</v>
      </c>
      <c r="O112" s="151" t="s">
        <v>2400</v>
      </c>
      <c r="P112" s="150">
        <f t="shared" si="1"/>
        <v>99</v>
      </c>
      <c r="Q112" s="150" t="s">
        <v>5</v>
      </c>
      <c r="R11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485-1125</v>
      </c>
      <c r="S112" s="157" t="str">
        <f>HYPERLINK("https://www.mouser.com/ProductDetail/" &amp;MouserListTable[[#This Row],[Mouser SKU]])</f>
        <v>https://www.mouser.com/ProductDetail/485-1125</v>
      </c>
      <c r="T112" s="152">
        <v>3</v>
      </c>
      <c r="U112" s="152">
        <v>1</v>
      </c>
      <c r="V112" s="152">
        <v>1</v>
      </c>
      <c r="W112" s="152">
        <f>MouserListTable[[#This Row],['#/Unit]]*FilterSpecs!$C$3+MouserListTable[[#This Row],[Extra]]</f>
        <v>0</v>
      </c>
      <c r="X112" s="152">
        <f>IF(MouserListTable[[#This Row],[Tag]]=FilterSpecs!$F$7,MouserListTable[[#This Row],['#/Unit]]*MouserListTable[[#This Row],[Price (USD)]],0)</f>
        <v>0</v>
      </c>
      <c r="Y112" s="152">
        <f>MouserListTable[[#This Row],[Tot '#]]*MouserListTable[[#This Row],[Price (USD)]]</f>
        <v>0</v>
      </c>
      <c r="Z112" s="146"/>
      <c r="AA112" s="153" t="str">
        <f>AdafruitListTable[[#This Row],[SKU]]</f>
        <v>PRT-08100</v>
      </c>
      <c r="AB112" s="153">
        <f>VALUE(AdafruitListTable[[#This Row],['# Initial]])</f>
        <v>0</v>
      </c>
      <c r="AD112" s="104" t="s">
        <v>2400</v>
      </c>
      <c r="AE112" s="104">
        <v>16</v>
      </c>
    </row>
    <row r="113" spans="1:31" s="153" customFormat="1" x14ac:dyDescent="0.25">
      <c r="A113" s="151" t="s">
        <v>890</v>
      </c>
      <c r="B113" s="151" t="s">
        <v>1871</v>
      </c>
      <c r="C113" s="150" t="s">
        <v>5</v>
      </c>
      <c r="D113" s="151" t="str">
        <f>IF(AdafruitListTable[[#This Row],[Vendor]]=FilterSpecs!$A$8,AdafruitListTable[[#This Row],[Mouser SKU]], AdafruitListTable[[#This Row],[Supplier SKU]])</f>
        <v>PRT-10651</v>
      </c>
      <c r="E113" s="152">
        <f>MouserListTable[[#This Row],[Tot '#]]-MouserListTable[[#This Row],['# Initial]]</f>
        <v>0</v>
      </c>
      <c r="F113" s="152">
        <f>IF(AND(MouserListTable[[#This Row],[Tag]]&lt;&gt;FilterSpecs!$F$12, MouserListTable[[#This Row],[Tag]]&lt;&gt;FilterSpecs!$F$9), MouserListTable[[#This Row],['#/Unit]]*FilterSpecs!$B$3+MouserListTable[[#This Row],[Extra Initial]],0)</f>
        <v>0</v>
      </c>
      <c r="G113" s="150" t="s">
        <v>1574</v>
      </c>
      <c r="H113" s="150" t="s">
        <v>1575</v>
      </c>
      <c r="I113" s="151" t="s">
        <v>1576</v>
      </c>
      <c r="J113" s="150">
        <v>1</v>
      </c>
      <c r="K113" s="154">
        <v>0.35</v>
      </c>
      <c r="L113" s="151" t="s">
        <v>1897</v>
      </c>
      <c r="M113" s="150"/>
      <c r="N113" s="154">
        <f>MouserListTable[[#This Row],['# Initial]]*MouserListTable[[#This Row],[Price (USD)]]</f>
        <v>0</v>
      </c>
      <c r="O113" s="151" t="s">
        <v>1573</v>
      </c>
      <c r="P113" s="150">
        <f t="shared" si="1"/>
        <v>100</v>
      </c>
      <c r="Q113" s="150" t="s">
        <v>5</v>
      </c>
      <c r="R11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474-COM-11477</v>
      </c>
      <c r="S113" s="157" t="str">
        <f>HYPERLINK("https://www.mouser.com/ProductDetail/" &amp;MouserListTable[[#This Row],[Mouser SKU]])</f>
        <v>https://www.mouser.com/ProductDetail/474-COM-11477</v>
      </c>
      <c r="T113" s="152">
        <v>2</v>
      </c>
      <c r="U113" s="152">
        <v>0</v>
      </c>
      <c r="V113" s="152">
        <v>0</v>
      </c>
      <c r="W113" s="152">
        <f>MouserListTable[[#This Row],['#/Unit]]*FilterSpecs!$C$3+MouserListTable[[#This Row],[Extra]]</f>
        <v>0</v>
      </c>
      <c r="X113" s="152">
        <f>IF(MouserListTable[[#This Row],[Tag]]=FilterSpecs!$F$7,MouserListTable[[#This Row],['#/Unit]]*MouserListTable[[#This Row],[Price (USD)]],0)</f>
        <v>0</v>
      </c>
      <c r="Y113" s="152">
        <f>MouserListTable[[#This Row],[Tot '#]]*MouserListTable[[#This Row],[Price (USD)]]</f>
        <v>0</v>
      </c>
      <c r="Z113" s="146"/>
      <c r="AA113" s="153" t="str">
        <f>AdafruitListTable[[#This Row],[SKU]]</f>
        <v>PRT-10651</v>
      </c>
      <c r="AB113" s="153">
        <f>VALUE(AdafruitListTable[[#This Row],['# Initial]])</f>
        <v>0</v>
      </c>
      <c r="AD113" s="153" t="s">
        <v>1573</v>
      </c>
      <c r="AE113" s="153">
        <v>10</v>
      </c>
    </row>
    <row r="114" spans="1:31" s="153" customFormat="1" x14ac:dyDescent="0.25">
      <c r="A114" s="151" t="s">
        <v>890</v>
      </c>
      <c r="B114" s="151" t="s">
        <v>1871</v>
      </c>
      <c r="C114" s="150" t="s">
        <v>5</v>
      </c>
      <c r="D114" s="151" t="str">
        <f>IF(AdafruitListTable[[#This Row],[Vendor]]=FilterSpecs!$A$8,AdafruitListTable[[#This Row],[Mouser SKU]], AdafruitListTable[[#This Row],[Supplier SKU]])</f>
        <v>PRT-10650</v>
      </c>
      <c r="E114" s="152">
        <f>MouserListTable[[#This Row],[Tot '#]]-MouserListTable[[#This Row],['# Initial]]</f>
        <v>1</v>
      </c>
      <c r="F114" s="152">
        <f>IF(AND(MouserListTable[[#This Row],[Tag]]&lt;&gt;FilterSpecs!$F$12, MouserListTable[[#This Row],[Tag]]&lt;&gt;FilterSpecs!$F$9), MouserListTable[[#This Row],['#/Unit]]*FilterSpecs!$B$3+MouserListTable[[#This Row],[Extra Initial]],0)</f>
        <v>5</v>
      </c>
      <c r="G114" s="150" t="s">
        <v>1570</v>
      </c>
      <c r="H114" s="150" t="s">
        <v>1571</v>
      </c>
      <c r="I114" s="151" t="s">
        <v>1572</v>
      </c>
      <c r="J114" s="150">
        <v>1</v>
      </c>
      <c r="K114" s="154">
        <v>0.5</v>
      </c>
      <c r="L114" s="151" t="s">
        <v>1897</v>
      </c>
      <c r="M114" s="150"/>
      <c r="N114" s="154">
        <f>MouserListTable[[#This Row],['# Initial]]*MouserListTable[[#This Row],[Price (USD)]]</f>
        <v>12.5</v>
      </c>
      <c r="O114" s="151" t="s">
        <v>1569</v>
      </c>
      <c r="P114" s="150">
        <f t="shared" si="1"/>
        <v>101</v>
      </c>
      <c r="Q114" s="150" t="s">
        <v>5</v>
      </c>
      <c r="R11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485-743</v>
      </c>
      <c r="S114" s="157" t="str">
        <f>HYPERLINK("https://www.mouser.com/ProductDetail/" &amp;MouserListTable[[#This Row],[Mouser SKU]])</f>
        <v>https://www.mouser.com/ProductDetail/485-743</v>
      </c>
      <c r="T114" s="152">
        <v>2</v>
      </c>
      <c r="U114" s="152">
        <v>0</v>
      </c>
      <c r="V114" s="152">
        <v>0</v>
      </c>
      <c r="W114" s="152">
        <f>MouserListTable[[#This Row],['#/Unit]]*FilterSpecs!$C$3+MouserListTable[[#This Row],[Extra]]</f>
        <v>6</v>
      </c>
      <c r="X114" s="152">
        <f>IF(MouserListTable[[#This Row],[Tag]]=FilterSpecs!$F$7,MouserListTable[[#This Row],['#/Unit]]*MouserListTable[[#This Row],[Price (USD)]],0)</f>
        <v>2.5</v>
      </c>
      <c r="Y114" s="152">
        <f>MouserListTable[[#This Row],[Tot '#]]*MouserListTable[[#This Row],[Price (USD)]]</f>
        <v>15</v>
      </c>
      <c r="Z114" s="146"/>
      <c r="AA114" s="153" t="str">
        <f>AdafruitListTable[[#This Row],[SKU]]</f>
        <v>PRT-10650</v>
      </c>
      <c r="AB114" s="153">
        <f>VALUE(AdafruitListTable[[#This Row],['# Initial]])</f>
        <v>5</v>
      </c>
      <c r="AD114" s="153" t="s">
        <v>1569</v>
      </c>
      <c r="AE114" s="153">
        <v>10</v>
      </c>
    </row>
    <row r="115" spans="1:31" s="153" customFormat="1" x14ac:dyDescent="0.25">
      <c r="A115" s="151" t="s">
        <v>890</v>
      </c>
      <c r="B115" s="151" t="s">
        <v>1874</v>
      </c>
      <c r="C115" s="150" t="s">
        <v>5</v>
      </c>
      <c r="D115" s="151" t="str">
        <f>IF(AdafruitListTable[[#This Row],[Vendor]]=FilterSpecs!$A$8,AdafruitListTable[[#This Row],[Mouser SKU]], AdafruitListTable[[#This Row],[Supplier SKU]])</f>
        <v>PRT-08432</v>
      </c>
      <c r="E115" s="152">
        <f>MouserListTable[[#This Row],[Tot '#]]-MouserListTable[[#This Row],['# Initial]]</f>
        <v>0</v>
      </c>
      <c r="F115" s="152">
        <f>IF(AND(MouserListTable[[#This Row],[Tag]]&lt;&gt;FilterSpecs!$F$12, MouserListTable[[#This Row],[Tag]]&lt;&gt;FilterSpecs!$F$9), MouserListTable[[#This Row],['#/Unit]]*FilterSpecs!$B$3+MouserListTable[[#This Row],[Extra Initial]],0)</f>
        <v>0</v>
      </c>
      <c r="G115" s="150" t="s">
        <v>894</v>
      </c>
      <c r="H115" s="150" t="s">
        <v>895</v>
      </c>
      <c r="I115" s="151" t="s">
        <v>896</v>
      </c>
      <c r="J115" s="150">
        <v>1</v>
      </c>
      <c r="K115" s="154">
        <v>0.95</v>
      </c>
      <c r="L115" s="151" t="s">
        <v>1897</v>
      </c>
      <c r="M115" s="150"/>
      <c r="N115" s="154">
        <f>MouserListTable[[#This Row],['# Initial]]*MouserListTable[[#This Row],[Price (USD)]]</f>
        <v>0</v>
      </c>
      <c r="O115" s="151" t="s">
        <v>893</v>
      </c>
      <c r="P115" s="150">
        <f t="shared" si="1"/>
        <v>102</v>
      </c>
      <c r="Q115" s="150" t="s">
        <v>5</v>
      </c>
      <c r="R11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474-PRT-10288</v>
      </c>
      <c r="S115" s="157" t="str">
        <f>HYPERLINK("https://www.mouser.com/ProductDetail/" &amp;MouserListTable[[#This Row],[Mouser SKU]])</f>
        <v>https://www.mouser.com/ProductDetail/474-PRT-10288</v>
      </c>
      <c r="T115" s="152">
        <v>2</v>
      </c>
      <c r="U115" s="152">
        <v>0</v>
      </c>
      <c r="V115" s="152">
        <v>0</v>
      </c>
      <c r="W115" s="152">
        <f>MouserListTable[[#This Row],['#/Unit]]*FilterSpecs!$C$3+MouserListTable[[#This Row],[Extra]]</f>
        <v>0</v>
      </c>
      <c r="X115" s="152">
        <f>IF(MouserListTable[[#This Row],[Tag]]=FilterSpecs!$F$7,MouserListTable[[#This Row],['#/Unit]]*MouserListTable[[#This Row],[Price (USD)]],0)</f>
        <v>0</v>
      </c>
      <c r="Y115" s="152">
        <f>MouserListTable[[#This Row],[Tot '#]]*MouserListTable[[#This Row],[Price (USD)]]</f>
        <v>0</v>
      </c>
      <c r="Z115" s="146"/>
      <c r="AA115" s="153" t="str">
        <f>AdafruitListTable[[#This Row],[SKU]]</f>
        <v>PRT-08432</v>
      </c>
      <c r="AB115" s="153">
        <f>VALUE(AdafruitListTable[[#This Row],['# Initial]])</f>
        <v>0</v>
      </c>
      <c r="AD115" s="153" t="s">
        <v>893</v>
      </c>
      <c r="AE115" s="153">
        <v>10</v>
      </c>
    </row>
    <row r="116" spans="1:31" s="153" customFormat="1" x14ac:dyDescent="0.25">
      <c r="A116" s="151" t="s">
        <v>890</v>
      </c>
      <c r="B116" s="151" t="s">
        <v>1874</v>
      </c>
      <c r="C116" s="150" t="s">
        <v>5</v>
      </c>
      <c r="D116" s="151" t="str">
        <f>IF(AdafruitListTable[[#This Row],[Vendor]]=FilterSpecs!$A$8,AdafruitListTable[[#This Row],[Mouser SKU]], AdafruitListTable[[#This Row],[Supplier SKU]])</f>
        <v>PRT-08433</v>
      </c>
      <c r="E116" s="152">
        <f>MouserListTable[[#This Row],[Tot '#]]-MouserListTable[[#This Row],['# Initial]]</f>
        <v>0</v>
      </c>
      <c r="F116" s="152">
        <f>IF(AND(MouserListTable[[#This Row],[Tag]]&lt;&gt;FilterSpecs!$F$12, MouserListTable[[#This Row],[Tag]]&lt;&gt;FilterSpecs!$F$9), MouserListTable[[#This Row],['#/Unit]]*FilterSpecs!$B$3+MouserListTable[[#This Row],[Extra Initial]],0)</f>
        <v>0</v>
      </c>
      <c r="G116" s="150" t="s">
        <v>1401</v>
      </c>
      <c r="H116" s="150" t="s">
        <v>1402</v>
      </c>
      <c r="I116" s="151" t="s">
        <v>1403</v>
      </c>
      <c r="J116" s="150">
        <v>1</v>
      </c>
      <c r="K116" s="154">
        <v>0.95</v>
      </c>
      <c r="L116" s="151" t="s">
        <v>1897</v>
      </c>
      <c r="M116" s="150"/>
      <c r="N116" s="154">
        <f>MouserListTable[[#This Row],['# Initial]]*MouserListTable[[#This Row],[Price (USD)]]</f>
        <v>0</v>
      </c>
      <c r="O116" s="151" t="s">
        <v>1400</v>
      </c>
      <c r="P116" s="150">
        <f t="shared" si="1"/>
        <v>103</v>
      </c>
      <c r="Q116" s="150" t="s">
        <v>5</v>
      </c>
      <c r="R11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474-PRT-10287</v>
      </c>
      <c r="S116" s="157" t="str">
        <f>HYPERLINK("https://www.mouser.com/ProductDetail/" &amp;MouserListTable[[#This Row],[Mouser SKU]])</f>
        <v>https://www.mouser.com/ProductDetail/474-PRT-10287</v>
      </c>
      <c r="T116" s="152">
        <v>2</v>
      </c>
      <c r="U116" s="152">
        <v>0</v>
      </c>
      <c r="V116" s="152">
        <v>0</v>
      </c>
      <c r="W116" s="152">
        <f>MouserListTable[[#This Row],['#/Unit]]*FilterSpecs!$C$3+MouserListTable[[#This Row],[Extra]]</f>
        <v>0</v>
      </c>
      <c r="X116" s="152">
        <f>IF(MouserListTable[[#This Row],[Tag]]=FilterSpecs!$F$7,MouserListTable[[#This Row],['#/Unit]]*MouserListTable[[#This Row],[Price (USD)]],0)</f>
        <v>0</v>
      </c>
      <c r="Y116" s="152">
        <f>MouserListTable[[#This Row],[Tot '#]]*MouserListTable[[#This Row],[Price (USD)]]</f>
        <v>0</v>
      </c>
      <c r="Z116" s="146"/>
      <c r="AA116" s="153" t="str">
        <f>AdafruitListTable[[#This Row],[SKU]]</f>
        <v>PRT-08433</v>
      </c>
      <c r="AB116" s="153">
        <f>VALUE(AdafruitListTable[[#This Row],['# Initial]])</f>
        <v>0</v>
      </c>
      <c r="AD116" s="153" t="s">
        <v>1400</v>
      </c>
      <c r="AE116" s="153">
        <v>10</v>
      </c>
    </row>
    <row r="117" spans="1:31" s="104" customFormat="1" x14ac:dyDescent="0.25">
      <c r="A117" s="151" t="s">
        <v>890</v>
      </c>
      <c r="B117" s="151" t="s">
        <v>1874</v>
      </c>
      <c r="C117" s="150" t="s">
        <v>5</v>
      </c>
      <c r="D117" s="151" t="str">
        <f>IF(AdafruitListTable[[#This Row],[Vendor]]=FilterSpecs!$A$8,AdafruitListTable[[#This Row],[Mouser SKU]], AdafruitListTable[[#This Row],[Supplier SKU]])</f>
        <v>PRT-08077</v>
      </c>
      <c r="E117" s="152">
        <f>MouserListTable[[#This Row],[Tot '#]]-MouserListTable[[#This Row],['# Initial]]</f>
        <v>0</v>
      </c>
      <c r="F117" s="152">
        <f>IF(AND(MouserListTable[[#This Row],[Tag]]&lt;&gt;FilterSpecs!$F$12, MouserListTable[[#This Row],[Tag]]&lt;&gt;FilterSpecs!$F$9), MouserListTable[[#This Row],['#/Unit]]*FilterSpecs!$B$3+MouserListTable[[#This Row],[Extra Initial]],0)</f>
        <v>0</v>
      </c>
      <c r="G117" s="150" t="s">
        <v>443</v>
      </c>
      <c r="H117" s="150" t="s">
        <v>444</v>
      </c>
      <c r="I117" s="151" t="s">
        <v>445</v>
      </c>
      <c r="J117" s="150">
        <v>1</v>
      </c>
      <c r="K117" s="154">
        <v>1.5</v>
      </c>
      <c r="L117" s="151" t="s">
        <v>1896</v>
      </c>
      <c r="M117" s="150"/>
      <c r="N117" s="154">
        <f>MouserListTable[[#This Row],['# Initial]]*MouserListTable[[#This Row],[Price (USD)]]</f>
        <v>0</v>
      </c>
      <c r="O117" s="151" t="s">
        <v>442</v>
      </c>
      <c r="P117" s="150">
        <f t="shared" si="1"/>
        <v>104</v>
      </c>
      <c r="Q117" s="150" t="s">
        <v>5</v>
      </c>
      <c r="R11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485-368</v>
      </c>
      <c r="S117" s="157" t="str">
        <f>HYPERLINK("https://www.mouser.com/ProductDetail/" &amp;MouserListTable[[#This Row],[Mouser SKU]])</f>
        <v>https://www.mouser.com/ProductDetail/485-368</v>
      </c>
      <c r="T117" s="152">
        <v>0</v>
      </c>
      <c r="U117" s="152">
        <v>2</v>
      </c>
      <c r="V117" s="152">
        <v>2</v>
      </c>
      <c r="W117" s="152">
        <f>MouserListTable[[#This Row],['#/Unit]]*FilterSpecs!$C$3+MouserListTable[[#This Row],[Extra]]</f>
        <v>0</v>
      </c>
      <c r="X117" s="152">
        <f>IF(MouserListTable[[#This Row],[Tag]]=FilterSpecs!$F$7,MouserListTable[[#This Row],['#/Unit]]*MouserListTable[[#This Row],[Price (USD)]],0)</f>
        <v>0</v>
      </c>
      <c r="Y117" s="152">
        <f>MouserListTable[[#This Row],[Tot '#]]*MouserListTable[[#This Row],[Price (USD)]]</f>
        <v>0</v>
      </c>
      <c r="Z117" s="146"/>
      <c r="AA117" s="153" t="str">
        <f>AdafruitListTable[[#This Row],[SKU]]</f>
        <v>PRT-08077</v>
      </c>
      <c r="AB117" s="153">
        <f>VALUE(AdafruitListTable[[#This Row],['# Initial]])</f>
        <v>0</v>
      </c>
      <c r="AD117" s="104" t="s">
        <v>442</v>
      </c>
      <c r="AE117" s="104">
        <v>2</v>
      </c>
    </row>
    <row r="118" spans="1:31" s="104" customFormat="1" x14ac:dyDescent="0.25">
      <c r="A118" s="153" t="s">
        <v>890</v>
      </c>
      <c r="B118" s="153" t="s">
        <v>1875</v>
      </c>
      <c r="C118" s="150" t="s">
        <v>5</v>
      </c>
      <c r="D118" s="151" t="str">
        <f>IF(AdafruitListTable[[#This Row],[Vendor]]=FilterSpecs!$A$8,AdafruitListTable[[#This Row],[Mouser SKU]], AdafruitListTable[[#This Row],[Supplier SKU]])</f>
        <v>COM-14194</v>
      </c>
      <c r="E118" s="152">
        <f>MouserListTable[[#This Row],[Tot '#]]-MouserListTable[[#This Row],['# Initial]]</f>
        <v>0</v>
      </c>
      <c r="F118" s="152">
        <f>IF(AND(MouserListTable[[#This Row],[Tag]]&lt;&gt;FilterSpecs!$F$12, MouserListTable[[#This Row],[Tag]]&lt;&gt;FilterSpecs!$F$9), MouserListTable[[#This Row],['#/Unit]]*FilterSpecs!$B$3+MouserListTable[[#This Row],[Extra Initial]],0)</f>
        <v>0</v>
      </c>
      <c r="G118" s="150" t="s">
        <v>697</v>
      </c>
      <c r="H118" s="150" t="s">
        <v>698</v>
      </c>
      <c r="I118" s="151" t="s">
        <v>699</v>
      </c>
      <c r="J118" s="150">
        <v>1</v>
      </c>
      <c r="K118" s="154">
        <v>1.95</v>
      </c>
      <c r="L118" s="151" t="s">
        <v>1897</v>
      </c>
      <c r="M118" s="150"/>
      <c r="N118" s="154">
        <f>MouserListTable[[#This Row],['# Initial]]*MouserListTable[[#This Row],[Price (USD)]]</f>
        <v>0</v>
      </c>
      <c r="O118" s="151" t="s">
        <v>696</v>
      </c>
      <c r="P118" s="150">
        <f t="shared" si="1"/>
        <v>105</v>
      </c>
      <c r="Q118" s="150" t="s">
        <v>5</v>
      </c>
      <c r="R11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485-369</v>
      </c>
      <c r="S118" s="157" t="str">
        <f>HYPERLINK("https://www.mouser.com/ProductDetail/" &amp;MouserListTable[[#This Row],[Mouser SKU]])</f>
        <v>https://www.mouser.com/ProductDetail/485-369</v>
      </c>
      <c r="T118" s="152">
        <f>SUM(T48:T48)</f>
        <v>1</v>
      </c>
      <c r="U118" s="152">
        <f>SUM(U48:U48)</f>
        <v>0</v>
      </c>
      <c r="V118" s="152">
        <f>SUM(V48:V48)</f>
        <v>0</v>
      </c>
      <c r="W118" s="152">
        <f>MouserListTable[[#This Row],['#/Unit]]*FilterSpecs!$C$3+MouserListTable[[#This Row],[Extra]]</f>
        <v>0</v>
      </c>
      <c r="X118" s="152">
        <f>IF(MouserListTable[[#This Row],[Tag]]=FilterSpecs!$F$7,MouserListTable[[#This Row],['#/Unit]]*MouserListTable[[#This Row],[Price (USD)]],0)</f>
        <v>0</v>
      </c>
      <c r="Y118" s="152">
        <f>MouserListTable[[#This Row],[Tot '#]]*MouserListTable[[#This Row],[Price (USD)]]</f>
        <v>0</v>
      </c>
      <c r="Z118" s="146"/>
      <c r="AA118" s="153" t="str">
        <f>AdafruitListTable[[#This Row],[SKU]]</f>
        <v>COM-14194</v>
      </c>
      <c r="AB118" s="153">
        <f>VALUE(AdafruitListTable[[#This Row],['# Initial]])</f>
        <v>0</v>
      </c>
      <c r="AD118" s="104" t="s">
        <v>696</v>
      </c>
      <c r="AE118" s="104">
        <v>5</v>
      </c>
    </row>
    <row r="119" spans="1:31" s="104" customFormat="1" x14ac:dyDescent="0.25">
      <c r="A119" s="151" t="s">
        <v>890</v>
      </c>
      <c r="B119" s="151" t="s">
        <v>1875</v>
      </c>
      <c r="C119" s="150" t="s">
        <v>5</v>
      </c>
      <c r="D119" s="151" t="str">
        <f>IF(AdafruitListTable[[#This Row],[Vendor]]=FilterSpecs!$A$8,AdafruitListTable[[#This Row],[Mouser SKU]], AdafruitListTable[[#This Row],[Supplier SKU]])</f>
        <v>COM-14195</v>
      </c>
      <c r="E119" s="152">
        <f>MouserListTable[[#This Row],[Tot '#]]-MouserListTable[[#This Row],['# Initial]]</f>
        <v>2</v>
      </c>
      <c r="F119" s="152">
        <f>IF(AND(MouserListTable[[#This Row],[Tag]]&lt;&gt;FilterSpecs!$F$12, MouserListTable[[#This Row],[Tag]]&lt;&gt;FilterSpecs!$F$9), MouserListTable[[#This Row],['#/Unit]]*FilterSpecs!$B$3+MouserListTable[[#This Row],[Extra Initial]],0)</f>
        <v>0</v>
      </c>
      <c r="G119" s="150" t="s">
        <v>693</v>
      </c>
      <c r="H119" s="150" t="s">
        <v>694</v>
      </c>
      <c r="I119" s="151" t="s">
        <v>695</v>
      </c>
      <c r="J119" s="150">
        <v>1</v>
      </c>
      <c r="K119" s="154">
        <v>1.95</v>
      </c>
      <c r="L119" s="151" t="s">
        <v>1897</v>
      </c>
      <c r="M119" s="150"/>
      <c r="N119" s="154">
        <f>MouserListTable[[#This Row],['# Initial]]*MouserListTable[[#This Row],[Price (USD)]]</f>
        <v>0</v>
      </c>
      <c r="O119" s="151" t="s">
        <v>692</v>
      </c>
      <c r="P119" s="150">
        <f t="shared" si="1"/>
        <v>106</v>
      </c>
      <c r="Q119" s="150" t="s">
        <v>5</v>
      </c>
      <c r="R11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474-PRT-13126</v>
      </c>
      <c r="S119" s="157" t="str">
        <f>HYPERLINK("https://www.mouser.com/ProductDetail/" &amp;MouserListTable[[#This Row],[Mouser SKU]])</f>
        <v>https://www.mouser.com/ProductDetail/474-PRT-13126</v>
      </c>
      <c r="T119" s="152">
        <f>SUM(T48:T48)</f>
        <v>1</v>
      </c>
      <c r="U119" s="152">
        <f>SUM(U48:U48)</f>
        <v>0</v>
      </c>
      <c r="V119" s="152">
        <f>SUM(V48:V48)</f>
        <v>0</v>
      </c>
      <c r="W119" s="152">
        <f>MouserListTable[[#This Row],['#/Unit]]*FilterSpecs!$C$3+MouserListTable[[#This Row],[Extra]]</f>
        <v>2</v>
      </c>
      <c r="X119" s="152">
        <f>IF(MouserListTable[[#This Row],[Tag]]=FilterSpecs!$F$7,MouserListTable[[#This Row],['#/Unit]]*MouserListTable[[#This Row],[Price (USD)]],0)</f>
        <v>0</v>
      </c>
      <c r="Y119" s="152">
        <f>MouserListTable[[#This Row],[Tot '#]]*MouserListTable[[#This Row],[Price (USD)]]</f>
        <v>1.9</v>
      </c>
      <c r="Z119" s="146"/>
      <c r="AA119" s="153" t="str">
        <f>AdafruitListTable[[#This Row],[SKU]]</f>
        <v>COM-14195</v>
      </c>
      <c r="AB119" s="153">
        <f>VALUE(AdafruitListTable[[#This Row],['# Initial]])</f>
        <v>0</v>
      </c>
      <c r="AD119" s="104" t="s">
        <v>692</v>
      </c>
      <c r="AE119" s="104">
        <v>5</v>
      </c>
    </row>
    <row r="120" spans="1:31" s="153" customFormat="1" x14ac:dyDescent="0.25">
      <c r="A120" s="151" t="s">
        <v>890</v>
      </c>
      <c r="B120" s="151" t="s">
        <v>1875</v>
      </c>
      <c r="C120" s="150" t="s">
        <v>1884</v>
      </c>
      <c r="D120" s="151">
        <f>IF(AdafruitListTable[[#This Row],[Vendor]]=FilterSpecs!$A$8,AdafruitListTable[[#This Row],[Mouser SKU]], AdafruitListTable[[#This Row],[Supplier SKU]])</f>
        <v>3525</v>
      </c>
      <c r="E120" s="152">
        <f>MouserListTable[[#This Row],[Tot '#]]-MouserListTable[[#This Row],['# Initial]]</f>
        <v>1</v>
      </c>
      <c r="F120" s="152">
        <f>IF(AND(MouserListTable[[#This Row],[Tag]]&lt;&gt;FilterSpecs!$F$12, MouserListTable[[#This Row],[Tag]]&lt;&gt;FilterSpecs!$F$9), MouserListTable[[#This Row],['#/Unit]]*FilterSpecs!$B$3+MouserListTable[[#This Row],[Extra Initial]],0)</f>
        <v>5</v>
      </c>
      <c r="G120" s="150"/>
      <c r="H120" s="150"/>
      <c r="I120" s="151" t="s">
        <v>2125</v>
      </c>
      <c r="K120" s="154">
        <v>0.95</v>
      </c>
      <c r="L120" s="151" t="s">
        <v>1896</v>
      </c>
      <c r="M120" s="151"/>
      <c r="N120" s="154">
        <f>MouserListTable[[#This Row],['# Initial]]*MouserListTable[[#This Row],[Price (USD)]]</f>
        <v>4.75</v>
      </c>
      <c r="O120" s="151">
        <v>3525</v>
      </c>
      <c r="P120" s="150">
        <f t="shared" si="1"/>
        <v>107</v>
      </c>
      <c r="Q120" s="150" t="s">
        <v>1884</v>
      </c>
      <c r="R12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474-PRT-11476</v>
      </c>
      <c r="S120" s="157" t="str">
        <f>HYPERLINK("https://www.mouser.com/ProductDetail/" &amp;MouserListTable[[#This Row],[Mouser SKU]])</f>
        <v>https://www.mouser.com/ProductDetail/474-PRT-11476</v>
      </c>
      <c r="T120" s="152">
        <v>0</v>
      </c>
      <c r="U120" s="152">
        <v>1</v>
      </c>
      <c r="V120" s="152">
        <v>1</v>
      </c>
      <c r="W120" s="152">
        <f>MouserListTable[[#This Row],['#/Unit]]*FilterSpecs!$C$3+MouserListTable[[#This Row],[Extra]]</f>
        <v>6</v>
      </c>
      <c r="X120" s="152">
        <f>IF(MouserListTable[[#This Row],[Tag]]=FilterSpecs!$F$7,MouserListTable[[#This Row],['#/Unit]]*MouserListTable[[#This Row],[Price (USD)]],0)</f>
        <v>0.95</v>
      </c>
      <c r="Y120" s="152">
        <f>MouserListTable[[#This Row],[Tot '#]]*MouserListTable[[#This Row],[Price (USD)]]</f>
        <v>5.6999999999999993</v>
      </c>
      <c r="Z120" s="146"/>
      <c r="AA120" s="153">
        <f>AdafruitListTable[[#This Row],[SKU]]</f>
        <v>3525</v>
      </c>
      <c r="AB120" s="153">
        <f>VALUE(AdafruitListTable[[#This Row],['# Initial]])</f>
        <v>5</v>
      </c>
      <c r="AD120" s="153">
        <v>3525</v>
      </c>
      <c r="AE120" s="153">
        <v>1</v>
      </c>
    </row>
    <row r="121" spans="1:31" s="153" customFormat="1" x14ac:dyDescent="0.25">
      <c r="A121" s="150" t="s">
        <v>890</v>
      </c>
      <c r="B121" s="151" t="s">
        <v>1603</v>
      </c>
      <c r="C121" s="150" t="s">
        <v>1884</v>
      </c>
      <c r="D121" s="151" t="str">
        <f>IF(AdafruitListTable[[#This Row],[Vendor]]=FilterSpecs!$A$8,AdafruitListTable[[#This Row],[Mouser SKU]], AdafruitListTable[[#This Row],[Supplier SKU]])</f>
        <v>2975</v>
      </c>
      <c r="E121" s="152">
        <f>MouserListTable[[#This Row],[Tot '#]]-MouserListTable[[#This Row],['# Initial]]</f>
        <v>4</v>
      </c>
      <c r="F121" s="152">
        <f>IF(AND(MouserListTable[[#This Row],[Tag]]&lt;&gt;FilterSpecs!$F$12, MouserListTable[[#This Row],[Tag]]&lt;&gt;FilterSpecs!$F$9), MouserListTable[[#This Row],['#/Unit]]*FilterSpecs!$B$3+MouserListTable[[#This Row],[Extra Initial]],0)</f>
        <v>0</v>
      </c>
      <c r="G121" s="150"/>
      <c r="H121" s="150"/>
      <c r="I121" s="151" t="s">
        <v>2129</v>
      </c>
      <c r="K121" s="154">
        <v>19.95</v>
      </c>
      <c r="L121" s="151" t="s">
        <v>1896</v>
      </c>
      <c r="M121" s="151"/>
      <c r="N121" s="154">
        <f>MouserListTable[[#This Row],['# Initial]]*MouserListTable[[#This Row],[Price (USD)]]</f>
        <v>0</v>
      </c>
      <c r="O121" s="151" t="s">
        <v>2128</v>
      </c>
      <c r="P121" s="150">
        <f t="shared" si="1"/>
        <v>108</v>
      </c>
      <c r="Q121" s="150" t="s">
        <v>1884</v>
      </c>
      <c r="R12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474-PRT-11474</v>
      </c>
      <c r="S121" s="157" t="str">
        <f>HYPERLINK("https://www.mouser.com/ProductDetail/" &amp;MouserListTable[[#This Row],[Mouser SKU]])</f>
        <v>https://www.mouser.com/ProductDetail/474-PRT-11474</v>
      </c>
      <c r="T121" s="152">
        <v>0</v>
      </c>
      <c r="U121" s="152">
        <v>1</v>
      </c>
      <c r="V121" s="152">
        <v>1</v>
      </c>
      <c r="W121" s="152">
        <f>MouserListTable[[#This Row],['#/Unit]]*FilterSpecs!$C$3+MouserListTable[[#This Row],[Extra]]</f>
        <v>4</v>
      </c>
      <c r="X121" s="152">
        <f>IF(MouserListTable[[#This Row],[Tag]]=FilterSpecs!$F$7,MouserListTable[[#This Row],['#/Unit]]*MouserListTable[[#This Row],[Price (USD)]],0)</f>
        <v>0</v>
      </c>
      <c r="Y121" s="152">
        <f>MouserListTable[[#This Row],[Tot '#]]*MouserListTable[[#This Row],[Price (USD)]]</f>
        <v>1.2</v>
      </c>
      <c r="Z121" s="146"/>
      <c r="AA121" s="153" t="str">
        <f>AdafruitListTable[[#This Row],[SKU]]</f>
        <v>2975</v>
      </c>
      <c r="AB121" s="153">
        <f>VALUE(AdafruitListTable[[#This Row],['# Initial]])</f>
        <v>0</v>
      </c>
      <c r="AD121" s="153" t="s">
        <v>2128</v>
      </c>
      <c r="AE121" s="153">
        <v>1</v>
      </c>
    </row>
    <row r="122" spans="1:31" s="153" customFormat="1" x14ac:dyDescent="0.25">
      <c r="A122" s="150" t="s">
        <v>890</v>
      </c>
      <c r="B122" s="151" t="s">
        <v>1603</v>
      </c>
      <c r="C122" s="150" t="s">
        <v>5</v>
      </c>
      <c r="D122" s="151" t="str">
        <f>IF(AdafruitListTable[[#This Row],[Vendor]]=FilterSpecs!$A$8,AdafruitListTable[[#This Row],[Mouser SKU]], AdafruitListTable[[#This Row],[Supplier SKU]])</f>
        <v>COM-11078</v>
      </c>
      <c r="E122" s="152">
        <f>MouserListTable[[#This Row],[Tot '#]]-MouserListTable[[#This Row],['# Initial]]</f>
        <v>0</v>
      </c>
      <c r="F122" s="152">
        <f>IF(AND(MouserListTable[[#This Row],[Tag]]&lt;&gt;FilterSpecs!$F$12, MouserListTable[[#This Row],[Tag]]&lt;&gt;FilterSpecs!$F$9), MouserListTable[[#This Row],['#/Unit]]*FilterSpecs!$B$3+MouserListTable[[#This Row],[Extra Initial]],0)</f>
        <v>0</v>
      </c>
      <c r="G122" s="150" t="s">
        <v>385</v>
      </c>
      <c r="H122" s="150" t="s">
        <v>386</v>
      </c>
      <c r="I122" s="151" t="s">
        <v>387</v>
      </c>
      <c r="J122" s="150">
        <v>1</v>
      </c>
      <c r="K122" s="154">
        <v>0.5</v>
      </c>
      <c r="L122" s="151" t="s">
        <v>1897</v>
      </c>
      <c r="M122" s="150"/>
      <c r="N122" s="154">
        <f>MouserListTable[[#This Row],['# Initial]]*MouserListTable[[#This Row],[Price (USD)]]</f>
        <v>0</v>
      </c>
      <c r="O122" s="151" t="s">
        <v>384</v>
      </c>
      <c r="P122" s="150">
        <f t="shared" si="1"/>
        <v>109</v>
      </c>
      <c r="Q122" s="150" t="s">
        <v>5</v>
      </c>
      <c r="R12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485-1829</v>
      </c>
      <c r="S122" s="157" t="str">
        <f>HYPERLINK("https://www.mouser.com/ProductDetail/" &amp;MouserListTable[[#This Row],[Mouser SKU]])</f>
        <v>https://www.mouser.com/ProductDetail/485-1829</v>
      </c>
      <c r="T122" s="152">
        <v>1</v>
      </c>
      <c r="U122" s="152">
        <v>0</v>
      </c>
      <c r="V122" s="152">
        <v>0</v>
      </c>
      <c r="W122" s="152">
        <f>MouserListTable[[#This Row],['#/Unit]]*FilterSpecs!$C$3+MouserListTable[[#This Row],[Extra]]</f>
        <v>0</v>
      </c>
      <c r="X122" s="152">
        <f>IF(MouserListTable[[#This Row],[Tag]]=FilterSpecs!$F$7,MouserListTable[[#This Row],['#/Unit]]*MouserListTable[[#This Row],[Price (USD)]],0)</f>
        <v>0</v>
      </c>
      <c r="Y122" s="152">
        <f>MouserListTable[[#This Row],[Tot '#]]*MouserListTable[[#This Row],[Price (USD)]]</f>
        <v>0</v>
      </c>
      <c r="Z122" s="146"/>
      <c r="AA122" s="153" t="str">
        <f>AdafruitListTable[[#This Row],[SKU]]</f>
        <v>COM-11078</v>
      </c>
      <c r="AB122" s="153">
        <f>VALUE(AdafruitListTable[[#This Row],['# Initial]])</f>
        <v>0</v>
      </c>
      <c r="AD122" s="153" t="s">
        <v>384</v>
      </c>
      <c r="AE122" s="153">
        <v>5</v>
      </c>
    </row>
    <row r="123" spans="1:31" s="153" customFormat="1" x14ac:dyDescent="0.25">
      <c r="A123" s="150" t="s">
        <v>890</v>
      </c>
      <c r="B123" s="151" t="s">
        <v>1603</v>
      </c>
      <c r="C123" s="150" t="s">
        <v>5</v>
      </c>
      <c r="D123" s="151" t="str">
        <f>IF(AdafruitListTable[[#This Row],[Vendor]]=FilterSpecs!$A$8,AdafruitListTable[[#This Row],[Mouser SKU]], AdafruitListTable[[#This Row],[Supplier SKU]])</f>
        <v>COM-00526</v>
      </c>
      <c r="E123" s="152">
        <f>MouserListTable[[#This Row],[Tot '#]]-MouserListTable[[#This Row],['# Initial]]</f>
        <v>0</v>
      </c>
      <c r="F123" s="152">
        <f>IF(AND(MouserListTable[[#This Row],[Tag]]&lt;&gt;FilterSpecs!$F$12, MouserListTable[[#This Row],[Tag]]&lt;&gt;FilterSpecs!$F$9), MouserListTable[[#This Row],['#/Unit]]*FilterSpecs!$B$3+MouserListTable[[#This Row],[Extra Initial]],0)</f>
        <v>0</v>
      </c>
      <c r="G123" s="150" t="s">
        <v>373</v>
      </c>
      <c r="H123" s="150" t="s">
        <v>374</v>
      </c>
      <c r="I123" s="151" t="s">
        <v>375</v>
      </c>
      <c r="J123" s="150">
        <v>1</v>
      </c>
      <c r="K123" s="154">
        <v>1.95</v>
      </c>
      <c r="L123" s="151" t="s">
        <v>1897</v>
      </c>
      <c r="M123" s="150"/>
      <c r="N123" s="154">
        <f>MouserListTable[[#This Row],['# Initial]]*MouserListTable[[#This Row],[Price (USD)]]</f>
        <v>0</v>
      </c>
      <c r="O123" s="151" t="s">
        <v>372</v>
      </c>
      <c r="P123" s="150">
        <f t="shared" si="1"/>
        <v>110</v>
      </c>
      <c r="Q123" s="150" t="s">
        <v>5</v>
      </c>
      <c r="R12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485-1388</v>
      </c>
      <c r="S123" s="157" t="str">
        <f>HYPERLINK("https://www.mouser.com/ProductDetail/" &amp;MouserListTable[[#This Row],[Mouser SKU]])</f>
        <v>https://www.mouser.com/ProductDetail/485-1388</v>
      </c>
      <c r="T123" s="152">
        <v>1</v>
      </c>
      <c r="U123" s="152">
        <v>0</v>
      </c>
      <c r="V123" s="152">
        <v>0</v>
      </c>
      <c r="W123" s="152">
        <f>MouserListTable[[#This Row],['#/Unit]]*FilterSpecs!$C$3+MouserListTable[[#This Row],[Extra]]</f>
        <v>0</v>
      </c>
      <c r="X123" s="152">
        <f>IF(MouserListTable[[#This Row],[Tag]]=FilterSpecs!$F$7,MouserListTable[[#This Row],['#/Unit]]*MouserListTable[[#This Row],[Price (USD)]],0)</f>
        <v>0</v>
      </c>
      <c r="Y123" s="152">
        <f>MouserListTable[[#This Row],[Tot '#]]*MouserListTable[[#This Row],[Price (USD)]]</f>
        <v>0</v>
      </c>
      <c r="Z123" s="146"/>
      <c r="AA123" s="153" t="str">
        <f>AdafruitListTable[[#This Row],[SKU]]</f>
        <v>COM-00526</v>
      </c>
      <c r="AB123" s="153">
        <f>VALUE(AdafruitListTable[[#This Row],['# Initial]])</f>
        <v>0</v>
      </c>
      <c r="AD123" s="153" t="s">
        <v>372</v>
      </c>
      <c r="AE123" s="153">
        <v>5</v>
      </c>
    </row>
    <row r="124" spans="1:31" s="153" customFormat="1" x14ac:dyDescent="0.25">
      <c r="A124" s="150" t="s">
        <v>890</v>
      </c>
      <c r="B124" s="151" t="s">
        <v>1603</v>
      </c>
      <c r="C124" s="150" t="s">
        <v>5</v>
      </c>
      <c r="D124" s="151" t="str">
        <f>IF(AdafruitListTable[[#This Row],[Vendor]]=FilterSpecs!$A$8,AdafruitListTable[[#This Row],[Mouser SKU]], AdafruitListTable[[#This Row],[Supplier SKU]])</f>
        <v>COM-00107</v>
      </c>
      <c r="E124" s="152">
        <f>MouserListTable[[#This Row],[Tot '#]]-MouserListTable[[#This Row],['# Initial]]</f>
        <v>0</v>
      </c>
      <c r="F124" s="152">
        <f>IF(AND(MouserListTable[[#This Row],[Tag]]&lt;&gt;FilterSpecs!$F$12, MouserListTable[[#This Row],[Tag]]&lt;&gt;FilterSpecs!$F$9), MouserListTable[[#This Row],['#/Unit]]*FilterSpecs!$B$3+MouserListTable[[#This Row],[Extra Initial]],0)</f>
        <v>0</v>
      </c>
      <c r="G124" s="150" t="s">
        <v>389</v>
      </c>
      <c r="H124" s="150" t="s">
        <v>390</v>
      </c>
      <c r="I124" s="151" t="s">
        <v>391</v>
      </c>
      <c r="J124" s="150">
        <v>1</v>
      </c>
      <c r="K124" s="154">
        <v>0.95</v>
      </c>
      <c r="L124" s="151" t="s">
        <v>1897</v>
      </c>
      <c r="M124" s="150"/>
      <c r="N124" s="154">
        <f>MouserListTable[[#This Row],['# Initial]]*MouserListTable[[#This Row],[Price (USD)]]</f>
        <v>0</v>
      </c>
      <c r="O124" s="151" t="s">
        <v>388</v>
      </c>
      <c r="P124" s="150">
        <f t="shared" si="1"/>
        <v>111</v>
      </c>
      <c r="Q124" s="150" t="s">
        <v>5</v>
      </c>
      <c r="R12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485-1390</v>
      </c>
      <c r="S124" s="157" t="str">
        <f>HYPERLINK("https://www.mouser.com/ProductDetail/" &amp;MouserListTable[[#This Row],[Mouser SKU]])</f>
        <v>https://www.mouser.com/ProductDetail/485-1390</v>
      </c>
      <c r="T124" s="152">
        <v>1</v>
      </c>
      <c r="U124" s="152">
        <v>0</v>
      </c>
      <c r="V124" s="152">
        <v>0</v>
      </c>
      <c r="W124" s="152">
        <f>MouserListTable[[#This Row],['#/Unit]]*FilterSpecs!$C$3+MouserListTable[[#This Row],[Extra]]</f>
        <v>0</v>
      </c>
      <c r="X124" s="152">
        <f>IF(MouserListTable[[#This Row],[Tag]]=FilterSpecs!$F$7,MouserListTable[[#This Row],['#/Unit]]*MouserListTable[[#This Row],[Price (USD)]],0)</f>
        <v>0</v>
      </c>
      <c r="Y124" s="152">
        <f>MouserListTable[[#This Row],[Tot '#]]*MouserListTable[[#This Row],[Price (USD)]]</f>
        <v>0</v>
      </c>
      <c r="Z124" s="146"/>
      <c r="AA124" s="153" t="str">
        <f>AdafruitListTable[[#This Row],[SKU]]</f>
        <v>COM-00107</v>
      </c>
      <c r="AB124" s="153">
        <f>VALUE(AdafruitListTable[[#This Row],['# Initial]])</f>
        <v>0</v>
      </c>
      <c r="AD124" s="153" t="s">
        <v>388</v>
      </c>
      <c r="AE124" s="153">
        <v>5</v>
      </c>
    </row>
    <row r="125" spans="1:31" s="153" customFormat="1" x14ac:dyDescent="0.25">
      <c r="A125" s="150" t="s">
        <v>890</v>
      </c>
      <c r="B125" s="151" t="s">
        <v>1603</v>
      </c>
      <c r="C125" s="150" t="s">
        <v>5</v>
      </c>
      <c r="D125" s="151" t="str">
        <f>IF(AdafruitListTable[[#This Row],[Vendor]]=FilterSpecs!$A$8,AdafruitListTable[[#This Row],[Mouser SKU]], AdafruitListTable[[#This Row],[Supplier SKU]])</f>
        <v>PRT-07937</v>
      </c>
      <c r="E125" s="152">
        <f>MouserListTable[[#This Row],[Tot '#]]-MouserListTable[[#This Row],['# Initial]]</f>
        <v>0</v>
      </c>
      <c r="F125" s="152">
        <f>IF(AND(MouserListTable[[#This Row],[Tag]]&lt;&gt;FilterSpecs!$F$12, MouserListTable[[#This Row],[Tag]]&lt;&gt;FilterSpecs!$F$9), MouserListTable[[#This Row],['#/Unit]]*FilterSpecs!$B$3+MouserListTable[[#This Row],[Extra Initial]],0)</f>
        <v>0</v>
      </c>
      <c r="G125" s="150" t="s">
        <v>1830</v>
      </c>
      <c r="H125" s="150" t="s">
        <v>1831</v>
      </c>
      <c r="I125" s="151" t="s">
        <v>1832</v>
      </c>
      <c r="J125" s="150">
        <v>1</v>
      </c>
      <c r="K125" s="154">
        <v>0.5</v>
      </c>
      <c r="L125" s="151" t="s">
        <v>1897</v>
      </c>
      <c r="M125" s="150"/>
      <c r="N125" s="154">
        <f>MouserListTable[[#This Row],['# Initial]]*MouserListTable[[#This Row],[Price (USD)]]</f>
        <v>0</v>
      </c>
      <c r="O125" s="151" t="s">
        <v>1829</v>
      </c>
      <c r="P125" s="150">
        <f t="shared" si="1"/>
        <v>112</v>
      </c>
      <c r="Q125" s="150" t="s">
        <v>5</v>
      </c>
      <c r="R12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485-1389</v>
      </c>
      <c r="S125" s="157" t="str">
        <f>HYPERLINK("https://www.mouser.com/ProductDetail/" &amp;MouserListTable[[#This Row],[Mouser SKU]])</f>
        <v>https://www.mouser.com/ProductDetail/485-1389</v>
      </c>
      <c r="T125" s="152">
        <f>SUM(T126:T129)</f>
        <v>5</v>
      </c>
      <c r="U125" s="152">
        <v>1</v>
      </c>
      <c r="V125" s="152">
        <v>0</v>
      </c>
      <c r="W125" s="152">
        <f>MouserListTable[[#This Row],['#/Unit]]*FilterSpecs!$C$3+MouserListTable[[#This Row],[Extra]]</f>
        <v>0</v>
      </c>
      <c r="X125" s="152">
        <f>IF(MouserListTable[[#This Row],[Tag]]=FilterSpecs!$F$7,MouserListTable[[#This Row],['#/Unit]]*MouserListTable[[#This Row],[Price (USD)]],0)</f>
        <v>0</v>
      </c>
      <c r="Y125" s="152">
        <f>MouserListTable[[#This Row],[Tot '#]]*MouserListTable[[#This Row],[Price (USD)]]</f>
        <v>0</v>
      </c>
      <c r="Z125" s="146"/>
      <c r="AA125" s="153" t="str">
        <f>AdafruitListTable[[#This Row],[SKU]]</f>
        <v>PRT-07937</v>
      </c>
      <c r="AB125" s="153">
        <f>VALUE(AdafruitListTable[[#This Row],['# Initial]])</f>
        <v>0</v>
      </c>
      <c r="AD125" s="153" t="s">
        <v>1829</v>
      </c>
      <c r="AE125" s="153">
        <v>25</v>
      </c>
    </row>
    <row r="126" spans="1:31" s="153" customFormat="1" x14ac:dyDescent="0.25">
      <c r="A126" s="150" t="s">
        <v>890</v>
      </c>
      <c r="B126" s="151" t="s">
        <v>1603</v>
      </c>
      <c r="C126" s="150" t="s">
        <v>5</v>
      </c>
      <c r="D126" s="151" t="str">
        <f>IF(AdafruitListTable[[#This Row],[Vendor]]=FilterSpecs!$A$8,AdafruitListTable[[#This Row],[Mouser SKU]], AdafruitListTable[[#This Row],[Supplier SKU]])</f>
        <v>COM-09456</v>
      </c>
      <c r="E126" s="152">
        <f>MouserListTable[[#This Row],[Tot '#]]-MouserListTable[[#This Row],['# Initial]]</f>
        <v>0</v>
      </c>
      <c r="F126" s="152">
        <f>IF(AND(MouserListTable[[#This Row],[Tag]]&lt;&gt;FilterSpecs!$F$12, MouserListTable[[#This Row],[Tag]]&lt;&gt;FilterSpecs!$F$9), MouserListTable[[#This Row],['#/Unit]]*FilterSpecs!$B$3+MouserListTable[[#This Row],[Extra Initial]],0)</f>
        <v>0</v>
      </c>
      <c r="G126" s="150" t="s">
        <v>657</v>
      </c>
      <c r="H126" s="150" t="s">
        <v>658</v>
      </c>
      <c r="I126" s="151" t="s">
        <v>659</v>
      </c>
      <c r="J126" s="150">
        <v>1</v>
      </c>
      <c r="K126" s="154">
        <v>0.95</v>
      </c>
      <c r="L126" s="151" t="s">
        <v>1897</v>
      </c>
      <c r="M126" s="150"/>
      <c r="N126" s="154">
        <f>MouserListTable[[#This Row],['# Initial]]*MouserListTable[[#This Row],[Price (USD)]]</f>
        <v>0</v>
      </c>
      <c r="O126" s="151" t="s">
        <v>656</v>
      </c>
      <c r="P126" s="150">
        <f t="shared" si="1"/>
        <v>113</v>
      </c>
      <c r="Q126" s="150" t="s">
        <v>5</v>
      </c>
      <c r="R12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485-1827</v>
      </c>
      <c r="S126" s="157" t="str">
        <f>HYPERLINK("https://www.mouser.com/ProductDetail/" &amp;MouserListTable[[#This Row],[Mouser SKU]])</f>
        <v>https://www.mouser.com/ProductDetail/485-1827</v>
      </c>
      <c r="T126" s="152">
        <v>2</v>
      </c>
      <c r="U126" s="152">
        <v>0</v>
      </c>
      <c r="V126" s="152">
        <v>0</v>
      </c>
      <c r="W126" s="152">
        <f>MouserListTable[[#This Row],['#/Unit]]*FilterSpecs!$C$3+MouserListTable[[#This Row],[Extra]]</f>
        <v>0</v>
      </c>
      <c r="X126" s="152">
        <f>IF(MouserListTable[[#This Row],[Tag]]=FilterSpecs!$F$7,MouserListTable[[#This Row],['#/Unit]]*MouserListTable[[#This Row],[Price (USD)]],0)</f>
        <v>0</v>
      </c>
      <c r="Y126" s="152">
        <f>MouserListTable[[#This Row],[Tot '#]]*MouserListTable[[#This Row],[Price (USD)]]</f>
        <v>0</v>
      </c>
      <c r="Z126" s="146"/>
      <c r="AA126" s="153" t="str">
        <f>AdafruitListTable[[#This Row],[SKU]]</f>
        <v>COM-09456</v>
      </c>
      <c r="AB126" s="153">
        <f>VALUE(AdafruitListTable[[#This Row],['# Initial]])</f>
        <v>0</v>
      </c>
      <c r="AD126" s="153" t="s">
        <v>656</v>
      </c>
      <c r="AE126" s="153">
        <v>10</v>
      </c>
    </row>
    <row r="127" spans="1:31" s="153" customFormat="1" x14ac:dyDescent="0.25">
      <c r="A127" s="150" t="s">
        <v>890</v>
      </c>
      <c r="B127" s="151" t="s">
        <v>1603</v>
      </c>
      <c r="C127" s="150" t="s">
        <v>5</v>
      </c>
      <c r="D127" s="151" t="str">
        <f>IF(AdafruitListTable[[#This Row],[Vendor]]=FilterSpecs!$A$8,AdafruitListTable[[#This Row],[Mouser SKU]], AdafruitListTable[[#This Row],[Supplier SKU]])</f>
        <v>COM-10613</v>
      </c>
      <c r="E127" s="152">
        <f>MouserListTable[[#This Row],[Tot '#]]-MouserListTable[[#This Row],['# Initial]]</f>
        <v>0</v>
      </c>
      <c r="F127" s="152">
        <f>IF(AND(MouserListTable[[#This Row],[Tag]]&lt;&gt;FilterSpecs!$F$12, MouserListTable[[#This Row],[Tag]]&lt;&gt;FilterSpecs!$F$9), MouserListTable[[#This Row],['#/Unit]]*FilterSpecs!$B$3+MouserListTable[[#This Row],[Extra Initial]],0)</f>
        <v>0</v>
      </c>
      <c r="G127" s="150" t="s">
        <v>954</v>
      </c>
      <c r="H127" s="150" t="s">
        <v>955</v>
      </c>
      <c r="I127" s="151" t="s">
        <v>956</v>
      </c>
      <c r="J127" s="150">
        <v>1</v>
      </c>
      <c r="K127" s="154">
        <v>1.5</v>
      </c>
      <c r="L127" s="151" t="s">
        <v>1897</v>
      </c>
      <c r="M127" s="150"/>
      <c r="N127" s="154">
        <f>MouserListTable[[#This Row],['# Initial]]*MouserListTable[[#This Row],[Price (USD)]]</f>
        <v>0</v>
      </c>
      <c r="O127" s="151" t="s">
        <v>953</v>
      </c>
      <c r="P127" s="150">
        <f t="shared" si="1"/>
        <v>114</v>
      </c>
      <c r="Q127" s="150" t="s">
        <v>5</v>
      </c>
      <c r="R12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485-1826</v>
      </c>
      <c r="S127" s="157" t="str">
        <f>HYPERLINK("https://www.mouser.com/ProductDetail/" &amp;MouserListTable[[#This Row],[Mouser SKU]])</f>
        <v>https://www.mouser.com/ProductDetail/485-1826</v>
      </c>
      <c r="T127" s="152">
        <v>1</v>
      </c>
      <c r="U127" s="152">
        <v>0</v>
      </c>
      <c r="V127" s="152">
        <v>0</v>
      </c>
      <c r="W127" s="152">
        <f>MouserListTable[[#This Row],['#/Unit]]*FilterSpecs!$C$3+MouserListTable[[#This Row],[Extra]]</f>
        <v>0</v>
      </c>
      <c r="X127" s="152">
        <f>IF(MouserListTable[[#This Row],[Tag]]=FilterSpecs!$F$7,MouserListTable[[#This Row],['#/Unit]]*MouserListTable[[#This Row],[Price (USD)]],0)</f>
        <v>0</v>
      </c>
      <c r="Y127" s="152">
        <f>MouserListTable[[#This Row],[Tot '#]]*MouserListTable[[#This Row],[Price (USD)]]</f>
        <v>0</v>
      </c>
      <c r="Z127" s="146"/>
      <c r="AA127" s="153" t="str">
        <f>AdafruitListTable[[#This Row],[SKU]]</f>
        <v>COM-10613</v>
      </c>
      <c r="AB127" s="153">
        <f>VALUE(AdafruitListTable[[#This Row],['# Initial]])</f>
        <v>0</v>
      </c>
      <c r="AD127" s="153" t="s">
        <v>953</v>
      </c>
      <c r="AE127" s="153">
        <v>5</v>
      </c>
    </row>
    <row r="128" spans="1:31" s="153" customFormat="1" x14ac:dyDescent="0.25">
      <c r="A128" s="150" t="s">
        <v>890</v>
      </c>
      <c r="B128" s="151" t="s">
        <v>1603</v>
      </c>
      <c r="C128" s="150" t="s">
        <v>5</v>
      </c>
      <c r="D128" s="151" t="str">
        <f>IF(AdafruitListTable[[#This Row],[Vendor]]=FilterSpecs!$A$8,AdafruitListTable[[#This Row],[Mouser SKU]], AdafruitListTable[[#This Row],[Supplier SKU]])</f>
        <v>COM-09273</v>
      </c>
      <c r="E128" s="152">
        <f>MouserListTable[[#This Row],[Tot '#]]-MouserListTable[[#This Row],['# Initial]]</f>
        <v>0</v>
      </c>
      <c r="F128" s="152">
        <f>IF(AND(MouserListTable[[#This Row],[Tag]]&lt;&gt;FilterSpecs!$F$12, MouserListTable[[#This Row],[Tag]]&lt;&gt;FilterSpecs!$F$9), MouserListTable[[#This Row],['#/Unit]]*FilterSpecs!$B$3+MouserListTable[[#This Row],[Extra Initial]],0)</f>
        <v>0</v>
      </c>
      <c r="G128" s="150" t="s">
        <v>397</v>
      </c>
      <c r="H128" s="150" t="s">
        <v>398</v>
      </c>
      <c r="I128" s="151" t="s">
        <v>399</v>
      </c>
      <c r="J128" s="150">
        <v>1</v>
      </c>
      <c r="K128" s="154">
        <v>0.95</v>
      </c>
      <c r="L128" s="151" t="s">
        <v>1897</v>
      </c>
      <c r="M128" s="150"/>
      <c r="N128" s="154">
        <f>MouserListTable[[#This Row],['# Initial]]*MouserListTable[[#This Row],[Price (USD)]]</f>
        <v>0</v>
      </c>
      <c r="O128" s="151" t="s">
        <v>396</v>
      </c>
      <c r="P128" s="150">
        <f t="shared" si="1"/>
        <v>115</v>
      </c>
      <c r="Q128" s="150" t="s">
        <v>5</v>
      </c>
      <c r="R12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474-SEN-00246</v>
      </c>
      <c r="S128" s="157" t="str">
        <f>HYPERLINK("https://www.mouser.com/ProductDetail/" &amp;MouserListTable[[#This Row],[Mouser SKU]])</f>
        <v>https://www.mouser.com/ProductDetail/474-SEN-00246</v>
      </c>
      <c r="T128" s="152">
        <v>1</v>
      </c>
      <c r="U128" s="152">
        <v>0</v>
      </c>
      <c r="V128" s="152">
        <v>0</v>
      </c>
      <c r="W128" s="152">
        <f>MouserListTable[[#This Row],['#/Unit]]*FilterSpecs!$C$3+MouserListTable[[#This Row],[Extra]]</f>
        <v>0</v>
      </c>
      <c r="X128" s="152">
        <f>IF(MouserListTable[[#This Row],[Tag]]=FilterSpecs!$F$7,MouserListTable[[#This Row],['#/Unit]]*MouserListTable[[#This Row],[Price (USD)]],0)</f>
        <v>0</v>
      </c>
      <c r="Y128" s="152">
        <f>MouserListTable[[#This Row],[Tot '#]]*MouserListTable[[#This Row],[Price (USD)]]</f>
        <v>0</v>
      </c>
      <c r="Z128" s="146"/>
      <c r="AA128" s="153" t="str">
        <f>AdafruitListTable[[#This Row],[SKU]]</f>
        <v>COM-09273</v>
      </c>
      <c r="AB128" s="153">
        <f>VALUE(AdafruitListTable[[#This Row],['# Initial]])</f>
        <v>0</v>
      </c>
      <c r="AD128" s="153" t="s">
        <v>396</v>
      </c>
      <c r="AE128" s="153">
        <v>5</v>
      </c>
    </row>
    <row r="129" spans="1:31" s="153" customFormat="1" x14ac:dyDescent="0.25">
      <c r="A129" s="150" t="s">
        <v>890</v>
      </c>
      <c r="B129" s="151" t="s">
        <v>1603</v>
      </c>
      <c r="C129" s="150" t="s">
        <v>5</v>
      </c>
      <c r="D129" s="151" t="str">
        <f>IF(AdafruitListTable[[#This Row],[Vendor]]=FilterSpecs!$A$8,AdafruitListTable[[#This Row],[Mouser SKU]], AdafruitListTable[[#This Row],[Supplier SKU]])</f>
        <v>COM-08636</v>
      </c>
      <c r="E129" s="152">
        <f>MouserListTable[[#This Row],[Tot '#]]-MouserListTable[[#This Row],['# Initial]]</f>
        <v>0</v>
      </c>
      <c r="F129" s="152">
        <f>IF(AND(MouserListTable[[#This Row],[Tag]]&lt;&gt;FilterSpecs!$F$12, MouserListTable[[#This Row],[Tag]]&lt;&gt;FilterSpecs!$F$9), MouserListTable[[#This Row],['#/Unit]]*FilterSpecs!$B$3+MouserListTable[[#This Row],[Extra Initial]],0)</f>
        <v>20</v>
      </c>
      <c r="G129" s="150" t="s">
        <v>393</v>
      </c>
      <c r="H129" s="150" t="s">
        <v>394</v>
      </c>
      <c r="I129" s="151" t="s">
        <v>395</v>
      </c>
      <c r="J129" s="150">
        <v>1</v>
      </c>
      <c r="K129" s="154">
        <v>2.38</v>
      </c>
      <c r="L129" s="151" t="s">
        <v>1897</v>
      </c>
      <c r="M129" s="150"/>
      <c r="N129" s="154">
        <f>MouserListTable[[#This Row],['# Initial]]*MouserListTable[[#This Row],[Price (USD)]]</f>
        <v>39</v>
      </c>
      <c r="O129" s="151" t="s">
        <v>392</v>
      </c>
      <c r="P129" s="150">
        <f t="shared" si="1"/>
        <v>116</v>
      </c>
      <c r="Q129" s="150" t="s">
        <v>5</v>
      </c>
      <c r="R12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474-SEN-00241</v>
      </c>
      <c r="S129" s="157" t="str">
        <f>HYPERLINK("https://www.mouser.com/ProductDetail/" &amp;MouserListTable[[#This Row],[Mouser SKU]])</f>
        <v>https://www.mouser.com/ProductDetail/474-SEN-00241</v>
      </c>
      <c r="T129" s="152">
        <v>1</v>
      </c>
      <c r="U129" s="152">
        <v>0</v>
      </c>
      <c r="V129" s="152">
        <v>0</v>
      </c>
      <c r="W129" s="152">
        <f>MouserListTable[[#This Row],['#/Unit]]*FilterSpecs!$C$3+MouserListTable[[#This Row],[Extra]]</f>
        <v>20</v>
      </c>
      <c r="X129" s="152">
        <f>IF(MouserListTable[[#This Row],[Tag]]=FilterSpecs!$F$7,MouserListTable[[#This Row],['#/Unit]]*MouserListTable[[#This Row],[Price (USD)]],0)</f>
        <v>7.8</v>
      </c>
      <c r="Y129" s="152">
        <f>MouserListTable[[#This Row],[Tot '#]]*MouserListTable[[#This Row],[Price (USD)]]</f>
        <v>39</v>
      </c>
      <c r="Z129" s="146"/>
      <c r="AA129" s="153" t="str">
        <f>AdafruitListTable[[#This Row],[SKU]]</f>
        <v>COM-08636</v>
      </c>
      <c r="AB129" s="153">
        <f>VALUE(AdafruitListTable[[#This Row],['# Initial]])</f>
        <v>20</v>
      </c>
      <c r="AD129" s="153" t="s">
        <v>392</v>
      </c>
      <c r="AE129" s="153">
        <v>5</v>
      </c>
    </row>
    <row r="130" spans="1:31" s="153" customFormat="1" x14ac:dyDescent="0.25">
      <c r="A130" s="150" t="s">
        <v>890</v>
      </c>
      <c r="B130" s="151" t="s">
        <v>1603</v>
      </c>
      <c r="C130" s="150" t="s">
        <v>5</v>
      </c>
      <c r="D130" s="151" t="str">
        <f>IF(AdafruitListTable[[#This Row],[Vendor]]=FilterSpecs!$A$8,AdafruitListTable[[#This Row],[Mouser SKU]], AdafruitListTable[[#This Row],[Supplier SKU]])</f>
        <v>COM-08034</v>
      </c>
      <c r="E130" s="152">
        <f>MouserListTable[[#This Row],[Tot '#]]-MouserListTable[[#This Row],['# Initial]]</f>
        <v>0</v>
      </c>
      <c r="F130" s="152">
        <f>IF(AND(MouserListTable[[#This Row],[Tag]]&lt;&gt;FilterSpecs!$F$12, MouserListTable[[#This Row],[Tag]]&lt;&gt;FilterSpecs!$F$9), MouserListTable[[#This Row],['#/Unit]]*FilterSpecs!$B$3+MouserListTable[[#This Row],[Extra Initial]],0)</f>
        <v>5</v>
      </c>
      <c r="G130" s="150" t="s">
        <v>427</v>
      </c>
      <c r="H130" s="150" t="s">
        <v>428</v>
      </c>
      <c r="I130" s="151" t="s">
        <v>429</v>
      </c>
      <c r="J130" s="150">
        <v>1</v>
      </c>
      <c r="K130" s="154">
        <v>1.5</v>
      </c>
      <c r="L130" s="151" t="s">
        <v>1897</v>
      </c>
      <c r="M130" s="150"/>
      <c r="N130" s="154">
        <f>MouserListTable[[#This Row],['# Initial]]*MouserListTable[[#This Row],[Price (USD)]]</f>
        <v>74.75</v>
      </c>
      <c r="O130" s="151" t="s">
        <v>426</v>
      </c>
      <c r="P130" s="150">
        <f t="shared" si="1"/>
        <v>117</v>
      </c>
      <c r="Q130" s="150" t="s">
        <v>5</v>
      </c>
      <c r="R13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474-SEN-13968</v>
      </c>
      <c r="S130" s="157" t="str">
        <f>HYPERLINK("https://www.mouser.com/ProductDetail/" &amp;MouserListTable[[#This Row],[Mouser SKU]])</f>
        <v>https://www.mouser.com/ProductDetail/474-SEN-13968</v>
      </c>
      <c r="T130" s="152">
        <v>1</v>
      </c>
      <c r="U130" s="152">
        <v>0</v>
      </c>
      <c r="V130" s="152">
        <v>0</v>
      </c>
      <c r="W130" s="152">
        <f>MouserListTable[[#This Row],['#/Unit]]*FilterSpecs!$C$3+MouserListTable[[#This Row],[Extra]]</f>
        <v>5</v>
      </c>
      <c r="X130" s="152">
        <f>IF(MouserListTable[[#This Row],[Tag]]=FilterSpecs!$F$7,MouserListTable[[#This Row],['#/Unit]]*MouserListTable[[#This Row],[Price (USD)]],0)</f>
        <v>14.95</v>
      </c>
      <c r="Y130" s="152">
        <f>MouserListTable[[#This Row],[Tot '#]]*MouserListTable[[#This Row],[Price (USD)]]</f>
        <v>74.75</v>
      </c>
      <c r="Z130" s="146"/>
      <c r="AA130" s="153" t="str">
        <f>AdafruitListTable[[#This Row],[SKU]]</f>
        <v>COM-08034</v>
      </c>
      <c r="AB130" s="153">
        <f>VALUE(AdafruitListTable[[#This Row],['# Initial]])</f>
        <v>5</v>
      </c>
      <c r="AD130" s="153" t="s">
        <v>426</v>
      </c>
      <c r="AE130" s="153">
        <v>5</v>
      </c>
    </row>
    <row r="131" spans="1:31" s="153" customFormat="1" x14ac:dyDescent="0.25">
      <c r="A131" s="150" t="s">
        <v>890</v>
      </c>
      <c r="B131" s="150" t="s">
        <v>1879</v>
      </c>
      <c r="C131" s="150" t="s">
        <v>1884</v>
      </c>
      <c r="D131" s="151" t="str">
        <f>IF(AdafruitListTable[[#This Row],[Vendor]]=FilterSpecs!$A$8,AdafruitListTable[[#This Row],[Mouser SKU]], AdafruitListTable[[#This Row],[Supplier SKU]])</f>
        <v>85</v>
      </c>
      <c r="E131" s="152">
        <f>MouserListTable[[#This Row],[Tot '#]]-MouserListTable[[#This Row],['# Initial]]</f>
        <v>0</v>
      </c>
      <c r="F131" s="152">
        <f>IF(AND(MouserListTable[[#This Row],[Tag]]&lt;&gt;FilterSpecs!$F$12, MouserListTable[[#This Row],[Tag]]&lt;&gt;FilterSpecs!$F$9), MouserListTable[[#This Row],['#/Unit]]*FilterSpecs!$B$3+MouserListTable[[#This Row],[Extra Initial]],0)</f>
        <v>5</v>
      </c>
      <c r="G131" s="150"/>
      <c r="H131" s="150"/>
      <c r="I131" s="150" t="s">
        <v>2169</v>
      </c>
      <c r="K131" s="154">
        <v>1.95</v>
      </c>
      <c r="L131" s="150" t="s">
        <v>1897</v>
      </c>
      <c r="M131" s="151"/>
      <c r="N131" s="154">
        <f>MouserListTable[[#This Row],['# Initial]]*MouserListTable[[#This Row],[Price (USD)]]</f>
        <v>19.75</v>
      </c>
      <c r="O131" s="151" t="s">
        <v>2168</v>
      </c>
      <c r="P131" s="150">
        <f t="shared" si="1"/>
        <v>118</v>
      </c>
      <c r="Q131" s="150" t="s">
        <v>1884</v>
      </c>
      <c r="R13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474-SEN-13959</v>
      </c>
      <c r="S131" s="157" t="str">
        <f>HYPERLINK("https://www.mouser.com/ProductDetail/" &amp;MouserListTable[[#This Row],[Mouser SKU]])</f>
        <v>https://www.mouser.com/ProductDetail/474-SEN-13959</v>
      </c>
      <c r="T131" s="152">
        <v>2</v>
      </c>
      <c r="U131" s="152">
        <v>0</v>
      </c>
      <c r="V131" s="152">
        <v>0</v>
      </c>
      <c r="W131" s="152">
        <f>MouserListTable[[#This Row],['#/Unit]]*FilterSpecs!$C$3+MouserListTable[[#This Row],[Extra]]</f>
        <v>5</v>
      </c>
      <c r="X131" s="152">
        <f>IF(MouserListTable[[#This Row],[Tag]]=FilterSpecs!$F$7,MouserListTable[[#This Row],['#/Unit]]*MouserListTable[[#This Row],[Price (USD)]],0)</f>
        <v>3.95</v>
      </c>
      <c r="Y131" s="152">
        <f>MouserListTable[[#This Row],[Tot '#]]*MouserListTable[[#This Row],[Price (USD)]]</f>
        <v>19.75</v>
      </c>
      <c r="Z131" s="146"/>
      <c r="AA131" s="153" t="str">
        <f>AdafruitListTable[[#This Row],[SKU]]</f>
        <v>85</v>
      </c>
      <c r="AB131" s="153">
        <f>VALUE(AdafruitListTable[[#This Row],['# Initial]])</f>
        <v>5</v>
      </c>
      <c r="AD131" s="153" t="s">
        <v>2168</v>
      </c>
      <c r="AE131" s="153">
        <v>10</v>
      </c>
    </row>
    <row r="132" spans="1:31" s="153" customFormat="1" x14ac:dyDescent="0.25">
      <c r="A132" s="150" t="s">
        <v>890</v>
      </c>
      <c r="B132" s="150" t="s">
        <v>1879</v>
      </c>
      <c r="C132" s="150" t="s">
        <v>1884</v>
      </c>
      <c r="D132" s="151" t="str">
        <f>IF(AdafruitListTable[[#This Row],[Vendor]]=FilterSpecs!$A$8,AdafruitListTable[[#This Row],[Mouser SKU]], AdafruitListTable[[#This Row],[Supplier SKU]])</f>
        <v>3366</v>
      </c>
      <c r="E132" s="152">
        <f>MouserListTable[[#This Row],[Tot '#]]-MouserListTable[[#This Row],['# Initial]]</f>
        <v>0</v>
      </c>
      <c r="F132" s="152">
        <f>IF(AND(MouserListTable[[#This Row],[Tag]]&lt;&gt;FilterSpecs!$F$12, MouserListTable[[#This Row],[Tag]]&lt;&gt;FilterSpecs!$F$9), MouserListTable[[#This Row],['#/Unit]]*FilterSpecs!$B$3+MouserListTable[[#This Row],[Extra Initial]],0)</f>
        <v>0</v>
      </c>
      <c r="G132" s="150"/>
      <c r="H132" s="150"/>
      <c r="I132" s="150" t="s">
        <v>2151</v>
      </c>
      <c r="K132" s="154">
        <v>2.95</v>
      </c>
      <c r="L132" s="150" t="s">
        <v>1896</v>
      </c>
      <c r="M132" s="151"/>
      <c r="N132" s="154">
        <f>MouserListTable[[#This Row],['# Initial]]*MouserListTable[[#This Row],[Price (USD)]]</f>
        <v>0</v>
      </c>
      <c r="O132" s="151" t="s">
        <v>2150</v>
      </c>
      <c r="P132" s="150">
        <f t="shared" si="1"/>
        <v>119</v>
      </c>
      <c r="Q132" s="150" t="s">
        <v>1884</v>
      </c>
      <c r="R13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474-SEN-12785</v>
      </c>
      <c r="S132" s="157" t="str">
        <f>HYPERLINK("https://www.mouser.com/ProductDetail/" &amp;MouserListTable[[#This Row],[Mouser SKU]])</f>
        <v>https://www.mouser.com/ProductDetail/474-SEN-12785</v>
      </c>
      <c r="T132" s="152">
        <v>0</v>
      </c>
      <c r="U132" s="152">
        <v>1</v>
      </c>
      <c r="V132" s="152">
        <v>1</v>
      </c>
      <c r="W132" s="152">
        <f>MouserListTable[[#This Row],['#/Unit]]*FilterSpecs!$C$3+MouserListTable[[#This Row],[Extra]]</f>
        <v>0</v>
      </c>
      <c r="X132" s="152">
        <f>IF(MouserListTable[[#This Row],[Tag]]=FilterSpecs!$F$7,MouserListTable[[#This Row],['#/Unit]]*MouserListTable[[#This Row],[Price (USD)]],0)</f>
        <v>0</v>
      </c>
      <c r="Y132" s="152">
        <f>MouserListTable[[#This Row],[Tot '#]]*MouserListTable[[#This Row],[Price (USD)]]</f>
        <v>0</v>
      </c>
      <c r="Z132" s="146"/>
      <c r="AA132" s="153" t="str">
        <f>AdafruitListTable[[#This Row],[SKU]]</f>
        <v>3366</v>
      </c>
      <c r="AB132" s="153">
        <f>VALUE(AdafruitListTable[[#This Row],['# Initial]])</f>
        <v>0</v>
      </c>
      <c r="AD132" s="153" t="s">
        <v>2150</v>
      </c>
      <c r="AE132" s="153">
        <v>1</v>
      </c>
    </row>
    <row r="133" spans="1:31" s="153" customFormat="1" x14ac:dyDescent="0.25">
      <c r="A133" s="150" t="s">
        <v>890</v>
      </c>
      <c r="B133" s="150" t="s">
        <v>1877</v>
      </c>
      <c r="C133" s="150" t="s">
        <v>1884</v>
      </c>
      <c r="D133" s="151" t="str">
        <f>IF(AdafruitListTable[[#This Row],[Vendor]]=FilterSpecs!$A$8,AdafruitListTable[[#This Row],[Mouser SKU]], AdafruitListTable[[#This Row],[Supplier SKU]])</f>
        <v>392</v>
      </c>
      <c r="E133" s="152">
        <f>MouserListTable[[#This Row],[Tot '#]]-MouserListTable[[#This Row],['# Initial]]</f>
        <v>0</v>
      </c>
      <c r="F133" s="152">
        <f>IF(AND(MouserListTable[[#This Row],[Tag]]&lt;&gt;FilterSpecs!$F$12, MouserListTable[[#This Row],[Tag]]&lt;&gt;FilterSpecs!$F$9), MouserListTable[[#This Row],['#/Unit]]*FilterSpecs!$B$3+MouserListTable[[#This Row],[Extra Initial]],0)</f>
        <v>0</v>
      </c>
      <c r="G133" s="150"/>
      <c r="H133" s="150"/>
      <c r="I133" s="150" t="s">
        <v>2165</v>
      </c>
      <c r="K133" s="154">
        <v>4.95</v>
      </c>
      <c r="L133" s="150" t="s">
        <v>1896</v>
      </c>
      <c r="M133" s="151"/>
      <c r="N133" s="154">
        <f>MouserListTable[[#This Row],['# Initial]]*MouserListTable[[#This Row],[Price (USD)]]</f>
        <v>0</v>
      </c>
      <c r="O133" s="151" t="s">
        <v>2164</v>
      </c>
      <c r="P133" s="150">
        <f t="shared" si="1"/>
        <v>120</v>
      </c>
      <c r="Q133" s="150" t="s">
        <v>1884</v>
      </c>
      <c r="R13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474-SEN-13162</v>
      </c>
      <c r="S133" s="157" t="str">
        <f>HYPERLINK("https://www.mouser.com/ProductDetail/" &amp;MouserListTable[[#This Row],[Mouser SKU]])</f>
        <v>https://www.mouser.com/ProductDetail/474-SEN-13162</v>
      </c>
      <c r="T133" s="152">
        <v>0</v>
      </c>
      <c r="U133" s="152">
        <v>1</v>
      </c>
      <c r="V133" s="152">
        <v>1</v>
      </c>
      <c r="W133" s="152">
        <f>MouserListTable[[#This Row],['#/Unit]]*FilterSpecs!$C$3+MouserListTable[[#This Row],[Extra]]</f>
        <v>0</v>
      </c>
      <c r="X133" s="152">
        <f>IF(MouserListTable[[#This Row],[Tag]]=FilterSpecs!$F$7,MouserListTable[[#This Row],['#/Unit]]*MouserListTable[[#This Row],[Price (USD)]],0)</f>
        <v>0</v>
      </c>
      <c r="Y133" s="152">
        <f>MouserListTable[[#This Row],[Tot '#]]*MouserListTable[[#This Row],[Price (USD)]]</f>
        <v>0</v>
      </c>
      <c r="Z133" s="146"/>
      <c r="AA133" s="153" t="str">
        <f>AdafruitListTable[[#This Row],[SKU]]</f>
        <v>392</v>
      </c>
      <c r="AB133" s="153">
        <f>VALUE(AdafruitListTable[[#This Row],['# Initial]])</f>
        <v>0</v>
      </c>
      <c r="AD133" s="153" t="s">
        <v>2164</v>
      </c>
      <c r="AE133" s="153">
        <v>1</v>
      </c>
    </row>
    <row r="134" spans="1:31" s="153" customFormat="1" x14ac:dyDescent="0.25">
      <c r="A134" s="150" t="s">
        <v>890</v>
      </c>
      <c r="B134" s="150" t="s">
        <v>1877</v>
      </c>
      <c r="C134" s="150" t="s">
        <v>1884</v>
      </c>
      <c r="D134" s="151" t="str">
        <f>IF(AdafruitListTable[[#This Row],[Vendor]]=FilterSpecs!$A$8,AdafruitListTable[[#This Row],[Mouser SKU]], AdafruitListTable[[#This Row],[Supplier SKU]])</f>
        <v>3009</v>
      </c>
      <c r="E134" s="152">
        <f>MouserListTable[[#This Row],[Tot '#]]-MouserListTable[[#This Row],['# Initial]]</f>
        <v>0</v>
      </c>
      <c r="F134" s="152">
        <f>IF(AND(MouserListTable[[#This Row],[Tag]]&lt;&gt;FilterSpecs!$F$12, MouserListTable[[#This Row],[Tag]]&lt;&gt;FilterSpecs!$F$9), MouserListTable[[#This Row],['#/Unit]]*FilterSpecs!$B$3+MouserListTable[[#This Row],[Extra Initial]],0)</f>
        <v>0</v>
      </c>
      <c r="G134" s="150"/>
      <c r="H134" s="150"/>
      <c r="I134" s="150" t="s">
        <v>2157</v>
      </c>
      <c r="K134" s="154">
        <v>4.95</v>
      </c>
      <c r="L134" s="150" t="s">
        <v>1896</v>
      </c>
      <c r="M134" s="151"/>
      <c r="N134" s="154">
        <f>MouserListTable[[#This Row],['# Initial]]*MouserListTable[[#This Row],[Price (USD)]]</f>
        <v>0</v>
      </c>
      <c r="O134" s="151" t="s">
        <v>2156</v>
      </c>
      <c r="P134" s="150">
        <f t="shared" si="1"/>
        <v>121</v>
      </c>
      <c r="Q134" s="150" t="s">
        <v>1884</v>
      </c>
      <c r="R13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474-SEN-12787</v>
      </c>
      <c r="S134" s="157" t="str">
        <f>HYPERLINK("https://www.mouser.com/ProductDetail/" &amp;MouserListTable[[#This Row],[Mouser SKU]])</f>
        <v>https://www.mouser.com/ProductDetail/474-SEN-12787</v>
      </c>
      <c r="T134" s="152">
        <v>0</v>
      </c>
      <c r="U134" s="152">
        <v>1</v>
      </c>
      <c r="V134" s="152">
        <v>1</v>
      </c>
      <c r="W134" s="152">
        <f>MouserListTable[[#This Row],['#/Unit]]*FilterSpecs!$C$3+MouserListTable[[#This Row],[Extra]]</f>
        <v>0</v>
      </c>
      <c r="X134" s="152">
        <f>IF(MouserListTable[[#This Row],[Tag]]=FilterSpecs!$F$7,MouserListTable[[#This Row],['#/Unit]]*MouserListTable[[#This Row],[Price (USD)]],0)</f>
        <v>0</v>
      </c>
      <c r="Y134" s="152">
        <f>MouserListTable[[#This Row],[Tot '#]]*MouserListTable[[#This Row],[Price (USD)]]</f>
        <v>0</v>
      </c>
      <c r="Z134" s="146"/>
      <c r="AA134" s="153" t="str">
        <f>AdafruitListTable[[#This Row],[SKU]]</f>
        <v>3009</v>
      </c>
      <c r="AB134" s="153">
        <f>VALUE(AdafruitListTable[[#This Row],['# Initial]])</f>
        <v>0</v>
      </c>
      <c r="AD134" s="153" t="s">
        <v>2156</v>
      </c>
      <c r="AE134" s="153">
        <v>1</v>
      </c>
    </row>
    <row r="135" spans="1:31" s="153" customFormat="1" x14ac:dyDescent="0.25">
      <c r="A135" s="150" t="s">
        <v>890</v>
      </c>
      <c r="B135" s="150" t="s">
        <v>1877</v>
      </c>
      <c r="C135" s="150" t="s">
        <v>5</v>
      </c>
      <c r="D135" s="151" t="str">
        <f>IF(AdafruitListTable[[#This Row],[Vendor]]=FilterSpecs!$A$8,AdafruitListTable[[#This Row],[Mouser SKU]], AdafruitListTable[[#This Row],[Supplier SKU]])</f>
        <v>PRT-10158</v>
      </c>
      <c r="E135" s="152">
        <f>MouserListTable[[#This Row],[Tot '#]]-MouserListTable[[#This Row],['# Initial]]</f>
        <v>3</v>
      </c>
      <c r="F135" s="152">
        <f>IF(AND(MouserListTable[[#This Row],[Tag]]&lt;&gt;FilterSpecs!$F$12, MouserListTable[[#This Row],[Tag]]&lt;&gt;FilterSpecs!$F$9), MouserListTable[[#This Row],['#/Unit]]*FilterSpecs!$B$3+MouserListTable[[#This Row],[Extra Initial]],0)</f>
        <v>0</v>
      </c>
      <c r="G135" s="150" t="s">
        <v>483</v>
      </c>
      <c r="H135" s="150" t="s">
        <v>484</v>
      </c>
      <c r="I135" s="150" t="s">
        <v>485</v>
      </c>
      <c r="J135" s="150">
        <v>1</v>
      </c>
      <c r="K135" s="154">
        <v>2.95</v>
      </c>
      <c r="L135" s="150" t="s">
        <v>1897</v>
      </c>
      <c r="M135" s="150"/>
      <c r="N135" s="154">
        <f>MouserListTable[[#This Row],['# Initial]]*MouserListTable[[#This Row],[Price (USD)]]</f>
        <v>0</v>
      </c>
      <c r="O135" s="151" t="s">
        <v>482</v>
      </c>
      <c r="P135" s="150">
        <f t="shared" si="1"/>
        <v>122</v>
      </c>
      <c r="Q135" s="150" t="s">
        <v>5</v>
      </c>
      <c r="R13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474-SPX-14343</v>
      </c>
      <c r="S135" s="157" t="str">
        <f>HYPERLINK("https://www.mouser.com/ProductDetail/" &amp;MouserListTable[[#This Row],[Mouser SKU]])</f>
        <v>https://www.mouser.com/ProductDetail/474-SPX-14343</v>
      </c>
      <c r="T135" s="152">
        <v>1</v>
      </c>
      <c r="U135" s="152">
        <v>0</v>
      </c>
      <c r="V135" s="152">
        <v>0</v>
      </c>
      <c r="W135" s="152">
        <f>MouserListTable[[#This Row],['#/Unit]]*FilterSpecs!$C$3+MouserListTable[[#This Row],[Extra]]</f>
        <v>3</v>
      </c>
      <c r="X135" s="152">
        <f>IF(MouserListTable[[#This Row],[Tag]]=FilterSpecs!$F$7,MouserListTable[[#This Row],['#/Unit]]*MouserListTable[[#This Row],[Price (USD)]],0)</f>
        <v>0</v>
      </c>
      <c r="Y135" s="152">
        <f>MouserListTable[[#This Row],[Tot '#]]*MouserListTable[[#This Row],[Price (USD)]]</f>
        <v>59.849999999999994</v>
      </c>
      <c r="Z135" s="146"/>
      <c r="AA135" s="153" t="str">
        <f>AdafruitListTable[[#This Row],[SKU]]</f>
        <v>PRT-10158</v>
      </c>
      <c r="AB135" s="153">
        <f>VALUE(AdafruitListTable[[#This Row],['# Initial]])</f>
        <v>0</v>
      </c>
      <c r="AD135" s="153" t="s">
        <v>482</v>
      </c>
      <c r="AE135" s="153">
        <v>5</v>
      </c>
    </row>
    <row r="136" spans="1:31" s="153" customFormat="1" x14ac:dyDescent="0.25">
      <c r="A136" s="150" t="s">
        <v>890</v>
      </c>
      <c r="B136" s="150" t="s">
        <v>1877</v>
      </c>
      <c r="C136" s="150" t="s">
        <v>5</v>
      </c>
      <c r="D136" s="151" t="str">
        <f>IF(AdafruitListTable[[#This Row],[Vendor]]=FilterSpecs!$A$8,AdafruitListTable[[#This Row],[Mouser SKU]], AdafruitListTable[[#This Row],[Supplier SKU]])</f>
        <v>PRT-12693</v>
      </c>
      <c r="E136" s="152">
        <f>MouserListTable[[#This Row],[Tot '#]]-MouserListTable[[#This Row],['# Initial]]</f>
        <v>0</v>
      </c>
      <c r="F136" s="152">
        <f>IF(AND(MouserListTable[[#This Row],[Tag]]&lt;&gt;FilterSpecs!$F$12, MouserListTable[[#This Row],[Tag]]&lt;&gt;FilterSpecs!$F$9), MouserListTable[[#This Row],['#/Unit]]*FilterSpecs!$B$3+MouserListTable[[#This Row],[Extra Initial]],0)</f>
        <v>5</v>
      </c>
      <c r="G136" s="150" t="s">
        <v>467</v>
      </c>
      <c r="H136" s="150" t="s">
        <v>468</v>
      </c>
      <c r="I136" s="150" t="s">
        <v>469</v>
      </c>
      <c r="J136" s="150">
        <v>1</v>
      </c>
      <c r="K136" s="154">
        <v>0.75</v>
      </c>
      <c r="L136" s="150" t="s">
        <v>1897</v>
      </c>
      <c r="M136" s="150"/>
      <c r="N136" s="154">
        <f>MouserListTable[[#This Row],['# Initial]]*MouserListTable[[#This Row],[Price (USD)]]</f>
        <v>148.1</v>
      </c>
      <c r="O136" s="151" t="s">
        <v>466</v>
      </c>
      <c r="P136" s="150">
        <f t="shared" si="1"/>
        <v>123</v>
      </c>
      <c r="Q136" s="150" t="s">
        <v>5</v>
      </c>
      <c r="R13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975-RFD77306</v>
      </c>
      <c r="S136" s="157" t="str">
        <f>HYPERLINK("https://www.mouser.com/ProductDetail/" &amp;MouserListTable[[#This Row],[Mouser SKU]])</f>
        <v>https://www.mouser.com/ProductDetail/975-RFD77306</v>
      </c>
      <c r="T136" s="152">
        <v>1</v>
      </c>
      <c r="U136" s="152">
        <v>0</v>
      </c>
      <c r="V136" s="152">
        <v>0</v>
      </c>
      <c r="W136" s="152">
        <f>MouserListTable[[#This Row],['#/Unit]]*FilterSpecs!$C$3+MouserListTable[[#This Row],[Extra]]</f>
        <v>5</v>
      </c>
      <c r="X136" s="152">
        <f>IF(MouserListTable[[#This Row],[Tag]]=FilterSpecs!$F$7,MouserListTable[[#This Row],['#/Unit]]*MouserListTable[[#This Row],[Price (USD)]],0)</f>
        <v>29.62</v>
      </c>
      <c r="Y136" s="152">
        <f>MouserListTable[[#This Row],[Tot '#]]*MouserListTable[[#This Row],[Price (USD)]]</f>
        <v>148.1</v>
      </c>
      <c r="Z136" s="146"/>
      <c r="AA136" s="153" t="str">
        <f>AdafruitListTable[[#This Row],[SKU]]</f>
        <v>PRT-12693</v>
      </c>
      <c r="AB136" s="153">
        <f>VALUE(AdafruitListTable[[#This Row],['# Initial]])</f>
        <v>5</v>
      </c>
      <c r="AD136" s="153" t="s">
        <v>466</v>
      </c>
      <c r="AE136" s="153">
        <v>5</v>
      </c>
    </row>
    <row r="137" spans="1:31" s="153" customFormat="1" x14ac:dyDescent="0.25">
      <c r="A137" s="98" t="s">
        <v>890</v>
      </c>
      <c r="B137" s="98" t="s">
        <v>1877</v>
      </c>
      <c r="C137" s="150" t="s">
        <v>1884</v>
      </c>
      <c r="D137" s="151" t="str">
        <f>IF(AdafruitListTable[[#This Row],[Vendor]]=FilterSpecs!$A$8,AdafruitListTable[[#This Row],[Mouser SKU]], AdafruitListTable[[#This Row],[Supplier SKU]])</f>
        <v>400</v>
      </c>
      <c r="E137" s="152">
        <f>MouserListTable[[#This Row],[Tot '#]]-MouserListTable[[#This Row],['# Initial]]</f>
        <v>0</v>
      </c>
      <c r="F137" s="152">
        <f>IF(AND(MouserListTable[[#This Row],[Tag]]&lt;&gt;FilterSpecs!$F$12, MouserListTable[[#This Row],[Tag]]&lt;&gt;FilterSpecs!$F$9), MouserListTable[[#This Row],['#/Unit]]*FilterSpecs!$B$3+MouserListTable[[#This Row],[Extra Initial]],0)</f>
        <v>0</v>
      </c>
      <c r="I137" s="98" t="s">
        <v>2456</v>
      </c>
      <c r="J137" s="113">
        <v>117</v>
      </c>
      <c r="K137" s="119">
        <v>3</v>
      </c>
      <c r="L137" s="97" t="s">
        <v>1896</v>
      </c>
      <c r="N137" s="154">
        <f>MouserListTable[[#This Row],['# Initial]]*MouserListTable[[#This Row],[Price (USD)]]</f>
        <v>0</v>
      </c>
      <c r="O137" s="113" t="s">
        <v>2457</v>
      </c>
      <c r="P137" s="150">
        <f t="shared" si="1"/>
        <v>124</v>
      </c>
      <c r="Q137" s="150" t="s">
        <v>1884</v>
      </c>
      <c r="R13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474-SEN-00242</v>
      </c>
      <c r="S137" s="157" t="str">
        <f>HYPERLINK("https://www.mouser.com/ProductDetail/" &amp;MouserListTable[[#This Row],[Mouser SKU]])</f>
        <v>https://www.mouser.com/ProductDetail/474-SEN-00242</v>
      </c>
      <c r="T137" s="152">
        <v>0</v>
      </c>
      <c r="U137" s="152">
        <v>1</v>
      </c>
      <c r="V137" s="152">
        <v>1</v>
      </c>
      <c r="W137" s="152">
        <f>MouserListTable[[#This Row],['#/Unit]]*FilterSpecs!$C$3+MouserListTable[[#This Row],[Extra]]</f>
        <v>0</v>
      </c>
      <c r="X137" s="152">
        <f>IF(MouserListTable[[#This Row],[Tag]]=FilterSpecs!$F$7,MouserListTable[[#This Row],['#/Unit]]*MouserListTable[[#This Row],[Price (USD)]],0)</f>
        <v>0</v>
      </c>
      <c r="Y137" s="152">
        <f>MouserListTable[[#This Row],[Tot '#]]*MouserListTable[[#This Row],[Price (USD)]]</f>
        <v>0</v>
      </c>
      <c r="Z137" s="146"/>
      <c r="AA137" s="153" t="str">
        <f>AdafruitListTable[[#This Row],[SKU]]</f>
        <v>400</v>
      </c>
      <c r="AB137" s="153">
        <f>VALUE(AdafruitListTable[[#This Row],['# Initial]])</f>
        <v>0</v>
      </c>
      <c r="AD137" s="153" t="s">
        <v>2457</v>
      </c>
      <c r="AE137" s="153">
        <v>1</v>
      </c>
    </row>
    <row r="138" spans="1:31" s="153" customFormat="1" x14ac:dyDescent="0.25">
      <c r="A138" s="150" t="s">
        <v>890</v>
      </c>
      <c r="B138" s="150" t="s">
        <v>1877</v>
      </c>
      <c r="C138" s="150" t="s">
        <v>1884</v>
      </c>
      <c r="D138" s="151" t="str">
        <f>IF(AdafruitListTable[[#This Row],[Vendor]]=FilterSpecs!$A$8,AdafruitListTable[[#This Row],[Mouser SKU]], AdafruitListTable[[#This Row],[Supplier SKU]])</f>
        <v>1539</v>
      </c>
      <c r="E138" s="152">
        <f>MouserListTable[[#This Row],[Tot '#]]-MouserListTable[[#This Row],['# Initial]]</f>
        <v>0</v>
      </c>
      <c r="F138" s="152">
        <f>IF(AND(MouserListTable[[#This Row],[Tag]]&lt;&gt;FilterSpecs!$F$12, MouserListTable[[#This Row],[Tag]]&lt;&gt;FilterSpecs!$F$9), MouserListTable[[#This Row],['#/Unit]]*FilterSpecs!$B$3+MouserListTable[[#This Row],[Extra Initial]],0)</f>
        <v>0</v>
      </c>
      <c r="G138" s="150"/>
      <c r="H138" s="150"/>
      <c r="I138" s="150" t="s">
        <v>2161</v>
      </c>
      <c r="K138" s="154">
        <v>7.5</v>
      </c>
      <c r="L138" s="150" t="s">
        <v>1896</v>
      </c>
      <c r="M138" s="151"/>
      <c r="N138" s="154">
        <f>MouserListTable[[#This Row],['# Initial]]*MouserListTable[[#This Row],[Price (USD)]]</f>
        <v>0</v>
      </c>
      <c r="O138" s="151" t="s">
        <v>2160</v>
      </c>
      <c r="P138" s="150">
        <f t="shared" si="1"/>
        <v>125</v>
      </c>
      <c r="Q138" s="150" t="s">
        <v>1884</v>
      </c>
      <c r="R13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474-SEN-08733</v>
      </c>
      <c r="S138" s="157" t="str">
        <f>HYPERLINK("https://www.mouser.com/ProductDetail/" &amp;MouserListTable[[#This Row],[Mouser SKU]])</f>
        <v>https://www.mouser.com/ProductDetail/474-SEN-08733</v>
      </c>
      <c r="T138" s="152">
        <v>0</v>
      </c>
      <c r="U138" s="152">
        <v>1</v>
      </c>
      <c r="V138" s="152">
        <v>1</v>
      </c>
      <c r="W138" s="152">
        <f>MouserListTable[[#This Row],['#/Unit]]*FilterSpecs!$C$3+MouserListTable[[#This Row],[Extra]]</f>
        <v>0</v>
      </c>
      <c r="X138" s="152">
        <f>IF(MouserListTable[[#This Row],[Tag]]=FilterSpecs!$F$7,MouserListTable[[#This Row],['#/Unit]]*MouserListTable[[#This Row],[Price (USD)]],0)</f>
        <v>0</v>
      </c>
      <c r="Y138" s="152">
        <f>MouserListTable[[#This Row],[Tot '#]]*MouserListTable[[#This Row],[Price (USD)]]</f>
        <v>0</v>
      </c>
      <c r="Z138" s="146"/>
      <c r="AA138" s="153" t="str">
        <f>AdafruitListTable[[#This Row],[SKU]]</f>
        <v>1539</v>
      </c>
      <c r="AB138" s="153">
        <f>VALUE(AdafruitListTable[[#This Row],['# Initial]])</f>
        <v>0</v>
      </c>
      <c r="AD138" s="153" t="s">
        <v>2160</v>
      </c>
      <c r="AE138" s="153">
        <v>1</v>
      </c>
    </row>
    <row r="139" spans="1:31" s="153" customFormat="1" x14ac:dyDescent="0.25">
      <c r="A139" s="150" t="s">
        <v>890</v>
      </c>
      <c r="B139" s="150" t="s">
        <v>1877</v>
      </c>
      <c r="C139" s="150" t="s">
        <v>1884</v>
      </c>
      <c r="D139" s="151" t="str">
        <f>IF(AdafruitListTable[[#This Row],[Vendor]]=FilterSpecs!$A$8,AdafruitListTable[[#This Row],[Mouser SKU]], AdafruitListTable[[#This Row],[Supplier SKU]])</f>
        <v>1541</v>
      </c>
      <c r="E139" s="152">
        <f>MouserListTable[[#This Row],[Tot '#]]-MouserListTable[[#This Row],['# Initial]]</f>
        <v>0</v>
      </c>
      <c r="F139" s="152">
        <f>IF(AND(MouserListTable[[#This Row],[Tag]]&lt;&gt;FilterSpecs!$F$12, MouserListTable[[#This Row],[Tag]]&lt;&gt;FilterSpecs!$F$9), MouserListTable[[#This Row],['#/Unit]]*FilterSpecs!$B$3+MouserListTable[[#This Row],[Extra Initial]],0)</f>
        <v>0</v>
      </c>
      <c r="G139" s="150"/>
      <c r="H139" s="150"/>
      <c r="I139" s="150" t="s">
        <v>2163</v>
      </c>
      <c r="K139" s="154">
        <v>5.95</v>
      </c>
      <c r="L139" s="150" t="s">
        <v>1896</v>
      </c>
      <c r="M139" s="151"/>
      <c r="N139" s="154">
        <f>MouserListTable[[#This Row],['# Initial]]*MouserListTable[[#This Row],[Price (USD)]]</f>
        <v>0</v>
      </c>
      <c r="O139" s="151" t="s">
        <v>2162</v>
      </c>
      <c r="P139" s="150">
        <f t="shared" si="1"/>
        <v>126</v>
      </c>
      <c r="Q139" s="150" t="s">
        <v>1884</v>
      </c>
      <c r="R13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485-3538</v>
      </c>
      <c r="S139" s="157" t="str">
        <f>HYPERLINK("https://www.mouser.com/ProductDetail/" &amp;MouserListTable[[#This Row],[Mouser SKU]])</f>
        <v>https://www.mouser.com/ProductDetail/485-3538</v>
      </c>
      <c r="T139" s="152">
        <v>0</v>
      </c>
      <c r="U139" s="152">
        <v>1</v>
      </c>
      <c r="V139" s="152">
        <v>1</v>
      </c>
      <c r="W139" s="152">
        <f>MouserListTable[[#This Row],['#/Unit]]*FilterSpecs!$C$3+MouserListTable[[#This Row],[Extra]]</f>
        <v>0</v>
      </c>
      <c r="X139" s="152">
        <f>IF(MouserListTable[[#This Row],[Tag]]=FilterSpecs!$F$7,MouserListTable[[#This Row],['#/Unit]]*MouserListTable[[#This Row],[Price (USD)]],0)</f>
        <v>0</v>
      </c>
      <c r="Y139" s="152">
        <f>MouserListTable[[#This Row],[Tot '#]]*MouserListTable[[#This Row],[Price (USD)]]</f>
        <v>0</v>
      </c>
      <c r="Z139" s="146"/>
      <c r="AA139" s="153" t="str">
        <f>AdafruitListTable[[#This Row],[SKU]]</f>
        <v>1541</v>
      </c>
      <c r="AB139" s="153">
        <f>VALUE(AdafruitListTable[[#This Row],['# Initial]])</f>
        <v>0</v>
      </c>
      <c r="AD139" s="153" t="s">
        <v>2162</v>
      </c>
      <c r="AE139" s="153">
        <v>1</v>
      </c>
    </row>
    <row r="140" spans="1:31" s="153" customFormat="1" x14ac:dyDescent="0.25">
      <c r="A140" s="150" t="s">
        <v>890</v>
      </c>
      <c r="B140" s="150" t="s">
        <v>1877</v>
      </c>
      <c r="C140" s="150" t="s">
        <v>1884</v>
      </c>
      <c r="D140" s="151" t="str">
        <f>IF(AdafruitListTable[[#This Row],[Vendor]]=FilterSpecs!$A$8,AdafruitListTable[[#This Row],[Mouser SKU]], AdafruitListTable[[#This Row],[Supplier SKU]])</f>
        <v>2671</v>
      </c>
      <c r="E140" s="152">
        <f>MouserListTable[[#This Row],[Tot '#]]-MouserListTable[[#This Row],['# Initial]]</f>
        <v>0</v>
      </c>
      <c r="F140" s="152">
        <f>IF(AND(MouserListTable[[#This Row],[Tag]]&lt;&gt;FilterSpecs!$F$12, MouserListTable[[#This Row],[Tag]]&lt;&gt;FilterSpecs!$F$9), MouserListTable[[#This Row],['#/Unit]]*FilterSpecs!$B$3+MouserListTable[[#This Row],[Extra Initial]],0)</f>
        <v>5</v>
      </c>
      <c r="G140" s="150"/>
      <c r="H140" s="150"/>
      <c r="I140" s="150" t="s">
        <v>2155</v>
      </c>
      <c r="K140" s="154">
        <v>2.95</v>
      </c>
      <c r="L140" s="150" t="s">
        <v>1896</v>
      </c>
      <c r="M140" s="151"/>
      <c r="N140" s="154">
        <f>MouserListTable[[#This Row],['# Initial]]*MouserListTable[[#This Row],[Price (USD)]]</f>
        <v>74.75</v>
      </c>
      <c r="O140" s="151" t="s">
        <v>2154</v>
      </c>
      <c r="P140" s="150">
        <f t="shared" si="1"/>
        <v>127</v>
      </c>
      <c r="Q140" s="150" t="s">
        <v>1884</v>
      </c>
      <c r="R14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485-3317</v>
      </c>
      <c r="S140" s="157" t="str">
        <f>HYPERLINK("https://www.mouser.com/ProductDetail/" &amp;MouserListTable[[#This Row],[Mouser SKU]])</f>
        <v>https://www.mouser.com/ProductDetail/485-3317</v>
      </c>
      <c r="T140" s="152">
        <v>0</v>
      </c>
      <c r="U140" s="152">
        <v>1</v>
      </c>
      <c r="V140" s="152">
        <v>1</v>
      </c>
      <c r="W140" s="152">
        <f>MouserListTable[[#This Row],['#/Unit]]*FilterSpecs!$C$3+MouserListTable[[#This Row],[Extra]]</f>
        <v>5</v>
      </c>
      <c r="X140" s="152">
        <f>IF(MouserListTable[[#This Row],[Tag]]=FilterSpecs!$F$7,MouserListTable[[#This Row],['#/Unit]]*MouserListTable[[#This Row],[Price (USD)]],0)</f>
        <v>14.95</v>
      </c>
      <c r="Y140" s="152">
        <f>MouserListTable[[#This Row],[Tot '#]]*MouserListTable[[#This Row],[Price (USD)]]</f>
        <v>74.75</v>
      </c>
      <c r="Z140" s="146"/>
      <c r="AA140" s="153" t="str">
        <f>AdafruitListTable[[#This Row],[SKU]]</f>
        <v>2671</v>
      </c>
      <c r="AB140" s="153">
        <f>VALUE(AdafruitListTable[[#This Row],['# Initial]])</f>
        <v>5</v>
      </c>
      <c r="AD140" s="153" t="s">
        <v>2154</v>
      </c>
      <c r="AE140" s="153">
        <v>1</v>
      </c>
    </row>
    <row r="141" spans="1:31" s="153" customFormat="1" x14ac:dyDescent="0.25">
      <c r="A141" s="150" t="s">
        <v>890</v>
      </c>
      <c r="B141" s="150" t="s">
        <v>1878</v>
      </c>
      <c r="C141" s="150" t="s">
        <v>1884</v>
      </c>
      <c r="D141" s="151" t="str">
        <f>IF(AdafruitListTable[[#This Row],[Vendor]]=FilterSpecs!$A$8,AdafruitListTable[[#This Row],[Mouser SKU]], AdafruitListTable[[#This Row],[Supplier SKU]])</f>
        <v>598</v>
      </c>
      <c r="E141" s="152">
        <f>MouserListTable[[#This Row],[Tot '#]]-MouserListTable[[#This Row],['# Initial]]</f>
        <v>0</v>
      </c>
      <c r="F141" s="152">
        <f>IF(AND(MouserListTable[[#This Row],[Tag]]&lt;&gt;FilterSpecs!$F$12, MouserListTable[[#This Row],[Tag]]&lt;&gt;FilterSpecs!$F$9), MouserListTable[[#This Row],['#/Unit]]*FilterSpecs!$B$3+MouserListTable[[#This Row],[Extra Initial]],0)</f>
        <v>0</v>
      </c>
      <c r="G141" s="150"/>
      <c r="H141" s="150"/>
      <c r="I141" s="150" t="s">
        <v>2147</v>
      </c>
      <c r="K141" s="154">
        <v>2.95</v>
      </c>
      <c r="L141" s="150" t="s">
        <v>1896</v>
      </c>
      <c r="M141" s="151"/>
      <c r="N141" s="154">
        <f>MouserListTable[[#This Row],['# Initial]]*MouserListTable[[#This Row],[Price (USD)]]</f>
        <v>0</v>
      </c>
      <c r="O141" s="151" t="s">
        <v>2146</v>
      </c>
      <c r="P141" s="150">
        <f t="shared" si="1"/>
        <v>128</v>
      </c>
      <c r="Q141" s="150" t="s">
        <v>1884</v>
      </c>
      <c r="R14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485-3316</v>
      </c>
      <c r="S141" s="157" t="str">
        <f>HYPERLINK("https://www.mouser.com/ProductDetail/" &amp;MouserListTable[[#This Row],[Mouser SKU]])</f>
        <v>https://www.mouser.com/ProductDetail/485-3316</v>
      </c>
      <c r="T141" s="152">
        <v>0</v>
      </c>
      <c r="U141" s="152">
        <v>1</v>
      </c>
      <c r="V141" s="152">
        <v>1</v>
      </c>
      <c r="W141" s="152">
        <f>MouserListTable[[#This Row],['#/Unit]]*FilterSpecs!$C$3+MouserListTable[[#This Row],[Extra]]</f>
        <v>0</v>
      </c>
      <c r="X141" s="152">
        <f>IF(MouserListTable[[#This Row],[Tag]]=FilterSpecs!$F$7,MouserListTable[[#This Row],['#/Unit]]*MouserListTable[[#This Row],[Price (USD)]],0)</f>
        <v>0</v>
      </c>
      <c r="Y141" s="152">
        <f>MouserListTable[[#This Row],[Tot '#]]*MouserListTable[[#This Row],[Price (USD)]]</f>
        <v>0</v>
      </c>
      <c r="Z141" s="146"/>
      <c r="AA141" s="153" t="str">
        <f>AdafruitListTable[[#This Row],[SKU]]</f>
        <v>598</v>
      </c>
      <c r="AB141" s="153">
        <f>VALUE(AdafruitListTable[[#This Row],['# Initial]])</f>
        <v>0</v>
      </c>
      <c r="AD141" s="153" t="s">
        <v>2146</v>
      </c>
      <c r="AE141" s="153">
        <v>1</v>
      </c>
    </row>
    <row r="142" spans="1:31" s="153" customFormat="1" x14ac:dyDescent="0.25">
      <c r="A142" s="150" t="s">
        <v>890</v>
      </c>
      <c r="B142" s="150" t="s">
        <v>1878</v>
      </c>
      <c r="C142" s="150" t="s">
        <v>1884</v>
      </c>
      <c r="D142" s="151" t="str">
        <f>IF(AdafruitListTable[[#This Row],[Vendor]]=FilterSpecs!$A$8,AdafruitListTable[[#This Row],[Mouser SKU]], AdafruitListTable[[#This Row],[Supplier SKU]])</f>
        <v>3008</v>
      </c>
      <c r="E142" s="152">
        <f>MouserListTable[[#This Row],[Tot '#]]-MouserListTable[[#This Row],['# Initial]]</f>
        <v>0</v>
      </c>
      <c r="F142" s="152">
        <f>IF(AND(MouserListTable[[#This Row],[Tag]]&lt;&gt;FilterSpecs!$F$12, MouserListTable[[#This Row],[Tag]]&lt;&gt;FilterSpecs!$F$9), MouserListTable[[#This Row],['#/Unit]]*FilterSpecs!$B$3+MouserListTable[[#This Row],[Extra Initial]],0)</f>
        <v>0</v>
      </c>
      <c r="G142" s="150"/>
      <c r="H142" s="150"/>
      <c r="I142" s="150" t="s">
        <v>2149</v>
      </c>
      <c r="K142" s="154">
        <v>7.95</v>
      </c>
      <c r="L142" s="150" t="s">
        <v>1896</v>
      </c>
      <c r="M142" s="151"/>
      <c r="N142" s="154">
        <f>MouserListTable[[#This Row],['# Initial]]*MouserListTable[[#This Row],[Price (USD)]]</f>
        <v>0</v>
      </c>
      <c r="O142" s="151" t="s">
        <v>2148</v>
      </c>
      <c r="P142" s="150">
        <f t="shared" si="1"/>
        <v>129</v>
      </c>
      <c r="Q142" s="150" t="s">
        <v>1884</v>
      </c>
      <c r="R14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485-1568</v>
      </c>
      <c r="S142" s="157" t="str">
        <f>HYPERLINK("https://www.mouser.com/ProductDetail/" &amp;MouserListTable[[#This Row],[Mouser SKU]])</f>
        <v>https://www.mouser.com/ProductDetail/485-1568</v>
      </c>
      <c r="T142" s="152">
        <v>0</v>
      </c>
      <c r="U142" s="152">
        <v>1</v>
      </c>
      <c r="V142" s="152">
        <v>1</v>
      </c>
      <c r="W142" s="152">
        <f>MouserListTable[[#This Row],['#/Unit]]*FilterSpecs!$C$3+MouserListTable[[#This Row],[Extra]]</f>
        <v>0</v>
      </c>
      <c r="X142" s="152">
        <f>IF(MouserListTable[[#This Row],[Tag]]=FilterSpecs!$F$7,MouserListTable[[#This Row],['#/Unit]]*MouserListTable[[#This Row],[Price (USD)]],0)</f>
        <v>0</v>
      </c>
      <c r="Y142" s="152">
        <f>MouserListTable[[#This Row],[Tot '#]]*MouserListTable[[#This Row],[Price (USD)]]</f>
        <v>0</v>
      </c>
      <c r="Z142" s="146"/>
      <c r="AA142" s="153" t="str">
        <f>AdafruitListTable[[#This Row],[SKU]]</f>
        <v>3008</v>
      </c>
      <c r="AB142" s="153">
        <f>VALUE(AdafruitListTable[[#This Row],['# Initial]])</f>
        <v>0</v>
      </c>
      <c r="AD142" s="153" t="s">
        <v>2148</v>
      </c>
      <c r="AE142" s="153">
        <v>1</v>
      </c>
    </row>
    <row r="143" spans="1:31" s="153" customFormat="1" x14ac:dyDescent="0.25">
      <c r="A143" s="150" t="s">
        <v>890</v>
      </c>
      <c r="B143" s="150" t="s">
        <v>1878</v>
      </c>
      <c r="C143" s="150" t="s">
        <v>1884</v>
      </c>
      <c r="D143" s="151" t="str">
        <f>IF(AdafruitListTable[[#This Row],[Vendor]]=FilterSpecs!$A$8,AdafruitListTable[[#This Row],[Mouser SKU]], AdafruitListTable[[#This Row],[Supplier SKU]])</f>
        <v>1542</v>
      </c>
      <c r="E143" s="152">
        <f>MouserListTable[[#This Row],[Tot '#]]-MouserListTable[[#This Row],['# Initial]]</f>
        <v>0</v>
      </c>
      <c r="F143" s="152">
        <f>IF(AND(MouserListTable[[#This Row],[Tag]]&lt;&gt;FilterSpecs!$F$12, MouserListTable[[#This Row],[Tag]]&lt;&gt;FilterSpecs!$F$9), MouserListTable[[#This Row],['#/Unit]]*FilterSpecs!$B$3+MouserListTable[[#This Row],[Extra Initial]],0)</f>
        <v>0</v>
      </c>
      <c r="G143" s="150"/>
      <c r="H143" s="150"/>
      <c r="I143" s="150" t="s">
        <v>2139</v>
      </c>
      <c r="K143" s="154">
        <v>4.95</v>
      </c>
      <c r="L143" s="150" t="s">
        <v>1896</v>
      </c>
      <c r="M143" s="151"/>
      <c r="N143" s="154">
        <f>MouserListTable[[#This Row],['# Initial]]*MouserListTable[[#This Row],[Price (USD)]]</f>
        <v>0</v>
      </c>
      <c r="O143" s="151" t="s">
        <v>2138</v>
      </c>
      <c r="P143" s="150">
        <f t="shared" ref="P143:P199" si="2">IF($P142="List #",1,$P142+1)</f>
        <v>130</v>
      </c>
      <c r="Q143" s="150" t="s">
        <v>1884</v>
      </c>
      <c r="R14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485-164</v>
      </c>
      <c r="S143" s="157" t="str">
        <f>HYPERLINK("https://www.mouser.com/ProductDetail/" &amp;MouserListTable[[#This Row],[Mouser SKU]])</f>
        <v>https://www.mouser.com/ProductDetail/485-164</v>
      </c>
      <c r="T143" s="152">
        <v>0</v>
      </c>
      <c r="U143" s="152">
        <v>1</v>
      </c>
      <c r="V143" s="152">
        <v>1</v>
      </c>
      <c r="W143" s="152">
        <f>MouserListTable[[#This Row],['#/Unit]]*FilterSpecs!$C$3+MouserListTable[[#This Row],[Extra]]</f>
        <v>0</v>
      </c>
      <c r="X143" s="152">
        <f>IF(MouserListTable[[#This Row],[Tag]]=FilterSpecs!$F$7,MouserListTable[[#This Row],['#/Unit]]*MouserListTable[[#This Row],[Price (USD)]],0)</f>
        <v>0</v>
      </c>
      <c r="Y143" s="152">
        <f>MouserListTable[[#This Row],[Tot '#]]*MouserListTable[[#This Row],[Price (USD)]]</f>
        <v>0</v>
      </c>
      <c r="Z143" s="146"/>
      <c r="AA143" s="153" t="str">
        <f>AdafruitListTable[[#This Row],[SKU]]</f>
        <v>1542</v>
      </c>
      <c r="AB143" s="153">
        <f>VALUE(AdafruitListTable[[#This Row],['# Initial]])</f>
        <v>0</v>
      </c>
      <c r="AD143" s="153" t="s">
        <v>2138</v>
      </c>
      <c r="AE143" s="153">
        <v>1</v>
      </c>
    </row>
    <row r="144" spans="1:31" s="153" customFormat="1" x14ac:dyDescent="0.25">
      <c r="A144" s="150" t="s">
        <v>890</v>
      </c>
      <c r="B144" s="150" t="s">
        <v>1878</v>
      </c>
      <c r="C144" s="150" t="s">
        <v>1884</v>
      </c>
      <c r="D144" s="151" t="str">
        <f>IF(AdafruitListTable[[#This Row],[Vendor]]=FilterSpecs!$A$8,AdafruitListTable[[#This Row],[Mouser SKU]], AdafruitListTable[[#This Row],[Supplier SKU]])</f>
        <v>1544</v>
      </c>
      <c r="E144" s="152">
        <f>MouserListTable[[#This Row],[Tot '#]]-MouserListTable[[#This Row],['# Initial]]</f>
        <v>0</v>
      </c>
      <c r="F144" s="152">
        <f>IF(AND(MouserListTable[[#This Row],[Tag]]&lt;&gt;FilterSpecs!$F$12, MouserListTable[[#This Row],[Tag]]&lt;&gt;FilterSpecs!$F$9), MouserListTable[[#This Row],['#/Unit]]*FilterSpecs!$B$3+MouserListTable[[#This Row],[Extra Initial]],0)</f>
        <v>0</v>
      </c>
      <c r="G144" s="150"/>
      <c r="H144" s="150"/>
      <c r="I144" s="150" t="s">
        <v>2137</v>
      </c>
      <c r="K144" s="154">
        <v>5.95</v>
      </c>
      <c r="L144" s="150" t="s">
        <v>1896</v>
      </c>
      <c r="M144" s="151"/>
      <c r="N144" s="154">
        <f>MouserListTable[[#This Row],['# Initial]]*MouserListTable[[#This Row],[Price (USD)]]</f>
        <v>0</v>
      </c>
      <c r="O144" s="151" t="s">
        <v>2136</v>
      </c>
      <c r="P144" s="150">
        <f t="shared" si="2"/>
        <v>131</v>
      </c>
      <c r="Q144" s="150" t="s">
        <v>1884</v>
      </c>
      <c r="R14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485-1031</v>
      </c>
      <c r="S144" s="157" t="str">
        <f>HYPERLINK("https://www.mouser.com/ProductDetail/" &amp;MouserListTable[[#This Row],[Mouser SKU]])</f>
        <v>https://www.mouser.com/ProductDetail/485-1031</v>
      </c>
      <c r="T144" s="152">
        <v>0</v>
      </c>
      <c r="U144" s="152">
        <v>1</v>
      </c>
      <c r="V144" s="152">
        <v>1</v>
      </c>
      <c r="W144" s="152">
        <f>MouserListTable[[#This Row],['#/Unit]]*FilterSpecs!$C$3+MouserListTable[[#This Row],[Extra]]</f>
        <v>0</v>
      </c>
      <c r="X144" s="152">
        <f>IF(MouserListTable[[#This Row],[Tag]]=FilterSpecs!$F$7,MouserListTable[[#This Row],['#/Unit]]*MouserListTable[[#This Row],[Price (USD)]],0)</f>
        <v>0</v>
      </c>
      <c r="Y144" s="152">
        <f>MouserListTable[[#This Row],[Tot '#]]*MouserListTable[[#This Row],[Price (USD)]]</f>
        <v>0</v>
      </c>
      <c r="Z144" s="146"/>
      <c r="AA144" s="153" t="str">
        <f>AdafruitListTable[[#This Row],[SKU]]</f>
        <v>1544</v>
      </c>
      <c r="AB144" s="153">
        <f>VALUE(AdafruitListTable[[#This Row],['# Initial]])</f>
        <v>0</v>
      </c>
      <c r="AD144" s="153" t="s">
        <v>2136</v>
      </c>
      <c r="AE144" s="153">
        <v>1</v>
      </c>
    </row>
    <row r="145" spans="1:31" s="153" customFormat="1" x14ac:dyDescent="0.25">
      <c r="A145" s="150" t="s">
        <v>890</v>
      </c>
      <c r="B145" s="150" t="s">
        <v>1878</v>
      </c>
      <c r="C145" s="150" t="s">
        <v>1884</v>
      </c>
      <c r="D145" s="151" t="str">
        <f>IF(AdafruitListTable[[#This Row],[Vendor]]=FilterSpecs!$A$8,AdafruitListTable[[#This Row],[Mouser SKU]], AdafruitListTable[[#This Row],[Supplier SKU]])</f>
        <v>1543</v>
      </c>
      <c r="E145" s="152">
        <f>MouserListTable[[#This Row],[Tot '#]]-MouserListTable[[#This Row],['# Initial]]</f>
        <v>0</v>
      </c>
      <c r="F145" s="152">
        <f>IF(AND(MouserListTable[[#This Row],[Tag]]&lt;&gt;FilterSpecs!$F$12, MouserListTable[[#This Row],[Tag]]&lt;&gt;FilterSpecs!$F$9), MouserListTable[[#This Row],['#/Unit]]*FilterSpecs!$B$3+MouserListTable[[#This Row],[Extra Initial]],0)</f>
        <v>5</v>
      </c>
      <c r="G145" s="150"/>
      <c r="H145" s="150"/>
      <c r="I145" s="150" t="s">
        <v>2135</v>
      </c>
      <c r="K145" s="154">
        <v>7.95</v>
      </c>
      <c r="L145" s="150" t="s">
        <v>1896</v>
      </c>
      <c r="M145" s="151"/>
      <c r="N145" s="154">
        <f>MouserListTable[[#This Row],['# Initial]]*MouserListTable[[#This Row],[Price (USD)]]</f>
        <v>92.5</v>
      </c>
      <c r="O145" s="151" t="s">
        <v>2134</v>
      </c>
      <c r="P145" s="150">
        <f t="shared" si="2"/>
        <v>132</v>
      </c>
      <c r="Q145" s="150" t="s">
        <v>1884</v>
      </c>
      <c r="R14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511-53L0-SATEL-I1</v>
      </c>
      <c r="S145" s="157" t="str">
        <f>HYPERLINK("https://www.mouser.com/ProductDetail/" &amp;MouserListTable[[#This Row],[Mouser SKU]])</f>
        <v>https://www.mouser.com/ProductDetail/511-53L0-SATEL-I1</v>
      </c>
      <c r="T145" s="152">
        <v>0</v>
      </c>
      <c r="U145" s="152">
        <v>1</v>
      </c>
      <c r="V145" s="152">
        <v>1</v>
      </c>
      <c r="W145" s="152">
        <f>MouserListTable[[#This Row],['#/Unit]]*FilterSpecs!$C$3+MouserListTable[[#This Row],[Extra]]</f>
        <v>5</v>
      </c>
      <c r="X145" s="152">
        <f>IF(MouserListTable[[#This Row],[Tag]]=FilterSpecs!$F$7,MouserListTable[[#This Row],['#/Unit]]*MouserListTable[[#This Row],[Price (USD)]],0)</f>
        <v>18.5</v>
      </c>
      <c r="Y145" s="152">
        <f>MouserListTable[[#This Row],[Tot '#]]*MouserListTable[[#This Row],[Price (USD)]]</f>
        <v>92.5</v>
      </c>
      <c r="Z145" s="146"/>
      <c r="AA145" s="153" t="str">
        <f>AdafruitListTable[[#This Row],[SKU]]</f>
        <v>1543</v>
      </c>
      <c r="AB145" s="153">
        <f>VALUE(AdafruitListTable[[#This Row],['# Initial]])</f>
        <v>5</v>
      </c>
      <c r="AD145" s="153" t="s">
        <v>2134</v>
      </c>
      <c r="AE145" s="153">
        <v>1</v>
      </c>
    </row>
    <row r="146" spans="1:31" s="153" customFormat="1" x14ac:dyDescent="0.25">
      <c r="A146" s="150" t="s">
        <v>890</v>
      </c>
      <c r="B146" s="150" t="s">
        <v>1878</v>
      </c>
      <c r="C146" s="150" t="s">
        <v>5</v>
      </c>
      <c r="D146" s="151" t="str">
        <f>IF(AdafruitListTable[[#This Row],[Vendor]]=FilterSpecs!$A$8,AdafruitListTable[[#This Row],[Mouser SKU]], AdafruitListTable[[#This Row],[Supplier SKU]])</f>
        <v>PRT-10877</v>
      </c>
      <c r="E146" s="152">
        <f>MouserListTable[[#This Row],[Tot '#]]-MouserListTable[[#This Row],['# Initial]]</f>
        <v>0</v>
      </c>
      <c r="F146" s="152">
        <f>IF(AND(MouserListTable[[#This Row],[Tag]]&lt;&gt;FilterSpecs!$F$12, MouserListTable[[#This Row],[Tag]]&lt;&gt;FilterSpecs!$F$9), MouserListTable[[#This Row],['#/Unit]]*FilterSpecs!$B$3+MouserListTable[[#This Row],[Extra Initial]],0)</f>
        <v>5</v>
      </c>
      <c r="G146" s="150" t="s">
        <v>1522</v>
      </c>
      <c r="H146" s="150" t="s">
        <v>1523</v>
      </c>
      <c r="I146" s="150" t="s">
        <v>1524</v>
      </c>
      <c r="J146" s="150">
        <v>1</v>
      </c>
      <c r="K146" s="154">
        <v>1.5</v>
      </c>
      <c r="L146" s="150" t="s">
        <v>1897</v>
      </c>
      <c r="M146" s="150"/>
      <c r="N146" s="154">
        <f>MouserListTable[[#This Row],['# Initial]]*MouserListTable[[#This Row],[Price (USD)]]</f>
        <v>14.75</v>
      </c>
      <c r="O146" s="151" t="s">
        <v>1521</v>
      </c>
      <c r="P146" s="150">
        <f t="shared" si="2"/>
        <v>133</v>
      </c>
      <c r="Q146" s="150" t="s">
        <v>5</v>
      </c>
      <c r="R14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474-SEN-09196</v>
      </c>
      <c r="S146" s="157" t="str">
        <f>HYPERLINK("https://www.mouser.com/ProductDetail/" &amp;MouserListTable[[#This Row],[Mouser SKU]])</f>
        <v>https://www.mouser.com/ProductDetail/474-SEN-09196</v>
      </c>
      <c r="T146" s="152">
        <v>1</v>
      </c>
      <c r="U146" s="152">
        <v>5</v>
      </c>
      <c r="V146" s="152">
        <v>0</v>
      </c>
      <c r="W146" s="152">
        <f>MouserListTable[[#This Row],['#/Unit]]*FilterSpecs!$C$3+MouserListTable[[#This Row],[Extra]]</f>
        <v>5</v>
      </c>
      <c r="X146" s="152">
        <f>IF(MouserListTable[[#This Row],[Tag]]=FilterSpecs!$F$7,MouserListTable[[#This Row],['#/Unit]]*MouserListTable[[#This Row],[Price (USD)]],0)</f>
        <v>2.95</v>
      </c>
      <c r="Y146" s="152">
        <f>MouserListTable[[#This Row],[Tot '#]]*MouserListTable[[#This Row],[Price (USD)]]</f>
        <v>14.75</v>
      </c>
      <c r="Z146" s="146"/>
      <c r="AA146" s="153" t="str">
        <f>AdafruitListTable[[#This Row],[SKU]]</f>
        <v>PRT-10877</v>
      </c>
      <c r="AB146" s="153">
        <f>VALUE(AdafruitListTable[[#This Row],['# Initial]])</f>
        <v>5</v>
      </c>
      <c r="AD146" s="153" t="s">
        <v>1521</v>
      </c>
      <c r="AE146" s="153">
        <v>5</v>
      </c>
    </row>
    <row r="147" spans="1:31" s="153" customFormat="1" x14ac:dyDescent="0.25">
      <c r="A147" s="150" t="s">
        <v>890</v>
      </c>
      <c r="B147" s="150" t="s">
        <v>1878</v>
      </c>
      <c r="C147" s="150" t="s">
        <v>5</v>
      </c>
      <c r="D147" s="151" t="str">
        <f>IF(AdafruitListTable[[#This Row],[Vendor]]=FilterSpecs!$A$8,AdafruitListTable[[#This Row],[Mouser SKU]], AdafruitListTable[[#This Row],[Supplier SKU]])</f>
        <v>PRT-08506</v>
      </c>
      <c r="E147" s="152">
        <f>MouserListTable[[#This Row],[Tot '#]]-MouserListTable[[#This Row],['# Initial]]</f>
        <v>0</v>
      </c>
      <c r="F147" s="152">
        <f>IF(AND(MouserListTable[[#This Row],[Tag]]&lt;&gt;FilterSpecs!$F$12, MouserListTable[[#This Row],[Tag]]&lt;&gt;FilterSpecs!$F$9), MouserListTable[[#This Row],['#/Unit]]*FilterSpecs!$B$3+MouserListTable[[#This Row],[Extra Initial]],0)</f>
        <v>0</v>
      </c>
      <c r="G147" s="150" t="s">
        <v>1526</v>
      </c>
      <c r="H147" s="150" t="s">
        <v>1527</v>
      </c>
      <c r="I147" s="150" t="s">
        <v>1528</v>
      </c>
      <c r="J147" s="150">
        <v>1</v>
      </c>
      <c r="K147" s="154">
        <v>1.5</v>
      </c>
      <c r="L147" s="150" t="s">
        <v>1897</v>
      </c>
      <c r="M147" s="150"/>
      <c r="N147" s="154">
        <f>MouserListTable[[#This Row],['# Initial]]*MouserListTable[[#This Row],[Price (USD)]]</f>
        <v>0</v>
      </c>
      <c r="O147" s="151" t="s">
        <v>1525</v>
      </c>
      <c r="P147" s="150">
        <f t="shared" si="2"/>
        <v>134</v>
      </c>
      <c r="Q147" s="150" t="s">
        <v>5</v>
      </c>
      <c r="R14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474-SEN-09197</v>
      </c>
      <c r="S147" s="157" t="str">
        <f>HYPERLINK("https://www.mouser.com/ProductDetail/" &amp;MouserListTable[[#This Row],[Mouser SKU]])</f>
        <v>https://www.mouser.com/ProductDetail/474-SEN-09197</v>
      </c>
      <c r="T147" s="152">
        <v>1</v>
      </c>
      <c r="U147" s="152">
        <v>5</v>
      </c>
      <c r="V147" s="152">
        <v>0</v>
      </c>
      <c r="W147" s="152">
        <f>MouserListTable[[#This Row],['#/Unit]]*FilterSpecs!$C$3+MouserListTable[[#This Row],[Extra]]</f>
        <v>0</v>
      </c>
      <c r="X147" s="152">
        <f>IF(MouserListTable[[#This Row],[Tag]]=FilterSpecs!$F$7,MouserListTable[[#This Row],['#/Unit]]*MouserListTable[[#This Row],[Price (USD)]],0)</f>
        <v>0</v>
      </c>
      <c r="Y147" s="152">
        <f>MouserListTable[[#This Row],[Tot '#]]*MouserListTable[[#This Row],[Price (USD)]]</f>
        <v>0</v>
      </c>
      <c r="Z147" s="146"/>
      <c r="AA147" s="153" t="str">
        <f>AdafruitListTable[[#This Row],[SKU]]</f>
        <v>PRT-08506</v>
      </c>
      <c r="AB147" s="153">
        <f>VALUE(AdafruitListTable[[#This Row],['# Initial]])</f>
        <v>0</v>
      </c>
      <c r="AD147" s="153" t="s">
        <v>1525</v>
      </c>
      <c r="AE147" s="153">
        <v>5</v>
      </c>
    </row>
    <row r="148" spans="1:31" s="153" customFormat="1" x14ac:dyDescent="0.25">
      <c r="A148" s="150" t="s">
        <v>890</v>
      </c>
      <c r="B148" s="150" t="s">
        <v>1878</v>
      </c>
      <c r="C148" s="150" t="s">
        <v>1884</v>
      </c>
      <c r="D148" s="151" t="str">
        <f>IF(AdafruitListTable[[#This Row],[Vendor]]=FilterSpecs!$A$8,AdafruitListTable[[#This Row],[Mouser SKU]], AdafruitListTable[[#This Row],[Supplier SKU]])</f>
        <v>366</v>
      </c>
      <c r="E148" s="152">
        <f>MouserListTable[[#This Row],[Tot '#]]-MouserListTable[[#This Row],['# Initial]]</f>
        <v>0</v>
      </c>
      <c r="F148" s="152">
        <f>IF(AND(MouserListTable[[#This Row],[Tag]]&lt;&gt;FilterSpecs!$F$12, MouserListTable[[#This Row],[Tag]]&lt;&gt;FilterSpecs!$F$9), MouserListTable[[#This Row],['#/Unit]]*FilterSpecs!$B$3+MouserListTable[[#This Row],[Extra Initial]],0)</f>
        <v>0</v>
      </c>
      <c r="G148" s="150"/>
      <c r="H148" s="150"/>
      <c r="I148" s="150" t="s">
        <v>2141</v>
      </c>
      <c r="K148" s="154">
        <v>0.95</v>
      </c>
      <c r="L148" s="150" t="s">
        <v>1896</v>
      </c>
      <c r="M148" s="151"/>
      <c r="N148" s="154">
        <f>MouserListTable[[#This Row],['# Initial]]*MouserListTable[[#This Row],[Price (USD)]]</f>
        <v>0</v>
      </c>
      <c r="O148" s="151" t="s">
        <v>2140</v>
      </c>
      <c r="P148" s="150">
        <f t="shared" si="2"/>
        <v>135</v>
      </c>
      <c r="Q148" s="150" t="s">
        <v>1884</v>
      </c>
      <c r="R14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474-SEN-09198</v>
      </c>
      <c r="S148" s="157" t="str">
        <f>HYPERLINK("https://www.mouser.com/ProductDetail/" &amp;MouserListTable[[#This Row],[Mouser SKU]])</f>
        <v>https://www.mouser.com/ProductDetail/474-SEN-09198</v>
      </c>
      <c r="T148" s="152">
        <v>2</v>
      </c>
      <c r="U148" s="152">
        <v>0</v>
      </c>
      <c r="V148" s="152">
        <v>0</v>
      </c>
      <c r="W148" s="152">
        <f>MouserListTable[[#This Row],['#/Unit]]*FilterSpecs!$C$3+MouserListTable[[#This Row],[Extra]]</f>
        <v>0</v>
      </c>
      <c r="X148" s="152">
        <f>IF(MouserListTable[[#This Row],[Tag]]=FilterSpecs!$F$7,MouserListTable[[#This Row],['#/Unit]]*MouserListTable[[#This Row],[Price (USD)]],0)</f>
        <v>0</v>
      </c>
      <c r="Y148" s="152">
        <f>MouserListTable[[#This Row],[Tot '#]]*MouserListTable[[#This Row],[Price (USD)]]</f>
        <v>0</v>
      </c>
      <c r="Z148" s="146"/>
      <c r="AA148" s="153" t="str">
        <f>AdafruitListTable[[#This Row],[SKU]]</f>
        <v>366</v>
      </c>
      <c r="AB148" s="153">
        <f>VALUE(AdafruitListTable[[#This Row],['# Initial]])</f>
        <v>0</v>
      </c>
      <c r="AD148" s="153" t="s">
        <v>2140</v>
      </c>
      <c r="AE148" s="153">
        <v>10</v>
      </c>
    </row>
    <row r="149" spans="1:31" s="153" customFormat="1" x14ac:dyDescent="0.25">
      <c r="A149" s="150" t="s">
        <v>890</v>
      </c>
      <c r="B149" s="150" t="s">
        <v>1878</v>
      </c>
      <c r="C149" s="150" t="s">
        <v>1884</v>
      </c>
      <c r="D149" s="151" t="str">
        <f>IF(AdafruitListTable[[#This Row],[Vendor]]=FilterSpecs!$A$8,AdafruitListTable[[#This Row],[Mouser SKU]], AdafruitListTable[[#This Row],[Supplier SKU]])</f>
        <v>2672</v>
      </c>
      <c r="E149" s="152">
        <f>MouserListTable[[#This Row],[Tot '#]]-MouserListTable[[#This Row],['# Initial]]</f>
        <v>0</v>
      </c>
      <c r="F149" s="152">
        <f>IF(AND(MouserListTable[[#This Row],[Tag]]&lt;&gt;FilterSpecs!$F$12, MouserListTable[[#This Row],[Tag]]&lt;&gt;FilterSpecs!$F$9), MouserListTable[[#This Row],['#/Unit]]*FilterSpecs!$B$3+MouserListTable[[#This Row],[Extra Initial]],0)</f>
        <v>0</v>
      </c>
      <c r="G149" s="150"/>
      <c r="H149" s="150"/>
      <c r="I149" s="150" t="s">
        <v>2143</v>
      </c>
      <c r="K149" s="154">
        <v>3.95</v>
      </c>
      <c r="L149" s="150" t="s">
        <v>1896</v>
      </c>
      <c r="M149" s="151"/>
      <c r="N149" s="154">
        <f>MouserListTable[[#This Row],['# Initial]]*MouserListTable[[#This Row],[Price (USD)]]</f>
        <v>0</v>
      </c>
      <c r="O149" s="151" t="s">
        <v>2142</v>
      </c>
      <c r="P149" s="150">
        <f t="shared" si="2"/>
        <v>136</v>
      </c>
      <c r="Q149" s="150" t="s">
        <v>1884</v>
      </c>
      <c r="R14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474-SEN-09199</v>
      </c>
      <c r="S149" s="157" t="str">
        <f>HYPERLINK("https://www.mouser.com/ProductDetail/" &amp;MouserListTable[[#This Row],[Mouser SKU]])</f>
        <v>https://www.mouser.com/ProductDetail/474-SEN-09199</v>
      </c>
      <c r="T149" s="152">
        <v>0</v>
      </c>
      <c r="U149" s="152">
        <v>1</v>
      </c>
      <c r="V149" s="152">
        <v>1</v>
      </c>
      <c r="W149" s="152">
        <f>MouserListTable[[#This Row],['#/Unit]]*FilterSpecs!$C$3+MouserListTable[[#This Row],[Extra]]</f>
        <v>0</v>
      </c>
      <c r="X149" s="152">
        <f>IF(MouserListTable[[#This Row],[Tag]]=FilterSpecs!$F$7,MouserListTable[[#This Row],['#/Unit]]*MouserListTable[[#This Row],[Price (USD)]],0)</f>
        <v>0</v>
      </c>
      <c r="Y149" s="152">
        <f>MouserListTable[[#This Row],[Tot '#]]*MouserListTable[[#This Row],[Price (USD)]]</f>
        <v>0</v>
      </c>
      <c r="Z149" s="146"/>
      <c r="AA149" s="153" t="str">
        <f>AdafruitListTable[[#This Row],[SKU]]</f>
        <v>2672</v>
      </c>
      <c r="AB149" s="153">
        <f>VALUE(AdafruitListTable[[#This Row],['# Initial]])</f>
        <v>0</v>
      </c>
      <c r="AD149" s="153" t="s">
        <v>2142</v>
      </c>
      <c r="AE149" s="153">
        <v>1</v>
      </c>
    </row>
    <row r="150" spans="1:31" s="153" customFormat="1" x14ac:dyDescent="0.25">
      <c r="A150" s="97" t="s">
        <v>890</v>
      </c>
      <c r="B150" s="97" t="s">
        <v>1876</v>
      </c>
      <c r="C150" s="150" t="s">
        <v>5</v>
      </c>
      <c r="D150" s="151" t="str">
        <f>IF(AdafruitListTable[[#This Row],[Vendor]]=FilterSpecs!$A$8,AdafruitListTable[[#This Row],[Mouser SKU]], AdafruitListTable[[#This Row],[Supplier SKU]])</f>
        <v>COM-14085</v>
      </c>
      <c r="E150" s="152">
        <f>MouserListTable[[#This Row],[Tot '#]]-MouserListTable[[#This Row],['# Initial]]</f>
        <v>0</v>
      </c>
      <c r="F150" s="152">
        <f>IF(AND(MouserListTable[[#This Row],[Tag]]&lt;&gt;FilterSpecs!$F$12, MouserListTable[[#This Row],[Tag]]&lt;&gt;FilterSpecs!$F$9), MouserListTable[[#This Row],['#/Unit]]*FilterSpecs!$B$3+MouserListTable[[#This Row],[Extra Initial]],0)</f>
        <v>0</v>
      </c>
      <c r="G150" s="150" t="s">
        <v>813</v>
      </c>
      <c r="H150" s="150" t="s">
        <v>814</v>
      </c>
      <c r="I150" s="150" t="s">
        <v>815</v>
      </c>
      <c r="J150" s="150">
        <v>1</v>
      </c>
      <c r="K150" s="154">
        <v>0.95</v>
      </c>
      <c r="L150" s="150" t="s">
        <v>1896</v>
      </c>
      <c r="M150" s="150"/>
      <c r="N150" s="154">
        <f>MouserListTable[[#This Row],['# Initial]]*MouserListTable[[#This Row],[Price (USD)]]</f>
        <v>0</v>
      </c>
      <c r="O150" s="151" t="s">
        <v>812</v>
      </c>
      <c r="P150" s="150">
        <f t="shared" si="2"/>
        <v>137</v>
      </c>
      <c r="Q150" s="150" t="s">
        <v>5</v>
      </c>
      <c r="R15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485-1071</v>
      </c>
      <c r="S150" s="157" t="str">
        <f>HYPERLINK("https://www.mouser.com/ProductDetail/" &amp;MouserListTable[[#This Row],[Mouser SKU]])</f>
        <v>https://www.mouser.com/ProductDetail/485-1071</v>
      </c>
      <c r="T150" s="152">
        <v>5</v>
      </c>
      <c r="U150" s="152">
        <v>0</v>
      </c>
      <c r="V150" s="152">
        <v>0</v>
      </c>
      <c r="W150" s="152">
        <f>MouserListTable[[#This Row],['#/Unit]]*FilterSpecs!$C$3+MouserListTable[[#This Row],[Extra]]</f>
        <v>0</v>
      </c>
      <c r="X150" s="152">
        <f>IF(MouserListTable[[#This Row],[Tag]]=FilterSpecs!$F$7,MouserListTable[[#This Row],['#/Unit]]*MouserListTable[[#This Row],[Price (USD)]],0)</f>
        <v>0</v>
      </c>
      <c r="Y150" s="152">
        <f>MouserListTable[[#This Row],[Tot '#]]*MouserListTable[[#This Row],[Price (USD)]]</f>
        <v>0</v>
      </c>
      <c r="Z150" s="146"/>
      <c r="AA150" s="153" t="str">
        <f>AdafruitListTable[[#This Row],[SKU]]</f>
        <v>COM-14085</v>
      </c>
      <c r="AB150" s="153">
        <f>VALUE(AdafruitListTable[[#This Row],['# Initial]])</f>
        <v>0</v>
      </c>
      <c r="AD150" s="153" t="s">
        <v>812</v>
      </c>
      <c r="AE150" s="153">
        <v>25</v>
      </c>
    </row>
    <row r="151" spans="1:31" s="104" customFormat="1" x14ac:dyDescent="0.25">
      <c r="A151" s="151" t="s">
        <v>890</v>
      </c>
      <c r="B151" s="151" t="s">
        <v>2002</v>
      </c>
      <c r="C151" s="150" t="s">
        <v>1884</v>
      </c>
      <c r="D151" s="151" t="str">
        <f>IF(AdafruitListTable[[#This Row],[Vendor]]=FilterSpecs!$A$8,AdafruitListTable[[#This Row],[Mouser SKU]], AdafruitListTable[[#This Row],[Supplier SKU]])</f>
        <v>3145</v>
      </c>
      <c r="E151" s="152">
        <f>MouserListTable[[#This Row],[Tot '#]]-MouserListTable[[#This Row],['# Initial]]</f>
        <v>0</v>
      </c>
      <c r="F151" s="152">
        <f>IF(AND(MouserListTable[[#This Row],[Tag]]&lt;&gt;FilterSpecs!$F$12, MouserListTable[[#This Row],[Tag]]&lt;&gt;FilterSpecs!$F$9), MouserListTable[[#This Row],['#/Unit]]*FilterSpecs!$B$3+MouserListTable[[#This Row],[Extra Initial]],0)</f>
        <v>0</v>
      </c>
      <c r="G151" s="150"/>
      <c r="H151" s="150"/>
      <c r="I151" s="151" t="s">
        <v>2181</v>
      </c>
      <c r="J151" s="153"/>
      <c r="K151" s="154">
        <v>1.95</v>
      </c>
      <c r="L151" s="151" t="s">
        <v>1896</v>
      </c>
      <c r="M151" s="151"/>
      <c r="N151" s="154">
        <f>MouserListTable[[#This Row],['# Initial]]*MouserListTable[[#This Row],[Price (USD)]]</f>
        <v>0</v>
      </c>
      <c r="O151" s="151" t="s">
        <v>2180</v>
      </c>
      <c r="P151" s="150">
        <f t="shared" si="2"/>
        <v>138</v>
      </c>
      <c r="Q151" s="150" t="s">
        <v>1884</v>
      </c>
      <c r="R15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474-SEN-09674</v>
      </c>
      <c r="S151" s="157" t="str">
        <f>HYPERLINK("https://www.mouser.com/ProductDetail/" &amp;MouserListTable[[#This Row],[Mouser SKU]])</f>
        <v>https://www.mouser.com/ProductDetail/474-SEN-09674</v>
      </c>
      <c r="T151" s="152">
        <v>0</v>
      </c>
      <c r="U151" s="152">
        <v>3</v>
      </c>
      <c r="V151" s="152">
        <v>3</v>
      </c>
      <c r="W151" s="152">
        <f>MouserListTable[[#This Row],['#/Unit]]*FilterSpecs!$C$3+MouserListTable[[#This Row],[Extra]]</f>
        <v>0</v>
      </c>
      <c r="X151" s="152">
        <f>IF(MouserListTable[[#This Row],[Tag]]=FilterSpecs!$F$7,MouserListTable[[#This Row],['#/Unit]]*MouserListTable[[#This Row],[Price (USD)]],0)</f>
        <v>0</v>
      </c>
      <c r="Y151" s="152">
        <f>MouserListTable[[#This Row],[Tot '#]]*MouserListTable[[#This Row],[Price (USD)]]</f>
        <v>0</v>
      </c>
      <c r="Z151" s="146"/>
      <c r="AA151" s="153" t="str">
        <f>AdafruitListTable[[#This Row],[SKU]]</f>
        <v>3145</v>
      </c>
      <c r="AB151" s="153">
        <f>VALUE(AdafruitListTable[[#This Row],['# Initial]])</f>
        <v>0</v>
      </c>
      <c r="AD151" s="104" t="s">
        <v>2180</v>
      </c>
      <c r="AE151" s="104">
        <v>3</v>
      </c>
    </row>
    <row r="152" spans="1:31" s="104" customFormat="1" x14ac:dyDescent="0.25">
      <c r="A152" s="151" t="s">
        <v>890</v>
      </c>
      <c r="B152" s="151" t="s">
        <v>2002</v>
      </c>
      <c r="C152" s="150" t="s">
        <v>1884</v>
      </c>
      <c r="D152" s="151" t="str">
        <f>IF(AdafruitListTable[[#This Row],[Vendor]]=FilterSpecs!$A$8,AdafruitListTable[[#This Row],[Mouser SKU]], AdafruitListTable[[#This Row],[Supplier SKU]])</f>
        <v>3144</v>
      </c>
      <c r="E152" s="152">
        <f>MouserListTable[[#This Row],[Tot '#]]-MouserListTable[[#This Row],['# Initial]]</f>
        <v>0</v>
      </c>
      <c r="F152" s="152">
        <f>IF(AND(MouserListTable[[#This Row],[Tag]]&lt;&gt;FilterSpecs!$F$12, MouserListTable[[#This Row],[Tag]]&lt;&gt;FilterSpecs!$F$9), MouserListTable[[#This Row],['#/Unit]]*FilterSpecs!$B$3+MouserListTable[[#This Row],[Extra Initial]],0)</f>
        <v>0</v>
      </c>
      <c r="G152" s="150"/>
      <c r="H152" s="150"/>
      <c r="I152" s="151" t="s">
        <v>2171</v>
      </c>
      <c r="J152" s="153"/>
      <c r="K152" s="154">
        <v>3.95</v>
      </c>
      <c r="L152" s="151" t="s">
        <v>1896</v>
      </c>
      <c r="M152" s="151"/>
      <c r="N152" s="154">
        <f>MouserListTable[[#This Row],['# Initial]]*MouserListTable[[#This Row],[Price (USD)]]</f>
        <v>0</v>
      </c>
      <c r="O152" s="151" t="s">
        <v>2170</v>
      </c>
      <c r="P152" s="150">
        <f t="shared" si="2"/>
        <v>139</v>
      </c>
      <c r="Q152" s="150" t="s">
        <v>1884</v>
      </c>
      <c r="R15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474-SEN-09673</v>
      </c>
      <c r="S152" s="157" t="str">
        <f>HYPERLINK("https://www.mouser.com/ProductDetail/" &amp;MouserListTable[[#This Row],[Mouser SKU]])</f>
        <v>https://www.mouser.com/ProductDetail/474-SEN-09673</v>
      </c>
      <c r="T152" s="152">
        <v>0</v>
      </c>
      <c r="U152" s="152">
        <v>1</v>
      </c>
      <c r="V152" s="152">
        <v>1</v>
      </c>
      <c r="W152" s="152">
        <f>MouserListTable[[#This Row],['#/Unit]]*FilterSpecs!$C$3+MouserListTable[[#This Row],[Extra]]</f>
        <v>0</v>
      </c>
      <c r="X152" s="152">
        <f>IF(MouserListTable[[#This Row],[Tag]]=FilterSpecs!$F$7,MouserListTable[[#This Row],['#/Unit]]*MouserListTable[[#This Row],[Price (USD)]],0)</f>
        <v>0</v>
      </c>
      <c r="Y152" s="152">
        <f>MouserListTable[[#This Row],[Tot '#]]*MouserListTable[[#This Row],[Price (USD)]]</f>
        <v>0</v>
      </c>
      <c r="Z152" s="146"/>
      <c r="AA152" s="153" t="str">
        <f>AdafruitListTable[[#This Row],[SKU]]</f>
        <v>3144</v>
      </c>
      <c r="AB152" s="153">
        <f>VALUE(AdafruitListTable[[#This Row],['# Initial]])</f>
        <v>0</v>
      </c>
      <c r="AD152" s="104" t="s">
        <v>2170</v>
      </c>
      <c r="AE152" s="104">
        <v>1</v>
      </c>
    </row>
    <row r="153" spans="1:31" s="104" customFormat="1" x14ac:dyDescent="0.25">
      <c r="A153" s="151" t="s">
        <v>890</v>
      </c>
      <c r="B153" s="151" t="s">
        <v>2002</v>
      </c>
      <c r="C153" s="150" t="s">
        <v>1884</v>
      </c>
      <c r="D153" s="151" t="str">
        <f>IF(AdafruitListTable[[#This Row],[Vendor]]=FilterSpecs!$A$8,AdafruitListTable[[#This Row],[Mouser SKU]], AdafruitListTable[[#This Row],[Supplier SKU]])</f>
        <v>3143</v>
      </c>
      <c r="E153" s="152">
        <f>MouserListTable[[#This Row],[Tot '#]]-MouserListTable[[#This Row],['# Initial]]</f>
        <v>0</v>
      </c>
      <c r="F153" s="152">
        <f>IF(AND(MouserListTable[[#This Row],[Tag]]&lt;&gt;FilterSpecs!$F$12, MouserListTable[[#This Row],[Tag]]&lt;&gt;FilterSpecs!$F$9), MouserListTable[[#This Row],['#/Unit]]*FilterSpecs!$B$3+MouserListTable[[#This Row],[Extra Initial]],0)</f>
        <v>0</v>
      </c>
      <c r="G153" s="150"/>
      <c r="H153" s="150"/>
      <c r="I153" s="151" t="s">
        <v>2179</v>
      </c>
      <c r="J153" s="153"/>
      <c r="K153" s="154">
        <v>1.95</v>
      </c>
      <c r="L153" s="151" t="s">
        <v>1896</v>
      </c>
      <c r="M153" s="151"/>
      <c r="N153" s="154">
        <f>MouserListTable[[#This Row],['# Initial]]*MouserListTable[[#This Row],[Price (USD)]]</f>
        <v>0</v>
      </c>
      <c r="O153" s="151" t="s">
        <v>2178</v>
      </c>
      <c r="P153" s="150">
        <f t="shared" si="2"/>
        <v>140</v>
      </c>
      <c r="Q153" s="150" t="s">
        <v>1884</v>
      </c>
      <c r="R15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474-SEN-09376</v>
      </c>
      <c r="S153" s="157" t="str">
        <f>HYPERLINK("https://www.mouser.com/ProductDetail/" &amp;MouserListTable[[#This Row],[Mouser SKU]])</f>
        <v>https://www.mouser.com/ProductDetail/474-SEN-09376</v>
      </c>
      <c r="T153" s="152">
        <v>0</v>
      </c>
      <c r="U153" s="152">
        <v>2</v>
      </c>
      <c r="V153" s="152">
        <v>2</v>
      </c>
      <c r="W153" s="152">
        <f>MouserListTable[[#This Row],['#/Unit]]*FilterSpecs!$C$3+MouserListTable[[#This Row],[Extra]]</f>
        <v>0</v>
      </c>
      <c r="X153" s="152">
        <f>IF(MouserListTable[[#This Row],[Tag]]=FilterSpecs!$F$7,MouserListTable[[#This Row],['#/Unit]]*MouserListTable[[#This Row],[Price (USD)]],0)</f>
        <v>0</v>
      </c>
      <c r="Y153" s="152">
        <f>MouserListTable[[#This Row],[Tot '#]]*MouserListTable[[#This Row],[Price (USD)]]</f>
        <v>0</v>
      </c>
      <c r="Z153" s="146"/>
      <c r="AA153" s="153" t="str">
        <f>AdafruitListTable[[#This Row],[SKU]]</f>
        <v>3143</v>
      </c>
      <c r="AB153" s="153">
        <f>VALUE(AdafruitListTable[[#This Row],['# Initial]])</f>
        <v>0</v>
      </c>
      <c r="AD153" s="104" t="s">
        <v>2178</v>
      </c>
      <c r="AE153" s="104">
        <v>2</v>
      </c>
    </row>
    <row r="154" spans="1:31" s="104" customFormat="1" x14ac:dyDescent="0.25">
      <c r="A154" s="151" t="s">
        <v>890</v>
      </c>
      <c r="B154" s="151" t="s">
        <v>2002</v>
      </c>
      <c r="C154" s="150" t="s">
        <v>1884</v>
      </c>
      <c r="D154" s="151" t="str">
        <f>IF(AdafruitListTable[[#This Row],[Vendor]]=FilterSpecs!$A$8,AdafruitListTable[[#This Row],[Mouser SKU]], AdafruitListTable[[#This Row],[Supplier SKU]])</f>
        <v>3146</v>
      </c>
      <c r="E154" s="152">
        <f>MouserListTable[[#This Row],[Tot '#]]-MouserListTable[[#This Row],['# Initial]]</f>
        <v>4</v>
      </c>
      <c r="F154" s="152">
        <f>IF(AND(MouserListTable[[#This Row],[Tag]]&lt;&gt;FilterSpecs!$F$12, MouserListTable[[#This Row],[Tag]]&lt;&gt;FilterSpecs!$F$9), MouserListTable[[#This Row],['#/Unit]]*FilterSpecs!$B$3+MouserListTable[[#This Row],[Extra Initial]],0)</f>
        <v>0</v>
      </c>
      <c r="G154" s="150"/>
      <c r="H154" s="150"/>
      <c r="I154" s="151" t="s">
        <v>2173</v>
      </c>
      <c r="J154" s="153"/>
      <c r="K154" s="154">
        <v>2.95</v>
      </c>
      <c r="L154" s="151" t="s">
        <v>1896</v>
      </c>
      <c r="M154" s="151"/>
      <c r="N154" s="154">
        <f>MouserListTable[[#This Row],['# Initial]]*MouserListTable[[#This Row],[Price (USD)]]</f>
        <v>0</v>
      </c>
      <c r="O154" s="151" t="s">
        <v>2172</v>
      </c>
      <c r="P154" s="150">
        <f t="shared" si="2"/>
        <v>141</v>
      </c>
      <c r="Q154" s="150" t="s">
        <v>1884</v>
      </c>
      <c r="R15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485-1075</v>
      </c>
      <c r="S154" s="157" t="str">
        <f>HYPERLINK("https://www.mouser.com/ProductDetail/" &amp;MouserListTable[[#This Row],[Mouser SKU]])</f>
        <v>https://www.mouser.com/ProductDetail/485-1075</v>
      </c>
      <c r="T154" s="152">
        <v>0</v>
      </c>
      <c r="U154" s="152">
        <v>1</v>
      </c>
      <c r="V154" s="152">
        <v>1</v>
      </c>
      <c r="W154" s="152">
        <f>MouserListTable[[#This Row],['#/Unit]]*FilterSpecs!$C$3+MouserListTable[[#This Row],[Extra]]</f>
        <v>4</v>
      </c>
      <c r="X154" s="152">
        <f>IF(MouserListTable[[#This Row],[Tag]]=FilterSpecs!$F$7,MouserListTable[[#This Row],['#/Unit]]*MouserListTable[[#This Row],[Price (USD)]],0)</f>
        <v>0</v>
      </c>
      <c r="Y154" s="152">
        <f>MouserListTable[[#This Row],[Tot '#]]*MouserListTable[[#This Row],[Price (USD)]]</f>
        <v>31.8</v>
      </c>
      <c r="Z154" s="146"/>
      <c r="AA154" s="153" t="str">
        <f>AdafruitListTable[[#This Row],[SKU]]</f>
        <v>3146</v>
      </c>
      <c r="AB154" s="153">
        <f>VALUE(AdafruitListTable[[#This Row],['# Initial]])</f>
        <v>0</v>
      </c>
      <c r="AD154" s="104" t="s">
        <v>2172</v>
      </c>
      <c r="AE154" s="104">
        <v>1</v>
      </c>
    </row>
    <row r="155" spans="1:31" s="104" customFormat="1" x14ac:dyDescent="0.25">
      <c r="A155" s="151" t="s">
        <v>890</v>
      </c>
      <c r="B155" s="151" t="s">
        <v>2002</v>
      </c>
      <c r="C155" s="150" t="s">
        <v>1884</v>
      </c>
      <c r="D155" s="151" t="str">
        <f>IF(AdafruitListTable[[#This Row],[Vendor]]=FilterSpecs!$A$8,AdafruitListTable[[#This Row],[Mouser SKU]], AdafruitListTable[[#This Row],[Supplier SKU]])</f>
        <v>3141</v>
      </c>
      <c r="E155" s="152">
        <f>MouserListTable[[#This Row],[Tot '#]]-MouserListTable[[#This Row],['# Initial]]</f>
        <v>0</v>
      </c>
      <c r="F155" s="152">
        <f>IF(AND(MouserListTable[[#This Row],[Tag]]&lt;&gt;FilterSpecs!$F$12, MouserListTable[[#This Row],[Tag]]&lt;&gt;FilterSpecs!$F$9), MouserListTable[[#This Row],['#/Unit]]*FilterSpecs!$B$3+MouserListTable[[#This Row],[Extra Initial]],0)</f>
        <v>0</v>
      </c>
      <c r="G155" s="150"/>
      <c r="H155" s="150"/>
      <c r="I155" s="151" t="s">
        <v>2175</v>
      </c>
      <c r="J155" s="153"/>
      <c r="K155" s="154">
        <v>2.95</v>
      </c>
      <c r="L155" s="151" t="s">
        <v>1897</v>
      </c>
      <c r="M155" s="151"/>
      <c r="N155" s="154">
        <f>MouserListTable[[#This Row],['# Initial]]*MouserListTable[[#This Row],[Price (USD)]]</f>
        <v>0</v>
      </c>
      <c r="O155" s="151" t="s">
        <v>2174</v>
      </c>
      <c r="P155" s="150">
        <f t="shared" si="2"/>
        <v>142</v>
      </c>
      <c r="Q155" s="150" t="s">
        <v>1884</v>
      </c>
      <c r="R15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474-SEN-09375</v>
      </c>
      <c r="S155" s="157" t="str">
        <f>HYPERLINK("https://www.mouser.com/ProductDetail/" &amp;MouserListTable[[#This Row],[Mouser SKU]])</f>
        <v>https://www.mouser.com/ProductDetail/474-SEN-09375</v>
      </c>
      <c r="T155" s="152">
        <v>1</v>
      </c>
      <c r="U155" s="152">
        <v>5</v>
      </c>
      <c r="V155" s="152">
        <v>0</v>
      </c>
      <c r="W155" s="152">
        <f>MouserListTable[[#This Row],['#/Unit]]*FilterSpecs!$C$3+MouserListTable[[#This Row],[Extra]]</f>
        <v>0</v>
      </c>
      <c r="X155" s="152">
        <f>IF(MouserListTable[[#This Row],[Tag]]=FilterSpecs!$F$7,MouserListTable[[#This Row],['#/Unit]]*MouserListTable[[#This Row],[Price (USD)]],0)</f>
        <v>0</v>
      </c>
      <c r="Y155" s="152">
        <f>MouserListTable[[#This Row],[Tot '#]]*MouserListTable[[#This Row],[Price (USD)]]</f>
        <v>0</v>
      </c>
      <c r="Z155" s="146"/>
      <c r="AA155" s="153" t="str">
        <f>AdafruitListTable[[#This Row],[SKU]]</f>
        <v>3141</v>
      </c>
      <c r="AB155" s="153">
        <f>VALUE(AdafruitListTable[[#This Row],['# Initial]])</f>
        <v>0</v>
      </c>
      <c r="AD155" s="104" t="s">
        <v>2174</v>
      </c>
      <c r="AE155" s="104">
        <v>5</v>
      </c>
    </row>
    <row r="156" spans="1:31" s="104" customFormat="1" x14ac:dyDescent="0.25">
      <c r="A156" s="151" t="s">
        <v>890</v>
      </c>
      <c r="B156" s="151" t="s">
        <v>2002</v>
      </c>
      <c r="C156" s="150" t="s">
        <v>1884</v>
      </c>
      <c r="D156" s="151" t="str">
        <f>IF(AdafruitListTable[[#This Row],[Vendor]]=FilterSpecs!$A$8,AdafruitListTable[[#This Row],[Mouser SKU]], AdafruitListTable[[#This Row],[Supplier SKU]])</f>
        <v>3142</v>
      </c>
      <c r="E156" s="152">
        <f>MouserListTable[[#This Row],[Tot '#]]-MouserListTable[[#This Row],['# Initial]]</f>
        <v>0</v>
      </c>
      <c r="F156" s="152">
        <f>IF(AND(MouserListTable[[#This Row],[Tag]]&lt;&gt;FilterSpecs!$F$12, MouserListTable[[#This Row],[Tag]]&lt;&gt;FilterSpecs!$F$9), MouserListTable[[#This Row],['#/Unit]]*FilterSpecs!$B$3+MouserListTable[[#This Row],[Extra Initial]],0)</f>
        <v>0</v>
      </c>
      <c r="G156" s="150"/>
      <c r="H156" s="150"/>
      <c r="I156" s="151" t="s">
        <v>2177</v>
      </c>
      <c r="J156" s="153"/>
      <c r="K156" s="154">
        <v>3.95</v>
      </c>
      <c r="L156" s="151" t="s">
        <v>1897</v>
      </c>
      <c r="M156" s="151"/>
      <c r="N156" s="154">
        <f>MouserListTable[[#This Row],['# Initial]]*MouserListTable[[#This Row],[Price (USD)]]</f>
        <v>0</v>
      </c>
      <c r="O156" s="151" t="s">
        <v>2176</v>
      </c>
      <c r="P156" s="150">
        <f t="shared" si="2"/>
        <v>143</v>
      </c>
      <c r="Q156" s="150" t="s">
        <v>1884</v>
      </c>
      <c r="R15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474-SEN-08606</v>
      </c>
      <c r="S156" s="157" t="str">
        <f>HYPERLINK("https://www.mouser.com/ProductDetail/" &amp;MouserListTable[[#This Row],[Mouser SKU]])</f>
        <v>https://www.mouser.com/ProductDetail/474-SEN-08606</v>
      </c>
      <c r="T156" s="152">
        <v>1</v>
      </c>
      <c r="U156" s="152">
        <v>5</v>
      </c>
      <c r="V156" s="152">
        <v>0</v>
      </c>
      <c r="W156" s="152">
        <f>MouserListTable[[#This Row],['#/Unit]]*FilterSpecs!$C$3+MouserListTable[[#This Row],[Extra]]</f>
        <v>0</v>
      </c>
      <c r="X156" s="152">
        <f>IF(MouserListTable[[#This Row],[Tag]]=FilterSpecs!$F$7,MouserListTable[[#This Row],['#/Unit]]*MouserListTable[[#This Row],[Price (USD)]],0)</f>
        <v>0</v>
      </c>
      <c r="Y156" s="152">
        <f>MouserListTable[[#This Row],[Tot '#]]*MouserListTable[[#This Row],[Price (USD)]]</f>
        <v>0</v>
      </c>
      <c r="Z156" s="146"/>
      <c r="AA156" s="153" t="str">
        <f>AdafruitListTable[[#This Row],[SKU]]</f>
        <v>3142</v>
      </c>
      <c r="AB156" s="153">
        <f>VALUE(AdafruitListTable[[#This Row],['# Initial]])</f>
        <v>0</v>
      </c>
      <c r="AD156" s="104" t="s">
        <v>2176</v>
      </c>
      <c r="AE156" s="104">
        <v>5</v>
      </c>
    </row>
    <row r="157" spans="1:31" s="104" customFormat="1" x14ac:dyDescent="0.25">
      <c r="A157" s="151" t="s">
        <v>890</v>
      </c>
      <c r="B157" s="151" t="s">
        <v>2408</v>
      </c>
      <c r="C157" s="150" t="s">
        <v>5</v>
      </c>
      <c r="D157" s="151" t="str">
        <f>IF(AdafruitListTable[[#This Row],[Vendor]]=FilterSpecs!$A$8,AdafruitListTable[[#This Row],[Mouser SKU]], AdafruitListTable[[#This Row],[Supplier SKU]])</f>
        <v>PRT-09914</v>
      </c>
      <c r="E157" s="152">
        <f>MouserListTable[[#This Row],[Tot '#]]-MouserListTable[[#This Row],['# Initial]]</f>
        <v>0</v>
      </c>
      <c r="F157" s="152">
        <f>IF(AND(MouserListTable[[#This Row],[Tag]]&lt;&gt;FilterSpecs!$F$12, MouserListTable[[#This Row],[Tag]]&lt;&gt;FilterSpecs!$F$9), MouserListTable[[#This Row],['#/Unit]]*FilterSpecs!$B$3+MouserListTable[[#This Row],[Extra Initial]],0)</f>
        <v>0</v>
      </c>
      <c r="G157" s="150" t="s">
        <v>505</v>
      </c>
      <c r="H157" s="150" t="s">
        <v>506</v>
      </c>
      <c r="I157" s="151" t="s">
        <v>507</v>
      </c>
      <c r="J157" s="150">
        <v>1</v>
      </c>
      <c r="K157" s="154">
        <v>0.95</v>
      </c>
      <c r="L157" s="151" t="s">
        <v>1897</v>
      </c>
      <c r="M157" s="150" t="s">
        <v>2373</v>
      </c>
      <c r="N157" s="154">
        <f>MouserListTable[[#This Row],['# Initial]]*MouserListTable[[#This Row],[Price (USD)]]</f>
        <v>0</v>
      </c>
      <c r="O157" s="151" t="s">
        <v>504</v>
      </c>
      <c r="P157" s="150">
        <f t="shared" si="2"/>
        <v>144</v>
      </c>
      <c r="Q157" s="150" t="s">
        <v>5</v>
      </c>
      <c r="R15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474-SEN-10293</v>
      </c>
      <c r="S157" s="157" t="str">
        <f>HYPERLINK("https://www.mouser.com/ProductDetail/" &amp;MouserListTable[[#This Row],[Mouser SKU]])</f>
        <v>https://www.mouser.com/ProductDetail/474-SEN-10293</v>
      </c>
      <c r="T157" s="152">
        <v>2</v>
      </c>
      <c r="U157" s="152">
        <v>0</v>
      </c>
      <c r="V157" s="152">
        <v>0</v>
      </c>
      <c r="W157" s="152">
        <f>MouserListTable[[#This Row],['#/Unit]]*FilterSpecs!$C$3+MouserListTable[[#This Row],[Extra]]</f>
        <v>0</v>
      </c>
      <c r="X157" s="152">
        <f>IF(MouserListTable[[#This Row],[Tag]]=FilterSpecs!$F$7,MouserListTable[[#This Row],['#/Unit]]*MouserListTable[[#This Row],[Price (USD)]],0)</f>
        <v>0</v>
      </c>
      <c r="Y157" s="152">
        <f>MouserListTable[[#This Row],[Tot '#]]*MouserListTable[[#This Row],[Price (USD)]]</f>
        <v>0</v>
      </c>
      <c r="Z157" s="146"/>
      <c r="AA157" s="153" t="str">
        <f>AdafruitListTable[[#This Row],[SKU]]</f>
        <v>PRT-09914</v>
      </c>
      <c r="AB157" s="153">
        <f>VALUE(AdafruitListTable[[#This Row],['# Initial]])</f>
        <v>0</v>
      </c>
      <c r="AD157" s="104" t="s">
        <v>504</v>
      </c>
      <c r="AE157" s="104">
        <v>10</v>
      </c>
    </row>
    <row r="158" spans="1:31" s="104" customFormat="1" x14ac:dyDescent="0.25">
      <c r="A158" s="151" t="s">
        <v>890</v>
      </c>
      <c r="B158" s="151" t="s">
        <v>2408</v>
      </c>
      <c r="C158" s="150" t="s">
        <v>5</v>
      </c>
      <c r="D158" s="151" t="str">
        <f>IF(AdafruitListTable[[#This Row],[Vendor]]=FilterSpecs!$A$8,AdafruitListTable[[#This Row],[Mouser SKU]], AdafruitListTable[[#This Row],[Supplier SKU]])</f>
        <v>PRT-09915</v>
      </c>
      <c r="E158" s="152">
        <f>MouserListTable[[#This Row],[Tot '#]]-MouserListTable[[#This Row],['# Initial]]</f>
        <v>0</v>
      </c>
      <c r="F158" s="152">
        <f>IF(AND(MouserListTable[[#This Row],[Tag]]&lt;&gt;FilterSpecs!$F$12, MouserListTable[[#This Row],[Tag]]&lt;&gt;FilterSpecs!$F$9), MouserListTable[[#This Row],['#/Unit]]*FilterSpecs!$B$3+MouserListTable[[#This Row],[Extra Initial]],0)</f>
        <v>0</v>
      </c>
      <c r="G158" s="150" t="s">
        <v>1341</v>
      </c>
      <c r="H158" s="150" t="s">
        <v>1342</v>
      </c>
      <c r="I158" s="151" t="s">
        <v>1343</v>
      </c>
      <c r="J158" s="150">
        <v>1</v>
      </c>
      <c r="K158" s="154">
        <v>1.5</v>
      </c>
      <c r="L158" s="151" t="s">
        <v>1897</v>
      </c>
      <c r="M158" s="150" t="s">
        <v>2373</v>
      </c>
      <c r="N158" s="154">
        <f>MouserListTable[[#This Row],['# Initial]]*MouserListTable[[#This Row],[Price (USD)]]</f>
        <v>0</v>
      </c>
      <c r="O158" s="151" t="s">
        <v>1340</v>
      </c>
      <c r="P158" s="150">
        <f t="shared" si="2"/>
        <v>145</v>
      </c>
      <c r="Q158" s="150" t="s">
        <v>5</v>
      </c>
      <c r="R15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485-1739</v>
      </c>
      <c r="S158" s="157" t="str">
        <f>HYPERLINK("https://www.mouser.com/ProductDetail/" &amp;MouserListTable[[#This Row],[Mouser SKU]])</f>
        <v>https://www.mouser.com/ProductDetail/485-1739</v>
      </c>
      <c r="T158" s="152">
        <v>1</v>
      </c>
      <c r="U158" s="152">
        <v>0</v>
      </c>
      <c r="V158" s="152">
        <v>0</v>
      </c>
      <c r="W158" s="152">
        <f>MouserListTable[[#This Row],['#/Unit]]*FilterSpecs!$C$3+MouserListTable[[#This Row],[Extra]]</f>
        <v>0</v>
      </c>
      <c r="X158" s="152">
        <f>IF(MouserListTable[[#This Row],[Tag]]=FilterSpecs!$F$7,MouserListTable[[#This Row],['#/Unit]]*MouserListTable[[#This Row],[Price (USD)]],0)</f>
        <v>0</v>
      </c>
      <c r="Y158" s="152">
        <f>MouserListTable[[#This Row],[Tot '#]]*MouserListTable[[#This Row],[Price (USD)]]</f>
        <v>0</v>
      </c>
      <c r="Z158" s="146"/>
      <c r="AA158" s="153" t="str">
        <f>AdafruitListTable[[#This Row],[SKU]]</f>
        <v>PRT-09915</v>
      </c>
      <c r="AB158" s="153">
        <f>VALUE(AdafruitListTable[[#This Row],['# Initial]])</f>
        <v>0</v>
      </c>
      <c r="AD158" s="104" t="s">
        <v>1340</v>
      </c>
      <c r="AE158" s="104">
        <v>5</v>
      </c>
    </row>
    <row r="159" spans="1:31" s="104" customFormat="1" x14ac:dyDescent="0.25">
      <c r="A159" s="151" t="s">
        <v>890</v>
      </c>
      <c r="B159" s="151" t="s">
        <v>2408</v>
      </c>
      <c r="C159" s="150" t="s">
        <v>5</v>
      </c>
      <c r="D159" s="151" t="str">
        <f>IF(AdafruitListTable[[#This Row],[Vendor]]=FilterSpecs!$A$8,AdafruitListTable[[#This Row],[Mouser SKU]], AdafruitListTable[[#This Row],[Supplier SKU]])</f>
        <v>PRT-09916</v>
      </c>
      <c r="E159" s="152">
        <f>MouserListTable[[#This Row],[Tot '#]]-MouserListTable[[#This Row],['# Initial]]</f>
        <v>0</v>
      </c>
      <c r="F159" s="152">
        <f>IF(AND(MouserListTable[[#This Row],[Tag]]&lt;&gt;FilterSpecs!$F$12, MouserListTable[[#This Row],[Tag]]&lt;&gt;FilterSpecs!$F$9), MouserListTable[[#This Row],['#/Unit]]*FilterSpecs!$B$3+MouserListTable[[#This Row],[Extra Initial]],0)</f>
        <v>5</v>
      </c>
      <c r="G159" s="150" t="s">
        <v>479</v>
      </c>
      <c r="H159" s="150" t="s">
        <v>480</v>
      </c>
      <c r="I159" s="151" t="s">
        <v>481</v>
      </c>
      <c r="J159" s="150"/>
      <c r="K159" s="154">
        <v>1.5</v>
      </c>
      <c r="L159" s="151" t="s">
        <v>1897</v>
      </c>
      <c r="M159" s="150" t="s">
        <v>2373</v>
      </c>
      <c r="N159" s="154">
        <f>MouserListTable[[#This Row],['# Initial]]*MouserListTable[[#This Row],[Price (USD)]]</f>
        <v>9.75</v>
      </c>
      <c r="O159" s="151" t="s">
        <v>478</v>
      </c>
      <c r="P159" s="150">
        <f t="shared" si="2"/>
        <v>146</v>
      </c>
      <c r="Q159" s="150" t="s">
        <v>5</v>
      </c>
      <c r="R15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474-SEN-10289</v>
      </c>
      <c r="S159" s="157" t="str">
        <f>HYPERLINK("https://www.mouser.com/ProductDetail/" &amp;MouserListTable[[#This Row],[Mouser SKU]])</f>
        <v>https://www.mouser.com/ProductDetail/474-SEN-10289</v>
      </c>
      <c r="T159" s="152">
        <v>2</v>
      </c>
      <c r="U159" s="152">
        <v>0</v>
      </c>
      <c r="V159" s="152">
        <v>0</v>
      </c>
      <c r="W159" s="152">
        <f>MouserListTable[[#This Row],['#/Unit]]*FilterSpecs!$C$3+MouserListTable[[#This Row],[Extra]]</f>
        <v>5</v>
      </c>
      <c r="X159" s="152">
        <f>IF(MouserListTable[[#This Row],[Tag]]=FilterSpecs!$F$7,MouserListTable[[#This Row],['#/Unit]]*MouserListTable[[#This Row],[Price (USD)]],0)</f>
        <v>1.95</v>
      </c>
      <c r="Y159" s="152">
        <f>MouserListTable[[#This Row],[Tot '#]]*MouserListTable[[#This Row],[Price (USD)]]</f>
        <v>9.75</v>
      </c>
      <c r="Z159" s="146"/>
      <c r="AA159" s="153" t="str">
        <f>AdafruitListTable[[#This Row],[SKU]]</f>
        <v>PRT-09916</v>
      </c>
      <c r="AB159" s="153">
        <f>VALUE(AdafruitListTable[[#This Row],['# Initial]])</f>
        <v>5</v>
      </c>
      <c r="AD159" s="104" t="s">
        <v>478</v>
      </c>
      <c r="AE159" s="104">
        <v>10</v>
      </c>
    </row>
    <row r="160" spans="1:31" s="104" customFormat="1" x14ac:dyDescent="0.25">
      <c r="A160" s="151" t="s">
        <v>890</v>
      </c>
      <c r="B160" s="151" t="s">
        <v>2408</v>
      </c>
      <c r="C160" s="150" t="s">
        <v>1884</v>
      </c>
      <c r="D160" s="151" t="str">
        <f>IF(AdafruitListTable[[#This Row],[Vendor]]=FilterSpecs!$A$8,AdafruitListTable[[#This Row],[Mouser SKU]], AdafruitListTable[[#This Row],[Supplier SKU]])</f>
        <v>3064</v>
      </c>
      <c r="E160" s="152">
        <f>MouserListTable[[#This Row],[Tot '#]]-MouserListTable[[#This Row],['# Initial]]</f>
        <v>0</v>
      </c>
      <c r="F160" s="152">
        <f>IF(AND(MouserListTable[[#This Row],[Tag]]&lt;&gt;FilterSpecs!$F$12, MouserListTable[[#This Row],[Tag]]&lt;&gt;FilterSpecs!$F$9), MouserListTable[[#This Row],['#/Unit]]*FilterSpecs!$B$3+MouserListTable[[#This Row],[Extra Initial]],0)</f>
        <v>0</v>
      </c>
      <c r="G160" s="150"/>
      <c r="H160" s="150"/>
      <c r="I160" s="151" t="s">
        <v>2185</v>
      </c>
      <c r="J160" s="153"/>
      <c r="K160" s="154">
        <v>2.95</v>
      </c>
      <c r="L160" s="151" t="s">
        <v>1897</v>
      </c>
      <c r="M160" s="151" t="s">
        <v>2373</v>
      </c>
      <c r="N160" s="154">
        <f>MouserListTable[[#This Row],['# Initial]]*MouserListTable[[#This Row],[Price (USD)]]</f>
        <v>0</v>
      </c>
      <c r="O160" s="151" t="s">
        <v>2184</v>
      </c>
      <c r="P160" s="150">
        <f t="shared" si="2"/>
        <v>147</v>
      </c>
      <c r="Q160" s="150" t="s">
        <v>1884</v>
      </c>
      <c r="R16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485-1917</v>
      </c>
      <c r="S160" s="157" t="str">
        <f>HYPERLINK("https://www.mouser.com/ProductDetail/" &amp;MouserListTable[[#This Row],[Mouser SKU]])</f>
        <v>https://www.mouser.com/ProductDetail/485-1917</v>
      </c>
      <c r="T160" s="152">
        <v>1</v>
      </c>
      <c r="U160" s="152">
        <v>0</v>
      </c>
      <c r="V160" s="152">
        <v>0</v>
      </c>
      <c r="W160" s="152">
        <f>MouserListTable[[#This Row],['#/Unit]]*FilterSpecs!$C$3+MouserListTable[[#This Row],[Extra]]</f>
        <v>0</v>
      </c>
      <c r="X160" s="152">
        <f>IF(MouserListTable[[#This Row],[Tag]]=FilterSpecs!$F$7,MouserListTable[[#This Row],['#/Unit]]*MouserListTable[[#This Row],[Price (USD)]],0)</f>
        <v>0</v>
      </c>
      <c r="Y160" s="152">
        <f>MouserListTable[[#This Row],[Tot '#]]*MouserListTable[[#This Row],[Price (USD)]]</f>
        <v>0</v>
      </c>
      <c r="Z160" s="146"/>
      <c r="AA160" s="153" t="str">
        <f>AdafruitListTable[[#This Row],[SKU]]</f>
        <v>3064</v>
      </c>
      <c r="AB160" s="153">
        <f>VALUE(AdafruitListTable[[#This Row],['# Initial]])</f>
        <v>0</v>
      </c>
      <c r="AD160" s="104" t="s">
        <v>2184</v>
      </c>
      <c r="AE160" s="104">
        <v>5</v>
      </c>
    </row>
    <row r="161" spans="1:31" s="104" customFormat="1" x14ac:dyDescent="0.25">
      <c r="A161" s="151" t="s">
        <v>890</v>
      </c>
      <c r="B161" s="151" t="s">
        <v>2409</v>
      </c>
      <c r="C161" s="150" t="s">
        <v>5</v>
      </c>
      <c r="D161" s="151" t="str">
        <f>IF(AdafruitListTable[[#This Row],[Vendor]]=FilterSpecs!$A$8,AdafruitListTable[[#This Row],[Mouser SKU]], AdafruitListTable[[#This Row],[Supplier SKU]])</f>
        <v>PRT-10359</v>
      </c>
      <c r="E161" s="152">
        <f>MouserListTable[[#This Row],[Tot '#]]-MouserListTable[[#This Row],['# Initial]]</f>
        <v>0</v>
      </c>
      <c r="F161" s="152">
        <f>IF(AND(MouserListTable[[#This Row],[Tag]]&lt;&gt;FilterSpecs!$F$12, MouserListTable[[#This Row],[Tag]]&lt;&gt;FilterSpecs!$F$9), MouserListTable[[#This Row],['#/Unit]]*FilterSpecs!$B$3+MouserListTable[[#This Row],[Extra Initial]],0)</f>
        <v>1</v>
      </c>
      <c r="G161" s="150" t="s">
        <v>1806</v>
      </c>
      <c r="H161" s="150" t="s">
        <v>1807</v>
      </c>
      <c r="I161" s="151" t="s">
        <v>1808</v>
      </c>
      <c r="J161" s="150"/>
      <c r="K161" s="154">
        <v>1.5</v>
      </c>
      <c r="L161" s="151" t="s">
        <v>1897</v>
      </c>
      <c r="M161" s="150" t="s">
        <v>2372</v>
      </c>
      <c r="N161" s="154">
        <f>MouserListTable[[#This Row],['# Initial]]*MouserListTable[[#This Row],[Price (USD)]]</f>
        <v>3.95</v>
      </c>
      <c r="O161" s="151" t="s">
        <v>1805</v>
      </c>
      <c r="P161" s="150">
        <f t="shared" si="2"/>
        <v>148</v>
      </c>
      <c r="Q161" s="150" t="s">
        <v>5</v>
      </c>
      <c r="R16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485-1361</v>
      </c>
      <c r="S161" s="157" t="str">
        <f>HYPERLINK("https://www.mouser.com/ProductDetail/" &amp;MouserListTable[[#This Row],[Mouser SKU]])</f>
        <v>https://www.mouser.com/ProductDetail/485-1361</v>
      </c>
      <c r="T161" s="152">
        <v>1</v>
      </c>
      <c r="U161" s="152">
        <v>0</v>
      </c>
      <c r="V161" s="152">
        <v>0</v>
      </c>
      <c r="W161" s="152">
        <f>MouserListTable[[#This Row],['#/Unit]]*FilterSpecs!$C$3+MouserListTable[[#This Row],[Extra]]</f>
        <v>1</v>
      </c>
      <c r="X161" s="152">
        <f>IF(MouserListTable[[#This Row],[Tag]]=FilterSpecs!$F$7,MouserListTable[[#This Row],['#/Unit]]*MouserListTable[[#This Row],[Price (USD)]],0)</f>
        <v>0</v>
      </c>
      <c r="Y161" s="152">
        <f>MouserListTable[[#This Row],[Tot '#]]*MouserListTable[[#This Row],[Price (USD)]]</f>
        <v>3.95</v>
      </c>
      <c r="Z161" s="146"/>
      <c r="AA161" s="153" t="str">
        <f>AdafruitListTable[[#This Row],[SKU]]</f>
        <v>PRT-10359</v>
      </c>
      <c r="AB161" s="153">
        <f>VALUE(AdafruitListTable[[#This Row],['# Initial]])</f>
        <v>1</v>
      </c>
      <c r="AD161" s="104" t="s">
        <v>1805</v>
      </c>
      <c r="AE161" s="104">
        <v>5</v>
      </c>
    </row>
    <row r="162" spans="1:31" s="104" customFormat="1" x14ac:dyDescent="0.25">
      <c r="A162" s="151" t="s">
        <v>890</v>
      </c>
      <c r="B162" s="151" t="s">
        <v>1597</v>
      </c>
      <c r="C162" s="150" t="s">
        <v>5</v>
      </c>
      <c r="D162" s="151" t="str">
        <f>IF(AdafruitListTable[[#This Row],[Vendor]]=FilterSpecs!$A$8,AdafruitListTable[[#This Row],[Mouser SKU]], AdafruitListTable[[#This Row],[Supplier SKU]])</f>
        <v>CAB-13685</v>
      </c>
      <c r="E162" s="152">
        <f>MouserListTable[[#This Row],[Tot '#]]-MouserListTable[[#This Row],['# Initial]]</f>
        <v>0</v>
      </c>
      <c r="F162" s="152">
        <f>IF(AND(MouserListTable[[#This Row],[Tag]]&lt;&gt;FilterSpecs!$F$12, MouserListTable[[#This Row],[Tag]]&lt;&gt;FilterSpecs!$F$9), MouserListTable[[#This Row],['#/Unit]]*FilterSpecs!$B$3+MouserListTable[[#This Row],[Extra Initial]],0)</f>
        <v>2</v>
      </c>
      <c r="G162" s="150" t="s">
        <v>513</v>
      </c>
      <c r="H162" s="150" t="s">
        <v>514</v>
      </c>
      <c r="I162" s="151" t="s">
        <v>515</v>
      </c>
      <c r="J162" s="150">
        <v>1</v>
      </c>
      <c r="K162" s="154">
        <v>1.5</v>
      </c>
      <c r="L162" s="151" t="s">
        <v>1897</v>
      </c>
      <c r="M162" s="150" t="s">
        <v>2373</v>
      </c>
      <c r="N162" s="154">
        <f>MouserListTable[[#This Row],['# Initial]]*MouserListTable[[#This Row],[Price (USD)]]</f>
        <v>50</v>
      </c>
      <c r="O162" s="151" t="s">
        <v>512</v>
      </c>
      <c r="P162" s="150">
        <f t="shared" si="2"/>
        <v>149</v>
      </c>
      <c r="Q162" s="150" t="s">
        <v>5</v>
      </c>
      <c r="R16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474-COM-14111</v>
      </c>
      <c r="S162" s="157" t="str">
        <f>HYPERLINK("https://www.mouser.com/ProductDetail/" &amp;MouserListTable[[#This Row],[Mouser SKU]])</f>
        <v>https://www.mouser.com/ProductDetail/474-COM-14111</v>
      </c>
      <c r="T162" s="152">
        <v>1</v>
      </c>
      <c r="U162" s="152">
        <v>1</v>
      </c>
      <c r="V162" s="152">
        <v>0</v>
      </c>
      <c r="W162" s="152">
        <f>MouserListTable[[#This Row],['#/Unit]]*FilterSpecs!$C$3+MouserListTable[[#This Row],[Extra]]</f>
        <v>2</v>
      </c>
      <c r="X162" s="152">
        <f>IF(MouserListTable[[#This Row],[Tag]]=FilterSpecs!$F$7,MouserListTable[[#This Row],['#/Unit]]*MouserListTable[[#This Row],[Price (USD)]],0)</f>
        <v>0</v>
      </c>
      <c r="Y162" s="152">
        <f>MouserListTable[[#This Row],[Tot '#]]*MouserListTable[[#This Row],[Price (USD)]]</f>
        <v>50</v>
      </c>
      <c r="Z162" s="146"/>
      <c r="AA162" s="153" t="str">
        <f>AdafruitListTable[[#This Row],[SKU]]</f>
        <v>CAB-13685</v>
      </c>
      <c r="AB162" s="153">
        <f>VALUE(AdafruitListTable[[#This Row],['# Initial]])</f>
        <v>2</v>
      </c>
      <c r="AD162" s="104" t="s">
        <v>512</v>
      </c>
      <c r="AE162" s="104">
        <v>5</v>
      </c>
    </row>
    <row r="163" spans="1:31" s="104" customFormat="1" x14ac:dyDescent="0.25">
      <c r="A163" s="151" t="s">
        <v>890</v>
      </c>
      <c r="B163" s="151" t="s">
        <v>1869</v>
      </c>
      <c r="C163" s="150" t="s">
        <v>5</v>
      </c>
      <c r="D163" s="151" t="str">
        <f>IF(AdafruitListTable[[#This Row],[Vendor]]=FilterSpecs!$A$8,AdafruitListTable[[#This Row],[Mouser SKU]], AdafruitListTable[[#This Row],[Supplier SKU]])</f>
        <v>PRT-09918</v>
      </c>
      <c r="E163" s="152">
        <f>MouserListTable[[#This Row],[Tot '#]]-MouserListTable[[#This Row],['# Initial]]</f>
        <v>0</v>
      </c>
      <c r="F163" s="152">
        <f>IF(AND(MouserListTable[[#This Row],[Tag]]&lt;&gt;FilterSpecs!$F$12, MouserListTable[[#This Row],[Tag]]&lt;&gt;FilterSpecs!$F$9), MouserListTable[[#This Row],['#/Unit]]*FilterSpecs!$B$3+MouserListTable[[#This Row],[Extra Initial]],0)</f>
        <v>1</v>
      </c>
      <c r="G163" s="150" t="s">
        <v>1742</v>
      </c>
      <c r="H163" s="150" t="s">
        <v>1743</v>
      </c>
      <c r="I163" s="151" t="s">
        <v>1744</v>
      </c>
      <c r="J163" s="150"/>
      <c r="K163" s="154">
        <v>0.95</v>
      </c>
      <c r="L163" s="151" t="s">
        <v>1897</v>
      </c>
      <c r="M163" s="150"/>
      <c r="N163" s="154">
        <f>MouserListTable[[#This Row],['# Initial]]*MouserListTable[[#This Row],[Price (USD)]]</f>
        <v>4.95</v>
      </c>
      <c r="O163" s="151" t="s">
        <v>1741</v>
      </c>
      <c r="P163" s="150">
        <f t="shared" si="2"/>
        <v>150</v>
      </c>
      <c r="Q163" s="150" t="s">
        <v>5</v>
      </c>
      <c r="R16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485-1168</v>
      </c>
      <c r="S163" s="157" t="str">
        <f>HYPERLINK("https://www.mouser.com/ProductDetail/" &amp;MouserListTable[[#This Row],[Mouser SKU]])</f>
        <v>https://www.mouser.com/ProductDetail/485-1168</v>
      </c>
      <c r="T163" s="152">
        <v>2</v>
      </c>
      <c r="U163" s="152">
        <v>0</v>
      </c>
      <c r="V163" s="152">
        <v>0</v>
      </c>
      <c r="W163" s="152">
        <f>MouserListTable[[#This Row],['#/Unit]]*FilterSpecs!$C$3+MouserListTable[[#This Row],[Extra]]</f>
        <v>1</v>
      </c>
      <c r="X163" s="152">
        <f>IF(MouserListTable[[#This Row],[Tag]]=FilterSpecs!$F$7,MouserListTable[[#This Row],['#/Unit]]*MouserListTable[[#This Row],[Price (USD)]],0)</f>
        <v>0</v>
      </c>
      <c r="Y163" s="152">
        <f>MouserListTable[[#This Row],[Tot '#]]*MouserListTable[[#This Row],[Price (USD)]]</f>
        <v>4.95</v>
      </c>
      <c r="Z163" s="146"/>
      <c r="AA163" s="153" t="str">
        <f>AdafruitListTable[[#This Row],[SKU]]</f>
        <v>PRT-09918</v>
      </c>
      <c r="AB163" s="153">
        <f>VALUE(AdafruitListTable[[#This Row],['# Initial]])</f>
        <v>1</v>
      </c>
      <c r="AD163" s="104" t="s">
        <v>1741</v>
      </c>
      <c r="AE163" s="104">
        <v>10</v>
      </c>
    </row>
    <row r="164" spans="1:31" s="104" customFormat="1" x14ac:dyDescent="0.25">
      <c r="A164" s="151" t="s">
        <v>890</v>
      </c>
      <c r="B164" s="151" t="s">
        <v>1869</v>
      </c>
      <c r="C164" s="150" t="s">
        <v>5</v>
      </c>
      <c r="D164" s="151" t="str">
        <f>IF(AdafruitListTable[[#This Row],[Vendor]]=FilterSpecs!$A$8,AdafruitListTable[[#This Row],[Mouser SKU]], AdafruitListTable[[#This Row],[Supplier SKU]])</f>
        <v>PRT-09922</v>
      </c>
      <c r="E164" s="152">
        <f>MouserListTable[[#This Row],[Tot '#]]-MouserListTable[[#This Row],['# Initial]]</f>
        <v>0</v>
      </c>
      <c r="F164" s="152">
        <f>IF(AND(MouserListTable[[#This Row],[Tag]]&lt;&gt;FilterSpecs!$F$12, MouserListTable[[#This Row],[Tag]]&lt;&gt;FilterSpecs!$F$9), MouserListTable[[#This Row],['#/Unit]]*FilterSpecs!$B$3+MouserListTable[[#This Row],[Extra Initial]],0)</f>
        <v>0</v>
      </c>
      <c r="G164" s="150" t="s">
        <v>1754</v>
      </c>
      <c r="H164" s="150" t="s">
        <v>1755</v>
      </c>
      <c r="I164" s="151" t="s">
        <v>1756</v>
      </c>
      <c r="J164" s="150">
        <v>1</v>
      </c>
      <c r="K164" s="154">
        <v>1.95</v>
      </c>
      <c r="L164" s="151" t="s">
        <v>1897</v>
      </c>
      <c r="M164" s="150"/>
      <c r="N164" s="154">
        <f>MouserListTable[[#This Row],['# Initial]]*MouserListTable[[#This Row],[Price (USD)]]</f>
        <v>0</v>
      </c>
      <c r="O164" s="151" t="s">
        <v>1753</v>
      </c>
      <c r="P164" s="150">
        <f t="shared" si="2"/>
        <v>151</v>
      </c>
      <c r="Q164" s="150" t="s">
        <v>5</v>
      </c>
      <c r="R16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474-SEN-12041</v>
      </c>
      <c r="S164" s="157" t="str">
        <f>HYPERLINK("https://www.mouser.com/ProductDetail/" &amp;MouserListTable[[#This Row],[Mouser SKU]])</f>
        <v>https://www.mouser.com/ProductDetail/474-SEN-12041</v>
      </c>
      <c r="T164" s="152">
        <v>2</v>
      </c>
      <c r="U164" s="152">
        <v>0</v>
      </c>
      <c r="V164" s="152">
        <v>0</v>
      </c>
      <c r="W164" s="152">
        <f>MouserListTable[[#This Row],['#/Unit]]*FilterSpecs!$C$3+MouserListTable[[#This Row],[Extra]]</f>
        <v>0</v>
      </c>
      <c r="X164" s="152">
        <f>IF(MouserListTable[[#This Row],[Tag]]=FilterSpecs!$F$7,MouserListTable[[#This Row],['#/Unit]]*MouserListTable[[#This Row],[Price (USD)]],0)</f>
        <v>0</v>
      </c>
      <c r="Y164" s="152">
        <f>MouserListTable[[#This Row],[Tot '#]]*MouserListTable[[#This Row],[Price (USD)]]</f>
        <v>0</v>
      </c>
      <c r="Z164" s="146"/>
      <c r="AA164" s="153" t="str">
        <f>AdafruitListTable[[#This Row],[SKU]]</f>
        <v>PRT-09922</v>
      </c>
      <c r="AB164" s="153">
        <f>VALUE(AdafruitListTable[[#This Row],['# Initial]])</f>
        <v>0</v>
      </c>
      <c r="AD164" s="104" t="s">
        <v>1753</v>
      </c>
      <c r="AE164" s="104">
        <v>10</v>
      </c>
    </row>
    <row r="165" spans="1:31" s="153" customFormat="1" x14ac:dyDescent="0.25">
      <c r="A165" s="150" t="s">
        <v>890</v>
      </c>
      <c r="B165" s="150" t="s">
        <v>1004</v>
      </c>
      <c r="C165" s="150" t="s">
        <v>5</v>
      </c>
      <c r="D165" s="151" t="str">
        <f>IF(AdafruitListTable[[#This Row],[Vendor]]=FilterSpecs!$A$8,AdafruitListTable[[#This Row],[Mouser SKU]], AdafruitListTable[[#This Row],[Supplier SKU]])</f>
        <v>COM-10969</v>
      </c>
      <c r="E165" s="152">
        <f>MouserListTable[[#This Row],[Tot '#]]-MouserListTable[[#This Row],['# Initial]]</f>
        <v>0</v>
      </c>
      <c r="F165" s="152">
        <f>IF(AND(MouserListTable[[#This Row],[Tag]]&lt;&gt;FilterSpecs!$F$12, MouserListTable[[#This Row],[Tag]]&lt;&gt;FilterSpecs!$F$9), MouserListTable[[#This Row],['#/Unit]]*FilterSpecs!$B$3+MouserListTable[[#This Row],[Extra Initial]],0)</f>
        <v>0</v>
      </c>
      <c r="G165" s="150" t="s">
        <v>365</v>
      </c>
      <c r="H165" s="150" t="s">
        <v>366</v>
      </c>
      <c r="I165" s="150" t="s">
        <v>367</v>
      </c>
      <c r="J165" s="150">
        <v>1</v>
      </c>
      <c r="K165" s="154">
        <v>7.95</v>
      </c>
      <c r="L165" s="150" t="s">
        <v>1896</v>
      </c>
      <c r="M165" s="150"/>
      <c r="N165" s="154">
        <f>MouserListTable[[#This Row],['# Initial]]*MouserListTable[[#This Row],[Price (USD)]]</f>
        <v>0</v>
      </c>
      <c r="O165" s="151" t="s">
        <v>364</v>
      </c>
      <c r="P165" s="150">
        <f t="shared" si="2"/>
        <v>152</v>
      </c>
      <c r="Q165" s="150" t="s">
        <v>5</v>
      </c>
      <c r="R16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474-PRT-13144</v>
      </c>
      <c r="S165" s="157" t="str">
        <f>HYPERLINK("https://www.mouser.com/ProductDetail/" &amp;MouserListTable[[#This Row],[Mouser SKU]])</f>
        <v>https://www.mouser.com/ProductDetail/474-PRT-13144</v>
      </c>
      <c r="T165" s="152">
        <v>0</v>
      </c>
      <c r="U165" s="152">
        <v>1</v>
      </c>
      <c r="V165" s="152">
        <v>1</v>
      </c>
      <c r="W165" s="152">
        <f>MouserListTable[[#This Row],['#/Unit]]*FilterSpecs!$C$3+MouserListTable[[#This Row],[Extra]]</f>
        <v>0</v>
      </c>
      <c r="X165" s="152">
        <f>IF(MouserListTable[[#This Row],[Tag]]=FilterSpecs!$F$7,MouserListTable[[#This Row],['#/Unit]]*MouserListTable[[#This Row],[Price (USD)]],0)</f>
        <v>0</v>
      </c>
      <c r="Y165" s="152">
        <f>MouserListTable[[#This Row],[Tot '#]]*MouserListTable[[#This Row],[Price (USD)]]</f>
        <v>0</v>
      </c>
      <c r="Z165" s="146"/>
      <c r="AA165" s="153" t="str">
        <f>AdafruitListTable[[#This Row],[SKU]]</f>
        <v>COM-10969</v>
      </c>
      <c r="AB165" s="153">
        <f>VALUE(AdafruitListTable[[#This Row],['# Initial]])</f>
        <v>0</v>
      </c>
      <c r="AD165" s="153" t="s">
        <v>364</v>
      </c>
      <c r="AE165" s="153">
        <v>1</v>
      </c>
    </row>
    <row r="166" spans="1:31" s="153" customFormat="1" x14ac:dyDescent="0.25">
      <c r="A166" s="150" t="s">
        <v>890</v>
      </c>
      <c r="B166" s="150" t="s">
        <v>1004</v>
      </c>
      <c r="C166" s="150" t="s">
        <v>5</v>
      </c>
      <c r="D166" s="151" t="str">
        <f>IF(AdafruitListTable[[#This Row],[Vendor]]=FilterSpecs!$A$8,AdafruitListTable[[#This Row],[Mouser SKU]], AdafruitListTable[[#This Row],[Supplier SKU]])</f>
        <v>COM-10856</v>
      </c>
      <c r="E166" s="152">
        <f>MouserListTable[[#This Row],[Tot '#]]-MouserListTable[[#This Row],['# Initial]]</f>
        <v>0</v>
      </c>
      <c r="F166" s="152">
        <f>IF(AND(MouserListTable[[#This Row],[Tag]]&lt;&gt;FilterSpecs!$F$12, MouserListTable[[#This Row],[Tag]]&lt;&gt;FilterSpecs!$F$9), MouserListTable[[#This Row],['#/Unit]]*FilterSpecs!$B$3+MouserListTable[[#This Row],[Extra Initial]],0)</f>
        <v>0</v>
      </c>
      <c r="G166" s="150" t="s">
        <v>431</v>
      </c>
      <c r="H166" s="150" t="s">
        <v>432</v>
      </c>
      <c r="I166" s="150" t="s">
        <v>433</v>
      </c>
      <c r="J166" s="150">
        <v>1</v>
      </c>
      <c r="K166" s="154">
        <v>0.5</v>
      </c>
      <c r="L166" s="150" t="s">
        <v>1897</v>
      </c>
      <c r="M166" s="150"/>
      <c r="N166" s="154">
        <f>MouserListTable[[#This Row],['# Initial]]*MouserListTable[[#This Row],[Price (USD)]]</f>
        <v>0</v>
      </c>
      <c r="O166" s="151" t="s">
        <v>430</v>
      </c>
      <c r="P166" s="150">
        <f t="shared" si="2"/>
        <v>153</v>
      </c>
      <c r="Q166" s="150" t="s">
        <v>5</v>
      </c>
      <c r="R16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474-DEV-13298</v>
      </c>
      <c r="S166" s="157" t="str">
        <f>HYPERLINK("https://www.mouser.com/ProductDetail/" &amp;MouserListTable[[#This Row],[Mouser SKU]])</f>
        <v>https://www.mouser.com/ProductDetail/474-DEV-13298</v>
      </c>
      <c r="T166" s="152">
        <v>1</v>
      </c>
      <c r="U166" s="152">
        <v>0</v>
      </c>
      <c r="V166" s="152">
        <v>0</v>
      </c>
      <c r="W166" s="152">
        <f>MouserListTable[[#This Row],['#/Unit]]*FilterSpecs!$C$3+MouserListTable[[#This Row],[Extra]]</f>
        <v>0</v>
      </c>
      <c r="X166" s="152">
        <f>IF(MouserListTable[[#This Row],[Tag]]=FilterSpecs!$F$7,MouserListTable[[#This Row],['#/Unit]]*MouserListTable[[#This Row],[Price (USD)]],0)</f>
        <v>0</v>
      </c>
      <c r="Y166" s="152">
        <f>MouserListTable[[#This Row],[Tot '#]]*MouserListTable[[#This Row],[Price (USD)]]</f>
        <v>0</v>
      </c>
      <c r="Z166" s="146"/>
      <c r="AA166" s="153" t="str">
        <f>AdafruitListTable[[#This Row],[SKU]]</f>
        <v>COM-10856</v>
      </c>
      <c r="AB166" s="153">
        <f>VALUE(AdafruitListTable[[#This Row],['# Initial]])</f>
        <v>0</v>
      </c>
      <c r="AD166" s="153" t="s">
        <v>430</v>
      </c>
      <c r="AE166" s="153">
        <v>5</v>
      </c>
    </row>
    <row r="167" spans="1:31" s="153" customFormat="1" x14ac:dyDescent="0.25">
      <c r="A167" s="150" t="s">
        <v>890</v>
      </c>
      <c r="B167" s="150" t="s">
        <v>1004</v>
      </c>
      <c r="C167" s="150" t="s">
        <v>5</v>
      </c>
      <c r="D167" s="151" t="str">
        <f>IF(AdafruitListTable[[#This Row],[Vendor]]=FilterSpecs!$A$8,AdafruitListTable[[#This Row],[Mouser SKU]], AdafruitListTable[[#This Row],[Supplier SKU]])</f>
        <v>COM-10855</v>
      </c>
      <c r="E167" s="152">
        <f>MouserListTable[[#This Row],[Tot '#]]-MouserListTable[[#This Row],['# Initial]]</f>
        <v>0</v>
      </c>
      <c r="F167" s="152">
        <f>IF(AND(MouserListTable[[#This Row],[Tag]]&lt;&gt;FilterSpecs!$F$12, MouserListTable[[#This Row],[Tag]]&lt;&gt;FilterSpecs!$F$9), MouserListTable[[#This Row],['#/Unit]]*FilterSpecs!$B$3+MouserListTable[[#This Row],[Extra Initial]],0)</f>
        <v>0</v>
      </c>
      <c r="G167" s="150" t="s">
        <v>435</v>
      </c>
      <c r="H167" s="150" t="s">
        <v>436</v>
      </c>
      <c r="I167" s="150" t="s">
        <v>437</v>
      </c>
      <c r="J167" s="150">
        <v>1</v>
      </c>
      <c r="K167" s="154">
        <v>0.5</v>
      </c>
      <c r="L167" s="150" t="s">
        <v>1897</v>
      </c>
      <c r="M167" s="150"/>
      <c r="N167" s="154">
        <f>MouserListTable[[#This Row],['# Initial]]*MouserListTable[[#This Row],[Price (USD)]]</f>
        <v>0</v>
      </c>
      <c r="O167" s="151" t="s">
        <v>434</v>
      </c>
      <c r="P167" s="150">
        <f t="shared" si="2"/>
        <v>154</v>
      </c>
      <c r="Q167" s="150" t="s">
        <v>5</v>
      </c>
      <c r="R16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474-DEV-13293</v>
      </c>
      <c r="S167" s="157" t="str">
        <f>HYPERLINK("https://www.mouser.com/ProductDetail/" &amp;MouserListTable[[#This Row],[Mouser SKU]])</f>
        <v>https://www.mouser.com/ProductDetail/474-DEV-13293</v>
      </c>
      <c r="T167" s="152">
        <v>1</v>
      </c>
      <c r="U167" s="152">
        <v>0</v>
      </c>
      <c r="V167" s="152">
        <v>0</v>
      </c>
      <c r="W167" s="152">
        <f>MouserListTable[[#This Row],['#/Unit]]*FilterSpecs!$C$3+MouserListTable[[#This Row],[Extra]]</f>
        <v>0</v>
      </c>
      <c r="X167" s="152">
        <f>IF(MouserListTable[[#This Row],[Tag]]=FilterSpecs!$F$7,MouserListTable[[#This Row],['#/Unit]]*MouserListTable[[#This Row],[Price (USD)]],0)</f>
        <v>0</v>
      </c>
      <c r="Y167" s="152">
        <f>MouserListTable[[#This Row],[Tot '#]]*MouserListTable[[#This Row],[Price (USD)]]</f>
        <v>0</v>
      </c>
      <c r="Z167" s="146"/>
      <c r="AA167" s="153" t="str">
        <f>AdafruitListTable[[#This Row],[SKU]]</f>
        <v>COM-10855</v>
      </c>
      <c r="AB167" s="153">
        <f>VALUE(AdafruitListTable[[#This Row],['# Initial]])</f>
        <v>0</v>
      </c>
      <c r="AD167" s="153" t="s">
        <v>434</v>
      </c>
      <c r="AE167" s="153">
        <v>5</v>
      </c>
    </row>
    <row r="168" spans="1:31" s="153" customFormat="1" x14ac:dyDescent="0.25">
      <c r="A168" s="150" t="s">
        <v>890</v>
      </c>
      <c r="B168" s="150" t="s">
        <v>1004</v>
      </c>
      <c r="C168" s="150" t="s">
        <v>5</v>
      </c>
      <c r="D168" s="151" t="str">
        <f>IF(AdafruitListTable[[#This Row],[Vendor]]=FilterSpecs!$A$8,AdafruitListTable[[#This Row],[Mouser SKU]], AdafruitListTable[[#This Row],[Supplier SKU]])</f>
        <v>COM-09806</v>
      </c>
      <c r="E168" s="152">
        <f>MouserListTable[[#This Row],[Tot '#]]-MouserListTable[[#This Row],['# Initial]]</f>
        <v>0</v>
      </c>
      <c r="F168" s="152">
        <f>IF(AND(MouserListTable[[#This Row],[Tag]]&lt;&gt;FilterSpecs!$F$12, MouserListTable[[#This Row],[Tag]]&lt;&gt;FilterSpecs!$F$9), MouserListTable[[#This Row],['#/Unit]]*FilterSpecs!$B$3+MouserListTable[[#This Row],[Extra Initial]],0)</f>
        <v>5</v>
      </c>
      <c r="G168" s="150" t="s">
        <v>605</v>
      </c>
      <c r="H168" s="150" t="s">
        <v>606</v>
      </c>
      <c r="I168" s="150" t="s">
        <v>607</v>
      </c>
      <c r="J168" s="150">
        <v>1</v>
      </c>
      <c r="K168" s="154">
        <v>0.95</v>
      </c>
      <c r="L168" s="150" t="s">
        <v>1897</v>
      </c>
      <c r="M168" s="150"/>
      <c r="N168" s="154">
        <f>MouserListTable[[#This Row],['# Initial]]*MouserListTable[[#This Row],[Price (USD)]]</f>
        <v>119.75</v>
      </c>
      <c r="O168" s="151" t="s">
        <v>604</v>
      </c>
      <c r="P168" s="150">
        <f t="shared" si="2"/>
        <v>155</v>
      </c>
      <c r="Q168" s="150" t="s">
        <v>5</v>
      </c>
      <c r="R16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485-716</v>
      </c>
      <c r="S168" s="157" t="str">
        <f>HYPERLINK("https://www.mouser.com/ProductDetail/" &amp;MouserListTable[[#This Row],[Mouser SKU]])</f>
        <v>https://www.mouser.com/ProductDetail/485-716</v>
      </c>
      <c r="T168" s="152">
        <v>1</v>
      </c>
      <c r="U168" s="152">
        <v>0</v>
      </c>
      <c r="V168" s="152">
        <v>0</v>
      </c>
      <c r="W168" s="152">
        <f>MouserListTable[[#This Row],['#/Unit]]*FilterSpecs!$C$3+MouserListTable[[#This Row],[Extra]]</f>
        <v>5</v>
      </c>
      <c r="X168" s="152">
        <f>IF(MouserListTable[[#This Row],[Tag]]=FilterSpecs!$F$7,MouserListTable[[#This Row],['#/Unit]]*MouserListTable[[#This Row],[Price (USD)]],0)</f>
        <v>23.95</v>
      </c>
      <c r="Y168" s="152">
        <f>MouserListTable[[#This Row],[Tot '#]]*MouserListTable[[#This Row],[Price (USD)]]</f>
        <v>119.75</v>
      </c>
      <c r="Z168" s="146"/>
      <c r="AA168" s="153" t="str">
        <f>AdafruitListTable[[#This Row],[SKU]]</f>
        <v>COM-09806</v>
      </c>
      <c r="AB168" s="153">
        <f>VALUE(AdafruitListTable[[#This Row],['# Initial]])</f>
        <v>5</v>
      </c>
      <c r="AD168" s="153" t="s">
        <v>604</v>
      </c>
      <c r="AE168" s="153">
        <v>5</v>
      </c>
    </row>
    <row r="169" spans="1:31" s="153" customFormat="1" x14ac:dyDescent="0.25">
      <c r="A169" s="150" t="s">
        <v>890</v>
      </c>
      <c r="B169" s="150" t="s">
        <v>1004</v>
      </c>
      <c r="C169" s="150" t="s">
        <v>5</v>
      </c>
      <c r="D169" s="151" t="str">
        <f>IF(AdafruitListTable[[#This Row],[Vendor]]=FilterSpecs!$A$8,AdafruitListTable[[#This Row],[Mouser SKU]], AdafruitListTable[[#This Row],[Supplier SKU]])</f>
        <v>KIT-13698</v>
      </c>
      <c r="E169" s="152">
        <f>MouserListTable[[#This Row],[Tot '#]]-MouserListTable[[#This Row],['# Initial]]</f>
        <v>0</v>
      </c>
      <c r="F169" s="152">
        <f>IF(AND(MouserListTable[[#This Row],[Tag]]&lt;&gt;FilterSpecs!$F$12, MouserListTable[[#This Row],[Tag]]&lt;&gt;FilterSpecs!$F$9), MouserListTable[[#This Row],['#/Unit]]*FilterSpecs!$B$3+MouserListTable[[#This Row],[Extra Initial]],0)</f>
        <v>0</v>
      </c>
      <c r="G169" s="150" t="s">
        <v>369</v>
      </c>
      <c r="H169" s="150" t="s">
        <v>370</v>
      </c>
      <c r="I169" s="150" t="s">
        <v>371</v>
      </c>
      <c r="J169" s="150"/>
      <c r="K169" s="154">
        <v>6.95</v>
      </c>
      <c r="L169" s="150" t="s">
        <v>1896</v>
      </c>
      <c r="M169" s="150"/>
      <c r="N169" s="154">
        <f>MouserListTable[[#This Row],['# Initial]]*MouserListTable[[#This Row],[Price (USD)]]</f>
        <v>0</v>
      </c>
      <c r="O169" s="151" t="s">
        <v>368</v>
      </c>
      <c r="P169" s="150">
        <f t="shared" si="2"/>
        <v>156</v>
      </c>
      <c r="Q169" s="150" t="s">
        <v>5</v>
      </c>
      <c r="R16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485-772</v>
      </c>
      <c r="S169" s="157" t="str">
        <f>HYPERLINK("https://www.mouser.com/ProductDetail/" &amp;MouserListTable[[#This Row],[Mouser SKU]])</f>
        <v>https://www.mouser.com/ProductDetail/485-772</v>
      </c>
      <c r="T169" s="152">
        <v>0</v>
      </c>
      <c r="U169" s="152">
        <v>1</v>
      </c>
      <c r="V169" s="152">
        <v>1</v>
      </c>
      <c r="W169" s="152">
        <f>MouserListTable[[#This Row],['#/Unit]]*FilterSpecs!$C$3+MouserListTable[[#This Row],[Extra]]</f>
        <v>0</v>
      </c>
      <c r="X169" s="152">
        <f>IF(MouserListTable[[#This Row],[Tag]]=FilterSpecs!$F$7,MouserListTable[[#This Row],['#/Unit]]*MouserListTable[[#This Row],[Price (USD)]],0)</f>
        <v>0</v>
      </c>
      <c r="Y169" s="152">
        <f>MouserListTable[[#This Row],[Tot '#]]*MouserListTable[[#This Row],[Price (USD)]]</f>
        <v>0</v>
      </c>
      <c r="Z169" s="146"/>
      <c r="AA169" s="153" t="str">
        <f>AdafruitListTable[[#This Row],[SKU]]</f>
        <v>KIT-13698</v>
      </c>
      <c r="AB169" s="153">
        <f>VALUE(AdafruitListTable[[#This Row],['# Initial]])</f>
        <v>0</v>
      </c>
      <c r="AD169" s="153" t="s">
        <v>368</v>
      </c>
      <c r="AE169" s="153">
        <v>1</v>
      </c>
    </row>
    <row r="170" spans="1:31" s="153" customFormat="1" x14ac:dyDescent="0.25">
      <c r="A170" s="150" t="s">
        <v>890</v>
      </c>
      <c r="B170" s="150" t="s">
        <v>1004</v>
      </c>
      <c r="C170" s="150" t="s">
        <v>5</v>
      </c>
      <c r="D170" s="151" t="str">
        <f>IF(AdafruitListTable[[#This Row],[Vendor]]=FilterSpecs!$A$8,AdafruitListTable[[#This Row],[Mouser SKU]], AdafruitListTable[[#This Row],[Supplier SKU]])</f>
        <v>COM-00096</v>
      </c>
      <c r="E170" s="152">
        <f>MouserListTable[[#This Row],[Tot '#]]-MouserListTable[[#This Row],['# Initial]]</f>
        <v>1</v>
      </c>
      <c r="F170" s="152">
        <f>IF(AND(MouserListTable[[#This Row],[Tag]]&lt;&gt;FilterSpecs!$F$12, MouserListTable[[#This Row],[Tag]]&lt;&gt;FilterSpecs!$F$9), MouserListTable[[#This Row],['#/Unit]]*FilterSpecs!$B$3+MouserListTable[[#This Row],[Extra Initial]],0)</f>
        <v>0</v>
      </c>
      <c r="G170" s="150" t="s">
        <v>721</v>
      </c>
      <c r="H170" s="150" t="s">
        <v>722</v>
      </c>
      <c r="I170" s="150" t="s">
        <v>723</v>
      </c>
      <c r="J170" s="150">
        <v>1</v>
      </c>
      <c r="K170" s="154">
        <v>0.35</v>
      </c>
      <c r="L170" s="150" t="s">
        <v>1897</v>
      </c>
      <c r="M170" s="150"/>
      <c r="N170" s="154">
        <f>MouserListTable[[#This Row],['# Initial]]*MouserListTable[[#This Row],[Price (USD)]]</f>
        <v>0</v>
      </c>
      <c r="O170" s="151" t="s">
        <v>720</v>
      </c>
      <c r="P170" s="150">
        <f t="shared" si="2"/>
        <v>157</v>
      </c>
      <c r="Q170" s="150" t="s">
        <v>5</v>
      </c>
      <c r="R17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474-LCD-00710</v>
      </c>
      <c r="S170" s="157" t="str">
        <f>HYPERLINK("https://www.mouser.com/ProductDetail/" &amp;MouserListTable[[#This Row],[Mouser SKU]])</f>
        <v>https://www.mouser.com/ProductDetail/474-LCD-00710</v>
      </c>
      <c r="T170" s="152">
        <v>1</v>
      </c>
      <c r="U170" s="152">
        <v>0</v>
      </c>
      <c r="V170" s="152">
        <v>0</v>
      </c>
      <c r="W170" s="152">
        <f>MouserListTable[[#This Row],['#/Unit]]*FilterSpecs!$C$3+MouserListTable[[#This Row],[Extra]]</f>
        <v>1</v>
      </c>
      <c r="X170" s="152">
        <f>IF(MouserListTable[[#This Row],[Tag]]=FilterSpecs!$F$7,MouserListTable[[#This Row],['#/Unit]]*MouserListTable[[#This Row],[Price (USD)]],0)</f>
        <v>0</v>
      </c>
      <c r="Y170" s="152">
        <f>MouserListTable[[#This Row],[Tot '#]]*MouserListTable[[#This Row],[Price (USD)]]</f>
        <v>19.95</v>
      </c>
      <c r="Z170" s="146"/>
      <c r="AA170" s="153" t="str">
        <f>AdafruitListTable[[#This Row],[SKU]]</f>
        <v>COM-00096</v>
      </c>
      <c r="AB170" s="153">
        <f>VALUE(AdafruitListTable[[#This Row],['# Initial]])</f>
        <v>0</v>
      </c>
      <c r="AD170" s="153" t="s">
        <v>720</v>
      </c>
      <c r="AE170" s="153">
        <v>5</v>
      </c>
    </row>
    <row r="171" spans="1:31" s="153" customFormat="1" x14ac:dyDescent="0.25">
      <c r="A171" s="150" t="s">
        <v>890</v>
      </c>
      <c r="B171" s="150" t="s">
        <v>1004</v>
      </c>
      <c r="C171" s="150" t="s">
        <v>5</v>
      </c>
      <c r="D171" s="151" t="str">
        <f>IF(AdafruitListTable[[#This Row],[Vendor]]=FilterSpecs!$A$8,AdafruitListTable[[#This Row],[Mouser SKU]], AdafruitListTable[[#This Row],[Supplier SKU]])</f>
        <v>COM-00523</v>
      </c>
      <c r="E171" s="152">
        <f>MouserListTable[[#This Row],[Tot '#]]-MouserListTable[[#This Row],['# Initial]]</f>
        <v>0</v>
      </c>
      <c r="F171" s="152">
        <f>IF(AND(MouserListTable[[#This Row],[Tag]]&lt;&gt;FilterSpecs!$F$12, MouserListTable[[#This Row],[Tag]]&lt;&gt;FilterSpecs!$F$9), MouserListTable[[#This Row],['#/Unit]]*FilterSpecs!$B$3+MouserListTable[[#This Row],[Extra Initial]],0)</f>
        <v>0</v>
      </c>
      <c r="G171" s="150" t="s">
        <v>717</v>
      </c>
      <c r="H171" s="150" t="s">
        <v>718</v>
      </c>
      <c r="I171" s="150" t="s">
        <v>719</v>
      </c>
      <c r="J171" s="150">
        <v>1</v>
      </c>
      <c r="K171" s="154">
        <v>0.45</v>
      </c>
      <c r="L171" s="150" t="s">
        <v>1897</v>
      </c>
      <c r="M171" s="150"/>
      <c r="N171" s="154">
        <f>MouserListTable[[#This Row],['# Initial]]*MouserListTable[[#This Row],[Price (USD)]]</f>
        <v>0</v>
      </c>
      <c r="O171" s="151" t="s">
        <v>716</v>
      </c>
      <c r="P171" s="150">
        <f t="shared" si="2"/>
        <v>158</v>
      </c>
      <c r="Q171" s="150" t="s">
        <v>5</v>
      </c>
      <c r="R17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474-LCD-09568</v>
      </c>
      <c r="S171" s="157" t="str">
        <f>HYPERLINK("https://www.mouser.com/ProductDetail/" &amp;MouserListTable[[#This Row],[Mouser SKU]])</f>
        <v>https://www.mouser.com/ProductDetail/474-LCD-09568</v>
      </c>
      <c r="T171" s="152">
        <v>1</v>
      </c>
      <c r="U171" s="152">
        <v>0</v>
      </c>
      <c r="V171" s="152">
        <v>0</v>
      </c>
      <c r="W171" s="152">
        <f>MouserListTable[[#This Row],['#/Unit]]*FilterSpecs!$C$3+MouserListTable[[#This Row],[Extra]]</f>
        <v>0</v>
      </c>
      <c r="X171" s="152">
        <f>IF(MouserListTable[[#This Row],[Tag]]=FilterSpecs!$F$7,MouserListTable[[#This Row],['#/Unit]]*MouserListTable[[#This Row],[Price (USD)]],0)</f>
        <v>0</v>
      </c>
      <c r="Y171" s="152">
        <f>MouserListTable[[#This Row],[Tot '#]]*MouserListTable[[#This Row],[Price (USD)]]</f>
        <v>0</v>
      </c>
      <c r="Z171" s="146"/>
      <c r="AA171" s="153" t="str">
        <f>AdafruitListTable[[#This Row],[SKU]]</f>
        <v>COM-00523</v>
      </c>
      <c r="AB171" s="153">
        <f>VALUE(AdafruitListTable[[#This Row],['# Initial]])</f>
        <v>0</v>
      </c>
      <c r="AD171" s="153" t="s">
        <v>716</v>
      </c>
      <c r="AE171" s="153">
        <v>5</v>
      </c>
    </row>
    <row r="172" spans="1:31" s="153" customFormat="1" x14ac:dyDescent="0.25">
      <c r="A172" s="150" t="s">
        <v>890</v>
      </c>
      <c r="B172" s="150" t="s">
        <v>1004</v>
      </c>
      <c r="C172" s="150" t="s">
        <v>5</v>
      </c>
      <c r="D172" s="151" t="str">
        <f>IF(AdafruitListTable[[#This Row],[Vendor]]=FilterSpecs!$A$8,AdafruitListTable[[#This Row],[Mouser SKU]], AdafruitListTable[[#This Row],[Supplier SKU]])</f>
        <v>SEN-00250</v>
      </c>
      <c r="E172" s="152">
        <f>MouserListTable[[#This Row],[Tot '#]]-MouserListTable[[#This Row],['# Initial]]</f>
        <v>0</v>
      </c>
      <c r="F172" s="152">
        <f>IF(AND(MouserListTable[[#This Row],[Tag]]&lt;&gt;FilterSpecs!$F$12, MouserListTable[[#This Row],[Tag]]&lt;&gt;FilterSpecs!$F$9), MouserListTable[[#This Row],['#/Unit]]*FilterSpecs!$B$3+MouserListTable[[#This Row],[Extra Initial]],0)</f>
        <v>0</v>
      </c>
      <c r="G172" s="150" t="s">
        <v>705</v>
      </c>
      <c r="H172" s="150" t="s">
        <v>706</v>
      </c>
      <c r="I172" s="150" t="s">
        <v>707</v>
      </c>
      <c r="J172" s="150">
        <v>1</v>
      </c>
      <c r="K172" s="154">
        <v>0.75</v>
      </c>
      <c r="L172" s="150" t="s">
        <v>1897</v>
      </c>
      <c r="M172" s="150"/>
      <c r="N172" s="154">
        <f>MouserListTable[[#This Row],['# Initial]]*MouserListTable[[#This Row],[Price (USD)]]</f>
        <v>0</v>
      </c>
      <c r="O172" s="151" t="s">
        <v>704</v>
      </c>
      <c r="P172" s="150">
        <f t="shared" si="2"/>
        <v>159</v>
      </c>
      <c r="Q172" s="150" t="s">
        <v>5</v>
      </c>
      <c r="R17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485-198</v>
      </c>
      <c r="S172" s="157" t="str">
        <f>HYPERLINK("https://www.mouser.com/ProductDetail/" &amp;MouserListTable[[#This Row],[Mouser SKU]])</f>
        <v>https://www.mouser.com/ProductDetail/485-198</v>
      </c>
      <c r="T172" s="152">
        <v>2</v>
      </c>
      <c r="U172" s="152">
        <v>0</v>
      </c>
      <c r="V172" s="152">
        <v>0</v>
      </c>
      <c r="W172" s="152">
        <f>MouserListTable[[#This Row],['#/Unit]]*FilterSpecs!$C$3+MouserListTable[[#This Row],[Extra]]</f>
        <v>0</v>
      </c>
      <c r="X172" s="152">
        <f>IF(MouserListTable[[#This Row],[Tag]]=FilterSpecs!$F$7,MouserListTable[[#This Row],['#/Unit]]*MouserListTable[[#This Row],[Price (USD)]],0)</f>
        <v>0</v>
      </c>
      <c r="Y172" s="152">
        <f>MouserListTable[[#This Row],[Tot '#]]*MouserListTable[[#This Row],[Price (USD)]]</f>
        <v>0</v>
      </c>
      <c r="Z172" s="146"/>
      <c r="AA172" s="153" t="str">
        <f>AdafruitListTable[[#This Row],[SKU]]</f>
        <v>SEN-00250</v>
      </c>
      <c r="AB172" s="153">
        <f>VALUE(AdafruitListTable[[#This Row],['# Initial]])</f>
        <v>0</v>
      </c>
      <c r="AD172" s="153" t="s">
        <v>704</v>
      </c>
      <c r="AE172" s="153">
        <v>10</v>
      </c>
    </row>
    <row r="173" spans="1:31" s="153" customFormat="1" x14ac:dyDescent="0.25">
      <c r="A173" s="150" t="s">
        <v>890</v>
      </c>
      <c r="B173" s="150" t="s">
        <v>1004</v>
      </c>
      <c r="C173" s="150" t="s">
        <v>5</v>
      </c>
      <c r="D173" s="151" t="str">
        <f>IF(AdafruitListTable[[#This Row],[Vendor]]=FilterSpecs!$A$8,AdafruitListTable[[#This Row],[Mouser SKU]], AdafruitListTable[[#This Row],[Supplier SKU]])</f>
        <v>COM-08589</v>
      </c>
      <c r="E173" s="152">
        <f>MouserListTable[[#This Row],[Tot '#]]-MouserListTable[[#This Row],['# Initial]]</f>
        <v>0</v>
      </c>
      <c r="F173" s="152">
        <f>IF(AND(MouserListTable[[#This Row],[Tag]]&lt;&gt;FilterSpecs!$F$12, MouserListTable[[#This Row],[Tag]]&lt;&gt;FilterSpecs!$F$9), MouserListTable[[#This Row],['#/Unit]]*FilterSpecs!$B$3+MouserListTable[[#This Row],[Extra Initial]],0)</f>
        <v>0</v>
      </c>
      <c r="G173" s="150" t="s">
        <v>419</v>
      </c>
      <c r="H173" s="150" t="s">
        <v>420</v>
      </c>
      <c r="I173" s="150" t="s">
        <v>421</v>
      </c>
      <c r="J173" s="150">
        <v>1</v>
      </c>
      <c r="K173" s="154">
        <v>0.15</v>
      </c>
      <c r="L173" s="150" t="s">
        <v>1897</v>
      </c>
      <c r="M173" s="150"/>
      <c r="N173" s="154">
        <f>MouserListTable[[#This Row],['# Initial]]*MouserListTable[[#This Row],[Price (USD)]]</f>
        <v>0</v>
      </c>
      <c r="O173" s="151" t="s">
        <v>418</v>
      </c>
      <c r="P173" s="150">
        <f t="shared" si="2"/>
        <v>160</v>
      </c>
      <c r="Q173" s="150" t="s">
        <v>5</v>
      </c>
      <c r="R17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485-3330</v>
      </c>
      <c r="S173" s="157" t="str">
        <f>HYPERLINK("https://www.mouser.com/ProductDetail/" &amp;MouserListTable[[#This Row],[Mouser SKU]])</f>
        <v>https://www.mouser.com/ProductDetail/485-3330</v>
      </c>
      <c r="T173" s="152">
        <v>2</v>
      </c>
      <c r="U173" s="152">
        <v>0</v>
      </c>
      <c r="V173" s="152">
        <v>0</v>
      </c>
      <c r="W173" s="152">
        <f>MouserListTable[[#This Row],['#/Unit]]*FilterSpecs!$C$3+MouserListTable[[#This Row],[Extra]]</f>
        <v>0</v>
      </c>
      <c r="X173" s="152">
        <f>IF(MouserListTable[[#This Row],[Tag]]=FilterSpecs!$F$7,MouserListTable[[#This Row],['#/Unit]]*MouserListTable[[#This Row],[Price (USD)]],0)</f>
        <v>0</v>
      </c>
      <c r="Y173" s="152">
        <f>MouserListTable[[#This Row],[Tot '#]]*MouserListTable[[#This Row],[Price (USD)]]</f>
        <v>0</v>
      </c>
      <c r="Z173" s="146"/>
      <c r="AA173" s="153" t="str">
        <f>AdafruitListTable[[#This Row],[SKU]]</f>
        <v>COM-08589</v>
      </c>
      <c r="AB173" s="153">
        <f>VALUE(AdafruitListTable[[#This Row],['# Initial]])</f>
        <v>0</v>
      </c>
      <c r="AD173" s="153" t="s">
        <v>418</v>
      </c>
      <c r="AE173" s="153">
        <v>10</v>
      </c>
    </row>
    <row r="174" spans="1:31" s="153" customFormat="1" x14ac:dyDescent="0.25">
      <c r="A174" s="150" t="s">
        <v>890</v>
      </c>
      <c r="B174" s="150" t="s">
        <v>1004</v>
      </c>
      <c r="C174" s="150" t="s">
        <v>5</v>
      </c>
      <c r="D174" s="151" t="str">
        <f>IF(AdafruitListTable[[#This Row],[Vendor]]=FilterSpecs!$A$8,AdafruitListTable[[#This Row],[Mouser SKU]], AdafruitListTable[[#This Row],[Supplier SKU]])</f>
        <v>COM-08588</v>
      </c>
      <c r="E174" s="152">
        <f>MouserListTable[[#This Row],[Tot '#]]-MouserListTable[[#This Row],['# Initial]]</f>
        <v>0</v>
      </c>
      <c r="F174" s="152">
        <f>IF(AND(MouserListTable[[#This Row],[Tag]]&lt;&gt;FilterSpecs!$F$12, MouserListTable[[#This Row],[Tag]]&lt;&gt;FilterSpecs!$F$9), MouserListTable[[#This Row],['#/Unit]]*FilterSpecs!$B$3+MouserListTable[[#This Row],[Extra Initial]],0)</f>
        <v>0</v>
      </c>
      <c r="G174" s="150" t="s">
        <v>423</v>
      </c>
      <c r="H174" s="150" t="s">
        <v>424</v>
      </c>
      <c r="I174" s="150" t="s">
        <v>425</v>
      </c>
      <c r="J174" s="150">
        <v>1</v>
      </c>
      <c r="K174" s="154">
        <v>0.15</v>
      </c>
      <c r="L174" s="150" t="s">
        <v>1897</v>
      </c>
      <c r="M174" s="150"/>
      <c r="N174" s="154">
        <f>MouserListTable[[#This Row],['# Initial]]*MouserListTable[[#This Row],[Price (USD)]]</f>
        <v>0</v>
      </c>
      <c r="O174" s="151" t="s">
        <v>422</v>
      </c>
      <c r="P174" s="150">
        <f t="shared" si="2"/>
        <v>161</v>
      </c>
      <c r="Q174" s="150" t="s">
        <v>5</v>
      </c>
      <c r="R17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485-1332</v>
      </c>
      <c r="S174" s="157" t="str">
        <f>HYPERLINK("https://www.mouser.com/ProductDetail/" &amp;MouserListTable[[#This Row],[Mouser SKU]])</f>
        <v>https://www.mouser.com/ProductDetail/485-1332</v>
      </c>
      <c r="T174" s="152">
        <v>2</v>
      </c>
      <c r="U174" s="152">
        <v>0</v>
      </c>
      <c r="V174" s="152">
        <v>0</v>
      </c>
      <c r="W174" s="152">
        <f>MouserListTable[[#This Row],['#/Unit]]*FilterSpecs!$C$3+MouserListTable[[#This Row],[Extra]]</f>
        <v>0</v>
      </c>
      <c r="X174" s="152">
        <f>IF(MouserListTable[[#This Row],[Tag]]=FilterSpecs!$F$7,MouserListTable[[#This Row],['#/Unit]]*MouserListTable[[#This Row],[Price (USD)]],0)</f>
        <v>0</v>
      </c>
      <c r="Y174" s="152">
        <f>MouserListTable[[#This Row],[Tot '#]]*MouserListTable[[#This Row],[Price (USD)]]</f>
        <v>0</v>
      </c>
      <c r="Z174" s="146"/>
      <c r="AA174" s="153" t="str">
        <f>AdafruitListTable[[#This Row],[SKU]]</f>
        <v>COM-08588</v>
      </c>
      <c r="AB174" s="153">
        <f>VALUE(AdafruitListTable[[#This Row],['# Initial]])</f>
        <v>0</v>
      </c>
      <c r="AD174" s="153" t="s">
        <v>422</v>
      </c>
      <c r="AE174" s="153">
        <v>10</v>
      </c>
    </row>
    <row r="175" spans="1:31" s="153" customFormat="1" x14ac:dyDescent="0.25">
      <c r="A175" s="150" t="s">
        <v>890</v>
      </c>
      <c r="B175" s="150" t="s">
        <v>1004</v>
      </c>
      <c r="C175" s="150" t="s">
        <v>5</v>
      </c>
      <c r="D175" s="151" t="str">
        <f>IF(AdafruitListTable[[#This Row],[Vendor]]=FilterSpecs!$A$8,AdafruitListTable[[#This Row],[Mouser SKU]], AdafruitListTable[[#This Row],[Supplier SKU]])</f>
        <v>COM-10926</v>
      </c>
      <c r="E175" s="152">
        <f>MouserListTable[[#This Row],[Tot '#]]-MouserListTable[[#This Row],['# Initial]]</f>
        <v>0</v>
      </c>
      <c r="F175" s="152">
        <f>IF(AND(MouserListTable[[#This Row],[Tag]]&lt;&gt;FilterSpecs!$F$12, MouserListTable[[#This Row],[Tag]]&lt;&gt;FilterSpecs!$F$9), MouserListTable[[#This Row],['#/Unit]]*FilterSpecs!$B$3+MouserListTable[[#This Row],[Extra Initial]],0)</f>
        <v>5</v>
      </c>
      <c r="G175" s="150" t="s">
        <v>665</v>
      </c>
      <c r="H175" s="150" t="s">
        <v>666</v>
      </c>
      <c r="I175" s="150" t="s">
        <v>667</v>
      </c>
      <c r="J175" s="150">
        <v>1</v>
      </c>
      <c r="K175" s="154">
        <v>0.15</v>
      </c>
      <c r="L175" s="150" t="s">
        <v>1897</v>
      </c>
      <c r="M175" s="150"/>
      <c r="N175" s="154">
        <f>MouserListTable[[#This Row],['# Initial]]*MouserListTable[[#This Row],[Price (USD)]]</f>
        <v>19.75</v>
      </c>
      <c r="O175" s="151" t="s">
        <v>664</v>
      </c>
      <c r="P175" s="150">
        <f t="shared" si="2"/>
        <v>162</v>
      </c>
      <c r="Q175" s="150" t="s">
        <v>5</v>
      </c>
      <c r="R17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485-419</v>
      </c>
      <c r="S175" s="157" t="str">
        <f>HYPERLINK("https://www.mouser.com/ProductDetail/" &amp;MouserListTable[[#This Row],[Mouser SKU]])</f>
        <v>https://www.mouser.com/ProductDetail/485-419</v>
      </c>
      <c r="T175" s="152">
        <v>2</v>
      </c>
      <c r="U175" s="152">
        <v>0</v>
      </c>
      <c r="V175" s="152">
        <v>0</v>
      </c>
      <c r="W175" s="152">
        <f>MouserListTable[[#This Row],['#/Unit]]*FilterSpecs!$C$3+MouserListTable[[#This Row],[Extra]]</f>
        <v>5</v>
      </c>
      <c r="X175" s="152">
        <f>IF(MouserListTable[[#This Row],[Tag]]=FilterSpecs!$F$7,MouserListTable[[#This Row],['#/Unit]]*MouserListTable[[#This Row],[Price (USD)]],0)</f>
        <v>3.95</v>
      </c>
      <c r="Y175" s="152">
        <f>MouserListTable[[#This Row],[Tot '#]]*MouserListTable[[#This Row],[Price (USD)]]</f>
        <v>19.75</v>
      </c>
      <c r="Z175" s="146"/>
      <c r="AA175" s="153" t="str">
        <f>AdafruitListTable[[#This Row],[SKU]]</f>
        <v>COM-10926</v>
      </c>
      <c r="AB175" s="153">
        <f>VALUE(AdafruitListTable[[#This Row],['# Initial]])</f>
        <v>5</v>
      </c>
      <c r="AD175" s="153" t="s">
        <v>664</v>
      </c>
      <c r="AE175" s="153">
        <v>10</v>
      </c>
    </row>
    <row r="176" spans="1:31" s="153" customFormat="1" x14ac:dyDescent="0.25">
      <c r="A176" s="150" t="s">
        <v>890</v>
      </c>
      <c r="B176" s="150" t="s">
        <v>1999</v>
      </c>
      <c r="C176" s="150" t="s">
        <v>1884</v>
      </c>
      <c r="D176" s="151" t="str">
        <f>IF(AdafruitListTable[[#This Row],[Vendor]]=FilterSpecs!$A$8,AdafruitListTable[[#This Row],[Mouser SKU]], AdafruitListTable[[#This Row],[Supplier SKU]])</f>
        <v>2429</v>
      </c>
      <c r="E176" s="152">
        <f>MouserListTable[[#This Row],[Tot '#]]-MouserListTable[[#This Row],['# Initial]]</f>
        <v>0</v>
      </c>
      <c r="F176" s="152">
        <f>IF(AND(MouserListTable[[#This Row],[Tag]]&lt;&gt;FilterSpecs!$F$12, MouserListTable[[#This Row],[Tag]]&lt;&gt;FilterSpecs!$F$9), MouserListTable[[#This Row],['#/Unit]]*FilterSpecs!$B$3+MouserListTable[[#This Row],[Extra Initial]],0)</f>
        <v>0</v>
      </c>
      <c r="G176" s="150"/>
      <c r="H176" s="150"/>
      <c r="I176" s="150" t="s">
        <v>2203</v>
      </c>
      <c r="K176" s="154">
        <v>4.95</v>
      </c>
      <c r="L176" s="150" t="s">
        <v>1896</v>
      </c>
      <c r="M176" s="151"/>
      <c r="N176" s="154">
        <f>MouserListTable[[#This Row],['# Initial]]*MouserListTable[[#This Row],[Price (USD)]]</f>
        <v>0</v>
      </c>
      <c r="O176" s="151" t="s">
        <v>2202</v>
      </c>
      <c r="P176" s="150">
        <f t="shared" si="2"/>
        <v>163</v>
      </c>
      <c r="Q176" s="150" t="s">
        <v>1884</v>
      </c>
      <c r="R17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474-DEV-11649</v>
      </c>
      <c r="S176" s="157" t="str">
        <f>HYPERLINK("https://www.mouser.com/ProductDetail/" &amp;MouserListTable[[#This Row],[Mouser SKU]])</f>
        <v>https://www.mouser.com/ProductDetail/474-DEV-11649</v>
      </c>
      <c r="T176" s="152">
        <v>0</v>
      </c>
      <c r="U176" s="152">
        <v>1</v>
      </c>
      <c r="V176" s="152">
        <v>1</v>
      </c>
      <c r="W176" s="152">
        <f>MouserListTable[[#This Row],['#/Unit]]*FilterSpecs!$C$3+MouserListTable[[#This Row],[Extra]]</f>
        <v>0</v>
      </c>
      <c r="X176" s="152">
        <f>IF(MouserListTable[[#This Row],[Tag]]=FilterSpecs!$F$7,MouserListTable[[#This Row],['#/Unit]]*MouserListTable[[#This Row],[Price (USD)]],0)</f>
        <v>0</v>
      </c>
      <c r="Y176" s="152">
        <f>MouserListTable[[#This Row],[Tot '#]]*MouserListTable[[#This Row],[Price (USD)]]</f>
        <v>0</v>
      </c>
      <c r="Z176" s="146"/>
      <c r="AA176" s="153" t="str">
        <f>AdafruitListTable[[#This Row],[SKU]]</f>
        <v>2429</v>
      </c>
      <c r="AB176" s="153">
        <f>VALUE(AdafruitListTable[[#This Row],['# Initial]])</f>
        <v>0</v>
      </c>
      <c r="AD176" s="153" t="s">
        <v>2202</v>
      </c>
      <c r="AE176" s="153">
        <v>1</v>
      </c>
    </row>
    <row r="177" spans="1:31" s="153" customFormat="1" x14ac:dyDescent="0.25">
      <c r="A177" s="150" t="s">
        <v>890</v>
      </c>
      <c r="B177" s="150" t="s">
        <v>1999</v>
      </c>
      <c r="C177" s="150" t="s">
        <v>1884</v>
      </c>
      <c r="D177" s="151" t="str">
        <f>IF(AdafruitListTable[[#This Row],[Vendor]]=FilterSpecs!$A$8,AdafruitListTable[[#This Row],[Mouser SKU]], AdafruitListTable[[#This Row],[Supplier SKU]])</f>
        <v>2428</v>
      </c>
      <c r="E177" s="152">
        <f>MouserListTable[[#This Row],[Tot '#]]-MouserListTable[[#This Row],['# Initial]]</f>
        <v>1</v>
      </c>
      <c r="F177" s="152">
        <f>IF(AND(MouserListTable[[#This Row],[Tag]]&lt;&gt;FilterSpecs!$F$12, MouserListTable[[#This Row],[Tag]]&lt;&gt;FilterSpecs!$F$9), MouserListTable[[#This Row],['#/Unit]]*FilterSpecs!$B$3+MouserListTable[[#This Row],[Extra Initial]],0)</f>
        <v>0</v>
      </c>
      <c r="G177" s="150"/>
      <c r="H177" s="150"/>
      <c r="I177" s="150" t="s">
        <v>2205</v>
      </c>
      <c r="K177" s="154">
        <v>4.95</v>
      </c>
      <c r="L177" s="150" t="s">
        <v>1896</v>
      </c>
      <c r="M177" s="151"/>
      <c r="N177" s="154">
        <f>MouserListTable[[#This Row],['# Initial]]*MouserListTable[[#This Row],[Price (USD)]]</f>
        <v>0</v>
      </c>
      <c r="O177" s="151" t="s">
        <v>2204</v>
      </c>
      <c r="P177" s="150">
        <f t="shared" si="2"/>
        <v>164</v>
      </c>
      <c r="Q177" s="150" t="s">
        <v>1884</v>
      </c>
      <c r="R17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474-SEN-14348</v>
      </c>
      <c r="S177" s="157" t="str">
        <f>HYPERLINK("https://www.mouser.com/ProductDetail/" &amp;MouserListTable[[#This Row],[Mouser SKU]])</f>
        <v>https://www.mouser.com/ProductDetail/474-SEN-14348</v>
      </c>
      <c r="T177" s="152">
        <v>0</v>
      </c>
      <c r="U177" s="152">
        <v>1</v>
      </c>
      <c r="V177" s="152">
        <v>1</v>
      </c>
      <c r="W177" s="152">
        <f>MouserListTable[[#This Row],['#/Unit]]*FilterSpecs!$C$3+MouserListTable[[#This Row],[Extra]]</f>
        <v>1</v>
      </c>
      <c r="X177" s="152">
        <f>IF(MouserListTable[[#This Row],[Tag]]=FilterSpecs!$F$7,MouserListTable[[#This Row],['#/Unit]]*MouserListTable[[#This Row],[Price (USD)]],0)</f>
        <v>0</v>
      </c>
      <c r="Y177" s="152">
        <f>MouserListTable[[#This Row],[Tot '#]]*MouserListTable[[#This Row],[Price (USD)]]</f>
        <v>34.950000000000003</v>
      </c>
      <c r="Z177" s="146"/>
      <c r="AA177" s="153" t="str">
        <f>AdafruitListTable[[#This Row],[SKU]]</f>
        <v>2428</v>
      </c>
      <c r="AB177" s="153">
        <f>VALUE(AdafruitListTable[[#This Row],['# Initial]])</f>
        <v>0</v>
      </c>
      <c r="AD177" s="153" t="s">
        <v>2204</v>
      </c>
      <c r="AE177" s="153">
        <v>1</v>
      </c>
    </row>
    <row r="178" spans="1:31" s="153" customFormat="1" x14ac:dyDescent="0.25">
      <c r="A178" s="150" t="s">
        <v>890</v>
      </c>
      <c r="B178" s="150" t="s">
        <v>1999</v>
      </c>
      <c r="C178" s="150" t="s">
        <v>1884</v>
      </c>
      <c r="D178" s="151" t="str">
        <f>IF(AdafruitListTable[[#This Row],[Vendor]]=FilterSpecs!$A$8,AdafruitListTable[[#This Row],[Mouser SKU]], AdafruitListTable[[#This Row],[Supplier SKU]])</f>
        <v>2430</v>
      </c>
      <c r="E178" s="152">
        <f>MouserListTable[[#This Row],[Tot '#]]-MouserListTable[[#This Row],['# Initial]]</f>
        <v>1</v>
      </c>
      <c r="F178" s="152">
        <f>IF(AND(MouserListTable[[#This Row],[Tag]]&lt;&gt;FilterSpecs!$F$12, MouserListTable[[#This Row],[Tag]]&lt;&gt;FilterSpecs!$F$9), MouserListTable[[#This Row],['#/Unit]]*FilterSpecs!$B$3+MouserListTable[[#This Row],[Extra Initial]],0)</f>
        <v>0</v>
      </c>
      <c r="G178" s="150"/>
      <c r="H178" s="150"/>
      <c r="I178" s="150" t="s">
        <v>2207</v>
      </c>
      <c r="K178" s="154">
        <v>4.95</v>
      </c>
      <c r="L178" s="150" t="s">
        <v>1896</v>
      </c>
      <c r="M178" s="151"/>
      <c r="N178" s="154">
        <f>MouserListTable[[#This Row],['# Initial]]*MouserListTable[[#This Row],[Price (USD)]]</f>
        <v>0</v>
      </c>
      <c r="O178" s="151" t="s">
        <v>2206</v>
      </c>
      <c r="P178" s="150">
        <f t="shared" si="2"/>
        <v>165</v>
      </c>
      <c r="Q178" s="150" t="s">
        <v>1884</v>
      </c>
      <c r="R17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474-SEN-14045</v>
      </c>
      <c r="S178" s="157" t="str">
        <f>HYPERLINK("https://www.mouser.com/ProductDetail/" &amp;MouserListTable[[#This Row],[Mouser SKU]])</f>
        <v>https://www.mouser.com/ProductDetail/474-SEN-14045</v>
      </c>
      <c r="T178" s="152">
        <v>0</v>
      </c>
      <c r="U178" s="152">
        <v>1</v>
      </c>
      <c r="V178" s="152">
        <v>1</v>
      </c>
      <c r="W178" s="152">
        <f>MouserListTable[[#This Row],['#/Unit]]*FilterSpecs!$C$3+MouserListTable[[#This Row],[Extra]]</f>
        <v>1</v>
      </c>
      <c r="X178" s="152">
        <f>IF(MouserListTable[[#This Row],[Tag]]=FilterSpecs!$F$7,MouserListTable[[#This Row],['#/Unit]]*MouserListTable[[#This Row],[Price (USD)]],0)</f>
        <v>0</v>
      </c>
      <c r="Y178" s="152">
        <f>MouserListTable[[#This Row],[Tot '#]]*MouserListTable[[#This Row],[Price (USD)]]</f>
        <v>12.95</v>
      </c>
      <c r="Z178" s="146"/>
      <c r="AA178" s="153" t="str">
        <f>AdafruitListTable[[#This Row],[SKU]]</f>
        <v>2430</v>
      </c>
      <c r="AB178" s="153">
        <f>VALUE(AdafruitListTable[[#This Row],['# Initial]])</f>
        <v>0</v>
      </c>
      <c r="AD178" s="153" t="s">
        <v>2206</v>
      </c>
      <c r="AE178" s="153">
        <v>1</v>
      </c>
    </row>
    <row r="179" spans="1:31" s="153" customFormat="1" x14ac:dyDescent="0.25">
      <c r="A179" s="150" t="s">
        <v>890</v>
      </c>
      <c r="B179" s="150" t="s">
        <v>1999</v>
      </c>
      <c r="C179" s="150" t="s">
        <v>1884</v>
      </c>
      <c r="D179" s="151" t="str">
        <f>IF(AdafruitListTable[[#This Row],[Vendor]]=FilterSpecs!$A$8,AdafruitListTable[[#This Row],[Mouser SKU]], AdafruitListTable[[#This Row],[Supplier SKU]])</f>
        <v>394</v>
      </c>
      <c r="E179" s="152">
        <f>MouserListTable[[#This Row],[Tot '#]]-MouserListTable[[#This Row],['# Initial]]</f>
        <v>1</v>
      </c>
      <c r="F179" s="152">
        <f>IF(AND(MouserListTable[[#This Row],[Tag]]&lt;&gt;FilterSpecs!$F$12, MouserListTable[[#This Row],[Tag]]&lt;&gt;FilterSpecs!$F$9), MouserListTable[[#This Row],['#/Unit]]*FilterSpecs!$B$3+MouserListTable[[#This Row],[Extra Initial]],0)</f>
        <v>0</v>
      </c>
      <c r="G179" s="150"/>
      <c r="H179" s="150"/>
      <c r="I179" s="150" t="s">
        <v>2209</v>
      </c>
      <c r="K179" s="154">
        <v>7.5</v>
      </c>
      <c r="L179" s="150" t="s">
        <v>1896</v>
      </c>
      <c r="M179" s="151"/>
      <c r="N179" s="154">
        <f>MouserListTable[[#This Row],['# Initial]]*MouserListTable[[#This Row],[Price (USD)]]</f>
        <v>0</v>
      </c>
      <c r="O179" s="151" t="s">
        <v>2208</v>
      </c>
      <c r="P179" s="150">
        <f t="shared" si="2"/>
        <v>166</v>
      </c>
      <c r="Q179" s="150" t="s">
        <v>1884</v>
      </c>
      <c r="R17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474-BOB-08891</v>
      </c>
      <c r="S179" s="157" t="str">
        <f>HYPERLINK("https://www.mouser.com/ProductDetail/" &amp;MouserListTable[[#This Row],[Mouser SKU]])</f>
        <v>https://www.mouser.com/ProductDetail/474-BOB-08891</v>
      </c>
      <c r="T179" s="152">
        <v>0</v>
      </c>
      <c r="U179" s="152">
        <v>1</v>
      </c>
      <c r="V179" s="152">
        <v>1</v>
      </c>
      <c r="W179" s="152">
        <f>MouserListTable[[#This Row],['#/Unit]]*FilterSpecs!$C$3+MouserListTable[[#This Row],[Extra]]</f>
        <v>1</v>
      </c>
      <c r="X179" s="152">
        <f>IF(MouserListTable[[#This Row],[Tag]]=FilterSpecs!$F$7,MouserListTable[[#This Row],['#/Unit]]*MouserListTable[[#This Row],[Price (USD)]],0)</f>
        <v>0</v>
      </c>
      <c r="Y179" s="152">
        <f>MouserListTable[[#This Row],[Tot '#]]*MouserListTable[[#This Row],[Price (USD)]]</f>
        <v>0.95</v>
      </c>
      <c r="Z179" s="146"/>
      <c r="AA179" s="153" t="str">
        <f>AdafruitListTable[[#This Row],[SKU]]</f>
        <v>394</v>
      </c>
      <c r="AB179" s="153">
        <f>VALUE(AdafruitListTable[[#This Row],['# Initial]])</f>
        <v>0</v>
      </c>
      <c r="AD179" s="153" t="s">
        <v>2208</v>
      </c>
      <c r="AE179" s="153">
        <v>1</v>
      </c>
    </row>
    <row r="180" spans="1:31" s="153" customFormat="1" x14ac:dyDescent="0.25">
      <c r="A180" s="151" t="s">
        <v>890</v>
      </c>
      <c r="B180" s="151" t="s">
        <v>2001</v>
      </c>
      <c r="C180" s="150" t="s">
        <v>5</v>
      </c>
      <c r="D180" s="151" t="str">
        <f>IF(AdafruitListTable[[#This Row],[Vendor]]=FilterSpecs!$A$8,AdafruitListTable[[#This Row],[Mouser SKU]], AdafruitListTable[[#This Row],[Supplier SKU]])</f>
        <v>CAB-10646</v>
      </c>
      <c r="E180" s="152">
        <f>MouserListTable[[#This Row],[Tot '#]]-MouserListTable[[#This Row],['# Initial]]</f>
        <v>1</v>
      </c>
      <c r="F180" s="152">
        <f>IF(AND(MouserListTable[[#This Row],[Tag]]&lt;&gt;FilterSpecs!$F$12, MouserListTable[[#This Row],[Tag]]&lt;&gt;FilterSpecs!$F$9), MouserListTable[[#This Row],['#/Unit]]*FilterSpecs!$B$3+MouserListTable[[#This Row],[Extra Initial]],0)</f>
        <v>0</v>
      </c>
      <c r="G180" s="150" t="s">
        <v>1582</v>
      </c>
      <c r="H180" s="150" t="s">
        <v>1583</v>
      </c>
      <c r="I180" s="151" t="s">
        <v>1584</v>
      </c>
      <c r="J180" s="150">
        <v>1</v>
      </c>
      <c r="K180" s="154">
        <v>2.95</v>
      </c>
      <c r="L180" s="151" t="s">
        <v>1896</v>
      </c>
      <c r="M180" s="150"/>
      <c r="N180" s="154">
        <f>MouserListTable[[#This Row],['# Initial]]*MouserListTable[[#This Row],[Price (USD)]]</f>
        <v>0</v>
      </c>
      <c r="O180" s="151" t="s">
        <v>1581</v>
      </c>
      <c r="P180" s="150">
        <f t="shared" si="2"/>
        <v>167</v>
      </c>
      <c r="Q180" s="150" t="s">
        <v>5</v>
      </c>
      <c r="R18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474-SEN-09403</v>
      </c>
      <c r="S180" s="157" t="str">
        <f>HYPERLINK("https://www.mouser.com/ProductDetail/" &amp;MouserListTable[[#This Row],[Mouser SKU]])</f>
        <v>https://www.mouser.com/ProductDetail/474-SEN-09403</v>
      </c>
      <c r="T180" s="152">
        <v>0</v>
      </c>
      <c r="U180" s="152">
        <v>2</v>
      </c>
      <c r="V180" s="152">
        <v>2</v>
      </c>
      <c r="W180" s="152">
        <f>MouserListTable[[#This Row],['#/Unit]]*FilterSpecs!$C$3+MouserListTable[[#This Row],[Extra]]</f>
        <v>1</v>
      </c>
      <c r="X180" s="152">
        <f>IF(MouserListTable[[#This Row],[Tag]]=FilterSpecs!$F$7,MouserListTable[[#This Row],['#/Unit]]*MouserListTable[[#This Row],[Price (USD)]],0)</f>
        <v>0</v>
      </c>
      <c r="Y180" s="152">
        <f>MouserListTable[[#This Row],[Tot '#]]*MouserListTable[[#This Row],[Price (USD)]]</f>
        <v>7.25</v>
      </c>
      <c r="Z180" s="146"/>
      <c r="AA180" s="153" t="str">
        <f>AdafruitListTable[[#This Row],[SKU]]</f>
        <v>CAB-10646</v>
      </c>
      <c r="AB180" s="153">
        <f>VALUE(AdafruitListTable[[#This Row],['# Initial]])</f>
        <v>0</v>
      </c>
      <c r="AD180" s="153" t="s">
        <v>1581</v>
      </c>
      <c r="AE180" s="153">
        <v>2</v>
      </c>
    </row>
    <row r="181" spans="1:31" s="153" customFormat="1" x14ac:dyDescent="0.25">
      <c r="A181" s="151" t="s">
        <v>890</v>
      </c>
      <c r="B181" s="151" t="s">
        <v>2001</v>
      </c>
      <c r="C181" s="150" t="s">
        <v>5</v>
      </c>
      <c r="D181" s="151" t="str">
        <f>IF(AdafruitListTable[[#This Row],[Vendor]]=FilterSpecs!$A$8,AdafruitListTable[[#This Row],[Mouser SKU]], AdafruitListTable[[#This Row],[Supplier SKU]])</f>
        <v>CAB-10647</v>
      </c>
      <c r="E181" s="152">
        <f>MouserListTable[[#This Row],[Tot '#]]-MouserListTable[[#This Row],['# Initial]]</f>
        <v>0</v>
      </c>
      <c r="F181" s="152">
        <f>IF(AND(MouserListTable[[#This Row],[Tag]]&lt;&gt;FilterSpecs!$F$12, MouserListTable[[#This Row],[Tag]]&lt;&gt;FilterSpecs!$F$9), MouserListTable[[#This Row],['#/Unit]]*FilterSpecs!$B$3+MouserListTable[[#This Row],[Extra Initial]],0)</f>
        <v>0</v>
      </c>
      <c r="G181" s="150" t="s">
        <v>1586</v>
      </c>
      <c r="H181" s="150" t="s">
        <v>1587</v>
      </c>
      <c r="I181" s="151" t="s">
        <v>1588</v>
      </c>
      <c r="J181" s="150">
        <v>1</v>
      </c>
      <c r="K181" s="154">
        <v>4.95</v>
      </c>
      <c r="L181" s="151" t="s">
        <v>1896</v>
      </c>
      <c r="M181" s="150"/>
      <c r="N181" s="154">
        <f>MouserListTable[[#This Row],['# Initial]]*MouserListTable[[#This Row],[Price (USD)]]</f>
        <v>0</v>
      </c>
      <c r="O181" s="151" t="s">
        <v>1585</v>
      </c>
      <c r="P181" s="150">
        <f t="shared" si="2"/>
        <v>168</v>
      </c>
      <c r="Q181" s="150" t="s">
        <v>5</v>
      </c>
      <c r="R18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474-SEN-12055</v>
      </c>
      <c r="S181" s="157" t="str">
        <f>HYPERLINK("https://www.mouser.com/ProductDetail/" &amp;MouserListTable[[#This Row],[Mouser SKU]])</f>
        <v>https://www.mouser.com/ProductDetail/474-SEN-12055</v>
      </c>
      <c r="T181" s="152">
        <v>0</v>
      </c>
      <c r="U181" s="152">
        <v>1</v>
      </c>
      <c r="V181" s="152">
        <v>1</v>
      </c>
      <c r="W181" s="152">
        <f>MouserListTable[[#This Row],['#/Unit]]*FilterSpecs!$C$3+MouserListTable[[#This Row],[Extra]]</f>
        <v>0</v>
      </c>
      <c r="X181" s="152">
        <f>IF(MouserListTable[[#This Row],[Tag]]=FilterSpecs!$F$7,MouserListTable[[#This Row],['#/Unit]]*MouserListTable[[#This Row],[Price (USD)]],0)</f>
        <v>0</v>
      </c>
      <c r="Y181" s="152">
        <f>MouserListTable[[#This Row],[Tot '#]]*MouserListTable[[#This Row],[Price (USD)]]</f>
        <v>0</v>
      </c>
      <c r="Z181" s="146"/>
      <c r="AA181" s="153" t="str">
        <f>AdafruitListTable[[#This Row],[SKU]]</f>
        <v>CAB-10647</v>
      </c>
      <c r="AB181" s="153">
        <f>VALUE(AdafruitListTable[[#This Row],['# Initial]])</f>
        <v>0</v>
      </c>
      <c r="AD181" s="153" t="s">
        <v>1585</v>
      </c>
      <c r="AE181" s="153">
        <v>1</v>
      </c>
    </row>
    <row r="182" spans="1:31" s="153" customFormat="1" x14ac:dyDescent="0.25">
      <c r="A182" s="150" t="s">
        <v>890</v>
      </c>
      <c r="B182" s="150" t="s">
        <v>2010</v>
      </c>
      <c r="C182" s="150" t="s">
        <v>5</v>
      </c>
      <c r="D182" s="151" t="str">
        <f>IF(AdafruitListTable[[#This Row],[Vendor]]=FilterSpecs!$A$8,AdafruitListTable[[#This Row],[Mouser SKU]], AdafruitListTable[[#This Row],[Supplier SKU]])</f>
        <v>COM-09288</v>
      </c>
      <c r="E182" s="152">
        <f>MouserListTable[[#This Row],[Tot '#]]-MouserListTable[[#This Row],['# Initial]]</f>
        <v>2</v>
      </c>
      <c r="F182" s="152">
        <f>IF(AND(MouserListTable[[#This Row],[Tag]]&lt;&gt;FilterSpecs!$F$12, MouserListTable[[#This Row],[Tag]]&lt;&gt;FilterSpecs!$F$9), MouserListTable[[#This Row],['#/Unit]]*FilterSpecs!$B$3+MouserListTable[[#This Row],[Extra Initial]],0)</f>
        <v>0</v>
      </c>
      <c r="G182" s="150" t="s">
        <v>997</v>
      </c>
      <c r="H182" s="150" t="s">
        <v>998</v>
      </c>
      <c r="I182" s="150" t="s">
        <v>999</v>
      </c>
      <c r="J182" s="150">
        <v>1</v>
      </c>
      <c r="K182" s="154">
        <v>0.95</v>
      </c>
      <c r="L182" s="151" t="s">
        <v>1897</v>
      </c>
      <c r="M182" s="150"/>
      <c r="N182" s="154">
        <f>MouserListTable[[#This Row],['# Initial]]*MouserListTable[[#This Row],[Price (USD)]]</f>
        <v>0</v>
      </c>
      <c r="O182" s="151" t="s">
        <v>996</v>
      </c>
      <c r="P182" s="150">
        <f t="shared" si="2"/>
        <v>169</v>
      </c>
      <c r="Q182" s="150" t="s">
        <v>5</v>
      </c>
      <c r="R18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474-BOB-08688</v>
      </c>
      <c r="S182" s="157" t="str">
        <f>HYPERLINK("https://www.mouser.com/ProductDetail/" &amp;MouserListTable[[#This Row],[Mouser SKU]])</f>
        <v>https://www.mouser.com/ProductDetail/474-BOB-08688</v>
      </c>
      <c r="T182" s="152">
        <v>1</v>
      </c>
      <c r="U182" s="152">
        <v>0</v>
      </c>
      <c r="V182" s="152">
        <v>0</v>
      </c>
      <c r="W182" s="152">
        <f>MouserListTable[[#This Row],['#/Unit]]*FilterSpecs!$C$3+MouserListTable[[#This Row],[Extra]]</f>
        <v>2</v>
      </c>
      <c r="X182" s="152">
        <f>IF(MouserListTable[[#This Row],[Tag]]=FilterSpecs!$F$7,MouserListTable[[#This Row],['#/Unit]]*MouserListTable[[#This Row],[Price (USD)]],0)</f>
        <v>0</v>
      </c>
      <c r="Y182" s="152">
        <f>MouserListTable[[#This Row],[Tot '#]]*MouserListTable[[#This Row],[Price (USD)]]</f>
        <v>7.9</v>
      </c>
      <c r="Z182" s="146"/>
      <c r="AA182" s="153" t="str">
        <f>AdafruitListTable[[#This Row],[SKU]]</f>
        <v>COM-09288</v>
      </c>
      <c r="AB182" s="153">
        <f>VALUE(AdafruitListTable[[#This Row],['# Initial]])</f>
        <v>0</v>
      </c>
      <c r="AD182" s="153" t="s">
        <v>996</v>
      </c>
      <c r="AE182" s="153">
        <v>5</v>
      </c>
    </row>
    <row r="183" spans="1:31" s="153" customFormat="1" x14ac:dyDescent="0.25">
      <c r="A183" s="150" t="s">
        <v>890</v>
      </c>
      <c r="B183" s="150" t="s">
        <v>2010</v>
      </c>
      <c r="C183" s="150" t="s">
        <v>1884</v>
      </c>
      <c r="D183" s="151" t="str">
        <f>IF(AdafruitListTable[[#This Row],[Vendor]]=FilterSpecs!$A$8,AdafruitListTable[[#This Row],[Mouser SKU]], AdafruitListTable[[#This Row],[Supplier SKU]])</f>
        <v>3395</v>
      </c>
      <c r="E183" s="152">
        <f>MouserListTable[[#This Row],[Tot '#]]-MouserListTable[[#This Row],['# Initial]]</f>
        <v>3</v>
      </c>
      <c r="F183" s="152">
        <f>IF(AND(MouserListTable[[#This Row],[Tag]]&lt;&gt;FilterSpecs!$F$12, MouserListTable[[#This Row],[Tag]]&lt;&gt;FilterSpecs!$F$9), MouserListTable[[#This Row],['#/Unit]]*FilterSpecs!$B$3+MouserListTable[[#This Row],[Extra Initial]],0)</f>
        <v>0</v>
      </c>
      <c r="G183" s="150"/>
      <c r="H183" s="150"/>
      <c r="I183" s="150" t="s">
        <v>2223</v>
      </c>
      <c r="K183" s="154">
        <v>1.5</v>
      </c>
      <c r="L183" s="151" t="s">
        <v>1897</v>
      </c>
      <c r="M183" s="151"/>
      <c r="N183" s="154">
        <f>MouserListTable[[#This Row],['# Initial]]*MouserListTable[[#This Row],[Price (USD)]]</f>
        <v>0</v>
      </c>
      <c r="O183" s="151" t="s">
        <v>2222</v>
      </c>
      <c r="P183" s="150">
        <f t="shared" si="2"/>
        <v>170</v>
      </c>
      <c r="Q183" s="150" t="s">
        <v>1884</v>
      </c>
      <c r="R18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474-WRL-13677</v>
      </c>
      <c r="S183" s="157" t="str">
        <f>HYPERLINK("https://www.mouser.com/ProductDetail/" &amp;MouserListTable[[#This Row],[Mouser SKU]])</f>
        <v>https://www.mouser.com/ProductDetail/474-WRL-13677</v>
      </c>
      <c r="T183" s="152">
        <v>1</v>
      </c>
      <c r="U183" s="152">
        <v>0</v>
      </c>
      <c r="V183" s="152">
        <v>0</v>
      </c>
      <c r="W183" s="152">
        <f>MouserListTable[[#This Row],['#/Unit]]*FilterSpecs!$C$3+MouserListTable[[#This Row],[Extra]]</f>
        <v>3</v>
      </c>
      <c r="X183" s="152">
        <f>IF(MouserListTable[[#This Row],[Tag]]=FilterSpecs!$F$7,MouserListTable[[#This Row],['#/Unit]]*MouserListTable[[#This Row],[Price (USD)]],0)</f>
        <v>0</v>
      </c>
      <c r="Y183" s="152">
        <f>MouserListTable[[#This Row],[Tot '#]]*MouserListTable[[#This Row],[Price (USD)]]</f>
        <v>44.849999999999994</v>
      </c>
      <c r="Z183" s="146"/>
      <c r="AA183" s="153" t="str">
        <f>AdafruitListTable[[#This Row],[SKU]]</f>
        <v>3395</v>
      </c>
      <c r="AB183" s="153">
        <f>VALUE(AdafruitListTable[[#This Row],['# Initial]])</f>
        <v>0</v>
      </c>
      <c r="AD183" s="153" t="s">
        <v>2222</v>
      </c>
      <c r="AE183" s="153">
        <v>5</v>
      </c>
    </row>
    <row r="184" spans="1:31" s="153" customFormat="1" x14ac:dyDescent="0.25">
      <c r="A184" s="150" t="s">
        <v>890</v>
      </c>
      <c r="B184" s="150" t="s">
        <v>2010</v>
      </c>
      <c r="C184" s="150" t="s">
        <v>5</v>
      </c>
      <c r="D184" s="151" t="str">
        <f>IF(AdafruitListTable[[#This Row],[Vendor]]=FilterSpecs!$A$8,AdafruitListTable[[#This Row],[Mouser SKU]], AdafruitListTable[[#This Row],[Supplier SKU]])</f>
        <v>COM-13253</v>
      </c>
      <c r="E184" s="152">
        <f>MouserListTable[[#This Row],[Tot '#]]-MouserListTable[[#This Row],['# Initial]]</f>
        <v>0</v>
      </c>
      <c r="F184" s="152">
        <f>IF(AND(MouserListTable[[#This Row],[Tag]]&lt;&gt;FilterSpecs!$F$12, MouserListTable[[#This Row],[Tag]]&lt;&gt;FilterSpecs!$F$9), MouserListTable[[#This Row],['#/Unit]]*FilterSpecs!$B$3+MouserListTable[[#This Row],[Extra Initial]],0)</f>
        <v>0</v>
      </c>
      <c r="G184" s="150" t="s">
        <v>1109</v>
      </c>
      <c r="H184" s="150" t="s">
        <v>1110</v>
      </c>
      <c r="I184" s="150" t="s">
        <v>1111</v>
      </c>
      <c r="J184" s="150">
        <v>1</v>
      </c>
      <c r="K184" s="154">
        <v>1.95</v>
      </c>
      <c r="L184" s="151" t="s">
        <v>1897</v>
      </c>
      <c r="M184" s="150"/>
      <c r="N184" s="154">
        <f>MouserListTable[[#This Row],['# Initial]]*MouserListTable[[#This Row],[Price (USD)]]</f>
        <v>0</v>
      </c>
      <c r="O184" s="151" t="s">
        <v>1108</v>
      </c>
      <c r="P184" s="150">
        <f t="shared" si="2"/>
        <v>171</v>
      </c>
      <c r="Q184" s="150" t="s">
        <v>5</v>
      </c>
      <c r="R18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474-WRL-13678</v>
      </c>
      <c r="S184" s="157" t="str">
        <f>HYPERLINK("https://www.mouser.com/ProductDetail/" &amp;MouserListTable[[#This Row],[Mouser SKU]])</f>
        <v>https://www.mouser.com/ProductDetail/474-WRL-13678</v>
      </c>
      <c r="T184" s="152">
        <v>1</v>
      </c>
      <c r="U184" s="152">
        <v>0</v>
      </c>
      <c r="V184" s="152">
        <v>0</v>
      </c>
      <c r="W184" s="152">
        <f>MouserListTable[[#This Row],['#/Unit]]*FilterSpecs!$C$3+MouserListTable[[#This Row],[Extra]]</f>
        <v>0</v>
      </c>
      <c r="X184" s="152">
        <f>IF(MouserListTable[[#This Row],[Tag]]=FilterSpecs!$F$7,MouserListTable[[#This Row],['#/Unit]]*MouserListTable[[#This Row],[Price (USD)]],0)</f>
        <v>0</v>
      </c>
      <c r="Y184" s="152">
        <f>MouserListTable[[#This Row],[Tot '#]]*MouserListTable[[#This Row],[Price (USD)]]</f>
        <v>0</v>
      </c>
      <c r="Z184" s="146"/>
      <c r="AA184" s="153" t="str">
        <f>AdafruitListTable[[#This Row],[SKU]]</f>
        <v>COM-13253</v>
      </c>
      <c r="AB184" s="153">
        <f>VALUE(AdafruitListTable[[#This Row],['# Initial]])</f>
        <v>0</v>
      </c>
      <c r="AD184" s="153" t="s">
        <v>1108</v>
      </c>
      <c r="AE184" s="153">
        <v>5</v>
      </c>
    </row>
    <row r="185" spans="1:31" s="153" customFormat="1" x14ac:dyDescent="0.25">
      <c r="A185" s="150" t="s">
        <v>890</v>
      </c>
      <c r="B185" s="150" t="s">
        <v>2010</v>
      </c>
      <c r="C185" s="150" t="s">
        <v>5</v>
      </c>
      <c r="D185" s="151" t="str">
        <f>IF(AdafruitListTable[[#This Row],[Vendor]]=FilterSpecs!$A$8,AdafruitListTable[[#This Row],[Mouser SKU]], AdafruitListTable[[#This Row],[Supplier SKU]])</f>
        <v>BOB-13098</v>
      </c>
      <c r="E185" s="152">
        <f>MouserListTable[[#This Row],[Tot '#]]-MouserListTable[[#This Row],['# Initial]]</f>
        <v>0</v>
      </c>
      <c r="F185" s="152">
        <f>IF(AND(MouserListTable[[#This Row],[Tag]]&lt;&gt;FilterSpecs!$F$12, MouserListTable[[#This Row],[Tag]]&lt;&gt;FilterSpecs!$F$9), MouserListTable[[#This Row],['#/Unit]]*FilterSpecs!$B$3+MouserListTable[[#This Row],[Extra Initial]],0)</f>
        <v>0</v>
      </c>
      <c r="G185" s="150" t="s">
        <v>1105</v>
      </c>
      <c r="H185" s="150" t="s">
        <v>1106</v>
      </c>
      <c r="I185" s="150" t="s">
        <v>1107</v>
      </c>
      <c r="J185" s="150">
        <v>1</v>
      </c>
      <c r="K185" s="154">
        <v>1.95</v>
      </c>
      <c r="L185" s="151" t="s">
        <v>1897</v>
      </c>
      <c r="M185" s="150"/>
      <c r="N185" s="154">
        <f>MouserListTable[[#This Row],['# Initial]]*MouserListTable[[#This Row],[Price (USD)]]</f>
        <v>0</v>
      </c>
      <c r="O185" s="151" t="s">
        <v>1104</v>
      </c>
      <c r="P185" s="150">
        <f t="shared" si="2"/>
        <v>172</v>
      </c>
      <c r="Q185" s="150" t="s">
        <v>5</v>
      </c>
      <c r="R18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409-OPT-UP-WF-002</v>
      </c>
      <c r="S185" s="157" t="str">
        <f>HYPERLINK("https://www.mouser.com/ProductDetail/" &amp;MouserListTable[[#This Row],[Mouser SKU]])</f>
        <v>https://www.mouser.com/ProductDetail/409-OPT-UP-WF-002</v>
      </c>
      <c r="T185" s="152">
        <v>1</v>
      </c>
      <c r="U185" s="152">
        <v>0</v>
      </c>
      <c r="V185" s="152">
        <v>0</v>
      </c>
      <c r="W185" s="152">
        <f>MouserListTable[[#This Row],['#/Unit]]*FilterSpecs!$C$3+MouserListTable[[#This Row],[Extra]]</f>
        <v>0</v>
      </c>
      <c r="X185" s="152">
        <f>IF(MouserListTable[[#This Row],[Tag]]=FilterSpecs!$F$7,MouserListTable[[#This Row],['#/Unit]]*MouserListTable[[#This Row],[Price (USD)]],0)</f>
        <v>0</v>
      </c>
      <c r="Y185" s="152">
        <f>MouserListTable[[#This Row],[Tot '#]]*MouserListTable[[#This Row],[Price (USD)]]</f>
        <v>0</v>
      </c>
      <c r="Z185" s="146"/>
      <c r="AA185" s="153" t="str">
        <f>AdafruitListTable[[#This Row],[SKU]]</f>
        <v>BOB-13098</v>
      </c>
      <c r="AB185" s="153">
        <f>VALUE(AdafruitListTable[[#This Row],['# Initial]])</f>
        <v>0</v>
      </c>
      <c r="AD185" s="153" t="s">
        <v>1104</v>
      </c>
      <c r="AE185" s="153">
        <v>5</v>
      </c>
    </row>
    <row r="186" spans="1:31" s="153" customFormat="1" x14ac:dyDescent="0.25">
      <c r="A186" s="150" t="s">
        <v>890</v>
      </c>
      <c r="B186" s="150" t="s">
        <v>2010</v>
      </c>
      <c r="C186" s="150" t="s">
        <v>5</v>
      </c>
      <c r="D186" s="151" t="str">
        <f>IF(AdafruitListTable[[#This Row],[Vendor]]=FilterSpecs!$A$8,AdafruitListTable[[#This Row],[Mouser SKU]], AdafruitListTable[[#This Row],[Supplier SKU]])</f>
        <v>BOB-13099</v>
      </c>
      <c r="E186" s="152">
        <f>MouserListTable[[#This Row],[Tot '#]]-MouserListTable[[#This Row],['# Initial]]</f>
        <v>0</v>
      </c>
      <c r="F186" s="152">
        <f>IF(AND(MouserListTable[[#This Row],[Tag]]&lt;&gt;FilterSpecs!$F$12, MouserListTable[[#This Row],[Tag]]&lt;&gt;FilterSpecs!$F$9), MouserListTable[[#This Row],['#/Unit]]*FilterSpecs!$B$3+MouserListTable[[#This Row],[Extra Initial]],0)</f>
        <v>0</v>
      </c>
      <c r="G186" s="150" t="s">
        <v>1113</v>
      </c>
      <c r="H186" s="150" t="s">
        <v>1114</v>
      </c>
      <c r="I186" s="150" t="s">
        <v>1115</v>
      </c>
      <c r="J186" s="150">
        <v>1</v>
      </c>
      <c r="K186" s="154">
        <v>1.95</v>
      </c>
      <c r="L186" s="151" t="s">
        <v>1897</v>
      </c>
      <c r="M186" s="150"/>
      <c r="N186" s="154">
        <f>MouserListTable[[#This Row],['# Initial]]*MouserListTable[[#This Row],[Price (USD)]]</f>
        <v>0</v>
      </c>
      <c r="O186" s="151" t="s">
        <v>1112</v>
      </c>
      <c r="P186" s="150">
        <f t="shared" si="2"/>
        <v>173</v>
      </c>
      <c r="Q186" s="150" t="s">
        <v>5</v>
      </c>
      <c r="R18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485-2810</v>
      </c>
      <c r="S186" s="157" t="str">
        <f>HYPERLINK("https://www.mouser.com/ProductDetail/" &amp;MouserListTable[[#This Row],[Mouser SKU]])</f>
        <v>https://www.mouser.com/ProductDetail/485-2810</v>
      </c>
      <c r="T186" s="152">
        <v>1</v>
      </c>
      <c r="U186" s="152">
        <v>0</v>
      </c>
      <c r="V186" s="152">
        <v>0</v>
      </c>
      <c r="W186" s="152">
        <f>MouserListTable[[#This Row],['#/Unit]]*FilterSpecs!$C$3+MouserListTable[[#This Row],[Extra]]</f>
        <v>0</v>
      </c>
      <c r="X186" s="152">
        <f>IF(MouserListTable[[#This Row],[Tag]]=FilterSpecs!$F$7,MouserListTable[[#This Row],['#/Unit]]*MouserListTable[[#This Row],[Price (USD)]],0)</f>
        <v>0</v>
      </c>
      <c r="Y186" s="152">
        <f>MouserListTable[[#This Row],[Tot '#]]*MouserListTable[[#This Row],[Price (USD)]]</f>
        <v>0</v>
      </c>
      <c r="Z186" s="146"/>
      <c r="AA186" s="153" t="str">
        <f>AdafruitListTable[[#This Row],[SKU]]</f>
        <v>BOB-13099</v>
      </c>
      <c r="AB186" s="153">
        <f>VALUE(AdafruitListTable[[#This Row],['# Initial]])</f>
        <v>0</v>
      </c>
      <c r="AD186" s="153" t="s">
        <v>1112</v>
      </c>
      <c r="AE186" s="153">
        <v>5</v>
      </c>
    </row>
    <row r="187" spans="1:31" s="153" customFormat="1" x14ac:dyDescent="0.25">
      <c r="A187" s="150" t="s">
        <v>890</v>
      </c>
      <c r="B187" s="150" t="s">
        <v>1598</v>
      </c>
      <c r="C187" s="150" t="s">
        <v>1884</v>
      </c>
      <c r="D187" s="151" t="str">
        <f>IF(AdafruitListTable[[#This Row],[Vendor]]=FilterSpecs!$A$8,AdafruitListTable[[#This Row],[Mouser SKU]], AdafruitListTable[[#This Row],[Supplier SKU]])</f>
        <v>3174</v>
      </c>
      <c r="E187" s="152">
        <f>MouserListTable[[#This Row],[Tot '#]]-MouserListTable[[#This Row],['# Initial]]</f>
        <v>0</v>
      </c>
      <c r="F187" s="152">
        <f>IF(AND(MouserListTable[[#This Row],[Tag]]&lt;&gt;FilterSpecs!$F$12, MouserListTable[[#This Row],[Tag]]&lt;&gt;FilterSpecs!$F$9), MouserListTable[[#This Row],['#/Unit]]*FilterSpecs!$B$3+MouserListTable[[#This Row],[Extra Initial]],0)</f>
        <v>5</v>
      </c>
      <c r="H187" s="151"/>
      <c r="I187" s="150" t="s">
        <v>2440</v>
      </c>
      <c r="J187" s="113">
        <v>109</v>
      </c>
      <c r="K187" s="154">
        <v>27.5</v>
      </c>
      <c r="L187" s="150" t="s">
        <v>1896</v>
      </c>
      <c r="M187" s="151"/>
      <c r="N187" s="154">
        <f>MouserListTable[[#This Row],['# Initial]]*MouserListTable[[#This Row],[Price (USD)]]</f>
        <v>99.75</v>
      </c>
      <c r="O187" s="151" t="s">
        <v>2441</v>
      </c>
      <c r="P187" s="150">
        <f t="shared" si="2"/>
        <v>174</v>
      </c>
      <c r="Q187" s="150" t="s">
        <v>1884</v>
      </c>
      <c r="R18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485-2649</v>
      </c>
      <c r="S187" s="157" t="str">
        <f>HYPERLINK("https://www.mouser.com/ProductDetail/" &amp;MouserListTable[[#This Row],[Mouser SKU]])</f>
        <v>https://www.mouser.com/ProductDetail/485-2649</v>
      </c>
      <c r="T187" s="152">
        <v>0</v>
      </c>
      <c r="U187" s="152">
        <v>1</v>
      </c>
      <c r="V187" s="152">
        <v>1</v>
      </c>
      <c r="W187" s="152">
        <f>MouserListTable[[#This Row],['#/Unit]]*FilterSpecs!$C$3+MouserListTable[[#This Row],[Extra]]</f>
        <v>5</v>
      </c>
      <c r="X187" s="152">
        <f>IF(MouserListTable[[#This Row],[Tag]]=FilterSpecs!$F$7,MouserListTable[[#This Row],['#/Unit]]*MouserListTable[[#This Row],[Price (USD)]],0)</f>
        <v>19.95</v>
      </c>
      <c r="Y187" s="152">
        <f>MouserListTable[[#This Row],[Tot '#]]*MouserListTable[[#This Row],[Price (USD)]]</f>
        <v>99.75</v>
      </c>
      <c r="Z187" s="146"/>
      <c r="AA187" s="153" t="str">
        <f>AdafruitListTable[[#This Row],[SKU]]</f>
        <v>3174</v>
      </c>
      <c r="AB187" s="153">
        <f>VALUE(AdafruitListTable[[#This Row],['# Initial]])</f>
        <v>5</v>
      </c>
      <c r="AD187" s="153" t="s">
        <v>2441</v>
      </c>
      <c r="AE187" s="153">
        <v>1</v>
      </c>
    </row>
    <row r="188" spans="1:31" s="153" customFormat="1" x14ac:dyDescent="0.25">
      <c r="A188" s="150" t="s">
        <v>890</v>
      </c>
      <c r="B188" s="150" t="s">
        <v>1598</v>
      </c>
      <c r="C188" s="150" t="s">
        <v>5</v>
      </c>
      <c r="D188" s="151" t="str">
        <f>IF(AdafruitListTable[[#This Row],[Vendor]]=FilterSpecs!$A$8,AdafruitListTable[[#This Row],[Mouser SKU]], AdafruitListTable[[#This Row],[Supplier SKU]])</f>
        <v>PRT-00124</v>
      </c>
      <c r="E188" s="152">
        <f>MouserListTable[[#This Row],[Tot '#]]-MouserListTable[[#This Row],['# Initial]]</f>
        <v>0</v>
      </c>
      <c r="F188" s="152">
        <f>IF(AND(MouserListTable[[#This Row],[Tag]]&lt;&gt;FilterSpecs!$F$12, MouserListTable[[#This Row],[Tag]]&lt;&gt;FilterSpecs!$F$9), MouserListTable[[#This Row],['#/Unit]]*FilterSpecs!$B$3+MouserListTable[[#This Row],[Extra Initial]],0)</f>
        <v>0</v>
      </c>
      <c r="G188" s="150" t="s">
        <v>411</v>
      </c>
      <c r="H188" s="150" t="s">
        <v>412</v>
      </c>
      <c r="I188" s="150" t="s">
        <v>413</v>
      </c>
      <c r="J188" s="150">
        <v>1</v>
      </c>
      <c r="K188" s="154">
        <v>6.95</v>
      </c>
      <c r="L188" s="150" t="s">
        <v>1896</v>
      </c>
      <c r="M188" s="150"/>
      <c r="N188" s="154">
        <f>MouserListTable[[#This Row],['# Initial]]*MouserListTable[[#This Row],[Price (USD)]]</f>
        <v>0</v>
      </c>
      <c r="O188" s="151" t="s">
        <v>410</v>
      </c>
      <c r="P188" s="150">
        <f t="shared" si="2"/>
        <v>175</v>
      </c>
      <c r="Q188" s="150" t="s">
        <v>5</v>
      </c>
      <c r="R18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474-WRL-12579</v>
      </c>
      <c r="S188" s="157" t="str">
        <f>HYPERLINK("https://www.mouser.com/ProductDetail/" &amp;MouserListTable[[#This Row],[Mouser SKU]])</f>
        <v>https://www.mouser.com/ProductDetail/474-WRL-12579</v>
      </c>
      <c r="T188" s="152">
        <v>0</v>
      </c>
      <c r="U188" s="152">
        <v>2</v>
      </c>
      <c r="V188" s="152">
        <v>2</v>
      </c>
      <c r="W188" s="152">
        <f>MouserListTable[[#This Row],['#/Unit]]*FilterSpecs!$C$3+MouserListTable[[#This Row],[Extra]]</f>
        <v>0</v>
      </c>
      <c r="X188" s="152">
        <f>IF(MouserListTable[[#This Row],[Tag]]=FilterSpecs!$F$7,MouserListTable[[#This Row],['#/Unit]]*MouserListTable[[#This Row],[Price (USD)]],0)</f>
        <v>0</v>
      </c>
      <c r="Y188" s="152">
        <f>MouserListTable[[#This Row],[Tot '#]]*MouserListTable[[#This Row],[Price (USD)]]</f>
        <v>0</v>
      </c>
      <c r="Z188" s="146"/>
      <c r="AA188" s="153" t="str">
        <f>AdafruitListTable[[#This Row],[SKU]]</f>
        <v>PRT-00124</v>
      </c>
      <c r="AB188" s="153">
        <f>VALUE(AdafruitListTable[[#This Row],['# Initial]])</f>
        <v>0</v>
      </c>
      <c r="AD188" s="153" t="s">
        <v>410</v>
      </c>
      <c r="AE188" s="153">
        <v>2</v>
      </c>
    </row>
    <row r="189" spans="1:31" s="153" customFormat="1" x14ac:dyDescent="0.25">
      <c r="A189" s="150" t="s">
        <v>13</v>
      </c>
      <c r="B189" s="150" t="s">
        <v>1600</v>
      </c>
      <c r="C189" s="150" t="s">
        <v>5</v>
      </c>
      <c r="D189" s="151" t="str">
        <f>IF(AdafruitListTable[[#This Row],[Vendor]]=FilterSpecs!$A$8,AdafruitListTable[[#This Row],[Mouser SKU]], AdafruitListTable[[#This Row],[Supplier SKU]])</f>
        <v>TOL-12878</v>
      </c>
      <c r="E189" s="152">
        <f>MouserListTable[[#This Row],[Tot '#]]-MouserListTable[[#This Row],['# Initial]]</f>
        <v>0</v>
      </c>
      <c r="F189" s="152">
        <f>IF(AND(MouserListTable[[#This Row],[Tag]]&lt;&gt;FilterSpecs!$F$12, MouserListTable[[#This Row],[Tag]]&lt;&gt;FilterSpecs!$F$9), MouserListTable[[#This Row],['#/Unit]]*FilterSpecs!$B$3+MouserListTable[[#This Row],[Extra Initial]],0)</f>
        <v>0</v>
      </c>
      <c r="G189" s="150" t="s">
        <v>1429</v>
      </c>
      <c r="H189" s="150" t="s">
        <v>1430</v>
      </c>
      <c r="I189" s="150" t="s">
        <v>1431</v>
      </c>
      <c r="J189" s="150">
        <v>1</v>
      </c>
      <c r="K189" s="154">
        <v>16.95</v>
      </c>
      <c r="L189" s="150" t="s">
        <v>1900</v>
      </c>
      <c r="M189" s="151"/>
      <c r="N189" s="154">
        <f>MouserListTable[[#This Row],['# Initial]]*MouserListTable[[#This Row],[Price (USD)]]</f>
        <v>0</v>
      </c>
      <c r="O189" s="151" t="s">
        <v>1428</v>
      </c>
      <c r="P189" s="150">
        <f t="shared" si="2"/>
        <v>176</v>
      </c>
      <c r="Q189" s="150" t="s">
        <v>5</v>
      </c>
      <c r="R18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474-WRL-11048</v>
      </c>
      <c r="S189" s="157" t="str">
        <f>HYPERLINK("https://www.mouser.com/ProductDetail/" &amp;MouserListTable[[#This Row],[Mouser SKU]])</f>
        <v>https://www.mouser.com/ProductDetail/474-WRL-11048</v>
      </c>
      <c r="T189" s="152">
        <v>0</v>
      </c>
      <c r="U189" s="152">
        <v>1</v>
      </c>
      <c r="V189" s="152">
        <v>1</v>
      </c>
      <c r="W189" s="152">
        <f>MouserListTable[[#This Row],['#/Unit]]*FilterSpecs!$C$3+MouserListTable[[#This Row],[Extra]]</f>
        <v>0</v>
      </c>
      <c r="X189" s="152">
        <f>IF(MouserListTable[[#This Row],[Tag]]=FilterSpecs!$F$7,MouserListTable[[#This Row],['#/Unit]]*MouserListTable[[#This Row],[Price (USD)]],0)</f>
        <v>0</v>
      </c>
      <c r="Y189" s="152">
        <f>MouserListTable[[#This Row],[Tot '#]]*MouserListTable[[#This Row],[Price (USD)]]</f>
        <v>0</v>
      </c>
      <c r="Z189" s="146"/>
      <c r="AA189" s="153" t="str">
        <f>AdafruitListTable[[#This Row],[SKU]]</f>
        <v>TOL-12878</v>
      </c>
      <c r="AB189" s="153">
        <f>VALUE(AdafruitListTable[[#This Row],['# Initial]])</f>
        <v>0</v>
      </c>
      <c r="AD189" s="153" t="s">
        <v>1428</v>
      </c>
      <c r="AE189" s="153">
        <v>1</v>
      </c>
    </row>
    <row r="190" spans="1:31" s="153" customFormat="1" x14ac:dyDescent="0.25">
      <c r="A190" s="97" t="s">
        <v>13</v>
      </c>
      <c r="B190" s="97" t="s">
        <v>1601</v>
      </c>
      <c r="C190" s="150" t="s">
        <v>1884</v>
      </c>
      <c r="D190" s="151">
        <f>IF(AdafruitListTable[[#This Row],[Vendor]]=FilterSpecs!$A$8,AdafruitListTable[[#This Row],[Mouser SKU]], AdafruitListTable[[#This Row],[Supplier SKU]])</f>
        <v>151</v>
      </c>
      <c r="E190" s="152">
        <f>MouserListTable[[#This Row],[Tot '#]]-MouserListTable[[#This Row],['# Initial]]</f>
        <v>0</v>
      </c>
      <c r="F190" s="152">
        <f>IF(AND(MouserListTable[[#This Row],[Tag]]&lt;&gt;FilterSpecs!$F$12, MouserListTable[[#This Row],[Tag]]&lt;&gt;FilterSpecs!$F$9), MouserListTable[[#This Row],['#/Unit]]*FilterSpecs!$B$3+MouserListTable[[#This Row],[Extra Initial]],0)</f>
        <v>5</v>
      </c>
      <c r="G190" s="150" t="s">
        <v>875</v>
      </c>
      <c r="H190" s="150" t="s">
        <v>876</v>
      </c>
      <c r="I190" s="150" t="s">
        <v>2570</v>
      </c>
      <c r="J190" s="150"/>
      <c r="K190" s="154">
        <v>31.25</v>
      </c>
      <c r="L190" s="150" t="s">
        <v>1896</v>
      </c>
      <c r="N190" s="154">
        <f>MouserListTable[[#This Row],['# Initial]]*MouserListTable[[#This Row],[Price (USD)]]</f>
        <v>25</v>
      </c>
      <c r="O190" s="151">
        <v>151</v>
      </c>
      <c r="P190" s="150">
        <f t="shared" si="2"/>
        <v>177</v>
      </c>
      <c r="Q190" s="150" t="s">
        <v>1884</v>
      </c>
      <c r="R190"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474-WRL-11320</v>
      </c>
      <c r="S190" s="157" t="str">
        <f>HYPERLINK("https://www.mouser.com/ProductDetail/" &amp;MouserListTable[[#This Row],[Mouser SKU]])</f>
        <v>https://www.mouser.com/ProductDetail/474-WRL-11320</v>
      </c>
      <c r="T190" s="152">
        <v>0</v>
      </c>
      <c r="U190" s="152">
        <v>1</v>
      </c>
      <c r="V190" s="152">
        <v>1</v>
      </c>
      <c r="W190" s="152">
        <f>MouserListTable[[#This Row],['#/Unit]]*FilterSpecs!$C$3+MouserListTable[[#This Row],[Extra]]</f>
        <v>5</v>
      </c>
      <c r="X190" s="152">
        <f>IF(MouserListTable[[#This Row],[Tag]]=FilterSpecs!$F$7,MouserListTable[[#This Row],['#/Unit]]*MouserListTable[[#This Row],[Price (USD)]],0)</f>
        <v>5</v>
      </c>
      <c r="Y190" s="152">
        <f>MouserListTable[[#This Row],[Tot '#]]*MouserListTable[[#This Row],[Price (USD)]]</f>
        <v>25</v>
      </c>
      <c r="Z190" s="146"/>
    </row>
    <row r="191" spans="1:31" s="153" customFormat="1" x14ac:dyDescent="0.25">
      <c r="A191" s="150" t="s">
        <v>13</v>
      </c>
      <c r="B191" s="150" t="s">
        <v>1601</v>
      </c>
      <c r="C191" s="150" t="s">
        <v>1884</v>
      </c>
      <c r="D191" s="151" t="str">
        <f>IF(AdafruitListTable[[#This Row],[Vendor]]=FilterSpecs!$A$8,AdafruitListTable[[#This Row],[Mouser SKU]], AdafruitListTable[[#This Row],[Supplier SKU]])</f>
        <v>3019</v>
      </c>
      <c r="E191" s="152">
        <f>MouserListTable[[#This Row],[Tot '#]]-MouserListTable[[#This Row],['# Initial]]</f>
        <v>0</v>
      </c>
      <c r="F191" s="152">
        <f>IF(AND(MouserListTable[[#This Row],[Tag]]&lt;&gt;FilterSpecs!$F$12, MouserListTable[[#This Row],[Tag]]&lt;&gt;FilterSpecs!$F$9), MouserListTable[[#This Row],['#/Unit]]*FilterSpecs!$B$3+MouserListTable[[#This Row],[Extra Initial]],0)</f>
        <v>5</v>
      </c>
      <c r="G191" s="150"/>
      <c r="H191" s="150"/>
      <c r="I191" s="150" t="s">
        <v>2369</v>
      </c>
      <c r="K191" s="154">
        <v>68.69</v>
      </c>
      <c r="L191" s="150" t="s">
        <v>1900</v>
      </c>
      <c r="M191" s="151"/>
      <c r="N191" s="154">
        <f>MouserListTable[[#This Row],['# Initial]]*MouserListTable[[#This Row],[Price (USD)]]</f>
        <v>74.75</v>
      </c>
      <c r="O191" s="151" t="s">
        <v>2368</v>
      </c>
      <c r="P191" s="150">
        <f t="shared" si="2"/>
        <v>178</v>
      </c>
      <c r="Q191" s="150" t="s">
        <v>1884</v>
      </c>
      <c r="R191"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474-WRL-13287</v>
      </c>
      <c r="S191" s="157" t="str">
        <f>HYPERLINK("https://www.mouser.com/ProductDetail/" &amp;MouserListTable[[#This Row],[Mouser SKU]])</f>
        <v>https://www.mouser.com/ProductDetail/474-WRL-13287</v>
      </c>
      <c r="T191" s="152">
        <v>0</v>
      </c>
      <c r="U191" s="152">
        <v>1</v>
      </c>
      <c r="V191" s="152">
        <v>1</v>
      </c>
      <c r="W191" s="152">
        <f>MouserListTable[[#This Row],['#/Unit]]*FilterSpecs!$C$3+MouserListTable[[#This Row],[Extra]]</f>
        <v>5</v>
      </c>
      <c r="X191" s="152">
        <f>IF(MouserListTable[[#This Row],[Tag]]=FilterSpecs!$F$7,MouserListTable[[#This Row],['#/Unit]]*MouserListTable[[#This Row],[Price (USD)]],0)</f>
        <v>14.95</v>
      </c>
      <c r="Y191" s="152">
        <f>MouserListTable[[#This Row],[Tot '#]]*MouserListTable[[#This Row],[Price (USD)]]</f>
        <v>74.75</v>
      </c>
      <c r="Z191" s="146"/>
      <c r="AA191" s="153" t="str">
        <f>AdafruitListTable[[#This Row],[SKU]]</f>
        <v>3019</v>
      </c>
      <c r="AB191" s="153">
        <f>VALUE(AdafruitListTable[[#This Row],['# Initial]])</f>
        <v>5</v>
      </c>
      <c r="AD191" s="153" t="s">
        <v>2368</v>
      </c>
      <c r="AE191" s="153">
        <v>1</v>
      </c>
    </row>
    <row r="192" spans="1:31" s="153" customFormat="1" x14ac:dyDescent="0.25">
      <c r="A192" s="150" t="s">
        <v>13</v>
      </c>
      <c r="B192" s="150" t="s">
        <v>1601</v>
      </c>
      <c r="C192" s="150" t="s">
        <v>5</v>
      </c>
      <c r="D192" s="151" t="str">
        <f>IF(AdafruitListTable[[#This Row],[Vendor]]=FilterSpecs!$A$8,AdafruitListTable[[#This Row],[Mouser SKU]], AdafruitListTable[[#This Row],[Supplier SKU]])</f>
        <v>TOL-09316</v>
      </c>
      <c r="E192" s="152">
        <f>MouserListTable[[#This Row],[Tot '#]]-MouserListTable[[#This Row],['# Initial]]</f>
        <v>1</v>
      </c>
      <c r="F192" s="152">
        <f>IF(AND(MouserListTable[[#This Row],[Tag]]&lt;&gt;FilterSpecs!$F$12, MouserListTable[[#This Row],[Tag]]&lt;&gt;FilterSpecs!$F$9), MouserListTable[[#This Row],['#/Unit]]*FilterSpecs!$B$3+MouserListTable[[#This Row],[Extra Initial]],0)</f>
        <v>0</v>
      </c>
      <c r="G192" s="150" t="s">
        <v>867</v>
      </c>
      <c r="H192" s="150" t="s">
        <v>868</v>
      </c>
      <c r="I192" s="150" t="s">
        <v>869</v>
      </c>
      <c r="J192" s="150">
        <v>1</v>
      </c>
      <c r="K192" s="154">
        <v>9.9499999999999993</v>
      </c>
      <c r="L192" s="150" t="s">
        <v>1900</v>
      </c>
      <c r="M192" s="151"/>
      <c r="N192" s="154">
        <f>MouserListTable[[#This Row],['# Initial]]*MouserListTable[[#This Row],[Price (USD)]]</f>
        <v>0</v>
      </c>
      <c r="O192" s="151" t="s">
        <v>866</v>
      </c>
      <c r="P192" s="150">
        <f t="shared" si="2"/>
        <v>179</v>
      </c>
      <c r="Q192" s="150" t="s">
        <v>5</v>
      </c>
      <c r="R192"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474-KIT-11591</v>
      </c>
      <c r="S192" s="157" t="str">
        <f>HYPERLINK("https://www.mouser.com/ProductDetail/" &amp;MouserListTable[[#This Row],[Mouser SKU]])</f>
        <v>https://www.mouser.com/ProductDetail/474-KIT-11591</v>
      </c>
      <c r="T192" s="152">
        <v>0</v>
      </c>
      <c r="U192" s="152">
        <v>1</v>
      </c>
      <c r="V192" s="152">
        <v>1</v>
      </c>
      <c r="W192" s="152">
        <f>MouserListTable[[#This Row],['#/Unit]]*FilterSpecs!$C$3+MouserListTable[[#This Row],[Extra]]</f>
        <v>1</v>
      </c>
      <c r="X192" s="152">
        <f>IF(MouserListTable[[#This Row],[Tag]]=FilterSpecs!$F$7,MouserListTable[[#This Row],['#/Unit]]*MouserListTable[[#This Row],[Price (USD)]],0)</f>
        <v>0</v>
      </c>
      <c r="Y192" s="152">
        <f>MouserListTable[[#This Row],[Tot '#]]*MouserListTable[[#This Row],[Price (USD)]]</f>
        <v>9.9499999999999993</v>
      </c>
      <c r="Z192" s="146"/>
      <c r="AA192" s="153" t="str">
        <f>AdafruitListTable[[#This Row],[SKU]]</f>
        <v>TOL-09316</v>
      </c>
      <c r="AB192" s="153">
        <f>VALUE(AdafruitListTable[[#This Row],['# Initial]])</f>
        <v>0</v>
      </c>
      <c r="AD192" s="153" t="s">
        <v>866</v>
      </c>
      <c r="AE192" s="153">
        <v>1</v>
      </c>
    </row>
    <row r="193" spans="1:31" s="153" customFormat="1" x14ac:dyDescent="0.25">
      <c r="A193" s="150" t="s">
        <v>13</v>
      </c>
      <c r="B193" s="150" t="s">
        <v>1599</v>
      </c>
      <c r="C193" s="150" t="s">
        <v>5</v>
      </c>
      <c r="D193" s="151" t="str">
        <f>IF(AdafruitListTable[[#This Row],[Vendor]]=FilterSpecs!$A$8,AdafruitListTable[[#This Row],[Mouser SKU]], AdafruitListTable[[#This Row],[Supplier SKU]])</f>
        <v>TOL-09200</v>
      </c>
      <c r="E193" s="152">
        <f>MouserListTable[[#This Row],[Tot '#]]-MouserListTable[[#This Row],['# Initial]]</f>
        <v>1</v>
      </c>
      <c r="F193" s="152">
        <f>IF(AND(MouserListTable[[#This Row],[Tag]]&lt;&gt;FilterSpecs!$F$12, MouserListTable[[#This Row],[Tag]]&lt;&gt;FilterSpecs!$F$9), MouserListTable[[#This Row],['#/Unit]]*FilterSpecs!$B$3+MouserListTable[[#This Row],[Extra Initial]],0)</f>
        <v>0</v>
      </c>
      <c r="G193" s="150" t="s">
        <v>859</v>
      </c>
      <c r="H193" s="150" t="s">
        <v>860</v>
      </c>
      <c r="I193" s="150" t="s">
        <v>861</v>
      </c>
      <c r="J193" s="150">
        <v>1</v>
      </c>
      <c r="K193" s="154">
        <v>2.95</v>
      </c>
      <c r="L193" s="150" t="s">
        <v>1900</v>
      </c>
      <c r="M193" s="151"/>
      <c r="N193" s="154">
        <f>MouserListTable[[#This Row],['# Initial]]*MouserListTable[[#This Row],[Price (USD)]]</f>
        <v>0</v>
      </c>
      <c r="O193" s="151" t="s">
        <v>858</v>
      </c>
      <c r="P193" s="150">
        <f t="shared" si="2"/>
        <v>180</v>
      </c>
      <c r="Q193" s="150" t="s">
        <v>5</v>
      </c>
      <c r="R193"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474-DEV-09215</v>
      </c>
      <c r="S193" s="157" t="str">
        <f>HYPERLINK("https://www.mouser.com/ProductDetail/" &amp;MouserListTable[[#This Row],[Mouser SKU]])</f>
        <v>https://www.mouser.com/ProductDetail/474-DEV-09215</v>
      </c>
      <c r="T193" s="152">
        <v>0</v>
      </c>
      <c r="U193" s="152">
        <v>1</v>
      </c>
      <c r="V193" s="152">
        <v>1</v>
      </c>
      <c r="W193" s="152">
        <f>MouserListTable[[#This Row],['#/Unit]]*FilterSpecs!$C$3+MouserListTable[[#This Row],[Extra]]</f>
        <v>1</v>
      </c>
      <c r="X193" s="152">
        <f>IF(MouserListTable[[#This Row],[Tag]]=FilterSpecs!$F$7,MouserListTable[[#This Row],['#/Unit]]*MouserListTable[[#This Row],[Price (USD)]],0)</f>
        <v>0</v>
      </c>
      <c r="Y193" s="152">
        <f>MouserListTable[[#This Row],[Tot '#]]*MouserListTable[[#This Row],[Price (USD)]]</f>
        <v>1.95</v>
      </c>
      <c r="Z193" s="146"/>
      <c r="AA193" s="153" t="str">
        <f>AdafruitListTable[[#This Row],[SKU]]</f>
        <v>TOL-09200</v>
      </c>
      <c r="AB193" s="153">
        <f>VALUE(AdafruitListTable[[#This Row],['# Initial]])</f>
        <v>0</v>
      </c>
      <c r="AD193" s="153" t="s">
        <v>858</v>
      </c>
      <c r="AE193" s="153">
        <v>1</v>
      </c>
    </row>
    <row r="194" spans="1:31" s="153" customFormat="1" x14ac:dyDescent="0.25">
      <c r="A194" s="150" t="s">
        <v>13</v>
      </c>
      <c r="B194" s="150" t="s">
        <v>1599</v>
      </c>
      <c r="C194" s="150" t="s">
        <v>5</v>
      </c>
      <c r="D194" s="151" t="str">
        <f>IF(AdafruitListTable[[#This Row],[Vendor]]=FilterSpecs!$A$8,AdafruitListTable[[#This Row],[Mouser SKU]], AdafruitListTable[[#This Row],[Supplier SKU]])</f>
        <v>TOL-10325</v>
      </c>
      <c r="E194" s="152">
        <f>MouserListTable[[#This Row],[Tot '#]]-MouserListTable[[#This Row],['# Initial]]</f>
        <v>0</v>
      </c>
      <c r="F194" s="152">
        <f>IF(AND(MouserListTable[[#This Row],[Tag]]&lt;&gt;FilterSpecs!$F$12, MouserListTable[[#This Row],[Tag]]&lt;&gt;FilterSpecs!$F$9), MouserListTable[[#This Row],['#/Unit]]*FilterSpecs!$B$3+MouserListTable[[#This Row],[Extra Initial]],0)</f>
        <v>15</v>
      </c>
      <c r="G194" s="150" t="s">
        <v>1165</v>
      </c>
      <c r="H194" s="150" t="s">
        <v>1166</v>
      </c>
      <c r="I194" s="150" t="s">
        <v>1167</v>
      </c>
      <c r="J194" s="150"/>
      <c r="K194" s="154">
        <v>1.95</v>
      </c>
      <c r="L194" s="150" t="s">
        <v>1900</v>
      </c>
      <c r="M194" s="151"/>
      <c r="N194" s="154">
        <f>MouserListTable[[#This Row],['# Initial]]*MouserListTable[[#This Row],[Price (USD)]]</f>
        <v>44.25</v>
      </c>
      <c r="O194" s="151" t="s">
        <v>1164</v>
      </c>
      <c r="P194" s="150">
        <f t="shared" si="2"/>
        <v>181</v>
      </c>
      <c r="Q194" s="150" t="s">
        <v>5</v>
      </c>
      <c r="R194"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474-BOB-12009</v>
      </c>
      <c r="S194" s="157" t="str">
        <f>HYPERLINK("https://www.mouser.com/ProductDetail/" &amp;MouserListTable[[#This Row],[Mouser SKU]])</f>
        <v>https://www.mouser.com/ProductDetail/474-BOB-12009</v>
      </c>
      <c r="T194" s="152">
        <v>0</v>
      </c>
      <c r="U194" s="152">
        <v>1</v>
      </c>
      <c r="V194" s="152">
        <v>1</v>
      </c>
      <c r="W194" s="152">
        <f>MouserListTable[[#This Row],['#/Unit]]*FilterSpecs!$C$3+MouserListTable[[#This Row],[Extra]]</f>
        <v>15</v>
      </c>
      <c r="X194" s="152">
        <f>IF(MouserListTable[[#This Row],[Tag]]=FilterSpecs!$F$7,MouserListTable[[#This Row],['#/Unit]]*MouserListTable[[#This Row],[Price (USD)]],0)</f>
        <v>8.8500000000000014</v>
      </c>
      <c r="Y194" s="152">
        <f>MouserListTable[[#This Row],[Tot '#]]*MouserListTable[[#This Row],[Price (USD)]]</f>
        <v>44.25</v>
      </c>
      <c r="Z194" s="146"/>
      <c r="AA194" s="153" t="str">
        <f>AdafruitListTable[[#This Row],[SKU]]</f>
        <v>TOL-10325</v>
      </c>
      <c r="AB194" s="153">
        <f>VALUE(AdafruitListTable[[#This Row],['# Initial]])</f>
        <v>15</v>
      </c>
      <c r="AD194" s="153" t="s">
        <v>1164</v>
      </c>
      <c r="AE194" s="153">
        <v>1</v>
      </c>
    </row>
    <row r="195" spans="1:31" s="153" customFormat="1" x14ac:dyDescent="0.25">
      <c r="A195" s="150" t="s">
        <v>13</v>
      </c>
      <c r="B195" s="150" t="s">
        <v>1599</v>
      </c>
      <c r="C195" s="150" t="s">
        <v>5</v>
      </c>
      <c r="D195" s="151" t="str">
        <f>IF(AdafruitListTable[[#This Row],[Vendor]]=FilterSpecs!$A$8,AdafruitListTable[[#This Row],[Mouser SKU]], AdafruitListTable[[#This Row],[Supplier SKU]])</f>
        <v>TOL-13114</v>
      </c>
      <c r="E195" s="152">
        <f>MouserListTable[[#This Row],[Tot '#]]-MouserListTable[[#This Row],['# Initial]]</f>
        <v>0</v>
      </c>
      <c r="F195" s="152">
        <f>IF(AND(MouserListTable[[#This Row],[Tag]]&lt;&gt;FilterSpecs!$F$12, MouserListTable[[#This Row],[Tag]]&lt;&gt;FilterSpecs!$F$9), MouserListTable[[#This Row],['#/Unit]]*FilterSpecs!$B$3+MouserListTable[[#This Row],[Extra Initial]],0)</f>
        <v>5</v>
      </c>
      <c r="G195" s="150" t="s">
        <v>827</v>
      </c>
      <c r="H195" s="150" t="s">
        <v>828</v>
      </c>
      <c r="I195" s="150" t="s">
        <v>829</v>
      </c>
      <c r="J195" s="150"/>
      <c r="K195" s="154">
        <v>4.8</v>
      </c>
      <c r="L195" s="150" t="s">
        <v>1900</v>
      </c>
      <c r="M195" s="151"/>
      <c r="N195" s="154">
        <f>MouserListTable[[#This Row],['# Initial]]*MouserListTable[[#This Row],[Price (USD)]]</f>
        <v>34.75</v>
      </c>
      <c r="O195" s="151" t="s">
        <v>826</v>
      </c>
      <c r="P195" s="150">
        <f t="shared" si="2"/>
        <v>182</v>
      </c>
      <c r="Q195" s="150" t="s">
        <v>5</v>
      </c>
      <c r="R195"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474-BOB-11955</v>
      </c>
      <c r="S195" s="157" t="str">
        <f>HYPERLINK("https://www.mouser.com/ProductDetail/" &amp;MouserListTable[[#This Row],[Mouser SKU]])</f>
        <v>https://www.mouser.com/ProductDetail/474-BOB-11955</v>
      </c>
      <c r="T195" s="152">
        <v>0</v>
      </c>
      <c r="U195" s="152">
        <v>1</v>
      </c>
      <c r="V195" s="152">
        <v>1</v>
      </c>
      <c r="W195" s="152">
        <f>MouserListTable[[#This Row],['#/Unit]]*FilterSpecs!$C$3+MouserListTable[[#This Row],[Extra]]</f>
        <v>5</v>
      </c>
      <c r="X195" s="152">
        <f>IF(MouserListTable[[#This Row],[Tag]]=FilterSpecs!$F$7,MouserListTable[[#This Row],['#/Unit]]*MouserListTable[[#This Row],[Price (USD)]],0)</f>
        <v>6.95</v>
      </c>
      <c r="Y195" s="152">
        <f>MouserListTable[[#This Row],[Tot '#]]*MouserListTable[[#This Row],[Price (USD)]]</f>
        <v>34.75</v>
      </c>
      <c r="Z195" s="146"/>
      <c r="AA195" s="153" t="str">
        <f>AdafruitListTable[[#This Row],[SKU]]</f>
        <v>TOL-13114</v>
      </c>
      <c r="AB195" s="153">
        <f>VALUE(AdafruitListTable[[#This Row],['# Initial]])</f>
        <v>5</v>
      </c>
      <c r="AD195" s="153" t="s">
        <v>826</v>
      </c>
      <c r="AE195" s="153">
        <v>1</v>
      </c>
    </row>
    <row r="196" spans="1:31" s="104" customFormat="1" x14ac:dyDescent="0.25">
      <c r="A196" s="150" t="s">
        <v>13</v>
      </c>
      <c r="B196" s="150" t="s">
        <v>1640</v>
      </c>
      <c r="C196" s="150" t="s">
        <v>1884</v>
      </c>
      <c r="D196" s="151" t="str">
        <f>IF(AdafruitListTable[[#This Row],[Vendor]]=FilterSpecs!$A$8,AdafruitListTable[[#This Row],[Mouser SKU]], AdafruitListTable[[#This Row],[Supplier SKU]])</f>
        <v>433</v>
      </c>
      <c r="E196" s="152">
        <f>MouserListTable[[#This Row],[Tot '#]]-MouserListTable[[#This Row],['# Initial]]</f>
        <v>0</v>
      </c>
      <c r="F196" s="152">
        <f>IF(AND(MouserListTable[[#This Row],[Tag]]&lt;&gt;FilterSpecs!$F$12, MouserListTable[[#This Row],[Tag]]&lt;&gt;FilterSpecs!$F$9), MouserListTable[[#This Row],['#/Unit]]*FilterSpecs!$B$3+MouserListTable[[#This Row],[Extra Initial]],0)</f>
        <v>5</v>
      </c>
      <c r="G196" s="150"/>
      <c r="H196" s="150"/>
      <c r="I196" s="150" t="s">
        <v>2059</v>
      </c>
      <c r="J196" s="153"/>
      <c r="K196" s="154">
        <v>2.95</v>
      </c>
      <c r="L196" s="150" t="s">
        <v>1896</v>
      </c>
      <c r="M196" s="151"/>
      <c r="N196" s="154">
        <f>MouserListTable[[#This Row],['# Initial]]*MouserListTable[[#This Row],[Price (USD)]]</f>
        <v>19.75</v>
      </c>
      <c r="O196" s="151" t="s">
        <v>2060</v>
      </c>
      <c r="P196" s="150">
        <f t="shared" si="2"/>
        <v>183</v>
      </c>
      <c r="Q196" s="150" t="s">
        <v>1884</v>
      </c>
      <c r="R196"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474-BOB-11771</v>
      </c>
      <c r="S196" s="157" t="str">
        <f>HYPERLINK("https://www.mouser.com/ProductDetail/" &amp;MouserListTable[[#This Row],[Mouser SKU]])</f>
        <v>https://www.mouser.com/ProductDetail/474-BOB-11771</v>
      </c>
      <c r="T196" s="152">
        <v>0</v>
      </c>
      <c r="U196" s="152">
        <v>1</v>
      </c>
      <c r="V196" s="152">
        <v>1</v>
      </c>
      <c r="W196" s="152">
        <f>MouserListTable[[#This Row],['#/Unit]]*FilterSpecs!$C$3+MouserListTable[[#This Row],[Extra]]</f>
        <v>5</v>
      </c>
      <c r="X196" s="152">
        <f>IF(MouserListTable[[#This Row],[Tag]]=FilterSpecs!$F$7,MouserListTable[[#This Row],['#/Unit]]*MouserListTable[[#This Row],[Price (USD)]],0)</f>
        <v>3.95</v>
      </c>
      <c r="Y196" s="152">
        <f>MouserListTable[[#This Row],[Tot '#]]*MouserListTable[[#This Row],[Price (USD)]]</f>
        <v>19.75</v>
      </c>
      <c r="Z196" s="146"/>
      <c r="AA196" s="153" t="str">
        <f>AdafruitListTable[[#This Row],[SKU]]</f>
        <v>433</v>
      </c>
      <c r="AB196" s="153">
        <f>VALUE(AdafruitListTable[[#This Row],['# Initial]])</f>
        <v>5</v>
      </c>
      <c r="AD196" s="104" t="s">
        <v>2060</v>
      </c>
      <c r="AE196" s="104">
        <v>1</v>
      </c>
    </row>
    <row r="197" spans="1:31" s="104" customFormat="1" x14ac:dyDescent="0.25">
      <c r="A197" s="150" t="s">
        <v>13</v>
      </c>
      <c r="B197" s="150" t="s">
        <v>1640</v>
      </c>
      <c r="C197" s="150" t="s">
        <v>1884</v>
      </c>
      <c r="D197" s="151" t="str">
        <f>IF(AdafruitListTable[[#This Row],[Vendor]]=FilterSpecs!$A$8,AdafruitListTable[[#This Row],[Mouser SKU]], AdafruitListTable[[#This Row],[Supplier SKU]])</f>
        <v>432</v>
      </c>
      <c r="E197" s="152">
        <f>MouserListTable[[#This Row],[Tot '#]]-MouserListTable[[#This Row],['# Initial]]</f>
        <v>0</v>
      </c>
      <c r="F197" s="152">
        <f>IF(AND(MouserListTable[[#This Row],[Tag]]&lt;&gt;FilterSpecs!$F$12, MouserListTable[[#This Row],[Tag]]&lt;&gt;FilterSpecs!$F$9), MouserListTable[[#This Row],['#/Unit]]*FilterSpecs!$B$3+MouserListTable[[#This Row],[Extra Initial]],0)</f>
        <v>5</v>
      </c>
      <c r="G197" s="150"/>
      <c r="H197" s="150"/>
      <c r="I197" s="150" t="s">
        <v>2055</v>
      </c>
      <c r="J197" s="153"/>
      <c r="K197" s="154">
        <v>2.95</v>
      </c>
      <c r="L197" s="150" t="s">
        <v>1896</v>
      </c>
      <c r="M197" s="151"/>
      <c r="N197" s="154">
        <f>MouserListTable[[#This Row],['# Initial]]*MouserListTable[[#This Row],[Price (USD)]]</f>
        <v>24.75</v>
      </c>
      <c r="O197" s="151" t="s">
        <v>2056</v>
      </c>
      <c r="P197" s="150">
        <f t="shared" si="2"/>
        <v>184</v>
      </c>
      <c r="Q197" s="150" t="s">
        <v>1884</v>
      </c>
      <c r="R197"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474-BOB-12918</v>
      </c>
      <c r="S197" s="157" t="str">
        <f>HYPERLINK("https://www.mouser.com/ProductDetail/" &amp;MouserListTable[[#This Row],[Mouser SKU]])</f>
        <v>https://www.mouser.com/ProductDetail/474-BOB-12918</v>
      </c>
      <c r="T197" s="152">
        <v>0</v>
      </c>
      <c r="U197" s="152">
        <v>1</v>
      </c>
      <c r="V197" s="152">
        <v>1</v>
      </c>
      <c r="W197" s="152">
        <f>MouserListTable[[#This Row],['#/Unit]]*FilterSpecs!$C$3+MouserListTable[[#This Row],[Extra]]</f>
        <v>5</v>
      </c>
      <c r="X197" s="152">
        <f>IF(MouserListTable[[#This Row],[Tag]]=FilterSpecs!$F$7,MouserListTable[[#This Row],['#/Unit]]*MouserListTable[[#This Row],[Price (USD)]],0)</f>
        <v>4.95</v>
      </c>
      <c r="Y197" s="152">
        <f>MouserListTable[[#This Row],[Tot '#]]*MouserListTable[[#This Row],[Price (USD)]]</f>
        <v>24.75</v>
      </c>
      <c r="Z197" s="146"/>
      <c r="AA197" s="153" t="str">
        <f>AdafruitListTable[[#This Row],[SKU]]</f>
        <v>432</v>
      </c>
      <c r="AB197" s="153">
        <f>VALUE(AdafruitListTable[[#This Row],['# Initial]])</f>
        <v>5</v>
      </c>
      <c r="AD197" s="104" t="s">
        <v>2056</v>
      </c>
      <c r="AE197" s="104">
        <v>1</v>
      </c>
    </row>
    <row r="198" spans="1:31" s="104" customFormat="1" x14ac:dyDescent="0.25">
      <c r="A198" s="150" t="s">
        <v>13</v>
      </c>
      <c r="B198" s="150" t="s">
        <v>1640</v>
      </c>
      <c r="C198" s="150" t="s">
        <v>1884</v>
      </c>
      <c r="D198" s="151" t="str">
        <f>IF(AdafruitListTable[[#This Row],[Vendor]]=FilterSpecs!$A$8,AdafruitListTable[[#This Row],[Mouser SKU]], AdafruitListTable[[#This Row],[Supplier SKU]])</f>
        <v>427</v>
      </c>
      <c r="E198" s="152">
        <f>MouserListTable[[#This Row],[Tot '#]]-MouserListTable[[#This Row],['# Initial]]</f>
        <v>0</v>
      </c>
      <c r="F198" s="152">
        <f>IF(AND(MouserListTable[[#This Row],[Tag]]&lt;&gt;FilterSpecs!$F$12, MouserListTable[[#This Row],[Tag]]&lt;&gt;FilterSpecs!$F$9), MouserListTable[[#This Row],['#/Unit]]*FilterSpecs!$B$3+MouserListTable[[#This Row],[Extra Initial]],0)</f>
        <v>0</v>
      </c>
      <c r="G198" s="150"/>
      <c r="H198" s="150"/>
      <c r="I198" s="150" t="s">
        <v>2057</v>
      </c>
      <c r="J198" s="153"/>
      <c r="K198" s="154">
        <v>4</v>
      </c>
      <c r="L198" s="150" t="s">
        <v>1896</v>
      </c>
      <c r="M198" s="151"/>
      <c r="N198" s="154">
        <f>MouserListTable[[#This Row],['# Initial]]*MouserListTable[[#This Row],[Price (USD)]]</f>
        <v>0</v>
      </c>
      <c r="O198" s="151" t="s">
        <v>2058</v>
      </c>
      <c r="P198" s="150">
        <f t="shared" si="2"/>
        <v>185</v>
      </c>
      <c r="Q198" s="150" t="s">
        <v>1884</v>
      </c>
      <c r="R198"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485-935</v>
      </c>
      <c r="S198" s="157" t="str">
        <f>HYPERLINK("https://www.mouser.com/ProductDetail/" &amp;MouserListTable[[#This Row],[Mouser SKU]])</f>
        <v>https://www.mouser.com/ProductDetail/485-935</v>
      </c>
      <c r="T198" s="152">
        <v>0</v>
      </c>
      <c r="U198" s="152">
        <v>1</v>
      </c>
      <c r="V198" s="152">
        <v>1</v>
      </c>
      <c r="W198" s="152">
        <f>MouserListTable[[#This Row],['#/Unit]]*FilterSpecs!$C$3+MouserListTable[[#This Row],[Extra]]</f>
        <v>0</v>
      </c>
      <c r="X198" s="152">
        <f>IF(MouserListTable[[#This Row],[Tag]]=FilterSpecs!$F$7,MouserListTable[[#This Row],['#/Unit]]*MouserListTable[[#This Row],[Price (USD)]],0)</f>
        <v>0</v>
      </c>
      <c r="Y198" s="152">
        <f>MouserListTable[[#This Row],[Tot '#]]*MouserListTable[[#This Row],[Price (USD)]]</f>
        <v>0</v>
      </c>
      <c r="Z198" s="146"/>
      <c r="AA198" s="153" t="str">
        <f>AdafruitListTable[[#This Row],[SKU]]</f>
        <v>427</v>
      </c>
      <c r="AB198" s="153">
        <f>VALUE(AdafruitListTable[[#This Row],['# Initial]])</f>
        <v>0</v>
      </c>
      <c r="AD198" s="104" t="s">
        <v>2058</v>
      </c>
      <c r="AE198" s="104">
        <v>1</v>
      </c>
    </row>
    <row r="199" spans="1:31" s="104" customFormat="1" x14ac:dyDescent="0.25">
      <c r="A199" s="150" t="s">
        <v>13</v>
      </c>
      <c r="B199" s="150" t="s">
        <v>1640</v>
      </c>
      <c r="C199" s="150" t="s">
        <v>1884</v>
      </c>
      <c r="D199" s="151" t="str">
        <f>IF(AdafruitListTable[[#This Row],[Vendor]]=FilterSpecs!$A$8,AdafruitListTable[[#This Row],[Mouser SKU]], AdafruitListTable[[#This Row],[Supplier SKU]])</f>
        <v>431</v>
      </c>
      <c r="E199" s="152">
        <f>MouserListTable[[#This Row],[Tot '#]]-MouserListTable[[#This Row],['# Initial]]</f>
        <v>0</v>
      </c>
      <c r="F199" s="152">
        <f>IF(AND(MouserListTable[[#This Row],[Tag]]&lt;&gt;FilterSpecs!$F$12, MouserListTable[[#This Row],[Tag]]&lt;&gt;FilterSpecs!$F$9), MouserListTable[[#This Row],['#/Unit]]*FilterSpecs!$B$3+MouserListTable[[#This Row],[Extra Initial]],0)</f>
        <v>0</v>
      </c>
      <c r="G199" s="150"/>
      <c r="H199" s="150"/>
      <c r="I199" s="150" t="s">
        <v>2051</v>
      </c>
      <c r="J199" s="153"/>
      <c r="K199" s="154">
        <v>4</v>
      </c>
      <c r="L199" s="150" t="s">
        <v>1896</v>
      </c>
      <c r="M199" s="151"/>
      <c r="N199" s="154">
        <f>MouserListTable[[#This Row],['# Initial]]*MouserListTable[[#This Row],[Price (USD)]]</f>
        <v>0</v>
      </c>
      <c r="O199" s="151" t="s">
        <v>2052</v>
      </c>
      <c r="P199" s="150">
        <f t="shared" si="2"/>
        <v>186</v>
      </c>
      <c r="Q199" s="150" t="s">
        <v>1884</v>
      </c>
      <c r="R199" s="152" t="str">
        <f>_xlfn.IFS(MouserListTable[[#This Row],[Supplier]]=FilterSpecs!$A$6, FilterSpecs!$B$6 &amp; MouserListTable[[#This Row],[Supplier SKU]],MouserListTable[[#This Row],[Supplier]]=FilterSpecs!$A$7,FilterSpecs!$B$7&amp; MouserListTable[[#This Row],[Supplier SKU]],MouserListTable[[#This Row],[Supplier]]=FilterSpecs!$A$8, FilterSpecs!$B$8&amp;MouserListTable[[#This Row],[Supplier SKU]],MouserListTable[[#This Row],[Supplier]]=FilterSpecs!$A$9,FilterSpecs!$B$9&amp; MouserListTable[[#This Row],[Supplier SKU]], MouserListTable[[#This Row],[Supplier]]=FilterSpecs!$A$17,FilterSpecs!$B$17&amp; MouserListTable[[#This Row],[Supplier SKU]])</f>
        <v>485-1895</v>
      </c>
      <c r="S199" s="157" t="str">
        <f>HYPERLINK("https://www.mouser.com/ProductDetail/" &amp;MouserListTable[[#This Row],[Mouser SKU]])</f>
        <v>https://www.mouser.com/ProductDetail/485-1895</v>
      </c>
      <c r="T199" s="152">
        <v>0</v>
      </c>
      <c r="U199" s="152">
        <v>1</v>
      </c>
      <c r="V199" s="152">
        <v>1</v>
      </c>
      <c r="W199" s="152">
        <f>MouserListTable[[#This Row],['#/Unit]]*FilterSpecs!$C$3+MouserListTable[[#This Row],[Extra]]</f>
        <v>0</v>
      </c>
      <c r="X199" s="152">
        <f>IF(MouserListTable[[#This Row],[Tag]]=FilterSpecs!$F$7,MouserListTable[[#This Row],['#/Unit]]*MouserListTable[[#This Row],[Price (USD)]],0)</f>
        <v>0</v>
      </c>
      <c r="Y199" s="152">
        <f>MouserListTable[[#This Row],[Tot '#]]*MouserListTable[[#This Row],[Price (USD)]]</f>
        <v>0</v>
      </c>
      <c r="Z199" s="146"/>
      <c r="AA199" s="153" t="str">
        <f>AdafruitListTable[[#This Row],[SKU]]</f>
        <v>431</v>
      </c>
      <c r="AB199" s="153">
        <f>VALUE(AdafruitListTable[[#This Row],['# Initial]])</f>
        <v>0</v>
      </c>
      <c r="AD199" s="104" t="s">
        <v>2052</v>
      </c>
      <c r="AE199" s="104">
        <v>1</v>
      </c>
    </row>
    <row r="200" spans="1:31" x14ac:dyDescent="0.25">
      <c r="A200" s="149" t="s">
        <v>1398</v>
      </c>
      <c r="B200" s="149">
        <f>SUBTOTAL(103,AdafruitListTable[Category])</f>
        <v>186</v>
      </c>
      <c r="D200" s="147"/>
      <c r="E200" s="147">
        <f>SUBTOTAL(109,AdafruitListTable['# Left])</f>
        <v>75</v>
      </c>
      <c r="F200" s="147"/>
      <c r="G200" s="147"/>
      <c r="H200" s="147"/>
      <c r="I200" s="147"/>
      <c r="J200" s="147"/>
      <c r="K200" s="148">
        <f>SUBTOTAL(101,AdafruitListTable[Price (USD)])</f>
        <v>5.6316129032258262</v>
      </c>
      <c r="L200" s="148"/>
      <c r="M200" s="147">
        <f>SUBTOTAL(103,AdafruitListTable[Description/Comments])</f>
        <v>10</v>
      </c>
      <c r="N200" s="148">
        <f>SUBTOTAL(109,AdafruitListTable[Total Price])</f>
        <v>2286.3500000000004</v>
      </c>
      <c r="O200" s="147">
        <f>SUBTOTAL(103,AdafruitListTable[Supplier SKU])</f>
        <v>186</v>
      </c>
      <c r="P200" s="147">
        <f>SUBTOTAL(104,AdafruitListTable[List '#])</f>
        <v>186</v>
      </c>
      <c r="Q200" s="147"/>
      <c r="R200" s="147"/>
      <c r="S200" s="147"/>
      <c r="T200" s="147"/>
      <c r="U200" s="147"/>
      <c r="V200" s="147"/>
      <c r="W200" s="147"/>
      <c r="X200" s="147">
        <f>SUBTOTAL(109,AdafruitListTable[$/Unit])</f>
        <v>441.91999999999973</v>
      </c>
      <c r="Y200" s="148">
        <f>SUBTOTAL(109,AdafruitListTable[Total $])</f>
        <v>3261.2999999999997</v>
      </c>
      <c r="Z200" s="132"/>
      <c r="AA200" s="153" t="e">
        <f>AdafruitListTable[[#This Row],[SKU]]</f>
        <v>#VALUE!</v>
      </c>
      <c r="AB200" s="153" t="e">
        <f>VALUE(AdafruitListTable[[#This Row],['# Initial]])</f>
        <v>#VALUE!</v>
      </c>
      <c r="AD200" s="146" t="e">
        <v>#VALUE!</v>
      </c>
      <c r="AE200" s="146" t="e">
        <v>#VALUE!</v>
      </c>
    </row>
    <row r="201" spans="1:31" x14ac:dyDescent="0.25">
      <c r="D201" s="147"/>
      <c r="E201" s="147"/>
      <c r="F201" s="147"/>
      <c r="G201" s="147"/>
      <c r="H201" s="147"/>
      <c r="I201" s="147"/>
      <c r="J201" s="147"/>
      <c r="K201" s="147"/>
      <c r="L201" s="147"/>
      <c r="AA201" s="132"/>
      <c r="AB201" s="153"/>
    </row>
    <row r="202" spans="1:31" ht="15.75" thickBot="1" x14ac:dyDescent="0.3">
      <c r="D202" s="147"/>
      <c r="E202" s="147"/>
      <c r="F202" s="147"/>
      <c r="G202" s="147"/>
      <c r="H202" s="147"/>
      <c r="I202" s="147"/>
      <c r="J202" s="147"/>
      <c r="K202" s="147"/>
      <c r="L202" s="147"/>
      <c r="AA202" s="132"/>
      <c r="AB202" s="153"/>
    </row>
    <row r="203" spans="1:31" ht="20.25" thickTop="1" thickBot="1" x14ac:dyDescent="0.3">
      <c r="A203" s="126" t="s">
        <v>2554</v>
      </c>
      <c r="B203" s="126" t="s">
        <v>2555</v>
      </c>
      <c r="C203" s="127" t="s">
        <v>2556</v>
      </c>
      <c r="D203" s="147"/>
      <c r="E203" s="147"/>
      <c r="F203" s="147"/>
      <c r="G203" s="147"/>
      <c r="H203" s="147"/>
      <c r="I203" s="147"/>
      <c r="J203" s="147"/>
      <c r="K203" s="147"/>
      <c r="L203" s="147"/>
      <c r="AA203" s="132"/>
      <c r="AB203" s="153"/>
    </row>
    <row r="204" spans="1:31" ht="17.25" thickTop="1" thickBot="1" x14ac:dyDescent="0.3">
      <c r="A204" s="121" t="str">
        <f>FilterSpecs!C6</f>
        <v>Primary Component</v>
      </c>
      <c r="B204" s="122">
        <f>SUMIF(AdafruitListTable[Type],"=" &amp; FilterSpecs!$C6,AdafruitListTable[Total Price])</f>
        <v>591.10000000000014</v>
      </c>
      <c r="C204" s="122">
        <f>SUMIF(AdafruitListTable[Type],"=" &amp; FilterSpecs!$C6,AdafruitListTable[Total $])</f>
        <v>917.95000000000039</v>
      </c>
      <c r="D204" s="147"/>
      <c r="E204" s="147"/>
      <c r="F204" s="147"/>
      <c r="G204" s="147"/>
      <c r="H204" s="147"/>
      <c r="I204" s="147"/>
      <c r="J204" s="147"/>
      <c r="K204" s="147"/>
      <c r="L204" s="147"/>
      <c r="AA204" s="132"/>
      <c r="AB204" s="153"/>
    </row>
    <row r="205" spans="1:31" ht="17.25" thickTop="1" thickBot="1" x14ac:dyDescent="0.3">
      <c r="A205" s="121" t="str">
        <f>FilterSpecs!C7</f>
        <v>Secondary Component</v>
      </c>
      <c r="B205" s="123">
        <f>SUMIF(AdafruitListTable[Type],"=" &amp; FilterSpecs!$C7,AdafruitListTable[Total Price])</f>
        <v>59.25</v>
      </c>
      <c r="C205" s="123">
        <f>SUMIF(AdafruitListTable[Type],"=" &amp; FilterSpecs!$C7,AdafruitListTable[Total $])</f>
        <v>116.75</v>
      </c>
      <c r="D205" s="147"/>
      <c r="E205" s="147"/>
      <c r="F205" s="147"/>
      <c r="G205" s="147"/>
      <c r="H205" s="147"/>
      <c r="I205" s="147"/>
      <c r="J205" s="147"/>
      <c r="K205" s="147"/>
      <c r="L205" s="147"/>
      <c r="AA205" s="132"/>
      <c r="AB205" s="153"/>
    </row>
    <row r="206" spans="1:31" ht="17.25" thickTop="1" thickBot="1" x14ac:dyDescent="0.3">
      <c r="A206" s="121" t="str">
        <f>FilterSpecs!C8</f>
        <v>Advanced &amp; Optional Components</v>
      </c>
      <c r="B206" s="123">
        <f>SUMIF(AdafruitListTable[Type],"=" &amp; FilterSpecs!$C8,AdafruitListTable[Total Price])</f>
        <v>0</v>
      </c>
      <c r="C206" s="123">
        <f>SUMIF(AdafruitListTable[Type],"=" &amp; FilterSpecs!$C8,AdafruitListTable[Total $])</f>
        <v>0</v>
      </c>
      <c r="D206" s="147"/>
      <c r="E206" s="147"/>
      <c r="F206" s="147"/>
      <c r="G206" s="147"/>
      <c r="H206" s="147"/>
      <c r="I206" s="147"/>
      <c r="J206" s="147"/>
      <c r="K206" s="147"/>
      <c r="L206" s="147"/>
      <c r="AA206" s="132"/>
      <c r="AB206" s="153"/>
    </row>
    <row r="207" spans="1:31" ht="17.25" thickTop="1" thickBot="1" x14ac:dyDescent="0.3">
      <c r="A207" s="121" t="str">
        <f>FilterSpecs!C9</f>
        <v>Smart-Home/IoT Network Integration (Fixed)</v>
      </c>
      <c r="B207" s="123">
        <f>SUMIF(AdafruitListTable[Type],"=" &amp; FilterSpecs!$C9,AdafruitListTable[Total Price])</f>
        <v>0</v>
      </c>
      <c r="C207" s="123">
        <f>SUMIF(AdafruitListTable[Type],"=" &amp; FilterSpecs!$C9,AdafruitListTable[Total $])</f>
        <v>0</v>
      </c>
      <c r="D207" s="147"/>
      <c r="E207" s="147"/>
      <c r="F207" s="147"/>
      <c r="G207" s="147"/>
      <c r="H207" s="147"/>
      <c r="I207" s="147"/>
      <c r="J207" s="147"/>
      <c r="K207" s="147"/>
      <c r="L207" s="147"/>
      <c r="AA207" s="132"/>
      <c r="AB207" s="153"/>
    </row>
    <row r="208" spans="1:31" ht="17.25" thickTop="1" thickBot="1" x14ac:dyDescent="0.3">
      <c r="A208" s="121" t="str">
        <f>FilterSpecs!C10</f>
        <v>Smart-Home/IoT Network Integration (Portable)</v>
      </c>
      <c r="B208" s="123">
        <f>SUMIF(AdafruitListTable[Type],"=" &amp; FilterSpecs!$C10,AdafruitListTable[Total Price])</f>
        <v>0</v>
      </c>
      <c r="C208" s="123">
        <f>SUMIF(AdafruitListTable[Type],"=" &amp; FilterSpecs!$C10,AdafruitListTable[Total $])</f>
        <v>0</v>
      </c>
      <c r="D208" s="147"/>
      <c r="E208" s="147"/>
      <c r="F208" s="147"/>
      <c r="G208" s="147"/>
      <c r="H208" s="147"/>
      <c r="I208" s="147"/>
      <c r="J208" s="147"/>
      <c r="K208" s="147"/>
      <c r="L208" s="147"/>
      <c r="AA208" s="132"/>
      <c r="AB208" s="153"/>
    </row>
    <row r="209" spans="1:28" ht="17.25" thickTop="1" thickBot="1" x14ac:dyDescent="0.3">
      <c r="A209" s="121" t="str">
        <f>FilterSpecs!C11</f>
        <v>Hardware Component</v>
      </c>
      <c r="B209" s="123">
        <f>SUMIF(AdafruitListTable[Type],"=" &amp; FilterSpecs!$C11,AdafruitListTable[Total Price])</f>
        <v>150.75</v>
      </c>
      <c r="C209" s="123">
        <f>SUMIF(AdafruitListTable[Type],"=" &amp; FilterSpecs!$C11,AdafruitListTable[Total $])</f>
        <v>387.84999999999997</v>
      </c>
      <c r="D209" s="147"/>
      <c r="E209" s="147"/>
      <c r="F209" s="147"/>
      <c r="G209" s="147"/>
      <c r="H209" s="147"/>
      <c r="I209" s="147"/>
      <c r="J209" s="147"/>
      <c r="K209" s="147"/>
      <c r="L209" s="147"/>
      <c r="AA209" s="132"/>
      <c r="AB209" s="153"/>
    </row>
    <row r="210" spans="1:28" ht="17.25" thickTop="1" thickBot="1" x14ac:dyDescent="0.3">
      <c r="A210" s="121" t="str">
        <f>FilterSpecs!C12</f>
        <v>Low-Level Electronics</v>
      </c>
      <c r="B210" s="123">
        <f>SUMIF(AdafruitListTable[Type],"=" &amp; FilterSpecs!$C12,AdafruitListTable[Total Price])</f>
        <v>1262</v>
      </c>
      <c r="C210" s="123">
        <f>SUMIF(AdafruitListTable[Type],"=" &amp; FilterSpecs!$C12,AdafruitListTable[Total $])</f>
        <v>1603.6000000000004</v>
      </c>
      <c r="D210" s="147"/>
      <c r="E210" s="147"/>
      <c r="F210" s="147"/>
      <c r="G210" s="147"/>
      <c r="H210" s="147"/>
      <c r="I210" s="147"/>
      <c r="J210" s="147"/>
      <c r="K210" s="147"/>
      <c r="L210" s="147"/>
      <c r="AA210" s="132"/>
      <c r="AB210" s="153"/>
    </row>
    <row r="211" spans="1:28" ht="17.25" thickTop="1" thickBot="1" x14ac:dyDescent="0.3">
      <c r="A211" s="124" t="str">
        <f>FilterSpecs!C13</f>
        <v>Tools</v>
      </c>
      <c r="B211" s="125">
        <f>SUMIF(AdafruitListTable[Type],"=" &amp; FilterSpecs!$C13,AdafruitListTable[Total Price])</f>
        <v>223.25</v>
      </c>
      <c r="C211" s="125">
        <f>SUMIF(AdafruitListTable[Type],"=" &amp; FilterSpecs!$C13,AdafruitListTable[Total $])</f>
        <v>235.15</v>
      </c>
      <c r="D211" s="147"/>
      <c r="E211" s="147"/>
      <c r="F211" s="147"/>
      <c r="G211" s="147"/>
      <c r="H211" s="147"/>
      <c r="I211" s="147"/>
      <c r="J211" s="147"/>
      <c r="K211" s="147"/>
      <c r="L211" s="147"/>
      <c r="AA211" s="132"/>
      <c r="AB211" s="153"/>
    </row>
    <row r="212" spans="1:28" ht="20.25" thickTop="1" thickBot="1" x14ac:dyDescent="0.3">
      <c r="A212" s="126">
        <f>SUBTOTAL(103,Table121627[Cost Breakdown])</f>
        <v>8</v>
      </c>
      <c r="B212" s="128">
        <f>SUBTOTAL(109,Table121627[Initial Order])</f>
        <v>2286.3500000000004</v>
      </c>
      <c r="C212" s="129">
        <f>SUBTOTAL(109,Table121627[Total Order])</f>
        <v>3261.3000000000006</v>
      </c>
      <c r="D212" s="147"/>
      <c r="E212" s="147"/>
      <c r="F212" s="147"/>
      <c r="G212" s="147"/>
      <c r="H212" s="147"/>
      <c r="I212" s="147"/>
      <c r="J212" s="147"/>
      <c r="K212" s="147"/>
      <c r="L212" s="147"/>
      <c r="AA212" s="132"/>
      <c r="AB212" s="153"/>
    </row>
    <row r="213" spans="1:28" ht="15.75" thickTop="1" x14ac:dyDescent="0.25">
      <c r="D213" s="147"/>
      <c r="E213" s="147"/>
      <c r="F213" s="147"/>
      <c r="G213" s="147"/>
      <c r="AA213" s="132"/>
      <c r="AB213" s="153"/>
    </row>
    <row r="214" spans="1:28" s="104" customFormat="1" ht="33.75" x14ac:dyDescent="0.25">
      <c r="A214" s="171" t="s">
        <v>2459</v>
      </c>
      <c r="B214" s="171"/>
      <c r="C214" s="101"/>
      <c r="D214" s="147"/>
      <c r="E214" s="147"/>
      <c r="F214" s="147"/>
      <c r="G214" s="147"/>
      <c r="AA214" s="132"/>
      <c r="AB214" s="153"/>
    </row>
    <row r="215" spans="1:28" s="63" customFormat="1" x14ac:dyDescent="0.25">
      <c r="A215" s="147" t="s">
        <v>889</v>
      </c>
      <c r="B215" s="147" t="s">
        <v>986</v>
      </c>
      <c r="C215" s="147" t="s">
        <v>5</v>
      </c>
      <c r="D215" s="147" t="s">
        <v>1757</v>
      </c>
      <c r="E215" s="64">
        <v>1</v>
      </c>
      <c r="F215" s="64">
        <v>1</v>
      </c>
      <c r="G215" s="147" t="s">
        <v>1758</v>
      </c>
      <c r="H215" s="147" t="s">
        <v>1759</v>
      </c>
      <c r="I215" s="147" t="s">
        <v>1760</v>
      </c>
      <c r="J215" s="147">
        <v>1</v>
      </c>
      <c r="K215" s="64">
        <v>9.9499999999999993</v>
      </c>
      <c r="L215" s="147" t="s">
        <v>1896</v>
      </c>
      <c r="AA215" s="132"/>
      <c r="AB215" s="153"/>
    </row>
    <row r="216" spans="1:28" s="63" customFormat="1" x14ac:dyDescent="0.25">
      <c r="A216" s="147" t="s">
        <v>889</v>
      </c>
      <c r="B216" s="147" t="s">
        <v>986</v>
      </c>
      <c r="C216" s="147" t="s">
        <v>1884</v>
      </c>
      <c r="D216" s="147" t="s">
        <v>2087</v>
      </c>
      <c r="E216" s="64">
        <v>0</v>
      </c>
      <c r="F216" s="64">
        <v>0</v>
      </c>
      <c r="G216" s="147"/>
      <c r="H216" s="147"/>
      <c r="I216" s="147" t="s">
        <v>2088</v>
      </c>
      <c r="K216" s="64">
        <v>14.95</v>
      </c>
      <c r="L216" s="147" t="s">
        <v>1896</v>
      </c>
      <c r="AA216" s="132"/>
      <c r="AB216" s="153"/>
    </row>
    <row r="217" spans="1:28" s="63" customFormat="1" x14ac:dyDescent="0.25">
      <c r="A217" s="147" t="s">
        <v>889</v>
      </c>
      <c r="B217" s="147" t="s">
        <v>986</v>
      </c>
      <c r="C217" s="147" t="s">
        <v>1884</v>
      </c>
      <c r="D217" s="147" t="s">
        <v>2075</v>
      </c>
      <c r="E217" s="64">
        <v>0</v>
      </c>
      <c r="F217" s="64">
        <v>0</v>
      </c>
      <c r="G217" s="147"/>
      <c r="H217" s="147"/>
      <c r="I217" s="147" t="s">
        <v>2076</v>
      </c>
      <c r="K217" s="64">
        <v>9.9499999999999993</v>
      </c>
      <c r="L217" s="147" t="s">
        <v>1896</v>
      </c>
      <c r="AA217" s="132"/>
      <c r="AB217" s="153"/>
    </row>
    <row r="218" spans="1:28" s="63" customFormat="1" x14ac:dyDescent="0.25">
      <c r="A218" s="147" t="s">
        <v>889</v>
      </c>
      <c r="B218" s="147" t="s">
        <v>986</v>
      </c>
      <c r="C218" s="147" t="s">
        <v>1884</v>
      </c>
      <c r="D218" s="147" t="s">
        <v>2079</v>
      </c>
      <c r="E218" s="64">
        <v>0</v>
      </c>
      <c r="F218" s="64">
        <v>0</v>
      </c>
      <c r="G218" s="147"/>
      <c r="H218" s="147"/>
      <c r="I218" s="147" t="s">
        <v>2080</v>
      </c>
      <c r="K218" s="64">
        <v>14.95</v>
      </c>
      <c r="L218" s="147" t="s">
        <v>1896</v>
      </c>
    </row>
    <row r="219" spans="1:28" s="151" customFormat="1" x14ac:dyDescent="0.25">
      <c r="A219" s="150" t="s">
        <v>887</v>
      </c>
      <c r="B219" s="150" t="s">
        <v>2016</v>
      </c>
      <c r="C219" s="150" t="s">
        <v>5</v>
      </c>
      <c r="D219" s="150" t="s">
        <v>30</v>
      </c>
      <c r="E219" s="79">
        <v>5</v>
      </c>
      <c r="F219" s="79">
        <v>5</v>
      </c>
      <c r="G219" s="150" t="s">
        <v>31</v>
      </c>
      <c r="H219" s="150" t="s">
        <v>32</v>
      </c>
      <c r="I219" s="150" t="s">
        <v>33</v>
      </c>
      <c r="J219" s="151">
        <v>1</v>
      </c>
      <c r="K219" s="79">
        <v>29.95</v>
      </c>
      <c r="L219" s="150" t="s">
        <v>1897</v>
      </c>
      <c r="N219" s="151">
        <v>149.75</v>
      </c>
    </row>
    <row r="220" spans="1:28" s="151" customFormat="1" x14ac:dyDescent="0.25">
      <c r="A220" s="150" t="s">
        <v>887</v>
      </c>
      <c r="B220" s="150" t="s">
        <v>2008</v>
      </c>
      <c r="C220" s="150" t="s">
        <v>5</v>
      </c>
      <c r="D220" s="150" t="s">
        <v>110</v>
      </c>
      <c r="E220" s="79">
        <v>5</v>
      </c>
      <c r="F220" s="79">
        <v>5</v>
      </c>
      <c r="G220" s="150" t="s">
        <v>111</v>
      </c>
      <c r="H220" s="150" t="s">
        <v>112</v>
      </c>
      <c r="I220" s="150" t="s">
        <v>113</v>
      </c>
      <c r="J220" s="150">
        <v>1</v>
      </c>
      <c r="K220" s="79">
        <v>12.95</v>
      </c>
      <c r="L220" s="150" t="s">
        <v>1897</v>
      </c>
      <c r="N220" s="151">
        <v>64.75</v>
      </c>
    </row>
    <row r="221" spans="1:28" s="151" customFormat="1" x14ac:dyDescent="0.25">
      <c r="A221" s="150" t="s">
        <v>887</v>
      </c>
      <c r="B221" s="150" t="s">
        <v>9</v>
      </c>
      <c r="C221" s="150" t="s">
        <v>5</v>
      </c>
      <c r="D221" s="150" t="s">
        <v>253</v>
      </c>
      <c r="E221" s="79">
        <v>5</v>
      </c>
      <c r="F221" s="79">
        <v>5</v>
      </c>
      <c r="G221" s="150" t="s">
        <v>254</v>
      </c>
      <c r="H221" s="150" t="s">
        <v>255</v>
      </c>
      <c r="I221" s="150" t="s">
        <v>256</v>
      </c>
      <c r="J221" s="150">
        <v>1</v>
      </c>
      <c r="K221" s="79">
        <v>6.95</v>
      </c>
      <c r="L221" s="150" t="s">
        <v>1897</v>
      </c>
      <c r="N221" s="151">
        <v>34.75</v>
      </c>
    </row>
    <row r="222" spans="1:28" s="151" customFormat="1" x14ac:dyDescent="0.25">
      <c r="A222" s="150" t="s">
        <v>888</v>
      </c>
      <c r="B222" s="150" t="s">
        <v>892</v>
      </c>
      <c r="C222" s="150" t="s">
        <v>5</v>
      </c>
      <c r="D222" s="150" t="s">
        <v>356</v>
      </c>
      <c r="E222" s="79">
        <v>0</v>
      </c>
      <c r="F222" s="79">
        <v>0</v>
      </c>
      <c r="G222" s="150" t="s">
        <v>357</v>
      </c>
      <c r="H222" s="150" t="s">
        <v>358</v>
      </c>
      <c r="I222" s="150" t="s">
        <v>359</v>
      </c>
      <c r="J222" s="150">
        <v>1</v>
      </c>
      <c r="K222" s="79">
        <v>2.95</v>
      </c>
      <c r="L222" s="150" t="s">
        <v>2461</v>
      </c>
      <c r="M222" s="150"/>
      <c r="N222" s="150">
        <v>0</v>
      </c>
    </row>
    <row r="223" spans="1:28" s="151" customFormat="1" x14ac:dyDescent="0.25">
      <c r="A223" s="150" t="s">
        <v>888</v>
      </c>
      <c r="B223" s="150" t="s">
        <v>892</v>
      </c>
      <c r="C223" s="150" t="s">
        <v>5</v>
      </c>
      <c r="D223" s="150" t="s">
        <v>1173</v>
      </c>
      <c r="E223" s="79">
        <v>0</v>
      </c>
      <c r="F223" s="79">
        <v>0</v>
      </c>
      <c r="G223" s="150" t="s">
        <v>1174</v>
      </c>
      <c r="H223" s="150" t="s">
        <v>1175</v>
      </c>
      <c r="I223" s="150" t="s">
        <v>1176</v>
      </c>
      <c r="J223" s="150">
        <v>1</v>
      </c>
      <c r="K223" s="79">
        <v>9.9499999999999993</v>
      </c>
      <c r="L223" s="150" t="s">
        <v>2461</v>
      </c>
      <c r="N223" s="150">
        <v>0</v>
      </c>
    </row>
    <row r="224" spans="1:28" s="63" customFormat="1" x14ac:dyDescent="0.25">
      <c r="A224" s="147" t="s">
        <v>888</v>
      </c>
      <c r="B224" s="147" t="s">
        <v>1593</v>
      </c>
      <c r="C224" s="147" t="s">
        <v>5</v>
      </c>
      <c r="D224" s="147" t="s">
        <v>1096</v>
      </c>
      <c r="E224" s="64">
        <v>1</v>
      </c>
      <c r="F224" s="64">
        <v>1</v>
      </c>
      <c r="G224" s="147" t="s">
        <v>1097</v>
      </c>
      <c r="H224" s="147" t="s">
        <v>1098</v>
      </c>
      <c r="I224" s="147" t="s">
        <v>1099</v>
      </c>
      <c r="J224" s="147"/>
      <c r="K224" s="64">
        <v>24.95</v>
      </c>
      <c r="L224" s="147" t="s">
        <v>1896</v>
      </c>
      <c r="N224" s="147">
        <v>24.95</v>
      </c>
    </row>
    <row r="225" spans="1:14" s="109" customFormat="1" x14ac:dyDescent="0.25">
      <c r="A225" s="48" t="s">
        <v>1058</v>
      </c>
      <c r="B225" s="108" t="s">
        <v>1005</v>
      </c>
      <c r="C225" s="108" t="s">
        <v>5</v>
      </c>
      <c r="D225" s="48" t="s">
        <v>981</v>
      </c>
      <c r="E225" s="73">
        <v>0</v>
      </c>
      <c r="F225" s="73">
        <v>0</v>
      </c>
      <c r="G225" s="48" t="s">
        <v>982</v>
      </c>
      <c r="H225" s="48" t="s">
        <v>983</v>
      </c>
      <c r="I225" s="48" t="s">
        <v>984</v>
      </c>
      <c r="J225" s="48">
        <v>1</v>
      </c>
      <c r="K225" s="73">
        <v>44.95</v>
      </c>
      <c r="L225" s="48" t="s">
        <v>1900</v>
      </c>
      <c r="M225" s="48" t="s">
        <v>1046</v>
      </c>
      <c r="N225" s="48">
        <v>0</v>
      </c>
    </row>
    <row r="226" spans="1:14" s="63" customFormat="1" x14ac:dyDescent="0.25">
      <c r="A226" s="147" t="s">
        <v>1058</v>
      </c>
      <c r="B226" s="147" t="s">
        <v>1005</v>
      </c>
      <c r="C226" s="147" t="s">
        <v>1884</v>
      </c>
      <c r="D226" s="147" t="s">
        <v>2069</v>
      </c>
      <c r="E226" s="64">
        <v>0</v>
      </c>
      <c r="F226" s="64">
        <v>0</v>
      </c>
      <c r="G226" s="147"/>
      <c r="H226" s="147"/>
      <c r="I226" s="147" t="s">
        <v>2070</v>
      </c>
      <c r="J226" s="147"/>
      <c r="K226" s="64">
        <v>44.95</v>
      </c>
      <c r="L226" s="147" t="s">
        <v>1896</v>
      </c>
    </row>
    <row r="227" spans="1:14" s="63" customFormat="1" x14ac:dyDescent="0.25">
      <c r="A227" s="147" t="s">
        <v>1058</v>
      </c>
      <c r="B227" s="147" t="s">
        <v>2040</v>
      </c>
      <c r="C227" s="147" t="s">
        <v>1884</v>
      </c>
      <c r="D227" s="147" t="s">
        <v>2048</v>
      </c>
      <c r="E227" s="64">
        <v>1</v>
      </c>
      <c r="F227" s="64">
        <v>1</v>
      </c>
      <c r="G227" s="147"/>
      <c r="H227" s="147"/>
      <c r="I227" s="147" t="s">
        <v>2047</v>
      </c>
      <c r="J227" s="147"/>
      <c r="K227" s="64">
        <v>39.950000000000003</v>
      </c>
      <c r="L227" s="147" t="s">
        <v>1896</v>
      </c>
    </row>
    <row r="228" spans="1:14" s="63" customFormat="1" x14ac:dyDescent="0.25">
      <c r="A228" s="147" t="s">
        <v>1058</v>
      </c>
      <c r="B228" s="110" t="s">
        <v>2005</v>
      </c>
      <c r="C228" s="147" t="s">
        <v>1884</v>
      </c>
      <c r="D228" s="147" t="s">
        <v>2073</v>
      </c>
      <c r="E228" s="64">
        <v>0</v>
      </c>
      <c r="F228" s="64">
        <v>0</v>
      </c>
      <c r="G228" s="147"/>
      <c r="H228" s="147"/>
      <c r="I228" s="147" t="s">
        <v>2074</v>
      </c>
      <c r="K228" s="64">
        <v>44.95</v>
      </c>
      <c r="L228" s="147" t="s">
        <v>1896</v>
      </c>
    </row>
    <row r="229" spans="1:14" s="80" customFormat="1" x14ac:dyDescent="0.25">
      <c r="A229" s="77" t="s">
        <v>1058</v>
      </c>
      <c r="B229" s="90" t="s">
        <v>1424</v>
      </c>
      <c r="C229" s="90" t="s">
        <v>5</v>
      </c>
      <c r="D229" s="150" t="s">
        <v>969</v>
      </c>
      <c r="E229" s="79">
        <v>1</v>
      </c>
      <c r="F229" s="79">
        <v>1</v>
      </c>
      <c r="G229" s="150" t="s">
        <v>970</v>
      </c>
      <c r="H229" s="150" t="s">
        <v>971</v>
      </c>
      <c r="I229" s="150" t="s">
        <v>972</v>
      </c>
      <c r="J229" s="150">
        <v>1</v>
      </c>
      <c r="K229" s="79">
        <v>49.95</v>
      </c>
      <c r="L229" s="150" t="s">
        <v>1896</v>
      </c>
      <c r="M229" s="150" t="s">
        <v>1050</v>
      </c>
      <c r="N229" s="150">
        <v>49.95</v>
      </c>
    </row>
    <row r="234" spans="1:14" x14ac:dyDescent="0.25">
      <c r="A234" s="61" t="s">
        <v>889</v>
      </c>
      <c r="B234" s="138" t="s">
        <v>1290</v>
      </c>
      <c r="C234" s="146" t="s">
        <v>5</v>
      </c>
      <c r="D234" s="147" t="s">
        <v>1220</v>
      </c>
      <c r="E234" s="147">
        <v>1</v>
      </c>
      <c r="G234" s="147" t="s">
        <v>1221</v>
      </c>
      <c r="H234" s="147" t="s">
        <v>1222</v>
      </c>
      <c r="I234" s="147" t="s">
        <v>1223</v>
      </c>
      <c r="J234" s="147">
        <v>1</v>
      </c>
      <c r="K234" s="147">
        <v>15.95</v>
      </c>
    </row>
    <row r="235" spans="1:14" x14ac:dyDescent="0.25">
      <c r="A235" s="61" t="s">
        <v>889</v>
      </c>
      <c r="B235" s="138" t="s">
        <v>1290</v>
      </c>
      <c r="C235" s="146" t="s">
        <v>5</v>
      </c>
      <c r="D235" s="147" t="s">
        <v>1224</v>
      </c>
      <c r="E235" s="147">
        <v>1</v>
      </c>
      <c r="G235" s="147" t="s">
        <v>1225</v>
      </c>
      <c r="H235" s="147" t="s">
        <v>1226</v>
      </c>
      <c r="I235" s="147" t="s">
        <v>1227</v>
      </c>
      <c r="J235" s="147"/>
      <c r="K235" s="147">
        <v>14.95</v>
      </c>
    </row>
    <row r="236" spans="1:14" x14ac:dyDescent="0.25">
      <c r="A236" s="61" t="s">
        <v>889</v>
      </c>
      <c r="B236" s="138" t="s">
        <v>1290</v>
      </c>
      <c r="C236" s="146" t="s">
        <v>5</v>
      </c>
      <c r="D236" s="147" t="s">
        <v>1200</v>
      </c>
      <c r="E236" s="147">
        <v>1</v>
      </c>
      <c r="G236" s="147" t="s">
        <v>1201</v>
      </c>
      <c r="H236" s="147" t="s">
        <v>1202</v>
      </c>
      <c r="I236" s="147" t="s">
        <v>1203</v>
      </c>
      <c r="J236" s="147"/>
      <c r="K236" s="147">
        <v>24.95</v>
      </c>
    </row>
    <row r="237" spans="1:14" x14ac:dyDescent="0.25">
      <c r="A237" s="61" t="s">
        <v>889</v>
      </c>
      <c r="B237" s="138" t="s">
        <v>1290</v>
      </c>
      <c r="C237" s="146" t="s">
        <v>5</v>
      </c>
      <c r="D237" s="147" t="s">
        <v>1240</v>
      </c>
      <c r="E237" s="147">
        <v>1</v>
      </c>
      <c r="G237" s="147" t="s">
        <v>1241</v>
      </c>
      <c r="H237" s="147" t="s">
        <v>1242</v>
      </c>
      <c r="I237" s="147" t="s">
        <v>1243</v>
      </c>
      <c r="J237" s="147"/>
      <c r="K237" s="147">
        <v>9.9499999999999993</v>
      </c>
    </row>
    <row r="238" spans="1:14" x14ac:dyDescent="0.25">
      <c r="A238" s="61" t="s">
        <v>889</v>
      </c>
      <c r="B238" s="138" t="s">
        <v>1290</v>
      </c>
      <c r="C238" s="146" t="s">
        <v>5</v>
      </c>
      <c r="D238" s="147" t="s">
        <v>1216</v>
      </c>
      <c r="E238" s="147">
        <v>1</v>
      </c>
      <c r="G238" s="147" t="s">
        <v>1217</v>
      </c>
      <c r="H238" s="147" t="s">
        <v>1218</v>
      </c>
      <c r="I238" s="147" t="s">
        <v>1219</v>
      </c>
      <c r="J238" s="147">
        <v>1</v>
      </c>
      <c r="K238" s="147">
        <v>19.95</v>
      </c>
    </row>
    <row r="239" spans="1:14" x14ac:dyDescent="0.25">
      <c r="A239" s="146" t="s">
        <v>890</v>
      </c>
      <c r="B239" s="158" t="s">
        <v>1603</v>
      </c>
      <c r="C239" s="146" t="s">
        <v>5</v>
      </c>
      <c r="D239" s="147" t="s">
        <v>1264</v>
      </c>
      <c r="E239" s="147">
        <v>1</v>
      </c>
      <c r="G239" s="147" t="s">
        <v>1265</v>
      </c>
      <c r="H239" s="147" t="s">
        <v>1266</v>
      </c>
      <c r="I239" s="147" t="s">
        <v>1267</v>
      </c>
      <c r="J239" s="147">
        <v>1</v>
      </c>
      <c r="K239" s="147">
        <v>0.25</v>
      </c>
    </row>
    <row r="240" spans="1:14" x14ac:dyDescent="0.25">
      <c r="A240" s="146" t="s">
        <v>890</v>
      </c>
      <c r="B240" s="158" t="s">
        <v>1603</v>
      </c>
      <c r="C240" s="146" t="s">
        <v>5</v>
      </c>
      <c r="D240" s="147" t="s">
        <v>1276</v>
      </c>
      <c r="E240" s="147">
        <v>1</v>
      </c>
      <c r="G240" s="147" t="s">
        <v>1277</v>
      </c>
      <c r="H240" s="147" t="s">
        <v>1278</v>
      </c>
      <c r="I240" s="147" t="s">
        <v>1279</v>
      </c>
      <c r="J240" s="147">
        <v>1</v>
      </c>
      <c r="K240" s="147">
        <v>1.5</v>
      </c>
    </row>
    <row r="241" spans="1:11" x14ac:dyDescent="0.25">
      <c r="A241" s="146" t="s">
        <v>890</v>
      </c>
      <c r="B241" s="158" t="s">
        <v>1603</v>
      </c>
      <c r="C241" s="146" t="s">
        <v>5</v>
      </c>
      <c r="D241" s="147" t="s">
        <v>1272</v>
      </c>
      <c r="E241" s="147">
        <v>1</v>
      </c>
      <c r="G241" s="147" t="s">
        <v>1273</v>
      </c>
      <c r="H241" s="147" t="s">
        <v>1274</v>
      </c>
      <c r="I241" s="147" t="s">
        <v>1275</v>
      </c>
      <c r="J241" s="147">
        <v>1</v>
      </c>
      <c r="K241" s="147">
        <v>0.1</v>
      </c>
    </row>
    <row r="242" spans="1:11" x14ac:dyDescent="0.25">
      <c r="A242" s="146" t="s">
        <v>890</v>
      </c>
      <c r="B242" s="158" t="s">
        <v>1603</v>
      </c>
      <c r="C242" s="146" t="s">
        <v>5</v>
      </c>
      <c r="D242" s="147" t="s">
        <v>1436</v>
      </c>
      <c r="E242" s="147">
        <v>1</v>
      </c>
      <c r="G242" s="147" t="s">
        <v>1437</v>
      </c>
      <c r="H242" s="147" t="s">
        <v>1438</v>
      </c>
      <c r="I242" s="147" t="s">
        <v>1439</v>
      </c>
      <c r="J242" s="147">
        <v>1</v>
      </c>
      <c r="K242" s="147">
        <v>1.95</v>
      </c>
    </row>
    <row r="243" spans="1:11" x14ac:dyDescent="0.25">
      <c r="A243" s="146" t="s">
        <v>890</v>
      </c>
      <c r="B243" s="158" t="s">
        <v>1603</v>
      </c>
      <c r="C243" s="146" t="s">
        <v>5</v>
      </c>
      <c r="D243" s="147" t="s">
        <v>1440</v>
      </c>
      <c r="E243" s="147">
        <v>1</v>
      </c>
      <c r="G243" s="147" t="s">
        <v>1441</v>
      </c>
      <c r="H243" s="147" t="s">
        <v>1442</v>
      </c>
      <c r="I243" s="147" t="s">
        <v>1443</v>
      </c>
      <c r="J243" s="147">
        <v>1</v>
      </c>
      <c r="K243" s="147">
        <v>1.95</v>
      </c>
    </row>
    <row r="244" spans="1:11" x14ac:dyDescent="0.25">
      <c r="A244" s="146" t="s">
        <v>890</v>
      </c>
      <c r="B244" s="158" t="s">
        <v>1603</v>
      </c>
      <c r="C244" s="146" t="s">
        <v>5</v>
      </c>
      <c r="D244" s="147" t="s">
        <v>1468</v>
      </c>
      <c r="E244" s="147">
        <v>1</v>
      </c>
      <c r="G244" s="147" t="s">
        <v>1469</v>
      </c>
      <c r="H244" s="147" t="s">
        <v>1470</v>
      </c>
      <c r="I244" s="147" t="s">
        <v>1471</v>
      </c>
      <c r="J244" s="147">
        <v>1</v>
      </c>
      <c r="K244" s="147">
        <v>1.95</v>
      </c>
    </row>
    <row r="245" spans="1:11" x14ac:dyDescent="0.25">
      <c r="A245" s="146" t="s">
        <v>890</v>
      </c>
      <c r="B245" s="146" t="s">
        <v>878</v>
      </c>
      <c r="C245" s="146" t="s">
        <v>5</v>
      </c>
      <c r="D245" s="147" t="s">
        <v>1565</v>
      </c>
      <c r="E245" s="147">
        <v>0</v>
      </c>
      <c r="G245" s="147" t="s">
        <v>1566</v>
      </c>
      <c r="H245" s="147" t="s">
        <v>1567</v>
      </c>
      <c r="I245" s="147" t="s">
        <v>1568</v>
      </c>
      <c r="J245" s="147">
        <v>1</v>
      </c>
      <c r="K245" s="147">
        <v>0.35</v>
      </c>
    </row>
    <row r="246" spans="1:11" x14ac:dyDescent="0.25">
      <c r="A246" s="146" t="s">
        <v>890</v>
      </c>
      <c r="B246" s="146" t="s">
        <v>878</v>
      </c>
      <c r="C246" s="146" t="s">
        <v>5</v>
      </c>
      <c r="D246" s="147" t="s">
        <v>1537</v>
      </c>
      <c r="E246" s="147">
        <v>0</v>
      </c>
      <c r="G246" s="147" t="s">
        <v>1538</v>
      </c>
      <c r="H246" s="147" t="s">
        <v>1539</v>
      </c>
      <c r="I246" s="147" t="s">
        <v>1540</v>
      </c>
      <c r="J246" s="147">
        <v>1</v>
      </c>
      <c r="K246" s="147">
        <v>0.35</v>
      </c>
    </row>
    <row r="247" spans="1:11" x14ac:dyDescent="0.25">
      <c r="A247" s="159" t="s">
        <v>887</v>
      </c>
      <c r="B247" s="138" t="s">
        <v>1602</v>
      </c>
      <c r="C247" s="146" t="s">
        <v>5</v>
      </c>
      <c r="D247" s="147" t="s">
        <v>1181</v>
      </c>
      <c r="E247" s="147">
        <v>1</v>
      </c>
      <c r="G247" s="147" t="s">
        <v>1182</v>
      </c>
      <c r="H247" s="147" t="s">
        <v>1183</v>
      </c>
      <c r="I247" s="147" t="s">
        <v>1184</v>
      </c>
      <c r="J247" s="147">
        <v>1</v>
      </c>
      <c r="K247" s="147">
        <v>29.95</v>
      </c>
    </row>
    <row r="248" spans="1:11" x14ac:dyDescent="0.25">
      <c r="A248" s="159" t="s">
        <v>887</v>
      </c>
      <c r="B248" s="138" t="s">
        <v>11</v>
      </c>
      <c r="C248" s="146" t="s">
        <v>5</v>
      </c>
      <c r="D248" s="147" t="s">
        <v>1204</v>
      </c>
      <c r="E248" s="147">
        <v>1</v>
      </c>
      <c r="G248" s="147" t="s">
        <v>1205</v>
      </c>
      <c r="H248" s="147" t="s">
        <v>1206</v>
      </c>
      <c r="I248" s="147" t="s">
        <v>1207</v>
      </c>
      <c r="J248" s="147">
        <v>1</v>
      </c>
      <c r="K248" s="147">
        <v>5.95</v>
      </c>
    </row>
    <row r="249" spans="1:11" x14ac:dyDescent="0.25">
      <c r="A249" s="159" t="s">
        <v>887</v>
      </c>
      <c r="B249" s="138" t="s">
        <v>11</v>
      </c>
      <c r="C249" s="146" t="s">
        <v>5</v>
      </c>
      <c r="D249" s="147" t="s">
        <v>1208</v>
      </c>
      <c r="E249" s="147">
        <v>1</v>
      </c>
      <c r="G249" s="147" t="s">
        <v>1209</v>
      </c>
      <c r="H249" s="147" t="s">
        <v>1210</v>
      </c>
      <c r="I249" s="147" t="s">
        <v>1211</v>
      </c>
      <c r="J249" s="147">
        <v>1</v>
      </c>
      <c r="K249" s="147">
        <v>14.95</v>
      </c>
    </row>
    <row r="250" spans="1:11" x14ac:dyDescent="0.25">
      <c r="A250" s="159" t="s">
        <v>887</v>
      </c>
      <c r="B250" s="138" t="s">
        <v>11</v>
      </c>
      <c r="C250" s="146" t="s">
        <v>5</v>
      </c>
      <c r="D250" s="147" t="s">
        <v>1212</v>
      </c>
      <c r="E250" s="147">
        <v>1</v>
      </c>
      <c r="G250" s="147" t="s">
        <v>1213</v>
      </c>
      <c r="H250" s="147" t="s">
        <v>1214</v>
      </c>
      <c r="I250" s="147" t="s">
        <v>1215</v>
      </c>
      <c r="J250" s="147">
        <v>1</v>
      </c>
      <c r="K250" s="147">
        <v>89.95</v>
      </c>
    </row>
    <row r="251" spans="1:11" x14ac:dyDescent="0.25">
      <c r="A251" s="159" t="s">
        <v>887</v>
      </c>
      <c r="B251" s="61" t="s">
        <v>881</v>
      </c>
      <c r="C251" s="146" t="s">
        <v>5</v>
      </c>
      <c r="D251" s="147" t="s">
        <v>1477</v>
      </c>
      <c r="E251" s="147">
        <v>1</v>
      </c>
      <c r="G251" s="147" t="s">
        <v>1478</v>
      </c>
      <c r="H251" s="147" t="s">
        <v>1479</v>
      </c>
      <c r="I251" s="147" t="s">
        <v>1480</v>
      </c>
      <c r="J251" s="147">
        <v>1</v>
      </c>
      <c r="K251" s="147">
        <v>49.95</v>
      </c>
    </row>
    <row r="252" spans="1:11" x14ac:dyDescent="0.25">
      <c r="A252" s="159" t="s">
        <v>887</v>
      </c>
      <c r="B252" s="61" t="s">
        <v>881</v>
      </c>
      <c r="C252" s="146" t="s">
        <v>5</v>
      </c>
      <c r="D252" s="147" t="s">
        <v>1481</v>
      </c>
      <c r="E252" s="147">
        <v>1</v>
      </c>
      <c r="G252" s="147" t="s">
        <v>1482</v>
      </c>
      <c r="H252" s="147" t="s">
        <v>1483</v>
      </c>
      <c r="I252" s="147" t="s">
        <v>1484</v>
      </c>
      <c r="J252" s="147">
        <v>1</v>
      </c>
      <c r="K252" s="147">
        <v>44.95</v>
      </c>
    </row>
    <row r="253" spans="1:11" x14ac:dyDescent="0.25">
      <c r="A253" s="159" t="s">
        <v>887</v>
      </c>
      <c r="B253" s="138" t="s">
        <v>1602</v>
      </c>
      <c r="C253" s="146" t="s">
        <v>5</v>
      </c>
      <c r="D253" s="147" t="s">
        <v>1725</v>
      </c>
      <c r="E253" s="147">
        <v>1</v>
      </c>
      <c r="G253" s="147" t="s">
        <v>1726</v>
      </c>
      <c r="H253" s="147" t="s">
        <v>1727</v>
      </c>
      <c r="I253" s="147" t="s">
        <v>1728</v>
      </c>
      <c r="J253" s="147">
        <v>1</v>
      </c>
      <c r="K253" s="147">
        <v>45</v>
      </c>
    </row>
    <row r="254" spans="1:11" x14ac:dyDescent="0.25">
      <c r="A254" s="159" t="s">
        <v>887</v>
      </c>
      <c r="B254" s="146" t="s">
        <v>2008</v>
      </c>
      <c r="C254" s="146" t="s">
        <v>5</v>
      </c>
      <c r="D254" s="147" t="s">
        <v>1781</v>
      </c>
      <c r="E254" s="147">
        <v>1</v>
      </c>
      <c r="G254" s="147" t="s">
        <v>1782</v>
      </c>
      <c r="H254" s="147" t="s">
        <v>1783</v>
      </c>
      <c r="I254" s="147" t="s">
        <v>1784</v>
      </c>
      <c r="J254" s="147">
        <v>1</v>
      </c>
      <c r="K254" s="147">
        <v>29.95</v>
      </c>
    </row>
    <row r="255" spans="1:11" x14ac:dyDescent="0.25">
      <c r="A255" s="159" t="s">
        <v>887</v>
      </c>
      <c r="B255" s="61" t="s">
        <v>2012</v>
      </c>
      <c r="C255" s="146" t="s">
        <v>5</v>
      </c>
      <c r="D255" s="147" t="s">
        <v>1785</v>
      </c>
      <c r="E255" s="147">
        <v>1</v>
      </c>
      <c r="G255" s="147" t="s">
        <v>1786</v>
      </c>
      <c r="H255" s="147" t="s">
        <v>1787</v>
      </c>
      <c r="I255" s="147" t="s">
        <v>1788</v>
      </c>
      <c r="J255" s="147">
        <v>1</v>
      </c>
      <c r="K255" s="147">
        <v>0.95</v>
      </c>
    </row>
    <row r="256" spans="1:11" x14ac:dyDescent="0.25">
      <c r="A256" s="160" t="s">
        <v>888</v>
      </c>
      <c r="B256" s="160" t="s">
        <v>12</v>
      </c>
      <c r="C256" s="146" t="s">
        <v>5</v>
      </c>
      <c r="D256" s="147" t="s">
        <v>1268</v>
      </c>
      <c r="E256" s="147">
        <v>1</v>
      </c>
      <c r="G256" s="147" t="s">
        <v>1269</v>
      </c>
      <c r="H256" s="147" t="s">
        <v>1270</v>
      </c>
      <c r="I256" s="147" t="s">
        <v>1271</v>
      </c>
      <c r="J256" s="147">
        <v>1</v>
      </c>
      <c r="K256" s="147">
        <v>0.95</v>
      </c>
    </row>
    <row r="257" spans="1:11" x14ac:dyDescent="0.25">
      <c r="A257" s="160" t="s">
        <v>888</v>
      </c>
      <c r="B257" s="160" t="s">
        <v>12</v>
      </c>
      <c r="C257" s="146" t="s">
        <v>5</v>
      </c>
      <c r="D257" s="147" t="s">
        <v>1444</v>
      </c>
      <c r="E257" s="147">
        <v>1</v>
      </c>
      <c r="G257" s="147" t="s">
        <v>1445</v>
      </c>
      <c r="H257" s="147" t="s">
        <v>1446</v>
      </c>
      <c r="I257" s="147" t="s">
        <v>1447</v>
      </c>
      <c r="J257" s="147">
        <v>1</v>
      </c>
      <c r="K257" s="147">
        <v>2.95</v>
      </c>
    </row>
    <row r="258" spans="1:11" x14ac:dyDescent="0.25">
      <c r="A258" s="160" t="s">
        <v>888</v>
      </c>
      <c r="B258" s="160" t="s">
        <v>12</v>
      </c>
      <c r="C258" s="146" t="s">
        <v>5</v>
      </c>
      <c r="D258" s="147" t="s">
        <v>1456</v>
      </c>
      <c r="E258" s="147">
        <v>1</v>
      </c>
      <c r="G258" s="147" t="s">
        <v>1457</v>
      </c>
      <c r="H258" s="147" t="s">
        <v>1458</v>
      </c>
      <c r="I258" s="147" t="s">
        <v>1459</v>
      </c>
      <c r="J258" s="147">
        <v>1</v>
      </c>
      <c r="K258" s="147">
        <v>2.95</v>
      </c>
    </row>
    <row r="259" spans="1:11" x14ac:dyDescent="0.25">
      <c r="A259" s="160" t="s">
        <v>888</v>
      </c>
      <c r="B259" s="160" t="s">
        <v>12</v>
      </c>
      <c r="C259" s="146" t="s">
        <v>5</v>
      </c>
      <c r="D259" s="147" t="s">
        <v>1452</v>
      </c>
      <c r="E259" s="147">
        <v>0</v>
      </c>
      <c r="G259" s="147" t="s">
        <v>1453</v>
      </c>
      <c r="H259" s="147" t="s">
        <v>1454</v>
      </c>
      <c r="I259" s="147" t="s">
        <v>1455</v>
      </c>
      <c r="J259" s="147">
        <v>1</v>
      </c>
      <c r="K259" s="147">
        <v>2.95</v>
      </c>
    </row>
    <row r="260" spans="1:11" x14ac:dyDescent="0.25">
      <c r="A260" s="160" t="s">
        <v>888</v>
      </c>
      <c r="B260" s="160" t="s">
        <v>12</v>
      </c>
      <c r="C260" s="146" t="s">
        <v>5</v>
      </c>
      <c r="D260" s="147" t="s">
        <v>1448</v>
      </c>
      <c r="E260" s="147">
        <v>1</v>
      </c>
      <c r="G260" s="147" t="s">
        <v>1449</v>
      </c>
      <c r="H260" s="147" t="s">
        <v>1450</v>
      </c>
      <c r="I260" s="147" t="s">
        <v>1451</v>
      </c>
      <c r="J260" s="147">
        <v>1</v>
      </c>
      <c r="K260" s="147">
        <v>3.95</v>
      </c>
    </row>
    <row r="261" spans="1:11" x14ac:dyDescent="0.25">
      <c r="A261" s="160" t="s">
        <v>888</v>
      </c>
      <c r="B261" s="160" t="s">
        <v>12</v>
      </c>
      <c r="C261" s="146" t="s">
        <v>5</v>
      </c>
      <c r="D261" s="147" t="s">
        <v>1472</v>
      </c>
      <c r="E261" s="147">
        <v>0</v>
      </c>
      <c r="G261" s="147" t="s">
        <v>1473</v>
      </c>
      <c r="H261" s="147" t="s">
        <v>1474</v>
      </c>
      <c r="I261" s="147" t="s">
        <v>1475</v>
      </c>
      <c r="J261" s="147">
        <v>1</v>
      </c>
      <c r="K261" s="147">
        <v>3.95</v>
      </c>
    </row>
    <row r="262" spans="1:11" x14ac:dyDescent="0.25">
      <c r="A262" s="160" t="s">
        <v>888</v>
      </c>
      <c r="B262" s="160" t="s">
        <v>12</v>
      </c>
      <c r="C262" s="146" t="s">
        <v>5</v>
      </c>
      <c r="D262" s="147" t="s">
        <v>1464</v>
      </c>
      <c r="E262" s="147">
        <v>1</v>
      </c>
      <c r="G262" s="147" t="s">
        <v>1465</v>
      </c>
      <c r="H262" s="147" t="s">
        <v>1466</v>
      </c>
      <c r="I262" s="147" t="s">
        <v>1467</v>
      </c>
      <c r="J262" s="147">
        <v>1</v>
      </c>
      <c r="K262" s="147">
        <v>3.95</v>
      </c>
    </row>
    <row r="263" spans="1:11" x14ac:dyDescent="0.25">
      <c r="A263" s="160" t="s">
        <v>888</v>
      </c>
      <c r="B263" s="160" t="s">
        <v>12</v>
      </c>
      <c r="C263" s="146" t="s">
        <v>5</v>
      </c>
      <c r="D263" s="147" t="s">
        <v>1460</v>
      </c>
      <c r="E263" s="147">
        <v>1</v>
      </c>
      <c r="G263" s="147" t="s">
        <v>1461</v>
      </c>
      <c r="H263" s="147" t="s">
        <v>1462</v>
      </c>
      <c r="I263" s="147" t="s">
        <v>1463</v>
      </c>
      <c r="J263" s="147">
        <v>1</v>
      </c>
      <c r="K263" s="147">
        <v>3.95</v>
      </c>
    </row>
    <row r="264" spans="1:11" x14ac:dyDescent="0.25">
      <c r="A264" s="160" t="s">
        <v>888</v>
      </c>
      <c r="B264" s="138" t="s">
        <v>1882</v>
      </c>
      <c r="C264" s="146" t="s">
        <v>5</v>
      </c>
      <c r="D264" s="147" t="s">
        <v>1845</v>
      </c>
      <c r="E264" s="147">
        <v>1</v>
      </c>
      <c r="G264" s="147" t="s">
        <v>1846</v>
      </c>
      <c r="H264" s="147" t="s">
        <v>1847</v>
      </c>
      <c r="I264" s="147" t="s">
        <v>1848</v>
      </c>
      <c r="J264" s="147">
        <v>1</v>
      </c>
      <c r="K264" s="147">
        <v>2.95</v>
      </c>
    </row>
    <row r="265" spans="1:11" x14ac:dyDescent="0.25">
      <c r="A265" s="160" t="s">
        <v>888</v>
      </c>
      <c r="B265" s="138" t="s">
        <v>1882</v>
      </c>
      <c r="C265" s="146" t="s">
        <v>5</v>
      </c>
      <c r="D265" s="147" t="s">
        <v>1849</v>
      </c>
      <c r="E265" s="147">
        <v>1</v>
      </c>
      <c r="G265" s="147" t="s">
        <v>1850</v>
      </c>
      <c r="H265" s="147" t="s">
        <v>1851</v>
      </c>
      <c r="I265" s="147" t="s">
        <v>1852</v>
      </c>
      <c r="J265" s="147"/>
      <c r="K265" s="147">
        <v>3.95</v>
      </c>
    </row>
    <row r="266" spans="1:11" x14ac:dyDescent="0.25">
      <c r="A266" s="160" t="s">
        <v>888</v>
      </c>
      <c r="B266" s="138" t="s">
        <v>1882</v>
      </c>
      <c r="C266" s="146" t="s">
        <v>5</v>
      </c>
      <c r="D266" s="147" t="s">
        <v>1853</v>
      </c>
      <c r="E266" s="147">
        <v>1</v>
      </c>
      <c r="G266" s="147" t="s">
        <v>1854</v>
      </c>
      <c r="H266" s="147" t="s">
        <v>1855</v>
      </c>
      <c r="I266" s="147" t="s">
        <v>1856</v>
      </c>
      <c r="J266" s="147"/>
      <c r="K266" s="147">
        <v>4.95</v>
      </c>
    </row>
    <row r="267" spans="1:11" x14ac:dyDescent="0.25">
      <c r="A267" s="160" t="s">
        <v>888</v>
      </c>
      <c r="B267" s="138" t="s">
        <v>1882</v>
      </c>
      <c r="C267" s="146" t="s">
        <v>5</v>
      </c>
      <c r="D267" s="147" t="s">
        <v>1857</v>
      </c>
      <c r="E267" s="147">
        <v>1</v>
      </c>
      <c r="G267" s="147" t="s">
        <v>1858</v>
      </c>
      <c r="H267" s="147" t="s">
        <v>1859</v>
      </c>
      <c r="I267" s="147" t="s">
        <v>1860</v>
      </c>
      <c r="J267" s="147">
        <v>1</v>
      </c>
      <c r="K267" s="147">
        <v>14.95</v>
      </c>
    </row>
    <row r="268" spans="1:11" x14ac:dyDescent="0.25">
      <c r="A268" s="160" t="s">
        <v>888</v>
      </c>
      <c r="B268" s="138" t="s">
        <v>1882</v>
      </c>
      <c r="C268" s="146" t="s">
        <v>5</v>
      </c>
      <c r="D268" s="147" t="s">
        <v>1861</v>
      </c>
      <c r="E268" s="147">
        <v>1</v>
      </c>
      <c r="G268" s="147" t="s">
        <v>1862</v>
      </c>
      <c r="H268" s="147" t="s">
        <v>1863</v>
      </c>
      <c r="I268" s="147" t="s">
        <v>1864</v>
      </c>
      <c r="J268" s="147"/>
      <c r="K268" s="147">
        <v>4.95</v>
      </c>
    </row>
    <row r="269" spans="1:11" x14ac:dyDescent="0.25">
      <c r="A269" s="160" t="s">
        <v>888</v>
      </c>
      <c r="B269" s="138" t="s">
        <v>1882</v>
      </c>
      <c r="C269" s="146" t="s">
        <v>5</v>
      </c>
      <c r="D269" s="147" t="s">
        <v>1865</v>
      </c>
      <c r="E269" s="147">
        <v>1</v>
      </c>
      <c r="G269" s="147" t="s">
        <v>1866</v>
      </c>
      <c r="H269" s="147" t="s">
        <v>1867</v>
      </c>
      <c r="I269" s="147" t="s">
        <v>1868</v>
      </c>
      <c r="J269" s="147"/>
      <c r="K269" s="147">
        <v>27.95</v>
      </c>
    </row>
    <row r="270" spans="1:11" x14ac:dyDescent="0.25">
      <c r="A270" s="146" t="s">
        <v>13</v>
      </c>
      <c r="B270" s="138" t="s">
        <v>1600</v>
      </c>
      <c r="C270" s="146" t="s">
        <v>5</v>
      </c>
      <c r="D270" s="147" t="s">
        <v>1189</v>
      </c>
      <c r="E270" s="147">
        <v>1</v>
      </c>
      <c r="G270" s="147" t="s">
        <v>1190</v>
      </c>
      <c r="H270" s="147" t="s">
        <v>1191</v>
      </c>
      <c r="I270" s="147" t="s">
        <v>1192</v>
      </c>
      <c r="J270" s="147">
        <v>1</v>
      </c>
      <c r="K270" s="147">
        <v>59.95</v>
      </c>
    </row>
  </sheetData>
  <mergeCells count="1">
    <mergeCell ref="A214:B214"/>
  </mergeCells>
  <conditionalFormatting sqref="A14:Y189 A191:Y199">
    <cfRule type="expression" dxfId="288" priority="35">
      <formula>AND(($F14=0),NOT(ISBLANK($F14)))</formula>
    </cfRule>
  </conditionalFormatting>
  <conditionalFormatting sqref="F215:F229">
    <cfRule type="expression" dxfId="287" priority="26">
      <formula>AND(($E215=0),NOT(ISBLANK($E215)))</formula>
    </cfRule>
  </conditionalFormatting>
  <conditionalFormatting sqref="B260 B264:B268 B262 B234:B238 B240:B250">
    <cfRule type="expression" dxfId="286" priority="59">
      <formula>AND(($G234=0),NOT(ISBLANK($G234)))</formula>
    </cfRule>
  </conditionalFormatting>
  <conditionalFormatting sqref="Y14:Y189 Y191:Y199">
    <cfRule type="dataBar" priority="60">
      <dataBar>
        <cfvo type="min"/>
        <cfvo type="max"/>
        <color rgb="FFFFB628"/>
      </dataBar>
      <extLst>
        <ext xmlns:x14="http://schemas.microsoft.com/office/spreadsheetml/2009/9/main" uri="{B025F937-C7B1-47D3-B67F-A62EFF666E3E}">
          <x14:id>{4FACCAC3-3902-4AC8-A0A5-A3DB887A921E}</x14:id>
        </ext>
      </extLst>
    </cfRule>
  </conditionalFormatting>
  <conditionalFormatting sqref="N14:N189 N191:N199">
    <cfRule type="dataBar" priority="61">
      <dataBar>
        <cfvo type="min"/>
        <cfvo type="max"/>
        <color rgb="FFFFB628"/>
      </dataBar>
      <extLst>
        <ext xmlns:x14="http://schemas.microsoft.com/office/spreadsheetml/2009/9/main" uri="{B025F937-C7B1-47D3-B67F-A62EFF666E3E}">
          <x14:id>{53FFC4C2-1A2D-455E-B9E2-83564C9E572E}</x14:id>
        </ext>
      </extLst>
    </cfRule>
  </conditionalFormatting>
  <conditionalFormatting sqref="A190:B190 D190:Y190">
    <cfRule type="expression" dxfId="285" priority="9">
      <formula>AND(($F190=0),NOT(ISBLANK($F190)))</formula>
    </cfRule>
  </conditionalFormatting>
  <conditionalFormatting sqref="N190">
    <cfRule type="dataBar" priority="17">
      <dataBar>
        <cfvo type="min"/>
        <cfvo type="max"/>
        <color rgb="FFFFB628"/>
      </dataBar>
      <extLst>
        <ext xmlns:x14="http://schemas.microsoft.com/office/spreadsheetml/2009/9/main" uri="{B025F937-C7B1-47D3-B67F-A62EFF666E3E}">
          <x14:id>{D66086BE-B450-41BA-9F96-4B68C3EAD8B9}</x14:id>
        </ext>
      </extLst>
    </cfRule>
  </conditionalFormatting>
  <conditionalFormatting sqref="Y190">
    <cfRule type="dataBar" priority="18">
      <dataBar>
        <cfvo type="min"/>
        <cfvo type="max"/>
        <color rgb="FFFFB628"/>
      </dataBar>
      <extLst>
        <ext xmlns:x14="http://schemas.microsoft.com/office/spreadsheetml/2009/9/main" uri="{B025F937-C7B1-47D3-B67F-A62EFF666E3E}">
          <x14:id>{807F25BE-60BB-4141-961A-11FC04C58516}</x14:id>
        </ext>
      </extLst>
    </cfRule>
  </conditionalFormatting>
  <conditionalFormatting sqref="C190">
    <cfRule type="expression" dxfId="284" priority="1">
      <formula>AND(($F190=0),NOT(ISBLANK($F190)))</formula>
    </cfRule>
  </conditionalFormatting>
  <dataValidations count="4">
    <dataValidation type="list" allowBlank="1" showInputMessage="1" showErrorMessage="1" sqref="A251:A268 A235:A239 A243:A247" xr:uid="{9A9DEE2E-D908-4542-97A1-931C36B93EB8}">
      <formula1>$C$6:$C$13</formula1>
    </dataValidation>
    <dataValidation allowBlank="1" showInputMessage="1" showErrorMessage="1" prompt="Title of this worksheet is in this cell" sqref="A11" xr:uid="{821BF25F-89B2-4457-BDBE-33A609BA1B1B}"/>
    <dataValidation allowBlank="1" showInputMessage="1" showErrorMessage="1" prompt="Title of this worksheet is in cells B1 through D1" sqref="A214" xr:uid="{AB53C53A-FDEA-453A-BCCC-CC906C547FA6}"/>
    <dataValidation allowBlank="1" showInputMessage="1" showErrorMessage="1" prompt="Total Estimated Value of All Items is automatically calculated in cell at right. Enter Inventory Date in cell I2" sqref="A203:C203" xr:uid="{71608233-355A-422D-B9FA-E28A285A3C95}"/>
  </dataValidations>
  <pageMargins left="0.7" right="0.7" top="0.75" bottom="0.75" header="0.3" footer="0.3"/>
  <pageSetup orientation="portrait" horizontalDpi="4294967294" verticalDpi="0" r:id="rId1"/>
  <drawing r:id="rId2"/>
  <tableParts count="2">
    <tablePart r:id="rId3"/>
    <tablePart r:id="rId4"/>
  </tableParts>
  <extLst>
    <ext xmlns:x14="http://schemas.microsoft.com/office/spreadsheetml/2009/9/main" uri="{78C0D931-6437-407d-A8EE-F0AAD7539E65}">
      <x14:conditionalFormattings>
        <x14:conditionalFormatting xmlns:xm="http://schemas.microsoft.com/office/excel/2006/main">
          <x14:cfRule type="dataBar" id="{4FACCAC3-3902-4AC8-A0A5-A3DB887A921E}">
            <x14:dataBar minLength="0" maxLength="100" border="1" negativeBarBorderColorSameAsPositive="0">
              <x14:cfvo type="autoMin"/>
              <x14:cfvo type="autoMax"/>
              <x14:borderColor rgb="FFFFB628"/>
              <x14:negativeFillColor rgb="FFFF0000"/>
              <x14:negativeBorderColor rgb="FFFF0000"/>
              <x14:axisColor rgb="FF000000"/>
            </x14:dataBar>
          </x14:cfRule>
          <xm:sqref>Y14:Y189 Y191:Y199</xm:sqref>
        </x14:conditionalFormatting>
        <x14:conditionalFormatting xmlns:xm="http://schemas.microsoft.com/office/excel/2006/main">
          <x14:cfRule type="dataBar" id="{53FFC4C2-1A2D-455E-B9E2-83564C9E572E}">
            <x14:dataBar minLength="0" maxLength="100" border="1" negativeBarBorderColorSameAsPositive="0">
              <x14:cfvo type="autoMin"/>
              <x14:cfvo type="autoMax"/>
              <x14:borderColor rgb="FFFFB628"/>
              <x14:negativeFillColor rgb="FFFF0000"/>
              <x14:negativeBorderColor rgb="FFFF0000"/>
              <x14:axisColor rgb="FF000000"/>
            </x14:dataBar>
          </x14:cfRule>
          <xm:sqref>N14:N189 N191:N199</xm:sqref>
        </x14:conditionalFormatting>
        <x14:conditionalFormatting xmlns:xm="http://schemas.microsoft.com/office/excel/2006/main">
          <x14:cfRule type="dataBar" id="{D66086BE-B450-41BA-9F96-4B68C3EAD8B9}">
            <x14:dataBar minLength="0" maxLength="100" border="1" negativeBarBorderColorSameAsPositive="0">
              <x14:cfvo type="autoMin"/>
              <x14:cfvo type="autoMax"/>
              <x14:borderColor rgb="FFFFB628"/>
              <x14:negativeFillColor rgb="FFFF0000"/>
              <x14:negativeBorderColor rgb="FFFF0000"/>
              <x14:axisColor rgb="FF000000"/>
            </x14:dataBar>
          </x14:cfRule>
          <xm:sqref>N190</xm:sqref>
        </x14:conditionalFormatting>
        <x14:conditionalFormatting xmlns:xm="http://schemas.microsoft.com/office/excel/2006/main">
          <x14:cfRule type="dataBar" id="{807F25BE-60BB-4141-961A-11FC04C58516}">
            <x14:dataBar minLength="0" maxLength="100" border="1" negativeBarBorderColorSameAsPositive="0">
              <x14:cfvo type="autoMin"/>
              <x14:cfvo type="autoMax"/>
              <x14:borderColor rgb="FFFFB628"/>
              <x14:negativeFillColor rgb="FFFF0000"/>
              <x14:negativeBorderColor rgb="FFFF0000"/>
              <x14:axisColor rgb="FF000000"/>
            </x14:dataBar>
          </x14:cfRule>
          <xm:sqref>Y190</xm:sqref>
        </x14:conditionalFormatting>
        <x14:conditionalFormatting xmlns:xm="http://schemas.microsoft.com/office/excel/2006/main">
          <x14:cfRule type="expression" priority="36" id="{E4545CC4-1AEE-4BC9-BAC6-8F39B3DDFC65}">
            <xm:f>$L14=FilterSpecs!$F$13</xm:f>
            <x14:dxf>
              <font>
                <b/>
                <i val="0"/>
                <color theme="0"/>
              </font>
              <fill>
                <patternFill>
                  <bgColor theme="9" tint="-0.499984740745262"/>
                </patternFill>
              </fill>
            </x14:dxf>
          </x14:cfRule>
          <x14:cfRule type="expression" priority="37" id="{C8D7D20A-7124-4975-B0FB-039101F5D739}">
            <xm:f>$L14=FilterSpecs!$F$11</xm:f>
            <x14:dxf>
              <font>
                <b/>
                <i val="0"/>
                <color theme="0"/>
              </font>
              <fill>
                <patternFill>
                  <bgColor rgb="FF00B050"/>
                </patternFill>
              </fill>
            </x14:dxf>
          </x14:cfRule>
          <x14:cfRule type="expression" priority="38" id="{C84AB6F5-EA7D-4DE5-A80E-FBE3F5E073CF}">
            <xm:f>$L14=FilterSpecs!$F$10</xm:f>
            <x14:dxf>
              <font>
                <b/>
                <i val="0"/>
                <color theme="0"/>
              </font>
              <fill>
                <patternFill>
                  <bgColor rgb="FF002060"/>
                </patternFill>
              </fill>
            </x14:dxf>
          </x14:cfRule>
          <x14:cfRule type="expression" priority="39" id="{818458F9-3A76-457C-837B-99A85EEF8834}">
            <xm:f>$L14=FilterSpecs!$F$9</xm:f>
            <x14:dxf>
              <font>
                <b/>
                <i val="0"/>
                <color theme="0"/>
              </font>
              <fill>
                <patternFill>
                  <bgColor rgb="FFFF0000"/>
                </patternFill>
              </fill>
            </x14:dxf>
          </x14:cfRule>
          <x14:cfRule type="expression" priority="40" id="{B1A2D2B9-B0E3-41CE-AACE-1575827A7148}">
            <xm:f>$L14=FilterSpecs!$F$8</xm:f>
            <x14:dxf>
              <font>
                <b/>
                <i val="0"/>
                <color theme="0"/>
              </font>
              <fill>
                <patternFill>
                  <bgColor rgb="FFFFC000"/>
                </patternFill>
              </fill>
            </x14:dxf>
          </x14:cfRule>
          <x14:cfRule type="expression" priority="41" id="{0DC2CDE0-3FB1-4277-B035-4B8B76592BD3}">
            <xm:f>$L14=FilterSpecs!$F$6</xm:f>
            <x14:dxf>
              <font>
                <b val="0"/>
                <i val="0"/>
              </font>
              <fill>
                <patternFill patternType="none">
                  <bgColor auto="1"/>
                </patternFill>
              </fill>
            </x14:dxf>
          </x14:cfRule>
          <x14:cfRule type="expression" priority="42" id="{4FD783C9-40C6-4DFF-BA51-468EF98E7BDE}">
            <xm:f>$L14=FilterSpecs!$F$7</xm:f>
            <x14:dxf>
              <font>
                <b/>
                <i val="0"/>
                <color theme="0"/>
              </font>
              <fill>
                <patternFill>
                  <bgColor rgb="FF00B0F0"/>
                </patternFill>
              </fill>
            </x14:dxf>
          </x14:cfRule>
          <xm:sqref>A14:Y189 A191:Y199</xm:sqref>
        </x14:conditionalFormatting>
        <x14:conditionalFormatting xmlns:xm="http://schemas.microsoft.com/office/excel/2006/main">
          <x14:cfRule type="expression" priority="43" id="{1C48811A-5BA0-4E26-8055-AF92C7174817}">
            <xm:f>$M215=FilterSpecs!$F$13</xm:f>
            <x14:dxf>
              <font>
                <b/>
                <i val="0"/>
                <color theme="0"/>
              </font>
              <fill>
                <patternFill>
                  <bgColor theme="9" tint="-0.499984740745262"/>
                </patternFill>
              </fill>
            </x14:dxf>
          </x14:cfRule>
          <x14:cfRule type="expression" priority="44" id="{75E4E3C3-36A5-4EFA-A125-FBE7EAA67627}">
            <xm:f>$M215=FilterSpecs!$F$12</xm:f>
            <x14:dxf>
              <font>
                <b/>
                <i val="0"/>
                <color theme="0"/>
              </font>
              <fill>
                <patternFill>
                  <bgColor rgb="FFEC6E6E"/>
                </patternFill>
              </fill>
            </x14:dxf>
          </x14:cfRule>
          <x14:cfRule type="expression" priority="45" id="{DDEC5AB2-8599-40AA-A4AE-B24688BDB610}">
            <xm:f>$M215=FilterSpecs!$F$11</xm:f>
            <x14:dxf>
              <font>
                <b/>
                <i val="0"/>
                <color theme="0"/>
              </font>
              <fill>
                <patternFill>
                  <bgColor rgb="FF00B050"/>
                </patternFill>
              </fill>
            </x14:dxf>
          </x14:cfRule>
          <x14:cfRule type="expression" priority="46" id="{B1D49483-9982-4B63-9250-981A99FF67C6}">
            <xm:f>$M215=FilterSpecs!$F$10</xm:f>
            <x14:dxf>
              <font>
                <b/>
                <i val="0"/>
                <color theme="0"/>
              </font>
              <fill>
                <patternFill>
                  <bgColor rgb="FF002060"/>
                </patternFill>
              </fill>
            </x14:dxf>
          </x14:cfRule>
          <x14:cfRule type="expression" priority="47" id="{2185247D-A646-4606-93F0-A4B7380F3AD9}">
            <xm:f>$M215=FilterSpecs!$F$9</xm:f>
            <x14:dxf>
              <font>
                <b/>
                <i val="0"/>
                <color theme="0"/>
              </font>
              <fill>
                <patternFill>
                  <bgColor rgb="FFFF0000"/>
                </patternFill>
              </fill>
            </x14:dxf>
          </x14:cfRule>
          <x14:cfRule type="expression" priority="48" id="{FCE57CDD-E3E0-4CC0-952C-E5F3DC288F77}">
            <xm:f>$M215=FilterSpecs!$F$8</xm:f>
            <x14:dxf>
              <font>
                <b/>
                <i val="0"/>
                <color theme="0"/>
              </font>
              <fill>
                <patternFill>
                  <bgColor rgb="FFFFC000"/>
                </patternFill>
              </fill>
            </x14:dxf>
          </x14:cfRule>
          <x14:cfRule type="expression" priority="49" id="{E701431B-59F9-4F85-A3AE-BED85986BA3B}">
            <xm:f>$M215=FilterSpecs!$F$6</xm:f>
            <x14:dxf>
              <font>
                <b val="0"/>
                <i val="0"/>
              </font>
              <fill>
                <patternFill patternType="none">
                  <bgColor auto="1"/>
                </patternFill>
              </fill>
            </x14:dxf>
          </x14:cfRule>
          <x14:cfRule type="expression" priority="50" id="{EB09D28F-C031-482A-987F-9C104D7F6443}">
            <xm:f>$M215=FilterSpecs!$F$7</xm:f>
            <x14:dxf>
              <font>
                <b/>
                <i val="0"/>
                <color theme="0"/>
              </font>
              <fill>
                <patternFill>
                  <bgColor rgb="FF00B0F0"/>
                </patternFill>
              </fill>
            </x14:dxf>
          </x14:cfRule>
          <xm:sqref>G215:S229 D215:E229</xm:sqref>
        </x14:conditionalFormatting>
        <x14:conditionalFormatting xmlns:xm="http://schemas.microsoft.com/office/excel/2006/main">
          <x14:cfRule type="expression" priority="27" id="{A13B9314-47F5-47EE-9503-A323D6A4B570}">
            <xm:f>$M215=FilterSpecs!$F$13</xm:f>
            <x14:dxf>
              <font>
                <b/>
                <i val="0"/>
                <color theme="0"/>
              </font>
              <fill>
                <patternFill>
                  <bgColor theme="9" tint="-0.499984740745262"/>
                </patternFill>
              </fill>
            </x14:dxf>
          </x14:cfRule>
          <x14:cfRule type="expression" priority="28" id="{C082A128-8D2B-41FA-A517-43F74005CB31}">
            <xm:f>$M215=FilterSpecs!$F$12</xm:f>
            <x14:dxf>
              <font>
                <b/>
                <i val="0"/>
                <color theme="0"/>
              </font>
              <fill>
                <patternFill>
                  <bgColor rgb="FFEC6E6E"/>
                </patternFill>
              </fill>
            </x14:dxf>
          </x14:cfRule>
          <x14:cfRule type="expression" priority="29" id="{E9757038-0243-49DB-B6BD-72147CE55F56}">
            <xm:f>$M215=FilterSpecs!$F$11</xm:f>
            <x14:dxf>
              <font>
                <b/>
                <i val="0"/>
                <color theme="0"/>
              </font>
              <fill>
                <patternFill>
                  <bgColor rgb="FF00B050"/>
                </patternFill>
              </fill>
            </x14:dxf>
          </x14:cfRule>
          <x14:cfRule type="expression" priority="30" id="{1CBF4D14-C25B-4CA1-BEDF-E44C37DC8E43}">
            <xm:f>$M215=FilterSpecs!$F$10</xm:f>
            <x14:dxf>
              <font>
                <b/>
                <i val="0"/>
                <color theme="0"/>
              </font>
              <fill>
                <patternFill>
                  <bgColor rgb="FF002060"/>
                </patternFill>
              </fill>
            </x14:dxf>
          </x14:cfRule>
          <x14:cfRule type="expression" priority="31" id="{3589CCEA-7F62-40C1-9889-D80A320215DC}">
            <xm:f>$M215=FilterSpecs!$F$9</xm:f>
            <x14:dxf>
              <font>
                <b/>
                <i val="0"/>
                <color theme="0"/>
              </font>
              <fill>
                <patternFill>
                  <bgColor rgb="FFFF0000"/>
                </patternFill>
              </fill>
            </x14:dxf>
          </x14:cfRule>
          <x14:cfRule type="expression" priority="32" id="{F9A452AB-A04D-4D5E-9B97-1BCF406C275C}">
            <xm:f>$M215=FilterSpecs!$F$8</xm:f>
            <x14:dxf>
              <font>
                <b/>
                <i val="0"/>
                <color theme="0"/>
              </font>
              <fill>
                <patternFill>
                  <bgColor rgb="FFFFC000"/>
                </patternFill>
              </fill>
            </x14:dxf>
          </x14:cfRule>
          <x14:cfRule type="expression" priority="33" id="{BFCBEF6F-CBCB-48BF-BB21-58E638A31758}">
            <xm:f>$M215=FilterSpecs!$F$6</xm:f>
            <x14:dxf>
              <font>
                <b val="0"/>
                <i val="0"/>
              </font>
              <fill>
                <patternFill patternType="none">
                  <bgColor auto="1"/>
                </patternFill>
              </fill>
            </x14:dxf>
          </x14:cfRule>
          <x14:cfRule type="expression" priority="34" id="{A2CC7287-5DF6-4524-93C3-E5B2A2C65FE7}">
            <xm:f>$M215=FilterSpecs!$F$7</xm:f>
            <x14:dxf>
              <font>
                <b/>
                <i val="0"/>
                <color theme="0"/>
              </font>
              <fill>
                <patternFill>
                  <bgColor rgb="FF00B0F0"/>
                </patternFill>
              </fill>
            </x14:dxf>
          </x14:cfRule>
          <xm:sqref>F215:F229</xm:sqref>
        </x14:conditionalFormatting>
        <x14:conditionalFormatting xmlns:xm="http://schemas.microsoft.com/office/excel/2006/main">
          <x14:cfRule type="expression" priority="51" id="{9BE74E7D-C338-4F55-B7AA-F70FF43470FB}">
            <xm:f>$M215=FilterSpecs!$F$13</xm:f>
            <x14:dxf>
              <font>
                <b/>
                <i val="0"/>
                <color theme="0"/>
              </font>
              <fill>
                <patternFill>
                  <bgColor theme="9" tint="-0.499984740745262"/>
                </patternFill>
              </fill>
            </x14:dxf>
          </x14:cfRule>
          <x14:cfRule type="expression" priority="52" id="{96ECE4F8-E966-4F5F-9D34-E6835C378C3E}">
            <xm:f>$M215=FilterSpecs!$F$12</xm:f>
            <x14:dxf>
              <font>
                <b/>
                <i val="0"/>
                <color theme="0"/>
              </font>
              <fill>
                <patternFill>
                  <bgColor rgb="FFEC6E6E"/>
                </patternFill>
              </fill>
            </x14:dxf>
          </x14:cfRule>
          <x14:cfRule type="expression" priority="53" id="{DD720455-62D2-4017-8372-1F2B3A612162}">
            <xm:f>$M215=FilterSpecs!$F$11</xm:f>
            <x14:dxf>
              <font>
                <b/>
                <i val="0"/>
                <color theme="0"/>
              </font>
              <fill>
                <patternFill>
                  <bgColor rgb="FF00B050"/>
                </patternFill>
              </fill>
            </x14:dxf>
          </x14:cfRule>
          <x14:cfRule type="expression" priority="54" id="{3449169C-0EEC-4861-967C-7BE2920C2F94}">
            <xm:f>$M215=FilterSpecs!$F$10</xm:f>
            <x14:dxf>
              <font>
                <b/>
                <i val="0"/>
                <color theme="0"/>
              </font>
              <fill>
                <patternFill>
                  <bgColor rgb="FF002060"/>
                </patternFill>
              </fill>
            </x14:dxf>
          </x14:cfRule>
          <x14:cfRule type="expression" priority="55" id="{3D38DD6C-2EF7-49B7-B1AE-8505A01DDEBD}">
            <xm:f>$M215=FilterSpecs!$F$9</xm:f>
            <x14:dxf>
              <font>
                <b/>
                <i val="0"/>
                <color theme="0"/>
              </font>
              <fill>
                <patternFill>
                  <bgColor rgb="FFFF0000"/>
                </patternFill>
              </fill>
            </x14:dxf>
          </x14:cfRule>
          <x14:cfRule type="expression" priority="56" id="{9AB924D5-2130-4340-9F2D-E58FCA06A403}">
            <xm:f>$M215=FilterSpecs!$F$8</xm:f>
            <x14:dxf>
              <font>
                <b/>
                <i val="0"/>
                <color theme="0"/>
              </font>
              <fill>
                <patternFill>
                  <bgColor rgb="FFFFC000"/>
                </patternFill>
              </fill>
            </x14:dxf>
          </x14:cfRule>
          <x14:cfRule type="expression" priority="57" id="{257F424C-470B-451B-A188-9B78ADD8C4C0}">
            <xm:f>$M215=FilterSpecs!$F$6</xm:f>
            <x14:dxf>
              <font>
                <b val="0"/>
                <i val="0"/>
              </font>
              <fill>
                <patternFill patternType="none">
                  <bgColor auto="1"/>
                </patternFill>
              </fill>
            </x14:dxf>
          </x14:cfRule>
          <x14:cfRule type="expression" priority="58" id="{97EE0BE3-B9BF-43A6-B3C6-BA4C588602AD}">
            <xm:f>$M215=FilterSpecs!$F$7</xm:f>
            <x14:dxf>
              <font>
                <b/>
                <i val="0"/>
                <color theme="0"/>
              </font>
              <fill>
                <patternFill>
                  <bgColor rgb="FF00B0F0"/>
                </patternFill>
              </fill>
            </x14:dxf>
          </x14:cfRule>
          <xm:sqref>A215:C229</xm:sqref>
        </x14:conditionalFormatting>
        <x14:conditionalFormatting xmlns:xm="http://schemas.microsoft.com/office/excel/2006/main">
          <x14:cfRule type="expression" priority="19" id="{719CF247-BA8C-4AE6-906F-7D84646BFA11}">
            <xm:f>#REF!=FilterSpecs!$F$13</xm:f>
            <x14:dxf>
              <font>
                <b/>
                <i val="0"/>
                <color theme="0"/>
              </font>
              <fill>
                <patternFill>
                  <bgColor theme="9" tint="-0.499984740745262"/>
                </patternFill>
              </fill>
            </x14:dxf>
          </x14:cfRule>
          <x14:cfRule type="expression" priority="20" id="{46D3E810-B28F-467B-BFC3-E8DF13779DFB}">
            <xm:f>#REF!=FilterSpecs!$F$11</xm:f>
            <x14:dxf>
              <font>
                <b/>
                <i val="0"/>
                <color theme="0"/>
              </font>
              <fill>
                <patternFill>
                  <bgColor rgb="FF00B050"/>
                </patternFill>
              </fill>
            </x14:dxf>
          </x14:cfRule>
          <x14:cfRule type="expression" priority="21" id="{278CC0B0-1C39-4AFE-85C5-824CF429FE99}">
            <xm:f>#REF!=FilterSpecs!$F$10</xm:f>
            <x14:dxf>
              <font>
                <b/>
                <i val="0"/>
                <color theme="0"/>
              </font>
              <fill>
                <patternFill>
                  <bgColor rgb="FF002060"/>
                </patternFill>
              </fill>
            </x14:dxf>
          </x14:cfRule>
          <x14:cfRule type="expression" priority="22" id="{59C9EC8E-23CB-4568-867C-2CA32EEEB116}">
            <xm:f>#REF!=FilterSpecs!$F$9</xm:f>
            <x14:dxf>
              <font>
                <b/>
                <i val="0"/>
                <color theme="0"/>
              </font>
              <fill>
                <patternFill>
                  <bgColor rgb="FFFF0000"/>
                </patternFill>
              </fill>
            </x14:dxf>
          </x14:cfRule>
          <x14:cfRule type="expression" priority="23" id="{A033566C-AA9B-4DC4-8A95-707361919613}">
            <xm:f>#REF!=FilterSpecs!$F$8</xm:f>
            <x14:dxf>
              <font>
                <b/>
                <i val="0"/>
                <color theme="0"/>
              </font>
              <fill>
                <patternFill>
                  <bgColor rgb="FFFFC000"/>
                </patternFill>
              </fill>
            </x14:dxf>
          </x14:cfRule>
          <x14:cfRule type="expression" priority="24" id="{4B1CE739-CE0D-43AA-A0C8-A023DBA5CD5C}">
            <xm:f>#REF!=FilterSpecs!$F$6</xm:f>
            <x14:dxf>
              <font>
                <b val="0"/>
                <i val="0"/>
              </font>
              <fill>
                <patternFill patternType="none">
                  <bgColor auto="1"/>
                </patternFill>
              </fill>
            </x14:dxf>
          </x14:cfRule>
          <x14:cfRule type="expression" priority="25" id="{7BC6DAD5-B7EF-41A0-AD4F-40FB6DCAE6DA}">
            <xm:f>#REF!=FilterSpecs!$F$7</xm:f>
            <x14:dxf>
              <font>
                <b/>
                <i val="0"/>
                <color theme="0"/>
              </font>
              <fill>
                <patternFill>
                  <bgColor rgb="FF00B0F0"/>
                </patternFill>
              </fill>
            </x14:dxf>
          </x14:cfRule>
          <xm:sqref>B260 B264:B268 B262 B234:B238 B240:B250</xm:sqref>
        </x14:conditionalFormatting>
        <x14:conditionalFormatting xmlns:xm="http://schemas.microsoft.com/office/excel/2006/main">
          <x14:cfRule type="expression" priority="10" id="{2F4F7889-847A-4F72-9A8F-74C8850E99E1}">
            <xm:f>$L190=FilterSpecs!$F$13</xm:f>
            <x14:dxf>
              <font>
                <b/>
                <i val="0"/>
                <color theme="0"/>
              </font>
              <fill>
                <patternFill>
                  <bgColor theme="9" tint="-0.499984740745262"/>
                </patternFill>
              </fill>
            </x14:dxf>
          </x14:cfRule>
          <x14:cfRule type="expression" priority="11" id="{ED919FA5-A148-4EAC-BAD8-344ACAB0F228}">
            <xm:f>$L190=FilterSpecs!$F$11</xm:f>
            <x14:dxf>
              <font>
                <b/>
                <i val="0"/>
                <color theme="0"/>
              </font>
              <fill>
                <patternFill>
                  <bgColor rgb="FF00B050"/>
                </patternFill>
              </fill>
            </x14:dxf>
          </x14:cfRule>
          <x14:cfRule type="expression" priority="12" id="{4012F652-B45B-43A4-8739-31748EDF18B9}">
            <xm:f>$L190=FilterSpecs!$F$10</xm:f>
            <x14:dxf>
              <font>
                <b/>
                <i val="0"/>
                <color theme="0"/>
              </font>
              <fill>
                <patternFill>
                  <bgColor rgb="FF002060"/>
                </patternFill>
              </fill>
            </x14:dxf>
          </x14:cfRule>
          <x14:cfRule type="expression" priority="13" id="{6E37EFD0-5588-4907-9EFA-38797569EEB1}">
            <xm:f>$L190=FilterSpecs!$F$9</xm:f>
            <x14:dxf>
              <font>
                <b/>
                <i val="0"/>
                <color theme="0"/>
              </font>
              <fill>
                <patternFill>
                  <bgColor rgb="FFFF0000"/>
                </patternFill>
              </fill>
            </x14:dxf>
          </x14:cfRule>
          <x14:cfRule type="expression" priority="14" id="{05D35186-550B-47A2-808B-19258F71DFDC}">
            <xm:f>$L190=FilterSpecs!$F$8</xm:f>
            <x14:dxf>
              <font>
                <b/>
                <i val="0"/>
                <color theme="0"/>
              </font>
              <fill>
                <patternFill>
                  <bgColor rgb="FFFFC000"/>
                </patternFill>
              </fill>
            </x14:dxf>
          </x14:cfRule>
          <x14:cfRule type="expression" priority="15" id="{4A33FDF7-4882-4B9B-9034-8AA0B8617619}">
            <xm:f>$L190=FilterSpecs!$F$6</xm:f>
            <x14:dxf>
              <font>
                <b val="0"/>
                <i val="0"/>
              </font>
              <fill>
                <patternFill patternType="none">
                  <bgColor auto="1"/>
                </patternFill>
              </fill>
            </x14:dxf>
          </x14:cfRule>
          <x14:cfRule type="expression" priority="16" id="{3356DDDD-63EA-4F29-ADF0-3F54DDD4DD7C}">
            <xm:f>$L190=FilterSpecs!$F$7</xm:f>
            <x14:dxf>
              <font>
                <b/>
                <i val="0"/>
                <color theme="0"/>
              </font>
              <fill>
                <patternFill>
                  <bgColor rgb="FF00B0F0"/>
                </patternFill>
              </fill>
            </x14:dxf>
          </x14:cfRule>
          <xm:sqref>A190:B190 D190:Y190</xm:sqref>
        </x14:conditionalFormatting>
        <x14:conditionalFormatting xmlns:xm="http://schemas.microsoft.com/office/excel/2006/main">
          <x14:cfRule type="expression" priority="2" id="{26971DE6-DAA8-497F-8DEC-8FB100F0B276}">
            <xm:f>$L190=FilterSpecs!$F$13</xm:f>
            <x14:dxf>
              <font>
                <b/>
                <i val="0"/>
                <color theme="0"/>
              </font>
              <fill>
                <patternFill>
                  <bgColor theme="9" tint="-0.499984740745262"/>
                </patternFill>
              </fill>
            </x14:dxf>
          </x14:cfRule>
          <x14:cfRule type="expression" priority="3" id="{01EC1F30-E9F6-4C84-85A0-B855AE95A766}">
            <xm:f>$L190=FilterSpecs!$F$11</xm:f>
            <x14:dxf>
              <font>
                <b/>
                <i val="0"/>
                <color theme="0"/>
              </font>
              <fill>
                <patternFill>
                  <bgColor rgb="FF00B050"/>
                </patternFill>
              </fill>
            </x14:dxf>
          </x14:cfRule>
          <x14:cfRule type="expression" priority="4" id="{375A695E-9251-48D2-96E0-E4895630FA86}">
            <xm:f>$L190=FilterSpecs!$F$10</xm:f>
            <x14:dxf>
              <font>
                <b/>
                <i val="0"/>
                <color theme="0"/>
              </font>
              <fill>
                <patternFill>
                  <bgColor rgb="FF002060"/>
                </patternFill>
              </fill>
            </x14:dxf>
          </x14:cfRule>
          <x14:cfRule type="expression" priority="5" id="{2B24433D-EA6A-46BE-945C-5475E28AE543}">
            <xm:f>$L190=FilterSpecs!$F$9</xm:f>
            <x14:dxf>
              <font>
                <b/>
                <i val="0"/>
                <color theme="0"/>
              </font>
              <fill>
                <patternFill>
                  <bgColor rgb="FFFF0000"/>
                </patternFill>
              </fill>
            </x14:dxf>
          </x14:cfRule>
          <x14:cfRule type="expression" priority="6" id="{4EE9E4AA-FBD3-428F-A9C7-185FA7AA11D4}">
            <xm:f>$L190=FilterSpecs!$F$8</xm:f>
            <x14:dxf>
              <font>
                <b/>
                <i val="0"/>
                <color theme="0"/>
              </font>
              <fill>
                <patternFill>
                  <bgColor rgb="FFFFC000"/>
                </patternFill>
              </fill>
            </x14:dxf>
          </x14:cfRule>
          <x14:cfRule type="expression" priority="7" id="{790F9981-C612-43F9-BFEE-73672C310D1C}">
            <xm:f>$L190=FilterSpecs!$F$6</xm:f>
            <x14:dxf>
              <font>
                <b val="0"/>
                <i val="0"/>
              </font>
              <fill>
                <patternFill patternType="none">
                  <bgColor auto="1"/>
                </patternFill>
              </fill>
            </x14:dxf>
          </x14:cfRule>
          <x14:cfRule type="expression" priority="8" id="{D9C8C971-117E-4A74-8199-620C3EA64719}">
            <xm:f>$L190=FilterSpecs!$F$7</xm:f>
            <x14:dxf>
              <font>
                <b/>
                <i val="0"/>
                <color theme="0"/>
              </font>
              <fill>
                <patternFill>
                  <bgColor rgb="FF00B0F0"/>
                </patternFill>
              </fill>
            </x14:dxf>
          </x14:cfRule>
          <xm:sqref>C190</xm:sqref>
        </x14:conditionalFormatting>
      </x14:conditionalFormattings>
    </ext>
    <ext xmlns:x15="http://schemas.microsoft.com/office/spreadsheetml/2010/11/main" uri="{3A4CF648-6AED-40f4-86FF-DC5316D8AED3}">
      <x14:slicerList xmlns:x14="http://schemas.microsoft.com/office/spreadsheetml/2009/9/main">
        <x14:slicer r:id="rId5"/>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65B111-5FD6-45FF-92FB-19E5A75AE5C7}">
  <sheetPr codeName="Sheet6"/>
  <dimension ref="A1:W167"/>
  <sheetViews>
    <sheetView topLeftCell="A28" zoomScale="115" zoomScaleNormal="115" workbookViewId="0">
      <selection activeCell="E83" sqref="E83"/>
    </sheetView>
  </sheetViews>
  <sheetFormatPr defaultRowHeight="15" x14ac:dyDescent="0.25"/>
  <cols>
    <col min="1" max="1" width="19.42578125" customWidth="1"/>
    <col min="2" max="2" width="69.7109375" customWidth="1"/>
    <col min="3" max="3" width="6.42578125" customWidth="1"/>
    <col min="4" max="4" width="13" bestFit="1" customWidth="1"/>
    <col min="5" max="5" width="8" customWidth="1"/>
    <col min="6" max="6" width="14.85546875" bestFit="1" customWidth="1"/>
    <col min="7" max="7" width="11.42578125" bestFit="1" customWidth="1"/>
    <col min="8" max="8" width="10.5703125" customWidth="1"/>
    <col min="10" max="10" width="12.28515625" customWidth="1"/>
    <col min="11" max="11" width="103.28515625" customWidth="1"/>
    <col min="12" max="15" width="11.28515625" customWidth="1"/>
    <col min="16" max="23" width="12.28515625" customWidth="1"/>
  </cols>
  <sheetData>
    <row r="1" spans="1:23" ht="19.899999999999999" customHeight="1" x14ac:dyDescent="0.25">
      <c r="A1" s="56" t="s">
        <v>986</v>
      </c>
      <c r="B1" s="56" t="b">
        <v>0</v>
      </c>
      <c r="C1" s="56" t="s">
        <v>1933</v>
      </c>
      <c r="D1" s="172" t="s">
        <v>7</v>
      </c>
      <c r="E1" s="172"/>
      <c r="F1" s="172"/>
      <c r="G1" s="172"/>
      <c r="H1" s="57"/>
      <c r="I1" s="57"/>
      <c r="J1" s="57"/>
      <c r="K1" s="57"/>
      <c r="L1" s="57"/>
      <c r="M1" s="57"/>
      <c r="N1" s="57"/>
      <c r="O1" s="57"/>
      <c r="P1" s="57"/>
      <c r="Q1" s="57"/>
      <c r="R1" s="57"/>
      <c r="S1" s="57"/>
      <c r="T1" s="57"/>
      <c r="U1" s="57"/>
      <c r="V1" s="57"/>
      <c r="W1" s="57"/>
    </row>
    <row r="2" spans="1:23" x14ac:dyDescent="0.25">
      <c r="A2" t="s">
        <v>886</v>
      </c>
      <c r="B2" t="s">
        <v>156</v>
      </c>
      <c r="C2" t="s">
        <v>1931</v>
      </c>
      <c r="D2" t="s">
        <v>1914</v>
      </c>
      <c r="E2" t="s">
        <v>1913</v>
      </c>
      <c r="F2" t="s">
        <v>1915</v>
      </c>
      <c r="G2" t="s">
        <v>1929</v>
      </c>
      <c r="H2" t="s">
        <v>1910</v>
      </c>
      <c r="I2" t="s">
        <v>9</v>
      </c>
      <c r="J2" t="s">
        <v>8</v>
      </c>
      <c r="K2" t="s">
        <v>1916</v>
      </c>
      <c r="L2" t="s">
        <v>1917</v>
      </c>
      <c r="M2" t="s">
        <v>1918</v>
      </c>
      <c r="N2" t="s">
        <v>1919</v>
      </c>
      <c r="O2" t="s">
        <v>1920</v>
      </c>
      <c r="P2" t="s">
        <v>1921</v>
      </c>
      <c r="Q2" t="s">
        <v>1922</v>
      </c>
      <c r="R2" t="s">
        <v>1923</v>
      </c>
      <c r="S2" t="s">
        <v>1924</v>
      </c>
      <c r="T2" t="s">
        <v>1925</v>
      </c>
      <c r="U2" t="s">
        <v>1926</v>
      </c>
      <c r="V2" t="s">
        <v>1927</v>
      </c>
      <c r="W2" t="s">
        <v>1928</v>
      </c>
    </row>
    <row r="3" spans="1:23" x14ac:dyDescent="0.25">
      <c r="A3" t="s">
        <v>1911</v>
      </c>
      <c r="B3" t="e">
        <f>#REF!</f>
        <v>#REF!</v>
      </c>
      <c r="C3" s="29" t="e">
        <f>#REF!</f>
        <v>#REF!</v>
      </c>
      <c r="D3">
        <v>1</v>
      </c>
      <c r="H3">
        <v>1</v>
      </c>
    </row>
    <row r="4" spans="1:23" x14ac:dyDescent="0.25">
      <c r="A4" t="s">
        <v>1911</v>
      </c>
      <c r="B4" t="e">
        <f>#REF!</f>
        <v>#REF!</v>
      </c>
      <c r="C4" s="29" t="e">
        <f>#REF!</f>
        <v>#REF!</v>
      </c>
      <c r="G4">
        <v>1</v>
      </c>
    </row>
    <row r="5" spans="1:23" x14ac:dyDescent="0.25">
      <c r="A5" t="s">
        <v>1911</v>
      </c>
      <c r="B5" t="e">
        <f>#REF!</f>
        <v>#REF!</v>
      </c>
      <c r="C5" s="29" t="e">
        <f>#REF!</f>
        <v>#REF!</v>
      </c>
      <c r="E5">
        <v>1</v>
      </c>
      <c r="F5">
        <v>1</v>
      </c>
      <c r="G5">
        <v>1</v>
      </c>
      <c r="H5">
        <v>1</v>
      </c>
    </row>
    <row r="6" spans="1:23" x14ac:dyDescent="0.25">
      <c r="A6" t="s">
        <v>1911</v>
      </c>
      <c r="B6" t="e">
        <f>#REF!</f>
        <v>#REF!</v>
      </c>
      <c r="C6" s="29" t="e">
        <f>#REF!</f>
        <v>#REF!</v>
      </c>
      <c r="G6">
        <v>1</v>
      </c>
      <c r="H6">
        <v>1</v>
      </c>
    </row>
    <row r="7" spans="1:23" x14ac:dyDescent="0.25">
      <c r="A7" t="s">
        <v>1911</v>
      </c>
      <c r="B7" t="e">
        <f>#REF!</f>
        <v>#REF!</v>
      </c>
      <c r="C7" s="29" t="e">
        <f>#REF!</f>
        <v>#REF!</v>
      </c>
      <c r="H7">
        <v>1</v>
      </c>
    </row>
    <row r="8" spans="1:23" x14ac:dyDescent="0.25">
      <c r="A8" t="s">
        <v>1911</v>
      </c>
      <c r="B8" t="e">
        <f>#REF!</f>
        <v>#REF!</v>
      </c>
      <c r="C8" s="29" t="e">
        <f>#REF!</f>
        <v>#REF!</v>
      </c>
      <c r="H8">
        <v>1</v>
      </c>
    </row>
    <row r="9" spans="1:23" x14ac:dyDescent="0.25">
      <c r="A9" t="s">
        <v>1911</v>
      </c>
      <c r="B9" t="e">
        <f>#REF!</f>
        <v>#REF!</v>
      </c>
      <c r="C9" s="29" t="e">
        <f>#REF!</f>
        <v>#REF!</v>
      </c>
      <c r="H9">
        <v>1</v>
      </c>
    </row>
    <row r="10" spans="1:23" x14ac:dyDescent="0.25">
      <c r="A10" t="s">
        <v>1911</v>
      </c>
      <c r="B10" s="58" t="e">
        <f>#REF!</f>
        <v>#REF!</v>
      </c>
      <c r="C10" s="29" t="e">
        <f>#REF!</f>
        <v>#REF!</v>
      </c>
    </row>
    <row r="11" spans="1:23" x14ac:dyDescent="0.25">
      <c r="A11" t="s">
        <v>1911</v>
      </c>
      <c r="B11" t="e">
        <f>#REF!</f>
        <v>#REF!</v>
      </c>
      <c r="C11" s="29" t="e">
        <f>#REF!</f>
        <v>#REF!</v>
      </c>
      <c r="D11">
        <v>1</v>
      </c>
      <c r="E11">
        <v>1</v>
      </c>
      <c r="F11">
        <v>1</v>
      </c>
      <c r="I11">
        <v>1</v>
      </c>
      <c r="J11">
        <v>1</v>
      </c>
    </row>
    <row r="12" spans="1:23" x14ac:dyDescent="0.25">
      <c r="A12" t="s">
        <v>1911</v>
      </c>
      <c r="B12" t="e">
        <f>#REF!</f>
        <v>#REF!</v>
      </c>
      <c r="C12" s="29" t="e">
        <f>#REF!</f>
        <v>#REF!</v>
      </c>
      <c r="E12">
        <v>1</v>
      </c>
      <c r="F12">
        <v>1</v>
      </c>
    </row>
    <row r="13" spans="1:23" x14ac:dyDescent="0.25">
      <c r="A13" t="s">
        <v>1911</v>
      </c>
      <c r="B13" t="e">
        <f>#REF!</f>
        <v>#REF!</v>
      </c>
      <c r="C13" s="29" t="e">
        <f>#REF!</f>
        <v>#REF!</v>
      </c>
      <c r="D13">
        <v>1</v>
      </c>
      <c r="E13">
        <v>1</v>
      </c>
      <c r="F13" t="s">
        <v>1930</v>
      </c>
    </row>
    <row r="14" spans="1:23" x14ac:dyDescent="0.25">
      <c r="A14" t="s">
        <v>1911</v>
      </c>
      <c r="B14" t="e">
        <f>#REF!</f>
        <v>#REF!</v>
      </c>
      <c r="C14" s="29" t="e">
        <f>#REF!</f>
        <v>#REF!</v>
      </c>
      <c r="D14">
        <v>1</v>
      </c>
    </row>
    <row r="15" spans="1:23" x14ac:dyDescent="0.25">
      <c r="A15" t="s">
        <v>1911</v>
      </c>
      <c r="B15" t="e">
        <f>#REF!</f>
        <v>#REF!</v>
      </c>
      <c r="C15" s="29" t="e">
        <f>#REF!</f>
        <v>#REF!</v>
      </c>
      <c r="D15">
        <v>1</v>
      </c>
    </row>
    <row r="16" spans="1:23" x14ac:dyDescent="0.25">
      <c r="A16" t="s">
        <v>1911</v>
      </c>
      <c r="B16" t="e">
        <f>#REF!</f>
        <v>#REF!</v>
      </c>
      <c r="C16" s="29" t="e">
        <f>#REF!</f>
        <v>#REF!</v>
      </c>
      <c r="E16">
        <v>1</v>
      </c>
      <c r="F16" t="s">
        <v>1930</v>
      </c>
    </row>
    <row r="17" spans="1:7" x14ac:dyDescent="0.25">
      <c r="A17" t="s">
        <v>1911</v>
      </c>
      <c r="B17" t="e">
        <f>#REF!</f>
        <v>#REF!</v>
      </c>
      <c r="C17" s="29" t="e">
        <f>#REF!</f>
        <v>#REF!</v>
      </c>
      <c r="G17">
        <v>1</v>
      </c>
    </row>
    <row r="18" spans="1:7" x14ac:dyDescent="0.25">
      <c r="A18" t="s">
        <v>1911</v>
      </c>
      <c r="B18" t="e">
        <f>#REF!</f>
        <v>#REF!</v>
      </c>
      <c r="C18" s="29" t="e">
        <f>#REF!</f>
        <v>#REF!</v>
      </c>
      <c r="G18">
        <v>1</v>
      </c>
    </row>
    <row r="19" spans="1:7" x14ac:dyDescent="0.25">
      <c r="A19" t="s">
        <v>1911</v>
      </c>
      <c r="B19" t="e">
        <f>#REF!</f>
        <v>#REF!</v>
      </c>
      <c r="C19" s="29" t="e">
        <f>#REF!</f>
        <v>#REF!</v>
      </c>
      <c r="G19">
        <v>1</v>
      </c>
    </row>
    <row r="20" spans="1:7" x14ac:dyDescent="0.25">
      <c r="A20" t="s">
        <v>1911</v>
      </c>
      <c r="B20" t="e">
        <f>#REF!</f>
        <v>#REF!</v>
      </c>
      <c r="C20" s="29" t="e">
        <f>#REF!</f>
        <v>#REF!</v>
      </c>
      <c r="G20">
        <v>1</v>
      </c>
    </row>
    <row r="21" spans="1:7" x14ac:dyDescent="0.25">
      <c r="A21" t="s">
        <v>1911</v>
      </c>
      <c r="B21" t="e">
        <f>#REF!</f>
        <v>#REF!</v>
      </c>
      <c r="C21" s="29" t="e">
        <f>#REF!</f>
        <v>#REF!</v>
      </c>
      <c r="G21">
        <v>1</v>
      </c>
    </row>
    <row r="22" spans="1:7" x14ac:dyDescent="0.25">
      <c r="A22" t="s">
        <v>1911</v>
      </c>
      <c r="B22" t="e">
        <f>#REF!</f>
        <v>#REF!</v>
      </c>
      <c r="C22" s="29" t="e">
        <f>#REF!</f>
        <v>#REF!</v>
      </c>
      <c r="G22">
        <v>1</v>
      </c>
    </row>
    <row r="23" spans="1:7" x14ac:dyDescent="0.25">
      <c r="A23" t="s">
        <v>1911</v>
      </c>
      <c r="B23" t="e">
        <f>#REF!</f>
        <v>#REF!</v>
      </c>
      <c r="C23" s="29" t="e">
        <f>#REF!</f>
        <v>#REF!</v>
      </c>
      <c r="G23">
        <v>1</v>
      </c>
    </row>
    <row r="24" spans="1:7" x14ac:dyDescent="0.25">
      <c r="A24" t="s">
        <v>1911</v>
      </c>
      <c r="B24" t="e">
        <f>#REF!</f>
        <v>#REF!</v>
      </c>
      <c r="C24" s="29" t="e">
        <f>#REF!</f>
        <v>#REF!</v>
      </c>
      <c r="G24">
        <v>1</v>
      </c>
    </row>
    <row r="25" spans="1:7" x14ac:dyDescent="0.25">
      <c r="A25" t="s">
        <v>1911</v>
      </c>
      <c r="B25" t="e">
        <f>#REF!</f>
        <v>#REF!</v>
      </c>
      <c r="C25" s="29" t="e">
        <f>#REF!</f>
        <v>#REF!</v>
      </c>
      <c r="G25">
        <v>1</v>
      </c>
    </row>
    <row r="26" spans="1:7" x14ac:dyDescent="0.25">
      <c r="A26" t="s">
        <v>1911</v>
      </c>
      <c r="B26" t="e">
        <f>#REF!</f>
        <v>#REF!</v>
      </c>
      <c r="C26" s="29" t="e">
        <f>#REF!</f>
        <v>#REF!</v>
      </c>
      <c r="G26">
        <v>1</v>
      </c>
    </row>
    <row r="27" spans="1:7" x14ac:dyDescent="0.25">
      <c r="A27" t="s">
        <v>1911</v>
      </c>
      <c r="B27" t="e">
        <f>#REF!</f>
        <v>#REF!</v>
      </c>
      <c r="C27" s="29" t="e">
        <f>#REF!</f>
        <v>#REF!</v>
      </c>
      <c r="G27">
        <v>1</v>
      </c>
    </row>
    <row r="28" spans="1:7" x14ac:dyDescent="0.25">
      <c r="A28" t="s">
        <v>1911</v>
      </c>
      <c r="B28" t="e">
        <f>#REF!</f>
        <v>#REF!</v>
      </c>
      <c r="C28" s="29" t="e">
        <f>#REF!</f>
        <v>#REF!</v>
      </c>
      <c r="G28">
        <v>1</v>
      </c>
    </row>
    <row r="29" spans="1:7" x14ac:dyDescent="0.25">
      <c r="A29" t="s">
        <v>1911</v>
      </c>
      <c r="B29" t="e">
        <f>#REF!</f>
        <v>#REF!</v>
      </c>
      <c r="C29" s="29" t="e">
        <f>#REF!</f>
        <v>#REF!</v>
      </c>
      <c r="G29">
        <v>1</v>
      </c>
    </row>
    <row r="30" spans="1:7" x14ac:dyDescent="0.25">
      <c r="A30" t="s">
        <v>1911</v>
      </c>
      <c r="B30" t="e">
        <f>#REF!</f>
        <v>#REF!</v>
      </c>
      <c r="C30" s="29" t="e">
        <f>#REF!</f>
        <v>#REF!</v>
      </c>
      <c r="G30">
        <v>1</v>
      </c>
    </row>
    <row r="31" spans="1:7" x14ac:dyDescent="0.25">
      <c r="A31" t="s">
        <v>1911</v>
      </c>
      <c r="B31" t="e">
        <f>#REF!</f>
        <v>#REF!</v>
      </c>
      <c r="C31" s="29" t="e">
        <f>#REF!</f>
        <v>#REF!</v>
      </c>
      <c r="G31">
        <v>1</v>
      </c>
    </row>
    <row r="32" spans="1:7" x14ac:dyDescent="0.25">
      <c r="A32" t="s">
        <v>1911</v>
      </c>
      <c r="B32" t="e">
        <f>#REF!</f>
        <v>#REF!</v>
      </c>
      <c r="C32" s="29" t="e">
        <f>#REF!</f>
        <v>#REF!</v>
      </c>
      <c r="G32">
        <v>1</v>
      </c>
    </row>
    <row r="33" spans="1:9" x14ac:dyDescent="0.25">
      <c r="A33" t="s">
        <v>1911</v>
      </c>
      <c r="B33" t="e">
        <f>#REF!</f>
        <v>#REF!</v>
      </c>
      <c r="C33" s="29" t="e">
        <f>#REF!</f>
        <v>#REF!</v>
      </c>
      <c r="E33">
        <v>1</v>
      </c>
      <c r="I33">
        <v>1</v>
      </c>
    </row>
    <row r="34" spans="1:9" x14ac:dyDescent="0.25">
      <c r="A34" t="s">
        <v>1911</v>
      </c>
      <c r="B34" t="e">
        <f>#REF!</f>
        <v>#REF!</v>
      </c>
      <c r="C34" s="29" t="e">
        <f>#REF!</f>
        <v>#REF!</v>
      </c>
      <c r="G34">
        <v>1</v>
      </c>
      <c r="I34">
        <v>1</v>
      </c>
    </row>
    <row r="35" spans="1:9" x14ac:dyDescent="0.25">
      <c r="A35" t="s">
        <v>1912</v>
      </c>
      <c r="B35" t="s">
        <v>359</v>
      </c>
      <c r="C35" t="e">
        <f>#REF!</f>
        <v>#REF!</v>
      </c>
      <c r="G35">
        <v>1</v>
      </c>
    </row>
    <row r="36" spans="1:9" x14ac:dyDescent="0.25">
      <c r="A36" t="s">
        <v>1912</v>
      </c>
      <c r="B36" t="s">
        <v>1176</v>
      </c>
      <c r="C36" t="e">
        <f>#REF!</f>
        <v>#REF!</v>
      </c>
      <c r="G36">
        <v>1</v>
      </c>
    </row>
    <row r="37" spans="1:9" x14ac:dyDescent="0.25">
      <c r="A37" t="s">
        <v>1912</v>
      </c>
      <c r="B37" t="s">
        <v>1180</v>
      </c>
      <c r="C37" t="e">
        <f>#REF!</f>
        <v>#REF!</v>
      </c>
      <c r="G37">
        <v>1</v>
      </c>
    </row>
    <row r="38" spans="1:9" x14ac:dyDescent="0.25">
      <c r="A38" t="s">
        <v>1912</v>
      </c>
      <c r="B38" t="s">
        <v>1816</v>
      </c>
      <c r="C38" t="e">
        <f>#REF!</f>
        <v>#REF!</v>
      </c>
      <c r="G38">
        <v>1</v>
      </c>
    </row>
    <row r="39" spans="1:9" x14ac:dyDescent="0.25">
      <c r="A39" t="s">
        <v>1912</v>
      </c>
      <c r="B39" t="s">
        <v>1776</v>
      </c>
      <c r="C39" t="e">
        <f>#REF!</f>
        <v>#REF!</v>
      </c>
      <c r="G39">
        <v>1</v>
      </c>
    </row>
    <row r="40" spans="1:9" ht="45" x14ac:dyDescent="0.25">
      <c r="A40" t="s">
        <v>1058</v>
      </c>
      <c r="B40" t="s">
        <v>1516</v>
      </c>
      <c r="C40" t="e">
        <f>#REF!</f>
        <v>#REF!</v>
      </c>
      <c r="D40">
        <v>1</v>
      </c>
      <c r="F40" t="s">
        <v>1932</v>
      </c>
    </row>
    <row r="41" spans="1:9" ht="45" x14ac:dyDescent="0.25">
      <c r="A41" t="s">
        <v>1058</v>
      </c>
      <c r="B41" t="s">
        <v>964</v>
      </c>
      <c r="C41" t="e">
        <f>#REF!</f>
        <v>#REF!</v>
      </c>
      <c r="D41" t="s">
        <v>1932</v>
      </c>
      <c r="F41">
        <v>1</v>
      </c>
      <c r="G41">
        <v>1</v>
      </c>
    </row>
    <row r="42" spans="1:9" ht="45" x14ac:dyDescent="0.25">
      <c r="A42" t="s">
        <v>1058</v>
      </c>
      <c r="B42" t="s">
        <v>984</v>
      </c>
      <c r="C42" t="e">
        <f>#REF!</f>
        <v>#REF!</v>
      </c>
      <c r="G42">
        <v>1</v>
      </c>
      <c r="H42">
        <v>1</v>
      </c>
    </row>
    <row r="43" spans="1:9" ht="45" x14ac:dyDescent="0.25">
      <c r="A43" t="s">
        <v>1058</v>
      </c>
      <c r="B43" t="s">
        <v>948</v>
      </c>
      <c r="C43" t="e">
        <f>#REF!</f>
        <v>#REF!</v>
      </c>
      <c r="F43">
        <v>1</v>
      </c>
      <c r="G43">
        <v>1</v>
      </c>
    </row>
    <row r="44" spans="1:9" ht="45" x14ac:dyDescent="0.25">
      <c r="A44" t="s">
        <v>1058</v>
      </c>
      <c r="B44" t="s">
        <v>968</v>
      </c>
      <c r="C44" t="e">
        <f>#REF!</f>
        <v>#REF!</v>
      </c>
      <c r="G44">
        <v>1</v>
      </c>
    </row>
    <row r="45" spans="1:9" ht="45" x14ac:dyDescent="0.25">
      <c r="A45" t="s">
        <v>1058</v>
      </c>
      <c r="B45" t="s">
        <v>912</v>
      </c>
      <c r="C45" t="e">
        <f>#REF!</f>
        <v>#REF!</v>
      </c>
      <c r="G45">
        <v>1</v>
      </c>
    </row>
    <row r="46" spans="1:9" ht="45" x14ac:dyDescent="0.25">
      <c r="A46" t="s">
        <v>1058</v>
      </c>
      <c r="B46" t="s">
        <v>916</v>
      </c>
      <c r="C46" t="e">
        <f>#REF!</f>
        <v>#REF!</v>
      </c>
      <c r="G46">
        <v>1</v>
      </c>
    </row>
    <row r="47" spans="1:9" ht="45" x14ac:dyDescent="0.25">
      <c r="A47" t="s">
        <v>1058</v>
      </c>
      <c r="B47" t="s">
        <v>980</v>
      </c>
      <c r="C47" t="e">
        <f>#REF!</f>
        <v>#REF!</v>
      </c>
      <c r="G47">
        <v>1</v>
      </c>
    </row>
    <row r="48" spans="1:9" ht="45" x14ac:dyDescent="0.25">
      <c r="A48" t="s">
        <v>1058</v>
      </c>
      <c r="B48" t="s">
        <v>1772</v>
      </c>
      <c r="C48" t="e">
        <f>#REF!</f>
        <v>#REF!</v>
      </c>
      <c r="G48">
        <v>1</v>
      </c>
    </row>
    <row r="49" spans="1:10" ht="45" x14ac:dyDescent="0.25">
      <c r="A49" t="s">
        <v>1058</v>
      </c>
      <c r="B49" t="s">
        <v>1736</v>
      </c>
      <c r="C49" t="e">
        <f>#REF!</f>
        <v>#REF!</v>
      </c>
      <c r="G49">
        <v>1</v>
      </c>
    </row>
    <row r="50" spans="1:10" ht="45" x14ac:dyDescent="0.25">
      <c r="A50" t="s">
        <v>1058</v>
      </c>
      <c r="B50" t="s">
        <v>976</v>
      </c>
      <c r="C50" t="e">
        <f>#REF!</f>
        <v>#REF!</v>
      </c>
    </row>
    <row r="51" spans="1:10" ht="45" x14ac:dyDescent="0.25">
      <c r="A51" t="s">
        <v>1058</v>
      </c>
      <c r="B51" t="s">
        <v>972</v>
      </c>
      <c r="C51" t="e">
        <f>#REF!</f>
        <v>#REF!</v>
      </c>
      <c r="G51">
        <v>1</v>
      </c>
    </row>
    <row r="52" spans="1:10" ht="45" x14ac:dyDescent="0.25">
      <c r="A52" t="s">
        <v>1038</v>
      </c>
      <c r="B52" t="s">
        <v>355</v>
      </c>
      <c r="C52" t="e">
        <f>#REF!</f>
        <v>#REF!</v>
      </c>
      <c r="E52">
        <v>1</v>
      </c>
      <c r="F52">
        <v>1</v>
      </c>
      <c r="G52">
        <v>1</v>
      </c>
    </row>
    <row r="53" spans="1:10" ht="45" x14ac:dyDescent="0.25">
      <c r="A53" t="s">
        <v>1038</v>
      </c>
      <c r="B53" t="s">
        <v>1320</v>
      </c>
      <c r="C53" t="e">
        <f>#REF!</f>
        <v>#REF!</v>
      </c>
      <c r="D53">
        <v>1</v>
      </c>
      <c r="E53">
        <v>1</v>
      </c>
      <c r="I53">
        <v>1</v>
      </c>
      <c r="J53">
        <v>1</v>
      </c>
    </row>
    <row r="54" spans="1:10" ht="45" x14ac:dyDescent="0.25">
      <c r="A54" t="s">
        <v>1038</v>
      </c>
      <c r="B54" t="s">
        <v>1308</v>
      </c>
      <c r="C54" t="e">
        <f>#REF!</f>
        <v>#REF!</v>
      </c>
      <c r="G54">
        <v>1</v>
      </c>
    </row>
    <row r="55" spans="1:10" ht="45" x14ac:dyDescent="0.25">
      <c r="A55" t="s">
        <v>1038</v>
      </c>
      <c r="B55" t="s">
        <v>1312</v>
      </c>
      <c r="C55" t="e">
        <f>#REF!</f>
        <v>#REF!</v>
      </c>
      <c r="G55">
        <v>1</v>
      </c>
    </row>
    <row r="56" spans="1:10" ht="45" x14ac:dyDescent="0.25">
      <c r="A56" t="s">
        <v>1038</v>
      </c>
      <c r="B56" t="s">
        <v>1316</v>
      </c>
      <c r="C56" t="e">
        <f>#REF!</f>
        <v>#REF!</v>
      </c>
      <c r="G56">
        <v>1</v>
      </c>
    </row>
    <row r="57" spans="1:10" ht="45" x14ac:dyDescent="0.25">
      <c r="A57" t="s">
        <v>1038</v>
      </c>
      <c r="B57" t="s">
        <v>336</v>
      </c>
      <c r="C57" t="e">
        <f>#REF!</f>
        <v>#REF!</v>
      </c>
      <c r="E57">
        <v>1</v>
      </c>
    </row>
    <row r="58" spans="1:10" ht="45" x14ac:dyDescent="0.25">
      <c r="A58" t="s">
        <v>1038</v>
      </c>
      <c r="B58" t="s">
        <v>332</v>
      </c>
      <c r="C58" t="e">
        <f>#REF!</f>
        <v>#REF!</v>
      </c>
      <c r="E58">
        <v>1</v>
      </c>
      <c r="G58">
        <v>1</v>
      </c>
    </row>
    <row r="59" spans="1:10" ht="45" x14ac:dyDescent="0.25">
      <c r="A59" t="s">
        <v>1038</v>
      </c>
      <c r="B59" t="s">
        <v>296</v>
      </c>
      <c r="C59" t="e">
        <f>#REF!</f>
        <v>#REF!</v>
      </c>
      <c r="D59">
        <v>1</v>
      </c>
      <c r="E59">
        <v>1</v>
      </c>
      <c r="H59">
        <v>1</v>
      </c>
      <c r="I59">
        <v>1</v>
      </c>
      <c r="J59">
        <v>1</v>
      </c>
    </row>
    <row r="60" spans="1:10" ht="45" x14ac:dyDescent="0.25">
      <c r="A60" t="s">
        <v>1038</v>
      </c>
      <c r="B60" t="s">
        <v>316</v>
      </c>
      <c r="C60" t="e">
        <f>#REF!</f>
        <v>#REF!</v>
      </c>
      <c r="E60">
        <v>1</v>
      </c>
      <c r="G60">
        <v>1</v>
      </c>
    </row>
    <row r="61" spans="1:10" ht="45" x14ac:dyDescent="0.25">
      <c r="A61" t="s">
        <v>1038</v>
      </c>
      <c r="B61" t="s">
        <v>304</v>
      </c>
      <c r="C61" t="e">
        <f>#REF!</f>
        <v>#REF!</v>
      </c>
      <c r="G61">
        <v>1</v>
      </c>
    </row>
    <row r="62" spans="1:10" ht="45" x14ac:dyDescent="0.25">
      <c r="A62" t="s">
        <v>1038</v>
      </c>
      <c r="B62" t="s">
        <v>308</v>
      </c>
      <c r="C62" t="e">
        <f>#REF!</f>
        <v>#REF!</v>
      </c>
      <c r="G62">
        <v>1</v>
      </c>
    </row>
    <row r="63" spans="1:10" ht="45" x14ac:dyDescent="0.25">
      <c r="A63" t="s">
        <v>1038</v>
      </c>
      <c r="B63" t="s">
        <v>312</v>
      </c>
      <c r="C63" t="e">
        <f>#REF!</f>
        <v>#REF!</v>
      </c>
      <c r="G63">
        <v>1</v>
      </c>
      <c r="H63">
        <v>1</v>
      </c>
    </row>
    <row r="64" spans="1:10" ht="45" x14ac:dyDescent="0.25">
      <c r="A64" t="s">
        <v>1038</v>
      </c>
      <c r="B64" t="s">
        <v>300</v>
      </c>
      <c r="C64" t="e">
        <f>#REF!</f>
        <v>#REF!</v>
      </c>
      <c r="E64">
        <v>1</v>
      </c>
      <c r="F64">
        <v>1</v>
      </c>
      <c r="G64">
        <v>1</v>
      </c>
    </row>
    <row r="65" spans="1:9" ht="45" x14ac:dyDescent="0.25">
      <c r="A65" t="s">
        <v>1038</v>
      </c>
      <c r="B65" t="s">
        <v>1119</v>
      </c>
      <c r="C65" t="e">
        <f>#REF!</f>
        <v>#REF!</v>
      </c>
      <c r="G65">
        <v>1</v>
      </c>
    </row>
    <row r="66" spans="1:9" ht="45" x14ac:dyDescent="0.25">
      <c r="A66" t="s">
        <v>1038</v>
      </c>
      <c r="B66" t="s">
        <v>1139</v>
      </c>
      <c r="C66" t="e">
        <f>#REF!</f>
        <v>#REF!</v>
      </c>
      <c r="G66">
        <v>1</v>
      </c>
    </row>
    <row r="67" spans="1:9" ht="60" x14ac:dyDescent="0.25">
      <c r="A67" t="s">
        <v>1039</v>
      </c>
      <c r="B67" t="s">
        <v>1163</v>
      </c>
      <c r="C67" t="e">
        <f>#REF!</f>
        <v>#REF!</v>
      </c>
      <c r="D67">
        <v>1</v>
      </c>
      <c r="E67">
        <v>1</v>
      </c>
    </row>
    <row r="68" spans="1:9" ht="60" x14ac:dyDescent="0.25">
      <c r="A68" t="s">
        <v>1039</v>
      </c>
      <c r="B68" t="s">
        <v>1143</v>
      </c>
      <c r="C68" t="e">
        <f>#REF!</f>
        <v>#REF!</v>
      </c>
      <c r="G68">
        <v>1</v>
      </c>
      <c r="H68">
        <v>1</v>
      </c>
      <c r="I68">
        <v>1</v>
      </c>
    </row>
    <row r="69" spans="1:9" ht="60" x14ac:dyDescent="0.25">
      <c r="A69" t="s">
        <v>1039</v>
      </c>
      <c r="B69" t="s">
        <v>1147</v>
      </c>
      <c r="C69" t="e">
        <f>#REF!</f>
        <v>#REF!</v>
      </c>
      <c r="G69">
        <v>1</v>
      </c>
    </row>
    <row r="70" spans="1:9" ht="60" x14ac:dyDescent="0.25">
      <c r="A70" t="s">
        <v>1039</v>
      </c>
      <c r="B70" t="s">
        <v>1155</v>
      </c>
      <c r="C70" t="e">
        <f>#REF!</f>
        <v>#REF!</v>
      </c>
      <c r="G70">
        <v>1</v>
      </c>
    </row>
    <row r="71" spans="1:9" ht="60" x14ac:dyDescent="0.25">
      <c r="A71" t="s">
        <v>1039</v>
      </c>
      <c r="B71" t="s">
        <v>1159</v>
      </c>
      <c r="C71" t="e">
        <f>#REF!</f>
        <v>#REF!</v>
      </c>
      <c r="G71">
        <v>1</v>
      </c>
    </row>
    <row r="72" spans="1:9" ht="60" x14ac:dyDescent="0.25">
      <c r="A72" t="s">
        <v>1039</v>
      </c>
      <c r="B72" t="s">
        <v>1067</v>
      </c>
      <c r="C72" t="e">
        <f>#REF!</f>
        <v>#REF!</v>
      </c>
      <c r="E72">
        <v>1</v>
      </c>
    </row>
    <row r="73" spans="1:9" ht="60" x14ac:dyDescent="0.25">
      <c r="A73" t="s">
        <v>1039</v>
      </c>
      <c r="B73" t="s">
        <v>1143</v>
      </c>
      <c r="C73" t="e">
        <f>#REF!</f>
        <v>#REF!</v>
      </c>
      <c r="D73">
        <v>1</v>
      </c>
      <c r="E73">
        <v>1</v>
      </c>
      <c r="G73">
        <v>1</v>
      </c>
      <c r="H73">
        <v>1</v>
      </c>
      <c r="I73">
        <v>1</v>
      </c>
    </row>
    <row r="74" spans="1:9" ht="60" x14ac:dyDescent="0.25">
      <c r="A74" t="s">
        <v>1039</v>
      </c>
      <c r="B74" t="s">
        <v>1151</v>
      </c>
      <c r="C74" t="e">
        <f>#REF!</f>
        <v>#REF!</v>
      </c>
      <c r="E74">
        <v>1</v>
      </c>
      <c r="G74">
        <v>1</v>
      </c>
    </row>
    <row r="75" spans="1:9" ht="60" x14ac:dyDescent="0.25">
      <c r="A75" t="s">
        <v>1039</v>
      </c>
      <c r="B75" t="s">
        <v>1147</v>
      </c>
      <c r="C75" t="e">
        <f>#REF!</f>
        <v>#REF!</v>
      </c>
      <c r="G75">
        <v>1</v>
      </c>
    </row>
    <row r="76" spans="1:9" ht="60" x14ac:dyDescent="0.25">
      <c r="A76" t="s">
        <v>1039</v>
      </c>
      <c r="B76" t="s">
        <v>1155</v>
      </c>
      <c r="C76" t="e">
        <f>#REF!</f>
        <v>#REF!</v>
      </c>
      <c r="G76">
        <v>1</v>
      </c>
    </row>
    <row r="77" spans="1:9" ht="60" x14ac:dyDescent="0.25">
      <c r="A77" t="s">
        <v>1039</v>
      </c>
      <c r="B77" t="s">
        <v>351</v>
      </c>
      <c r="C77" t="e">
        <f>#REF!</f>
        <v>#REF!</v>
      </c>
      <c r="E77">
        <v>1</v>
      </c>
      <c r="F77">
        <v>1</v>
      </c>
    </row>
    <row r="78" spans="1:9" ht="60" x14ac:dyDescent="0.25">
      <c r="A78" t="s">
        <v>1039</v>
      </c>
      <c r="B78" t="s">
        <v>320</v>
      </c>
      <c r="C78" t="e">
        <f>#REF!</f>
        <v>#REF!</v>
      </c>
      <c r="G78">
        <v>1</v>
      </c>
    </row>
    <row r="79" spans="1:9" ht="60" x14ac:dyDescent="0.25">
      <c r="A79" t="s">
        <v>1039</v>
      </c>
      <c r="B79" t="s">
        <v>324</v>
      </c>
      <c r="C79" t="e">
        <f>#REF!</f>
        <v>#REF!</v>
      </c>
      <c r="E79">
        <v>1</v>
      </c>
    </row>
    <row r="80" spans="1:9" ht="60" x14ac:dyDescent="0.25">
      <c r="A80" t="s">
        <v>1039</v>
      </c>
      <c r="B80" t="s">
        <v>347</v>
      </c>
      <c r="C80" t="e">
        <f>#REF!</f>
        <v>#REF!</v>
      </c>
      <c r="E80">
        <v>1</v>
      </c>
      <c r="G80">
        <v>1</v>
      </c>
    </row>
    <row r="81" spans="2:10" x14ac:dyDescent="0.25">
      <c r="B81">
        <f>COUNTA(B3:B80)</f>
        <v>78</v>
      </c>
      <c r="D81" t="e">
        <f>SUMPRODUCT(Table16[Qty],Table16[BarrelJack])</f>
        <v>#REF!</v>
      </c>
      <c r="E81" t="e">
        <f>SUMPRODUCT(Table16[Qty],Table16[USB])</f>
        <v>#REF!</v>
      </c>
      <c r="F81" t="e">
        <f>SUMPRODUCT(Table16[Qty],Table16[LiPO Battery])</f>
        <v>#REF!</v>
      </c>
      <c r="G81" t="e">
        <f>SUMPRODUCT(Table16[Qty],Table16[3.3V/5V])</f>
        <v>#REF!</v>
      </c>
      <c r="H81" t="e">
        <f>SUMPRODUCT(Table16[Qty],Table16[uSD])</f>
        <v>#REF!</v>
      </c>
      <c r="I81" t="e">
        <f>SUMPRODUCT(Table16[Qty],Table16[WiFi])</f>
        <v>#REF!</v>
      </c>
      <c r="J81" t="e">
        <f>SUMPRODUCT(Table16[Qty],Table16[Bluetooth])</f>
        <v>#REF!</v>
      </c>
    </row>
    <row r="83" spans="2:10" x14ac:dyDescent="0.25">
      <c r="C83" s="29" t="e">
        <f>#REF!</f>
        <v>#REF!</v>
      </c>
      <c r="D83" s="29" t="e">
        <f>#REF!</f>
        <v>#REF!</v>
      </c>
      <c r="E83" s="29" t="e">
        <f>#REF!</f>
        <v>#REF!</v>
      </c>
    </row>
    <row r="84" spans="2:10" x14ac:dyDescent="0.25">
      <c r="B84" t="str">
        <f>"4*7+C80"</f>
        <v>4*7+C80</v>
      </c>
      <c r="C84" s="29" t="e">
        <f>#REF!</f>
        <v>#REF!</v>
      </c>
      <c r="D84" s="29" t="e">
        <f>#REF!</f>
        <v>#REF!</v>
      </c>
      <c r="E84" s="29" t="e">
        <f>#REF!</f>
        <v>#REF!</v>
      </c>
    </row>
    <row r="85" spans="2:10" x14ac:dyDescent="0.25">
      <c r="B85" t="e">
        <f ca="1">[1]!TextFormula(B84)</f>
        <v>#VALUE!</v>
      </c>
      <c r="C85" s="29" t="e">
        <f>#REF!</f>
        <v>#REF!</v>
      </c>
      <c r="D85" s="29" t="e">
        <f>#REF!</f>
        <v>#REF!</v>
      </c>
      <c r="E85" s="29" t="e">
        <f>#REF!</f>
        <v>#REF!</v>
      </c>
    </row>
    <row r="86" spans="2:10" x14ac:dyDescent="0.25">
      <c r="C86" s="29" t="e">
        <f>#REF!</f>
        <v>#REF!</v>
      </c>
      <c r="D86" s="29" t="e">
        <f>#REF!</f>
        <v>#REF!</v>
      </c>
      <c r="E86" s="29" t="e">
        <f>#REF!</f>
        <v>#REF!</v>
      </c>
    </row>
    <row r="87" spans="2:10" x14ac:dyDescent="0.25">
      <c r="C87" s="29" t="e">
        <f>#REF!</f>
        <v>#REF!</v>
      </c>
      <c r="D87" s="29" t="e">
        <f>#REF!</f>
        <v>#REF!</v>
      </c>
      <c r="E87" s="29" t="e">
        <f>#REF!</f>
        <v>#REF!</v>
      </c>
    </row>
    <row r="88" spans="2:10" x14ac:dyDescent="0.25">
      <c r="C88" s="29" t="e">
        <f>#REF!</f>
        <v>#REF!</v>
      </c>
      <c r="D88" s="29" t="e">
        <f>#REF!</f>
        <v>#REF!</v>
      </c>
      <c r="E88" s="29" t="e">
        <f>#REF!</f>
        <v>#REF!</v>
      </c>
    </row>
    <row r="89" spans="2:10" x14ac:dyDescent="0.25">
      <c r="C89" s="29" t="e">
        <f>#REF!</f>
        <v>#REF!</v>
      </c>
      <c r="D89" s="29" t="e">
        <f>#REF!</f>
        <v>#REF!</v>
      </c>
      <c r="E89" s="29" t="e">
        <f>#REF!</f>
        <v>#REF!</v>
      </c>
    </row>
    <row r="90" spans="2:10" x14ac:dyDescent="0.25">
      <c r="C90" s="29" t="e">
        <f>#REF!</f>
        <v>#REF!</v>
      </c>
      <c r="D90" s="29" t="e">
        <f>#REF!</f>
        <v>#REF!</v>
      </c>
      <c r="E90" s="29" t="e">
        <f>#REF!</f>
        <v>#REF!</v>
      </c>
    </row>
    <row r="91" spans="2:10" x14ac:dyDescent="0.25">
      <c r="C91" s="29" t="e">
        <f>#REF!</f>
        <v>#REF!</v>
      </c>
      <c r="D91" s="29" t="e">
        <f>#REF!</f>
        <v>#REF!</v>
      </c>
      <c r="E91" s="29" t="e">
        <f>#REF!</f>
        <v>#REF!</v>
      </c>
    </row>
    <row r="92" spans="2:10" x14ac:dyDescent="0.25">
      <c r="C92" s="29" t="e">
        <f>#REF!</f>
        <v>#REF!</v>
      </c>
      <c r="D92" s="29" t="e">
        <f>#REF!</f>
        <v>#REF!</v>
      </c>
      <c r="E92" s="29" t="e">
        <f>#REF!</f>
        <v>#REF!</v>
      </c>
    </row>
    <row r="93" spans="2:10" x14ac:dyDescent="0.25">
      <c r="C93" s="29" t="e">
        <f>#REF!</f>
        <v>#REF!</v>
      </c>
      <c r="D93" s="29" t="e">
        <f>#REF!</f>
        <v>#REF!</v>
      </c>
      <c r="E93" s="29" t="e">
        <f>#REF!</f>
        <v>#REF!</v>
      </c>
    </row>
    <row r="94" spans="2:10" x14ac:dyDescent="0.25">
      <c r="C94" s="29" t="e">
        <f>#REF!</f>
        <v>#REF!</v>
      </c>
      <c r="D94" s="29" t="e">
        <f>#REF!</f>
        <v>#REF!</v>
      </c>
      <c r="E94" s="29" t="e">
        <f>#REF!</f>
        <v>#REF!</v>
      </c>
    </row>
    <row r="95" spans="2:10" x14ac:dyDescent="0.25">
      <c r="C95" s="29" t="e">
        <f>#REF!</f>
        <v>#REF!</v>
      </c>
      <c r="D95" s="29" t="e">
        <f>#REF!</f>
        <v>#REF!</v>
      </c>
      <c r="E95" s="29" t="e">
        <f>#REF!</f>
        <v>#REF!</v>
      </c>
    </row>
    <row r="96" spans="2:10" x14ac:dyDescent="0.25">
      <c r="C96" s="29" t="e">
        <f>#REF!</f>
        <v>#REF!</v>
      </c>
      <c r="D96" s="29" t="e">
        <f>#REF!</f>
        <v>#REF!</v>
      </c>
      <c r="E96" s="29" t="e">
        <f>#REF!</f>
        <v>#REF!</v>
      </c>
    </row>
    <row r="97" spans="3:5" x14ac:dyDescent="0.25">
      <c r="C97" s="29" t="e">
        <f>#REF!</f>
        <v>#REF!</v>
      </c>
      <c r="D97" s="29" t="e">
        <f>#REF!</f>
        <v>#REF!</v>
      </c>
      <c r="E97" s="29" t="e">
        <f>#REF!</f>
        <v>#REF!</v>
      </c>
    </row>
    <row r="98" spans="3:5" x14ac:dyDescent="0.25">
      <c r="C98" s="29" t="e">
        <f>#REF!</f>
        <v>#REF!</v>
      </c>
      <c r="D98" s="29" t="e">
        <f>#REF!</f>
        <v>#REF!</v>
      </c>
      <c r="E98" s="29" t="e">
        <f>#REF!</f>
        <v>#REF!</v>
      </c>
    </row>
    <row r="99" spans="3:5" x14ac:dyDescent="0.25">
      <c r="C99" s="29" t="e">
        <f>#REF!</f>
        <v>#REF!</v>
      </c>
      <c r="D99" s="29" t="e">
        <f>#REF!</f>
        <v>#REF!</v>
      </c>
      <c r="E99" s="29" t="e">
        <f>#REF!</f>
        <v>#REF!</v>
      </c>
    </row>
    <row r="100" spans="3:5" x14ac:dyDescent="0.25">
      <c r="C100" s="29" t="e">
        <f>#REF!</f>
        <v>#REF!</v>
      </c>
      <c r="D100" s="29" t="e">
        <f>#REF!</f>
        <v>#REF!</v>
      </c>
      <c r="E100" s="29" t="e">
        <f>#REF!</f>
        <v>#REF!</v>
      </c>
    </row>
    <row r="101" spans="3:5" x14ac:dyDescent="0.25">
      <c r="C101" s="29" t="e">
        <f>#REF!</f>
        <v>#REF!</v>
      </c>
      <c r="D101" s="29" t="e">
        <f>#REF!</f>
        <v>#REF!</v>
      </c>
      <c r="E101" s="29" t="e">
        <f>#REF!</f>
        <v>#REF!</v>
      </c>
    </row>
    <row r="102" spans="3:5" x14ac:dyDescent="0.25">
      <c r="C102" s="29" t="e">
        <f>#REF!</f>
        <v>#REF!</v>
      </c>
      <c r="D102" s="29" t="e">
        <f>#REF!</f>
        <v>#REF!</v>
      </c>
      <c r="E102" s="29" t="e">
        <f>#REF!</f>
        <v>#REF!</v>
      </c>
    </row>
    <row r="103" spans="3:5" x14ac:dyDescent="0.25">
      <c r="C103" s="29" t="e">
        <f>#REF!</f>
        <v>#REF!</v>
      </c>
      <c r="D103" s="29" t="e">
        <f>#REF!</f>
        <v>#REF!</v>
      </c>
      <c r="E103" s="29" t="e">
        <f>#REF!</f>
        <v>#REF!</v>
      </c>
    </row>
    <row r="104" spans="3:5" x14ac:dyDescent="0.25">
      <c r="C104" s="29" t="e">
        <f>#REF!</f>
        <v>#REF!</v>
      </c>
      <c r="D104" s="29" t="e">
        <f>#REF!</f>
        <v>#REF!</v>
      </c>
      <c r="E104" s="29" t="e">
        <f>#REF!</f>
        <v>#REF!</v>
      </c>
    </row>
    <row r="105" spans="3:5" x14ac:dyDescent="0.25">
      <c r="C105" s="29" t="e">
        <f>#REF!</f>
        <v>#REF!</v>
      </c>
      <c r="D105" s="29" t="e">
        <f>#REF!</f>
        <v>#REF!</v>
      </c>
      <c r="E105" s="29" t="e">
        <f>#REF!</f>
        <v>#REF!</v>
      </c>
    </row>
    <row r="106" spans="3:5" x14ac:dyDescent="0.25">
      <c r="C106" s="29" t="e">
        <f>#REF!</f>
        <v>#REF!</v>
      </c>
      <c r="D106" s="29" t="e">
        <f>#REF!</f>
        <v>#REF!</v>
      </c>
      <c r="E106" s="29" t="e">
        <f>#REF!</f>
        <v>#REF!</v>
      </c>
    </row>
    <row r="107" spans="3:5" x14ac:dyDescent="0.25">
      <c r="C107" s="29" t="e">
        <f>#REF!</f>
        <v>#REF!</v>
      </c>
      <c r="D107" s="29" t="e">
        <f>#REF!</f>
        <v>#REF!</v>
      </c>
      <c r="E107" s="29" t="e">
        <f>#REF!</f>
        <v>#REF!</v>
      </c>
    </row>
    <row r="108" spans="3:5" x14ac:dyDescent="0.25">
      <c r="C108" s="29" t="e">
        <f>#REF!</f>
        <v>#REF!</v>
      </c>
      <c r="D108" s="29" t="e">
        <f>#REF!</f>
        <v>#REF!</v>
      </c>
      <c r="E108" s="29" t="e">
        <f>#REF!</f>
        <v>#REF!</v>
      </c>
    </row>
    <row r="109" spans="3:5" x14ac:dyDescent="0.25">
      <c r="C109" s="29" t="e">
        <f>#REF!</f>
        <v>#REF!</v>
      </c>
      <c r="D109" s="29" t="e">
        <f>#REF!</f>
        <v>#REF!</v>
      </c>
      <c r="E109" s="29" t="e">
        <f>#REF!</f>
        <v>#REF!</v>
      </c>
    </row>
    <row r="110" spans="3:5" x14ac:dyDescent="0.25">
      <c r="C110" s="29" t="e">
        <f>#REF!</f>
        <v>#REF!</v>
      </c>
      <c r="D110" s="29" t="e">
        <f>#REF!</f>
        <v>#REF!</v>
      </c>
      <c r="E110" s="29" t="e">
        <f>#REF!</f>
        <v>#REF!</v>
      </c>
    </row>
    <row r="111" spans="3:5" x14ac:dyDescent="0.25">
      <c r="C111" s="29" t="e">
        <f>#REF!</f>
        <v>#REF!</v>
      </c>
      <c r="D111" s="29" t="e">
        <f>#REF!</f>
        <v>#REF!</v>
      </c>
      <c r="E111" s="29" t="e">
        <f>#REF!</f>
        <v>#REF!</v>
      </c>
    </row>
    <row r="112" spans="3:5" x14ac:dyDescent="0.25">
      <c r="C112" s="29" t="e">
        <f>#REF!</f>
        <v>#REF!</v>
      </c>
      <c r="D112" s="29" t="e">
        <f>#REF!</f>
        <v>#REF!</v>
      </c>
      <c r="E112" s="29" t="e">
        <f>#REF!</f>
        <v>#REF!</v>
      </c>
    </row>
    <row r="113" spans="3:5" x14ac:dyDescent="0.25">
      <c r="C113" s="29" t="e">
        <f>#REF!</f>
        <v>#REF!</v>
      </c>
      <c r="D113" s="29" t="e">
        <f>#REF!</f>
        <v>#REF!</v>
      </c>
      <c r="E113" s="29" t="e">
        <f>#REF!</f>
        <v>#REF!</v>
      </c>
    </row>
    <row r="114" spans="3:5" x14ac:dyDescent="0.25">
      <c r="C114" s="29" t="e">
        <f>#REF!</f>
        <v>#REF!</v>
      </c>
      <c r="D114" s="29" t="e">
        <f>#REF!</f>
        <v>#REF!</v>
      </c>
      <c r="E114" s="29" t="e">
        <f>#REF!</f>
        <v>#REF!</v>
      </c>
    </row>
    <row r="115" spans="3:5" x14ac:dyDescent="0.25">
      <c r="C115" s="29" t="e">
        <f>#REF!</f>
        <v>#REF!</v>
      </c>
      <c r="D115" s="29" t="e">
        <f>#REF!</f>
        <v>#REF!</v>
      </c>
      <c r="E115" s="29" t="e">
        <f>#REF!</f>
        <v>#REF!</v>
      </c>
    </row>
    <row r="116" spans="3:5" x14ac:dyDescent="0.25">
      <c r="C116" s="29" t="e">
        <f>#REF!</f>
        <v>#REF!</v>
      </c>
      <c r="D116" s="29" t="e">
        <f>#REF!</f>
        <v>#REF!</v>
      </c>
      <c r="E116" s="29" t="e">
        <f>#REF!</f>
        <v>#REF!</v>
      </c>
    </row>
    <row r="117" spans="3:5" x14ac:dyDescent="0.25">
      <c r="C117" s="29" t="e">
        <f>#REF!</f>
        <v>#REF!</v>
      </c>
      <c r="D117" s="29" t="e">
        <f>#REF!</f>
        <v>#REF!</v>
      </c>
      <c r="E117" s="29" t="e">
        <f>#REF!</f>
        <v>#REF!</v>
      </c>
    </row>
    <row r="118" spans="3:5" x14ac:dyDescent="0.25">
      <c r="C118" s="29" t="e">
        <f>#REF!</f>
        <v>#REF!</v>
      </c>
      <c r="D118" s="29" t="e">
        <f>#REF!</f>
        <v>#REF!</v>
      </c>
      <c r="E118" s="29" t="e">
        <f>#REF!</f>
        <v>#REF!</v>
      </c>
    </row>
    <row r="119" spans="3:5" x14ac:dyDescent="0.25">
      <c r="C119" s="29" t="e">
        <f>#REF!</f>
        <v>#REF!</v>
      </c>
      <c r="D119" s="29" t="e">
        <f>#REF!</f>
        <v>#REF!</v>
      </c>
      <c r="E119" s="29" t="e">
        <f>#REF!</f>
        <v>#REF!</v>
      </c>
    </row>
    <row r="120" spans="3:5" x14ac:dyDescent="0.25">
      <c r="C120" s="29" t="e">
        <f>#REF!</f>
        <v>#REF!</v>
      </c>
      <c r="D120" s="29" t="e">
        <f>#REF!</f>
        <v>#REF!</v>
      </c>
      <c r="E120" s="29" t="e">
        <f>#REF!</f>
        <v>#REF!</v>
      </c>
    </row>
    <row r="121" spans="3:5" x14ac:dyDescent="0.25">
      <c r="C121" s="29" t="e">
        <f>#REF!</f>
        <v>#REF!</v>
      </c>
      <c r="D121" s="29" t="e">
        <f>#REF!</f>
        <v>#REF!</v>
      </c>
      <c r="E121" s="29" t="e">
        <f>#REF!</f>
        <v>#REF!</v>
      </c>
    </row>
    <row r="122" spans="3:5" x14ac:dyDescent="0.25">
      <c r="C122" s="29" t="e">
        <f>#REF!</f>
        <v>#REF!</v>
      </c>
      <c r="D122" s="29" t="e">
        <f>#REF!</f>
        <v>#REF!</v>
      </c>
      <c r="E122" s="29" t="e">
        <f>#REF!</f>
        <v>#REF!</v>
      </c>
    </row>
    <row r="123" spans="3:5" x14ac:dyDescent="0.25">
      <c r="C123" s="29" t="e">
        <f>#REF!</f>
        <v>#REF!</v>
      </c>
      <c r="D123" s="29" t="e">
        <f>#REF!</f>
        <v>#REF!</v>
      </c>
      <c r="E123" s="29" t="e">
        <f>#REF!</f>
        <v>#REF!</v>
      </c>
    </row>
    <row r="124" spans="3:5" x14ac:dyDescent="0.25">
      <c r="C124" s="29" t="e">
        <f>#REF!</f>
        <v>#REF!</v>
      </c>
      <c r="D124" s="29" t="e">
        <f>#REF!</f>
        <v>#REF!</v>
      </c>
      <c r="E124" s="29" t="e">
        <f>#REF!</f>
        <v>#REF!</v>
      </c>
    </row>
    <row r="125" spans="3:5" x14ac:dyDescent="0.25">
      <c r="C125" s="29" t="e">
        <f>#REF!</f>
        <v>#REF!</v>
      </c>
      <c r="D125" s="29" t="e">
        <f>#REF!</f>
        <v>#REF!</v>
      </c>
      <c r="E125" s="29" t="e">
        <f>#REF!</f>
        <v>#REF!</v>
      </c>
    </row>
    <row r="126" spans="3:5" x14ac:dyDescent="0.25">
      <c r="C126" s="29" t="e">
        <f>#REF!</f>
        <v>#REF!</v>
      </c>
      <c r="D126" s="29" t="e">
        <f>#REF!</f>
        <v>#REF!</v>
      </c>
      <c r="E126" s="29" t="e">
        <f>#REF!</f>
        <v>#REF!</v>
      </c>
    </row>
    <row r="127" spans="3:5" x14ac:dyDescent="0.25">
      <c r="C127" s="29" t="e">
        <f>#REF!</f>
        <v>#REF!</v>
      </c>
      <c r="D127" s="29" t="e">
        <f>#REF!</f>
        <v>#REF!</v>
      </c>
      <c r="E127" s="29" t="e">
        <f>#REF!</f>
        <v>#REF!</v>
      </c>
    </row>
    <row r="128" spans="3:5" x14ac:dyDescent="0.25">
      <c r="C128" s="29" t="e">
        <f>#REF!</f>
        <v>#REF!</v>
      </c>
      <c r="D128" s="29" t="e">
        <f>#REF!</f>
        <v>#REF!</v>
      </c>
      <c r="E128" s="29" t="e">
        <f>#REF!</f>
        <v>#REF!</v>
      </c>
    </row>
    <row r="129" spans="3:5" x14ac:dyDescent="0.25">
      <c r="C129" s="29" t="e">
        <f>#REF!</f>
        <v>#REF!</v>
      </c>
      <c r="D129" s="29" t="e">
        <f>#REF!</f>
        <v>#REF!</v>
      </c>
      <c r="E129" s="29" t="e">
        <f>#REF!</f>
        <v>#REF!</v>
      </c>
    </row>
    <row r="130" spans="3:5" x14ac:dyDescent="0.25">
      <c r="C130" s="29" t="e">
        <f>#REF!</f>
        <v>#REF!</v>
      </c>
      <c r="D130" s="29" t="e">
        <f>#REF!</f>
        <v>#REF!</v>
      </c>
      <c r="E130" s="29" t="e">
        <f>#REF!</f>
        <v>#REF!</v>
      </c>
    </row>
    <row r="131" spans="3:5" x14ac:dyDescent="0.25">
      <c r="C131" s="29" t="e">
        <f>#REF!</f>
        <v>#REF!</v>
      </c>
      <c r="D131" s="29" t="e">
        <f>#REF!</f>
        <v>#REF!</v>
      </c>
      <c r="E131" s="29" t="e">
        <f>#REF!</f>
        <v>#REF!</v>
      </c>
    </row>
    <row r="132" spans="3:5" x14ac:dyDescent="0.25">
      <c r="C132" s="29" t="e">
        <f>#REF!</f>
        <v>#REF!</v>
      </c>
      <c r="D132" s="29" t="e">
        <f>#REF!</f>
        <v>#REF!</v>
      </c>
      <c r="E132" s="29" t="e">
        <f>#REF!</f>
        <v>#REF!</v>
      </c>
    </row>
    <row r="133" spans="3:5" x14ac:dyDescent="0.25">
      <c r="C133" s="29" t="e">
        <f>#REF!</f>
        <v>#REF!</v>
      </c>
      <c r="D133" s="29" t="e">
        <f>#REF!</f>
        <v>#REF!</v>
      </c>
      <c r="E133" s="29" t="e">
        <f>#REF!</f>
        <v>#REF!</v>
      </c>
    </row>
    <row r="134" spans="3:5" x14ac:dyDescent="0.25">
      <c r="C134" s="29" t="e">
        <f>#REF!</f>
        <v>#REF!</v>
      </c>
      <c r="D134" s="29" t="e">
        <f>#REF!</f>
        <v>#REF!</v>
      </c>
      <c r="E134" s="29" t="e">
        <f>#REF!</f>
        <v>#REF!</v>
      </c>
    </row>
    <row r="135" spans="3:5" x14ac:dyDescent="0.25">
      <c r="C135" s="29" t="e">
        <f>#REF!</f>
        <v>#REF!</v>
      </c>
      <c r="D135" s="29" t="e">
        <f>#REF!</f>
        <v>#REF!</v>
      </c>
      <c r="E135" s="29" t="e">
        <f>#REF!</f>
        <v>#REF!</v>
      </c>
    </row>
    <row r="136" spans="3:5" x14ac:dyDescent="0.25">
      <c r="C136" s="29" t="e">
        <f>#REF!</f>
        <v>#REF!</v>
      </c>
      <c r="D136" s="29" t="e">
        <f>#REF!</f>
        <v>#REF!</v>
      </c>
      <c r="E136" s="29" t="e">
        <f>#REF!</f>
        <v>#REF!</v>
      </c>
    </row>
    <row r="137" spans="3:5" x14ac:dyDescent="0.25">
      <c r="C137" s="29" t="e">
        <f>#REF!</f>
        <v>#REF!</v>
      </c>
      <c r="D137" s="29" t="e">
        <f>#REF!</f>
        <v>#REF!</v>
      </c>
      <c r="E137" s="29" t="e">
        <f>#REF!</f>
        <v>#REF!</v>
      </c>
    </row>
    <row r="138" spans="3:5" x14ac:dyDescent="0.25">
      <c r="C138" s="29" t="e">
        <f>#REF!</f>
        <v>#REF!</v>
      </c>
      <c r="D138" s="29" t="e">
        <f>#REF!</f>
        <v>#REF!</v>
      </c>
      <c r="E138" s="29" t="e">
        <f>#REF!</f>
        <v>#REF!</v>
      </c>
    </row>
    <row r="139" spans="3:5" x14ac:dyDescent="0.25">
      <c r="C139" s="29" t="e">
        <f>#REF!</f>
        <v>#REF!</v>
      </c>
      <c r="D139" s="29" t="e">
        <f>#REF!</f>
        <v>#REF!</v>
      </c>
      <c r="E139" s="29" t="e">
        <f>#REF!</f>
        <v>#REF!</v>
      </c>
    </row>
    <row r="140" spans="3:5" x14ac:dyDescent="0.25">
      <c r="C140" s="29" t="e">
        <f>#REF!</f>
        <v>#REF!</v>
      </c>
      <c r="D140" s="29" t="e">
        <f>#REF!</f>
        <v>#REF!</v>
      </c>
      <c r="E140" s="29" t="e">
        <f>#REF!</f>
        <v>#REF!</v>
      </c>
    </row>
    <row r="141" spans="3:5" x14ac:dyDescent="0.25">
      <c r="C141" s="29" t="e">
        <f>#REF!</f>
        <v>#REF!</v>
      </c>
      <c r="D141" s="29" t="e">
        <f>#REF!</f>
        <v>#REF!</v>
      </c>
      <c r="E141" s="29" t="e">
        <f>#REF!</f>
        <v>#REF!</v>
      </c>
    </row>
    <row r="142" spans="3:5" x14ac:dyDescent="0.25">
      <c r="C142" s="29" t="e">
        <f>#REF!</f>
        <v>#REF!</v>
      </c>
      <c r="D142" s="29" t="e">
        <f>#REF!</f>
        <v>#REF!</v>
      </c>
      <c r="E142" s="29" t="e">
        <f>#REF!</f>
        <v>#REF!</v>
      </c>
    </row>
    <row r="143" spans="3:5" x14ac:dyDescent="0.25">
      <c r="C143" s="29" t="e">
        <f>#REF!</f>
        <v>#REF!</v>
      </c>
      <c r="D143" s="29" t="e">
        <f>#REF!</f>
        <v>#REF!</v>
      </c>
      <c r="E143" s="29" t="e">
        <f>#REF!</f>
        <v>#REF!</v>
      </c>
    </row>
    <row r="144" spans="3:5" x14ac:dyDescent="0.25">
      <c r="C144" s="29" t="e">
        <f>#REF!</f>
        <v>#REF!</v>
      </c>
      <c r="D144" s="29" t="e">
        <f>#REF!</f>
        <v>#REF!</v>
      </c>
      <c r="E144" s="29" t="e">
        <f>#REF!</f>
        <v>#REF!</v>
      </c>
    </row>
    <row r="145" spans="3:5" x14ac:dyDescent="0.25">
      <c r="C145" s="29" t="e">
        <f>#REF!</f>
        <v>#REF!</v>
      </c>
      <c r="D145" s="29" t="e">
        <f>#REF!</f>
        <v>#REF!</v>
      </c>
      <c r="E145" s="29" t="e">
        <f>#REF!</f>
        <v>#REF!</v>
      </c>
    </row>
    <row r="146" spans="3:5" x14ac:dyDescent="0.25">
      <c r="C146" s="29" t="e">
        <f>#REF!</f>
        <v>#REF!</v>
      </c>
      <c r="D146" s="29" t="e">
        <f>#REF!</f>
        <v>#REF!</v>
      </c>
      <c r="E146" s="29" t="e">
        <f>#REF!</f>
        <v>#REF!</v>
      </c>
    </row>
    <row r="147" spans="3:5" x14ac:dyDescent="0.25">
      <c r="C147" s="29" t="e">
        <f>#REF!</f>
        <v>#REF!</v>
      </c>
      <c r="D147" s="29" t="e">
        <f>#REF!</f>
        <v>#REF!</v>
      </c>
      <c r="E147" s="29" t="e">
        <f>#REF!</f>
        <v>#REF!</v>
      </c>
    </row>
    <row r="148" spans="3:5" x14ac:dyDescent="0.25">
      <c r="C148" s="29" t="e">
        <f>#REF!</f>
        <v>#REF!</v>
      </c>
      <c r="D148" s="29" t="e">
        <f>#REF!</f>
        <v>#REF!</v>
      </c>
      <c r="E148" s="29" t="e">
        <f>#REF!</f>
        <v>#REF!</v>
      </c>
    </row>
    <row r="149" spans="3:5" x14ac:dyDescent="0.25">
      <c r="C149" s="29" t="e">
        <f>#REF!</f>
        <v>#REF!</v>
      </c>
      <c r="D149" s="29" t="e">
        <f>#REF!</f>
        <v>#REF!</v>
      </c>
      <c r="E149" s="29" t="e">
        <f>#REF!</f>
        <v>#REF!</v>
      </c>
    </row>
    <row r="150" spans="3:5" x14ac:dyDescent="0.25">
      <c r="C150" s="29" t="e">
        <f>#REF!</f>
        <v>#REF!</v>
      </c>
      <c r="D150" s="29" t="e">
        <f>#REF!</f>
        <v>#REF!</v>
      </c>
      <c r="E150" s="29" t="e">
        <f>#REF!</f>
        <v>#REF!</v>
      </c>
    </row>
    <row r="151" spans="3:5" x14ac:dyDescent="0.25">
      <c r="C151" s="29" t="e">
        <f>#REF!</f>
        <v>#REF!</v>
      </c>
      <c r="D151" s="29" t="e">
        <f>#REF!</f>
        <v>#REF!</v>
      </c>
      <c r="E151" s="29" t="e">
        <f>#REF!</f>
        <v>#REF!</v>
      </c>
    </row>
    <row r="152" spans="3:5" x14ac:dyDescent="0.25">
      <c r="C152" s="29" t="e">
        <f>#REF!</f>
        <v>#REF!</v>
      </c>
      <c r="D152" s="29" t="e">
        <f>#REF!</f>
        <v>#REF!</v>
      </c>
      <c r="E152" s="29" t="e">
        <f>#REF!</f>
        <v>#REF!</v>
      </c>
    </row>
    <row r="153" spans="3:5" x14ac:dyDescent="0.25">
      <c r="C153" s="29" t="e">
        <f>#REF!</f>
        <v>#REF!</v>
      </c>
      <c r="D153" s="29" t="e">
        <f>#REF!</f>
        <v>#REF!</v>
      </c>
      <c r="E153" s="29" t="e">
        <f>#REF!</f>
        <v>#REF!</v>
      </c>
    </row>
    <row r="154" spans="3:5" x14ac:dyDescent="0.25">
      <c r="C154" s="29" t="e">
        <f>#REF!</f>
        <v>#REF!</v>
      </c>
      <c r="D154" s="29" t="e">
        <f>#REF!</f>
        <v>#REF!</v>
      </c>
      <c r="E154" s="29" t="e">
        <f>#REF!</f>
        <v>#REF!</v>
      </c>
    </row>
    <row r="155" spans="3:5" x14ac:dyDescent="0.25">
      <c r="C155" s="29" t="e">
        <f>#REF!</f>
        <v>#REF!</v>
      </c>
      <c r="D155" s="29" t="e">
        <f>#REF!</f>
        <v>#REF!</v>
      </c>
      <c r="E155" s="29" t="e">
        <f>#REF!</f>
        <v>#REF!</v>
      </c>
    </row>
    <row r="156" spans="3:5" x14ac:dyDescent="0.25">
      <c r="C156" s="29" t="e">
        <f>#REF!</f>
        <v>#REF!</v>
      </c>
      <c r="D156" s="29" t="e">
        <f>#REF!</f>
        <v>#REF!</v>
      </c>
      <c r="E156" s="29" t="e">
        <f>#REF!</f>
        <v>#REF!</v>
      </c>
    </row>
    <row r="157" spans="3:5" x14ac:dyDescent="0.25">
      <c r="C157" s="29" t="e">
        <f>#REF!</f>
        <v>#REF!</v>
      </c>
      <c r="D157" s="29" t="e">
        <f>#REF!</f>
        <v>#REF!</v>
      </c>
      <c r="E157" s="29" t="e">
        <f>#REF!</f>
        <v>#REF!</v>
      </c>
    </row>
    <row r="158" spans="3:5" x14ac:dyDescent="0.25">
      <c r="C158" s="29" t="e">
        <f>#REF!</f>
        <v>#REF!</v>
      </c>
      <c r="D158" s="29" t="e">
        <f>#REF!</f>
        <v>#REF!</v>
      </c>
      <c r="E158" s="29" t="e">
        <f>#REF!</f>
        <v>#REF!</v>
      </c>
    </row>
    <row r="159" spans="3:5" x14ac:dyDescent="0.25">
      <c r="C159" s="29" t="e">
        <f>#REF!</f>
        <v>#REF!</v>
      </c>
      <c r="D159" s="29" t="e">
        <f>#REF!</f>
        <v>#REF!</v>
      </c>
      <c r="E159" s="29" t="e">
        <f>#REF!</f>
        <v>#REF!</v>
      </c>
    </row>
    <row r="160" spans="3:5" x14ac:dyDescent="0.25">
      <c r="C160" s="29" t="e">
        <f>#REF!</f>
        <v>#REF!</v>
      </c>
      <c r="D160" s="29" t="e">
        <f>#REF!</f>
        <v>#REF!</v>
      </c>
      <c r="E160" s="29" t="e">
        <f>#REF!</f>
        <v>#REF!</v>
      </c>
    </row>
    <row r="161" spans="2:5" x14ac:dyDescent="0.25">
      <c r="C161" s="29" t="e">
        <f>#REF!</f>
        <v>#REF!</v>
      </c>
      <c r="D161" s="29" t="e">
        <f>#REF!</f>
        <v>#REF!</v>
      </c>
      <c r="E161" s="29" t="e">
        <f>#REF!</f>
        <v>#REF!</v>
      </c>
    </row>
    <row r="164" spans="2:5" s="29" customFormat="1" x14ac:dyDescent="0.25">
      <c r="B164" s="29">
        <v>5</v>
      </c>
      <c r="C164" s="29" t="s">
        <v>51</v>
      </c>
      <c r="D164" s="29" t="s">
        <v>52</v>
      </c>
      <c r="E164" s="29" t="s">
        <v>53</v>
      </c>
    </row>
    <row r="165" spans="2:5" s="29" customFormat="1" x14ac:dyDescent="0.25">
      <c r="B165" s="29">
        <v>5</v>
      </c>
      <c r="C165" s="29" t="s">
        <v>55</v>
      </c>
      <c r="D165" s="29" t="s">
        <v>56</v>
      </c>
      <c r="E165" s="29" t="s">
        <v>57</v>
      </c>
    </row>
    <row r="166" spans="2:5" s="29" customFormat="1" x14ac:dyDescent="0.25">
      <c r="B166" s="29">
        <v>5</v>
      </c>
      <c r="C166" s="29" t="s">
        <v>59</v>
      </c>
      <c r="D166" s="29" t="s">
        <v>60</v>
      </c>
      <c r="E166" s="29" t="s">
        <v>61</v>
      </c>
    </row>
    <row r="167" spans="2:5" s="29" customFormat="1" x14ac:dyDescent="0.25">
      <c r="B167" s="29">
        <v>10</v>
      </c>
      <c r="C167" s="29" t="s">
        <v>63</v>
      </c>
      <c r="D167" s="29" t="s">
        <v>64</v>
      </c>
      <c r="E167" s="29" t="s">
        <v>65</v>
      </c>
    </row>
  </sheetData>
  <mergeCells count="1">
    <mergeCell ref="D1:G1"/>
  </mergeCells>
  <pageMargins left="0.7" right="0.7" top="0.75" bottom="0.75" header="0.3" footer="0.3"/>
  <pageSetup orientation="portrait" horizontalDpi="4294967294" verticalDpi="0"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B33FD9-9B14-42ED-9E77-C54A6E4442FC}">
  <sheetPr codeName="Sheet18"/>
  <dimension ref="A1:R38"/>
  <sheetViews>
    <sheetView topLeftCell="A7" workbookViewId="0">
      <selection activeCell="J5" sqref="J5"/>
    </sheetView>
  </sheetViews>
  <sheetFormatPr defaultRowHeight="15" x14ac:dyDescent="0.25"/>
  <cols>
    <col min="1" max="1" width="2" customWidth="1"/>
    <col min="2" max="2" width="4.42578125" hidden="1" customWidth="1"/>
    <col min="3" max="3" width="12.28515625" hidden="1" customWidth="1"/>
    <col min="4" max="4" width="59" customWidth="1"/>
    <col min="5" max="5" width="8.85546875" style="30" hidden="1" customWidth="1"/>
    <col min="6" max="6" width="6" bestFit="1" customWidth="1"/>
    <col min="7" max="7" width="13.7109375" customWidth="1"/>
    <col min="8" max="8" width="15.28515625" bestFit="1" customWidth="1"/>
    <col min="9" max="10" width="15.28515625" customWidth="1"/>
    <col min="11" max="11" width="16" bestFit="1" customWidth="1"/>
    <col min="12" max="12" width="2.28515625" bestFit="1" customWidth="1"/>
    <col min="13" max="13" width="42.42578125" bestFit="1" customWidth="1"/>
    <col min="14" max="14" width="43.28515625" bestFit="1" customWidth="1"/>
    <col min="16" max="16" width="10.7109375" bestFit="1" customWidth="1"/>
    <col min="17" max="17" width="166.85546875" bestFit="1" customWidth="1"/>
  </cols>
  <sheetData>
    <row r="1" spans="1:18" ht="30" x14ac:dyDescent="0.25">
      <c r="G1" t="s">
        <v>2485</v>
      </c>
      <c r="H1" t="s">
        <v>2486</v>
      </c>
      <c r="I1" t="s">
        <v>2489</v>
      </c>
      <c r="J1" t="s">
        <v>2487</v>
      </c>
      <c r="K1" t="s">
        <v>2492</v>
      </c>
    </row>
    <row r="2" spans="1:18" x14ac:dyDescent="0.25">
      <c r="A2" s="64">
        <v>1</v>
      </c>
      <c r="B2" s="10" t="s">
        <v>131</v>
      </c>
      <c r="C2" s="10" t="s">
        <v>132</v>
      </c>
      <c r="D2" s="10" t="s">
        <v>133</v>
      </c>
      <c r="E2" s="10">
        <v>1</v>
      </c>
      <c r="F2" s="64">
        <v>49.95</v>
      </c>
      <c r="G2" s="79" t="s">
        <v>2490</v>
      </c>
      <c r="H2" s="85" t="s">
        <v>2383</v>
      </c>
      <c r="K2" t="s">
        <v>2502</v>
      </c>
      <c r="L2" s="10" t="s">
        <v>1896</v>
      </c>
      <c r="M2" s="30" t="s">
        <v>887</v>
      </c>
      <c r="N2" s="30" t="s">
        <v>881</v>
      </c>
      <c r="O2" s="30" t="s">
        <v>5</v>
      </c>
    </row>
    <row r="3" spans="1:18" s="80" customFormat="1" x14ac:dyDescent="0.25">
      <c r="A3" s="79">
        <v>1</v>
      </c>
      <c r="B3" s="78" t="s">
        <v>224</v>
      </c>
      <c r="C3" s="78" t="s">
        <v>225</v>
      </c>
      <c r="D3" s="78" t="s">
        <v>191</v>
      </c>
      <c r="E3" s="78">
        <v>1</v>
      </c>
      <c r="F3" s="79">
        <v>54.95</v>
      </c>
      <c r="G3" s="79" t="s">
        <v>187</v>
      </c>
      <c r="H3" s="79" t="s">
        <v>2488</v>
      </c>
      <c r="I3" s="79" t="s">
        <v>2488</v>
      </c>
      <c r="J3" s="79" t="s">
        <v>2488</v>
      </c>
      <c r="K3" s="79"/>
      <c r="L3" s="78" t="s">
        <v>1896</v>
      </c>
      <c r="M3" s="77" t="s">
        <v>887</v>
      </c>
      <c r="N3" s="77" t="s">
        <v>1882</v>
      </c>
      <c r="O3" s="77" t="s">
        <v>5</v>
      </c>
      <c r="P3" s="78" t="s">
        <v>223</v>
      </c>
      <c r="R3" s="80">
        <v>54.95</v>
      </c>
    </row>
    <row r="4" spans="1:18" s="80" customFormat="1" x14ac:dyDescent="0.25">
      <c r="A4" s="79">
        <v>5</v>
      </c>
      <c r="B4" s="78" t="s">
        <v>27</v>
      </c>
      <c r="C4" s="78" t="s">
        <v>28</v>
      </c>
      <c r="D4" s="78" t="s">
        <v>29</v>
      </c>
      <c r="E4" s="78">
        <v>1</v>
      </c>
      <c r="F4" s="79">
        <v>45.95</v>
      </c>
      <c r="G4" s="79" t="s">
        <v>2490</v>
      </c>
      <c r="H4" s="79"/>
      <c r="I4" s="79"/>
      <c r="J4" s="79"/>
      <c r="K4" s="79"/>
      <c r="L4" s="78" t="s">
        <v>1897</v>
      </c>
      <c r="M4" s="77" t="s">
        <v>887</v>
      </c>
      <c r="N4" s="77" t="s">
        <v>1602</v>
      </c>
      <c r="O4" s="77" t="s">
        <v>5</v>
      </c>
      <c r="P4" s="78" t="s">
        <v>26</v>
      </c>
      <c r="R4" s="80">
        <v>229.75</v>
      </c>
    </row>
    <row r="5" spans="1:18" s="80" customFormat="1" x14ac:dyDescent="0.25">
      <c r="A5" s="79">
        <v>5</v>
      </c>
      <c r="B5" s="78" t="s">
        <v>31</v>
      </c>
      <c r="C5" s="78" t="s">
        <v>32</v>
      </c>
      <c r="D5" s="77" t="s">
        <v>33</v>
      </c>
      <c r="E5" s="77">
        <v>1</v>
      </c>
      <c r="F5" s="85">
        <v>29.95</v>
      </c>
      <c r="G5" s="85" t="s">
        <v>2383</v>
      </c>
      <c r="H5" s="85" t="s">
        <v>2383</v>
      </c>
      <c r="I5" s="85"/>
      <c r="J5" s="85" t="s">
        <v>2500</v>
      </c>
      <c r="K5" s="85" t="s">
        <v>187</v>
      </c>
      <c r="L5" s="77" t="s">
        <v>1897</v>
      </c>
      <c r="M5" s="78" t="s">
        <v>887</v>
      </c>
      <c r="N5" s="78" t="s">
        <v>2016</v>
      </c>
      <c r="O5" s="78" t="s">
        <v>5</v>
      </c>
      <c r="P5" s="78" t="s">
        <v>30</v>
      </c>
      <c r="R5" s="80">
        <v>149.75</v>
      </c>
    </row>
    <row r="6" spans="1:18" s="80" customFormat="1" ht="45" x14ac:dyDescent="0.25">
      <c r="A6" s="79">
        <v>5</v>
      </c>
      <c r="B6" s="78" t="s">
        <v>35</v>
      </c>
      <c r="C6" s="78" t="s">
        <v>36</v>
      </c>
      <c r="D6" s="77" t="s">
        <v>37</v>
      </c>
      <c r="E6" s="77">
        <v>1</v>
      </c>
      <c r="F6" s="85">
        <v>14.95</v>
      </c>
      <c r="G6" s="100" t="s">
        <v>2501</v>
      </c>
      <c r="H6" s="85" t="s">
        <v>2383</v>
      </c>
      <c r="I6" s="85"/>
      <c r="J6" s="85" t="s">
        <v>187</v>
      </c>
      <c r="K6" s="85" t="s">
        <v>187</v>
      </c>
      <c r="L6" s="77" t="s">
        <v>1897</v>
      </c>
      <c r="M6" s="78" t="s">
        <v>887</v>
      </c>
      <c r="N6" s="78" t="s">
        <v>2016</v>
      </c>
      <c r="O6" s="78" t="s">
        <v>5</v>
      </c>
      <c r="P6" s="78" t="s">
        <v>34</v>
      </c>
      <c r="R6" s="80">
        <v>74.75</v>
      </c>
    </row>
    <row r="7" spans="1:18" s="80" customFormat="1" x14ac:dyDescent="0.25">
      <c r="A7" s="79">
        <v>1</v>
      </c>
      <c r="B7" s="78" t="s">
        <v>43</v>
      </c>
      <c r="C7" s="78" t="s">
        <v>44</v>
      </c>
      <c r="D7" s="77" t="s">
        <v>45</v>
      </c>
      <c r="E7" s="77">
        <v>1</v>
      </c>
      <c r="F7" s="85">
        <v>19.95</v>
      </c>
      <c r="G7" s="85" t="s">
        <v>2383</v>
      </c>
      <c r="H7" s="85" t="s">
        <v>2383</v>
      </c>
      <c r="I7" s="85"/>
      <c r="J7" s="79" t="s">
        <v>2488</v>
      </c>
      <c r="K7" s="79" t="s">
        <v>2488</v>
      </c>
      <c r="L7" s="77" t="s">
        <v>1896</v>
      </c>
      <c r="M7" s="78" t="s">
        <v>887</v>
      </c>
      <c r="N7" s="78" t="s">
        <v>2016</v>
      </c>
      <c r="O7" s="78" t="s">
        <v>5</v>
      </c>
      <c r="P7" s="78" t="s">
        <v>42</v>
      </c>
      <c r="R7" s="80">
        <v>19.95</v>
      </c>
    </row>
    <row r="8" spans="1:18" s="80" customFormat="1" x14ac:dyDescent="0.25">
      <c r="A8" s="79">
        <v>5</v>
      </c>
      <c r="B8" s="78" t="s">
        <v>39</v>
      </c>
      <c r="C8" s="78" t="s">
        <v>40</v>
      </c>
      <c r="D8" s="77" t="s">
        <v>41</v>
      </c>
      <c r="E8" s="77">
        <v>1</v>
      </c>
      <c r="F8" s="85">
        <v>9.9499999999999993</v>
      </c>
      <c r="G8" s="79" t="s">
        <v>2490</v>
      </c>
      <c r="H8" s="85"/>
      <c r="I8" s="85"/>
      <c r="J8" s="85"/>
      <c r="K8" s="85"/>
      <c r="L8" s="77" t="s">
        <v>1897</v>
      </c>
      <c r="M8" s="78" t="s">
        <v>887</v>
      </c>
      <c r="N8" s="78" t="s">
        <v>2011</v>
      </c>
      <c r="O8" s="78" t="s">
        <v>5</v>
      </c>
      <c r="P8" s="78" t="s">
        <v>38</v>
      </c>
      <c r="R8" s="80">
        <v>49.75</v>
      </c>
    </row>
    <row r="9" spans="1:18" s="80" customFormat="1" x14ac:dyDescent="0.25">
      <c r="A9" s="79">
        <v>2</v>
      </c>
      <c r="B9" s="78" t="s">
        <v>1194</v>
      </c>
      <c r="C9" s="78" t="s">
        <v>1195</v>
      </c>
      <c r="D9" s="77" t="s">
        <v>1196</v>
      </c>
      <c r="E9" s="77">
        <v>1</v>
      </c>
      <c r="F9" s="85">
        <v>9.9499999999999993</v>
      </c>
      <c r="G9" s="79" t="s">
        <v>2490</v>
      </c>
      <c r="H9" s="85"/>
      <c r="I9" s="85"/>
      <c r="J9" s="85"/>
      <c r="K9" s="85"/>
      <c r="L9" s="77" t="s">
        <v>1899</v>
      </c>
      <c r="M9" s="78" t="s">
        <v>887</v>
      </c>
      <c r="N9" s="78" t="s">
        <v>2011</v>
      </c>
      <c r="O9" s="78" t="s">
        <v>5</v>
      </c>
      <c r="P9" s="78" t="s">
        <v>1193</v>
      </c>
      <c r="R9" s="80">
        <v>19.899999999999999</v>
      </c>
    </row>
    <row r="10" spans="1:18" s="80" customFormat="1" x14ac:dyDescent="0.25">
      <c r="A10" s="79">
        <v>0</v>
      </c>
      <c r="B10" s="78"/>
      <c r="C10" s="78"/>
      <c r="D10" s="77" t="s">
        <v>2263</v>
      </c>
      <c r="E10" s="77"/>
      <c r="F10" s="85">
        <v>14.95</v>
      </c>
      <c r="G10" s="79" t="s">
        <v>2490</v>
      </c>
      <c r="H10" s="85"/>
      <c r="I10" s="85"/>
      <c r="J10" s="85"/>
      <c r="K10" s="85"/>
      <c r="L10" s="77" t="s">
        <v>1896</v>
      </c>
      <c r="M10" s="78" t="s">
        <v>887</v>
      </c>
      <c r="N10" s="78" t="s">
        <v>2011</v>
      </c>
      <c r="O10" s="78" t="s">
        <v>1884</v>
      </c>
      <c r="P10" s="78" t="s">
        <v>2262</v>
      </c>
    </row>
    <row r="11" spans="1:18" s="80" customFormat="1" x14ac:dyDescent="0.25">
      <c r="A11" s="79">
        <v>1</v>
      </c>
      <c r="B11" s="78" t="s">
        <v>1514</v>
      </c>
      <c r="C11" s="78" t="s">
        <v>1515</v>
      </c>
      <c r="D11" s="78" t="s">
        <v>1516</v>
      </c>
      <c r="E11" s="78">
        <v>1</v>
      </c>
      <c r="F11" s="79">
        <v>24.95</v>
      </c>
      <c r="G11" s="79" t="s">
        <v>2490</v>
      </c>
      <c r="H11" s="79"/>
      <c r="I11" s="79"/>
      <c r="J11" s="79" t="s">
        <v>187</v>
      </c>
      <c r="K11" s="79"/>
      <c r="L11" s="78" t="s">
        <v>1900</v>
      </c>
      <c r="M11" s="77" t="s">
        <v>1058</v>
      </c>
      <c r="N11" s="77" t="s">
        <v>1589</v>
      </c>
      <c r="O11" s="77" t="s">
        <v>5</v>
      </c>
      <c r="P11" s="78" t="s">
        <v>1513</v>
      </c>
      <c r="R11" s="80">
        <v>24.95</v>
      </c>
    </row>
    <row r="12" spans="1:18" s="49" customFormat="1" x14ac:dyDescent="0.25">
      <c r="A12" s="73">
        <v>1</v>
      </c>
      <c r="B12" s="48" t="s">
        <v>962</v>
      </c>
      <c r="C12" s="48" t="s">
        <v>963</v>
      </c>
      <c r="D12" s="48" t="s">
        <v>964</v>
      </c>
      <c r="E12" s="48">
        <v>1</v>
      </c>
      <c r="F12" s="73">
        <v>49.95</v>
      </c>
      <c r="G12" s="79" t="s">
        <v>187</v>
      </c>
      <c r="H12" s="79" t="s">
        <v>2488</v>
      </c>
      <c r="I12" s="79" t="s">
        <v>2488</v>
      </c>
      <c r="J12" s="79" t="s">
        <v>2488</v>
      </c>
      <c r="K12" s="79"/>
      <c r="L12" s="48" t="s">
        <v>1900</v>
      </c>
      <c r="M12" s="74" t="s">
        <v>1058</v>
      </c>
      <c r="N12" s="74" t="s">
        <v>1005</v>
      </c>
      <c r="O12" s="74" t="s">
        <v>5</v>
      </c>
      <c r="P12" s="48" t="s">
        <v>961</v>
      </c>
      <c r="Q12" s="48" t="s">
        <v>1045</v>
      </c>
      <c r="R12" s="48">
        <v>49.95</v>
      </c>
    </row>
    <row r="13" spans="1:18" s="49" customFormat="1" x14ac:dyDescent="0.25">
      <c r="A13" s="73">
        <v>0</v>
      </c>
      <c r="B13" s="48" t="s">
        <v>982</v>
      </c>
      <c r="C13" s="48" t="s">
        <v>983</v>
      </c>
      <c r="D13" s="48" t="s">
        <v>984</v>
      </c>
      <c r="E13" s="48">
        <v>1</v>
      </c>
      <c r="F13" s="73">
        <v>44.95</v>
      </c>
      <c r="G13" s="73"/>
      <c r="H13" s="73"/>
      <c r="I13" s="73"/>
      <c r="J13" s="73"/>
      <c r="K13" s="73"/>
      <c r="L13" s="48" t="s">
        <v>1900</v>
      </c>
      <c r="M13" s="74" t="s">
        <v>1058</v>
      </c>
      <c r="N13" s="75" t="s">
        <v>1005</v>
      </c>
      <c r="O13" s="75" t="s">
        <v>5</v>
      </c>
      <c r="P13" s="48" t="s">
        <v>981</v>
      </c>
      <c r="Q13" s="48" t="s">
        <v>1046</v>
      </c>
      <c r="R13" s="48">
        <v>0</v>
      </c>
    </row>
    <row r="14" spans="1:18" s="49" customFormat="1" x14ac:dyDescent="0.25">
      <c r="A14" s="73">
        <v>1</v>
      </c>
      <c r="B14" s="48" t="s">
        <v>946</v>
      </c>
      <c r="C14" s="48" t="s">
        <v>947</v>
      </c>
      <c r="D14" s="48" t="s">
        <v>948</v>
      </c>
      <c r="E14" s="48">
        <v>1</v>
      </c>
      <c r="F14" s="73">
        <v>59.95</v>
      </c>
      <c r="G14" s="73" t="s">
        <v>2497</v>
      </c>
      <c r="H14" s="73" t="s">
        <v>2383</v>
      </c>
      <c r="I14" s="73"/>
      <c r="J14" s="73"/>
      <c r="K14" s="73"/>
      <c r="L14" s="48" t="s">
        <v>1900</v>
      </c>
      <c r="M14" s="74" t="s">
        <v>1058</v>
      </c>
      <c r="N14" s="74" t="s">
        <v>1005</v>
      </c>
      <c r="O14" s="74" t="s">
        <v>5</v>
      </c>
      <c r="P14" s="48" t="s">
        <v>945</v>
      </c>
      <c r="Q14" s="48" t="s">
        <v>1046</v>
      </c>
      <c r="R14" s="48">
        <v>59.95</v>
      </c>
    </row>
    <row r="15" spans="1:18" x14ac:dyDescent="0.25">
      <c r="A15" s="64">
        <v>0</v>
      </c>
      <c r="B15" s="10"/>
      <c r="C15" s="10"/>
      <c r="D15" s="10" t="s">
        <v>2070</v>
      </c>
      <c r="E15" s="10"/>
      <c r="F15" s="64">
        <v>44.95</v>
      </c>
      <c r="G15" s="64" t="s">
        <v>2383</v>
      </c>
      <c r="H15" s="64" t="s">
        <v>2383</v>
      </c>
      <c r="I15" s="64"/>
      <c r="J15" s="64"/>
      <c r="K15" s="64"/>
      <c r="L15" s="10" t="s">
        <v>1896</v>
      </c>
      <c r="M15" s="10" t="s">
        <v>1058</v>
      </c>
      <c r="N15" s="10" t="s">
        <v>1005</v>
      </c>
      <c r="O15" s="10" t="s">
        <v>1884</v>
      </c>
      <c r="P15" s="10" t="s">
        <v>2069</v>
      </c>
    </row>
    <row r="16" spans="1:18" x14ac:dyDescent="0.25">
      <c r="A16" s="64">
        <v>1</v>
      </c>
      <c r="B16" s="10"/>
      <c r="C16" s="10"/>
      <c r="D16" s="10" t="s">
        <v>2047</v>
      </c>
      <c r="E16" s="10"/>
      <c r="F16" s="64">
        <v>39.950000000000003</v>
      </c>
      <c r="G16" s="64"/>
      <c r="H16" s="64"/>
      <c r="I16" s="64"/>
      <c r="J16" s="64"/>
      <c r="K16" s="64"/>
      <c r="L16" s="10" t="s">
        <v>1896</v>
      </c>
      <c r="M16" s="10" t="s">
        <v>1058</v>
      </c>
      <c r="N16" s="10" t="s">
        <v>2040</v>
      </c>
      <c r="O16" s="10" t="s">
        <v>1884</v>
      </c>
      <c r="P16" s="10" t="s">
        <v>2048</v>
      </c>
    </row>
    <row r="17" spans="1:18" s="49" customFormat="1" x14ac:dyDescent="0.25">
      <c r="A17" s="73">
        <v>1</v>
      </c>
      <c r="B17" s="48" t="s">
        <v>966</v>
      </c>
      <c r="C17" s="48" t="s">
        <v>967</v>
      </c>
      <c r="D17" s="48" t="s">
        <v>968</v>
      </c>
      <c r="E17" s="48">
        <v>1</v>
      </c>
      <c r="F17" s="73">
        <v>349</v>
      </c>
      <c r="G17" s="73"/>
      <c r="H17" s="73"/>
      <c r="I17" s="73"/>
      <c r="J17" s="73"/>
      <c r="K17" s="73"/>
      <c r="L17" s="48" t="s">
        <v>1900</v>
      </c>
      <c r="M17" s="74" t="s">
        <v>1058</v>
      </c>
      <c r="N17" s="75" t="s">
        <v>1006</v>
      </c>
      <c r="O17" s="75" t="s">
        <v>5</v>
      </c>
      <c r="P17" s="48" t="s">
        <v>965</v>
      </c>
      <c r="Q17" s="48" t="s">
        <v>1047</v>
      </c>
      <c r="R17" s="48">
        <v>349</v>
      </c>
    </row>
    <row r="18" spans="1:18" s="80" customFormat="1" x14ac:dyDescent="0.25">
      <c r="A18" s="79">
        <v>1</v>
      </c>
      <c r="B18" s="78" t="s">
        <v>970</v>
      </c>
      <c r="C18" s="78" t="s">
        <v>971</v>
      </c>
      <c r="D18" s="78" t="s">
        <v>972</v>
      </c>
      <c r="E18" s="78">
        <v>1</v>
      </c>
      <c r="F18" s="79">
        <v>49.95</v>
      </c>
      <c r="G18" s="79"/>
      <c r="H18" s="79"/>
      <c r="I18" s="79"/>
      <c r="J18" s="79"/>
      <c r="K18" s="79"/>
      <c r="L18" s="78" t="s">
        <v>1896</v>
      </c>
      <c r="M18" s="77" t="s">
        <v>1058</v>
      </c>
      <c r="N18" s="90" t="s">
        <v>1424</v>
      </c>
      <c r="O18" s="90" t="s">
        <v>5</v>
      </c>
      <c r="P18" s="78" t="s">
        <v>969</v>
      </c>
      <c r="Q18" s="78" t="s">
        <v>1050</v>
      </c>
      <c r="R18" s="78">
        <v>49.95</v>
      </c>
    </row>
    <row r="19" spans="1:18" s="80" customFormat="1" x14ac:dyDescent="0.25">
      <c r="A19" s="79">
        <v>1</v>
      </c>
      <c r="B19" s="78" t="s">
        <v>353</v>
      </c>
      <c r="C19" s="78" t="s">
        <v>354</v>
      </c>
      <c r="D19" s="78" t="s">
        <v>355</v>
      </c>
      <c r="E19" s="78">
        <v>1</v>
      </c>
      <c r="F19" s="79">
        <v>94.95</v>
      </c>
      <c r="G19" s="79" t="s">
        <v>2488</v>
      </c>
      <c r="H19" s="79" t="s">
        <v>2498</v>
      </c>
      <c r="I19" s="79" t="s">
        <v>2488</v>
      </c>
      <c r="J19" s="79"/>
      <c r="K19" s="79" t="s">
        <v>2493</v>
      </c>
      <c r="L19" s="78" t="s">
        <v>1899</v>
      </c>
      <c r="M19" s="77" t="s">
        <v>1038</v>
      </c>
      <c r="N19" s="77" t="s">
        <v>1057</v>
      </c>
      <c r="O19" s="77" t="s">
        <v>5</v>
      </c>
      <c r="P19" s="78" t="s">
        <v>352</v>
      </c>
      <c r="Q19" s="78" t="s">
        <v>1043</v>
      </c>
      <c r="R19" s="78">
        <v>94.95</v>
      </c>
    </row>
    <row r="20" spans="1:18" s="80" customFormat="1" ht="45" x14ac:dyDescent="0.25">
      <c r="A20" s="79">
        <v>1</v>
      </c>
      <c r="B20" s="78" t="s">
        <v>1318</v>
      </c>
      <c r="C20" s="78" t="s">
        <v>1319</v>
      </c>
      <c r="D20" s="78" t="s">
        <v>1320</v>
      </c>
      <c r="E20" s="78">
        <v>1</v>
      </c>
      <c r="F20" s="79">
        <v>69.95</v>
      </c>
      <c r="G20" s="100" t="s">
        <v>2494</v>
      </c>
      <c r="H20" s="79" t="s">
        <v>2488</v>
      </c>
      <c r="I20" s="79" t="s">
        <v>2488</v>
      </c>
      <c r="J20" s="79"/>
      <c r="K20" s="79" t="s">
        <v>2493</v>
      </c>
      <c r="L20" s="78" t="s">
        <v>1900</v>
      </c>
      <c r="M20" s="77" t="s">
        <v>1038</v>
      </c>
      <c r="N20" s="77" t="s">
        <v>1396</v>
      </c>
      <c r="O20" s="77" t="s">
        <v>5</v>
      </c>
      <c r="P20" s="78" t="s">
        <v>1317</v>
      </c>
      <c r="Q20" s="78" t="s">
        <v>1337</v>
      </c>
      <c r="R20" s="78">
        <v>69.95</v>
      </c>
    </row>
    <row r="21" spans="1:18" s="80" customFormat="1" x14ac:dyDescent="0.25">
      <c r="A21" s="79">
        <v>0</v>
      </c>
      <c r="B21" s="78" t="s">
        <v>330</v>
      </c>
      <c r="C21" s="78" t="s">
        <v>331</v>
      </c>
      <c r="D21" s="78" t="s">
        <v>332</v>
      </c>
      <c r="E21" s="78"/>
      <c r="F21" s="79">
        <v>59.95</v>
      </c>
      <c r="G21" s="79" t="s">
        <v>2490</v>
      </c>
      <c r="H21" s="79"/>
      <c r="I21" s="79"/>
      <c r="J21" s="79"/>
      <c r="K21" s="79" t="s">
        <v>2499</v>
      </c>
      <c r="L21" s="78" t="s">
        <v>1899</v>
      </c>
      <c r="M21" s="77" t="s">
        <v>1038</v>
      </c>
      <c r="N21" s="77" t="s">
        <v>1034</v>
      </c>
      <c r="O21" s="77" t="s">
        <v>5</v>
      </c>
      <c r="P21" s="78" t="s">
        <v>329</v>
      </c>
      <c r="Q21" s="78" t="s">
        <v>1037</v>
      </c>
      <c r="R21" s="78">
        <v>0</v>
      </c>
    </row>
    <row r="22" spans="1:18" s="80" customFormat="1" x14ac:dyDescent="0.25">
      <c r="A22" s="79">
        <v>1</v>
      </c>
      <c r="B22" s="78" t="s">
        <v>294</v>
      </c>
      <c r="C22" s="78" t="s">
        <v>295</v>
      </c>
      <c r="D22" s="78" t="s">
        <v>296</v>
      </c>
      <c r="E22" s="78">
        <v>1</v>
      </c>
      <c r="F22" s="79">
        <v>99.95</v>
      </c>
      <c r="G22" s="79"/>
      <c r="H22" s="79"/>
      <c r="I22" s="79"/>
      <c r="J22" s="79"/>
      <c r="K22" s="79"/>
      <c r="L22" s="78" t="s">
        <v>1900</v>
      </c>
      <c r="M22" s="77" t="s">
        <v>1038</v>
      </c>
      <c r="N22" s="77" t="s">
        <v>1035</v>
      </c>
      <c r="O22" s="77" t="s">
        <v>5</v>
      </c>
      <c r="P22" s="78" t="s">
        <v>293</v>
      </c>
      <c r="Q22" s="78" t="s">
        <v>1042</v>
      </c>
      <c r="R22" s="78">
        <v>99.95</v>
      </c>
    </row>
    <row r="23" spans="1:18" s="49" customFormat="1" ht="30" x14ac:dyDescent="0.25">
      <c r="A23" s="73">
        <v>1</v>
      </c>
      <c r="B23" s="48" t="s">
        <v>1161</v>
      </c>
      <c r="C23" s="48" t="s">
        <v>1162</v>
      </c>
      <c r="D23" s="48" t="s">
        <v>1163</v>
      </c>
      <c r="E23" s="48"/>
      <c r="F23" s="73">
        <v>20</v>
      </c>
      <c r="G23" s="100" t="s">
        <v>2491</v>
      </c>
      <c r="H23" s="79" t="s">
        <v>2488</v>
      </c>
      <c r="I23" s="73"/>
      <c r="J23" s="73"/>
      <c r="K23" s="73" t="s">
        <v>2493</v>
      </c>
      <c r="L23" s="48" t="s">
        <v>1900</v>
      </c>
      <c r="M23" s="74" t="s">
        <v>1038</v>
      </c>
      <c r="N23" s="74" t="s">
        <v>1723</v>
      </c>
      <c r="O23" s="74" t="s">
        <v>5</v>
      </c>
      <c r="P23" s="48" t="s">
        <v>1160</v>
      </c>
      <c r="Q23" s="50" t="s">
        <v>1040</v>
      </c>
      <c r="R23" s="48">
        <v>20</v>
      </c>
    </row>
    <row r="24" spans="1:18" x14ac:dyDescent="0.25">
      <c r="A24" s="64">
        <v>1</v>
      </c>
      <c r="B24" s="10" t="s">
        <v>2412</v>
      </c>
      <c r="C24" s="10" t="s">
        <v>2413</v>
      </c>
      <c r="D24" s="10" t="s">
        <v>2414</v>
      </c>
      <c r="E24" s="10"/>
      <c r="F24" s="64">
        <v>15</v>
      </c>
      <c r="G24" s="100" t="s">
        <v>2496</v>
      </c>
      <c r="H24" s="79" t="s">
        <v>2488</v>
      </c>
      <c r="I24" s="73"/>
      <c r="J24" s="73"/>
      <c r="K24" s="73" t="s">
        <v>2493</v>
      </c>
      <c r="L24" s="10" t="s">
        <v>1900</v>
      </c>
      <c r="M24" s="30" t="s">
        <v>1038</v>
      </c>
      <c r="N24" s="30" t="s">
        <v>1168</v>
      </c>
      <c r="O24" s="30" t="s">
        <v>5</v>
      </c>
      <c r="P24" s="10" t="s">
        <v>2411</v>
      </c>
      <c r="Q24" s="10" t="s">
        <v>1040</v>
      </c>
      <c r="R24" s="48">
        <v>15</v>
      </c>
    </row>
    <row r="25" spans="1:18" x14ac:dyDescent="0.25">
      <c r="A25" s="64">
        <v>1</v>
      </c>
      <c r="B25" s="10" t="s">
        <v>2416</v>
      </c>
      <c r="C25" s="10" t="s">
        <v>2417</v>
      </c>
      <c r="D25" s="10" t="s">
        <v>2418</v>
      </c>
      <c r="E25" s="10"/>
      <c r="F25" s="64">
        <v>10</v>
      </c>
      <c r="G25" s="100" t="s">
        <v>2496</v>
      </c>
      <c r="H25" s="64"/>
      <c r="I25" s="64"/>
      <c r="J25" s="64"/>
      <c r="K25" s="64"/>
      <c r="L25" s="10" t="s">
        <v>1900</v>
      </c>
      <c r="M25" s="30" t="s">
        <v>1038</v>
      </c>
      <c r="N25" s="30" t="s">
        <v>1168</v>
      </c>
      <c r="O25" s="30" t="s">
        <v>5</v>
      </c>
      <c r="P25" s="10" t="s">
        <v>2415</v>
      </c>
      <c r="Q25" s="10" t="s">
        <v>1040</v>
      </c>
      <c r="R25" s="48">
        <v>10</v>
      </c>
    </row>
    <row r="26" spans="1:18" s="49" customFormat="1" ht="30" x14ac:dyDescent="0.25">
      <c r="A26" s="73">
        <v>1</v>
      </c>
      <c r="B26" s="48" t="s">
        <v>1065</v>
      </c>
      <c r="C26" s="48" t="s">
        <v>1066</v>
      </c>
      <c r="D26" s="48" t="s">
        <v>1067</v>
      </c>
      <c r="E26" s="48"/>
      <c r="F26" s="73">
        <v>15</v>
      </c>
      <c r="G26" s="100" t="s">
        <v>2496</v>
      </c>
      <c r="H26" s="79" t="s">
        <v>2488</v>
      </c>
      <c r="I26" s="73"/>
      <c r="J26" s="73"/>
      <c r="K26" s="73" t="s">
        <v>2493</v>
      </c>
      <c r="L26" s="48" t="s">
        <v>1900</v>
      </c>
      <c r="M26" s="74" t="s">
        <v>1039</v>
      </c>
      <c r="N26" s="74" t="s">
        <v>1724</v>
      </c>
      <c r="O26" s="74" t="s">
        <v>5</v>
      </c>
      <c r="P26" s="48" t="s">
        <v>1064</v>
      </c>
      <c r="Q26" s="50" t="s">
        <v>1040</v>
      </c>
      <c r="R26" s="48">
        <v>15</v>
      </c>
    </row>
    <row r="27" spans="1:18" s="49" customFormat="1" ht="30" x14ac:dyDescent="0.25">
      <c r="A27" s="73">
        <v>1</v>
      </c>
      <c r="B27" s="48" t="s">
        <v>345</v>
      </c>
      <c r="C27" s="48" t="s">
        <v>346</v>
      </c>
      <c r="D27" s="48" t="s">
        <v>347</v>
      </c>
      <c r="E27" s="48"/>
      <c r="F27" s="73">
        <v>24.95</v>
      </c>
      <c r="G27" s="79" t="s">
        <v>2488</v>
      </c>
      <c r="H27" s="79" t="s">
        <v>2495</v>
      </c>
      <c r="I27" s="79" t="s">
        <v>2488</v>
      </c>
      <c r="J27" s="79" t="s">
        <v>2488</v>
      </c>
      <c r="K27" s="79"/>
      <c r="L27" s="48" t="s">
        <v>1900</v>
      </c>
      <c r="M27" s="74" t="s">
        <v>1039</v>
      </c>
      <c r="N27" s="74" t="s">
        <v>1056</v>
      </c>
      <c r="O27" s="74" t="s">
        <v>5</v>
      </c>
      <c r="P27" s="48" t="s">
        <v>344</v>
      </c>
      <c r="Q27" s="48" t="s">
        <v>1041</v>
      </c>
      <c r="R27" s="48">
        <v>24.95</v>
      </c>
    </row>
    <row r="28" spans="1:18" s="49" customFormat="1" ht="30" x14ac:dyDescent="0.25">
      <c r="A28" s="73">
        <v>1</v>
      </c>
      <c r="B28" s="48" t="s">
        <v>349</v>
      </c>
      <c r="C28" s="48" t="s">
        <v>350</v>
      </c>
      <c r="D28" s="48" t="s">
        <v>351</v>
      </c>
      <c r="E28" s="48">
        <v>1</v>
      </c>
      <c r="F28" s="73">
        <v>39.950000000000003</v>
      </c>
      <c r="G28" s="79" t="s">
        <v>187</v>
      </c>
      <c r="H28" s="73"/>
      <c r="I28" s="73"/>
      <c r="J28" s="73"/>
      <c r="K28" s="100" t="s">
        <v>2496</v>
      </c>
      <c r="L28" s="48" t="s">
        <v>1900</v>
      </c>
      <c r="M28" s="74" t="s">
        <v>1039</v>
      </c>
      <c r="N28" s="74" t="s">
        <v>1604</v>
      </c>
      <c r="O28" s="74" t="s">
        <v>5</v>
      </c>
      <c r="P28" s="48" t="s">
        <v>348</v>
      </c>
      <c r="Q28" s="48" t="s">
        <v>1036</v>
      </c>
      <c r="R28" s="48">
        <v>39.950000000000003</v>
      </c>
    </row>
    <row r="29" spans="1:18" s="49" customFormat="1" ht="30" x14ac:dyDescent="0.25">
      <c r="A29" s="73">
        <v>1</v>
      </c>
      <c r="B29" s="48" t="s">
        <v>318</v>
      </c>
      <c r="C29" s="48" t="s">
        <v>319</v>
      </c>
      <c r="D29" s="48" t="s">
        <v>320</v>
      </c>
      <c r="E29" s="48">
        <v>1</v>
      </c>
      <c r="F29" s="73">
        <v>39.950000000000003</v>
      </c>
      <c r="G29" s="73"/>
      <c r="H29" s="73"/>
      <c r="I29" s="73"/>
      <c r="J29" s="73"/>
      <c r="K29" s="73"/>
      <c r="L29" s="48" t="s">
        <v>1900</v>
      </c>
      <c r="M29" s="74" t="s">
        <v>1039</v>
      </c>
      <c r="N29" s="74" t="s">
        <v>1055</v>
      </c>
      <c r="O29" s="74" t="s">
        <v>5</v>
      </c>
      <c r="P29" s="48" t="s">
        <v>317</v>
      </c>
      <c r="Q29" s="48" t="s">
        <v>1044</v>
      </c>
      <c r="R29" s="48">
        <v>39.950000000000003</v>
      </c>
    </row>
    <row r="31" spans="1:18" s="49" customFormat="1" x14ac:dyDescent="0.25">
      <c r="A31" s="30"/>
      <c r="B31" s="30"/>
      <c r="C31" s="30"/>
      <c r="D31" s="10"/>
      <c r="E31" s="64"/>
      <c r="F31" s="10"/>
      <c r="G31" s="10"/>
      <c r="H31" s="10"/>
      <c r="I31" s="10"/>
      <c r="J31" s="64"/>
      <c r="K31" s="10"/>
      <c r="L31"/>
      <c r="M31"/>
    </row>
    <row r="33" spans="4:13" x14ac:dyDescent="0.25">
      <c r="D33" s="10"/>
      <c r="E33" s="10"/>
      <c r="F33" s="10"/>
    </row>
    <row r="35" spans="4:13" x14ac:dyDescent="0.25">
      <c r="D35" s="30"/>
      <c r="F35" s="30"/>
      <c r="G35" s="10"/>
    </row>
    <row r="38" spans="4:13" x14ac:dyDescent="0.25">
      <c r="H38" s="10"/>
      <c r="I38" s="64"/>
      <c r="J38" s="10"/>
      <c r="K38" s="10"/>
      <c r="L38" s="10"/>
      <c r="M38" s="10"/>
    </row>
  </sheetData>
  <conditionalFormatting sqref="A3:R29">
    <cfRule type="expression" dxfId="170" priority="148">
      <formula>AND($A3=0,NOT(ISBLANK($A3)))</formula>
    </cfRule>
  </conditionalFormatting>
  <conditionalFormatting sqref="G2">
    <cfRule type="expression" dxfId="169" priority="137">
      <formula>AND($A2=0,NOT(ISBLANK($A2)))</formula>
    </cfRule>
  </conditionalFormatting>
  <conditionalFormatting sqref="H2">
    <cfRule type="expression" dxfId="168" priority="126">
      <formula>AND($A2=0,NOT(ISBLANK($A2)))</formula>
    </cfRule>
  </conditionalFormatting>
  <conditionalFormatting sqref="A31:M31">
    <cfRule type="expression" dxfId="167" priority="115">
      <formula>AND($E31=0,NOT(ISBLANK($E31)))</formula>
    </cfRule>
  </conditionalFormatting>
  <conditionalFormatting sqref="D2:F2">
    <cfRule type="expression" dxfId="166" priority="104">
      <formula>AND($E2=0,NOT(ISBLANK($E2)))</formula>
    </cfRule>
  </conditionalFormatting>
  <conditionalFormatting sqref="D33:F33">
    <cfRule type="expression" dxfId="165" priority="93">
      <formula>AND($E33=0,NOT(ISBLANK($E33)))</formula>
    </cfRule>
  </conditionalFormatting>
  <conditionalFormatting sqref="H38:M38">
    <cfRule type="expression" dxfId="164" priority="82">
      <formula>AND($E38=0,NOT(ISBLANK($E38)))</formula>
    </cfRule>
  </conditionalFormatting>
  <conditionalFormatting sqref="A2">
    <cfRule type="expression" dxfId="163" priority="71">
      <formula>AND($E2=0,NOT(ISBLANK($E2)))</formula>
    </cfRule>
  </conditionalFormatting>
  <conditionalFormatting sqref="M2">
    <cfRule type="expression" dxfId="162" priority="60">
      <formula>AND($E2=0,NOT(ISBLANK($E2)))</formula>
    </cfRule>
  </conditionalFormatting>
  <conditionalFormatting sqref="L2">
    <cfRule type="expression" dxfId="161" priority="49">
      <formula>AND($E2=0,NOT(ISBLANK($E2)))</formula>
    </cfRule>
  </conditionalFormatting>
  <conditionalFormatting sqref="D35:G35">
    <cfRule type="expression" dxfId="160" priority="38">
      <formula>AND($E35=0,NOT(ISBLANK($E35)))</formula>
    </cfRule>
  </conditionalFormatting>
  <conditionalFormatting sqref="O2">
    <cfRule type="expression" dxfId="159" priority="27">
      <formula>AND($E2=0,NOT(ISBLANK($E2)))</formula>
    </cfRule>
  </conditionalFormatting>
  <conditionalFormatting sqref="N2">
    <cfRule type="expression" dxfId="158" priority="16">
      <formula>AND($E2=0,NOT(ISBLANK($E2)))</formula>
    </cfRule>
  </conditionalFormatting>
  <conditionalFormatting sqref="B2:C2">
    <cfRule type="expression" dxfId="157" priority="5">
      <formula>AND($E2=0,NOT(ISBLANK($E2)))</formula>
    </cfRule>
  </conditionalFormatting>
  <dataValidations count="1">
    <dataValidation type="list" allowBlank="1" showInputMessage="1" showErrorMessage="1" sqref="M25:N25" xr:uid="{B824D933-6E27-4A7C-A806-CBA2D96697A5}">
      <formula1>$C$6:$C$13</formula1>
    </dataValidation>
  </dataValidation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44" id="{A703928D-30D9-4A92-995A-D7BACB0827E2}">
            <xm:f>$L3=FilterSpecs!$F$13</xm:f>
            <x14:dxf>
              <font>
                <b/>
                <i val="0"/>
                <color theme="0"/>
              </font>
              <fill>
                <patternFill>
                  <bgColor theme="9" tint="-0.499984740745262"/>
                </patternFill>
              </fill>
            </x14:dxf>
          </x14:cfRule>
          <x14:cfRule type="expression" priority="145" id="{BE442DF7-401E-4A92-9C36-4CBC4F13EDA9}">
            <xm:f>$L3=FilterSpecs!$E$13</xm:f>
            <x14:dxf>
              <font>
                <b/>
                <i val="0"/>
                <color theme="0"/>
              </font>
              <fill>
                <patternFill>
                  <bgColor theme="9" tint="-0.499984740745262"/>
                </patternFill>
              </fill>
            </x14:dxf>
          </x14:cfRule>
          <x14:cfRule type="expression" priority="146" id="{414BE13B-B6FB-4292-8E7D-841AD78422B0}">
            <xm:f>$L3=FilterSpecs!$F$12</xm:f>
            <x14:dxf>
              <font>
                <b/>
                <i val="0"/>
                <color theme="0"/>
              </font>
              <fill>
                <patternFill>
                  <bgColor rgb="FFFF4F4F"/>
                </patternFill>
              </fill>
            </x14:dxf>
          </x14:cfRule>
          <x14:cfRule type="expression" priority="147" id="{C476FCE9-7440-481A-8489-E9DF53328ADE}">
            <xm:f>$L3=FilterSpecs!$F$9</xm:f>
            <x14:dxf>
              <font>
                <b/>
                <i val="0"/>
                <color theme="0"/>
              </font>
              <fill>
                <patternFill>
                  <bgColor rgb="FFFF0000"/>
                </patternFill>
              </fill>
            </x14:dxf>
          </x14:cfRule>
          <x14:cfRule type="expression" priority="149" id="{C0AF9D5E-B41B-4DA4-9E51-3B4E9C732698}">
            <xm:f>$L3=FilterSpecs!$F$7</xm:f>
            <x14:dxf>
              <font>
                <b/>
                <i val="0"/>
                <color theme="0"/>
              </font>
              <fill>
                <patternFill>
                  <bgColor rgb="FF00B0F0"/>
                </patternFill>
              </fill>
            </x14:dxf>
          </x14:cfRule>
          <x14:cfRule type="expression" priority="150" id="{247BB0B7-F921-4098-A6E6-E6741A426D43}">
            <xm:f>$L3=FilterSpecs!$F$10</xm:f>
            <x14:dxf>
              <font>
                <b/>
                <i val="0"/>
                <color theme="0"/>
              </font>
              <fill>
                <patternFill>
                  <bgColor rgb="FF002060"/>
                </patternFill>
              </fill>
            </x14:dxf>
          </x14:cfRule>
          <x14:cfRule type="expression" priority="151" id="{A0435D68-3CE9-499B-9224-D48C0EE59F87}">
            <xm:f>$L3=FilterSpecs!$F$8</xm:f>
            <x14:dxf>
              <font>
                <b/>
                <i val="0"/>
                <color theme="0"/>
              </font>
              <fill>
                <patternFill>
                  <bgColor rgb="FFFFC000"/>
                </patternFill>
              </fill>
            </x14:dxf>
          </x14:cfRule>
          <x14:cfRule type="expression" priority="152" id="{9D501C1F-4785-426E-A072-759B20F342E6}">
            <xm:f>$L3=FilterSpecs!$F$10</xm:f>
            <x14:dxf>
              <font>
                <b/>
                <i val="0"/>
                <color theme="0"/>
              </font>
              <fill>
                <patternFill>
                  <bgColor rgb="FF002060"/>
                </patternFill>
              </fill>
            </x14:dxf>
          </x14:cfRule>
          <x14:cfRule type="expression" priority="153" id="{D4CC68EC-774A-4FDC-B2BA-A650D20EF801}">
            <xm:f>$L3=FilterSpecs!$F$8</xm:f>
            <x14:dxf>
              <font>
                <b/>
                <i val="0"/>
                <color theme="0"/>
              </font>
              <fill>
                <patternFill>
                  <bgColor rgb="FFFFC000"/>
                </patternFill>
              </fill>
            </x14:dxf>
          </x14:cfRule>
          <x14:cfRule type="expression" priority="154" id="{D48E6108-B514-4D16-8853-3721FC7B72A4}">
            <xm:f>$L3=FilterSpecs!$F$7</xm:f>
            <x14:dxf>
              <font>
                <b/>
                <i val="0"/>
                <color theme="0"/>
              </font>
              <fill>
                <patternFill>
                  <bgColor rgb="FF00B0F0"/>
                </patternFill>
              </fill>
            </x14:dxf>
          </x14:cfRule>
          <xm:sqref>A3:R29</xm:sqref>
        </x14:conditionalFormatting>
        <x14:conditionalFormatting xmlns:xm="http://schemas.microsoft.com/office/excel/2006/main">
          <x14:cfRule type="expression" priority="133" id="{4BA33A91-22A2-43B6-8838-60BE792A67EB}">
            <xm:f>$L2=FilterSpecs!$F$13</xm:f>
            <x14:dxf>
              <font>
                <b/>
                <i val="0"/>
                <color theme="0"/>
              </font>
              <fill>
                <patternFill>
                  <bgColor theme="9" tint="-0.499984740745262"/>
                </patternFill>
              </fill>
            </x14:dxf>
          </x14:cfRule>
          <x14:cfRule type="expression" priority="134" id="{956EED72-F01E-4D91-BDE0-4F948BC1D63C}">
            <xm:f>$L2=FilterSpecs!$E$13</xm:f>
            <x14:dxf>
              <font>
                <b/>
                <i val="0"/>
                <color theme="0"/>
              </font>
              <fill>
                <patternFill>
                  <bgColor theme="9" tint="-0.499984740745262"/>
                </patternFill>
              </fill>
            </x14:dxf>
          </x14:cfRule>
          <x14:cfRule type="expression" priority="135" id="{05929D29-E78E-4886-9069-3F5999BBF821}">
            <xm:f>$L2=FilterSpecs!$F$12</xm:f>
            <x14:dxf>
              <font>
                <b/>
                <i val="0"/>
                <color theme="0"/>
              </font>
              <fill>
                <patternFill>
                  <bgColor rgb="FFFF4F4F"/>
                </patternFill>
              </fill>
            </x14:dxf>
          </x14:cfRule>
          <x14:cfRule type="expression" priority="136" id="{D45D6527-BD40-4042-94A9-A4BD5556C72D}">
            <xm:f>$L2=FilterSpecs!$F$9</xm:f>
            <x14:dxf>
              <font>
                <b/>
                <i val="0"/>
                <color theme="0"/>
              </font>
              <fill>
                <patternFill>
                  <bgColor rgb="FFFF0000"/>
                </patternFill>
              </fill>
            </x14:dxf>
          </x14:cfRule>
          <x14:cfRule type="expression" priority="138" id="{9E8A434B-A175-437A-98F8-FB39905AEF83}">
            <xm:f>$L2=FilterSpecs!$F$7</xm:f>
            <x14:dxf>
              <font>
                <b/>
                <i val="0"/>
                <color theme="0"/>
              </font>
              <fill>
                <patternFill>
                  <bgColor rgb="FF00B0F0"/>
                </patternFill>
              </fill>
            </x14:dxf>
          </x14:cfRule>
          <x14:cfRule type="expression" priority="139" id="{6F52EE48-19A8-4BAF-95C8-177CAE9BF0B5}">
            <xm:f>$L2=FilterSpecs!$F$10</xm:f>
            <x14:dxf>
              <font>
                <b/>
                <i val="0"/>
                <color theme="0"/>
              </font>
              <fill>
                <patternFill>
                  <bgColor rgb="FF002060"/>
                </patternFill>
              </fill>
            </x14:dxf>
          </x14:cfRule>
          <x14:cfRule type="expression" priority="140" id="{4BBD832C-9371-4756-A43D-B57D41A0EBD3}">
            <xm:f>$L2=FilterSpecs!$F$8</xm:f>
            <x14:dxf>
              <font>
                <b/>
                <i val="0"/>
                <color theme="0"/>
              </font>
              <fill>
                <patternFill>
                  <bgColor rgb="FFFFC000"/>
                </patternFill>
              </fill>
            </x14:dxf>
          </x14:cfRule>
          <x14:cfRule type="expression" priority="141" id="{99C4F107-6887-4E3C-A66D-1AD7AC0BCA1A}">
            <xm:f>$L2=FilterSpecs!$F$10</xm:f>
            <x14:dxf>
              <font>
                <b/>
                <i val="0"/>
                <color theme="0"/>
              </font>
              <fill>
                <patternFill>
                  <bgColor rgb="FF002060"/>
                </patternFill>
              </fill>
            </x14:dxf>
          </x14:cfRule>
          <x14:cfRule type="expression" priority="142" id="{D5FF84B7-4730-4AC7-8D0E-D2A154295239}">
            <xm:f>$L2=FilterSpecs!$F$8</xm:f>
            <x14:dxf>
              <font>
                <b/>
                <i val="0"/>
                <color theme="0"/>
              </font>
              <fill>
                <patternFill>
                  <bgColor rgb="FFFFC000"/>
                </patternFill>
              </fill>
            </x14:dxf>
          </x14:cfRule>
          <x14:cfRule type="expression" priority="143" id="{A49236B6-8F93-4966-BB50-ED663B4AFC90}">
            <xm:f>$L2=FilterSpecs!$F$7</xm:f>
            <x14:dxf>
              <font>
                <b/>
                <i val="0"/>
                <color theme="0"/>
              </font>
              <fill>
                <patternFill>
                  <bgColor rgb="FF00B0F0"/>
                </patternFill>
              </fill>
            </x14:dxf>
          </x14:cfRule>
          <xm:sqref>G2</xm:sqref>
        </x14:conditionalFormatting>
        <x14:conditionalFormatting xmlns:xm="http://schemas.microsoft.com/office/excel/2006/main">
          <x14:cfRule type="expression" priority="122" id="{358A34C0-987B-4105-B430-FB61A9971583}">
            <xm:f>$L2=FilterSpecs!$F$13</xm:f>
            <x14:dxf>
              <font>
                <b/>
                <i val="0"/>
                <color theme="0"/>
              </font>
              <fill>
                <patternFill>
                  <bgColor theme="9" tint="-0.499984740745262"/>
                </patternFill>
              </fill>
            </x14:dxf>
          </x14:cfRule>
          <x14:cfRule type="expression" priority="123" id="{251C16DB-3F76-40E5-BFBA-EE96FF077247}">
            <xm:f>$L2=FilterSpecs!$E$13</xm:f>
            <x14:dxf>
              <font>
                <b/>
                <i val="0"/>
                <color theme="0"/>
              </font>
              <fill>
                <patternFill>
                  <bgColor theme="9" tint="-0.499984740745262"/>
                </patternFill>
              </fill>
            </x14:dxf>
          </x14:cfRule>
          <x14:cfRule type="expression" priority="124" id="{FD72ED0F-6961-4DB7-BF93-4CA7E77F32C2}">
            <xm:f>$L2=FilterSpecs!$F$12</xm:f>
            <x14:dxf>
              <font>
                <b/>
                <i val="0"/>
                <color theme="0"/>
              </font>
              <fill>
                <patternFill>
                  <bgColor rgb="FFFF4F4F"/>
                </patternFill>
              </fill>
            </x14:dxf>
          </x14:cfRule>
          <x14:cfRule type="expression" priority="125" id="{51AE1B2A-5D84-401F-A470-EA44D46CA27A}">
            <xm:f>$L2=FilterSpecs!$F$9</xm:f>
            <x14:dxf>
              <font>
                <b/>
                <i val="0"/>
                <color theme="0"/>
              </font>
              <fill>
                <patternFill>
                  <bgColor rgb="FFFF0000"/>
                </patternFill>
              </fill>
            </x14:dxf>
          </x14:cfRule>
          <x14:cfRule type="expression" priority="127" id="{B969E1B1-0148-44F8-86A8-AA0AFBC2E4D8}">
            <xm:f>$L2=FilterSpecs!$F$7</xm:f>
            <x14:dxf>
              <font>
                <b/>
                <i val="0"/>
                <color theme="0"/>
              </font>
              <fill>
                <patternFill>
                  <bgColor rgb="FF00B0F0"/>
                </patternFill>
              </fill>
            </x14:dxf>
          </x14:cfRule>
          <x14:cfRule type="expression" priority="128" id="{C397C986-C9D3-4FA8-A8B2-A0FE59836EDF}">
            <xm:f>$L2=FilterSpecs!$F$10</xm:f>
            <x14:dxf>
              <font>
                <b/>
                <i val="0"/>
                <color theme="0"/>
              </font>
              <fill>
                <patternFill>
                  <bgColor rgb="FF002060"/>
                </patternFill>
              </fill>
            </x14:dxf>
          </x14:cfRule>
          <x14:cfRule type="expression" priority="129" id="{5448A93E-D924-41BE-B13D-03026B08F6FD}">
            <xm:f>$L2=FilterSpecs!$F$8</xm:f>
            <x14:dxf>
              <font>
                <b/>
                <i val="0"/>
                <color theme="0"/>
              </font>
              <fill>
                <patternFill>
                  <bgColor rgb="FFFFC000"/>
                </patternFill>
              </fill>
            </x14:dxf>
          </x14:cfRule>
          <x14:cfRule type="expression" priority="130" id="{9BF349C3-8B9B-4E22-B452-EDE9D6780984}">
            <xm:f>$L2=FilterSpecs!$F$10</xm:f>
            <x14:dxf>
              <font>
                <b/>
                <i val="0"/>
                <color theme="0"/>
              </font>
              <fill>
                <patternFill>
                  <bgColor rgb="FF002060"/>
                </patternFill>
              </fill>
            </x14:dxf>
          </x14:cfRule>
          <x14:cfRule type="expression" priority="131" id="{C37BC8BE-E11A-4633-94A0-B54EC4501027}">
            <xm:f>$L2=FilterSpecs!$F$8</xm:f>
            <x14:dxf>
              <font>
                <b/>
                <i val="0"/>
                <color theme="0"/>
              </font>
              <fill>
                <patternFill>
                  <bgColor rgb="FFFFC000"/>
                </patternFill>
              </fill>
            </x14:dxf>
          </x14:cfRule>
          <x14:cfRule type="expression" priority="132" id="{9970F637-B9AB-4AB4-9897-CC8C8D6462B9}">
            <xm:f>$L2=FilterSpecs!$F$7</xm:f>
            <x14:dxf>
              <font>
                <b/>
                <i val="0"/>
                <color theme="0"/>
              </font>
              <fill>
                <patternFill>
                  <bgColor rgb="FF00B0F0"/>
                </patternFill>
              </fill>
            </x14:dxf>
          </x14:cfRule>
          <xm:sqref>H2</xm:sqref>
        </x14:conditionalFormatting>
        <x14:conditionalFormatting xmlns:xm="http://schemas.microsoft.com/office/excel/2006/main">
          <x14:cfRule type="expression" priority="111" id="{0C962AA2-24C1-4CA0-BFA4-DCBFE58E0155}">
            <xm:f>$K31=FilterSpecs!$F$13</xm:f>
            <x14:dxf>
              <font>
                <b/>
                <i val="0"/>
                <color theme="0"/>
              </font>
              <fill>
                <patternFill>
                  <bgColor theme="9" tint="-0.499984740745262"/>
                </patternFill>
              </fill>
            </x14:dxf>
          </x14:cfRule>
          <x14:cfRule type="expression" priority="112" id="{71B6D6BD-885C-4628-9887-7AC6E8A6F874}">
            <xm:f>$K31=FilterSpecs!$E$13</xm:f>
            <x14:dxf>
              <font>
                <b/>
                <i val="0"/>
                <color theme="0"/>
              </font>
              <fill>
                <patternFill>
                  <bgColor theme="9" tint="-0.499984740745262"/>
                </patternFill>
              </fill>
            </x14:dxf>
          </x14:cfRule>
          <x14:cfRule type="expression" priority="113" id="{B2CA8DBA-E272-463F-BDFA-30BFCE544C54}">
            <xm:f>$K31=FilterSpecs!$F$12</xm:f>
            <x14:dxf>
              <font>
                <b/>
                <i val="0"/>
                <color theme="0"/>
              </font>
              <fill>
                <patternFill>
                  <bgColor rgb="FFFF4F4F"/>
                </patternFill>
              </fill>
            </x14:dxf>
          </x14:cfRule>
          <x14:cfRule type="expression" priority="114" id="{1A5B9AFC-3969-4F18-A255-F922B25A631A}">
            <xm:f>$K31=FilterSpecs!$F$9</xm:f>
            <x14:dxf>
              <font>
                <b/>
                <i val="0"/>
                <color theme="0"/>
              </font>
              <fill>
                <patternFill>
                  <bgColor rgb="FFFF0000"/>
                </patternFill>
              </fill>
            </x14:dxf>
          </x14:cfRule>
          <x14:cfRule type="expression" priority="116" id="{81B3E519-38DF-4591-B5F3-5B7C1702DB02}">
            <xm:f>$K31=FilterSpecs!$F$7</xm:f>
            <x14:dxf>
              <font>
                <b/>
                <i val="0"/>
                <color theme="0"/>
              </font>
              <fill>
                <patternFill>
                  <bgColor rgb="FF00B0F0"/>
                </patternFill>
              </fill>
            </x14:dxf>
          </x14:cfRule>
          <x14:cfRule type="expression" priority="117" id="{375952B3-DA18-4945-9196-D9EACD7F6CBF}">
            <xm:f>$K31=FilterSpecs!$F$10</xm:f>
            <x14:dxf>
              <font>
                <b/>
                <i val="0"/>
                <color theme="0"/>
              </font>
              <fill>
                <patternFill>
                  <bgColor rgb="FF002060"/>
                </patternFill>
              </fill>
            </x14:dxf>
          </x14:cfRule>
          <x14:cfRule type="expression" priority="118" id="{13B49586-67C3-4D28-A448-9531636396CF}">
            <xm:f>$K31=FilterSpecs!$F$8</xm:f>
            <x14:dxf>
              <font>
                <b/>
                <i val="0"/>
                <color theme="0"/>
              </font>
              <fill>
                <patternFill>
                  <bgColor rgb="FFFFC000"/>
                </patternFill>
              </fill>
            </x14:dxf>
          </x14:cfRule>
          <x14:cfRule type="expression" priority="119" id="{51E8D22F-C6FA-4F6B-BFF4-92B5CCA209BB}">
            <xm:f>$K31=FilterSpecs!$F$10</xm:f>
            <x14:dxf>
              <font>
                <b/>
                <i val="0"/>
                <color theme="0"/>
              </font>
              <fill>
                <patternFill>
                  <bgColor rgb="FF002060"/>
                </patternFill>
              </fill>
            </x14:dxf>
          </x14:cfRule>
          <x14:cfRule type="expression" priority="120" id="{36C429A3-5F1F-4B3C-A18C-F5F8039523D0}">
            <xm:f>$K31=FilterSpecs!$F$8</xm:f>
            <x14:dxf>
              <font>
                <b/>
                <i val="0"/>
                <color theme="0"/>
              </font>
              <fill>
                <patternFill>
                  <bgColor rgb="FFFFC000"/>
                </patternFill>
              </fill>
            </x14:dxf>
          </x14:cfRule>
          <x14:cfRule type="expression" priority="121" id="{87FD2326-3D2A-4959-BCCB-CA2E556B0CE9}">
            <xm:f>$K31=FilterSpecs!$F$7</xm:f>
            <x14:dxf>
              <font>
                <b/>
                <i val="0"/>
                <color theme="0"/>
              </font>
              <fill>
                <patternFill>
                  <bgColor rgb="FF00B0F0"/>
                </patternFill>
              </fill>
            </x14:dxf>
          </x14:cfRule>
          <xm:sqref>A31:M31</xm:sqref>
        </x14:conditionalFormatting>
        <x14:conditionalFormatting xmlns:xm="http://schemas.microsoft.com/office/excel/2006/main">
          <x14:cfRule type="expression" priority="100" id="{536FC80A-D889-426E-B3C6-09446724B11C}">
            <xm:f>$K2=FilterSpecs!$F$13</xm:f>
            <x14:dxf>
              <font>
                <b/>
                <i val="0"/>
                <color theme="0"/>
              </font>
              <fill>
                <patternFill>
                  <bgColor theme="9" tint="-0.499984740745262"/>
                </patternFill>
              </fill>
            </x14:dxf>
          </x14:cfRule>
          <x14:cfRule type="expression" priority="101" id="{275CD4B9-261D-4CC2-A8BD-9E0BE9AA4134}">
            <xm:f>$K2=FilterSpecs!$E$13</xm:f>
            <x14:dxf>
              <font>
                <b/>
                <i val="0"/>
                <color theme="0"/>
              </font>
              <fill>
                <patternFill>
                  <bgColor theme="9" tint="-0.499984740745262"/>
                </patternFill>
              </fill>
            </x14:dxf>
          </x14:cfRule>
          <x14:cfRule type="expression" priority="102" id="{21923DF2-17F7-4FB4-9661-C90FB346EFE0}">
            <xm:f>$K2=FilterSpecs!$F$12</xm:f>
            <x14:dxf>
              <font>
                <b/>
                <i val="0"/>
                <color theme="0"/>
              </font>
              <fill>
                <patternFill>
                  <bgColor rgb="FFFF4F4F"/>
                </patternFill>
              </fill>
            </x14:dxf>
          </x14:cfRule>
          <x14:cfRule type="expression" priority="103" id="{53FBF865-F686-4BE9-9A2D-B45225069690}">
            <xm:f>$K2=FilterSpecs!$F$9</xm:f>
            <x14:dxf>
              <font>
                <b/>
                <i val="0"/>
                <color theme="0"/>
              </font>
              <fill>
                <patternFill>
                  <bgColor rgb="FFFF0000"/>
                </patternFill>
              </fill>
            </x14:dxf>
          </x14:cfRule>
          <x14:cfRule type="expression" priority="105" id="{749756F9-47D7-42AD-8DD7-001FDDAA0876}">
            <xm:f>$K2=FilterSpecs!$F$7</xm:f>
            <x14:dxf>
              <font>
                <b/>
                <i val="0"/>
                <color theme="0"/>
              </font>
              <fill>
                <patternFill>
                  <bgColor rgb="FF00B0F0"/>
                </patternFill>
              </fill>
            </x14:dxf>
          </x14:cfRule>
          <x14:cfRule type="expression" priority="106" id="{F0D5AEAE-5416-47B1-8350-CAD04C9B137B}">
            <xm:f>$K2=FilterSpecs!$F$10</xm:f>
            <x14:dxf>
              <font>
                <b/>
                <i val="0"/>
                <color theme="0"/>
              </font>
              <fill>
                <patternFill>
                  <bgColor rgb="FF002060"/>
                </patternFill>
              </fill>
            </x14:dxf>
          </x14:cfRule>
          <x14:cfRule type="expression" priority="107" id="{A93678DD-F27E-43E5-9156-77B9B9B29AE6}">
            <xm:f>$K2=FilterSpecs!$F$8</xm:f>
            <x14:dxf>
              <font>
                <b/>
                <i val="0"/>
                <color theme="0"/>
              </font>
              <fill>
                <patternFill>
                  <bgColor rgb="FFFFC000"/>
                </patternFill>
              </fill>
            </x14:dxf>
          </x14:cfRule>
          <x14:cfRule type="expression" priority="108" id="{5842775D-8BD8-4FF8-AE25-6A1120B874ED}">
            <xm:f>$K2=FilterSpecs!$F$10</xm:f>
            <x14:dxf>
              <font>
                <b/>
                <i val="0"/>
                <color theme="0"/>
              </font>
              <fill>
                <patternFill>
                  <bgColor rgb="FF002060"/>
                </patternFill>
              </fill>
            </x14:dxf>
          </x14:cfRule>
          <x14:cfRule type="expression" priority="109" id="{5D9C9ED9-FEA6-497C-B739-7C46CA8E6C18}">
            <xm:f>$K2=FilterSpecs!$F$8</xm:f>
            <x14:dxf>
              <font>
                <b/>
                <i val="0"/>
                <color theme="0"/>
              </font>
              <fill>
                <patternFill>
                  <bgColor rgb="FFFFC000"/>
                </patternFill>
              </fill>
            </x14:dxf>
          </x14:cfRule>
          <x14:cfRule type="expression" priority="110" id="{04995DDF-C6FF-4C82-B1A9-E4C8DB89024C}">
            <xm:f>$K2=FilterSpecs!$F$7</xm:f>
            <x14:dxf>
              <font>
                <b/>
                <i val="0"/>
                <color theme="0"/>
              </font>
              <fill>
                <patternFill>
                  <bgColor rgb="FF00B0F0"/>
                </patternFill>
              </fill>
            </x14:dxf>
          </x14:cfRule>
          <xm:sqref>D2:F2</xm:sqref>
        </x14:conditionalFormatting>
        <x14:conditionalFormatting xmlns:xm="http://schemas.microsoft.com/office/excel/2006/main">
          <x14:cfRule type="expression" priority="89" id="{4030F607-4F61-463C-A674-4B68C4D3683F}">
            <xm:f>$K33=FilterSpecs!$F$13</xm:f>
            <x14:dxf>
              <font>
                <b/>
                <i val="0"/>
                <color theme="0"/>
              </font>
              <fill>
                <patternFill>
                  <bgColor theme="9" tint="-0.499984740745262"/>
                </patternFill>
              </fill>
            </x14:dxf>
          </x14:cfRule>
          <x14:cfRule type="expression" priority="90" id="{07E08655-58E8-4A1F-B7DE-FE04E0CFD3D4}">
            <xm:f>$K33=FilterSpecs!$E$13</xm:f>
            <x14:dxf>
              <font>
                <b/>
                <i val="0"/>
                <color theme="0"/>
              </font>
              <fill>
                <patternFill>
                  <bgColor theme="9" tint="-0.499984740745262"/>
                </patternFill>
              </fill>
            </x14:dxf>
          </x14:cfRule>
          <x14:cfRule type="expression" priority="91" id="{7FACD61C-310E-44EC-9558-63D543D429E1}">
            <xm:f>$K33=FilterSpecs!$F$12</xm:f>
            <x14:dxf>
              <font>
                <b/>
                <i val="0"/>
                <color theme="0"/>
              </font>
              <fill>
                <patternFill>
                  <bgColor rgb="FFFF4F4F"/>
                </patternFill>
              </fill>
            </x14:dxf>
          </x14:cfRule>
          <x14:cfRule type="expression" priority="92" id="{341E062C-762F-4E7F-BAC7-D365FCB9462F}">
            <xm:f>$K33=FilterSpecs!$F$9</xm:f>
            <x14:dxf>
              <font>
                <b/>
                <i val="0"/>
                <color theme="0"/>
              </font>
              <fill>
                <patternFill>
                  <bgColor rgb="FFFF0000"/>
                </patternFill>
              </fill>
            </x14:dxf>
          </x14:cfRule>
          <x14:cfRule type="expression" priority="94" id="{4C5D7B65-BB6A-4725-854C-3B4D0C5A6CD7}">
            <xm:f>$K33=FilterSpecs!$F$7</xm:f>
            <x14:dxf>
              <font>
                <b/>
                <i val="0"/>
                <color theme="0"/>
              </font>
              <fill>
                <patternFill>
                  <bgColor rgb="FF00B0F0"/>
                </patternFill>
              </fill>
            </x14:dxf>
          </x14:cfRule>
          <x14:cfRule type="expression" priority="95" id="{D409FF45-BEB7-4FCD-8928-DFF8D6A770DB}">
            <xm:f>$K33=FilterSpecs!$F$10</xm:f>
            <x14:dxf>
              <font>
                <b/>
                <i val="0"/>
                <color theme="0"/>
              </font>
              <fill>
                <patternFill>
                  <bgColor rgb="FF002060"/>
                </patternFill>
              </fill>
            </x14:dxf>
          </x14:cfRule>
          <x14:cfRule type="expression" priority="96" id="{6EF87AD3-FF7C-4A3F-A622-A9C394218C90}">
            <xm:f>$K33=FilterSpecs!$F$8</xm:f>
            <x14:dxf>
              <font>
                <b/>
                <i val="0"/>
                <color theme="0"/>
              </font>
              <fill>
                <patternFill>
                  <bgColor rgb="FFFFC000"/>
                </patternFill>
              </fill>
            </x14:dxf>
          </x14:cfRule>
          <x14:cfRule type="expression" priority="97" id="{9145F522-6B14-4F58-8038-B79101717777}">
            <xm:f>$K33=FilterSpecs!$F$10</xm:f>
            <x14:dxf>
              <font>
                <b/>
                <i val="0"/>
                <color theme="0"/>
              </font>
              <fill>
                <patternFill>
                  <bgColor rgb="FF002060"/>
                </patternFill>
              </fill>
            </x14:dxf>
          </x14:cfRule>
          <x14:cfRule type="expression" priority="98" id="{59177DC3-0C76-44FE-A63E-6D821FE6DD4A}">
            <xm:f>$K33=FilterSpecs!$F$8</xm:f>
            <x14:dxf>
              <font>
                <b/>
                <i val="0"/>
                <color theme="0"/>
              </font>
              <fill>
                <patternFill>
                  <bgColor rgb="FFFFC000"/>
                </patternFill>
              </fill>
            </x14:dxf>
          </x14:cfRule>
          <x14:cfRule type="expression" priority="99" id="{2C1926B1-FC96-4706-9E63-B9D85853A416}">
            <xm:f>$K33=FilterSpecs!$F$7</xm:f>
            <x14:dxf>
              <font>
                <b/>
                <i val="0"/>
                <color theme="0"/>
              </font>
              <fill>
                <patternFill>
                  <bgColor rgb="FF00B0F0"/>
                </patternFill>
              </fill>
            </x14:dxf>
          </x14:cfRule>
          <xm:sqref>D33:F33</xm:sqref>
        </x14:conditionalFormatting>
        <x14:conditionalFormatting xmlns:xm="http://schemas.microsoft.com/office/excel/2006/main">
          <x14:cfRule type="expression" priority="78" id="{EB1221B1-E49E-4059-8342-EF4D89A710DF}">
            <xm:f>$K38=FilterSpecs!$F$13</xm:f>
            <x14:dxf>
              <font>
                <b/>
                <i val="0"/>
                <color theme="0"/>
              </font>
              <fill>
                <patternFill>
                  <bgColor theme="9" tint="-0.499984740745262"/>
                </patternFill>
              </fill>
            </x14:dxf>
          </x14:cfRule>
          <x14:cfRule type="expression" priority="79" id="{63DD6BB5-123D-4DDB-BA31-8BC23361B562}">
            <xm:f>$K38=FilterSpecs!$E$13</xm:f>
            <x14:dxf>
              <font>
                <b/>
                <i val="0"/>
                <color theme="0"/>
              </font>
              <fill>
                <patternFill>
                  <bgColor theme="9" tint="-0.499984740745262"/>
                </patternFill>
              </fill>
            </x14:dxf>
          </x14:cfRule>
          <x14:cfRule type="expression" priority="80" id="{517AB8CC-35AF-450E-9BBE-06E6A547D5D7}">
            <xm:f>$K38=FilterSpecs!$F$12</xm:f>
            <x14:dxf>
              <font>
                <b/>
                <i val="0"/>
                <color theme="0"/>
              </font>
              <fill>
                <patternFill>
                  <bgColor rgb="FFFF4F4F"/>
                </patternFill>
              </fill>
            </x14:dxf>
          </x14:cfRule>
          <x14:cfRule type="expression" priority="81" id="{B1FD4247-08BE-4315-A80A-9A5A65350E9D}">
            <xm:f>$K38=FilterSpecs!$F$9</xm:f>
            <x14:dxf>
              <font>
                <b/>
                <i val="0"/>
                <color theme="0"/>
              </font>
              <fill>
                <patternFill>
                  <bgColor rgb="FFFF0000"/>
                </patternFill>
              </fill>
            </x14:dxf>
          </x14:cfRule>
          <x14:cfRule type="expression" priority="83" id="{0E02F78F-8A00-4782-804E-7ECFD03C4512}">
            <xm:f>$K38=FilterSpecs!$F$7</xm:f>
            <x14:dxf>
              <font>
                <b/>
                <i val="0"/>
                <color theme="0"/>
              </font>
              <fill>
                <patternFill>
                  <bgColor rgb="FF00B0F0"/>
                </patternFill>
              </fill>
            </x14:dxf>
          </x14:cfRule>
          <x14:cfRule type="expression" priority="84" id="{765F39EC-4103-4258-A392-CF7C96340ED3}">
            <xm:f>$K38=FilterSpecs!$F$10</xm:f>
            <x14:dxf>
              <font>
                <b/>
                <i val="0"/>
                <color theme="0"/>
              </font>
              <fill>
                <patternFill>
                  <bgColor rgb="FF002060"/>
                </patternFill>
              </fill>
            </x14:dxf>
          </x14:cfRule>
          <x14:cfRule type="expression" priority="85" id="{67E40E19-D54B-4ED5-BBF9-2A8B712DD7CF}">
            <xm:f>$K38=FilterSpecs!$F$8</xm:f>
            <x14:dxf>
              <font>
                <b/>
                <i val="0"/>
                <color theme="0"/>
              </font>
              <fill>
                <patternFill>
                  <bgColor rgb="FFFFC000"/>
                </patternFill>
              </fill>
            </x14:dxf>
          </x14:cfRule>
          <x14:cfRule type="expression" priority="86" id="{3EEBB8BF-629E-446C-99EA-081FCD6B2D45}">
            <xm:f>$K38=FilterSpecs!$F$10</xm:f>
            <x14:dxf>
              <font>
                <b/>
                <i val="0"/>
                <color theme="0"/>
              </font>
              <fill>
                <patternFill>
                  <bgColor rgb="FF002060"/>
                </patternFill>
              </fill>
            </x14:dxf>
          </x14:cfRule>
          <x14:cfRule type="expression" priority="87" id="{C1326F9B-B70B-4988-8C3D-F70A0E6CDA17}">
            <xm:f>$K38=FilterSpecs!$F$8</xm:f>
            <x14:dxf>
              <font>
                <b/>
                <i val="0"/>
                <color theme="0"/>
              </font>
              <fill>
                <patternFill>
                  <bgColor rgb="FFFFC000"/>
                </patternFill>
              </fill>
            </x14:dxf>
          </x14:cfRule>
          <x14:cfRule type="expression" priority="88" id="{F608F0BA-8160-4ED6-A6FC-5FBDEEB31235}">
            <xm:f>$K38=FilterSpecs!$F$7</xm:f>
            <x14:dxf>
              <font>
                <b/>
                <i val="0"/>
                <color theme="0"/>
              </font>
              <fill>
                <patternFill>
                  <bgColor rgb="FF00B0F0"/>
                </patternFill>
              </fill>
            </x14:dxf>
          </x14:cfRule>
          <xm:sqref>H38:M38</xm:sqref>
        </x14:conditionalFormatting>
        <x14:conditionalFormatting xmlns:xm="http://schemas.microsoft.com/office/excel/2006/main">
          <x14:cfRule type="expression" priority="67" id="{D4E014DB-BD5C-4F88-9AF8-47B6B410C2D7}">
            <xm:f>$K2=FilterSpecs!$F$13</xm:f>
            <x14:dxf>
              <font>
                <b/>
                <i val="0"/>
                <color theme="0"/>
              </font>
              <fill>
                <patternFill>
                  <bgColor theme="9" tint="-0.499984740745262"/>
                </patternFill>
              </fill>
            </x14:dxf>
          </x14:cfRule>
          <x14:cfRule type="expression" priority="68" id="{A724D21E-22F4-44D2-B448-DC7AD0F42C5D}">
            <xm:f>$K2=FilterSpecs!$E$13</xm:f>
            <x14:dxf>
              <font>
                <b/>
                <i val="0"/>
                <color theme="0"/>
              </font>
              <fill>
                <patternFill>
                  <bgColor theme="9" tint="-0.499984740745262"/>
                </patternFill>
              </fill>
            </x14:dxf>
          </x14:cfRule>
          <x14:cfRule type="expression" priority="69" id="{A69A15EC-A12D-4126-B571-B061F8B0A73F}">
            <xm:f>$K2=FilterSpecs!$F$12</xm:f>
            <x14:dxf>
              <font>
                <b/>
                <i val="0"/>
                <color theme="0"/>
              </font>
              <fill>
                <patternFill>
                  <bgColor rgb="FFFF4F4F"/>
                </patternFill>
              </fill>
            </x14:dxf>
          </x14:cfRule>
          <x14:cfRule type="expression" priority="70" id="{DFC7364F-1F46-4A87-821D-0B7A28BE7A52}">
            <xm:f>$K2=FilterSpecs!$F$9</xm:f>
            <x14:dxf>
              <font>
                <b/>
                <i val="0"/>
                <color theme="0"/>
              </font>
              <fill>
                <patternFill>
                  <bgColor rgb="FFFF0000"/>
                </patternFill>
              </fill>
            </x14:dxf>
          </x14:cfRule>
          <x14:cfRule type="expression" priority="72" id="{4FADDD3A-973D-40CE-839A-6F1AF10C8284}">
            <xm:f>$K2=FilterSpecs!$F$7</xm:f>
            <x14:dxf>
              <font>
                <b/>
                <i val="0"/>
                <color theme="0"/>
              </font>
              <fill>
                <patternFill>
                  <bgColor rgb="FF00B0F0"/>
                </patternFill>
              </fill>
            </x14:dxf>
          </x14:cfRule>
          <x14:cfRule type="expression" priority="73" id="{AB2301F7-426C-48A1-9EDB-A6067ED90C83}">
            <xm:f>$K2=FilterSpecs!$F$10</xm:f>
            <x14:dxf>
              <font>
                <b/>
                <i val="0"/>
                <color theme="0"/>
              </font>
              <fill>
                <patternFill>
                  <bgColor rgb="FF002060"/>
                </patternFill>
              </fill>
            </x14:dxf>
          </x14:cfRule>
          <x14:cfRule type="expression" priority="74" id="{6CF818E1-9430-46BA-88F0-7E3DC53917CB}">
            <xm:f>$K2=FilterSpecs!$F$8</xm:f>
            <x14:dxf>
              <font>
                <b/>
                <i val="0"/>
                <color theme="0"/>
              </font>
              <fill>
                <patternFill>
                  <bgColor rgb="FFFFC000"/>
                </patternFill>
              </fill>
            </x14:dxf>
          </x14:cfRule>
          <x14:cfRule type="expression" priority="75" id="{6AAAC920-60E9-4401-809A-7AF8E18698C1}">
            <xm:f>$K2=FilterSpecs!$F$10</xm:f>
            <x14:dxf>
              <font>
                <b/>
                <i val="0"/>
                <color theme="0"/>
              </font>
              <fill>
                <patternFill>
                  <bgColor rgb="FF002060"/>
                </patternFill>
              </fill>
            </x14:dxf>
          </x14:cfRule>
          <x14:cfRule type="expression" priority="76" id="{15C32F2E-CD12-4EF7-A285-F8D4EE9CBF05}">
            <xm:f>$K2=FilterSpecs!$F$8</xm:f>
            <x14:dxf>
              <font>
                <b/>
                <i val="0"/>
                <color theme="0"/>
              </font>
              <fill>
                <patternFill>
                  <bgColor rgb="FFFFC000"/>
                </patternFill>
              </fill>
            </x14:dxf>
          </x14:cfRule>
          <x14:cfRule type="expression" priority="77" id="{BDB5CEA5-9B64-442F-AF1D-B67E8C355549}">
            <xm:f>$K2=FilterSpecs!$F$7</xm:f>
            <x14:dxf>
              <font>
                <b/>
                <i val="0"/>
                <color theme="0"/>
              </font>
              <fill>
                <patternFill>
                  <bgColor rgb="FF00B0F0"/>
                </patternFill>
              </fill>
            </x14:dxf>
          </x14:cfRule>
          <xm:sqref>A2</xm:sqref>
        </x14:conditionalFormatting>
        <x14:conditionalFormatting xmlns:xm="http://schemas.microsoft.com/office/excel/2006/main">
          <x14:cfRule type="expression" priority="56" id="{DF36E852-409F-4235-972B-A4770AD1368B}">
            <xm:f>$K2=FilterSpecs!$F$13</xm:f>
            <x14:dxf>
              <font>
                <b/>
                <i val="0"/>
                <color theme="0"/>
              </font>
              <fill>
                <patternFill>
                  <bgColor theme="9" tint="-0.499984740745262"/>
                </patternFill>
              </fill>
            </x14:dxf>
          </x14:cfRule>
          <x14:cfRule type="expression" priority="57" id="{A98CC1DC-8AAC-4D11-9B6C-CCD2516DD86A}">
            <xm:f>$K2=FilterSpecs!$E$13</xm:f>
            <x14:dxf>
              <font>
                <b/>
                <i val="0"/>
                <color theme="0"/>
              </font>
              <fill>
                <patternFill>
                  <bgColor theme="9" tint="-0.499984740745262"/>
                </patternFill>
              </fill>
            </x14:dxf>
          </x14:cfRule>
          <x14:cfRule type="expression" priority="58" id="{B4DBBCE7-B759-4801-9589-C608A96D6C68}">
            <xm:f>$K2=FilterSpecs!$F$12</xm:f>
            <x14:dxf>
              <font>
                <b/>
                <i val="0"/>
                <color theme="0"/>
              </font>
              <fill>
                <patternFill>
                  <bgColor rgb="FFFF4F4F"/>
                </patternFill>
              </fill>
            </x14:dxf>
          </x14:cfRule>
          <x14:cfRule type="expression" priority="59" id="{16C628F5-9E4A-4B7D-A8AD-EAC2F7862118}">
            <xm:f>$K2=FilterSpecs!$F$9</xm:f>
            <x14:dxf>
              <font>
                <b/>
                <i val="0"/>
                <color theme="0"/>
              </font>
              <fill>
                <patternFill>
                  <bgColor rgb="FFFF0000"/>
                </patternFill>
              </fill>
            </x14:dxf>
          </x14:cfRule>
          <x14:cfRule type="expression" priority="61" id="{59034E80-A576-47BA-A627-FA722C7A0EC3}">
            <xm:f>$K2=FilterSpecs!$F$7</xm:f>
            <x14:dxf>
              <font>
                <b/>
                <i val="0"/>
                <color theme="0"/>
              </font>
              <fill>
                <patternFill>
                  <bgColor rgb="FF00B0F0"/>
                </patternFill>
              </fill>
            </x14:dxf>
          </x14:cfRule>
          <x14:cfRule type="expression" priority="62" id="{D0D4AD5E-2996-471F-8616-B049C056E39E}">
            <xm:f>$K2=FilterSpecs!$F$10</xm:f>
            <x14:dxf>
              <font>
                <b/>
                <i val="0"/>
                <color theme="0"/>
              </font>
              <fill>
                <patternFill>
                  <bgColor rgb="FF002060"/>
                </patternFill>
              </fill>
            </x14:dxf>
          </x14:cfRule>
          <x14:cfRule type="expression" priority="63" id="{D95F2E3F-5ACB-4FF8-989F-A93413DBDF17}">
            <xm:f>$K2=FilterSpecs!$F$8</xm:f>
            <x14:dxf>
              <font>
                <b/>
                <i val="0"/>
                <color theme="0"/>
              </font>
              <fill>
                <patternFill>
                  <bgColor rgb="FFFFC000"/>
                </patternFill>
              </fill>
            </x14:dxf>
          </x14:cfRule>
          <x14:cfRule type="expression" priority="64" id="{5C2E0E73-CFD8-4216-9D4D-EDAED8FECD61}">
            <xm:f>$K2=FilterSpecs!$F$10</xm:f>
            <x14:dxf>
              <font>
                <b/>
                <i val="0"/>
                <color theme="0"/>
              </font>
              <fill>
                <patternFill>
                  <bgColor rgb="FF002060"/>
                </patternFill>
              </fill>
            </x14:dxf>
          </x14:cfRule>
          <x14:cfRule type="expression" priority="65" id="{C7215C56-3E74-4792-9EA2-90E8F67B0D18}">
            <xm:f>$K2=FilterSpecs!$F$8</xm:f>
            <x14:dxf>
              <font>
                <b/>
                <i val="0"/>
                <color theme="0"/>
              </font>
              <fill>
                <patternFill>
                  <bgColor rgb="FFFFC000"/>
                </patternFill>
              </fill>
            </x14:dxf>
          </x14:cfRule>
          <x14:cfRule type="expression" priority="66" id="{04500508-FAD8-47E3-8061-F74FDA743F83}">
            <xm:f>$K2=FilterSpecs!$F$7</xm:f>
            <x14:dxf>
              <font>
                <b/>
                <i val="0"/>
                <color theme="0"/>
              </font>
              <fill>
                <patternFill>
                  <bgColor rgb="FF00B0F0"/>
                </patternFill>
              </fill>
            </x14:dxf>
          </x14:cfRule>
          <xm:sqref>M2</xm:sqref>
        </x14:conditionalFormatting>
        <x14:conditionalFormatting xmlns:xm="http://schemas.microsoft.com/office/excel/2006/main">
          <x14:cfRule type="expression" priority="45" id="{0A253BBA-EADD-4C4C-8B49-96266535C15C}">
            <xm:f>$K2=FilterSpecs!$F$13</xm:f>
            <x14:dxf>
              <font>
                <b/>
                <i val="0"/>
                <color theme="0"/>
              </font>
              <fill>
                <patternFill>
                  <bgColor theme="9" tint="-0.499984740745262"/>
                </patternFill>
              </fill>
            </x14:dxf>
          </x14:cfRule>
          <x14:cfRule type="expression" priority="46" id="{BF1879B0-41AA-4244-9E0A-47E1705AAAE4}">
            <xm:f>$K2=FilterSpecs!$E$13</xm:f>
            <x14:dxf>
              <font>
                <b/>
                <i val="0"/>
                <color theme="0"/>
              </font>
              <fill>
                <patternFill>
                  <bgColor theme="9" tint="-0.499984740745262"/>
                </patternFill>
              </fill>
            </x14:dxf>
          </x14:cfRule>
          <x14:cfRule type="expression" priority="47" id="{34C145BD-4F92-4B95-A12C-C66D0A74017E}">
            <xm:f>$K2=FilterSpecs!$F$12</xm:f>
            <x14:dxf>
              <font>
                <b/>
                <i val="0"/>
                <color theme="0"/>
              </font>
              <fill>
                <patternFill>
                  <bgColor rgb="FFFF4F4F"/>
                </patternFill>
              </fill>
            </x14:dxf>
          </x14:cfRule>
          <x14:cfRule type="expression" priority="48" id="{0BBC400D-828B-49F9-AB4C-9DC13969815E}">
            <xm:f>$K2=FilterSpecs!$F$9</xm:f>
            <x14:dxf>
              <font>
                <b/>
                <i val="0"/>
                <color theme="0"/>
              </font>
              <fill>
                <patternFill>
                  <bgColor rgb="FFFF0000"/>
                </patternFill>
              </fill>
            </x14:dxf>
          </x14:cfRule>
          <x14:cfRule type="expression" priority="50" id="{6CBFE79E-F724-473D-839D-82CE9C1C9C7B}">
            <xm:f>$K2=FilterSpecs!$F$7</xm:f>
            <x14:dxf>
              <font>
                <b/>
                <i val="0"/>
                <color theme="0"/>
              </font>
              <fill>
                <patternFill>
                  <bgColor rgb="FF00B0F0"/>
                </patternFill>
              </fill>
            </x14:dxf>
          </x14:cfRule>
          <x14:cfRule type="expression" priority="51" id="{17D0A59E-8183-4894-8B27-C577FE9FBF8A}">
            <xm:f>$K2=FilterSpecs!$F$10</xm:f>
            <x14:dxf>
              <font>
                <b/>
                <i val="0"/>
                <color theme="0"/>
              </font>
              <fill>
                <patternFill>
                  <bgColor rgb="FF002060"/>
                </patternFill>
              </fill>
            </x14:dxf>
          </x14:cfRule>
          <x14:cfRule type="expression" priority="52" id="{ACEAF1E8-4326-450E-91D7-DDB864877974}">
            <xm:f>$K2=FilterSpecs!$F$8</xm:f>
            <x14:dxf>
              <font>
                <b/>
                <i val="0"/>
                <color theme="0"/>
              </font>
              <fill>
                <patternFill>
                  <bgColor rgb="FFFFC000"/>
                </patternFill>
              </fill>
            </x14:dxf>
          </x14:cfRule>
          <x14:cfRule type="expression" priority="53" id="{88CE02C0-84EE-446D-A8B2-22D38467FDE6}">
            <xm:f>$K2=FilterSpecs!$F$10</xm:f>
            <x14:dxf>
              <font>
                <b/>
                <i val="0"/>
                <color theme="0"/>
              </font>
              <fill>
                <patternFill>
                  <bgColor rgb="FF002060"/>
                </patternFill>
              </fill>
            </x14:dxf>
          </x14:cfRule>
          <x14:cfRule type="expression" priority="54" id="{0614A00B-D898-4DE1-91B7-13D03A56BA96}">
            <xm:f>$K2=FilterSpecs!$F$8</xm:f>
            <x14:dxf>
              <font>
                <b/>
                <i val="0"/>
                <color theme="0"/>
              </font>
              <fill>
                <patternFill>
                  <bgColor rgb="FFFFC000"/>
                </patternFill>
              </fill>
            </x14:dxf>
          </x14:cfRule>
          <x14:cfRule type="expression" priority="55" id="{A3776212-BE9F-4359-8D03-F174D2904B6F}">
            <xm:f>$K2=FilterSpecs!$F$7</xm:f>
            <x14:dxf>
              <font>
                <b/>
                <i val="0"/>
                <color theme="0"/>
              </font>
              <fill>
                <patternFill>
                  <bgColor rgb="FF00B0F0"/>
                </patternFill>
              </fill>
            </x14:dxf>
          </x14:cfRule>
          <xm:sqref>L2</xm:sqref>
        </x14:conditionalFormatting>
        <x14:conditionalFormatting xmlns:xm="http://schemas.microsoft.com/office/excel/2006/main">
          <x14:cfRule type="expression" priority="34" id="{27702E1D-1265-404B-919A-28A8FE4A64DA}">
            <xm:f>$K35=FilterSpecs!$F$13</xm:f>
            <x14:dxf>
              <font>
                <b/>
                <i val="0"/>
                <color theme="0"/>
              </font>
              <fill>
                <patternFill>
                  <bgColor theme="9" tint="-0.499984740745262"/>
                </patternFill>
              </fill>
            </x14:dxf>
          </x14:cfRule>
          <x14:cfRule type="expression" priority="35" id="{AE440CC4-BBB8-4CA8-A66B-DE350CD92173}">
            <xm:f>$K35=FilterSpecs!$E$13</xm:f>
            <x14:dxf>
              <font>
                <b/>
                <i val="0"/>
                <color theme="0"/>
              </font>
              <fill>
                <patternFill>
                  <bgColor theme="9" tint="-0.499984740745262"/>
                </patternFill>
              </fill>
            </x14:dxf>
          </x14:cfRule>
          <x14:cfRule type="expression" priority="36" id="{A7B55CED-A882-44AC-B4AD-DD1FA089CC80}">
            <xm:f>$K35=FilterSpecs!$F$12</xm:f>
            <x14:dxf>
              <font>
                <b/>
                <i val="0"/>
                <color theme="0"/>
              </font>
              <fill>
                <patternFill>
                  <bgColor rgb="FFFF4F4F"/>
                </patternFill>
              </fill>
            </x14:dxf>
          </x14:cfRule>
          <x14:cfRule type="expression" priority="37" id="{E62CE0DE-FFCC-45EF-AE27-7DE2DF83C62E}">
            <xm:f>$K35=FilterSpecs!$F$9</xm:f>
            <x14:dxf>
              <font>
                <b/>
                <i val="0"/>
                <color theme="0"/>
              </font>
              <fill>
                <patternFill>
                  <bgColor rgb="FFFF0000"/>
                </patternFill>
              </fill>
            </x14:dxf>
          </x14:cfRule>
          <x14:cfRule type="expression" priority="39" id="{C58400CD-D6D4-4AA8-8816-C357177C53AA}">
            <xm:f>$K35=FilterSpecs!$F$7</xm:f>
            <x14:dxf>
              <font>
                <b/>
                <i val="0"/>
                <color theme="0"/>
              </font>
              <fill>
                <patternFill>
                  <bgColor rgb="FF00B0F0"/>
                </patternFill>
              </fill>
            </x14:dxf>
          </x14:cfRule>
          <x14:cfRule type="expression" priority="40" id="{C9339FD1-D77B-40D7-A67D-E859122D141A}">
            <xm:f>$K35=FilterSpecs!$F$10</xm:f>
            <x14:dxf>
              <font>
                <b/>
                <i val="0"/>
                <color theme="0"/>
              </font>
              <fill>
                <patternFill>
                  <bgColor rgb="FF002060"/>
                </patternFill>
              </fill>
            </x14:dxf>
          </x14:cfRule>
          <x14:cfRule type="expression" priority="41" id="{EF5556F2-79C1-47CD-BE18-C601C4CF55C7}">
            <xm:f>$K35=FilterSpecs!$F$8</xm:f>
            <x14:dxf>
              <font>
                <b/>
                <i val="0"/>
                <color theme="0"/>
              </font>
              <fill>
                <patternFill>
                  <bgColor rgb="FFFFC000"/>
                </patternFill>
              </fill>
            </x14:dxf>
          </x14:cfRule>
          <x14:cfRule type="expression" priority="42" id="{F7AD45F7-4AC7-40F0-B4D0-85723B2CC152}">
            <xm:f>$K35=FilterSpecs!$F$10</xm:f>
            <x14:dxf>
              <font>
                <b/>
                <i val="0"/>
                <color theme="0"/>
              </font>
              <fill>
                <patternFill>
                  <bgColor rgb="FF002060"/>
                </patternFill>
              </fill>
            </x14:dxf>
          </x14:cfRule>
          <x14:cfRule type="expression" priority="43" id="{899A7DB0-B290-489B-9B03-59A3300B7496}">
            <xm:f>$K35=FilterSpecs!$F$8</xm:f>
            <x14:dxf>
              <font>
                <b/>
                <i val="0"/>
                <color theme="0"/>
              </font>
              <fill>
                <patternFill>
                  <bgColor rgb="FFFFC000"/>
                </patternFill>
              </fill>
            </x14:dxf>
          </x14:cfRule>
          <x14:cfRule type="expression" priority="44" id="{5A18264C-17FE-4CAE-83D4-08A111E3C17E}">
            <xm:f>$K35=FilterSpecs!$F$7</xm:f>
            <x14:dxf>
              <font>
                <b/>
                <i val="0"/>
                <color theme="0"/>
              </font>
              <fill>
                <patternFill>
                  <bgColor rgb="FF00B0F0"/>
                </patternFill>
              </fill>
            </x14:dxf>
          </x14:cfRule>
          <xm:sqref>D35:G35</xm:sqref>
        </x14:conditionalFormatting>
        <x14:conditionalFormatting xmlns:xm="http://schemas.microsoft.com/office/excel/2006/main">
          <x14:cfRule type="expression" priority="23" id="{310DAC3B-ED60-438E-976A-BA0DB903F9FD}">
            <xm:f>$K2=FilterSpecs!$F$13</xm:f>
            <x14:dxf>
              <font>
                <b/>
                <i val="0"/>
                <color theme="0"/>
              </font>
              <fill>
                <patternFill>
                  <bgColor theme="9" tint="-0.499984740745262"/>
                </patternFill>
              </fill>
            </x14:dxf>
          </x14:cfRule>
          <x14:cfRule type="expression" priority="24" id="{3A7E5181-F1BC-41C9-BCEB-F5770FC870AF}">
            <xm:f>$K2=FilterSpecs!$E$13</xm:f>
            <x14:dxf>
              <font>
                <b/>
                <i val="0"/>
                <color theme="0"/>
              </font>
              <fill>
                <patternFill>
                  <bgColor theme="9" tint="-0.499984740745262"/>
                </patternFill>
              </fill>
            </x14:dxf>
          </x14:cfRule>
          <x14:cfRule type="expression" priority="25" id="{675DB4EC-5048-429D-861A-4EB7654D2972}">
            <xm:f>$K2=FilterSpecs!$F$12</xm:f>
            <x14:dxf>
              <font>
                <b/>
                <i val="0"/>
                <color theme="0"/>
              </font>
              <fill>
                <patternFill>
                  <bgColor rgb="FFFF4F4F"/>
                </patternFill>
              </fill>
            </x14:dxf>
          </x14:cfRule>
          <x14:cfRule type="expression" priority="26" id="{5A402E83-D37F-4F04-A72B-775B79869074}">
            <xm:f>$K2=FilterSpecs!$F$9</xm:f>
            <x14:dxf>
              <font>
                <b/>
                <i val="0"/>
                <color theme="0"/>
              </font>
              <fill>
                <patternFill>
                  <bgColor rgb="FFFF0000"/>
                </patternFill>
              </fill>
            </x14:dxf>
          </x14:cfRule>
          <x14:cfRule type="expression" priority="28" id="{4177050A-84F7-45D0-A2F8-44E9F6D97839}">
            <xm:f>$K2=FilterSpecs!$F$7</xm:f>
            <x14:dxf>
              <font>
                <b/>
                <i val="0"/>
                <color theme="0"/>
              </font>
              <fill>
                <patternFill>
                  <bgColor rgb="FF00B0F0"/>
                </patternFill>
              </fill>
            </x14:dxf>
          </x14:cfRule>
          <x14:cfRule type="expression" priority="29" id="{235CEDA7-A912-470C-97D6-C6F7476D2A14}">
            <xm:f>$K2=FilterSpecs!$F$10</xm:f>
            <x14:dxf>
              <font>
                <b/>
                <i val="0"/>
                <color theme="0"/>
              </font>
              <fill>
                <patternFill>
                  <bgColor rgb="FF002060"/>
                </patternFill>
              </fill>
            </x14:dxf>
          </x14:cfRule>
          <x14:cfRule type="expression" priority="30" id="{44FC1B6B-30E8-4940-9298-8896ACDBAC1D}">
            <xm:f>$K2=FilterSpecs!$F$8</xm:f>
            <x14:dxf>
              <font>
                <b/>
                <i val="0"/>
                <color theme="0"/>
              </font>
              <fill>
                <patternFill>
                  <bgColor rgb="FFFFC000"/>
                </patternFill>
              </fill>
            </x14:dxf>
          </x14:cfRule>
          <x14:cfRule type="expression" priority="31" id="{1DB10A51-2CF2-422D-BA13-B4F55757CF32}">
            <xm:f>$K2=FilterSpecs!$F$10</xm:f>
            <x14:dxf>
              <font>
                <b/>
                <i val="0"/>
                <color theme="0"/>
              </font>
              <fill>
                <patternFill>
                  <bgColor rgb="FF002060"/>
                </patternFill>
              </fill>
            </x14:dxf>
          </x14:cfRule>
          <x14:cfRule type="expression" priority="32" id="{067C8408-924C-4152-8B85-15BB9577AF31}">
            <xm:f>$K2=FilterSpecs!$F$8</xm:f>
            <x14:dxf>
              <font>
                <b/>
                <i val="0"/>
                <color theme="0"/>
              </font>
              <fill>
                <patternFill>
                  <bgColor rgb="FFFFC000"/>
                </patternFill>
              </fill>
            </x14:dxf>
          </x14:cfRule>
          <x14:cfRule type="expression" priority="33" id="{D6F60E28-2EF3-4279-8D3A-755A595D1994}">
            <xm:f>$K2=FilterSpecs!$F$7</xm:f>
            <x14:dxf>
              <font>
                <b/>
                <i val="0"/>
                <color theme="0"/>
              </font>
              <fill>
                <patternFill>
                  <bgColor rgb="FF00B0F0"/>
                </patternFill>
              </fill>
            </x14:dxf>
          </x14:cfRule>
          <xm:sqref>O2</xm:sqref>
        </x14:conditionalFormatting>
        <x14:conditionalFormatting xmlns:xm="http://schemas.microsoft.com/office/excel/2006/main">
          <x14:cfRule type="expression" priority="12" id="{A5F14C4E-E1A3-44D8-AE95-2EA0EAFF259C}">
            <xm:f>$K2=FilterSpecs!$F$13</xm:f>
            <x14:dxf>
              <font>
                <b/>
                <i val="0"/>
                <color theme="0"/>
              </font>
              <fill>
                <patternFill>
                  <bgColor theme="9" tint="-0.499984740745262"/>
                </patternFill>
              </fill>
            </x14:dxf>
          </x14:cfRule>
          <x14:cfRule type="expression" priority="13" id="{7C318D4F-87DC-40AC-8F31-C26F4A333E69}">
            <xm:f>$K2=FilterSpecs!$E$13</xm:f>
            <x14:dxf>
              <font>
                <b/>
                <i val="0"/>
                <color theme="0"/>
              </font>
              <fill>
                <patternFill>
                  <bgColor theme="9" tint="-0.499984740745262"/>
                </patternFill>
              </fill>
            </x14:dxf>
          </x14:cfRule>
          <x14:cfRule type="expression" priority="14" id="{FCBDA2E1-9E18-43C2-914E-2A2A30506A59}">
            <xm:f>$K2=FilterSpecs!$F$12</xm:f>
            <x14:dxf>
              <font>
                <b/>
                <i val="0"/>
                <color theme="0"/>
              </font>
              <fill>
                <patternFill>
                  <bgColor rgb="FFFF4F4F"/>
                </patternFill>
              </fill>
            </x14:dxf>
          </x14:cfRule>
          <x14:cfRule type="expression" priority="15" id="{A3C37212-8FD2-44C8-AE24-D443C2377648}">
            <xm:f>$K2=FilterSpecs!$F$9</xm:f>
            <x14:dxf>
              <font>
                <b/>
                <i val="0"/>
                <color theme="0"/>
              </font>
              <fill>
                <patternFill>
                  <bgColor rgb="FFFF0000"/>
                </patternFill>
              </fill>
            </x14:dxf>
          </x14:cfRule>
          <x14:cfRule type="expression" priority="17" id="{93928085-11CC-4F36-B8DC-AB874E75DC41}">
            <xm:f>$K2=FilterSpecs!$F$7</xm:f>
            <x14:dxf>
              <font>
                <b/>
                <i val="0"/>
                <color theme="0"/>
              </font>
              <fill>
                <patternFill>
                  <bgColor rgb="FF00B0F0"/>
                </patternFill>
              </fill>
            </x14:dxf>
          </x14:cfRule>
          <x14:cfRule type="expression" priority="18" id="{75B71D5D-A2D3-4802-8CF0-B111EF1D258E}">
            <xm:f>$K2=FilterSpecs!$F$10</xm:f>
            <x14:dxf>
              <font>
                <b/>
                <i val="0"/>
                <color theme="0"/>
              </font>
              <fill>
                <patternFill>
                  <bgColor rgb="FF002060"/>
                </patternFill>
              </fill>
            </x14:dxf>
          </x14:cfRule>
          <x14:cfRule type="expression" priority="19" id="{B7347E50-1409-4F64-B085-1D1EC9BC2369}">
            <xm:f>$K2=FilterSpecs!$F$8</xm:f>
            <x14:dxf>
              <font>
                <b/>
                <i val="0"/>
                <color theme="0"/>
              </font>
              <fill>
                <patternFill>
                  <bgColor rgb="FFFFC000"/>
                </patternFill>
              </fill>
            </x14:dxf>
          </x14:cfRule>
          <x14:cfRule type="expression" priority="20" id="{3DDD8C28-C092-413F-A640-29FCB05E3374}">
            <xm:f>$K2=FilterSpecs!$F$10</xm:f>
            <x14:dxf>
              <font>
                <b/>
                <i val="0"/>
                <color theme="0"/>
              </font>
              <fill>
                <patternFill>
                  <bgColor rgb="FF002060"/>
                </patternFill>
              </fill>
            </x14:dxf>
          </x14:cfRule>
          <x14:cfRule type="expression" priority="21" id="{17DA5CBE-6AB9-4795-ACEB-23E3A882F880}">
            <xm:f>$K2=FilterSpecs!$F$8</xm:f>
            <x14:dxf>
              <font>
                <b/>
                <i val="0"/>
                <color theme="0"/>
              </font>
              <fill>
                <patternFill>
                  <bgColor rgb="FFFFC000"/>
                </patternFill>
              </fill>
            </x14:dxf>
          </x14:cfRule>
          <x14:cfRule type="expression" priority="22" id="{81A43008-D170-4589-9014-7EE2DA29E738}">
            <xm:f>$K2=FilterSpecs!$F$7</xm:f>
            <x14:dxf>
              <font>
                <b/>
                <i val="0"/>
                <color theme="0"/>
              </font>
              <fill>
                <patternFill>
                  <bgColor rgb="FF00B0F0"/>
                </patternFill>
              </fill>
            </x14:dxf>
          </x14:cfRule>
          <xm:sqref>N2</xm:sqref>
        </x14:conditionalFormatting>
        <x14:conditionalFormatting xmlns:xm="http://schemas.microsoft.com/office/excel/2006/main">
          <x14:cfRule type="expression" priority="1" id="{55B1BAB1-51BD-4086-827F-AF5AF1E29B04}">
            <xm:f>$K2=FilterSpecs!$F$13</xm:f>
            <x14:dxf>
              <font>
                <b/>
                <i val="0"/>
                <color theme="0"/>
              </font>
              <fill>
                <patternFill>
                  <bgColor theme="9" tint="-0.499984740745262"/>
                </patternFill>
              </fill>
            </x14:dxf>
          </x14:cfRule>
          <x14:cfRule type="expression" priority="2" id="{C6E9CD94-376C-49BB-A900-9AD21EDC155F}">
            <xm:f>$K2=FilterSpecs!$E$13</xm:f>
            <x14:dxf>
              <font>
                <b/>
                <i val="0"/>
                <color theme="0"/>
              </font>
              <fill>
                <patternFill>
                  <bgColor theme="9" tint="-0.499984740745262"/>
                </patternFill>
              </fill>
            </x14:dxf>
          </x14:cfRule>
          <x14:cfRule type="expression" priority="3" id="{C65B4243-6762-40D7-9AD3-91E6335F6E0B}">
            <xm:f>$K2=FilterSpecs!$F$12</xm:f>
            <x14:dxf>
              <font>
                <b/>
                <i val="0"/>
                <color theme="0"/>
              </font>
              <fill>
                <patternFill>
                  <bgColor rgb="FFFF4F4F"/>
                </patternFill>
              </fill>
            </x14:dxf>
          </x14:cfRule>
          <x14:cfRule type="expression" priority="4" id="{A2C361CE-9DA1-4991-A281-D2D9AC0BBB98}">
            <xm:f>$K2=FilterSpecs!$F$9</xm:f>
            <x14:dxf>
              <font>
                <b/>
                <i val="0"/>
                <color theme="0"/>
              </font>
              <fill>
                <patternFill>
                  <bgColor rgb="FFFF0000"/>
                </patternFill>
              </fill>
            </x14:dxf>
          </x14:cfRule>
          <x14:cfRule type="expression" priority="6" id="{3E1BB6D1-FFFF-4CC0-9FB3-83219AB6B88C}">
            <xm:f>$K2=FilterSpecs!$F$7</xm:f>
            <x14:dxf>
              <font>
                <b/>
                <i val="0"/>
                <color theme="0"/>
              </font>
              <fill>
                <patternFill>
                  <bgColor rgb="FF00B0F0"/>
                </patternFill>
              </fill>
            </x14:dxf>
          </x14:cfRule>
          <x14:cfRule type="expression" priority="7" id="{8D692616-6B71-4F97-818C-3E0A84FCCC3E}">
            <xm:f>$K2=FilterSpecs!$F$10</xm:f>
            <x14:dxf>
              <font>
                <b/>
                <i val="0"/>
                <color theme="0"/>
              </font>
              <fill>
                <patternFill>
                  <bgColor rgb="FF002060"/>
                </patternFill>
              </fill>
            </x14:dxf>
          </x14:cfRule>
          <x14:cfRule type="expression" priority="8" id="{DFCBECC9-92BB-420D-94DD-FB3D7DD7080D}">
            <xm:f>$K2=FilterSpecs!$F$8</xm:f>
            <x14:dxf>
              <font>
                <b/>
                <i val="0"/>
                <color theme="0"/>
              </font>
              <fill>
                <patternFill>
                  <bgColor rgb="FFFFC000"/>
                </patternFill>
              </fill>
            </x14:dxf>
          </x14:cfRule>
          <x14:cfRule type="expression" priority="9" id="{82C5F977-993C-4CA4-9A7B-836F33E5D07E}">
            <xm:f>$K2=FilterSpecs!$F$10</xm:f>
            <x14:dxf>
              <font>
                <b/>
                <i val="0"/>
                <color theme="0"/>
              </font>
              <fill>
                <patternFill>
                  <bgColor rgb="FF002060"/>
                </patternFill>
              </fill>
            </x14:dxf>
          </x14:cfRule>
          <x14:cfRule type="expression" priority="10" id="{13BD88BE-2CCC-43FD-BA4B-816B2EB0E8C8}">
            <xm:f>$K2=FilterSpecs!$F$8</xm:f>
            <x14:dxf>
              <font>
                <b/>
                <i val="0"/>
                <color theme="0"/>
              </font>
              <fill>
                <patternFill>
                  <bgColor rgb="FFFFC000"/>
                </patternFill>
              </fill>
            </x14:dxf>
          </x14:cfRule>
          <x14:cfRule type="expression" priority="11" id="{9B0AA41C-DBB1-43E4-BCBE-437FBC9B24C6}">
            <xm:f>$K2=FilterSpecs!$F$7</xm:f>
            <x14:dxf>
              <font>
                <b/>
                <i val="0"/>
                <color theme="0"/>
              </font>
              <fill>
                <patternFill>
                  <bgColor rgb="FF00B0F0"/>
                </patternFill>
              </fill>
            </x14:dxf>
          </x14:cfRule>
          <xm:sqref>B2:C2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462FECBB-BF62-4213-A881-E8A97D904C2A}">
          <x14:formula1>
            <xm:f>FilterSpecs!$C$6:$C$13</xm:f>
          </x14:formula1>
          <xm:sqref>M24</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2AC446-75B8-4504-96A9-5D9F34C59B0A}">
  <sheetPr codeName="Sheet5">
    <tabColor theme="7"/>
  </sheetPr>
  <dimension ref="A1:S44"/>
  <sheetViews>
    <sheetView topLeftCell="A31" zoomScale="85" zoomScaleNormal="85" workbookViewId="0">
      <selection activeCell="C13" sqref="C13"/>
    </sheetView>
  </sheetViews>
  <sheetFormatPr defaultRowHeight="21" x14ac:dyDescent="0.25"/>
  <cols>
    <col min="1" max="1" width="12" customWidth="1"/>
    <col min="2" max="2" width="10" customWidth="1"/>
    <col min="3" max="3" width="86.7109375" customWidth="1"/>
    <col min="4" max="4" width="39.7109375" bestFit="1" customWidth="1"/>
    <col min="5" max="5" width="39.28515625" customWidth="1"/>
    <col min="6" max="6" width="37.28515625" bestFit="1" customWidth="1"/>
    <col min="7" max="7" width="31.28515625" bestFit="1" customWidth="1"/>
    <col min="8" max="8" width="19.7109375" style="23" customWidth="1"/>
    <col min="9" max="9" width="48.7109375" customWidth="1"/>
    <col min="10" max="10" width="110.5703125" customWidth="1"/>
  </cols>
  <sheetData>
    <row r="1" spans="1:10" x14ac:dyDescent="0.35">
      <c r="A1" s="24" t="s">
        <v>157</v>
      </c>
      <c r="B1" s="24" t="s">
        <v>2374</v>
      </c>
      <c r="C1" s="17" t="s">
        <v>183</v>
      </c>
      <c r="D1" s="17" t="s">
        <v>177</v>
      </c>
      <c r="E1" s="18" t="s">
        <v>178</v>
      </c>
      <c r="F1" s="17" t="s">
        <v>179</v>
      </c>
      <c r="G1" s="17" t="s">
        <v>222</v>
      </c>
      <c r="H1" s="17" t="s">
        <v>180</v>
      </c>
      <c r="I1" s="17" t="s">
        <v>185</v>
      </c>
      <c r="J1" s="17" t="s">
        <v>182</v>
      </c>
    </row>
    <row r="2" spans="1:10" x14ac:dyDescent="0.35">
      <c r="A2" s="26">
        <v>14.95</v>
      </c>
      <c r="B2" s="26" t="s">
        <v>2375</v>
      </c>
      <c r="C2" s="20" t="s">
        <v>77</v>
      </c>
      <c r="D2" s="20"/>
      <c r="E2" s="18" t="s">
        <v>158</v>
      </c>
      <c r="F2" s="19" t="s">
        <v>159</v>
      </c>
      <c r="G2" s="19"/>
      <c r="H2" s="17"/>
      <c r="I2" s="23"/>
      <c r="J2" s="23"/>
    </row>
    <row r="3" spans="1:10" x14ac:dyDescent="0.35">
      <c r="A3" s="25">
        <v>3.95</v>
      </c>
      <c r="B3" s="26" t="s">
        <v>2375</v>
      </c>
      <c r="C3" s="20" t="s">
        <v>81</v>
      </c>
      <c r="D3" s="20"/>
      <c r="E3" s="19" t="s">
        <v>160</v>
      </c>
      <c r="F3" s="18"/>
      <c r="G3" s="18" t="s">
        <v>2394</v>
      </c>
      <c r="H3" s="17" t="s">
        <v>161</v>
      </c>
      <c r="I3" s="23">
        <v>4</v>
      </c>
      <c r="J3" s="23"/>
    </row>
    <row r="4" spans="1:10" x14ac:dyDescent="0.35">
      <c r="A4" s="26">
        <v>1.95</v>
      </c>
      <c r="B4" s="26" t="s">
        <v>2375</v>
      </c>
      <c r="C4" s="20" t="s">
        <v>73</v>
      </c>
      <c r="D4" s="17"/>
      <c r="E4" s="19" t="s">
        <v>184</v>
      </c>
      <c r="F4" s="17" t="s">
        <v>175</v>
      </c>
      <c r="G4" s="17"/>
      <c r="H4" s="17"/>
      <c r="I4" s="23"/>
      <c r="J4" s="23"/>
    </row>
    <row r="5" spans="1:10" x14ac:dyDescent="0.35">
      <c r="A5" s="24">
        <v>0.95</v>
      </c>
      <c r="B5" s="26" t="s">
        <v>2375</v>
      </c>
      <c r="C5" s="20" t="s">
        <v>69</v>
      </c>
      <c r="D5" s="17"/>
      <c r="E5" s="19" t="s">
        <v>176</v>
      </c>
      <c r="F5" s="17"/>
      <c r="G5" s="17"/>
      <c r="H5" s="17"/>
      <c r="I5" s="23"/>
      <c r="J5" s="23"/>
    </row>
    <row r="6" spans="1:10" x14ac:dyDescent="0.35">
      <c r="A6" s="26">
        <v>24.95</v>
      </c>
      <c r="B6" s="26" t="s">
        <v>2375</v>
      </c>
      <c r="C6" s="20" t="s">
        <v>89</v>
      </c>
      <c r="D6" s="20" t="s">
        <v>162</v>
      </c>
      <c r="E6" s="21" t="s">
        <v>163</v>
      </c>
      <c r="F6" s="19" t="s">
        <v>181</v>
      </c>
      <c r="G6" s="19"/>
      <c r="H6" s="17"/>
      <c r="I6" s="23" t="s">
        <v>186</v>
      </c>
      <c r="J6" s="23"/>
    </row>
    <row r="7" spans="1:10" x14ac:dyDescent="0.35">
      <c r="A7" s="26"/>
      <c r="B7" s="26" t="s">
        <v>2375</v>
      </c>
      <c r="C7" s="20"/>
      <c r="D7" s="20" t="s">
        <v>164</v>
      </c>
      <c r="E7" s="21" t="s">
        <v>165</v>
      </c>
      <c r="F7" s="18"/>
      <c r="G7" s="18"/>
      <c r="H7" s="17"/>
      <c r="I7" s="23"/>
      <c r="J7" s="23"/>
    </row>
    <row r="8" spans="1:10" x14ac:dyDescent="0.35">
      <c r="A8" s="26">
        <v>14.95</v>
      </c>
      <c r="B8" s="26" t="s">
        <v>2375</v>
      </c>
      <c r="C8" s="20" t="s">
        <v>93</v>
      </c>
      <c r="D8" s="20"/>
      <c r="E8" s="19" t="s">
        <v>169</v>
      </c>
      <c r="F8" s="18"/>
      <c r="G8" s="18"/>
      <c r="H8" s="17"/>
      <c r="I8" s="23" t="s">
        <v>2392</v>
      </c>
      <c r="J8" s="23" t="s">
        <v>2378</v>
      </c>
    </row>
    <row r="9" spans="1:10" x14ac:dyDescent="0.35">
      <c r="A9" s="26">
        <v>24.95</v>
      </c>
      <c r="B9" s="26" t="s">
        <v>2375</v>
      </c>
      <c r="C9" s="20" t="s">
        <v>85</v>
      </c>
      <c r="D9" s="20"/>
      <c r="E9" s="19" t="s">
        <v>166</v>
      </c>
      <c r="F9" s="19" t="s">
        <v>167</v>
      </c>
      <c r="G9" s="19"/>
      <c r="H9" s="17"/>
      <c r="I9" s="23" t="s">
        <v>2392</v>
      </c>
      <c r="J9" s="23" t="s">
        <v>2378</v>
      </c>
    </row>
    <row r="10" spans="1:10" x14ac:dyDescent="0.35">
      <c r="A10" s="25">
        <v>14.95</v>
      </c>
      <c r="B10" s="26" t="s">
        <v>2375</v>
      </c>
      <c r="C10" s="20" t="s">
        <v>168</v>
      </c>
      <c r="D10" s="20"/>
      <c r="E10" s="19" t="s">
        <v>166</v>
      </c>
      <c r="F10" s="19" t="s">
        <v>167</v>
      </c>
      <c r="G10" s="19"/>
      <c r="H10" s="17"/>
      <c r="I10" s="23"/>
      <c r="J10" s="23"/>
    </row>
    <row r="11" spans="1:10" x14ac:dyDescent="0.35">
      <c r="A11" s="26">
        <v>14.95</v>
      </c>
      <c r="B11" s="26" t="s">
        <v>2376</v>
      </c>
      <c r="C11" s="20" t="s">
        <v>2295</v>
      </c>
      <c r="D11" s="20"/>
      <c r="E11" s="19" t="s">
        <v>2379</v>
      </c>
      <c r="F11" s="18" t="s">
        <v>2380</v>
      </c>
      <c r="G11" s="18" t="s">
        <v>2381</v>
      </c>
      <c r="H11" s="17" t="s">
        <v>161</v>
      </c>
      <c r="I11" s="23" t="s">
        <v>2383</v>
      </c>
      <c r="J11" s="23" t="s">
        <v>2378</v>
      </c>
    </row>
    <row r="12" spans="1:10" x14ac:dyDescent="0.35">
      <c r="A12" s="26">
        <v>13.95</v>
      </c>
      <c r="B12" s="26" t="s">
        <v>2376</v>
      </c>
      <c r="C12" s="20" t="s">
        <v>2297</v>
      </c>
      <c r="D12" s="20"/>
      <c r="E12" s="19" t="s">
        <v>2382</v>
      </c>
      <c r="F12" s="18" t="s">
        <v>2390</v>
      </c>
      <c r="G12" s="18" t="s">
        <v>2391</v>
      </c>
      <c r="H12" s="17" t="s">
        <v>161</v>
      </c>
      <c r="I12" s="23" t="s">
        <v>2392</v>
      </c>
      <c r="J12" s="23" t="s">
        <v>2378</v>
      </c>
    </row>
    <row r="13" spans="1:10" x14ac:dyDescent="0.35">
      <c r="A13" s="26">
        <v>19.95</v>
      </c>
      <c r="B13" s="26" t="s">
        <v>2375</v>
      </c>
      <c r="C13" s="20" t="s">
        <v>97</v>
      </c>
      <c r="E13" s="19" t="s">
        <v>220</v>
      </c>
      <c r="G13" s="17" t="s">
        <v>221</v>
      </c>
      <c r="H13" s="17"/>
      <c r="I13" s="23" t="s">
        <v>2393</v>
      </c>
    </row>
    <row r="14" spans="1:10" x14ac:dyDescent="0.35">
      <c r="A14" s="26">
        <v>13.95</v>
      </c>
      <c r="B14" s="26" t="s">
        <v>2375</v>
      </c>
      <c r="C14" s="20" t="s">
        <v>101</v>
      </c>
      <c r="D14" s="20"/>
      <c r="E14" s="19" t="s">
        <v>170</v>
      </c>
      <c r="F14" s="18"/>
      <c r="G14" s="18"/>
      <c r="H14" s="17"/>
      <c r="I14" s="23" t="s">
        <v>187</v>
      </c>
      <c r="J14" s="23" t="s">
        <v>2389</v>
      </c>
    </row>
    <row r="15" spans="1:10" x14ac:dyDescent="0.35">
      <c r="A15" s="26">
        <v>14.95</v>
      </c>
      <c r="B15" s="26" t="s">
        <v>2375</v>
      </c>
      <c r="C15" s="20" t="s">
        <v>171</v>
      </c>
      <c r="D15" s="20"/>
      <c r="E15" s="19" t="s">
        <v>172</v>
      </c>
      <c r="F15" s="18"/>
      <c r="G15" s="18"/>
      <c r="H15" s="17"/>
      <c r="I15" s="23" t="s">
        <v>187</v>
      </c>
      <c r="J15" s="23"/>
    </row>
    <row r="16" spans="1:10" x14ac:dyDescent="0.35">
      <c r="A16" s="26">
        <v>13.95</v>
      </c>
      <c r="B16" s="26" t="s">
        <v>2375</v>
      </c>
      <c r="C16" s="20" t="s">
        <v>173</v>
      </c>
      <c r="D16" s="20"/>
      <c r="E16" s="19" t="s">
        <v>174</v>
      </c>
      <c r="F16" s="18"/>
      <c r="G16" s="18"/>
      <c r="H16" s="17"/>
      <c r="I16" s="23" t="s">
        <v>187</v>
      </c>
      <c r="J16" s="23"/>
    </row>
    <row r="17" spans="1:19" ht="42" x14ac:dyDescent="0.35">
      <c r="A17" s="26"/>
      <c r="B17" s="26" t="s">
        <v>2376</v>
      </c>
      <c r="C17" s="20" t="s">
        <v>2299</v>
      </c>
      <c r="D17" s="20"/>
      <c r="E17" s="19" t="s">
        <v>2384</v>
      </c>
      <c r="F17" s="18"/>
      <c r="G17" s="18"/>
      <c r="H17" s="17"/>
      <c r="I17" s="23" t="s">
        <v>187</v>
      </c>
      <c r="J17" s="23" t="s">
        <v>2385</v>
      </c>
      <c r="S17" s="19"/>
    </row>
    <row r="18" spans="1:19" x14ac:dyDescent="0.35">
      <c r="A18" s="26"/>
      <c r="B18" s="26" t="s">
        <v>2376</v>
      </c>
      <c r="C18" s="20" t="s">
        <v>2301</v>
      </c>
      <c r="D18" s="20"/>
      <c r="E18" s="19" t="s">
        <v>2377</v>
      </c>
      <c r="F18" s="18"/>
      <c r="G18" s="18"/>
      <c r="H18" s="17"/>
      <c r="I18" s="23" t="s">
        <v>187</v>
      </c>
      <c r="J18" s="23" t="s">
        <v>2387</v>
      </c>
    </row>
    <row r="19" spans="1:19" x14ac:dyDescent="0.35">
      <c r="A19" s="26"/>
      <c r="B19" s="26" t="s">
        <v>2376</v>
      </c>
      <c r="C19" s="20" t="s">
        <v>2303</v>
      </c>
      <c r="D19" s="20"/>
      <c r="E19" s="19" t="s">
        <v>2386</v>
      </c>
      <c r="F19" s="18"/>
      <c r="G19" s="84" t="s">
        <v>2388</v>
      </c>
      <c r="H19" s="17"/>
      <c r="I19" s="23" t="s">
        <v>187</v>
      </c>
      <c r="J19" s="23" t="s">
        <v>2387</v>
      </c>
    </row>
    <row r="20" spans="1:19" x14ac:dyDescent="0.25">
      <c r="B20" s="28"/>
    </row>
    <row r="21" spans="1:19" x14ac:dyDescent="0.25">
      <c r="C21" s="22" t="s">
        <v>192</v>
      </c>
      <c r="D21" s="22" t="s">
        <v>193</v>
      </c>
      <c r="E21" s="22" t="s">
        <v>189</v>
      </c>
      <c r="F21" s="22" t="s">
        <v>200</v>
      </c>
    </row>
    <row r="22" spans="1:19" x14ac:dyDescent="0.25">
      <c r="C22" s="27" t="s">
        <v>133</v>
      </c>
      <c r="D22" s="22" t="s">
        <v>188</v>
      </c>
      <c r="E22" s="22" t="s">
        <v>195</v>
      </c>
      <c r="F22" s="22"/>
    </row>
    <row r="23" spans="1:19" x14ac:dyDescent="0.25">
      <c r="C23" s="27" t="s">
        <v>141</v>
      </c>
      <c r="D23" s="22">
        <v>5</v>
      </c>
      <c r="E23" s="22" t="s">
        <v>195</v>
      </c>
      <c r="F23" s="22"/>
    </row>
    <row r="24" spans="1:19" x14ac:dyDescent="0.25">
      <c r="C24" s="27" t="s">
        <v>137</v>
      </c>
      <c r="D24" s="22">
        <v>6</v>
      </c>
      <c r="E24" s="22" t="s">
        <v>194</v>
      </c>
      <c r="F24" s="22" t="s">
        <v>199</v>
      </c>
    </row>
    <row r="25" spans="1:19" x14ac:dyDescent="0.25">
      <c r="C25" s="27" t="s">
        <v>191</v>
      </c>
      <c r="D25" s="22" t="s">
        <v>190</v>
      </c>
      <c r="E25" s="22" t="s">
        <v>195</v>
      </c>
      <c r="F25" s="22"/>
    </row>
    <row r="26" spans="1:19" x14ac:dyDescent="0.25">
      <c r="C26" s="27" t="s">
        <v>196</v>
      </c>
      <c r="D26" s="22">
        <v>10</v>
      </c>
      <c r="E26" s="22" t="s">
        <v>195</v>
      </c>
      <c r="F26" s="22"/>
    </row>
    <row r="27" spans="1:19" x14ac:dyDescent="0.25">
      <c r="C27" s="27" t="s">
        <v>197</v>
      </c>
      <c r="D27" s="22">
        <v>8</v>
      </c>
      <c r="E27" s="22" t="s">
        <v>195</v>
      </c>
      <c r="F27" s="22"/>
    </row>
    <row r="28" spans="1:19" x14ac:dyDescent="0.25">
      <c r="C28" s="27" t="s">
        <v>198</v>
      </c>
      <c r="D28" s="22">
        <v>8</v>
      </c>
      <c r="E28" s="22" t="s">
        <v>195</v>
      </c>
      <c r="F28" s="22"/>
    </row>
    <row r="29" spans="1:19" x14ac:dyDescent="0.25">
      <c r="C29" s="27" t="s">
        <v>85</v>
      </c>
      <c r="D29" s="22">
        <v>6</v>
      </c>
      <c r="E29" s="22" t="s">
        <v>195</v>
      </c>
      <c r="F29" s="22"/>
    </row>
    <row r="30" spans="1:19" x14ac:dyDescent="0.25">
      <c r="C30" s="27" t="s">
        <v>81</v>
      </c>
      <c r="D30" s="22">
        <v>4</v>
      </c>
      <c r="E30" s="22" t="s">
        <v>194</v>
      </c>
      <c r="F30" s="22" t="s">
        <v>199</v>
      </c>
    </row>
    <row r="31" spans="1:19" x14ac:dyDescent="0.25">
      <c r="C31" s="27" t="s">
        <v>201</v>
      </c>
      <c r="D31" s="22" t="s">
        <v>202</v>
      </c>
      <c r="E31" s="22" t="s">
        <v>195</v>
      </c>
      <c r="F31" s="22"/>
    </row>
    <row r="32" spans="1:19" x14ac:dyDescent="0.25">
      <c r="C32" s="27" t="s">
        <v>203</v>
      </c>
      <c r="D32" s="22" t="s">
        <v>204</v>
      </c>
      <c r="E32" s="22" t="s">
        <v>195</v>
      </c>
      <c r="F32" s="22"/>
    </row>
    <row r="33" spans="3:6" x14ac:dyDescent="0.25">
      <c r="C33" s="27" t="s">
        <v>205</v>
      </c>
      <c r="D33" s="22">
        <v>5</v>
      </c>
      <c r="E33" s="22"/>
      <c r="F33" s="22"/>
    </row>
    <row r="34" spans="3:6" x14ac:dyDescent="0.25">
      <c r="C34" s="27" t="s">
        <v>206</v>
      </c>
      <c r="D34" s="22">
        <v>6</v>
      </c>
      <c r="E34" s="22"/>
      <c r="F34" s="22"/>
    </row>
    <row r="35" spans="3:6" x14ac:dyDescent="0.25">
      <c r="C35" s="27" t="s">
        <v>207</v>
      </c>
      <c r="D35" s="22" t="s">
        <v>208</v>
      </c>
      <c r="E35" s="22"/>
      <c r="F35" s="22"/>
    </row>
    <row r="36" spans="3:6" x14ac:dyDescent="0.25">
      <c r="C36" s="27" t="s">
        <v>209</v>
      </c>
      <c r="D36" s="22" t="s">
        <v>210</v>
      </c>
      <c r="E36" s="22"/>
      <c r="F36" s="22"/>
    </row>
    <row r="37" spans="3:6" x14ac:dyDescent="0.25">
      <c r="C37" s="27" t="s">
        <v>211</v>
      </c>
      <c r="D37" s="22" t="s">
        <v>212</v>
      </c>
      <c r="E37" s="22"/>
      <c r="F37" s="22"/>
    </row>
    <row r="38" spans="3:6" x14ac:dyDescent="0.25">
      <c r="C38" s="27" t="s">
        <v>213</v>
      </c>
      <c r="D38" s="22">
        <v>3</v>
      </c>
      <c r="E38" s="22"/>
      <c r="F38" s="22"/>
    </row>
    <row r="39" spans="3:6" x14ac:dyDescent="0.25">
      <c r="C39" s="27" t="s">
        <v>214</v>
      </c>
      <c r="D39" s="22" t="s">
        <v>215</v>
      </c>
      <c r="E39" s="22"/>
      <c r="F39" s="22"/>
    </row>
    <row r="40" spans="3:6" x14ac:dyDescent="0.25">
      <c r="C40" s="27" t="s">
        <v>216</v>
      </c>
      <c r="D40" s="22">
        <v>7</v>
      </c>
      <c r="E40" s="22"/>
      <c r="F40" s="22"/>
    </row>
    <row r="41" spans="3:6" x14ac:dyDescent="0.25">
      <c r="C41" s="27" t="s">
        <v>217</v>
      </c>
      <c r="D41" s="22">
        <v>6</v>
      </c>
      <c r="E41" s="22" t="s">
        <v>194</v>
      </c>
      <c r="F41" s="22" t="s">
        <v>218</v>
      </c>
    </row>
    <row r="42" spans="3:6" x14ac:dyDescent="0.25">
      <c r="C42" s="27" t="s">
        <v>77</v>
      </c>
      <c r="D42" s="22" t="s">
        <v>219</v>
      </c>
      <c r="E42" s="22"/>
      <c r="F42" s="22"/>
    </row>
    <row r="44" spans="3:6" x14ac:dyDescent="0.25">
      <c r="C44" s="23" t="s">
        <v>2458</v>
      </c>
    </row>
  </sheetData>
  <hyperlinks>
    <hyperlink ref="C31" r:id="rId1" display="https://www.sparkfun.com/products/12009" xr:uid="{D804F47F-0385-48A2-9F7E-09641427A5F9}"/>
  </hyperlinks>
  <pageMargins left="0.7" right="0.7" top="0.75" bottom="0.75" header="0.3" footer="0.3"/>
  <tableParts count="2">
    <tablePart r:id="rId2"/>
    <tablePart r:id="rId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64072-D326-406E-9CB5-70BD69A3FB97}">
  <sheetPr codeName="Sheet15"/>
  <dimension ref="A1:D65"/>
  <sheetViews>
    <sheetView topLeftCell="A19" workbookViewId="0">
      <selection activeCell="A42" sqref="A42"/>
    </sheetView>
  </sheetViews>
  <sheetFormatPr defaultRowHeight="15" x14ac:dyDescent="0.25"/>
  <cols>
    <col min="1" max="1" width="51.7109375" customWidth="1"/>
    <col min="3" max="3" width="52.5703125" customWidth="1"/>
  </cols>
  <sheetData>
    <row r="1" spans="1:4" x14ac:dyDescent="0.25">
      <c r="A1" t="s">
        <v>986</v>
      </c>
      <c r="B1" t="b">
        <v>0</v>
      </c>
      <c r="C1" t="s">
        <v>1933</v>
      </c>
      <c r="D1">
        <v>5</v>
      </c>
    </row>
    <row r="2" spans="1:4" x14ac:dyDescent="0.25">
      <c r="A2" t="s">
        <v>884</v>
      </c>
      <c r="B2" t="b">
        <v>1</v>
      </c>
      <c r="C2" t="s">
        <v>1934</v>
      </c>
      <c r="D2">
        <v>5</v>
      </c>
    </row>
    <row r="3" spans="1:4" x14ac:dyDescent="0.25">
      <c r="A3" t="s">
        <v>1870</v>
      </c>
      <c r="B3" t="b">
        <v>0</v>
      </c>
      <c r="C3" t="s">
        <v>1935</v>
      </c>
      <c r="D3">
        <v>5</v>
      </c>
    </row>
    <row r="4" spans="1:4" x14ac:dyDescent="0.25">
      <c r="A4" t="s">
        <v>1872</v>
      </c>
      <c r="B4" t="b">
        <v>0</v>
      </c>
      <c r="C4" t="s">
        <v>1936</v>
      </c>
      <c r="D4">
        <v>5</v>
      </c>
    </row>
    <row r="5" spans="1:4" x14ac:dyDescent="0.25">
      <c r="A5" t="s">
        <v>1871</v>
      </c>
      <c r="B5" t="b">
        <v>0</v>
      </c>
      <c r="C5" t="s">
        <v>1937</v>
      </c>
      <c r="D5">
        <v>5</v>
      </c>
    </row>
    <row r="6" spans="1:4" x14ac:dyDescent="0.25">
      <c r="A6" t="s">
        <v>1874</v>
      </c>
      <c r="B6" t="b">
        <v>0</v>
      </c>
      <c r="C6" t="s">
        <v>1938</v>
      </c>
      <c r="D6">
        <v>5</v>
      </c>
    </row>
    <row r="7" spans="1:4" x14ac:dyDescent="0.25">
      <c r="A7" t="s">
        <v>1873</v>
      </c>
      <c r="B7" t="b">
        <v>0</v>
      </c>
      <c r="C7" t="s">
        <v>1939</v>
      </c>
      <c r="D7">
        <v>5</v>
      </c>
    </row>
    <row r="8" spans="1:4" x14ac:dyDescent="0.25">
      <c r="A8" t="s">
        <v>1875</v>
      </c>
      <c r="B8" t="b">
        <v>0</v>
      </c>
      <c r="C8" t="s">
        <v>1940</v>
      </c>
      <c r="D8">
        <v>5</v>
      </c>
    </row>
    <row r="9" spans="1:4" x14ac:dyDescent="0.25">
      <c r="A9" t="s">
        <v>1603</v>
      </c>
      <c r="B9" t="b">
        <v>1</v>
      </c>
      <c r="C9" t="s">
        <v>1941</v>
      </c>
      <c r="D9">
        <v>5</v>
      </c>
    </row>
    <row r="10" spans="1:4" x14ac:dyDescent="0.25">
      <c r="A10" t="s">
        <v>1288</v>
      </c>
      <c r="B10" t="b">
        <v>0</v>
      </c>
      <c r="C10" t="s">
        <v>1942</v>
      </c>
      <c r="D10">
        <v>5</v>
      </c>
    </row>
    <row r="11" spans="1:4" x14ac:dyDescent="0.25">
      <c r="A11" t="s">
        <v>1876</v>
      </c>
      <c r="B11" t="b">
        <v>0</v>
      </c>
      <c r="C11" t="s">
        <v>1943</v>
      </c>
      <c r="D11">
        <v>5</v>
      </c>
    </row>
    <row r="12" spans="1:4" x14ac:dyDescent="0.25">
      <c r="A12" t="s">
        <v>883</v>
      </c>
      <c r="B12" t="b">
        <v>0</v>
      </c>
      <c r="C12" t="s">
        <v>1944</v>
      </c>
      <c r="D12">
        <v>5</v>
      </c>
    </row>
    <row r="13" spans="1:4" x14ac:dyDescent="0.25">
      <c r="A13" t="s">
        <v>1878</v>
      </c>
      <c r="B13" t="b">
        <v>0</v>
      </c>
      <c r="C13" t="s">
        <v>1945</v>
      </c>
      <c r="D13">
        <v>5</v>
      </c>
    </row>
    <row r="14" spans="1:4" x14ac:dyDescent="0.25">
      <c r="A14" t="s">
        <v>1877</v>
      </c>
      <c r="B14" t="b">
        <v>1</v>
      </c>
      <c r="C14" t="s">
        <v>1946</v>
      </c>
      <c r="D14">
        <v>5</v>
      </c>
    </row>
    <row r="15" spans="1:4" x14ac:dyDescent="0.25">
      <c r="A15" t="s">
        <v>1879</v>
      </c>
      <c r="B15" t="b">
        <v>0</v>
      </c>
      <c r="C15" t="s">
        <v>1947</v>
      </c>
      <c r="D15">
        <v>5</v>
      </c>
    </row>
    <row r="16" spans="1:4" x14ac:dyDescent="0.25">
      <c r="A16" t="s">
        <v>1289</v>
      </c>
      <c r="B16" t="b">
        <v>0</v>
      </c>
      <c r="C16" t="s">
        <v>1948</v>
      </c>
      <c r="D16">
        <v>5</v>
      </c>
    </row>
    <row r="17" spans="1:4" x14ac:dyDescent="0.25">
      <c r="A17" t="s">
        <v>1595</v>
      </c>
      <c r="B17" t="b">
        <v>0</v>
      </c>
      <c r="C17" t="s">
        <v>1949</v>
      </c>
      <c r="D17">
        <v>5</v>
      </c>
    </row>
    <row r="18" spans="1:4" x14ac:dyDescent="0.25">
      <c r="A18" t="s">
        <v>1597</v>
      </c>
      <c r="B18" t="b">
        <v>0</v>
      </c>
      <c r="C18" t="s">
        <v>1950</v>
      </c>
      <c r="D18">
        <v>5</v>
      </c>
    </row>
    <row r="19" spans="1:4" x14ac:dyDescent="0.25">
      <c r="A19" t="s">
        <v>1869</v>
      </c>
      <c r="B19" t="b">
        <v>1</v>
      </c>
      <c r="C19" t="s">
        <v>1951</v>
      </c>
      <c r="D19">
        <v>5</v>
      </c>
    </row>
    <row r="20" spans="1:4" x14ac:dyDescent="0.25">
      <c r="A20" t="s">
        <v>1594</v>
      </c>
      <c r="B20" t="b">
        <v>0</v>
      </c>
      <c r="C20" t="s">
        <v>1952</v>
      </c>
      <c r="D20">
        <v>5</v>
      </c>
    </row>
    <row r="21" spans="1:4" x14ac:dyDescent="0.25">
      <c r="A21" t="s">
        <v>1004</v>
      </c>
      <c r="B21" t="b">
        <v>1</v>
      </c>
      <c r="C21" t="s">
        <v>1953</v>
      </c>
      <c r="D21">
        <v>5</v>
      </c>
    </row>
    <row r="22" spans="1:4" x14ac:dyDescent="0.25">
      <c r="A22" t="s">
        <v>1880</v>
      </c>
      <c r="B22" t="b">
        <v>0</v>
      </c>
      <c r="C22" t="s">
        <v>1954</v>
      </c>
      <c r="D22">
        <v>5</v>
      </c>
    </row>
    <row r="23" spans="1:4" x14ac:dyDescent="0.25">
      <c r="A23" t="s">
        <v>1881</v>
      </c>
      <c r="B23" t="b">
        <v>0</v>
      </c>
      <c r="C23" t="s">
        <v>1955</v>
      </c>
      <c r="D23">
        <v>5</v>
      </c>
    </row>
    <row r="24" spans="1:4" x14ac:dyDescent="0.25">
      <c r="A24" t="s">
        <v>1596</v>
      </c>
      <c r="B24" t="b">
        <v>0</v>
      </c>
      <c r="C24" t="s">
        <v>1956</v>
      </c>
      <c r="D24">
        <v>5</v>
      </c>
    </row>
    <row r="25" spans="1:4" x14ac:dyDescent="0.25">
      <c r="A25" t="s">
        <v>1598</v>
      </c>
      <c r="B25" t="b">
        <v>0</v>
      </c>
      <c r="C25" t="s">
        <v>1957</v>
      </c>
      <c r="D25">
        <v>5</v>
      </c>
    </row>
    <row r="26" spans="1:4" x14ac:dyDescent="0.25">
      <c r="A26" t="s">
        <v>987</v>
      </c>
      <c r="B26" t="b">
        <v>0</v>
      </c>
      <c r="C26" t="s">
        <v>1958</v>
      </c>
      <c r="D26">
        <v>5</v>
      </c>
    </row>
    <row r="27" spans="1:4" x14ac:dyDescent="0.25">
      <c r="A27" t="s">
        <v>1290</v>
      </c>
      <c r="B27" t="b">
        <v>0</v>
      </c>
      <c r="C27" t="s">
        <v>1959</v>
      </c>
      <c r="D27">
        <v>5</v>
      </c>
    </row>
    <row r="28" spans="1:4" x14ac:dyDescent="0.25">
      <c r="A28" t="s">
        <v>881</v>
      </c>
      <c r="B28" t="b">
        <v>0</v>
      </c>
      <c r="C28" t="s">
        <v>1960</v>
      </c>
      <c r="D28">
        <v>5</v>
      </c>
    </row>
    <row r="29" spans="1:4" x14ac:dyDescent="0.25">
      <c r="A29" t="s">
        <v>1592</v>
      </c>
      <c r="B29" t="b">
        <v>0</v>
      </c>
      <c r="C29" t="s">
        <v>1961</v>
      </c>
      <c r="D29">
        <v>5</v>
      </c>
    </row>
    <row r="30" spans="1:4" x14ac:dyDescent="0.25">
      <c r="A30" t="s">
        <v>1396</v>
      </c>
      <c r="B30" t="b">
        <v>0</v>
      </c>
      <c r="C30" t="s">
        <v>1962</v>
      </c>
      <c r="D30">
        <v>5</v>
      </c>
    </row>
    <row r="31" spans="1:4" x14ac:dyDescent="0.25">
      <c r="A31" t="s">
        <v>8</v>
      </c>
      <c r="B31" t="b">
        <v>0</v>
      </c>
      <c r="C31" t="s">
        <v>1963</v>
      </c>
      <c r="D31">
        <v>5</v>
      </c>
    </row>
    <row r="32" spans="1:4" x14ac:dyDescent="0.25">
      <c r="A32" t="s">
        <v>1591</v>
      </c>
      <c r="B32" t="b">
        <v>0</v>
      </c>
      <c r="C32" t="s">
        <v>1964</v>
      </c>
      <c r="D32">
        <v>5</v>
      </c>
    </row>
    <row r="33" spans="1:4" x14ac:dyDescent="0.25">
      <c r="A33" t="s">
        <v>1882</v>
      </c>
      <c r="B33" t="b">
        <v>0</v>
      </c>
      <c r="C33" t="s">
        <v>1965</v>
      </c>
      <c r="D33">
        <v>5</v>
      </c>
    </row>
    <row r="34" spans="1:4" x14ac:dyDescent="0.25">
      <c r="A34" t="s">
        <v>1589</v>
      </c>
      <c r="B34" t="b">
        <v>0</v>
      </c>
      <c r="C34" t="s">
        <v>1966</v>
      </c>
      <c r="D34">
        <v>5</v>
      </c>
    </row>
    <row r="35" spans="1:4" x14ac:dyDescent="0.25">
      <c r="A35" t="s">
        <v>1005</v>
      </c>
      <c r="B35" t="b">
        <v>0</v>
      </c>
      <c r="C35" t="s">
        <v>1967</v>
      </c>
      <c r="D35">
        <v>5</v>
      </c>
    </row>
    <row r="36" spans="1:4" x14ac:dyDescent="0.25">
      <c r="A36" t="s">
        <v>1599</v>
      </c>
      <c r="B36" t="b">
        <v>0</v>
      </c>
      <c r="C36" t="s">
        <v>1968</v>
      </c>
      <c r="D36">
        <v>5</v>
      </c>
    </row>
    <row r="37" spans="1:4" x14ac:dyDescent="0.25">
      <c r="A37" t="s">
        <v>1426</v>
      </c>
      <c r="B37" t="b">
        <v>0</v>
      </c>
      <c r="C37" t="s">
        <v>1969</v>
      </c>
      <c r="D37">
        <v>5</v>
      </c>
    </row>
    <row r="38" spans="1:4" x14ac:dyDescent="0.25">
      <c r="A38" t="s">
        <v>1035</v>
      </c>
      <c r="B38" t="b">
        <v>0</v>
      </c>
      <c r="C38" t="s">
        <v>1970</v>
      </c>
      <c r="D38">
        <v>5</v>
      </c>
    </row>
    <row r="39" spans="1:4" x14ac:dyDescent="0.25">
      <c r="A39" t="s">
        <v>12</v>
      </c>
      <c r="B39" t="b">
        <v>0</v>
      </c>
      <c r="C39" t="s">
        <v>1971</v>
      </c>
      <c r="D39">
        <v>5</v>
      </c>
    </row>
    <row r="40" spans="1:4" x14ac:dyDescent="0.25">
      <c r="A40" t="s">
        <v>1006</v>
      </c>
      <c r="B40" t="b">
        <v>0</v>
      </c>
      <c r="C40" t="s">
        <v>1972</v>
      </c>
      <c r="D40">
        <v>5</v>
      </c>
    </row>
    <row r="41" spans="1:4" x14ac:dyDescent="0.25">
      <c r="A41" t="s">
        <v>1057</v>
      </c>
      <c r="B41" t="b">
        <v>0</v>
      </c>
      <c r="C41" t="s">
        <v>1973</v>
      </c>
      <c r="D41">
        <v>5</v>
      </c>
    </row>
    <row r="42" spans="1:4" x14ac:dyDescent="0.25">
      <c r="A42" t="s">
        <v>1034</v>
      </c>
      <c r="B42" t="b">
        <v>0</v>
      </c>
      <c r="C42" t="s">
        <v>1974</v>
      </c>
      <c r="D42">
        <v>5</v>
      </c>
    </row>
    <row r="43" spans="1:4" x14ac:dyDescent="0.25">
      <c r="A43" t="s">
        <v>1602</v>
      </c>
      <c r="B43" t="b">
        <v>0</v>
      </c>
      <c r="C43" t="s">
        <v>1975</v>
      </c>
      <c r="D43">
        <v>5</v>
      </c>
    </row>
    <row r="44" spans="1:4" x14ac:dyDescent="0.25">
      <c r="A44" t="s">
        <v>1055</v>
      </c>
      <c r="B44" t="b">
        <v>0</v>
      </c>
      <c r="C44" t="s">
        <v>1976</v>
      </c>
      <c r="D44">
        <v>5</v>
      </c>
    </row>
    <row r="45" spans="1:4" x14ac:dyDescent="0.25">
      <c r="A45" t="s">
        <v>985</v>
      </c>
      <c r="B45" t="b">
        <v>0</v>
      </c>
      <c r="C45" t="s">
        <v>1977</v>
      </c>
      <c r="D45">
        <v>5</v>
      </c>
    </row>
    <row r="46" spans="1:4" x14ac:dyDescent="0.25">
      <c r="A46" t="s">
        <v>1168</v>
      </c>
      <c r="B46" t="b">
        <v>0</v>
      </c>
      <c r="C46" t="s">
        <v>1978</v>
      </c>
      <c r="D46">
        <v>5</v>
      </c>
    </row>
    <row r="47" spans="1:4" x14ac:dyDescent="0.25">
      <c r="A47" t="s">
        <v>1063</v>
      </c>
      <c r="B47" t="b">
        <v>0</v>
      </c>
      <c r="C47" t="s">
        <v>1979</v>
      </c>
      <c r="D47">
        <v>5</v>
      </c>
    </row>
    <row r="48" spans="1:4" x14ac:dyDescent="0.25">
      <c r="A48" t="s">
        <v>1601</v>
      </c>
      <c r="B48" t="b">
        <v>0</v>
      </c>
      <c r="C48" t="s">
        <v>1980</v>
      </c>
      <c r="D48">
        <v>5</v>
      </c>
    </row>
    <row r="49" spans="1:4" x14ac:dyDescent="0.25">
      <c r="A49" t="s">
        <v>1604</v>
      </c>
      <c r="B49" t="b">
        <v>0</v>
      </c>
      <c r="C49" t="s">
        <v>1981</v>
      </c>
      <c r="D49">
        <v>5</v>
      </c>
    </row>
    <row r="50" spans="1:4" x14ac:dyDescent="0.25">
      <c r="A50" t="s">
        <v>7</v>
      </c>
      <c r="B50" t="b">
        <v>0</v>
      </c>
      <c r="C50" t="s">
        <v>1982</v>
      </c>
      <c r="D50">
        <v>5</v>
      </c>
    </row>
    <row r="51" spans="1:4" x14ac:dyDescent="0.25">
      <c r="A51" t="s">
        <v>10</v>
      </c>
      <c r="B51" t="b">
        <v>0</v>
      </c>
      <c r="C51" t="s">
        <v>1983</v>
      </c>
      <c r="D51">
        <v>5</v>
      </c>
    </row>
    <row r="52" spans="1:4" x14ac:dyDescent="0.25">
      <c r="A52" t="s">
        <v>892</v>
      </c>
      <c r="B52" t="b">
        <v>0</v>
      </c>
      <c r="C52" t="s">
        <v>1984</v>
      </c>
      <c r="D52">
        <v>5</v>
      </c>
    </row>
    <row r="53" spans="1:4" x14ac:dyDescent="0.25">
      <c r="A53" t="s">
        <v>1056</v>
      </c>
      <c r="B53" t="b">
        <v>0</v>
      </c>
      <c r="C53" t="s">
        <v>1985</v>
      </c>
      <c r="D53">
        <v>5</v>
      </c>
    </row>
    <row r="54" spans="1:4" x14ac:dyDescent="0.25">
      <c r="A54" t="s">
        <v>1593</v>
      </c>
      <c r="B54" t="b">
        <v>0</v>
      </c>
      <c r="C54" t="s">
        <v>1986</v>
      </c>
      <c r="D54">
        <v>5</v>
      </c>
    </row>
    <row r="55" spans="1:4" x14ac:dyDescent="0.25">
      <c r="A55" t="s">
        <v>1600</v>
      </c>
      <c r="B55" t="b">
        <v>0</v>
      </c>
      <c r="C55" t="s">
        <v>1987</v>
      </c>
      <c r="D55">
        <v>5</v>
      </c>
    </row>
    <row r="56" spans="1:4" x14ac:dyDescent="0.25">
      <c r="A56" t="s">
        <v>1640</v>
      </c>
      <c r="B56" t="b">
        <v>0</v>
      </c>
      <c r="C56" t="s">
        <v>1988</v>
      </c>
      <c r="D56">
        <v>5</v>
      </c>
    </row>
    <row r="57" spans="1:4" x14ac:dyDescent="0.25">
      <c r="A57" t="s">
        <v>11</v>
      </c>
      <c r="B57" t="b">
        <v>0</v>
      </c>
      <c r="C57" t="s">
        <v>1989</v>
      </c>
      <c r="D57">
        <v>5</v>
      </c>
    </row>
    <row r="58" spans="1:4" x14ac:dyDescent="0.25">
      <c r="A58" t="s">
        <v>1425</v>
      </c>
      <c r="B58" t="b">
        <v>0</v>
      </c>
      <c r="C58" t="s">
        <v>1990</v>
      </c>
      <c r="D58">
        <v>5</v>
      </c>
    </row>
    <row r="59" spans="1:4" x14ac:dyDescent="0.25">
      <c r="A59" t="s">
        <v>1590</v>
      </c>
      <c r="B59" t="b">
        <v>0</v>
      </c>
      <c r="C59" t="s">
        <v>1991</v>
      </c>
      <c r="D59">
        <v>5</v>
      </c>
    </row>
    <row r="60" spans="1:4" x14ac:dyDescent="0.25">
      <c r="A60" t="s">
        <v>880</v>
      </c>
      <c r="B60" t="b">
        <v>0</v>
      </c>
      <c r="C60" t="s">
        <v>1992</v>
      </c>
      <c r="D60">
        <v>5</v>
      </c>
    </row>
    <row r="61" spans="1:4" x14ac:dyDescent="0.25">
      <c r="A61" t="s">
        <v>891</v>
      </c>
      <c r="B61" t="b">
        <v>0</v>
      </c>
      <c r="C61" t="s">
        <v>1993</v>
      </c>
      <c r="D61">
        <v>5</v>
      </c>
    </row>
    <row r="62" spans="1:4" x14ac:dyDescent="0.25">
      <c r="A62" t="s">
        <v>1059</v>
      </c>
      <c r="B62" t="b">
        <v>0</v>
      </c>
      <c r="C62" t="s">
        <v>1994</v>
      </c>
      <c r="D62">
        <v>5</v>
      </c>
    </row>
    <row r="63" spans="1:4" x14ac:dyDescent="0.25">
      <c r="A63" t="s">
        <v>1424</v>
      </c>
      <c r="B63" t="b">
        <v>0</v>
      </c>
      <c r="C63" t="s">
        <v>1995</v>
      </c>
      <c r="D63">
        <v>5</v>
      </c>
    </row>
    <row r="64" spans="1:4" x14ac:dyDescent="0.25">
      <c r="A64" t="s">
        <v>1397</v>
      </c>
      <c r="B64" t="b">
        <v>0</v>
      </c>
      <c r="C64" t="s">
        <v>1996</v>
      </c>
      <c r="D64">
        <v>5</v>
      </c>
    </row>
    <row r="65" spans="1:4" x14ac:dyDescent="0.25">
      <c r="A65" t="s">
        <v>9</v>
      </c>
      <c r="B65" t="b">
        <v>0</v>
      </c>
      <c r="C65" t="s">
        <v>1997</v>
      </c>
      <c r="D65">
        <v>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Props1.xml><?xml version="1.0" encoding="utf-8"?>
<ds:datastoreItem xmlns:ds="http://schemas.openxmlformats.org/officeDocument/2006/customXml" ds:itemID="{03EDCD96-3B56-45F4-BC4A-349818B7E513}">
  <ds:schemaRefs/>
</ds:datastoreItem>
</file>

<file path=customXml/itemProps2.xml><?xml version="1.0" encoding="utf-8"?>
<ds:datastoreItem xmlns:ds="http://schemas.openxmlformats.org/officeDocument/2006/customXml" ds:itemID="{9E74C1F1-40D0-4B9B-81CF-794290EA9CDE}">
  <ds:schemaRefs/>
</ds:datastoreItem>
</file>

<file path=customXml/itemProps3.xml><?xml version="1.0" encoding="utf-8"?>
<ds:datastoreItem xmlns:ds="http://schemas.openxmlformats.org/officeDocument/2006/customXml" ds:itemID="{F728FA94-0762-4038-B8FB-2499F032DCA1}">
  <ds:schemaRefs/>
</ds:datastoreItem>
</file>

<file path=customXml/itemProps4.xml><?xml version="1.0" encoding="utf-8"?>
<ds:datastoreItem xmlns:ds="http://schemas.openxmlformats.org/officeDocument/2006/customXml" ds:itemID="{5640F613-BCA2-4941-8C31-6081879D0F39}">
  <ds:schemaRefs/>
</ds:datastoreItem>
</file>

<file path=customXml/itemProps5.xml><?xml version="1.0" encoding="utf-8"?>
<ds:datastoreItem xmlns:ds="http://schemas.openxmlformats.org/officeDocument/2006/customXml" ds:itemID="{3934DE86-7B7D-48B1-8B54-DCD0EA95FD36}">
  <ds:schemaRefs/>
</ds:datastoreItem>
</file>

<file path=customXml/itemProps6.xml><?xml version="1.0" encoding="utf-8"?>
<ds:datastoreItem xmlns:ds="http://schemas.openxmlformats.org/officeDocument/2006/customXml" ds:itemID="{EF833792-AE7E-43F7-9893-0D3348178610}">
  <ds:schemaRefs/>
</ds:datastoreItem>
</file>

<file path=customXml/itemProps7.xml><?xml version="1.0" encoding="utf-8"?>
<ds:datastoreItem xmlns:ds="http://schemas.openxmlformats.org/officeDocument/2006/customXml" ds:itemID="{5E3CE36A-B286-4582-8162-E50423BA0F57}">
  <ds:schemaRefs/>
</ds:datastoreItem>
</file>

<file path=customXml/itemProps8.xml><?xml version="1.0" encoding="utf-8"?>
<ds:datastoreItem xmlns:ds="http://schemas.openxmlformats.org/officeDocument/2006/customXml" ds:itemID="{9291C032-4AE1-47CD-9D0D-C5BC17F1C621}">
  <ds:schemaRefs/>
</ds:datastoreItem>
</file>

<file path=customXml/itemProps9.xml><?xml version="1.0" encoding="utf-8"?>
<ds:datastoreItem xmlns:ds="http://schemas.openxmlformats.org/officeDocument/2006/customXml" ds:itemID="{7C9F5434-E1A0-4F70-A852-9FAA5C46E7FF}">
  <ds:schemaRefs/>
</ds:datastoreItem>
</file>

<file path=customXml/itemProps10.xml><?xml version="1.0" encoding="utf-8"?>
<ds:datastoreItem xmlns:ds="http://schemas.openxmlformats.org/officeDocument/2006/customXml" ds:itemID="{A97FBD7B-9360-4F89-AF8E-C5CF6EC8352C}">
  <ds:schemaRefs>
    <ds:schemaRef ds:uri="http://schemas.microsoft.com/DataMashup"/>
  </ds:schemaRefs>
</ds:datastoreItem>
</file>

<file path=customXml/itemProps11.xml><?xml version="1.0" encoding="utf-8"?>
<ds:datastoreItem xmlns:ds="http://schemas.openxmlformats.org/officeDocument/2006/customXml" ds:itemID="{29A767D3-F3D8-4399-9884-0792B3ED1573}">
  <ds:schemaRefs/>
</ds:datastoreItem>
</file>

<file path=customXml/itemProps12.xml><?xml version="1.0" encoding="utf-8"?>
<ds:datastoreItem xmlns:ds="http://schemas.openxmlformats.org/officeDocument/2006/customXml" ds:itemID="{D636087D-64FF-47F6-9D28-70EBAEE37164}">
  <ds:schemaRefs/>
</ds:datastoreItem>
</file>

<file path=customXml/itemProps13.xml><?xml version="1.0" encoding="utf-8"?>
<ds:datastoreItem xmlns:ds="http://schemas.openxmlformats.org/officeDocument/2006/customXml" ds:itemID="{D62FE9C6-5836-4D40-ABE6-DDEDC57718B6}">
  <ds:schemaRefs/>
</ds:datastoreItem>
</file>

<file path=customXml/itemProps14.xml><?xml version="1.0" encoding="utf-8"?>
<ds:datastoreItem xmlns:ds="http://schemas.openxmlformats.org/officeDocument/2006/customXml" ds:itemID="{6AB4CEEF-A55A-4268-AA52-BAC1B741751B}">
  <ds:schemaRefs/>
</ds:datastoreItem>
</file>

<file path=customXml/itemProps15.xml><?xml version="1.0" encoding="utf-8"?>
<ds:datastoreItem xmlns:ds="http://schemas.openxmlformats.org/officeDocument/2006/customXml" ds:itemID="{899354A6-0500-4D51-BA0B-77A37C940623}">
  <ds:schemaRefs/>
</ds:datastoreItem>
</file>

<file path=customXml/itemProps16.xml><?xml version="1.0" encoding="utf-8"?>
<ds:datastoreItem xmlns:ds="http://schemas.openxmlformats.org/officeDocument/2006/customXml" ds:itemID="{836257B9-3D35-44BC-87C1-C93D26FC420B}">
  <ds:schemaRefs/>
</ds:datastoreItem>
</file>

<file path=customXml/itemProps17.xml><?xml version="1.0" encoding="utf-8"?>
<ds:datastoreItem xmlns:ds="http://schemas.openxmlformats.org/officeDocument/2006/customXml" ds:itemID="{CA8754EB-95F3-4435-B4DF-1AF878F97B74}">
  <ds:schemaRefs/>
</ds:datastoreItem>
</file>

<file path=customXml/itemProps18.xml><?xml version="1.0" encoding="utf-8"?>
<ds:datastoreItem xmlns:ds="http://schemas.openxmlformats.org/officeDocument/2006/customXml" ds:itemID="{6F1DCE29-DF47-4174-9865-6EC7CFA974B1}">
  <ds:schemaRefs/>
</ds:datastoreItem>
</file>

<file path=customXml/itemProps19.xml><?xml version="1.0" encoding="utf-8"?>
<ds:datastoreItem xmlns:ds="http://schemas.openxmlformats.org/officeDocument/2006/customXml" ds:itemID="{4EAED6BF-8D2B-43EA-9FD3-7E1E5DFE802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33</vt:i4>
      </vt:variant>
    </vt:vector>
  </HeadingPairs>
  <TitlesOfParts>
    <vt:vector size="49" baseType="lpstr">
      <vt:lpstr>SparkFun Order</vt:lpstr>
      <vt:lpstr>Order Form</vt:lpstr>
      <vt:lpstr>OrganizedList</vt:lpstr>
      <vt:lpstr>Category Lookup</vt:lpstr>
      <vt:lpstr>FilterSpecs</vt:lpstr>
      <vt:lpstr>RawList</vt:lpstr>
      <vt:lpstr>Mouser</vt:lpstr>
      <vt:lpstr>Initial Order</vt:lpstr>
      <vt:lpstr>Initial Order (2)</vt:lpstr>
      <vt:lpstr>Sheet1</vt:lpstr>
      <vt:lpstr>SparkFun</vt:lpstr>
      <vt:lpstr>Adafruit</vt:lpstr>
      <vt:lpstr>ItemQty</vt:lpstr>
      <vt:lpstr>Connectors</vt:lpstr>
      <vt:lpstr>DesignSpecs</vt:lpstr>
      <vt:lpstr>SlicerInfo</vt:lpstr>
      <vt:lpstr>Adafruit!ColumnTitle2</vt:lpstr>
      <vt:lpstr>'Initial Order'!ColumnTitle2</vt:lpstr>
      <vt:lpstr>'Initial Order (2)'!ColumnTitle2</vt:lpstr>
      <vt:lpstr>Mouser!ColumnTitle2</vt:lpstr>
      <vt:lpstr>'Order Form'!ColumnTitle2</vt:lpstr>
      <vt:lpstr>SparkFun!ColumnTitle2</vt:lpstr>
      <vt:lpstr>'SparkFun Order'!ColumnTitle2</vt:lpstr>
      <vt:lpstr>ColumnTitle2</vt:lpstr>
      <vt:lpstr>Adafruit!EquipmentList</vt:lpstr>
      <vt:lpstr>'Initial Order'!EquipmentList</vt:lpstr>
      <vt:lpstr>'Initial Order (2)'!EquipmentList</vt:lpstr>
      <vt:lpstr>Mouser!EquipmentList</vt:lpstr>
      <vt:lpstr>'Order Form'!EquipmentList</vt:lpstr>
      <vt:lpstr>SparkFun!EquipmentList</vt:lpstr>
      <vt:lpstr>'SparkFun Order'!EquipmentList</vt:lpstr>
      <vt:lpstr>EquipmentList</vt:lpstr>
      <vt:lpstr>Adafruit!EquipmentLookupDescriptions</vt:lpstr>
      <vt:lpstr>'Initial Order'!EquipmentLookupDescriptions</vt:lpstr>
      <vt:lpstr>'Initial Order (2)'!EquipmentLookupDescriptions</vt:lpstr>
      <vt:lpstr>Mouser!EquipmentLookupDescriptions</vt:lpstr>
      <vt:lpstr>'Order Form'!EquipmentLookupDescriptions</vt:lpstr>
      <vt:lpstr>SparkFun!EquipmentLookupDescriptions</vt:lpstr>
      <vt:lpstr>'SparkFun Order'!EquipmentLookupDescriptions</vt:lpstr>
      <vt:lpstr>EquipmentLookupDescriptions</vt:lpstr>
      <vt:lpstr>'Category Lookup'!Print_Titles</vt:lpstr>
      <vt:lpstr>Adafruit!RoomList</vt:lpstr>
      <vt:lpstr>'Initial Order'!RoomList</vt:lpstr>
      <vt:lpstr>'Initial Order (2)'!RoomList</vt:lpstr>
      <vt:lpstr>Mouser!RoomList</vt:lpstr>
      <vt:lpstr>'Order Form'!RoomList</vt:lpstr>
      <vt:lpstr>SparkFun!RoomList</vt:lpstr>
      <vt:lpstr>'SparkFun Order'!RoomList</vt:lpstr>
      <vt:lpstr>RoomList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Blake</dc:creator>
  <cp:lastModifiedBy>Blake</cp:lastModifiedBy>
  <dcterms:created xsi:type="dcterms:W3CDTF">2017-07-30T14:13:04Z</dcterms:created>
  <dcterms:modified xsi:type="dcterms:W3CDTF">2018-02-21T21:09:01Z</dcterms:modified>
</cp:coreProperties>
</file>